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0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nulinemanufacturing-my.sharepoint.com/personal/e_lackey_nuline_com/Documents/Documents/Project Data Analysis Tool/GF12/"/>
    </mc:Choice>
  </mc:AlternateContent>
  <xr:revisionPtr revIDLastSave="5" documentId="8_{55B83061-76B0-49A5-8A36-50F328D7D9DE}" xr6:coauthVersionLast="47" xr6:coauthVersionMax="47" xr10:uidLastSave="{7B4F8C96-4024-444A-A04F-39F87896764D}"/>
  <bookViews>
    <workbookView xWindow="-28920" yWindow="-120" windowWidth="29040" windowHeight="15840" tabRatio="837" firstSheet="122" activeTab="155" xr2:uid="{00000000-000D-0000-FFFF-FFFF00000000}"/>
  </bookViews>
  <sheets>
    <sheet name="GF12" sheetId="13" r:id="rId1"/>
    <sheet name="000" sheetId="2" r:id="rId2"/>
    <sheet name="001" sheetId="46" r:id="rId3"/>
    <sheet name="002" sheetId="47" r:id="rId4"/>
    <sheet name="003" sheetId="49" r:id="rId5"/>
    <sheet name="004" sheetId="48" r:id="rId6"/>
    <sheet name="005" sheetId="50" r:id="rId7"/>
    <sheet name="006" sheetId="51" r:id="rId8"/>
    <sheet name="007" sheetId="52" r:id="rId9"/>
    <sheet name="008" sheetId="53" r:id="rId10"/>
    <sheet name="009" sheetId="54" r:id="rId11"/>
    <sheet name="100" sheetId="14" r:id="rId12"/>
    <sheet name="110" sheetId="55" r:id="rId13"/>
    <sheet name="111" sheetId="57" r:id="rId14"/>
    <sheet name="112" sheetId="58" r:id="rId15"/>
    <sheet name="113" sheetId="59" r:id="rId16"/>
    <sheet name="114" sheetId="60" r:id="rId17"/>
    <sheet name="115" sheetId="61" r:id="rId18"/>
    <sheet name="116" sheetId="62" r:id="rId19"/>
    <sheet name="117" sheetId="138" r:id="rId20"/>
    <sheet name="118" sheetId="203" r:id="rId21"/>
    <sheet name="119" sheetId="204" r:id="rId22"/>
    <sheet name="120" sheetId="63" r:id="rId23"/>
    <sheet name="121" sheetId="64" r:id="rId24"/>
    <sheet name="122" sheetId="65" r:id="rId25"/>
    <sheet name="123" sheetId="122" r:id="rId26"/>
    <sheet name="124" sheetId="123" r:id="rId27"/>
    <sheet name="125" sheetId="124" r:id="rId28"/>
    <sheet name="126" sheetId="125" r:id="rId29"/>
    <sheet name="127" sheetId="126" r:id="rId30"/>
    <sheet name="128" sheetId="127" r:id="rId31"/>
    <sheet name="130" sheetId="66" r:id="rId32"/>
    <sheet name="131" sheetId="128" r:id="rId33"/>
    <sheet name="132" sheetId="129" r:id="rId34"/>
    <sheet name="133" sheetId="130" r:id="rId35"/>
    <sheet name="134" sheetId="174" r:id="rId36"/>
    <sheet name="140" sheetId="67" r:id="rId37"/>
    <sheet name="141" sheetId="131" r:id="rId38"/>
    <sheet name="150" sheetId="161" r:id="rId39"/>
    <sheet name="160" sheetId="170" r:id="rId40"/>
    <sheet name="170" sheetId="169" r:id="rId41"/>
    <sheet name="180" sheetId="202" r:id="rId42"/>
    <sheet name="200" sheetId="68" r:id="rId43"/>
    <sheet name="210" sheetId="69" r:id="rId44"/>
    <sheet name="211" sheetId="70" r:id="rId45"/>
    <sheet name="212" sheetId="71" r:id="rId46"/>
    <sheet name="213" sheetId="72" r:id="rId47"/>
    <sheet name="214" sheetId="205" r:id="rId48"/>
    <sheet name="215" sheetId="74" r:id="rId49"/>
    <sheet name="216" sheetId="75" r:id="rId50"/>
    <sheet name="217" sheetId="166" r:id="rId51"/>
    <sheet name="218" sheetId="180" r:id="rId52"/>
    <sheet name="219" sheetId="206" r:id="rId53"/>
    <sheet name="220" sheetId="76" r:id="rId54"/>
    <sheet name="221" sheetId="152" r:id="rId55"/>
    <sheet name="222" sheetId="153" r:id="rId56"/>
    <sheet name="223" sheetId="154" r:id="rId57"/>
    <sheet name="230" sheetId="77" r:id="rId58"/>
    <sheet name="231" sheetId="155" r:id="rId59"/>
    <sheet name="240" sheetId="78" r:id="rId60"/>
    <sheet name="241" sheetId="134" r:id="rId61"/>
    <sheet name="242" sheetId="135" r:id="rId62"/>
    <sheet name="243" sheetId="136" r:id="rId63"/>
    <sheet name="244" sheetId="137" r:id="rId64"/>
    <sheet name="245" sheetId="139" r:id="rId65"/>
    <sheet name="250" sheetId="79" r:id="rId66"/>
    <sheet name="251" sheetId="156" r:id="rId67"/>
    <sheet name="252" sheetId="158" r:id="rId68"/>
    <sheet name="253" sheetId="157" r:id="rId69"/>
    <sheet name="260" sheetId="132" r:id="rId70"/>
    <sheet name="270" sheetId="133" r:id="rId71"/>
    <sheet name="280" sheetId="184" r:id="rId72"/>
    <sheet name="290" sheetId="183" r:id="rId73"/>
    <sheet name="300" sheetId="80" r:id="rId74"/>
    <sheet name="310" sheetId="81" r:id="rId75"/>
    <sheet name="311" sheetId="160" r:id="rId76"/>
    <sheet name="320" sheetId="82" r:id="rId77"/>
    <sheet name="330" sheetId="144" r:id="rId78"/>
    <sheet name="331" sheetId="150" r:id="rId79"/>
    <sheet name="332" sheetId="151" r:id="rId80"/>
    <sheet name="333" sheetId="172" r:id="rId81"/>
    <sheet name="334" sheetId="173" r:id="rId82"/>
    <sheet name="340" sheetId="145" r:id="rId83"/>
    <sheet name="341" sheetId="146" r:id="rId84"/>
    <sheet name="342" sheetId="147" r:id="rId85"/>
    <sheet name="344" sheetId="149" r:id="rId86"/>
    <sheet name="343" sheetId="148" r:id="rId87"/>
    <sheet name="345" sheetId="175" r:id="rId88"/>
    <sheet name="346" sheetId="176" r:id="rId89"/>
    <sheet name="400" sheetId="83" r:id="rId90"/>
    <sheet name="410" sheetId="84" r:id="rId91"/>
    <sheet name="411" sheetId="85" r:id="rId92"/>
    <sheet name="412" sheetId="86" r:id="rId93"/>
    <sheet name="413" sheetId="87" r:id="rId94"/>
    <sheet name="414" sheetId="88" r:id="rId95"/>
    <sheet name="415" sheetId="89" r:id="rId96"/>
    <sheet name="416" sheetId="200" r:id="rId97"/>
    <sheet name="420" sheetId="90" r:id="rId98"/>
    <sheet name="422" sheetId="92" r:id="rId99"/>
    <sheet name="423" sheetId="93" r:id="rId100"/>
    <sheet name="430" sheetId="94" r:id="rId101"/>
    <sheet name="440" sheetId="95" r:id="rId102"/>
    <sheet name="450" sheetId="96" r:id="rId103"/>
    <sheet name="453" sheetId="97" r:id="rId104"/>
    <sheet name="460" sheetId="98" r:id="rId105"/>
    <sheet name="463" sheetId="121" r:id="rId106"/>
    <sheet name="470" sheetId="99" r:id="rId107"/>
    <sheet name="471" sheetId="100" r:id="rId108"/>
    <sheet name="472" sheetId="101" r:id="rId109"/>
    <sheet name="473" sheetId="102" r:id="rId110"/>
    <sheet name="500" sheetId="103" r:id="rId111"/>
    <sheet name="510" sheetId="104" r:id="rId112"/>
    <sheet name="511" sheetId="105" r:id="rId113"/>
    <sheet name="512" sheetId="106" r:id="rId114"/>
    <sheet name="513" sheetId="107" r:id="rId115"/>
    <sheet name="514" sheetId="181" r:id="rId116"/>
    <sheet name="515" sheetId="182" r:id="rId117"/>
    <sheet name="516" sheetId="199" r:id="rId118"/>
    <sheet name="520" sheetId="109" r:id="rId119"/>
    <sheet name="522" sheetId="110" r:id="rId120"/>
    <sheet name="523" sheetId="111" r:id="rId121"/>
    <sheet name="530" sheetId="112" r:id="rId122"/>
    <sheet name="540" sheetId="196" r:id="rId123"/>
    <sheet name="600" sheetId="114" r:id="rId124"/>
    <sheet name="610" sheetId="115" r:id="rId125"/>
    <sheet name="620" sheetId="116" r:id="rId126"/>
    <sheet name="630" sheetId="140" r:id="rId127"/>
    <sheet name="631" sheetId="186" r:id="rId128"/>
    <sheet name="632" sheetId="177" r:id="rId129"/>
    <sheet name="633" sheetId="178" r:id="rId130"/>
    <sheet name="634" sheetId="179" r:id="rId131"/>
    <sheet name="640" sheetId="141" r:id="rId132"/>
    <sheet name="650" sheetId="142" r:id="rId133"/>
    <sheet name="651" sheetId="187" r:id="rId134"/>
    <sheet name="652" sheetId="188" r:id="rId135"/>
    <sheet name="653" sheetId="189" r:id="rId136"/>
    <sheet name="654" sheetId="190" r:id="rId137"/>
    <sheet name="655" sheetId="191" r:id="rId138"/>
    <sheet name="656" sheetId="198" r:id="rId139"/>
    <sheet name="660" sheetId="143" r:id="rId140"/>
    <sheet name="663" sheetId="195" r:id="rId141"/>
    <sheet name="664" sheetId="194" r:id="rId142"/>
    <sheet name="665" sheetId="193" r:id="rId143"/>
    <sheet name="700" sheetId="117" r:id="rId144"/>
    <sheet name="710" sheetId="162" r:id="rId145"/>
    <sheet name="720" sheetId="163" r:id="rId146"/>
    <sheet name="730" sheetId="164" r:id="rId147"/>
    <sheet name="740" sheetId="165" r:id="rId148"/>
    <sheet name="750" sheetId="167" r:id="rId149"/>
    <sheet name="800" sheetId="118" r:id="rId150"/>
    <sheet name="810" sheetId="119" r:id="rId151"/>
    <sheet name="811" sheetId="159" r:id="rId152"/>
    <sheet name="820" sheetId="120" r:id="rId153"/>
    <sheet name="BLANK" sheetId="56" r:id="rId154"/>
    <sheet name="Assemblies" sheetId="31" r:id="rId155"/>
    <sheet name="Machined" sheetId="29" r:id="rId156"/>
    <sheet name="Purchased" sheetId="28" r:id="rId157"/>
    <sheet name="Critical Spares" sheetId="207" r:id="rId158"/>
    <sheet name="Extrusion" sheetId="30" r:id="rId159"/>
    <sheet name="Bolts" sheetId="27" r:id="rId160"/>
  </sheets>
  <definedNames>
    <definedName name="_xlnm._FilterDatabase" localSheetId="159" hidden="1">Bolts!$A$1:$L$1</definedName>
    <definedName name="_xlnm._FilterDatabase" localSheetId="158" hidden="1">Extrusion!$A$1:$U$1</definedName>
    <definedName name="_xlnm._FilterDatabase" localSheetId="155" hidden="1">Machined!$A$1:$V$378</definedName>
    <definedName name="_xlnm._FilterDatabase" localSheetId="156" hidden="1">Purchased!$A$1:$Q$612</definedName>
    <definedName name="_xlnm.Print_Area" localSheetId="1">'000'!$A$1:$Q$13</definedName>
    <definedName name="_xlnm.Print_Area" localSheetId="2">'001'!$A$1:$Q$110</definedName>
    <definedName name="_xlnm.Print_Area" localSheetId="3">'002'!$A$1:$Q$64</definedName>
    <definedName name="_xlnm.Print_Area" localSheetId="4">'003'!$A$1:$Q$40</definedName>
    <definedName name="_xlnm.Print_Area" localSheetId="5">'004'!$A$1:$Q$42</definedName>
    <definedName name="_xlnm.Print_Area" localSheetId="6">'005'!$A$1:$Q$39</definedName>
    <definedName name="_xlnm.Print_Area" localSheetId="7">'006'!$A$1:$Q$33</definedName>
    <definedName name="_xlnm.Print_Area" localSheetId="8">'007'!$A$1:$Q$34</definedName>
    <definedName name="_xlnm.Print_Area" localSheetId="9">'008'!$A$1:$Q$34</definedName>
    <definedName name="_xlnm.Print_Area" localSheetId="10">'009'!$A$1:$Q$25</definedName>
    <definedName name="_xlnm.Print_Area" localSheetId="12">'110'!$A$1:$Q$33</definedName>
    <definedName name="_xlnm.Print_Area" localSheetId="14">'112'!$A$1:$Q$10</definedName>
    <definedName name="_xlnm.Print_Area" localSheetId="15">'113'!$A$1:$Q$15</definedName>
    <definedName name="_xlnm.Print_Area" localSheetId="16">'114'!$A$1:$Q$15</definedName>
    <definedName name="_xlnm.Print_Area" localSheetId="17">'115'!$A$1:$Q$13</definedName>
    <definedName name="_xlnm.Print_Area" localSheetId="18">'116'!$A$1:$Q$15</definedName>
    <definedName name="_xlnm.Print_Area" localSheetId="19">'117'!$A$1:$Q$10</definedName>
    <definedName name="_xlnm.Print_Area" localSheetId="20">'118'!$A$1:$Q$15</definedName>
    <definedName name="_xlnm.Print_Area" localSheetId="21">'119'!$A$1:$Q$16</definedName>
    <definedName name="_xlnm.Print_Area" localSheetId="22">'120'!$A$1:$Q$51</definedName>
    <definedName name="_xlnm.Print_Area" localSheetId="23">'121'!$A$1:$Q$20</definedName>
    <definedName name="_xlnm.Print_Area" localSheetId="24">'122'!$A$1:$Q$15</definedName>
    <definedName name="_xlnm.Print_Area" localSheetId="25">'123'!$A$1:$Q$17</definedName>
    <definedName name="_xlnm.Print_Area" localSheetId="26">'124'!$A$1:$Q$25</definedName>
    <definedName name="_xlnm.Print_Area" localSheetId="28">'126'!$A$1:$Q$25</definedName>
    <definedName name="_xlnm.Print_Area" localSheetId="29">'127'!$A$1:$Q$25</definedName>
    <definedName name="_xlnm.Print_Area" localSheetId="30">'128'!$A$1:$Q$21</definedName>
    <definedName name="_xlnm.Print_Area" localSheetId="31">'130'!$A$1:$Q$64</definedName>
    <definedName name="_xlnm.Print_Area" localSheetId="33">'132'!$A$1:$Q$10</definedName>
    <definedName name="_xlnm.Print_Area" localSheetId="34">'133'!$A$1:$Q$19</definedName>
    <definedName name="_xlnm.Print_Area" localSheetId="35">'134'!$A$1:$Q$30</definedName>
    <definedName name="_xlnm.Print_Area" localSheetId="36">'140'!$A$1:$Q$51</definedName>
    <definedName name="_xlnm.Print_Area" localSheetId="39">'160'!$A$1:$Q$23</definedName>
    <definedName name="_xlnm.Print_Area" localSheetId="40">'170'!$A$1:$Q$20</definedName>
    <definedName name="_xlnm.Print_Area" localSheetId="41">'180'!$A$1:$Q$34</definedName>
    <definedName name="_xlnm.Print_Area" localSheetId="42">'200'!$A$1:$Q$16</definedName>
    <definedName name="_xlnm.Print_Area" localSheetId="43">'210'!$A$1:$Q$46</definedName>
    <definedName name="_xlnm.Print_Area" localSheetId="44">'211'!$A$1:$Q$13</definedName>
    <definedName name="_xlnm.Print_Area" localSheetId="45">'212'!$A$1:$Q$15</definedName>
    <definedName name="_xlnm.Print_Area" localSheetId="46">'213'!$A$1:$Q$18</definedName>
    <definedName name="_xlnm.Print_Area" localSheetId="47">'214'!$A$1:$Q$16</definedName>
    <definedName name="_xlnm.Print_Area" localSheetId="48">'215'!$A$1:$Q$17</definedName>
    <definedName name="_xlnm.Print_Area" localSheetId="52">'219'!$A$1:$Q$15</definedName>
    <definedName name="_xlnm.Print_Area" localSheetId="56">'223'!$A$1:$Q$15</definedName>
    <definedName name="_xlnm.Print_Area" localSheetId="70">'270'!$A$1:$Q$21</definedName>
    <definedName name="_xlnm.Print_Area" localSheetId="71">'280'!$A$1:$Q$21</definedName>
    <definedName name="_xlnm.Print_Area" localSheetId="73">'300'!$A$1:$Q$11</definedName>
    <definedName name="_xlnm.Print_Area" localSheetId="74">'310'!$A$1:$Q$24</definedName>
    <definedName name="_xlnm.Print_Area" localSheetId="83">'341'!$A$1:$Q$74</definedName>
    <definedName name="_xlnm.Print_Area" localSheetId="84">'342'!$A$1:$Q$78</definedName>
    <definedName name="_xlnm.Print_Area" localSheetId="86">'343'!$A$1:$Q$74</definedName>
    <definedName name="_xlnm.Print_Area" localSheetId="85">'344'!$A$1:$Q$74</definedName>
    <definedName name="_xlnm.Print_Area" localSheetId="101">'440'!$A$1:$Q$16</definedName>
    <definedName name="_xlnm.Print_Area" localSheetId="106">'470'!$A$1:$Q$51</definedName>
    <definedName name="_xlnm.Print_Area" localSheetId="109">'473'!$A$1:$Q$13</definedName>
    <definedName name="_xlnm.Print_Area" localSheetId="126">'630'!$A$1:$Q$21</definedName>
    <definedName name="_xlnm.Print_Area" localSheetId="127">'631'!$A$1:$Q$41</definedName>
    <definedName name="_xlnm.Print_Area" localSheetId="129">'633'!$A$1:$Q$50</definedName>
    <definedName name="_xlnm.Print_Area" localSheetId="131">'640'!$A$1:$Q$74</definedName>
    <definedName name="_xlnm.Print_Area" localSheetId="132">'650'!$A$1:$Q$42</definedName>
    <definedName name="_xlnm.Print_Area" localSheetId="133">'651'!$A$1:$Q$19</definedName>
    <definedName name="_xlnm.Print_Area" localSheetId="138">'656'!$A$1:$Q$24</definedName>
    <definedName name="_xlnm.Print_Area" localSheetId="159">Bolts[[#All],[Bolt]:[Mfg/Matl]]</definedName>
    <definedName name="_xlnm.Print_Area" localSheetId="158">Extrusion!$B$1:$D$30</definedName>
    <definedName name="_xlnm.Print_Area" localSheetId="0">'GF12'!$A$1:$R$31</definedName>
    <definedName name="_xlnm.Print_Titles" localSheetId="1">'000'!$1:$4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5" i="29" l="1"/>
  <c r="E75" i="29"/>
  <c r="N20" i="133"/>
  <c r="M20" i="133"/>
  <c r="L20" i="133"/>
  <c r="K20" i="133"/>
  <c r="J20" i="133"/>
  <c r="H20" i="133"/>
  <c r="G20" i="133"/>
  <c r="F20" i="133"/>
  <c r="D20" i="133"/>
  <c r="U27" i="30"/>
  <c r="O27" i="30" s="1"/>
  <c r="F27" i="30" s="1"/>
  <c r="P20" i="133" s="1"/>
  <c r="Q20" i="133" s="1"/>
  <c r="C170" i="29"/>
  <c r="E170" i="29"/>
  <c r="E76" i="29"/>
  <c r="P11" i="205"/>
  <c r="Q11" i="205" s="1"/>
  <c r="N11" i="205"/>
  <c r="M11" i="205"/>
  <c r="L11" i="205"/>
  <c r="K11" i="205"/>
  <c r="J11" i="205"/>
  <c r="G11" i="205"/>
  <c r="F11" i="205"/>
  <c r="D11" i="205"/>
  <c r="P14" i="206"/>
  <c r="Q14" i="206" s="1"/>
  <c r="N14" i="206"/>
  <c r="M14" i="206"/>
  <c r="L14" i="206"/>
  <c r="K14" i="206"/>
  <c r="J14" i="206"/>
  <c r="H14" i="206"/>
  <c r="G14" i="206"/>
  <c r="F14" i="206"/>
  <c r="P13" i="206"/>
  <c r="Q13" i="206" s="1"/>
  <c r="N13" i="206"/>
  <c r="M13" i="206"/>
  <c r="L13" i="206"/>
  <c r="K13" i="206"/>
  <c r="J13" i="206"/>
  <c r="H13" i="206"/>
  <c r="G13" i="206"/>
  <c r="F13" i="206"/>
  <c r="A13" i="206"/>
  <c r="A14" i="206" s="1"/>
  <c r="P12" i="206"/>
  <c r="Q12" i="206" s="1"/>
  <c r="N12" i="206"/>
  <c r="M12" i="206"/>
  <c r="L12" i="206"/>
  <c r="K12" i="206"/>
  <c r="J12" i="206"/>
  <c r="H12" i="206"/>
  <c r="G12" i="206"/>
  <c r="F12" i="206"/>
  <c r="P10" i="206"/>
  <c r="Q10" i="206" s="1"/>
  <c r="N10" i="206"/>
  <c r="M10" i="206"/>
  <c r="L10" i="206"/>
  <c r="K10" i="206"/>
  <c r="J10" i="206"/>
  <c r="H10" i="206"/>
  <c r="G10" i="206"/>
  <c r="F10" i="206"/>
  <c r="D10" i="206"/>
  <c r="P9" i="206"/>
  <c r="Q9" i="206" s="1"/>
  <c r="N9" i="206"/>
  <c r="M9" i="206"/>
  <c r="L9" i="206"/>
  <c r="K9" i="206"/>
  <c r="J9" i="206"/>
  <c r="H9" i="206"/>
  <c r="G9" i="206"/>
  <c r="F9" i="206"/>
  <c r="D9" i="206"/>
  <c r="P8" i="206"/>
  <c r="Q8" i="206" s="1"/>
  <c r="N8" i="206"/>
  <c r="M8" i="206"/>
  <c r="L8" i="206"/>
  <c r="K8" i="206"/>
  <c r="J8" i="206"/>
  <c r="H8" i="206"/>
  <c r="G8" i="206"/>
  <c r="F8" i="206"/>
  <c r="D8" i="206"/>
  <c r="A8" i="206"/>
  <c r="A9" i="206" s="1"/>
  <c r="A10" i="206" s="1"/>
  <c r="P7" i="206"/>
  <c r="Q7" i="206" s="1"/>
  <c r="N7" i="206"/>
  <c r="M7" i="206"/>
  <c r="L7" i="206"/>
  <c r="K7" i="206"/>
  <c r="J7" i="206"/>
  <c r="H7" i="206"/>
  <c r="G7" i="206"/>
  <c r="F7" i="206"/>
  <c r="D7" i="206"/>
  <c r="P15" i="205"/>
  <c r="Q15" i="205" s="1"/>
  <c r="N15" i="205"/>
  <c r="M15" i="205"/>
  <c r="L15" i="205"/>
  <c r="K15" i="205"/>
  <c r="J15" i="205"/>
  <c r="H15" i="205"/>
  <c r="G15" i="205"/>
  <c r="F15" i="205"/>
  <c r="A15" i="205"/>
  <c r="P14" i="205"/>
  <c r="Q14" i="205" s="1"/>
  <c r="N14" i="205"/>
  <c r="M14" i="205"/>
  <c r="L14" i="205"/>
  <c r="K14" i="205"/>
  <c r="J14" i="205"/>
  <c r="H14" i="205"/>
  <c r="G14" i="205"/>
  <c r="F14" i="205"/>
  <c r="P12" i="205"/>
  <c r="Q12" i="205" s="1"/>
  <c r="N12" i="205"/>
  <c r="M12" i="205"/>
  <c r="L12" i="205"/>
  <c r="K12" i="205"/>
  <c r="J12" i="205"/>
  <c r="H12" i="205"/>
  <c r="G12" i="205"/>
  <c r="F12" i="205"/>
  <c r="D12" i="205"/>
  <c r="P10" i="205"/>
  <c r="Q10" i="205" s="1"/>
  <c r="N10" i="205"/>
  <c r="M10" i="205"/>
  <c r="L10" i="205"/>
  <c r="K10" i="205"/>
  <c r="J10" i="205"/>
  <c r="H10" i="205"/>
  <c r="G10" i="205"/>
  <c r="F10" i="205"/>
  <c r="D10" i="205"/>
  <c r="P9" i="205"/>
  <c r="Q9" i="205" s="1"/>
  <c r="N9" i="205"/>
  <c r="M9" i="205"/>
  <c r="L9" i="205"/>
  <c r="K9" i="205"/>
  <c r="J9" i="205"/>
  <c r="H9" i="205"/>
  <c r="G9" i="205"/>
  <c r="F9" i="205"/>
  <c r="D9" i="205"/>
  <c r="P8" i="205"/>
  <c r="Q8" i="205" s="1"/>
  <c r="N8" i="205"/>
  <c r="M8" i="205"/>
  <c r="L8" i="205"/>
  <c r="K8" i="205"/>
  <c r="J8" i="205"/>
  <c r="H8" i="205"/>
  <c r="G8" i="205"/>
  <c r="F8" i="205"/>
  <c r="D8" i="205"/>
  <c r="A8" i="205"/>
  <c r="A9" i="205" s="1"/>
  <c r="A10" i="205" s="1"/>
  <c r="A11" i="205" s="1"/>
  <c r="A12" i="205" s="1"/>
  <c r="P7" i="205"/>
  <c r="Q7" i="205" s="1"/>
  <c r="N7" i="205"/>
  <c r="M7" i="205"/>
  <c r="L7" i="205"/>
  <c r="K7" i="205"/>
  <c r="J7" i="205"/>
  <c r="H7" i="205"/>
  <c r="G7" i="205"/>
  <c r="F7" i="205"/>
  <c r="D7" i="205"/>
  <c r="P10" i="204"/>
  <c r="Q10" i="204" s="1"/>
  <c r="N10" i="204"/>
  <c r="M10" i="204"/>
  <c r="L10" i="204"/>
  <c r="K10" i="204"/>
  <c r="J10" i="204"/>
  <c r="H10" i="204"/>
  <c r="G10" i="204"/>
  <c r="F10" i="204"/>
  <c r="D10" i="204"/>
  <c r="P15" i="204"/>
  <c r="Q15" i="204" s="1"/>
  <c r="N15" i="204"/>
  <c r="M15" i="204"/>
  <c r="L15" i="204"/>
  <c r="K15" i="204"/>
  <c r="J15" i="204"/>
  <c r="H15" i="204"/>
  <c r="G15" i="204"/>
  <c r="F15" i="204"/>
  <c r="P14" i="204"/>
  <c r="Q14" i="204" s="1"/>
  <c r="N14" i="204"/>
  <c r="M14" i="204"/>
  <c r="L14" i="204"/>
  <c r="K14" i="204"/>
  <c r="J14" i="204"/>
  <c r="H14" i="204"/>
  <c r="G14" i="204"/>
  <c r="F14" i="204"/>
  <c r="A14" i="204"/>
  <c r="A15" i="204" s="1"/>
  <c r="P13" i="204"/>
  <c r="Q13" i="204" s="1"/>
  <c r="N13" i="204"/>
  <c r="M13" i="204"/>
  <c r="L13" i="204"/>
  <c r="K13" i="204"/>
  <c r="J13" i="204"/>
  <c r="H13" i="204"/>
  <c r="G13" i="204"/>
  <c r="F13" i="204"/>
  <c r="P11" i="204"/>
  <c r="Q11" i="204" s="1"/>
  <c r="N11" i="204"/>
  <c r="M11" i="204"/>
  <c r="L11" i="204"/>
  <c r="K11" i="204"/>
  <c r="J11" i="204"/>
  <c r="H11" i="204"/>
  <c r="G11" i="204"/>
  <c r="F11" i="204"/>
  <c r="D11" i="204"/>
  <c r="P9" i="204"/>
  <c r="Q9" i="204" s="1"/>
  <c r="N9" i="204"/>
  <c r="M9" i="204"/>
  <c r="L9" i="204"/>
  <c r="K9" i="204"/>
  <c r="J9" i="204"/>
  <c r="H9" i="204"/>
  <c r="G9" i="204"/>
  <c r="F9" i="204"/>
  <c r="D9" i="204"/>
  <c r="P8" i="204"/>
  <c r="Q8" i="204" s="1"/>
  <c r="N8" i="204"/>
  <c r="M8" i="204"/>
  <c r="L8" i="204"/>
  <c r="K8" i="204"/>
  <c r="J8" i="204"/>
  <c r="H8" i="204"/>
  <c r="G8" i="204"/>
  <c r="F8" i="204"/>
  <c r="D8" i="204"/>
  <c r="A8" i="204"/>
  <c r="A9" i="204" s="1"/>
  <c r="A10" i="204" s="1"/>
  <c r="A11" i="204" s="1"/>
  <c r="P7" i="204"/>
  <c r="Q7" i="204" s="1"/>
  <c r="N7" i="204"/>
  <c r="M7" i="204"/>
  <c r="L7" i="204"/>
  <c r="K7" i="204"/>
  <c r="J7" i="204"/>
  <c r="H7" i="204"/>
  <c r="G7" i="204"/>
  <c r="F7" i="204"/>
  <c r="D7" i="204"/>
  <c r="P14" i="203"/>
  <c r="Q14" i="203" s="1"/>
  <c r="N14" i="203"/>
  <c r="M14" i="203"/>
  <c r="L14" i="203"/>
  <c r="K14" i="203"/>
  <c r="J14" i="203"/>
  <c r="H14" i="203"/>
  <c r="G14" i="203"/>
  <c r="F14" i="203"/>
  <c r="P13" i="203"/>
  <c r="Q13" i="203" s="1"/>
  <c r="N13" i="203"/>
  <c r="M13" i="203"/>
  <c r="L13" i="203"/>
  <c r="K13" i="203"/>
  <c r="J13" i="203"/>
  <c r="H13" i="203"/>
  <c r="G13" i="203"/>
  <c r="F13" i="203"/>
  <c r="P10" i="203"/>
  <c r="Q10" i="203" s="1"/>
  <c r="N10" i="203"/>
  <c r="M10" i="203"/>
  <c r="L10" i="203"/>
  <c r="K10" i="203"/>
  <c r="J10" i="203"/>
  <c r="H10" i="203"/>
  <c r="G10" i="203"/>
  <c r="F10" i="203"/>
  <c r="D10" i="203"/>
  <c r="P9" i="203"/>
  <c r="Q9" i="203" s="1"/>
  <c r="N9" i="203"/>
  <c r="M9" i="203"/>
  <c r="L9" i="203"/>
  <c r="K9" i="203"/>
  <c r="J9" i="203"/>
  <c r="H9" i="203"/>
  <c r="G9" i="203"/>
  <c r="F9" i="203"/>
  <c r="D9" i="203"/>
  <c r="P8" i="203"/>
  <c r="Q8" i="203" s="1"/>
  <c r="N8" i="203"/>
  <c r="M8" i="203"/>
  <c r="L8" i="203"/>
  <c r="K8" i="203"/>
  <c r="J8" i="203"/>
  <c r="H8" i="203"/>
  <c r="G8" i="203"/>
  <c r="F8" i="203"/>
  <c r="D8" i="203"/>
  <c r="A13" i="203"/>
  <c r="A14" i="203" s="1"/>
  <c r="A8" i="203"/>
  <c r="A9" i="203" s="1"/>
  <c r="A10" i="203" s="1"/>
  <c r="C15" i="29"/>
  <c r="E15" i="29"/>
  <c r="C94" i="29"/>
  <c r="E94" i="29"/>
  <c r="C109" i="29"/>
  <c r="E109" i="29"/>
  <c r="P16" i="55"/>
  <c r="Q16" i="55" s="1"/>
  <c r="P15" i="55"/>
  <c r="Q15" i="55" s="1"/>
  <c r="P14" i="55"/>
  <c r="Q14" i="55" s="1"/>
  <c r="P13" i="55"/>
  <c r="Q13" i="55" s="1"/>
  <c r="P17" i="69"/>
  <c r="Q17" i="69" s="1"/>
  <c r="P11" i="69"/>
  <c r="Q11" i="69" s="1"/>
  <c r="I3" i="206"/>
  <c r="G3" i="206"/>
  <c r="E3" i="206"/>
  <c r="C3" i="206" s="1"/>
  <c r="I2" i="206"/>
  <c r="G2" i="206"/>
  <c r="I3" i="205"/>
  <c r="G3" i="205"/>
  <c r="E3" i="205"/>
  <c r="C3" i="205" s="1"/>
  <c r="I2" i="205"/>
  <c r="G2" i="205"/>
  <c r="I3" i="204"/>
  <c r="G3" i="204"/>
  <c r="E3" i="204"/>
  <c r="C3" i="204" s="1"/>
  <c r="I2" i="204"/>
  <c r="G2" i="204"/>
  <c r="P12" i="203"/>
  <c r="Q12" i="203" s="1"/>
  <c r="N12" i="203"/>
  <c r="M12" i="203"/>
  <c r="L12" i="203"/>
  <c r="K12" i="203"/>
  <c r="J12" i="203"/>
  <c r="H12" i="203"/>
  <c r="G12" i="203"/>
  <c r="F12" i="203"/>
  <c r="P7" i="203"/>
  <c r="Q7" i="203" s="1"/>
  <c r="N7" i="203"/>
  <c r="M7" i="203"/>
  <c r="L7" i="203"/>
  <c r="K7" i="203"/>
  <c r="J7" i="203"/>
  <c r="H7" i="203"/>
  <c r="G7" i="203"/>
  <c r="F7" i="203"/>
  <c r="D7" i="203"/>
  <c r="I3" i="203"/>
  <c r="G3" i="203"/>
  <c r="E3" i="203"/>
  <c r="C3" i="203" s="1"/>
  <c r="I2" i="203"/>
  <c r="G2" i="203"/>
  <c r="P30" i="69"/>
  <c r="Q30" i="69" s="1"/>
  <c r="N30" i="69"/>
  <c r="M30" i="69"/>
  <c r="L30" i="69"/>
  <c r="K30" i="69"/>
  <c r="J30" i="69"/>
  <c r="H30" i="69"/>
  <c r="G30" i="69"/>
  <c r="F30" i="69"/>
  <c r="D30" i="69"/>
  <c r="P29" i="69"/>
  <c r="Q29" i="69" s="1"/>
  <c r="N29" i="69"/>
  <c r="M29" i="69"/>
  <c r="L29" i="69"/>
  <c r="K29" i="69"/>
  <c r="J29" i="69"/>
  <c r="H29" i="69"/>
  <c r="G29" i="69"/>
  <c r="F29" i="69"/>
  <c r="D29" i="69"/>
  <c r="N43" i="69"/>
  <c r="M43" i="69"/>
  <c r="L43" i="69"/>
  <c r="K43" i="69"/>
  <c r="J43" i="69"/>
  <c r="H43" i="69"/>
  <c r="G43" i="69"/>
  <c r="F43" i="69"/>
  <c r="D43" i="69"/>
  <c r="P50" i="63"/>
  <c r="Q50" i="63" s="1"/>
  <c r="N50" i="63"/>
  <c r="M50" i="63"/>
  <c r="L50" i="63"/>
  <c r="K50" i="63"/>
  <c r="J50" i="63"/>
  <c r="H50" i="63"/>
  <c r="G50" i="63"/>
  <c r="F50" i="63"/>
  <c r="D50" i="63"/>
  <c r="N32" i="55"/>
  <c r="M32" i="55"/>
  <c r="L32" i="55"/>
  <c r="K32" i="55"/>
  <c r="J32" i="55"/>
  <c r="H32" i="55"/>
  <c r="G32" i="55"/>
  <c r="F32" i="55"/>
  <c r="D32" i="55"/>
  <c r="U66" i="30"/>
  <c r="O66" i="30" s="1"/>
  <c r="F66" i="30" s="1"/>
  <c r="P43" i="69" s="1"/>
  <c r="Q43" i="69" s="1"/>
  <c r="P23" i="55"/>
  <c r="Q23" i="55" s="1"/>
  <c r="N23" i="55"/>
  <c r="M23" i="55"/>
  <c r="L23" i="55"/>
  <c r="K23" i="55"/>
  <c r="J23" i="55"/>
  <c r="H23" i="55"/>
  <c r="G23" i="55"/>
  <c r="F23" i="55"/>
  <c r="D23" i="55"/>
  <c r="P28" i="69"/>
  <c r="Q28" i="69" s="1"/>
  <c r="N28" i="69"/>
  <c r="M28" i="69"/>
  <c r="L28" i="69"/>
  <c r="K28" i="69"/>
  <c r="J28" i="69"/>
  <c r="H28" i="69"/>
  <c r="G28" i="69"/>
  <c r="F28" i="69"/>
  <c r="D28" i="69"/>
  <c r="P31" i="63"/>
  <c r="Q31" i="63" s="1"/>
  <c r="N31" i="63"/>
  <c r="M31" i="63"/>
  <c r="L31" i="63"/>
  <c r="K31" i="63"/>
  <c r="J31" i="63"/>
  <c r="H31" i="63"/>
  <c r="G31" i="63"/>
  <c r="F31" i="63"/>
  <c r="D31" i="63"/>
  <c r="P30" i="63"/>
  <c r="Q30" i="63" s="1"/>
  <c r="N30" i="63"/>
  <c r="M30" i="63"/>
  <c r="L30" i="63"/>
  <c r="K30" i="63"/>
  <c r="J30" i="63"/>
  <c r="H30" i="63"/>
  <c r="G30" i="63"/>
  <c r="F30" i="63"/>
  <c r="D30" i="63"/>
  <c r="P17" i="169"/>
  <c r="Q17" i="169" s="1"/>
  <c r="N17" i="169"/>
  <c r="M17" i="169"/>
  <c r="L17" i="169"/>
  <c r="K17" i="169"/>
  <c r="J17" i="169"/>
  <c r="H17" i="169"/>
  <c r="G17" i="169"/>
  <c r="F17" i="169"/>
  <c r="D17" i="169"/>
  <c r="U22" i="30"/>
  <c r="O22" i="30" s="1"/>
  <c r="F22" i="30" s="1"/>
  <c r="P56" i="141"/>
  <c r="Q56" i="141" s="1"/>
  <c r="N56" i="141"/>
  <c r="M56" i="141"/>
  <c r="L56" i="141"/>
  <c r="K56" i="141"/>
  <c r="J56" i="141"/>
  <c r="H56" i="141"/>
  <c r="G56" i="141"/>
  <c r="F56" i="141"/>
  <c r="D56" i="141"/>
  <c r="P40" i="99"/>
  <c r="Q40" i="99" s="1"/>
  <c r="N40" i="99"/>
  <c r="M40" i="99"/>
  <c r="L40" i="99"/>
  <c r="K40" i="99"/>
  <c r="J40" i="99"/>
  <c r="H40" i="99"/>
  <c r="G40" i="99"/>
  <c r="F40" i="99"/>
  <c r="D40" i="99"/>
  <c r="P54" i="146"/>
  <c r="Q54" i="146" s="1"/>
  <c r="N54" i="146"/>
  <c r="M54" i="146"/>
  <c r="L54" i="146"/>
  <c r="K54" i="146"/>
  <c r="J54" i="146"/>
  <c r="H54" i="146"/>
  <c r="G54" i="146"/>
  <c r="F54" i="146"/>
  <c r="D54" i="146"/>
  <c r="P20" i="134"/>
  <c r="Q20" i="134" s="1"/>
  <c r="N20" i="134"/>
  <c r="M20" i="134"/>
  <c r="L20" i="134"/>
  <c r="K20" i="134"/>
  <c r="J20" i="134"/>
  <c r="H20" i="134"/>
  <c r="G20" i="134"/>
  <c r="F20" i="134"/>
  <c r="D20" i="134"/>
  <c r="P11" i="170"/>
  <c r="Q11" i="170" s="1"/>
  <c r="N11" i="170"/>
  <c r="M11" i="170"/>
  <c r="L11" i="170"/>
  <c r="K11" i="170"/>
  <c r="J11" i="170"/>
  <c r="H11" i="170"/>
  <c r="G11" i="170"/>
  <c r="F11" i="170"/>
  <c r="D11" i="170"/>
  <c r="P22" i="170"/>
  <c r="Q22" i="170" s="1"/>
  <c r="N22" i="170"/>
  <c r="M22" i="170"/>
  <c r="L22" i="170"/>
  <c r="K22" i="170"/>
  <c r="J22" i="170"/>
  <c r="H22" i="170"/>
  <c r="G22" i="170"/>
  <c r="F22" i="170"/>
  <c r="P21" i="170"/>
  <c r="Q21" i="170" s="1"/>
  <c r="N21" i="170"/>
  <c r="M21" i="170"/>
  <c r="L21" i="170"/>
  <c r="K21" i="170"/>
  <c r="J21" i="170"/>
  <c r="H21" i="170"/>
  <c r="G21" i="170"/>
  <c r="F21" i="170"/>
  <c r="P25" i="167"/>
  <c r="Q25" i="167" s="1"/>
  <c r="N25" i="167"/>
  <c r="M25" i="167"/>
  <c r="L25" i="167"/>
  <c r="K25" i="167"/>
  <c r="J25" i="167"/>
  <c r="H25" i="167"/>
  <c r="G25" i="167"/>
  <c r="F25" i="167"/>
  <c r="D25" i="167"/>
  <c r="P9" i="49"/>
  <c r="Q9" i="49" s="1"/>
  <c r="N9" i="49"/>
  <c r="M9" i="49"/>
  <c r="L9" i="49"/>
  <c r="K9" i="49"/>
  <c r="J9" i="49"/>
  <c r="H9" i="49"/>
  <c r="G9" i="49"/>
  <c r="F9" i="49"/>
  <c r="D9" i="49"/>
  <c r="P18" i="202"/>
  <c r="Q18" i="202" s="1"/>
  <c r="N18" i="202"/>
  <c r="M18" i="202"/>
  <c r="L18" i="202"/>
  <c r="K18" i="202"/>
  <c r="J18" i="202"/>
  <c r="H18" i="202"/>
  <c r="G18" i="202"/>
  <c r="F18" i="202"/>
  <c r="D18" i="202"/>
  <c r="P17" i="202"/>
  <c r="Q17" i="202" s="1"/>
  <c r="N17" i="202"/>
  <c r="M17" i="202"/>
  <c r="L17" i="202"/>
  <c r="K17" i="202"/>
  <c r="J17" i="202"/>
  <c r="H17" i="202"/>
  <c r="G17" i="202"/>
  <c r="F17" i="202"/>
  <c r="D17" i="202"/>
  <c r="P39" i="99"/>
  <c r="Q39" i="99" s="1"/>
  <c r="N39" i="99"/>
  <c r="M39" i="99"/>
  <c r="L39" i="99"/>
  <c r="K39" i="99"/>
  <c r="J39" i="99"/>
  <c r="H39" i="99"/>
  <c r="G39" i="99"/>
  <c r="F39" i="99"/>
  <c r="D39" i="99"/>
  <c r="P35" i="99"/>
  <c r="Q35" i="99" s="1"/>
  <c r="N35" i="99"/>
  <c r="M35" i="99"/>
  <c r="L35" i="99"/>
  <c r="K35" i="99"/>
  <c r="J35" i="99"/>
  <c r="H35" i="99"/>
  <c r="G35" i="99"/>
  <c r="F35" i="99"/>
  <c r="D35" i="99"/>
  <c r="P55" i="141"/>
  <c r="Q55" i="141" s="1"/>
  <c r="N55" i="141"/>
  <c r="M55" i="141"/>
  <c r="L55" i="141"/>
  <c r="K55" i="141"/>
  <c r="J55" i="141"/>
  <c r="H55" i="141"/>
  <c r="G55" i="141"/>
  <c r="F55" i="141"/>
  <c r="D55" i="141"/>
  <c r="P54" i="141"/>
  <c r="Q54" i="141" s="1"/>
  <c r="N54" i="141"/>
  <c r="M54" i="141"/>
  <c r="L54" i="141"/>
  <c r="K54" i="141"/>
  <c r="J54" i="141"/>
  <c r="H54" i="141"/>
  <c r="G54" i="141"/>
  <c r="F54" i="141"/>
  <c r="D54" i="141"/>
  <c r="P28" i="176"/>
  <c r="Q28" i="176" s="1"/>
  <c r="N28" i="176"/>
  <c r="M28" i="176"/>
  <c r="L28" i="176"/>
  <c r="K28" i="176"/>
  <c r="J28" i="176"/>
  <c r="H28" i="176"/>
  <c r="G28" i="176"/>
  <c r="F28" i="176"/>
  <c r="D28" i="176"/>
  <c r="P27" i="176"/>
  <c r="Q27" i="176" s="1"/>
  <c r="N27" i="176"/>
  <c r="M27" i="176"/>
  <c r="L27" i="176"/>
  <c r="K27" i="176"/>
  <c r="J27" i="176"/>
  <c r="H27" i="176"/>
  <c r="G27" i="176"/>
  <c r="F27" i="176"/>
  <c r="D27" i="176"/>
  <c r="P53" i="146"/>
  <c r="Q53" i="146" s="1"/>
  <c r="N53" i="146"/>
  <c r="M53" i="146"/>
  <c r="L53" i="146"/>
  <c r="K53" i="146"/>
  <c r="J53" i="146"/>
  <c r="H53" i="146"/>
  <c r="G53" i="146"/>
  <c r="F53" i="146"/>
  <c r="D53" i="146"/>
  <c r="P41" i="146"/>
  <c r="Q41" i="146" s="1"/>
  <c r="N41" i="146"/>
  <c r="M41" i="146"/>
  <c r="L41" i="146"/>
  <c r="K41" i="146"/>
  <c r="J41" i="146"/>
  <c r="H41" i="146"/>
  <c r="G41" i="146"/>
  <c r="F41" i="146"/>
  <c r="D41" i="146"/>
  <c r="C272" i="29"/>
  <c r="E272" i="29"/>
  <c r="C273" i="29"/>
  <c r="E273" i="29"/>
  <c r="P39" i="49"/>
  <c r="Q39" i="49" s="1"/>
  <c r="N39" i="49"/>
  <c r="M39" i="49"/>
  <c r="L39" i="49"/>
  <c r="K39" i="49"/>
  <c r="J39" i="49"/>
  <c r="H39" i="49"/>
  <c r="G39" i="49"/>
  <c r="F39" i="49"/>
  <c r="D39" i="49"/>
  <c r="P38" i="49"/>
  <c r="Q38" i="49" s="1"/>
  <c r="N38" i="49"/>
  <c r="M38" i="49"/>
  <c r="L38" i="49"/>
  <c r="K38" i="49"/>
  <c r="J38" i="49"/>
  <c r="H38" i="49"/>
  <c r="G38" i="49"/>
  <c r="F38" i="49"/>
  <c r="D38" i="49"/>
  <c r="N33" i="202"/>
  <c r="M33" i="202"/>
  <c r="L33" i="202"/>
  <c r="K33" i="202"/>
  <c r="J33" i="202"/>
  <c r="H33" i="202"/>
  <c r="G33" i="202"/>
  <c r="F33" i="202"/>
  <c r="D33" i="202"/>
  <c r="N32" i="202"/>
  <c r="M32" i="202"/>
  <c r="L32" i="202"/>
  <c r="K32" i="202"/>
  <c r="J32" i="202"/>
  <c r="H32" i="202"/>
  <c r="G32" i="202"/>
  <c r="F32" i="202"/>
  <c r="D32" i="202"/>
  <c r="N31" i="202"/>
  <c r="M31" i="202"/>
  <c r="L31" i="202"/>
  <c r="K31" i="202"/>
  <c r="J31" i="202"/>
  <c r="H31" i="202"/>
  <c r="G31" i="202"/>
  <c r="F31" i="202"/>
  <c r="D31" i="202"/>
  <c r="N30" i="202"/>
  <c r="M30" i="202"/>
  <c r="L30" i="202"/>
  <c r="K30" i="202"/>
  <c r="J30" i="202"/>
  <c r="H30" i="202"/>
  <c r="G30" i="202"/>
  <c r="F30" i="202"/>
  <c r="D30" i="202"/>
  <c r="N29" i="202"/>
  <c r="M29" i="202"/>
  <c r="L29" i="202"/>
  <c r="K29" i="202"/>
  <c r="J29" i="202"/>
  <c r="H29" i="202"/>
  <c r="G29" i="202"/>
  <c r="F29" i="202"/>
  <c r="D29" i="202"/>
  <c r="A29" i="202"/>
  <c r="A30" i="202" s="1"/>
  <c r="A31" i="202" s="1"/>
  <c r="A32" i="202" s="1"/>
  <c r="A33" i="202" s="1"/>
  <c r="P20" i="202"/>
  <c r="Q20" i="202" s="1"/>
  <c r="N20" i="202"/>
  <c r="M20" i="202"/>
  <c r="L20" i="202"/>
  <c r="K20" i="202"/>
  <c r="J20" i="202"/>
  <c r="H20" i="202"/>
  <c r="G20" i="202"/>
  <c r="F20" i="202"/>
  <c r="D20" i="202"/>
  <c r="P19" i="202"/>
  <c r="Q19" i="202" s="1"/>
  <c r="N19" i="202"/>
  <c r="M19" i="202"/>
  <c r="L19" i="202"/>
  <c r="K19" i="202"/>
  <c r="J19" i="202"/>
  <c r="H19" i="202"/>
  <c r="G19" i="202"/>
  <c r="F19" i="202"/>
  <c r="D19" i="202"/>
  <c r="N28" i="202"/>
  <c r="M28" i="202"/>
  <c r="L28" i="202"/>
  <c r="K28" i="202"/>
  <c r="J28" i="202"/>
  <c r="H28" i="202"/>
  <c r="G28" i="202"/>
  <c r="F28" i="202"/>
  <c r="D28" i="202"/>
  <c r="P26" i="202"/>
  <c r="Q26" i="202" s="1"/>
  <c r="N26" i="202"/>
  <c r="M26" i="202"/>
  <c r="L26" i="202"/>
  <c r="K26" i="202"/>
  <c r="J26" i="202"/>
  <c r="H26" i="202"/>
  <c r="G26" i="202"/>
  <c r="F26" i="202"/>
  <c r="P25" i="202"/>
  <c r="Q25" i="202" s="1"/>
  <c r="N25" i="202"/>
  <c r="M25" i="202"/>
  <c r="L25" i="202"/>
  <c r="K25" i="202"/>
  <c r="J25" i="202"/>
  <c r="H25" i="202"/>
  <c r="G25" i="202"/>
  <c r="F25" i="202"/>
  <c r="P24" i="202"/>
  <c r="Q24" i="202" s="1"/>
  <c r="N24" i="202"/>
  <c r="M24" i="202"/>
  <c r="L24" i="202"/>
  <c r="K24" i="202"/>
  <c r="J24" i="202"/>
  <c r="H24" i="202"/>
  <c r="G24" i="202"/>
  <c r="F24" i="202"/>
  <c r="P23" i="202"/>
  <c r="Q23" i="202" s="1"/>
  <c r="N23" i="202"/>
  <c r="M23" i="202"/>
  <c r="L23" i="202"/>
  <c r="K23" i="202"/>
  <c r="J23" i="202"/>
  <c r="H23" i="202"/>
  <c r="G23" i="202"/>
  <c r="F23" i="202"/>
  <c r="A23" i="202"/>
  <c r="A24" i="202" s="1"/>
  <c r="A25" i="202" s="1"/>
  <c r="A26" i="202" s="1"/>
  <c r="P22" i="202"/>
  <c r="Q22" i="202" s="1"/>
  <c r="N22" i="202"/>
  <c r="M22" i="202"/>
  <c r="L22" i="202"/>
  <c r="K22" i="202"/>
  <c r="J22" i="202"/>
  <c r="H22" i="202"/>
  <c r="G22" i="202"/>
  <c r="F22" i="202"/>
  <c r="P16" i="202"/>
  <c r="Q16" i="202" s="1"/>
  <c r="N16" i="202"/>
  <c r="M16" i="202"/>
  <c r="L16" i="202"/>
  <c r="K16" i="202"/>
  <c r="J16" i="202"/>
  <c r="H16" i="202"/>
  <c r="G16" i="202"/>
  <c r="F16" i="202"/>
  <c r="D16" i="202"/>
  <c r="P15" i="202"/>
  <c r="Q15" i="202" s="1"/>
  <c r="N15" i="202"/>
  <c r="M15" i="202"/>
  <c r="L15" i="202"/>
  <c r="K15" i="202"/>
  <c r="J15" i="202"/>
  <c r="H15" i="202"/>
  <c r="G15" i="202"/>
  <c r="F15" i="202"/>
  <c r="D15" i="202"/>
  <c r="P14" i="202"/>
  <c r="Q14" i="202" s="1"/>
  <c r="N14" i="202"/>
  <c r="M14" i="202"/>
  <c r="L14" i="202"/>
  <c r="K14" i="202"/>
  <c r="J14" i="202"/>
  <c r="H14" i="202"/>
  <c r="G14" i="202"/>
  <c r="F14" i="202"/>
  <c r="D14" i="202"/>
  <c r="A14" i="202"/>
  <c r="A15" i="202" s="1"/>
  <c r="A16" i="202" s="1"/>
  <c r="A17" i="202" s="1"/>
  <c r="A18" i="202" s="1"/>
  <c r="A19" i="202" s="1"/>
  <c r="A20" i="202" s="1"/>
  <c r="P13" i="202"/>
  <c r="Q13" i="202" s="1"/>
  <c r="N13" i="202"/>
  <c r="M13" i="202"/>
  <c r="L13" i="202"/>
  <c r="K13" i="202"/>
  <c r="J13" i="202"/>
  <c r="H13" i="202"/>
  <c r="G13" i="202"/>
  <c r="F13" i="202"/>
  <c r="D13" i="202"/>
  <c r="A7" i="202"/>
  <c r="A8" i="202" s="1"/>
  <c r="A9" i="202" s="1"/>
  <c r="A10" i="202" s="1"/>
  <c r="A11" i="202" s="1"/>
  <c r="I3" i="202"/>
  <c r="G3" i="202"/>
  <c r="E3" i="202"/>
  <c r="C3" i="202" s="1"/>
  <c r="I2" i="202"/>
  <c r="G2" i="202"/>
  <c r="U31" i="30"/>
  <c r="O31" i="30" s="1"/>
  <c r="F31" i="30" s="1"/>
  <c r="P33" i="202" s="1"/>
  <c r="Q33" i="202" s="1"/>
  <c r="C258" i="29"/>
  <c r="E258" i="29"/>
  <c r="D37" i="49"/>
  <c r="F37" i="49"/>
  <c r="G37" i="49"/>
  <c r="H37" i="49"/>
  <c r="J37" i="49"/>
  <c r="K37" i="49"/>
  <c r="L37" i="49"/>
  <c r="M37" i="49"/>
  <c r="N37" i="49"/>
  <c r="P37" i="49"/>
  <c r="Q37" i="49" s="1"/>
  <c r="D15" i="180"/>
  <c r="F15" i="180"/>
  <c r="G15" i="180"/>
  <c r="H15" i="180"/>
  <c r="J15" i="180"/>
  <c r="K15" i="180"/>
  <c r="L15" i="180"/>
  <c r="M15" i="180"/>
  <c r="N15" i="180"/>
  <c r="P15" i="180"/>
  <c r="Q15" i="180" s="1"/>
  <c r="R541" i="28" a="1"/>
  <c r="P32" i="55" l="1"/>
  <c r="Q32" i="55" s="1"/>
  <c r="R541" i="28"/>
  <c r="P29" i="136"/>
  <c r="Q29" i="136" s="1"/>
  <c r="N29" i="136"/>
  <c r="M29" i="136"/>
  <c r="L29" i="136"/>
  <c r="K29" i="136"/>
  <c r="J29" i="136"/>
  <c r="H29" i="136"/>
  <c r="G29" i="136"/>
  <c r="F29" i="136"/>
  <c r="D29" i="136"/>
  <c r="P28" i="136"/>
  <c r="Q28" i="136" s="1"/>
  <c r="N28" i="136"/>
  <c r="M28" i="136"/>
  <c r="L28" i="136"/>
  <c r="K28" i="136"/>
  <c r="J28" i="136"/>
  <c r="H28" i="136"/>
  <c r="G28" i="136"/>
  <c r="F28" i="136"/>
  <c r="D28" i="136"/>
  <c r="P27" i="136"/>
  <c r="Q27" i="136" s="1"/>
  <c r="N27" i="136"/>
  <c r="M27" i="136"/>
  <c r="L27" i="136"/>
  <c r="K27" i="136"/>
  <c r="J27" i="136"/>
  <c r="H27" i="136"/>
  <c r="G27" i="136"/>
  <c r="F27" i="136"/>
  <c r="D27" i="136"/>
  <c r="D26" i="136"/>
  <c r="P36" i="134"/>
  <c r="Q36" i="134" s="1"/>
  <c r="N36" i="134"/>
  <c r="M36" i="134"/>
  <c r="L36" i="134"/>
  <c r="K36" i="134"/>
  <c r="J36" i="134"/>
  <c r="H36" i="134"/>
  <c r="G36" i="134"/>
  <c r="F36" i="134"/>
  <c r="P25" i="92"/>
  <c r="Q25" i="92" s="1"/>
  <c r="N25" i="92"/>
  <c r="M25" i="92"/>
  <c r="L25" i="92"/>
  <c r="K25" i="92"/>
  <c r="J25" i="92"/>
  <c r="H25" i="92"/>
  <c r="G25" i="92"/>
  <c r="F25" i="92"/>
  <c r="D10" i="120"/>
  <c r="F10" i="120"/>
  <c r="G10" i="120"/>
  <c r="H10" i="120"/>
  <c r="J10" i="120"/>
  <c r="K10" i="120"/>
  <c r="L10" i="120"/>
  <c r="M10" i="120"/>
  <c r="N10" i="120"/>
  <c r="P10" i="120"/>
  <c r="Q10" i="120" s="1"/>
  <c r="P24" i="167"/>
  <c r="Q24" i="167" s="1"/>
  <c r="N24" i="167"/>
  <c r="M24" i="167"/>
  <c r="L24" i="167"/>
  <c r="K24" i="167"/>
  <c r="J24" i="167"/>
  <c r="H24" i="167"/>
  <c r="G24" i="167"/>
  <c r="F24" i="167"/>
  <c r="D24" i="167"/>
  <c r="A8" i="167"/>
  <c r="A9" i="167" s="1"/>
  <c r="A10" i="167" s="1"/>
  <c r="A11" i="167" s="1"/>
  <c r="A12" i="167" s="1"/>
  <c r="A13" i="167" s="1"/>
  <c r="A14" i="167" s="1"/>
  <c r="A15" i="167" s="1"/>
  <c r="A16" i="167" s="1"/>
  <c r="A17" i="167" s="1"/>
  <c r="A18" i="167" s="1"/>
  <c r="A19" i="167" s="1"/>
  <c r="A20" i="167" s="1"/>
  <c r="A21" i="167" s="1"/>
  <c r="A22" i="167" s="1"/>
  <c r="A23" i="167" s="1"/>
  <c r="A24" i="167" s="1"/>
  <c r="P27" i="166"/>
  <c r="Q27" i="166" s="1"/>
  <c r="N27" i="166"/>
  <c r="M27" i="166"/>
  <c r="L27" i="166"/>
  <c r="K27" i="166"/>
  <c r="J27" i="166"/>
  <c r="H27" i="166"/>
  <c r="G27" i="166"/>
  <c r="F27" i="166"/>
  <c r="D27" i="166"/>
  <c r="P32" i="51"/>
  <c r="Q32" i="51" s="1"/>
  <c r="N32" i="51"/>
  <c r="M32" i="51"/>
  <c r="L32" i="51"/>
  <c r="K32" i="51"/>
  <c r="J32" i="51"/>
  <c r="H32" i="51"/>
  <c r="G32" i="51"/>
  <c r="F32" i="51"/>
  <c r="D32" i="51"/>
  <c r="P36" i="49"/>
  <c r="Q36" i="49" s="1"/>
  <c r="N36" i="49"/>
  <c r="M36" i="49"/>
  <c r="L36" i="49"/>
  <c r="K36" i="49"/>
  <c r="J36" i="49"/>
  <c r="H36" i="49"/>
  <c r="G36" i="49"/>
  <c r="F36" i="49"/>
  <c r="D36" i="49"/>
  <c r="P45" i="146"/>
  <c r="Q45" i="146" s="1"/>
  <c r="N45" i="146"/>
  <c r="M45" i="146"/>
  <c r="L45" i="146"/>
  <c r="K45" i="146"/>
  <c r="J45" i="146"/>
  <c r="H45" i="146"/>
  <c r="G45" i="146"/>
  <c r="F45" i="146"/>
  <c r="D45" i="146"/>
  <c r="D34" i="67"/>
  <c r="F34" i="67"/>
  <c r="G34" i="67"/>
  <c r="H34" i="67"/>
  <c r="J34" i="67"/>
  <c r="K34" i="67"/>
  <c r="L34" i="67"/>
  <c r="M34" i="67"/>
  <c r="N34" i="67"/>
  <c r="P34" i="67"/>
  <c r="Q34" i="67" s="1"/>
  <c r="D35" i="67"/>
  <c r="F35" i="67"/>
  <c r="G35" i="67"/>
  <c r="H35" i="67"/>
  <c r="J35" i="67"/>
  <c r="K35" i="67"/>
  <c r="L35" i="67"/>
  <c r="M35" i="67"/>
  <c r="N35" i="67"/>
  <c r="P35" i="67"/>
  <c r="Q35" i="67" s="1"/>
  <c r="P24" i="54"/>
  <c r="Q24" i="54" s="1"/>
  <c r="N24" i="54"/>
  <c r="M24" i="54"/>
  <c r="L24" i="54"/>
  <c r="K24" i="54"/>
  <c r="J24" i="54"/>
  <c r="H24" i="54"/>
  <c r="G24" i="54"/>
  <c r="F24" i="54"/>
  <c r="D24" i="54"/>
  <c r="D8" i="53"/>
  <c r="F8" i="53"/>
  <c r="G8" i="53"/>
  <c r="H8" i="53"/>
  <c r="J8" i="53"/>
  <c r="K8" i="53"/>
  <c r="L8" i="53"/>
  <c r="M8" i="53"/>
  <c r="N8" i="53"/>
  <c r="P8" i="53"/>
  <c r="Q8" i="53" s="1"/>
  <c r="D9" i="53"/>
  <c r="F9" i="53"/>
  <c r="G9" i="53"/>
  <c r="H9" i="53"/>
  <c r="J9" i="53"/>
  <c r="K9" i="53"/>
  <c r="L9" i="53"/>
  <c r="M9" i="53"/>
  <c r="N9" i="53"/>
  <c r="P9" i="53"/>
  <c r="Q9" i="53" s="1"/>
  <c r="D10" i="53"/>
  <c r="F10" i="53"/>
  <c r="G10" i="53"/>
  <c r="H10" i="53"/>
  <c r="J10" i="53"/>
  <c r="K10" i="53"/>
  <c r="L10" i="53"/>
  <c r="M10" i="53"/>
  <c r="N10" i="53"/>
  <c r="P10" i="53"/>
  <c r="Q10" i="53" s="1"/>
  <c r="D11" i="53"/>
  <c r="F11" i="53"/>
  <c r="G11" i="53"/>
  <c r="H11" i="53"/>
  <c r="J11" i="53"/>
  <c r="K11" i="53"/>
  <c r="L11" i="53"/>
  <c r="M11" i="53"/>
  <c r="N11" i="53"/>
  <c r="P11" i="53"/>
  <c r="Q11" i="53" s="1"/>
  <c r="D12" i="53"/>
  <c r="F12" i="53"/>
  <c r="G12" i="53"/>
  <c r="H12" i="53"/>
  <c r="J12" i="53"/>
  <c r="K12" i="53"/>
  <c r="L12" i="53"/>
  <c r="M12" i="53"/>
  <c r="N12" i="53"/>
  <c r="P12" i="53"/>
  <c r="Q12" i="53" s="1"/>
  <c r="D13" i="53"/>
  <c r="F13" i="53"/>
  <c r="G13" i="53"/>
  <c r="H13" i="53"/>
  <c r="J13" i="53"/>
  <c r="K13" i="53"/>
  <c r="L13" i="53"/>
  <c r="M13" i="53"/>
  <c r="N13" i="53"/>
  <c r="P13" i="53"/>
  <c r="Q13" i="53" s="1"/>
  <c r="D14" i="53"/>
  <c r="F14" i="53"/>
  <c r="G14" i="53"/>
  <c r="H14" i="53"/>
  <c r="J14" i="53"/>
  <c r="K14" i="53"/>
  <c r="L14" i="53"/>
  <c r="M14" i="53"/>
  <c r="N14" i="53"/>
  <c r="P14" i="53"/>
  <c r="Q14" i="53" s="1"/>
  <c r="D15" i="53"/>
  <c r="F15" i="53"/>
  <c r="G15" i="53"/>
  <c r="H15" i="53"/>
  <c r="J15" i="53"/>
  <c r="K15" i="53"/>
  <c r="L15" i="53"/>
  <c r="M15" i="53"/>
  <c r="N15" i="53"/>
  <c r="P15" i="53"/>
  <c r="Q15" i="53" s="1"/>
  <c r="D16" i="53"/>
  <c r="F16" i="53"/>
  <c r="G16" i="53"/>
  <c r="H16" i="53"/>
  <c r="J16" i="53"/>
  <c r="K16" i="53"/>
  <c r="L16" i="53"/>
  <c r="M16" i="53"/>
  <c r="N16" i="53"/>
  <c r="P16" i="53"/>
  <c r="Q16" i="53" s="1"/>
  <c r="D17" i="53"/>
  <c r="F17" i="53"/>
  <c r="G17" i="53"/>
  <c r="H17" i="53"/>
  <c r="J17" i="53"/>
  <c r="K17" i="53"/>
  <c r="L17" i="53"/>
  <c r="M17" i="53"/>
  <c r="N17" i="53"/>
  <c r="P17" i="53"/>
  <c r="Q17" i="53" s="1"/>
  <c r="D18" i="53"/>
  <c r="F18" i="53"/>
  <c r="G18" i="53"/>
  <c r="H18" i="53"/>
  <c r="J18" i="53"/>
  <c r="K18" i="53"/>
  <c r="L18" i="53"/>
  <c r="M18" i="53"/>
  <c r="N18" i="53"/>
  <c r="P18" i="53"/>
  <c r="Q18" i="53" s="1"/>
  <c r="D19" i="53"/>
  <c r="F19" i="53"/>
  <c r="G19" i="53"/>
  <c r="H19" i="53"/>
  <c r="J19" i="53"/>
  <c r="K19" i="53"/>
  <c r="L19" i="53"/>
  <c r="M19" i="53"/>
  <c r="N19" i="53"/>
  <c r="P19" i="53"/>
  <c r="Q19" i="53" s="1"/>
  <c r="D20" i="53"/>
  <c r="F20" i="53"/>
  <c r="G20" i="53"/>
  <c r="H20" i="53"/>
  <c r="J20" i="53"/>
  <c r="K20" i="53"/>
  <c r="L20" i="53"/>
  <c r="M20" i="53"/>
  <c r="N20" i="53"/>
  <c r="P20" i="53"/>
  <c r="Q20" i="53" s="1"/>
  <c r="D21" i="53"/>
  <c r="F21" i="53"/>
  <c r="G21" i="53"/>
  <c r="H21" i="53"/>
  <c r="J21" i="53"/>
  <c r="K21" i="53"/>
  <c r="L21" i="53"/>
  <c r="M21" i="53"/>
  <c r="N21" i="53"/>
  <c r="P21" i="53"/>
  <c r="Q21" i="53" s="1"/>
  <c r="D22" i="53"/>
  <c r="F22" i="53"/>
  <c r="G22" i="53"/>
  <c r="H22" i="53"/>
  <c r="J22" i="53"/>
  <c r="K22" i="53"/>
  <c r="L22" i="53"/>
  <c r="M22" i="53"/>
  <c r="N22" i="53"/>
  <c r="P22" i="53"/>
  <c r="Q22" i="53" s="1"/>
  <c r="D23" i="53"/>
  <c r="F23" i="53"/>
  <c r="G23" i="53"/>
  <c r="H23" i="53"/>
  <c r="J23" i="53"/>
  <c r="K23" i="53"/>
  <c r="L23" i="53"/>
  <c r="M23" i="53"/>
  <c r="N23" i="53"/>
  <c r="P23" i="53"/>
  <c r="Q23" i="53" s="1"/>
  <c r="D24" i="53"/>
  <c r="F24" i="53"/>
  <c r="G24" i="53"/>
  <c r="H24" i="53"/>
  <c r="J24" i="53"/>
  <c r="K24" i="53"/>
  <c r="L24" i="53"/>
  <c r="M24" i="53"/>
  <c r="N24" i="53"/>
  <c r="P24" i="53"/>
  <c r="Q24" i="53" s="1"/>
  <c r="D25" i="53"/>
  <c r="F25" i="53"/>
  <c r="G25" i="53"/>
  <c r="H25" i="53"/>
  <c r="J25" i="53"/>
  <c r="K25" i="53"/>
  <c r="L25" i="53"/>
  <c r="M25" i="53"/>
  <c r="N25" i="53"/>
  <c r="P25" i="53"/>
  <c r="Q25" i="53" s="1"/>
  <c r="D26" i="53"/>
  <c r="F26" i="53"/>
  <c r="G26" i="53"/>
  <c r="H26" i="53"/>
  <c r="J26" i="53"/>
  <c r="K26" i="53"/>
  <c r="L26" i="53"/>
  <c r="M26" i="53"/>
  <c r="N26" i="53"/>
  <c r="P26" i="53"/>
  <c r="Q26" i="53" s="1"/>
  <c r="D27" i="53"/>
  <c r="F27" i="53"/>
  <c r="G27" i="53"/>
  <c r="H27" i="53"/>
  <c r="J27" i="53"/>
  <c r="K27" i="53"/>
  <c r="L27" i="53"/>
  <c r="M27" i="53"/>
  <c r="N27" i="53"/>
  <c r="P27" i="53"/>
  <c r="Q27" i="53" s="1"/>
  <c r="D28" i="53"/>
  <c r="F28" i="53"/>
  <c r="G28" i="53"/>
  <c r="H28" i="53"/>
  <c r="J28" i="53"/>
  <c r="K28" i="53"/>
  <c r="L28" i="53"/>
  <c r="M28" i="53"/>
  <c r="N28" i="53"/>
  <c r="P28" i="53"/>
  <c r="Q28" i="53" s="1"/>
  <c r="D29" i="53"/>
  <c r="F29" i="53"/>
  <c r="G29" i="53"/>
  <c r="H29" i="53"/>
  <c r="J29" i="53"/>
  <c r="K29" i="53"/>
  <c r="L29" i="53"/>
  <c r="M29" i="53"/>
  <c r="N29" i="53"/>
  <c r="P29" i="53"/>
  <c r="Q29" i="53" s="1"/>
  <c r="D30" i="53"/>
  <c r="F30" i="53"/>
  <c r="G30" i="53"/>
  <c r="H30" i="53"/>
  <c r="J30" i="53"/>
  <c r="K30" i="53"/>
  <c r="L30" i="53"/>
  <c r="M30" i="53"/>
  <c r="N30" i="53"/>
  <c r="P30" i="53"/>
  <c r="Q30" i="53" s="1"/>
  <c r="D31" i="53"/>
  <c r="F31" i="53"/>
  <c r="G31" i="53"/>
  <c r="H31" i="53"/>
  <c r="J31" i="53"/>
  <c r="K31" i="53"/>
  <c r="L31" i="53"/>
  <c r="M31" i="53"/>
  <c r="N31" i="53"/>
  <c r="P31" i="53"/>
  <c r="Q31" i="53" s="1"/>
  <c r="D32" i="53"/>
  <c r="F32" i="53"/>
  <c r="G32" i="53"/>
  <c r="H32" i="53"/>
  <c r="J32" i="53"/>
  <c r="K32" i="53"/>
  <c r="L32" i="53"/>
  <c r="M32" i="53"/>
  <c r="N32" i="53"/>
  <c r="P32" i="53"/>
  <c r="Q32" i="53" s="1"/>
  <c r="D33" i="53"/>
  <c r="F33" i="53"/>
  <c r="G33" i="53"/>
  <c r="H33" i="53"/>
  <c r="J33" i="53"/>
  <c r="K33" i="53"/>
  <c r="L33" i="53"/>
  <c r="M33" i="53"/>
  <c r="N33" i="53"/>
  <c r="P33" i="53"/>
  <c r="Q33" i="53" s="1"/>
  <c r="D8" i="52"/>
  <c r="F8" i="52"/>
  <c r="G8" i="52"/>
  <c r="H8" i="52"/>
  <c r="J8" i="52"/>
  <c r="K8" i="52"/>
  <c r="L8" i="52"/>
  <c r="M8" i="52"/>
  <c r="N8" i="52"/>
  <c r="P8" i="52"/>
  <c r="Q8" i="52" s="1"/>
  <c r="D9" i="52"/>
  <c r="F9" i="52"/>
  <c r="G9" i="52"/>
  <c r="H9" i="52"/>
  <c r="J9" i="52"/>
  <c r="K9" i="52"/>
  <c r="L9" i="52"/>
  <c r="M9" i="52"/>
  <c r="N9" i="52"/>
  <c r="P9" i="52"/>
  <c r="Q9" i="52" s="1"/>
  <c r="D10" i="52"/>
  <c r="F10" i="52"/>
  <c r="G10" i="52"/>
  <c r="H10" i="52"/>
  <c r="J10" i="52"/>
  <c r="K10" i="52"/>
  <c r="L10" i="52"/>
  <c r="M10" i="52"/>
  <c r="N10" i="52"/>
  <c r="P10" i="52"/>
  <c r="Q10" i="52" s="1"/>
  <c r="D11" i="52"/>
  <c r="F11" i="52"/>
  <c r="G11" i="52"/>
  <c r="H11" i="52"/>
  <c r="J11" i="52"/>
  <c r="K11" i="52"/>
  <c r="L11" i="52"/>
  <c r="M11" i="52"/>
  <c r="N11" i="52"/>
  <c r="P11" i="52"/>
  <c r="Q11" i="52" s="1"/>
  <c r="D12" i="52"/>
  <c r="F12" i="52"/>
  <c r="G12" i="52"/>
  <c r="H12" i="52"/>
  <c r="J12" i="52"/>
  <c r="K12" i="52"/>
  <c r="L12" i="52"/>
  <c r="M12" i="52"/>
  <c r="N12" i="52"/>
  <c r="P12" i="52"/>
  <c r="Q12" i="52" s="1"/>
  <c r="D13" i="52"/>
  <c r="F13" i="52"/>
  <c r="G13" i="52"/>
  <c r="H13" i="52"/>
  <c r="J13" i="52"/>
  <c r="K13" i="52"/>
  <c r="L13" i="52"/>
  <c r="M13" i="52"/>
  <c r="N13" i="52"/>
  <c r="P13" i="52"/>
  <c r="Q13" i="52" s="1"/>
  <c r="D14" i="52"/>
  <c r="F14" i="52"/>
  <c r="G14" i="52"/>
  <c r="H14" i="52"/>
  <c r="J14" i="52"/>
  <c r="K14" i="52"/>
  <c r="L14" i="52"/>
  <c r="M14" i="52"/>
  <c r="N14" i="52"/>
  <c r="P14" i="52"/>
  <c r="Q14" i="52" s="1"/>
  <c r="D15" i="52"/>
  <c r="F15" i="52"/>
  <c r="G15" i="52"/>
  <c r="H15" i="52"/>
  <c r="J15" i="52"/>
  <c r="K15" i="52"/>
  <c r="L15" i="52"/>
  <c r="M15" i="52"/>
  <c r="N15" i="52"/>
  <c r="P15" i="52"/>
  <c r="Q15" i="52" s="1"/>
  <c r="D16" i="52"/>
  <c r="F16" i="52"/>
  <c r="G16" i="52"/>
  <c r="H16" i="52"/>
  <c r="J16" i="52"/>
  <c r="K16" i="52"/>
  <c r="L16" i="52"/>
  <c r="M16" i="52"/>
  <c r="N16" i="52"/>
  <c r="P16" i="52"/>
  <c r="Q16" i="52" s="1"/>
  <c r="D17" i="52"/>
  <c r="F17" i="52"/>
  <c r="G17" i="52"/>
  <c r="H17" i="52"/>
  <c r="J17" i="52"/>
  <c r="K17" i="52"/>
  <c r="L17" i="52"/>
  <c r="M17" i="52"/>
  <c r="N17" i="52"/>
  <c r="P17" i="52"/>
  <c r="Q17" i="52" s="1"/>
  <c r="D18" i="52"/>
  <c r="F18" i="52"/>
  <c r="G18" i="52"/>
  <c r="H18" i="52"/>
  <c r="J18" i="52"/>
  <c r="K18" i="52"/>
  <c r="L18" i="52"/>
  <c r="M18" i="52"/>
  <c r="N18" i="52"/>
  <c r="P18" i="52"/>
  <c r="Q18" i="52" s="1"/>
  <c r="D19" i="52"/>
  <c r="F19" i="52"/>
  <c r="G19" i="52"/>
  <c r="H19" i="52"/>
  <c r="J19" i="52"/>
  <c r="K19" i="52"/>
  <c r="L19" i="52"/>
  <c r="M19" i="52"/>
  <c r="N19" i="52"/>
  <c r="P19" i="52"/>
  <c r="Q19" i="52" s="1"/>
  <c r="D20" i="52"/>
  <c r="F20" i="52"/>
  <c r="G20" i="52"/>
  <c r="H20" i="52"/>
  <c r="J20" i="52"/>
  <c r="K20" i="52"/>
  <c r="L20" i="52"/>
  <c r="M20" i="52"/>
  <c r="N20" i="52"/>
  <c r="P20" i="52"/>
  <c r="Q20" i="52" s="1"/>
  <c r="D21" i="52"/>
  <c r="F21" i="52"/>
  <c r="G21" i="52"/>
  <c r="H21" i="52"/>
  <c r="J21" i="52"/>
  <c r="K21" i="52"/>
  <c r="L21" i="52"/>
  <c r="M21" i="52"/>
  <c r="N21" i="52"/>
  <c r="P21" i="52"/>
  <c r="Q21" i="52" s="1"/>
  <c r="D22" i="52"/>
  <c r="F22" i="52"/>
  <c r="G22" i="52"/>
  <c r="H22" i="52"/>
  <c r="J22" i="52"/>
  <c r="K22" i="52"/>
  <c r="L22" i="52"/>
  <c r="M22" i="52"/>
  <c r="N22" i="52"/>
  <c r="P22" i="52"/>
  <c r="Q22" i="52" s="1"/>
  <c r="D23" i="52"/>
  <c r="F23" i="52"/>
  <c r="G23" i="52"/>
  <c r="H23" i="52"/>
  <c r="J23" i="52"/>
  <c r="K23" i="52"/>
  <c r="L23" i="52"/>
  <c r="M23" i="52"/>
  <c r="N23" i="52"/>
  <c r="P23" i="52"/>
  <c r="Q23" i="52" s="1"/>
  <c r="D24" i="52"/>
  <c r="F24" i="52"/>
  <c r="G24" i="52"/>
  <c r="H24" i="52"/>
  <c r="J24" i="52"/>
  <c r="K24" i="52"/>
  <c r="L24" i="52"/>
  <c r="M24" i="52"/>
  <c r="N24" i="52"/>
  <c r="P24" i="52"/>
  <c r="Q24" i="52" s="1"/>
  <c r="D25" i="52"/>
  <c r="F25" i="52"/>
  <c r="G25" i="52"/>
  <c r="H25" i="52"/>
  <c r="J25" i="52"/>
  <c r="K25" i="52"/>
  <c r="L25" i="52"/>
  <c r="M25" i="52"/>
  <c r="N25" i="52"/>
  <c r="P25" i="52"/>
  <c r="Q25" i="52" s="1"/>
  <c r="D26" i="52"/>
  <c r="F26" i="52"/>
  <c r="G26" i="52"/>
  <c r="H26" i="52"/>
  <c r="J26" i="52"/>
  <c r="K26" i="52"/>
  <c r="L26" i="52"/>
  <c r="M26" i="52"/>
  <c r="N26" i="52"/>
  <c r="P26" i="52"/>
  <c r="Q26" i="52" s="1"/>
  <c r="D27" i="52"/>
  <c r="F27" i="52"/>
  <c r="G27" i="52"/>
  <c r="H27" i="52"/>
  <c r="J27" i="52"/>
  <c r="K27" i="52"/>
  <c r="L27" i="52"/>
  <c r="M27" i="52"/>
  <c r="N27" i="52"/>
  <c r="P27" i="52"/>
  <c r="Q27" i="52" s="1"/>
  <c r="D28" i="52"/>
  <c r="F28" i="52"/>
  <c r="G28" i="52"/>
  <c r="H28" i="52"/>
  <c r="J28" i="52"/>
  <c r="K28" i="52"/>
  <c r="L28" i="52"/>
  <c r="M28" i="52"/>
  <c r="N28" i="52"/>
  <c r="P28" i="52"/>
  <c r="Q28" i="52" s="1"/>
  <c r="D29" i="52"/>
  <c r="F29" i="52"/>
  <c r="G29" i="52"/>
  <c r="H29" i="52"/>
  <c r="J29" i="52"/>
  <c r="K29" i="52"/>
  <c r="L29" i="52"/>
  <c r="M29" i="52"/>
  <c r="N29" i="52"/>
  <c r="P29" i="52"/>
  <c r="Q29" i="52" s="1"/>
  <c r="D30" i="52"/>
  <c r="F30" i="52"/>
  <c r="G30" i="52"/>
  <c r="H30" i="52"/>
  <c r="J30" i="52"/>
  <c r="K30" i="52"/>
  <c r="L30" i="52"/>
  <c r="M30" i="52"/>
  <c r="N30" i="52"/>
  <c r="P30" i="52"/>
  <c r="Q30" i="52" s="1"/>
  <c r="D31" i="52"/>
  <c r="F31" i="52"/>
  <c r="G31" i="52"/>
  <c r="H31" i="52"/>
  <c r="J31" i="52"/>
  <c r="K31" i="52"/>
  <c r="L31" i="52"/>
  <c r="M31" i="52"/>
  <c r="N31" i="52"/>
  <c r="P31" i="52"/>
  <c r="Q31" i="52" s="1"/>
  <c r="D32" i="52"/>
  <c r="F32" i="52"/>
  <c r="G32" i="52"/>
  <c r="H32" i="52"/>
  <c r="J32" i="52"/>
  <c r="K32" i="52"/>
  <c r="L32" i="52"/>
  <c r="M32" i="52"/>
  <c r="N32" i="52"/>
  <c r="P32" i="52"/>
  <c r="Q32" i="52" s="1"/>
  <c r="D33" i="52"/>
  <c r="F33" i="52"/>
  <c r="G33" i="52"/>
  <c r="H33" i="52"/>
  <c r="J33" i="52"/>
  <c r="K33" i="52"/>
  <c r="L33" i="52"/>
  <c r="M33" i="52"/>
  <c r="N33" i="52"/>
  <c r="P33" i="52"/>
  <c r="Q33" i="52" s="1"/>
  <c r="P35" i="49"/>
  <c r="Q35" i="49" s="1"/>
  <c r="N35" i="49"/>
  <c r="M35" i="49"/>
  <c r="L35" i="49"/>
  <c r="K35" i="49"/>
  <c r="J35" i="49"/>
  <c r="H35" i="49"/>
  <c r="G35" i="49"/>
  <c r="F35" i="49"/>
  <c r="D35" i="49"/>
  <c r="D26" i="51"/>
  <c r="F26" i="51"/>
  <c r="G26" i="51"/>
  <c r="H26" i="51"/>
  <c r="J26" i="51"/>
  <c r="K26" i="51"/>
  <c r="L26" i="51"/>
  <c r="M26" i="51"/>
  <c r="N26" i="51"/>
  <c r="P26" i="51"/>
  <c r="Q26" i="51" s="1"/>
  <c r="D27" i="51"/>
  <c r="F27" i="51"/>
  <c r="G27" i="51"/>
  <c r="H27" i="51"/>
  <c r="J27" i="51"/>
  <c r="K27" i="51"/>
  <c r="L27" i="51"/>
  <c r="M27" i="51"/>
  <c r="N27" i="51"/>
  <c r="P27" i="51"/>
  <c r="Q27" i="51" s="1"/>
  <c r="D28" i="51"/>
  <c r="F28" i="51"/>
  <c r="G28" i="51"/>
  <c r="H28" i="51"/>
  <c r="J28" i="51"/>
  <c r="K28" i="51"/>
  <c r="L28" i="51"/>
  <c r="M28" i="51"/>
  <c r="N28" i="51"/>
  <c r="P28" i="51"/>
  <c r="Q28" i="51" s="1"/>
  <c r="D29" i="51"/>
  <c r="F29" i="51"/>
  <c r="G29" i="51"/>
  <c r="H29" i="51"/>
  <c r="J29" i="51"/>
  <c r="K29" i="51"/>
  <c r="L29" i="51"/>
  <c r="M29" i="51"/>
  <c r="N29" i="51"/>
  <c r="P29" i="51"/>
  <c r="Q29" i="51" s="1"/>
  <c r="D30" i="51"/>
  <c r="F30" i="51"/>
  <c r="G30" i="51"/>
  <c r="H30" i="51"/>
  <c r="J30" i="51"/>
  <c r="K30" i="51"/>
  <c r="L30" i="51"/>
  <c r="M30" i="51"/>
  <c r="N30" i="51"/>
  <c r="P30" i="51"/>
  <c r="Q30" i="51" s="1"/>
  <c r="D31" i="51"/>
  <c r="F31" i="51"/>
  <c r="G31" i="51"/>
  <c r="H31" i="51"/>
  <c r="J31" i="51"/>
  <c r="K31" i="51"/>
  <c r="L31" i="51"/>
  <c r="M31" i="51"/>
  <c r="N31" i="51"/>
  <c r="P31" i="51"/>
  <c r="Q31" i="51" s="1"/>
  <c r="D16" i="50"/>
  <c r="F16" i="50"/>
  <c r="G16" i="50"/>
  <c r="H16" i="50"/>
  <c r="J16" i="50"/>
  <c r="K16" i="50"/>
  <c r="L16" i="50"/>
  <c r="M16" i="50"/>
  <c r="N16" i="50"/>
  <c r="P16" i="50"/>
  <c r="Q16" i="50" s="1"/>
  <c r="D17" i="50"/>
  <c r="F17" i="50"/>
  <c r="G17" i="50"/>
  <c r="H17" i="50"/>
  <c r="J17" i="50"/>
  <c r="K17" i="50"/>
  <c r="L17" i="50"/>
  <c r="M17" i="50"/>
  <c r="N17" i="50"/>
  <c r="P17" i="50"/>
  <c r="Q17" i="50" s="1"/>
  <c r="D18" i="50"/>
  <c r="F18" i="50"/>
  <c r="G18" i="50"/>
  <c r="H18" i="50"/>
  <c r="J18" i="50"/>
  <c r="K18" i="50"/>
  <c r="L18" i="50"/>
  <c r="M18" i="50"/>
  <c r="N18" i="50"/>
  <c r="P18" i="50"/>
  <c r="Q18" i="50" s="1"/>
  <c r="D19" i="50"/>
  <c r="F19" i="50"/>
  <c r="G19" i="50"/>
  <c r="H19" i="50"/>
  <c r="J19" i="50"/>
  <c r="K19" i="50"/>
  <c r="L19" i="50"/>
  <c r="M19" i="50"/>
  <c r="N19" i="50"/>
  <c r="P19" i="50"/>
  <c r="Q19" i="50" s="1"/>
  <c r="D20" i="50"/>
  <c r="F20" i="50"/>
  <c r="G20" i="50"/>
  <c r="H20" i="50"/>
  <c r="J20" i="50"/>
  <c r="K20" i="50"/>
  <c r="L20" i="50"/>
  <c r="M20" i="50"/>
  <c r="N20" i="50"/>
  <c r="P20" i="50"/>
  <c r="Q20" i="50" s="1"/>
  <c r="D21" i="50"/>
  <c r="F21" i="50"/>
  <c r="G21" i="50"/>
  <c r="H21" i="50"/>
  <c r="J21" i="50"/>
  <c r="K21" i="50"/>
  <c r="L21" i="50"/>
  <c r="M21" i="50"/>
  <c r="N21" i="50"/>
  <c r="P21" i="50"/>
  <c r="Q21" i="50" s="1"/>
  <c r="D22" i="50"/>
  <c r="F22" i="50"/>
  <c r="G22" i="50"/>
  <c r="H22" i="50"/>
  <c r="J22" i="50"/>
  <c r="K22" i="50"/>
  <c r="L22" i="50"/>
  <c r="M22" i="50"/>
  <c r="N22" i="50"/>
  <c r="P22" i="50"/>
  <c r="Q22" i="50" s="1"/>
  <c r="D23" i="50"/>
  <c r="F23" i="50"/>
  <c r="G23" i="50"/>
  <c r="H23" i="50"/>
  <c r="J23" i="50"/>
  <c r="K23" i="50"/>
  <c r="L23" i="50"/>
  <c r="M23" i="50"/>
  <c r="N23" i="50"/>
  <c r="P23" i="50"/>
  <c r="Q23" i="50" s="1"/>
  <c r="D24" i="50"/>
  <c r="F24" i="50"/>
  <c r="G24" i="50"/>
  <c r="H24" i="50"/>
  <c r="J24" i="50"/>
  <c r="K24" i="50"/>
  <c r="L24" i="50"/>
  <c r="M24" i="50"/>
  <c r="N24" i="50"/>
  <c r="P24" i="50"/>
  <c r="Q24" i="50" s="1"/>
  <c r="D25" i="50"/>
  <c r="F25" i="50"/>
  <c r="G25" i="50"/>
  <c r="H25" i="50"/>
  <c r="J25" i="50"/>
  <c r="K25" i="50"/>
  <c r="L25" i="50"/>
  <c r="M25" i="50"/>
  <c r="N25" i="50"/>
  <c r="P25" i="50"/>
  <c r="Q25" i="50" s="1"/>
  <c r="D26" i="50"/>
  <c r="F26" i="50"/>
  <c r="G26" i="50"/>
  <c r="H26" i="50"/>
  <c r="J26" i="50"/>
  <c r="K26" i="50"/>
  <c r="L26" i="50"/>
  <c r="M26" i="50"/>
  <c r="N26" i="50"/>
  <c r="P26" i="50"/>
  <c r="Q26" i="50" s="1"/>
  <c r="D27" i="50"/>
  <c r="F27" i="50"/>
  <c r="G27" i="50"/>
  <c r="H27" i="50"/>
  <c r="J27" i="50"/>
  <c r="K27" i="50"/>
  <c r="L27" i="50"/>
  <c r="M27" i="50"/>
  <c r="N27" i="50"/>
  <c r="P27" i="50"/>
  <c r="Q27" i="50" s="1"/>
  <c r="D28" i="50"/>
  <c r="F28" i="50"/>
  <c r="G28" i="50"/>
  <c r="H28" i="50"/>
  <c r="J28" i="50"/>
  <c r="K28" i="50"/>
  <c r="L28" i="50"/>
  <c r="M28" i="50"/>
  <c r="N28" i="50"/>
  <c r="P28" i="50"/>
  <c r="Q28" i="50" s="1"/>
  <c r="D29" i="50"/>
  <c r="F29" i="50"/>
  <c r="G29" i="50"/>
  <c r="H29" i="50"/>
  <c r="J29" i="50"/>
  <c r="K29" i="50"/>
  <c r="L29" i="50"/>
  <c r="M29" i="50"/>
  <c r="N29" i="50"/>
  <c r="P29" i="50"/>
  <c r="Q29" i="50" s="1"/>
  <c r="D30" i="50"/>
  <c r="F30" i="50"/>
  <c r="G30" i="50"/>
  <c r="H30" i="50"/>
  <c r="J30" i="50"/>
  <c r="K30" i="50"/>
  <c r="L30" i="50"/>
  <c r="M30" i="50"/>
  <c r="N30" i="50"/>
  <c r="P30" i="50"/>
  <c r="Q30" i="50" s="1"/>
  <c r="D31" i="50"/>
  <c r="F31" i="50"/>
  <c r="G31" i="50"/>
  <c r="H31" i="50"/>
  <c r="J31" i="50"/>
  <c r="K31" i="50"/>
  <c r="L31" i="50"/>
  <c r="M31" i="50"/>
  <c r="N31" i="50"/>
  <c r="P31" i="50"/>
  <c r="Q31" i="50" s="1"/>
  <c r="D32" i="50"/>
  <c r="F32" i="50"/>
  <c r="G32" i="50"/>
  <c r="H32" i="50"/>
  <c r="J32" i="50"/>
  <c r="K32" i="50"/>
  <c r="L32" i="50"/>
  <c r="M32" i="50"/>
  <c r="N32" i="50"/>
  <c r="P32" i="50"/>
  <c r="Q32" i="50" s="1"/>
  <c r="D33" i="50"/>
  <c r="F33" i="50"/>
  <c r="G33" i="50"/>
  <c r="H33" i="50"/>
  <c r="J33" i="50"/>
  <c r="K33" i="50"/>
  <c r="L33" i="50"/>
  <c r="M33" i="50"/>
  <c r="N33" i="50"/>
  <c r="P33" i="50"/>
  <c r="Q33" i="50" s="1"/>
  <c r="D34" i="50"/>
  <c r="F34" i="50"/>
  <c r="G34" i="50"/>
  <c r="H34" i="50"/>
  <c r="J34" i="50"/>
  <c r="K34" i="50"/>
  <c r="L34" i="50"/>
  <c r="M34" i="50"/>
  <c r="N34" i="50"/>
  <c r="P34" i="50"/>
  <c r="Q34" i="50" s="1"/>
  <c r="D35" i="50"/>
  <c r="F35" i="50"/>
  <c r="G35" i="50"/>
  <c r="H35" i="50"/>
  <c r="J35" i="50"/>
  <c r="K35" i="50"/>
  <c r="L35" i="50"/>
  <c r="M35" i="50"/>
  <c r="N35" i="50"/>
  <c r="P35" i="50"/>
  <c r="Q35" i="50" s="1"/>
  <c r="D36" i="50"/>
  <c r="F36" i="50"/>
  <c r="G36" i="50"/>
  <c r="H36" i="50"/>
  <c r="J36" i="50"/>
  <c r="K36" i="50"/>
  <c r="L36" i="50"/>
  <c r="M36" i="50"/>
  <c r="N36" i="50"/>
  <c r="P36" i="50"/>
  <c r="Q36" i="50" s="1"/>
  <c r="D37" i="50"/>
  <c r="F37" i="50"/>
  <c r="G37" i="50"/>
  <c r="H37" i="50"/>
  <c r="J37" i="50"/>
  <c r="K37" i="50"/>
  <c r="L37" i="50"/>
  <c r="M37" i="50"/>
  <c r="N37" i="50"/>
  <c r="P37" i="50"/>
  <c r="Q37" i="50" s="1"/>
  <c r="D38" i="50"/>
  <c r="F38" i="50"/>
  <c r="G38" i="50"/>
  <c r="H38" i="50"/>
  <c r="J38" i="50"/>
  <c r="K38" i="50"/>
  <c r="L38" i="50"/>
  <c r="M38" i="50"/>
  <c r="N38" i="50"/>
  <c r="P38" i="50"/>
  <c r="Q38" i="50" s="1"/>
  <c r="D16" i="48"/>
  <c r="F16" i="48"/>
  <c r="G16" i="48"/>
  <c r="H16" i="48"/>
  <c r="J16" i="48"/>
  <c r="K16" i="48"/>
  <c r="L16" i="48"/>
  <c r="M16" i="48"/>
  <c r="N16" i="48"/>
  <c r="P16" i="48"/>
  <c r="Q16" i="48" s="1"/>
  <c r="D17" i="48"/>
  <c r="F17" i="48"/>
  <c r="G17" i="48"/>
  <c r="H17" i="48"/>
  <c r="J17" i="48"/>
  <c r="K17" i="48"/>
  <c r="L17" i="48"/>
  <c r="M17" i="48"/>
  <c r="N17" i="48"/>
  <c r="P17" i="48"/>
  <c r="Q17" i="48" s="1"/>
  <c r="D18" i="48"/>
  <c r="F18" i="48"/>
  <c r="G18" i="48"/>
  <c r="H18" i="48"/>
  <c r="J18" i="48"/>
  <c r="K18" i="48"/>
  <c r="L18" i="48"/>
  <c r="M18" i="48"/>
  <c r="N18" i="48"/>
  <c r="P18" i="48"/>
  <c r="Q18" i="48" s="1"/>
  <c r="D19" i="48"/>
  <c r="F19" i="48"/>
  <c r="G19" i="48"/>
  <c r="H19" i="48"/>
  <c r="J19" i="48"/>
  <c r="K19" i="48"/>
  <c r="L19" i="48"/>
  <c r="M19" i="48"/>
  <c r="N19" i="48"/>
  <c r="P19" i="48"/>
  <c r="Q19" i="48" s="1"/>
  <c r="D20" i="48"/>
  <c r="F20" i="48"/>
  <c r="G20" i="48"/>
  <c r="H20" i="48"/>
  <c r="J20" i="48"/>
  <c r="K20" i="48"/>
  <c r="L20" i="48"/>
  <c r="M20" i="48"/>
  <c r="N20" i="48"/>
  <c r="P20" i="48"/>
  <c r="Q20" i="48" s="1"/>
  <c r="D21" i="48"/>
  <c r="F21" i="48"/>
  <c r="G21" i="48"/>
  <c r="H21" i="48"/>
  <c r="J21" i="48"/>
  <c r="K21" i="48"/>
  <c r="L21" i="48"/>
  <c r="M21" i="48"/>
  <c r="N21" i="48"/>
  <c r="P21" i="48"/>
  <c r="Q21" i="48" s="1"/>
  <c r="D22" i="48"/>
  <c r="F22" i="48"/>
  <c r="G22" i="48"/>
  <c r="H22" i="48"/>
  <c r="J22" i="48"/>
  <c r="K22" i="48"/>
  <c r="L22" i="48"/>
  <c r="M22" i="48"/>
  <c r="N22" i="48"/>
  <c r="P22" i="48"/>
  <c r="Q22" i="48" s="1"/>
  <c r="D23" i="48"/>
  <c r="F23" i="48"/>
  <c r="G23" i="48"/>
  <c r="H23" i="48"/>
  <c r="J23" i="48"/>
  <c r="K23" i="48"/>
  <c r="L23" i="48"/>
  <c r="M23" i="48"/>
  <c r="N23" i="48"/>
  <c r="P23" i="48"/>
  <c r="Q23" i="48" s="1"/>
  <c r="D24" i="48"/>
  <c r="F24" i="48"/>
  <c r="G24" i="48"/>
  <c r="H24" i="48"/>
  <c r="J24" i="48"/>
  <c r="K24" i="48"/>
  <c r="L24" i="48"/>
  <c r="M24" i="48"/>
  <c r="N24" i="48"/>
  <c r="P24" i="48"/>
  <c r="Q24" i="48" s="1"/>
  <c r="D25" i="48"/>
  <c r="F25" i="48"/>
  <c r="G25" i="48"/>
  <c r="H25" i="48"/>
  <c r="J25" i="48"/>
  <c r="K25" i="48"/>
  <c r="L25" i="48"/>
  <c r="M25" i="48"/>
  <c r="N25" i="48"/>
  <c r="P25" i="48"/>
  <c r="Q25" i="48" s="1"/>
  <c r="D26" i="48"/>
  <c r="F26" i="48"/>
  <c r="G26" i="48"/>
  <c r="H26" i="48"/>
  <c r="J26" i="48"/>
  <c r="K26" i="48"/>
  <c r="L26" i="48"/>
  <c r="M26" i="48"/>
  <c r="N26" i="48"/>
  <c r="P26" i="48"/>
  <c r="Q26" i="48" s="1"/>
  <c r="D27" i="48"/>
  <c r="F27" i="48"/>
  <c r="G27" i="48"/>
  <c r="H27" i="48"/>
  <c r="J27" i="48"/>
  <c r="K27" i="48"/>
  <c r="L27" i="48"/>
  <c r="M27" i="48"/>
  <c r="N27" i="48"/>
  <c r="P27" i="48"/>
  <c r="Q27" i="48" s="1"/>
  <c r="D28" i="48"/>
  <c r="F28" i="48"/>
  <c r="G28" i="48"/>
  <c r="H28" i="48"/>
  <c r="J28" i="48"/>
  <c r="K28" i="48"/>
  <c r="L28" i="48"/>
  <c r="M28" i="48"/>
  <c r="N28" i="48"/>
  <c r="P28" i="48"/>
  <c r="Q28" i="48" s="1"/>
  <c r="D29" i="48"/>
  <c r="F29" i="48"/>
  <c r="G29" i="48"/>
  <c r="H29" i="48"/>
  <c r="J29" i="48"/>
  <c r="K29" i="48"/>
  <c r="L29" i="48"/>
  <c r="M29" i="48"/>
  <c r="N29" i="48"/>
  <c r="P29" i="48"/>
  <c r="Q29" i="48" s="1"/>
  <c r="D30" i="48"/>
  <c r="F30" i="48"/>
  <c r="G30" i="48"/>
  <c r="H30" i="48"/>
  <c r="J30" i="48"/>
  <c r="K30" i="48"/>
  <c r="L30" i="48"/>
  <c r="M30" i="48"/>
  <c r="N30" i="48"/>
  <c r="P30" i="48"/>
  <c r="Q30" i="48" s="1"/>
  <c r="D31" i="48"/>
  <c r="F31" i="48"/>
  <c r="G31" i="48"/>
  <c r="H31" i="48"/>
  <c r="J31" i="48"/>
  <c r="K31" i="48"/>
  <c r="L31" i="48"/>
  <c r="M31" i="48"/>
  <c r="N31" i="48"/>
  <c r="P31" i="48"/>
  <c r="Q31" i="48" s="1"/>
  <c r="D32" i="48"/>
  <c r="F32" i="48"/>
  <c r="G32" i="48"/>
  <c r="H32" i="48"/>
  <c r="J32" i="48"/>
  <c r="K32" i="48"/>
  <c r="L32" i="48"/>
  <c r="M32" i="48"/>
  <c r="N32" i="48"/>
  <c r="P32" i="48"/>
  <c r="Q32" i="48" s="1"/>
  <c r="D33" i="48"/>
  <c r="F33" i="48"/>
  <c r="G33" i="48"/>
  <c r="H33" i="48"/>
  <c r="J33" i="48"/>
  <c r="K33" i="48"/>
  <c r="L33" i="48"/>
  <c r="M33" i="48"/>
  <c r="N33" i="48"/>
  <c r="P33" i="48"/>
  <c r="Q33" i="48" s="1"/>
  <c r="D34" i="48"/>
  <c r="F34" i="48"/>
  <c r="G34" i="48"/>
  <c r="H34" i="48"/>
  <c r="J34" i="48"/>
  <c r="K34" i="48"/>
  <c r="L34" i="48"/>
  <c r="M34" i="48"/>
  <c r="N34" i="48"/>
  <c r="P34" i="48"/>
  <c r="Q34" i="48" s="1"/>
  <c r="D35" i="48"/>
  <c r="F35" i="48"/>
  <c r="G35" i="48"/>
  <c r="H35" i="48"/>
  <c r="J35" i="48"/>
  <c r="K35" i="48"/>
  <c r="L35" i="48"/>
  <c r="M35" i="48"/>
  <c r="N35" i="48"/>
  <c r="P35" i="48"/>
  <c r="Q35" i="48" s="1"/>
  <c r="D36" i="48"/>
  <c r="F36" i="48"/>
  <c r="G36" i="48"/>
  <c r="H36" i="48"/>
  <c r="J36" i="48"/>
  <c r="K36" i="48"/>
  <c r="L36" i="48"/>
  <c r="M36" i="48"/>
  <c r="N36" i="48"/>
  <c r="P36" i="48"/>
  <c r="Q36" i="48" s="1"/>
  <c r="D37" i="48"/>
  <c r="F37" i="48"/>
  <c r="G37" i="48"/>
  <c r="H37" i="48"/>
  <c r="J37" i="48"/>
  <c r="K37" i="48"/>
  <c r="L37" i="48"/>
  <c r="M37" i="48"/>
  <c r="N37" i="48"/>
  <c r="P37" i="48"/>
  <c r="Q37" i="48" s="1"/>
  <c r="D38" i="48"/>
  <c r="F38" i="48"/>
  <c r="G38" i="48"/>
  <c r="H38" i="48"/>
  <c r="J38" i="48"/>
  <c r="K38" i="48"/>
  <c r="L38" i="48"/>
  <c r="M38" i="48"/>
  <c r="N38" i="48"/>
  <c r="P38" i="48"/>
  <c r="Q38" i="48" s="1"/>
  <c r="D39" i="48"/>
  <c r="F39" i="48"/>
  <c r="G39" i="48"/>
  <c r="H39" i="48"/>
  <c r="J39" i="48"/>
  <c r="K39" i="48"/>
  <c r="L39" i="48"/>
  <c r="M39" i="48"/>
  <c r="N39" i="48"/>
  <c r="P39" i="48"/>
  <c r="Q39" i="48" s="1"/>
  <c r="D40" i="48"/>
  <c r="F40" i="48"/>
  <c r="G40" i="48"/>
  <c r="H40" i="48"/>
  <c r="J40" i="48"/>
  <c r="K40" i="48"/>
  <c r="L40" i="48"/>
  <c r="M40" i="48"/>
  <c r="N40" i="48"/>
  <c r="P40" i="48"/>
  <c r="Q40" i="48" s="1"/>
  <c r="D41" i="48"/>
  <c r="F41" i="48"/>
  <c r="G41" i="48"/>
  <c r="H41" i="48"/>
  <c r="J41" i="48"/>
  <c r="K41" i="48"/>
  <c r="L41" i="48"/>
  <c r="M41" i="48"/>
  <c r="N41" i="48"/>
  <c r="P41" i="48"/>
  <c r="Q41" i="48" s="1"/>
  <c r="D17" i="47"/>
  <c r="F17" i="47"/>
  <c r="G17" i="47"/>
  <c r="H17" i="47"/>
  <c r="J17" i="47"/>
  <c r="K17" i="47"/>
  <c r="L17" i="47"/>
  <c r="M17" i="47"/>
  <c r="N17" i="47"/>
  <c r="P17" i="47"/>
  <c r="Q17" i="47" s="1"/>
  <c r="P22" i="47"/>
  <c r="Q22" i="47" s="1"/>
  <c r="N22" i="47"/>
  <c r="M22" i="47"/>
  <c r="L22" i="47"/>
  <c r="K22" i="47"/>
  <c r="J22" i="47"/>
  <c r="H22" i="47"/>
  <c r="G22" i="47"/>
  <c r="F22" i="47"/>
  <c r="D22" i="47"/>
  <c r="D25" i="49"/>
  <c r="F25" i="49"/>
  <c r="G25" i="49"/>
  <c r="H25" i="49"/>
  <c r="J25" i="49"/>
  <c r="K25" i="49"/>
  <c r="L25" i="49"/>
  <c r="M25" i="49"/>
  <c r="N25" i="49"/>
  <c r="P25" i="49"/>
  <c r="Q25" i="49" s="1"/>
  <c r="D26" i="49"/>
  <c r="F26" i="49"/>
  <c r="G26" i="49"/>
  <c r="H26" i="49"/>
  <c r="J26" i="49"/>
  <c r="K26" i="49"/>
  <c r="L26" i="49"/>
  <c r="M26" i="49"/>
  <c r="N26" i="49"/>
  <c r="P26" i="49"/>
  <c r="Q26" i="49" s="1"/>
  <c r="D27" i="49"/>
  <c r="F27" i="49"/>
  <c r="G27" i="49"/>
  <c r="H27" i="49"/>
  <c r="J27" i="49"/>
  <c r="K27" i="49"/>
  <c r="L27" i="49"/>
  <c r="M27" i="49"/>
  <c r="N27" i="49"/>
  <c r="P27" i="49"/>
  <c r="Q27" i="49" s="1"/>
  <c r="D28" i="49"/>
  <c r="F28" i="49"/>
  <c r="G28" i="49"/>
  <c r="H28" i="49"/>
  <c r="J28" i="49"/>
  <c r="K28" i="49"/>
  <c r="L28" i="49"/>
  <c r="M28" i="49"/>
  <c r="N28" i="49"/>
  <c r="P28" i="49"/>
  <c r="Q28" i="49" s="1"/>
  <c r="D29" i="49"/>
  <c r="F29" i="49"/>
  <c r="G29" i="49"/>
  <c r="H29" i="49"/>
  <c r="J29" i="49"/>
  <c r="K29" i="49"/>
  <c r="L29" i="49"/>
  <c r="M29" i="49"/>
  <c r="N29" i="49"/>
  <c r="P29" i="49"/>
  <c r="Q29" i="49" s="1"/>
  <c r="D30" i="49"/>
  <c r="F30" i="49"/>
  <c r="G30" i="49"/>
  <c r="H30" i="49"/>
  <c r="J30" i="49"/>
  <c r="K30" i="49"/>
  <c r="L30" i="49"/>
  <c r="M30" i="49"/>
  <c r="N30" i="49"/>
  <c r="P30" i="49"/>
  <c r="Q30" i="49" s="1"/>
  <c r="D31" i="49"/>
  <c r="F31" i="49"/>
  <c r="G31" i="49"/>
  <c r="H31" i="49"/>
  <c r="J31" i="49"/>
  <c r="K31" i="49"/>
  <c r="L31" i="49"/>
  <c r="M31" i="49"/>
  <c r="N31" i="49"/>
  <c r="P31" i="49"/>
  <c r="Q31" i="49" s="1"/>
  <c r="D32" i="49"/>
  <c r="F32" i="49"/>
  <c r="G32" i="49"/>
  <c r="H32" i="49"/>
  <c r="J32" i="49"/>
  <c r="K32" i="49"/>
  <c r="L32" i="49"/>
  <c r="M32" i="49"/>
  <c r="N32" i="49"/>
  <c r="P32" i="49"/>
  <c r="Q32" i="49" s="1"/>
  <c r="D33" i="49"/>
  <c r="F33" i="49"/>
  <c r="G33" i="49"/>
  <c r="H33" i="49"/>
  <c r="J33" i="49"/>
  <c r="K33" i="49"/>
  <c r="L33" i="49"/>
  <c r="M33" i="49"/>
  <c r="N33" i="49"/>
  <c r="P33" i="49"/>
  <c r="Q33" i="49" s="1"/>
  <c r="D34" i="49"/>
  <c r="F34" i="49"/>
  <c r="G34" i="49"/>
  <c r="H34" i="49"/>
  <c r="J34" i="49"/>
  <c r="K34" i="49"/>
  <c r="L34" i="49"/>
  <c r="M34" i="49"/>
  <c r="N34" i="49"/>
  <c r="P34" i="49"/>
  <c r="Q34" i="49" s="1"/>
  <c r="D23" i="47"/>
  <c r="F23" i="47"/>
  <c r="G23" i="47"/>
  <c r="H23" i="47"/>
  <c r="J23" i="47"/>
  <c r="K23" i="47"/>
  <c r="L23" i="47"/>
  <c r="M23" i="47"/>
  <c r="N23" i="47"/>
  <c r="P23" i="47"/>
  <c r="Q23" i="47" s="1"/>
  <c r="D24" i="47"/>
  <c r="F24" i="47"/>
  <c r="G24" i="47"/>
  <c r="H24" i="47"/>
  <c r="J24" i="47"/>
  <c r="K24" i="47"/>
  <c r="L24" i="47"/>
  <c r="M24" i="47"/>
  <c r="N24" i="47"/>
  <c r="P24" i="47"/>
  <c r="Q24" i="47" s="1"/>
  <c r="D25" i="47"/>
  <c r="F25" i="47"/>
  <c r="G25" i="47"/>
  <c r="H25" i="47"/>
  <c r="J25" i="47"/>
  <c r="K25" i="47"/>
  <c r="L25" i="47"/>
  <c r="M25" i="47"/>
  <c r="N25" i="47"/>
  <c r="P25" i="47"/>
  <c r="Q25" i="47" s="1"/>
  <c r="D26" i="47"/>
  <c r="F26" i="47"/>
  <c r="G26" i="47"/>
  <c r="H26" i="47"/>
  <c r="J26" i="47"/>
  <c r="K26" i="47"/>
  <c r="L26" i="47"/>
  <c r="M26" i="47"/>
  <c r="N26" i="47"/>
  <c r="P26" i="47"/>
  <c r="Q26" i="47" s="1"/>
  <c r="D27" i="47"/>
  <c r="F27" i="47"/>
  <c r="G27" i="47"/>
  <c r="H27" i="47"/>
  <c r="J27" i="47"/>
  <c r="K27" i="47"/>
  <c r="L27" i="47"/>
  <c r="M27" i="47"/>
  <c r="N27" i="47"/>
  <c r="P27" i="47"/>
  <c r="Q27" i="47" s="1"/>
  <c r="D28" i="47"/>
  <c r="F28" i="47"/>
  <c r="G28" i="47"/>
  <c r="H28" i="47"/>
  <c r="J28" i="47"/>
  <c r="K28" i="47"/>
  <c r="L28" i="47"/>
  <c r="M28" i="47"/>
  <c r="N28" i="47"/>
  <c r="P28" i="47"/>
  <c r="Q28" i="47" s="1"/>
  <c r="D29" i="47"/>
  <c r="F29" i="47"/>
  <c r="G29" i="47"/>
  <c r="H29" i="47"/>
  <c r="J29" i="47"/>
  <c r="K29" i="47"/>
  <c r="L29" i="47"/>
  <c r="M29" i="47"/>
  <c r="N29" i="47"/>
  <c r="P29" i="47"/>
  <c r="Q29" i="47" s="1"/>
  <c r="D30" i="47"/>
  <c r="F30" i="47"/>
  <c r="G30" i="47"/>
  <c r="H30" i="47"/>
  <c r="J30" i="47"/>
  <c r="K30" i="47"/>
  <c r="L30" i="47"/>
  <c r="M30" i="47"/>
  <c r="N30" i="47"/>
  <c r="P30" i="47"/>
  <c r="Q30" i="47" s="1"/>
  <c r="D31" i="47"/>
  <c r="F31" i="47"/>
  <c r="G31" i="47"/>
  <c r="H31" i="47"/>
  <c r="J31" i="47"/>
  <c r="K31" i="47"/>
  <c r="L31" i="47"/>
  <c r="M31" i="47"/>
  <c r="N31" i="47"/>
  <c r="P31" i="47"/>
  <c r="Q31" i="47" s="1"/>
  <c r="D32" i="47"/>
  <c r="F32" i="47"/>
  <c r="G32" i="47"/>
  <c r="H32" i="47"/>
  <c r="J32" i="47"/>
  <c r="K32" i="47"/>
  <c r="L32" i="47"/>
  <c r="M32" i="47"/>
  <c r="N32" i="47"/>
  <c r="P32" i="47"/>
  <c r="Q32" i="47" s="1"/>
  <c r="D33" i="47"/>
  <c r="F33" i="47"/>
  <c r="G33" i="47"/>
  <c r="H33" i="47"/>
  <c r="J33" i="47"/>
  <c r="K33" i="47"/>
  <c r="L33" i="47"/>
  <c r="M33" i="47"/>
  <c r="N33" i="47"/>
  <c r="P33" i="47"/>
  <c r="Q33" i="47" s="1"/>
  <c r="D34" i="47"/>
  <c r="F34" i="47"/>
  <c r="G34" i="47"/>
  <c r="H34" i="47"/>
  <c r="J34" i="47"/>
  <c r="K34" i="47"/>
  <c r="L34" i="47"/>
  <c r="M34" i="47"/>
  <c r="N34" i="47"/>
  <c r="P34" i="47"/>
  <c r="Q34" i="47" s="1"/>
  <c r="D35" i="47"/>
  <c r="F35" i="47"/>
  <c r="G35" i="47"/>
  <c r="H35" i="47"/>
  <c r="J35" i="47"/>
  <c r="K35" i="47"/>
  <c r="L35" i="47"/>
  <c r="M35" i="47"/>
  <c r="N35" i="47"/>
  <c r="P35" i="47"/>
  <c r="Q35" i="47" s="1"/>
  <c r="D36" i="47"/>
  <c r="F36" i="47"/>
  <c r="G36" i="47"/>
  <c r="H36" i="47"/>
  <c r="J36" i="47"/>
  <c r="K36" i="47"/>
  <c r="L36" i="47"/>
  <c r="M36" i="47"/>
  <c r="N36" i="47"/>
  <c r="P36" i="47"/>
  <c r="Q36" i="47" s="1"/>
  <c r="D37" i="47"/>
  <c r="F37" i="47"/>
  <c r="G37" i="47"/>
  <c r="H37" i="47"/>
  <c r="J37" i="47"/>
  <c r="K37" i="47"/>
  <c r="L37" i="47"/>
  <c r="M37" i="47"/>
  <c r="N37" i="47"/>
  <c r="P37" i="47"/>
  <c r="Q37" i="47" s="1"/>
  <c r="D38" i="47"/>
  <c r="F38" i="47"/>
  <c r="G38" i="47"/>
  <c r="H38" i="47"/>
  <c r="J38" i="47"/>
  <c r="K38" i="47"/>
  <c r="L38" i="47"/>
  <c r="M38" i="47"/>
  <c r="N38" i="47"/>
  <c r="P38" i="47"/>
  <c r="Q38" i="47" s="1"/>
  <c r="D39" i="47"/>
  <c r="F39" i="47"/>
  <c r="G39" i="47"/>
  <c r="H39" i="47"/>
  <c r="J39" i="47"/>
  <c r="K39" i="47"/>
  <c r="L39" i="47"/>
  <c r="M39" i="47"/>
  <c r="N39" i="47"/>
  <c r="P39" i="47"/>
  <c r="Q39" i="47" s="1"/>
  <c r="D40" i="47"/>
  <c r="F40" i="47"/>
  <c r="G40" i="47"/>
  <c r="H40" i="47"/>
  <c r="J40" i="47"/>
  <c r="K40" i="47"/>
  <c r="L40" i="47"/>
  <c r="M40" i="47"/>
  <c r="N40" i="47"/>
  <c r="P40" i="47"/>
  <c r="Q40" i="47" s="1"/>
  <c r="D41" i="47"/>
  <c r="F41" i="47"/>
  <c r="G41" i="47"/>
  <c r="H41" i="47"/>
  <c r="J41" i="47"/>
  <c r="K41" i="47"/>
  <c r="L41" i="47"/>
  <c r="M41" i="47"/>
  <c r="N41" i="47"/>
  <c r="P41" i="47"/>
  <c r="Q41" i="47" s="1"/>
  <c r="D42" i="47"/>
  <c r="F42" i="47"/>
  <c r="G42" i="47"/>
  <c r="H42" i="47"/>
  <c r="J42" i="47"/>
  <c r="K42" i="47"/>
  <c r="L42" i="47"/>
  <c r="M42" i="47"/>
  <c r="N42" i="47"/>
  <c r="P42" i="47"/>
  <c r="Q42" i="47" s="1"/>
  <c r="D43" i="47"/>
  <c r="F43" i="47"/>
  <c r="G43" i="47"/>
  <c r="H43" i="47"/>
  <c r="J43" i="47"/>
  <c r="K43" i="47"/>
  <c r="L43" i="47"/>
  <c r="M43" i="47"/>
  <c r="N43" i="47"/>
  <c r="P43" i="47"/>
  <c r="Q43" i="47" s="1"/>
  <c r="D44" i="47"/>
  <c r="F44" i="47"/>
  <c r="G44" i="47"/>
  <c r="H44" i="47"/>
  <c r="J44" i="47"/>
  <c r="K44" i="47"/>
  <c r="L44" i="47"/>
  <c r="M44" i="47"/>
  <c r="N44" i="47"/>
  <c r="P44" i="47"/>
  <c r="Q44" i="47" s="1"/>
  <c r="D45" i="47"/>
  <c r="F45" i="47"/>
  <c r="G45" i="47"/>
  <c r="H45" i="47"/>
  <c r="J45" i="47"/>
  <c r="K45" i="47"/>
  <c r="L45" i="47"/>
  <c r="M45" i="47"/>
  <c r="N45" i="47"/>
  <c r="P45" i="47"/>
  <c r="Q45" i="47" s="1"/>
  <c r="D46" i="47"/>
  <c r="F46" i="47"/>
  <c r="G46" i="47"/>
  <c r="H46" i="47"/>
  <c r="J46" i="47"/>
  <c r="K46" i="47"/>
  <c r="L46" i="47"/>
  <c r="M46" i="47"/>
  <c r="N46" i="47"/>
  <c r="P46" i="47"/>
  <c r="Q46" i="47" s="1"/>
  <c r="D47" i="47"/>
  <c r="F47" i="47"/>
  <c r="G47" i="47"/>
  <c r="H47" i="47"/>
  <c r="J47" i="47"/>
  <c r="K47" i="47"/>
  <c r="L47" i="47"/>
  <c r="M47" i="47"/>
  <c r="N47" i="47"/>
  <c r="P47" i="47"/>
  <c r="Q47" i="47" s="1"/>
  <c r="D48" i="47"/>
  <c r="F48" i="47"/>
  <c r="G48" i="47"/>
  <c r="H48" i="47"/>
  <c r="J48" i="47"/>
  <c r="K48" i="47"/>
  <c r="L48" i="47"/>
  <c r="M48" i="47"/>
  <c r="N48" i="47"/>
  <c r="P48" i="47"/>
  <c r="Q48" i="47" s="1"/>
  <c r="D49" i="47"/>
  <c r="F49" i="47"/>
  <c r="G49" i="47"/>
  <c r="H49" i="47"/>
  <c r="J49" i="47"/>
  <c r="K49" i="47"/>
  <c r="L49" i="47"/>
  <c r="M49" i="47"/>
  <c r="N49" i="47"/>
  <c r="P49" i="47"/>
  <c r="Q49" i="47" s="1"/>
  <c r="D50" i="47"/>
  <c r="F50" i="47"/>
  <c r="G50" i="47"/>
  <c r="H50" i="47"/>
  <c r="J50" i="47"/>
  <c r="K50" i="47"/>
  <c r="L50" i="47"/>
  <c r="M50" i="47"/>
  <c r="N50" i="47"/>
  <c r="P50" i="47"/>
  <c r="Q50" i="47" s="1"/>
  <c r="D51" i="47"/>
  <c r="F51" i="47"/>
  <c r="G51" i="47"/>
  <c r="H51" i="47"/>
  <c r="J51" i="47"/>
  <c r="K51" i="47"/>
  <c r="L51" i="47"/>
  <c r="M51" i="47"/>
  <c r="N51" i="47"/>
  <c r="P51" i="47"/>
  <c r="Q51" i="47" s="1"/>
  <c r="D52" i="47"/>
  <c r="F52" i="47"/>
  <c r="G52" i="47"/>
  <c r="H52" i="47"/>
  <c r="J52" i="47"/>
  <c r="K52" i="47"/>
  <c r="L52" i="47"/>
  <c r="M52" i="47"/>
  <c r="N52" i="47"/>
  <c r="P52" i="47"/>
  <c r="Q52" i="47" s="1"/>
  <c r="D53" i="47"/>
  <c r="F53" i="47"/>
  <c r="G53" i="47"/>
  <c r="H53" i="47"/>
  <c r="J53" i="47"/>
  <c r="K53" i="47"/>
  <c r="L53" i="47"/>
  <c r="M53" i="47"/>
  <c r="N53" i="47"/>
  <c r="P53" i="47"/>
  <c r="Q53" i="47" s="1"/>
  <c r="D54" i="47"/>
  <c r="F54" i="47"/>
  <c r="G54" i="47"/>
  <c r="H54" i="47"/>
  <c r="J54" i="47"/>
  <c r="K54" i="47"/>
  <c r="L54" i="47"/>
  <c r="M54" i="47"/>
  <c r="N54" i="47"/>
  <c r="P54" i="47"/>
  <c r="Q54" i="47" s="1"/>
  <c r="D55" i="47"/>
  <c r="F55" i="47"/>
  <c r="G55" i="47"/>
  <c r="H55" i="47"/>
  <c r="J55" i="47"/>
  <c r="K55" i="47"/>
  <c r="L55" i="47"/>
  <c r="M55" i="47"/>
  <c r="N55" i="47"/>
  <c r="P55" i="47"/>
  <c r="Q55" i="47" s="1"/>
  <c r="D56" i="47"/>
  <c r="F56" i="47"/>
  <c r="G56" i="47"/>
  <c r="H56" i="47"/>
  <c r="J56" i="47"/>
  <c r="K56" i="47"/>
  <c r="L56" i="47"/>
  <c r="M56" i="47"/>
  <c r="N56" i="47"/>
  <c r="P56" i="47"/>
  <c r="Q56" i="47" s="1"/>
  <c r="D57" i="47"/>
  <c r="F57" i="47"/>
  <c r="G57" i="47"/>
  <c r="H57" i="47"/>
  <c r="J57" i="47"/>
  <c r="K57" i="47"/>
  <c r="L57" i="47"/>
  <c r="M57" i="47"/>
  <c r="N57" i="47"/>
  <c r="P57" i="47"/>
  <c r="Q57" i="47" s="1"/>
  <c r="D58" i="47"/>
  <c r="F58" i="47"/>
  <c r="G58" i="47"/>
  <c r="H58" i="47"/>
  <c r="J58" i="47"/>
  <c r="K58" i="47"/>
  <c r="L58" i="47"/>
  <c r="M58" i="47"/>
  <c r="N58" i="47"/>
  <c r="P58" i="47"/>
  <c r="Q58" i="47" s="1"/>
  <c r="D59" i="47"/>
  <c r="F59" i="47"/>
  <c r="G59" i="47"/>
  <c r="H59" i="47"/>
  <c r="J59" i="47"/>
  <c r="K59" i="47"/>
  <c r="L59" i="47"/>
  <c r="M59" i="47"/>
  <c r="N59" i="47"/>
  <c r="P59" i="47"/>
  <c r="Q59" i="47" s="1"/>
  <c r="D60" i="47"/>
  <c r="F60" i="47"/>
  <c r="G60" i="47"/>
  <c r="H60" i="47"/>
  <c r="J60" i="47"/>
  <c r="K60" i="47"/>
  <c r="L60" i="47"/>
  <c r="M60" i="47"/>
  <c r="N60" i="47"/>
  <c r="P60" i="47"/>
  <c r="Q60" i="47" s="1"/>
  <c r="D61" i="47"/>
  <c r="F61" i="47"/>
  <c r="G61" i="47"/>
  <c r="H61" i="47"/>
  <c r="J61" i="47"/>
  <c r="K61" i="47"/>
  <c r="L61" i="47"/>
  <c r="M61" i="47"/>
  <c r="N61" i="47"/>
  <c r="P61" i="47"/>
  <c r="Q61" i="47" s="1"/>
  <c r="D62" i="47"/>
  <c r="F62" i="47"/>
  <c r="G62" i="47"/>
  <c r="H62" i="47"/>
  <c r="J62" i="47"/>
  <c r="K62" i="47"/>
  <c r="L62" i="47"/>
  <c r="M62" i="47"/>
  <c r="N62" i="47"/>
  <c r="P62" i="47"/>
  <c r="Q62" i="47" s="1"/>
  <c r="D63" i="47"/>
  <c r="F63" i="47"/>
  <c r="G63" i="47"/>
  <c r="H63" i="47"/>
  <c r="J63" i="47"/>
  <c r="K63" i="47"/>
  <c r="L63" i="47"/>
  <c r="M63" i="47"/>
  <c r="N63" i="47"/>
  <c r="P63" i="47"/>
  <c r="Q63" i="47" s="1"/>
  <c r="F37" i="46"/>
  <c r="G37" i="46"/>
  <c r="H37" i="46"/>
  <c r="J37" i="46"/>
  <c r="K37" i="46"/>
  <c r="L37" i="46"/>
  <c r="M37" i="46"/>
  <c r="N37" i="46"/>
  <c r="P37" i="46"/>
  <c r="Q37" i="46" s="1"/>
  <c r="F38" i="46"/>
  <c r="G38" i="46"/>
  <c r="H38" i="46"/>
  <c r="J38" i="46"/>
  <c r="K38" i="46"/>
  <c r="L38" i="46"/>
  <c r="M38" i="46"/>
  <c r="N38" i="46"/>
  <c r="P38" i="46"/>
  <c r="Q38" i="46" s="1"/>
  <c r="F39" i="46"/>
  <c r="G39" i="46"/>
  <c r="H39" i="46"/>
  <c r="J39" i="46"/>
  <c r="K39" i="46"/>
  <c r="L39" i="46"/>
  <c r="M39" i="46"/>
  <c r="N39" i="46"/>
  <c r="P39" i="46"/>
  <c r="Q39" i="46" s="1"/>
  <c r="F40" i="46"/>
  <c r="G40" i="46"/>
  <c r="H40" i="46"/>
  <c r="J40" i="46"/>
  <c r="K40" i="46"/>
  <c r="L40" i="46"/>
  <c r="M40" i="46"/>
  <c r="N40" i="46"/>
  <c r="P40" i="46"/>
  <c r="Q40" i="46" s="1"/>
  <c r="F41" i="46"/>
  <c r="G41" i="46"/>
  <c r="H41" i="46"/>
  <c r="J41" i="46"/>
  <c r="K41" i="46"/>
  <c r="L41" i="46"/>
  <c r="M41" i="46"/>
  <c r="N41" i="46"/>
  <c r="P41" i="46"/>
  <c r="Q41" i="46" s="1"/>
  <c r="F42" i="46"/>
  <c r="G42" i="46"/>
  <c r="H42" i="46"/>
  <c r="J42" i="46"/>
  <c r="K42" i="46"/>
  <c r="L42" i="46"/>
  <c r="M42" i="46"/>
  <c r="N42" i="46"/>
  <c r="P42" i="46"/>
  <c r="Q42" i="46" s="1"/>
  <c r="F43" i="46"/>
  <c r="G43" i="46"/>
  <c r="H43" i="46"/>
  <c r="J43" i="46"/>
  <c r="K43" i="46"/>
  <c r="L43" i="46"/>
  <c r="M43" i="46"/>
  <c r="N43" i="46"/>
  <c r="P43" i="46"/>
  <c r="Q43" i="46" s="1"/>
  <c r="F44" i="46"/>
  <c r="G44" i="46"/>
  <c r="H44" i="46"/>
  <c r="J44" i="46"/>
  <c r="K44" i="46"/>
  <c r="L44" i="46"/>
  <c r="M44" i="46"/>
  <c r="N44" i="46"/>
  <c r="P44" i="46"/>
  <c r="Q44" i="46" s="1"/>
  <c r="F45" i="46"/>
  <c r="G45" i="46"/>
  <c r="H45" i="46"/>
  <c r="J45" i="46"/>
  <c r="K45" i="46"/>
  <c r="L45" i="46"/>
  <c r="M45" i="46"/>
  <c r="N45" i="46"/>
  <c r="P45" i="46"/>
  <c r="Q45" i="46" s="1"/>
  <c r="F46" i="46"/>
  <c r="G46" i="46"/>
  <c r="H46" i="46"/>
  <c r="J46" i="46"/>
  <c r="K46" i="46"/>
  <c r="L46" i="46"/>
  <c r="M46" i="46"/>
  <c r="N46" i="46"/>
  <c r="P46" i="46"/>
  <c r="Q46" i="46" s="1"/>
  <c r="F47" i="46"/>
  <c r="G47" i="46"/>
  <c r="H47" i="46"/>
  <c r="J47" i="46"/>
  <c r="K47" i="46"/>
  <c r="L47" i="46"/>
  <c r="M47" i="46"/>
  <c r="N47" i="46"/>
  <c r="P47" i="46"/>
  <c r="Q47" i="46" s="1"/>
  <c r="F48" i="46"/>
  <c r="G48" i="46"/>
  <c r="H48" i="46"/>
  <c r="J48" i="46"/>
  <c r="K48" i="46"/>
  <c r="L48" i="46"/>
  <c r="M48" i="46"/>
  <c r="N48" i="46"/>
  <c r="P48" i="46"/>
  <c r="Q48" i="46" s="1"/>
  <c r="F49" i="46"/>
  <c r="G49" i="46"/>
  <c r="H49" i="46"/>
  <c r="J49" i="46"/>
  <c r="K49" i="46"/>
  <c r="L49" i="46"/>
  <c r="M49" i="46"/>
  <c r="N49" i="46"/>
  <c r="P49" i="46"/>
  <c r="Q49" i="46" s="1"/>
  <c r="F50" i="46"/>
  <c r="G50" i="46"/>
  <c r="H50" i="46"/>
  <c r="J50" i="46"/>
  <c r="K50" i="46"/>
  <c r="L50" i="46"/>
  <c r="M50" i="46"/>
  <c r="N50" i="46"/>
  <c r="P50" i="46"/>
  <c r="Q50" i="46" s="1"/>
  <c r="F51" i="46"/>
  <c r="G51" i="46"/>
  <c r="H51" i="46"/>
  <c r="J51" i="46"/>
  <c r="K51" i="46"/>
  <c r="L51" i="46"/>
  <c r="M51" i="46"/>
  <c r="N51" i="46"/>
  <c r="P51" i="46"/>
  <c r="Q51" i="46" s="1"/>
  <c r="F52" i="46"/>
  <c r="G52" i="46"/>
  <c r="H52" i="46"/>
  <c r="J52" i="46"/>
  <c r="K52" i="46"/>
  <c r="L52" i="46"/>
  <c r="M52" i="46"/>
  <c r="N52" i="46"/>
  <c r="P52" i="46"/>
  <c r="Q52" i="46" s="1"/>
  <c r="F53" i="46"/>
  <c r="G53" i="46"/>
  <c r="H53" i="46"/>
  <c r="J53" i="46"/>
  <c r="K53" i="46"/>
  <c r="L53" i="46"/>
  <c r="M53" i="46"/>
  <c r="N53" i="46"/>
  <c r="P53" i="46"/>
  <c r="Q53" i="46" s="1"/>
  <c r="F54" i="46"/>
  <c r="G54" i="46"/>
  <c r="H54" i="46"/>
  <c r="J54" i="46"/>
  <c r="K54" i="46"/>
  <c r="L54" i="46"/>
  <c r="M54" i="46"/>
  <c r="N54" i="46"/>
  <c r="P54" i="46"/>
  <c r="Q54" i="46" s="1"/>
  <c r="F55" i="46"/>
  <c r="G55" i="46"/>
  <c r="H55" i="46"/>
  <c r="J55" i="46"/>
  <c r="K55" i="46"/>
  <c r="L55" i="46"/>
  <c r="M55" i="46"/>
  <c r="N55" i="46"/>
  <c r="P55" i="46"/>
  <c r="Q55" i="46" s="1"/>
  <c r="F56" i="46"/>
  <c r="G56" i="46"/>
  <c r="H56" i="46"/>
  <c r="J56" i="46"/>
  <c r="K56" i="46"/>
  <c r="L56" i="46"/>
  <c r="M56" i="46"/>
  <c r="N56" i="46"/>
  <c r="P56" i="46"/>
  <c r="Q56" i="46" s="1"/>
  <c r="F57" i="46"/>
  <c r="G57" i="46"/>
  <c r="H57" i="46"/>
  <c r="J57" i="46"/>
  <c r="K57" i="46"/>
  <c r="L57" i="46"/>
  <c r="M57" i="46"/>
  <c r="N57" i="46"/>
  <c r="P57" i="46"/>
  <c r="Q57" i="46" s="1"/>
  <c r="F58" i="46"/>
  <c r="G58" i="46"/>
  <c r="H58" i="46"/>
  <c r="J58" i="46"/>
  <c r="K58" i="46"/>
  <c r="L58" i="46"/>
  <c r="M58" i="46"/>
  <c r="N58" i="46"/>
  <c r="P58" i="46"/>
  <c r="Q58" i="46" s="1"/>
  <c r="F59" i="46"/>
  <c r="G59" i="46"/>
  <c r="H59" i="46"/>
  <c r="J59" i="46"/>
  <c r="K59" i="46"/>
  <c r="L59" i="46"/>
  <c r="M59" i="46"/>
  <c r="N59" i="46"/>
  <c r="P59" i="46"/>
  <c r="Q59" i="46" s="1"/>
  <c r="F60" i="46"/>
  <c r="G60" i="46"/>
  <c r="H60" i="46"/>
  <c r="J60" i="46"/>
  <c r="K60" i="46"/>
  <c r="L60" i="46"/>
  <c r="M60" i="46"/>
  <c r="N60" i="46"/>
  <c r="P60" i="46"/>
  <c r="Q60" i="46" s="1"/>
  <c r="F61" i="46"/>
  <c r="G61" i="46"/>
  <c r="H61" i="46"/>
  <c r="J61" i="46"/>
  <c r="K61" i="46"/>
  <c r="L61" i="46"/>
  <c r="M61" i="46"/>
  <c r="N61" i="46"/>
  <c r="P61" i="46"/>
  <c r="Q61" i="46" s="1"/>
  <c r="F62" i="46"/>
  <c r="G62" i="46"/>
  <c r="H62" i="46"/>
  <c r="J62" i="46"/>
  <c r="K62" i="46"/>
  <c r="L62" i="46"/>
  <c r="M62" i="46"/>
  <c r="N62" i="46"/>
  <c r="P62" i="46"/>
  <c r="Q62" i="46" s="1"/>
  <c r="F63" i="46"/>
  <c r="G63" i="46"/>
  <c r="H63" i="46"/>
  <c r="J63" i="46"/>
  <c r="K63" i="46"/>
  <c r="L63" i="46"/>
  <c r="M63" i="46"/>
  <c r="N63" i="46"/>
  <c r="P63" i="46"/>
  <c r="Q63" i="46" s="1"/>
  <c r="F64" i="46"/>
  <c r="G64" i="46"/>
  <c r="H64" i="46"/>
  <c r="J64" i="46"/>
  <c r="K64" i="46"/>
  <c r="L64" i="46"/>
  <c r="M64" i="46"/>
  <c r="N64" i="46"/>
  <c r="P64" i="46"/>
  <c r="Q64" i="46" s="1"/>
  <c r="F65" i="46"/>
  <c r="G65" i="46"/>
  <c r="H65" i="46"/>
  <c r="J65" i="46"/>
  <c r="K65" i="46"/>
  <c r="L65" i="46"/>
  <c r="M65" i="46"/>
  <c r="N65" i="46"/>
  <c r="P65" i="46"/>
  <c r="Q65" i="46" s="1"/>
  <c r="F66" i="46"/>
  <c r="G66" i="46"/>
  <c r="H66" i="46"/>
  <c r="J66" i="46"/>
  <c r="K66" i="46"/>
  <c r="L66" i="46"/>
  <c r="M66" i="46"/>
  <c r="N66" i="46"/>
  <c r="P66" i="46"/>
  <c r="Q66" i="46" s="1"/>
  <c r="F67" i="46"/>
  <c r="G67" i="46"/>
  <c r="H67" i="46"/>
  <c r="J67" i="46"/>
  <c r="K67" i="46"/>
  <c r="L67" i="46"/>
  <c r="M67" i="46"/>
  <c r="N67" i="46"/>
  <c r="P67" i="46"/>
  <c r="Q67" i="46" s="1"/>
  <c r="F68" i="46"/>
  <c r="G68" i="46"/>
  <c r="H68" i="46"/>
  <c r="J68" i="46"/>
  <c r="K68" i="46"/>
  <c r="L68" i="46"/>
  <c r="M68" i="46"/>
  <c r="N68" i="46"/>
  <c r="P68" i="46"/>
  <c r="Q68" i="46" s="1"/>
  <c r="F69" i="46"/>
  <c r="G69" i="46"/>
  <c r="H69" i="46"/>
  <c r="J69" i="46"/>
  <c r="K69" i="46"/>
  <c r="L69" i="46"/>
  <c r="M69" i="46"/>
  <c r="N69" i="46"/>
  <c r="P69" i="46"/>
  <c r="Q69" i="46" s="1"/>
  <c r="F70" i="46"/>
  <c r="G70" i="46"/>
  <c r="H70" i="46"/>
  <c r="J70" i="46"/>
  <c r="K70" i="46"/>
  <c r="L70" i="46"/>
  <c r="M70" i="46"/>
  <c r="N70" i="46"/>
  <c r="P70" i="46"/>
  <c r="Q70" i="46" s="1"/>
  <c r="F71" i="46"/>
  <c r="G71" i="46"/>
  <c r="H71" i="46"/>
  <c r="J71" i="46"/>
  <c r="K71" i="46"/>
  <c r="L71" i="46"/>
  <c r="M71" i="46"/>
  <c r="N71" i="46"/>
  <c r="P71" i="46"/>
  <c r="Q71" i="46" s="1"/>
  <c r="F72" i="46"/>
  <c r="G72" i="46"/>
  <c r="H72" i="46"/>
  <c r="J72" i="46"/>
  <c r="K72" i="46"/>
  <c r="L72" i="46"/>
  <c r="M72" i="46"/>
  <c r="N72" i="46"/>
  <c r="P72" i="46"/>
  <c r="Q72" i="46" s="1"/>
  <c r="F73" i="46"/>
  <c r="G73" i="46"/>
  <c r="H73" i="46"/>
  <c r="J73" i="46"/>
  <c r="K73" i="46"/>
  <c r="L73" i="46"/>
  <c r="M73" i="46"/>
  <c r="N73" i="46"/>
  <c r="P73" i="46"/>
  <c r="Q73" i="46" s="1"/>
  <c r="F74" i="46"/>
  <c r="G74" i="46"/>
  <c r="H74" i="46"/>
  <c r="J74" i="46"/>
  <c r="K74" i="46"/>
  <c r="L74" i="46"/>
  <c r="M74" i="46"/>
  <c r="N74" i="46"/>
  <c r="P74" i="46"/>
  <c r="Q74" i="46" s="1"/>
  <c r="F75" i="46"/>
  <c r="G75" i="46"/>
  <c r="H75" i="46"/>
  <c r="J75" i="46"/>
  <c r="K75" i="46"/>
  <c r="L75" i="46"/>
  <c r="M75" i="46"/>
  <c r="N75" i="46"/>
  <c r="P75" i="46"/>
  <c r="Q75" i="46" s="1"/>
  <c r="F76" i="46"/>
  <c r="G76" i="46"/>
  <c r="H76" i="46"/>
  <c r="J76" i="46"/>
  <c r="K76" i="46"/>
  <c r="L76" i="46"/>
  <c r="M76" i="46"/>
  <c r="N76" i="46"/>
  <c r="P76" i="46"/>
  <c r="Q76" i="46" s="1"/>
  <c r="F77" i="46"/>
  <c r="G77" i="46"/>
  <c r="H77" i="46"/>
  <c r="J77" i="46"/>
  <c r="K77" i="46"/>
  <c r="L77" i="46"/>
  <c r="M77" i="46"/>
  <c r="N77" i="46"/>
  <c r="P77" i="46"/>
  <c r="Q77" i="46" s="1"/>
  <c r="F78" i="46"/>
  <c r="G78" i="46"/>
  <c r="H78" i="46"/>
  <c r="J78" i="46"/>
  <c r="K78" i="46"/>
  <c r="L78" i="46"/>
  <c r="M78" i="46"/>
  <c r="N78" i="46"/>
  <c r="P78" i="46"/>
  <c r="Q78" i="46" s="1"/>
  <c r="F79" i="46"/>
  <c r="G79" i="46"/>
  <c r="H79" i="46"/>
  <c r="J79" i="46"/>
  <c r="K79" i="46"/>
  <c r="L79" i="46"/>
  <c r="M79" i="46"/>
  <c r="N79" i="46"/>
  <c r="P79" i="46"/>
  <c r="Q79" i="46" s="1"/>
  <c r="F80" i="46"/>
  <c r="G80" i="46"/>
  <c r="H80" i="46"/>
  <c r="J80" i="46"/>
  <c r="K80" i="46"/>
  <c r="L80" i="46"/>
  <c r="M80" i="46"/>
  <c r="N80" i="46"/>
  <c r="P80" i="46"/>
  <c r="Q80" i="46" s="1"/>
  <c r="F81" i="46"/>
  <c r="G81" i="46"/>
  <c r="H81" i="46"/>
  <c r="J81" i="46"/>
  <c r="K81" i="46"/>
  <c r="L81" i="46"/>
  <c r="M81" i="46"/>
  <c r="N81" i="46"/>
  <c r="P81" i="46"/>
  <c r="Q81" i="46" s="1"/>
  <c r="F82" i="46"/>
  <c r="G82" i="46"/>
  <c r="H82" i="46"/>
  <c r="J82" i="46"/>
  <c r="K82" i="46"/>
  <c r="L82" i="46"/>
  <c r="M82" i="46"/>
  <c r="N82" i="46"/>
  <c r="P82" i="46"/>
  <c r="Q82" i="46" s="1"/>
  <c r="F83" i="46"/>
  <c r="G83" i="46"/>
  <c r="H83" i="46"/>
  <c r="J83" i="46"/>
  <c r="K83" i="46"/>
  <c r="L83" i="46"/>
  <c r="M83" i="46"/>
  <c r="N83" i="46"/>
  <c r="P83" i="46"/>
  <c r="Q83" i="46" s="1"/>
  <c r="F84" i="46"/>
  <c r="G84" i="46"/>
  <c r="H84" i="46"/>
  <c r="J84" i="46"/>
  <c r="K84" i="46"/>
  <c r="L84" i="46"/>
  <c r="M84" i="46"/>
  <c r="N84" i="46"/>
  <c r="P84" i="46"/>
  <c r="Q84" i="46" s="1"/>
  <c r="F85" i="46"/>
  <c r="G85" i="46"/>
  <c r="H85" i="46"/>
  <c r="J85" i="46"/>
  <c r="K85" i="46"/>
  <c r="L85" i="46"/>
  <c r="M85" i="46"/>
  <c r="N85" i="46"/>
  <c r="P85" i="46"/>
  <c r="Q85" i="46" s="1"/>
  <c r="F86" i="46"/>
  <c r="G86" i="46"/>
  <c r="H86" i="46"/>
  <c r="J86" i="46"/>
  <c r="K86" i="46"/>
  <c r="L86" i="46"/>
  <c r="M86" i="46"/>
  <c r="N86" i="46"/>
  <c r="P86" i="46"/>
  <c r="Q86" i="46" s="1"/>
  <c r="F87" i="46"/>
  <c r="G87" i="46"/>
  <c r="H87" i="46"/>
  <c r="J87" i="46"/>
  <c r="K87" i="46"/>
  <c r="L87" i="46"/>
  <c r="M87" i="46"/>
  <c r="N87" i="46"/>
  <c r="P87" i="46"/>
  <c r="Q87" i="46" s="1"/>
  <c r="F88" i="46"/>
  <c r="G88" i="46"/>
  <c r="H88" i="46"/>
  <c r="J88" i="46"/>
  <c r="K88" i="46"/>
  <c r="L88" i="46"/>
  <c r="M88" i="46"/>
  <c r="N88" i="46"/>
  <c r="P88" i="46"/>
  <c r="Q88" i="46" s="1"/>
  <c r="F89" i="46"/>
  <c r="G89" i="46"/>
  <c r="H89" i="46"/>
  <c r="J89" i="46"/>
  <c r="K89" i="46"/>
  <c r="L89" i="46"/>
  <c r="M89" i="46"/>
  <c r="N89" i="46"/>
  <c r="P89" i="46"/>
  <c r="Q89" i="46" s="1"/>
  <c r="F90" i="46"/>
  <c r="G90" i="46"/>
  <c r="H90" i="46"/>
  <c r="J90" i="46"/>
  <c r="K90" i="46"/>
  <c r="L90" i="46"/>
  <c r="M90" i="46"/>
  <c r="N90" i="46"/>
  <c r="P90" i="46"/>
  <c r="Q90" i="46" s="1"/>
  <c r="F91" i="46"/>
  <c r="G91" i="46"/>
  <c r="H91" i="46"/>
  <c r="J91" i="46"/>
  <c r="K91" i="46"/>
  <c r="L91" i="46"/>
  <c r="M91" i="46"/>
  <c r="N91" i="46"/>
  <c r="P91" i="46"/>
  <c r="Q91" i="46" s="1"/>
  <c r="F92" i="46"/>
  <c r="G92" i="46"/>
  <c r="H92" i="46"/>
  <c r="J92" i="46"/>
  <c r="K92" i="46"/>
  <c r="L92" i="46"/>
  <c r="M92" i="46"/>
  <c r="N92" i="46"/>
  <c r="P92" i="46"/>
  <c r="Q92" i="46" s="1"/>
  <c r="F93" i="46"/>
  <c r="G93" i="46"/>
  <c r="H93" i="46"/>
  <c r="J93" i="46"/>
  <c r="K93" i="46"/>
  <c r="L93" i="46"/>
  <c r="M93" i="46"/>
  <c r="N93" i="46"/>
  <c r="P93" i="46"/>
  <c r="Q93" i="46" s="1"/>
  <c r="F94" i="46"/>
  <c r="G94" i="46"/>
  <c r="H94" i="46"/>
  <c r="J94" i="46"/>
  <c r="K94" i="46"/>
  <c r="L94" i="46"/>
  <c r="M94" i="46"/>
  <c r="N94" i="46"/>
  <c r="P94" i="46"/>
  <c r="Q94" i="46" s="1"/>
  <c r="F95" i="46"/>
  <c r="G95" i="46"/>
  <c r="H95" i="46"/>
  <c r="J95" i="46"/>
  <c r="K95" i="46"/>
  <c r="L95" i="46"/>
  <c r="M95" i="46"/>
  <c r="N95" i="46"/>
  <c r="P95" i="46"/>
  <c r="Q95" i="46" s="1"/>
  <c r="F96" i="46"/>
  <c r="G96" i="46"/>
  <c r="H96" i="46"/>
  <c r="J96" i="46"/>
  <c r="K96" i="46"/>
  <c r="L96" i="46"/>
  <c r="M96" i="46"/>
  <c r="N96" i="46"/>
  <c r="P96" i="46"/>
  <c r="Q96" i="46" s="1"/>
  <c r="F97" i="46"/>
  <c r="G97" i="46"/>
  <c r="H97" i="46"/>
  <c r="J97" i="46"/>
  <c r="K97" i="46"/>
  <c r="L97" i="46"/>
  <c r="M97" i="46"/>
  <c r="N97" i="46"/>
  <c r="P97" i="46"/>
  <c r="Q97" i="46" s="1"/>
  <c r="F98" i="46"/>
  <c r="G98" i="46"/>
  <c r="H98" i="46"/>
  <c r="J98" i="46"/>
  <c r="K98" i="46"/>
  <c r="L98" i="46"/>
  <c r="M98" i="46"/>
  <c r="N98" i="46"/>
  <c r="P98" i="46"/>
  <c r="Q98" i="46" s="1"/>
  <c r="F99" i="46"/>
  <c r="G99" i="46"/>
  <c r="H99" i="46"/>
  <c r="J99" i="46"/>
  <c r="K99" i="46"/>
  <c r="L99" i="46"/>
  <c r="M99" i="46"/>
  <c r="N99" i="46"/>
  <c r="P99" i="46"/>
  <c r="Q99" i="46" s="1"/>
  <c r="F100" i="46"/>
  <c r="G100" i="46"/>
  <c r="H100" i="46"/>
  <c r="J100" i="46"/>
  <c r="K100" i="46"/>
  <c r="L100" i="46"/>
  <c r="M100" i="46"/>
  <c r="N100" i="46"/>
  <c r="P100" i="46"/>
  <c r="Q100" i="46" s="1"/>
  <c r="F101" i="46"/>
  <c r="G101" i="46"/>
  <c r="H101" i="46"/>
  <c r="J101" i="46"/>
  <c r="K101" i="46"/>
  <c r="L101" i="46"/>
  <c r="M101" i="46"/>
  <c r="N101" i="46"/>
  <c r="P101" i="46"/>
  <c r="Q101" i="46" s="1"/>
  <c r="F102" i="46"/>
  <c r="G102" i="46"/>
  <c r="H102" i="46"/>
  <c r="J102" i="46"/>
  <c r="K102" i="46"/>
  <c r="L102" i="46"/>
  <c r="M102" i="46"/>
  <c r="N102" i="46"/>
  <c r="P102" i="46"/>
  <c r="Q102" i="46" s="1"/>
  <c r="F103" i="46"/>
  <c r="G103" i="46"/>
  <c r="H103" i="46"/>
  <c r="J103" i="46"/>
  <c r="K103" i="46"/>
  <c r="L103" i="46"/>
  <c r="M103" i="46"/>
  <c r="N103" i="46"/>
  <c r="P103" i="46"/>
  <c r="Q103" i="46" s="1"/>
  <c r="D37" i="46"/>
  <c r="D38" i="46"/>
  <c r="D39" i="46"/>
  <c r="D40" i="46"/>
  <c r="D41" i="46"/>
  <c r="D42" i="46"/>
  <c r="D43" i="46"/>
  <c r="D44" i="46"/>
  <c r="D45" i="46"/>
  <c r="D46" i="46"/>
  <c r="D47" i="46"/>
  <c r="D48" i="46"/>
  <c r="D49" i="46"/>
  <c r="D50" i="46"/>
  <c r="D51" i="46"/>
  <c r="D52" i="46"/>
  <c r="D53" i="46"/>
  <c r="D54" i="46"/>
  <c r="D55" i="46"/>
  <c r="D56" i="46"/>
  <c r="D57" i="46"/>
  <c r="D58" i="46"/>
  <c r="D59" i="46"/>
  <c r="D60" i="46"/>
  <c r="D61" i="46"/>
  <c r="D62" i="46"/>
  <c r="D63" i="46"/>
  <c r="D64" i="46"/>
  <c r="D65" i="46"/>
  <c r="D66" i="46"/>
  <c r="D67" i="46"/>
  <c r="D68" i="46"/>
  <c r="D69" i="46"/>
  <c r="D70" i="46"/>
  <c r="D71" i="46"/>
  <c r="D72" i="46"/>
  <c r="D73" i="46"/>
  <c r="D74" i="46"/>
  <c r="D75" i="46"/>
  <c r="D76" i="46"/>
  <c r="D77" i="46"/>
  <c r="D78" i="46"/>
  <c r="D79" i="46"/>
  <c r="D80" i="46"/>
  <c r="D81" i="46"/>
  <c r="D82" i="46"/>
  <c r="D83" i="46"/>
  <c r="D84" i="46"/>
  <c r="D85" i="46"/>
  <c r="D86" i="46"/>
  <c r="D87" i="46"/>
  <c r="D88" i="46"/>
  <c r="D89" i="46"/>
  <c r="D90" i="46"/>
  <c r="D91" i="46"/>
  <c r="D92" i="46"/>
  <c r="D93" i="46"/>
  <c r="D94" i="46"/>
  <c r="D95" i="46"/>
  <c r="D96" i="46"/>
  <c r="D97" i="46"/>
  <c r="D98" i="46"/>
  <c r="D99" i="46"/>
  <c r="D100" i="46"/>
  <c r="D101" i="46"/>
  <c r="D102" i="46"/>
  <c r="D103" i="46"/>
  <c r="P24" i="46"/>
  <c r="Q24" i="46" s="1"/>
  <c r="N24" i="46"/>
  <c r="M24" i="46"/>
  <c r="L24" i="46"/>
  <c r="K24" i="46"/>
  <c r="J24" i="46"/>
  <c r="H24" i="46"/>
  <c r="G24" i="46"/>
  <c r="F24" i="46"/>
  <c r="D24" i="46"/>
  <c r="P23" i="46"/>
  <c r="Q23" i="46" s="1"/>
  <c r="N23" i="46"/>
  <c r="M23" i="46"/>
  <c r="L23" i="46"/>
  <c r="K23" i="46"/>
  <c r="J23" i="46"/>
  <c r="H23" i="46"/>
  <c r="G23" i="46"/>
  <c r="F23" i="46"/>
  <c r="D23" i="46"/>
  <c r="P22" i="46"/>
  <c r="Q22" i="46" s="1"/>
  <c r="N22" i="46"/>
  <c r="M22" i="46"/>
  <c r="L22" i="46"/>
  <c r="K22" i="46"/>
  <c r="J22" i="46"/>
  <c r="H22" i="46"/>
  <c r="G22" i="46"/>
  <c r="F22" i="46"/>
  <c r="D22" i="46"/>
  <c r="P21" i="46"/>
  <c r="Q21" i="46" s="1"/>
  <c r="N21" i="46"/>
  <c r="M21" i="46"/>
  <c r="L21" i="46"/>
  <c r="K21" i="46"/>
  <c r="J21" i="46"/>
  <c r="H21" i="46"/>
  <c r="G21" i="46"/>
  <c r="F21" i="46"/>
  <c r="D21" i="46"/>
  <c r="P20" i="46"/>
  <c r="Q20" i="46" s="1"/>
  <c r="N20" i="46"/>
  <c r="M20" i="46"/>
  <c r="L20" i="46"/>
  <c r="K20" i="46"/>
  <c r="J20" i="46"/>
  <c r="H20" i="46"/>
  <c r="G20" i="46"/>
  <c r="F20" i="46"/>
  <c r="D20" i="46"/>
  <c r="P19" i="46"/>
  <c r="Q19" i="46" s="1"/>
  <c r="N19" i="46"/>
  <c r="M19" i="46"/>
  <c r="L19" i="46"/>
  <c r="K19" i="46"/>
  <c r="J19" i="46"/>
  <c r="H19" i="46"/>
  <c r="G19" i="46"/>
  <c r="F19" i="46"/>
  <c r="D19" i="46"/>
  <c r="P50" i="66"/>
  <c r="Q50" i="66" s="1"/>
  <c r="N50" i="66"/>
  <c r="M50" i="66"/>
  <c r="L50" i="66"/>
  <c r="K50" i="66"/>
  <c r="J50" i="66"/>
  <c r="H50" i="66"/>
  <c r="G50" i="66"/>
  <c r="F50" i="66"/>
  <c r="D50" i="66"/>
  <c r="A23" i="66"/>
  <c r="A24" i="66" s="1"/>
  <c r="A25" i="66" s="1"/>
  <c r="A26" i="66" s="1"/>
  <c r="A27" i="66" s="1"/>
  <c r="A28" i="66" s="1"/>
  <c r="A29" i="66" s="1"/>
  <c r="A30" i="66" s="1"/>
  <c r="A31" i="66" s="1"/>
  <c r="A32" i="66" s="1"/>
  <c r="A33" i="66" s="1"/>
  <c r="A34" i="66" s="1"/>
  <c r="A35" i="66" s="1"/>
  <c r="A36" i="66" s="1"/>
  <c r="A37" i="66" s="1"/>
  <c r="A38" i="66" s="1"/>
  <c r="A39" i="66" s="1"/>
  <c r="A40" i="66" s="1"/>
  <c r="A41" i="66" s="1"/>
  <c r="A42" i="66" s="1"/>
  <c r="A43" i="66" s="1"/>
  <c r="A44" i="66" s="1"/>
  <c r="A45" i="66" s="1"/>
  <c r="A46" i="66" s="1"/>
  <c r="A47" i="66" s="1"/>
  <c r="A48" i="66" s="1"/>
  <c r="A49" i="66" s="1"/>
  <c r="A50" i="66" s="1"/>
  <c r="P48" i="67"/>
  <c r="Q48" i="67" s="1"/>
  <c r="N48" i="67"/>
  <c r="M48" i="67"/>
  <c r="L48" i="67"/>
  <c r="K48" i="67"/>
  <c r="J48" i="67"/>
  <c r="H48" i="67"/>
  <c r="G48" i="67"/>
  <c r="F48" i="67"/>
  <c r="P47" i="67"/>
  <c r="Q47" i="67" s="1"/>
  <c r="N47" i="67"/>
  <c r="M47" i="67"/>
  <c r="L47" i="67"/>
  <c r="K47" i="67"/>
  <c r="J47" i="67"/>
  <c r="H47" i="67"/>
  <c r="G47" i="67"/>
  <c r="F47" i="67"/>
  <c r="P46" i="67"/>
  <c r="Q46" i="67" s="1"/>
  <c r="N46" i="67"/>
  <c r="M46" i="67"/>
  <c r="L46" i="67"/>
  <c r="K46" i="67"/>
  <c r="J46" i="67"/>
  <c r="H46" i="67"/>
  <c r="G46" i="67"/>
  <c r="F46" i="67"/>
  <c r="P45" i="67"/>
  <c r="Q45" i="67" s="1"/>
  <c r="N45" i="67"/>
  <c r="M45" i="67"/>
  <c r="L45" i="67"/>
  <c r="K45" i="67"/>
  <c r="J45" i="67"/>
  <c r="H45" i="67"/>
  <c r="G45" i="67"/>
  <c r="F45" i="67"/>
  <c r="P33" i="67"/>
  <c r="Q33" i="67" s="1"/>
  <c r="N33" i="67"/>
  <c r="M33" i="67"/>
  <c r="L33" i="67"/>
  <c r="K33" i="67"/>
  <c r="J33" i="67"/>
  <c r="H33" i="67"/>
  <c r="G33" i="67"/>
  <c r="F33" i="67"/>
  <c r="D33" i="67"/>
  <c r="A17" i="67"/>
  <c r="A18" i="67" s="1"/>
  <c r="A19" i="67" s="1"/>
  <c r="A20" i="67" s="1"/>
  <c r="A21" i="67" s="1"/>
  <c r="A22" i="67" s="1"/>
  <c r="A23" i="67" s="1"/>
  <c r="A24" i="67" s="1"/>
  <c r="A25" i="67" s="1"/>
  <c r="A26" i="67" s="1"/>
  <c r="A27" i="67" s="1"/>
  <c r="A28" i="67" s="1"/>
  <c r="A29" i="67" s="1"/>
  <c r="A30" i="67" s="1"/>
  <c r="A31" i="67" s="1"/>
  <c r="A32" i="67" s="1"/>
  <c r="A33" i="67" s="1"/>
  <c r="A34" i="67" s="1"/>
  <c r="A35" i="67" s="1"/>
  <c r="A8" i="67"/>
  <c r="A9" i="67" s="1"/>
  <c r="A10" i="67" s="1"/>
  <c r="A11" i="67" s="1"/>
  <c r="A12" i="67" s="1"/>
  <c r="A13" i="67" s="1"/>
  <c r="A14" i="67" s="1"/>
  <c r="C65" i="29"/>
  <c r="E65" i="29"/>
  <c r="A7" i="199"/>
  <c r="A8" i="199" s="1"/>
  <c r="A7" i="200"/>
  <c r="A8" i="200" s="1"/>
  <c r="C264" i="29"/>
  <c r="E264" i="29"/>
  <c r="C265" i="29"/>
  <c r="E265" i="29"/>
  <c r="C266" i="29"/>
  <c r="E266" i="29"/>
  <c r="C288" i="29"/>
  <c r="E288" i="29"/>
  <c r="E242" i="29"/>
  <c r="C242" i="29"/>
  <c r="P14" i="200"/>
  <c r="Q14" i="200" s="1"/>
  <c r="N14" i="200"/>
  <c r="M14" i="200"/>
  <c r="L14" i="200"/>
  <c r="K14" i="200"/>
  <c r="J14" i="200"/>
  <c r="H14" i="200"/>
  <c r="G14" i="200"/>
  <c r="F14" i="200"/>
  <c r="P13" i="200"/>
  <c r="Q13" i="200" s="1"/>
  <c r="N13" i="200"/>
  <c r="M13" i="200"/>
  <c r="L13" i="200"/>
  <c r="K13" i="200"/>
  <c r="J13" i="200"/>
  <c r="H13" i="200"/>
  <c r="G13" i="200"/>
  <c r="F13" i="200"/>
  <c r="P12" i="200"/>
  <c r="Q12" i="200" s="1"/>
  <c r="N12" i="200"/>
  <c r="M12" i="200"/>
  <c r="L12" i="200"/>
  <c r="K12" i="200"/>
  <c r="J12" i="200"/>
  <c r="H12" i="200"/>
  <c r="G12" i="200"/>
  <c r="F12" i="200"/>
  <c r="P10" i="200"/>
  <c r="Q10" i="200" s="1"/>
  <c r="N10" i="200"/>
  <c r="M10" i="200"/>
  <c r="L10" i="200"/>
  <c r="K10" i="200"/>
  <c r="J10" i="200"/>
  <c r="H10" i="200"/>
  <c r="G10" i="200"/>
  <c r="F10" i="200"/>
  <c r="D10" i="200"/>
  <c r="I3" i="200"/>
  <c r="G3" i="200"/>
  <c r="E3" i="200"/>
  <c r="C3" i="200" s="1"/>
  <c r="I2" i="200"/>
  <c r="G2" i="200"/>
  <c r="P14" i="199"/>
  <c r="Q14" i="199" s="1"/>
  <c r="N14" i="199"/>
  <c r="M14" i="199"/>
  <c r="L14" i="199"/>
  <c r="K14" i="199"/>
  <c r="J14" i="199"/>
  <c r="H14" i="199"/>
  <c r="G14" i="199"/>
  <c r="F14" i="199"/>
  <c r="P13" i="199"/>
  <c r="Q13" i="199" s="1"/>
  <c r="N13" i="199"/>
  <c r="M13" i="199"/>
  <c r="L13" i="199"/>
  <c r="K13" i="199"/>
  <c r="J13" i="199"/>
  <c r="H13" i="199"/>
  <c r="G13" i="199"/>
  <c r="F13" i="199"/>
  <c r="P12" i="199"/>
  <c r="Q12" i="199" s="1"/>
  <c r="N12" i="199"/>
  <c r="M12" i="199"/>
  <c r="L12" i="199"/>
  <c r="K12" i="199"/>
  <c r="J12" i="199"/>
  <c r="H12" i="199"/>
  <c r="G12" i="199"/>
  <c r="F12" i="199"/>
  <c r="P10" i="199"/>
  <c r="Q10" i="199" s="1"/>
  <c r="N10" i="199"/>
  <c r="M10" i="199"/>
  <c r="L10" i="199"/>
  <c r="K10" i="199"/>
  <c r="J10" i="199"/>
  <c r="H10" i="199"/>
  <c r="G10" i="199"/>
  <c r="F10" i="199"/>
  <c r="D10" i="199"/>
  <c r="I3" i="199"/>
  <c r="G3" i="199"/>
  <c r="E3" i="199"/>
  <c r="C3" i="199" s="1"/>
  <c r="I2" i="199"/>
  <c r="G2" i="199"/>
  <c r="P58" i="77"/>
  <c r="Q58" i="77" s="1"/>
  <c r="N58" i="77"/>
  <c r="M58" i="77"/>
  <c r="L58" i="77"/>
  <c r="K58" i="77"/>
  <c r="J58" i="77"/>
  <c r="H58" i="77"/>
  <c r="G58" i="77"/>
  <c r="F58" i="77"/>
  <c r="C120" i="29"/>
  <c r="E120" i="29"/>
  <c r="P30" i="75"/>
  <c r="Q30" i="75" s="1"/>
  <c r="N30" i="75"/>
  <c r="M30" i="75"/>
  <c r="L30" i="75"/>
  <c r="K30" i="75"/>
  <c r="J30" i="75"/>
  <c r="H30" i="75"/>
  <c r="G30" i="75"/>
  <c r="F30" i="75"/>
  <c r="D30" i="75"/>
  <c r="P15" i="165"/>
  <c r="Q15" i="165" s="1"/>
  <c r="N15" i="165"/>
  <c r="M15" i="165"/>
  <c r="L15" i="165"/>
  <c r="K15" i="165"/>
  <c r="J15" i="165"/>
  <c r="H15" i="165"/>
  <c r="G15" i="165"/>
  <c r="F15" i="165"/>
  <c r="D15" i="165"/>
  <c r="P14" i="162"/>
  <c r="Q14" i="162" s="1"/>
  <c r="N14" i="162"/>
  <c r="M14" i="162"/>
  <c r="L14" i="162"/>
  <c r="K14" i="162"/>
  <c r="J14" i="162"/>
  <c r="H14" i="162"/>
  <c r="G14" i="162"/>
  <c r="F14" i="162"/>
  <c r="D14" i="162"/>
  <c r="P11" i="72"/>
  <c r="Q11" i="72" s="1"/>
  <c r="N11" i="72"/>
  <c r="M11" i="72"/>
  <c r="L11" i="72"/>
  <c r="K11" i="72"/>
  <c r="J11" i="72"/>
  <c r="H11" i="72"/>
  <c r="G11" i="72"/>
  <c r="F11" i="72"/>
  <c r="D11" i="72"/>
  <c r="R475" i="28" a="1"/>
  <c r="R475" i="28" l="1"/>
  <c r="N38" i="112"/>
  <c r="M38" i="112"/>
  <c r="L38" i="112"/>
  <c r="K38" i="112"/>
  <c r="J38" i="112"/>
  <c r="H38" i="112"/>
  <c r="G38" i="112"/>
  <c r="F38" i="112"/>
  <c r="D38" i="112"/>
  <c r="P29" i="75"/>
  <c r="Q29" i="75" s="1"/>
  <c r="N29" i="75"/>
  <c r="M29" i="75"/>
  <c r="L29" i="75"/>
  <c r="K29" i="75"/>
  <c r="J29" i="75"/>
  <c r="H29" i="75"/>
  <c r="G29" i="75"/>
  <c r="F29" i="75"/>
  <c r="D29" i="75"/>
  <c r="P28" i="75"/>
  <c r="Q28" i="75" s="1"/>
  <c r="N28" i="75"/>
  <c r="M28" i="75"/>
  <c r="L28" i="75"/>
  <c r="K28" i="75"/>
  <c r="J28" i="75"/>
  <c r="H28" i="75"/>
  <c r="G28" i="75"/>
  <c r="F28" i="75"/>
  <c r="D28" i="75"/>
  <c r="P27" i="75"/>
  <c r="Q27" i="75" s="1"/>
  <c r="N27" i="75"/>
  <c r="M27" i="75"/>
  <c r="L27" i="75"/>
  <c r="K27" i="75"/>
  <c r="J27" i="75"/>
  <c r="H27" i="75"/>
  <c r="G27" i="75"/>
  <c r="F27" i="75"/>
  <c r="D27" i="75"/>
  <c r="P28" i="134" l="1"/>
  <c r="Q28" i="134" s="1"/>
  <c r="N28" i="134"/>
  <c r="M28" i="134"/>
  <c r="L28" i="134"/>
  <c r="K28" i="134"/>
  <c r="J28" i="134"/>
  <c r="H28" i="134"/>
  <c r="G28" i="134"/>
  <c r="F28" i="134"/>
  <c r="D28" i="134"/>
  <c r="AD250" i="29" l="1"/>
  <c r="AD251" i="29"/>
  <c r="AD252" i="29"/>
  <c r="AD253" i="29"/>
  <c r="AD254" i="29"/>
  <c r="AD255" i="29"/>
  <c r="AD256" i="29"/>
  <c r="AD257" i="29"/>
  <c r="AD258" i="29"/>
  <c r="AD259" i="29"/>
  <c r="AD260" i="29"/>
  <c r="AD261" i="29"/>
  <c r="AD266" i="29"/>
  <c r="AD267" i="29"/>
  <c r="AD249" i="29"/>
  <c r="P29" i="63"/>
  <c r="Q29" i="63" s="1"/>
  <c r="N29" i="63"/>
  <c r="M29" i="63"/>
  <c r="L29" i="63"/>
  <c r="K29" i="63"/>
  <c r="J29" i="63"/>
  <c r="H29" i="63"/>
  <c r="G29" i="63"/>
  <c r="F29" i="63"/>
  <c r="D29" i="63"/>
  <c r="U40" i="30"/>
  <c r="O40" i="30" s="1"/>
  <c r="F40" i="30" s="1"/>
  <c r="P49" i="63"/>
  <c r="Q49" i="63" s="1"/>
  <c r="N49" i="63"/>
  <c r="M49" i="63"/>
  <c r="L49" i="63"/>
  <c r="K49" i="63"/>
  <c r="J49" i="63"/>
  <c r="H49" i="63"/>
  <c r="G49" i="63"/>
  <c r="F49" i="63"/>
  <c r="D49" i="63"/>
  <c r="C20" i="29"/>
  <c r="E20" i="29"/>
  <c r="C21" i="29"/>
  <c r="E21" i="29"/>
  <c r="C87" i="29"/>
  <c r="E87" i="29"/>
  <c r="C88" i="29"/>
  <c r="E88" i="29"/>
  <c r="P42" i="141"/>
  <c r="Q42" i="141" s="1"/>
  <c r="N42" i="141"/>
  <c r="M42" i="141"/>
  <c r="L42" i="141"/>
  <c r="K42" i="141"/>
  <c r="J42" i="141"/>
  <c r="H42" i="141"/>
  <c r="G42" i="141"/>
  <c r="F42" i="141"/>
  <c r="D42" i="141"/>
  <c r="A59" i="141"/>
  <c r="A60" i="141" s="1"/>
  <c r="A61" i="141" s="1"/>
  <c r="A62" i="141" s="1"/>
  <c r="A63" i="141" s="1"/>
  <c r="A64" i="141" s="1"/>
  <c r="A65" i="141" s="1"/>
  <c r="A66" i="141" s="1"/>
  <c r="A67" i="141" s="1"/>
  <c r="P53" i="141"/>
  <c r="Q53" i="141" s="1"/>
  <c r="N53" i="141"/>
  <c r="M53" i="141"/>
  <c r="L53" i="141"/>
  <c r="K53" i="141"/>
  <c r="J53" i="141"/>
  <c r="H53" i="141"/>
  <c r="G53" i="141"/>
  <c r="F53" i="141"/>
  <c r="D53" i="141"/>
  <c r="A33" i="143"/>
  <c r="A34" i="143" s="1"/>
  <c r="A35" i="143" s="1"/>
  <c r="A36" i="143" s="1"/>
  <c r="A37" i="143" s="1"/>
  <c r="A38" i="143" s="1"/>
  <c r="A39" i="143" s="1"/>
  <c r="A40" i="143" s="1"/>
  <c r="A41" i="143" s="1"/>
  <c r="P41" i="143"/>
  <c r="Q41" i="143" s="1"/>
  <c r="N41" i="143"/>
  <c r="M41" i="143"/>
  <c r="L41" i="143"/>
  <c r="K41" i="143"/>
  <c r="J41" i="143"/>
  <c r="H41" i="143"/>
  <c r="G41" i="143"/>
  <c r="F41" i="143"/>
  <c r="A17" i="143"/>
  <c r="A18" i="143" s="1"/>
  <c r="A19" i="143" s="1"/>
  <c r="A20" i="143" s="1"/>
  <c r="A21" i="143" s="1"/>
  <c r="A22" i="143" s="1"/>
  <c r="A23" i="143" s="1"/>
  <c r="A24" i="143" s="1"/>
  <c r="A25" i="143" s="1"/>
  <c r="A26" i="143" s="1"/>
  <c r="A27" i="143" s="1"/>
  <c r="A28" i="143" s="1"/>
  <c r="A29" i="143" s="1"/>
  <c r="A30" i="143" s="1"/>
  <c r="A13" i="143"/>
  <c r="A14" i="143" s="1"/>
  <c r="A17" i="142"/>
  <c r="A18" i="142" s="1"/>
  <c r="A19" i="142" s="1"/>
  <c r="A20" i="142" s="1"/>
  <c r="A21" i="142" s="1"/>
  <c r="A22" i="142" s="1"/>
  <c r="A23" i="142" s="1"/>
  <c r="A24" i="142" s="1"/>
  <c r="A25" i="142" s="1"/>
  <c r="A26" i="142" s="1"/>
  <c r="A27" i="142" s="1"/>
  <c r="A28" i="142" s="1"/>
  <c r="A29" i="142" s="1"/>
  <c r="A30" i="142" s="1"/>
  <c r="P41" i="142"/>
  <c r="Q41" i="142" s="1"/>
  <c r="N41" i="142"/>
  <c r="M41" i="142"/>
  <c r="L41" i="142"/>
  <c r="K41" i="142"/>
  <c r="J41" i="142"/>
  <c r="H41" i="142"/>
  <c r="G41" i="142"/>
  <c r="F41" i="142"/>
  <c r="P40" i="142"/>
  <c r="Q40" i="142" s="1"/>
  <c r="N40" i="142"/>
  <c r="M40" i="142"/>
  <c r="L40" i="142"/>
  <c r="K40" i="142"/>
  <c r="J40" i="142"/>
  <c r="H40" i="142"/>
  <c r="G40" i="142"/>
  <c r="F40" i="142"/>
  <c r="A13" i="142"/>
  <c r="A14" i="142" s="1"/>
  <c r="P35" i="142"/>
  <c r="Q35" i="142" s="1"/>
  <c r="N35" i="142"/>
  <c r="M35" i="142"/>
  <c r="L35" i="142"/>
  <c r="K35" i="142"/>
  <c r="J35" i="142"/>
  <c r="H35" i="142"/>
  <c r="G35" i="142"/>
  <c r="F35" i="142"/>
  <c r="A33" i="142"/>
  <c r="A34" i="142" s="1"/>
  <c r="A35" i="142" s="1"/>
  <c r="A36" i="142" s="1"/>
  <c r="A37" i="142" s="1"/>
  <c r="A38" i="142" s="1"/>
  <c r="A39" i="142" s="1"/>
  <c r="A40" i="142" s="1"/>
  <c r="A41" i="142" s="1"/>
  <c r="A11" i="198"/>
  <c r="A12" i="198" s="1"/>
  <c r="A13" i="198" s="1"/>
  <c r="A14" i="198" s="1"/>
  <c r="A15" i="198" s="1"/>
  <c r="A16" i="198" s="1"/>
  <c r="A17" i="198" s="1"/>
  <c r="A18" i="198" s="1"/>
  <c r="A21" i="198"/>
  <c r="A22" i="198" s="1"/>
  <c r="A23" i="198" s="1"/>
  <c r="A6" i="198"/>
  <c r="A7" i="198" s="1"/>
  <c r="A8" i="198" s="1"/>
  <c r="P23" i="198"/>
  <c r="Q23" i="198" s="1"/>
  <c r="N23" i="198"/>
  <c r="M23" i="198"/>
  <c r="L23" i="198"/>
  <c r="K23" i="198"/>
  <c r="J23" i="198"/>
  <c r="H23" i="198"/>
  <c r="G23" i="198"/>
  <c r="F23" i="198"/>
  <c r="P22" i="198"/>
  <c r="Q22" i="198" s="1"/>
  <c r="N22" i="198"/>
  <c r="M22" i="198"/>
  <c r="L22" i="198"/>
  <c r="K22" i="198"/>
  <c r="J22" i="198"/>
  <c r="H22" i="198"/>
  <c r="G22" i="198"/>
  <c r="F22" i="198"/>
  <c r="P21" i="198"/>
  <c r="Q21" i="198" s="1"/>
  <c r="N21" i="198"/>
  <c r="M21" i="198"/>
  <c r="L21" i="198"/>
  <c r="K21" i="198"/>
  <c r="J21" i="198"/>
  <c r="H21" i="198"/>
  <c r="G21" i="198"/>
  <c r="F21" i="198"/>
  <c r="P20" i="198"/>
  <c r="Q20" i="198" s="1"/>
  <c r="N20" i="198"/>
  <c r="M20" i="198"/>
  <c r="L20" i="198"/>
  <c r="K20" i="198"/>
  <c r="J20" i="198"/>
  <c r="H20" i="198"/>
  <c r="G20" i="198"/>
  <c r="F20" i="198"/>
  <c r="P18" i="198"/>
  <c r="Q18" i="198" s="1"/>
  <c r="N18" i="198"/>
  <c r="M18" i="198"/>
  <c r="L18" i="198"/>
  <c r="K18" i="198"/>
  <c r="J18" i="198"/>
  <c r="H18" i="198"/>
  <c r="G18" i="198"/>
  <c r="F18" i="198"/>
  <c r="D18" i="198"/>
  <c r="P17" i="198"/>
  <c r="Q17" i="198" s="1"/>
  <c r="N17" i="198"/>
  <c r="M17" i="198"/>
  <c r="L17" i="198"/>
  <c r="K17" i="198"/>
  <c r="J17" i="198"/>
  <c r="H17" i="198"/>
  <c r="G17" i="198"/>
  <c r="F17" i="198"/>
  <c r="D17" i="198"/>
  <c r="P16" i="198"/>
  <c r="Q16" i="198" s="1"/>
  <c r="N16" i="198"/>
  <c r="M16" i="198"/>
  <c r="L16" i="198"/>
  <c r="K16" i="198"/>
  <c r="J16" i="198"/>
  <c r="H16" i="198"/>
  <c r="G16" i="198"/>
  <c r="F16" i="198"/>
  <c r="D16" i="198"/>
  <c r="P15" i="198"/>
  <c r="Q15" i="198" s="1"/>
  <c r="N15" i="198"/>
  <c r="M15" i="198"/>
  <c r="L15" i="198"/>
  <c r="K15" i="198"/>
  <c r="J15" i="198"/>
  <c r="H15" i="198"/>
  <c r="G15" i="198"/>
  <c r="F15" i="198"/>
  <c r="D15" i="198"/>
  <c r="P14" i="198"/>
  <c r="Q14" i="198" s="1"/>
  <c r="N14" i="198"/>
  <c r="M14" i="198"/>
  <c r="L14" i="198"/>
  <c r="K14" i="198"/>
  <c r="J14" i="198"/>
  <c r="H14" i="198"/>
  <c r="G14" i="198"/>
  <c r="F14" i="198"/>
  <c r="D14" i="198"/>
  <c r="P13" i="198"/>
  <c r="Q13" i="198" s="1"/>
  <c r="N13" i="198"/>
  <c r="M13" i="198"/>
  <c r="L13" i="198"/>
  <c r="K13" i="198"/>
  <c r="J13" i="198"/>
  <c r="H13" i="198"/>
  <c r="G13" i="198"/>
  <c r="F13" i="198"/>
  <c r="D13" i="198"/>
  <c r="P12" i="198"/>
  <c r="Q12" i="198" s="1"/>
  <c r="N12" i="198"/>
  <c r="M12" i="198"/>
  <c r="L12" i="198"/>
  <c r="K12" i="198"/>
  <c r="J12" i="198"/>
  <c r="H12" i="198"/>
  <c r="G12" i="198"/>
  <c r="F12" i="198"/>
  <c r="D12" i="198"/>
  <c r="P11" i="198"/>
  <c r="Q11" i="198" s="1"/>
  <c r="N11" i="198"/>
  <c r="M11" i="198"/>
  <c r="L11" i="198"/>
  <c r="K11" i="198"/>
  <c r="J11" i="198"/>
  <c r="H11" i="198"/>
  <c r="G11" i="198"/>
  <c r="F11" i="198"/>
  <c r="D11" i="198"/>
  <c r="P10" i="198"/>
  <c r="Q10" i="198" s="1"/>
  <c r="N10" i="198"/>
  <c r="M10" i="198"/>
  <c r="L10" i="198"/>
  <c r="K10" i="198"/>
  <c r="J10" i="198"/>
  <c r="H10" i="198"/>
  <c r="G10" i="198"/>
  <c r="F10" i="198"/>
  <c r="D10" i="198"/>
  <c r="I3" i="198"/>
  <c r="G3" i="198"/>
  <c r="E3" i="198"/>
  <c r="C3" i="198" s="1"/>
  <c r="I2" i="198"/>
  <c r="G2" i="198"/>
  <c r="P27" i="191"/>
  <c r="Q27" i="191" s="1"/>
  <c r="N27" i="191"/>
  <c r="M27" i="191"/>
  <c r="L27" i="191"/>
  <c r="K27" i="191"/>
  <c r="J27" i="191"/>
  <c r="H27" i="191"/>
  <c r="G27" i="191"/>
  <c r="F27" i="191"/>
  <c r="P27" i="193"/>
  <c r="Q27" i="193" s="1"/>
  <c r="N27" i="193"/>
  <c r="M27" i="193"/>
  <c r="L27" i="193"/>
  <c r="K27" i="193"/>
  <c r="J27" i="193"/>
  <c r="H27" i="193"/>
  <c r="G27" i="193"/>
  <c r="F27" i="193"/>
  <c r="P26" i="191"/>
  <c r="Q26" i="191" s="1"/>
  <c r="N26" i="191"/>
  <c r="M26" i="191"/>
  <c r="L26" i="191"/>
  <c r="K26" i="191"/>
  <c r="J26" i="191"/>
  <c r="H26" i="191"/>
  <c r="G26" i="191"/>
  <c r="F26" i="191"/>
  <c r="A21" i="193"/>
  <c r="A22" i="193" s="1"/>
  <c r="A23" i="193" s="1"/>
  <c r="A24" i="193" s="1"/>
  <c r="A25" i="193" s="1"/>
  <c r="A26" i="193" s="1"/>
  <c r="A27" i="193" s="1"/>
  <c r="P26" i="193"/>
  <c r="Q26" i="193" s="1"/>
  <c r="N26" i="193"/>
  <c r="M26" i="193"/>
  <c r="L26" i="193"/>
  <c r="K26" i="193"/>
  <c r="J26" i="193"/>
  <c r="H26" i="193"/>
  <c r="G26" i="193"/>
  <c r="F26" i="193"/>
  <c r="P25" i="193"/>
  <c r="Q25" i="193" s="1"/>
  <c r="N25" i="193"/>
  <c r="M25" i="193"/>
  <c r="L25" i="193"/>
  <c r="K25" i="193"/>
  <c r="J25" i="193"/>
  <c r="H25" i="193"/>
  <c r="G25" i="193"/>
  <c r="F25" i="193"/>
  <c r="P25" i="191"/>
  <c r="Q25" i="191" s="1"/>
  <c r="N25" i="191"/>
  <c r="M25" i="191"/>
  <c r="L25" i="191"/>
  <c r="K25" i="191"/>
  <c r="J25" i="191"/>
  <c r="H25" i="191"/>
  <c r="G25" i="191"/>
  <c r="F25" i="191"/>
  <c r="P24" i="191"/>
  <c r="Q24" i="191" s="1"/>
  <c r="N24" i="191"/>
  <c r="M24" i="191"/>
  <c r="L24" i="191"/>
  <c r="K24" i="191"/>
  <c r="J24" i="191"/>
  <c r="H24" i="191"/>
  <c r="G24" i="191"/>
  <c r="F24" i="191"/>
  <c r="A21" i="191"/>
  <c r="A22" i="191" s="1"/>
  <c r="A23" i="191" s="1"/>
  <c r="A24" i="191" s="1"/>
  <c r="A25" i="191" s="1"/>
  <c r="A26" i="191" s="1"/>
  <c r="A27" i="191" s="1"/>
  <c r="P29" i="194"/>
  <c r="Q29" i="194" s="1"/>
  <c r="N29" i="194"/>
  <c r="M29" i="194"/>
  <c r="L29" i="194"/>
  <c r="K29" i="194"/>
  <c r="J29" i="194"/>
  <c r="H29" i="194"/>
  <c r="G29" i="194"/>
  <c r="F29" i="194"/>
  <c r="P28" i="194"/>
  <c r="Q28" i="194" s="1"/>
  <c r="N28" i="194"/>
  <c r="M28" i="194"/>
  <c r="L28" i="194"/>
  <c r="K28" i="194"/>
  <c r="J28" i="194"/>
  <c r="H28" i="194"/>
  <c r="G28" i="194"/>
  <c r="F28" i="194"/>
  <c r="P27" i="194"/>
  <c r="Q27" i="194" s="1"/>
  <c r="N27" i="194"/>
  <c r="M27" i="194"/>
  <c r="L27" i="194"/>
  <c r="K27" i="194"/>
  <c r="J27" i="194"/>
  <c r="H27" i="194"/>
  <c r="G27" i="194"/>
  <c r="F27" i="194"/>
  <c r="P29" i="190"/>
  <c r="Q29" i="190" s="1"/>
  <c r="N29" i="190"/>
  <c r="M29" i="190"/>
  <c r="L29" i="190"/>
  <c r="K29" i="190"/>
  <c r="J29" i="190"/>
  <c r="H29" i="190"/>
  <c r="G29" i="190"/>
  <c r="F29" i="190"/>
  <c r="P28" i="190"/>
  <c r="Q28" i="190" s="1"/>
  <c r="N28" i="190"/>
  <c r="M28" i="190"/>
  <c r="L28" i="190"/>
  <c r="K28" i="190"/>
  <c r="J28" i="190"/>
  <c r="H28" i="190"/>
  <c r="G28" i="190"/>
  <c r="F28" i="190"/>
  <c r="P27" i="190"/>
  <c r="Q27" i="190" s="1"/>
  <c r="N27" i="190"/>
  <c r="M27" i="190"/>
  <c r="L27" i="190"/>
  <c r="K27" i="190"/>
  <c r="J27" i="190"/>
  <c r="H27" i="190"/>
  <c r="G27" i="190"/>
  <c r="F27" i="190"/>
  <c r="P24" i="195"/>
  <c r="Q24" i="195" s="1"/>
  <c r="N24" i="195"/>
  <c r="M24" i="195"/>
  <c r="L24" i="195"/>
  <c r="K24" i="195"/>
  <c r="J24" i="195"/>
  <c r="H24" i="195"/>
  <c r="G24" i="195"/>
  <c r="F24" i="195"/>
  <c r="P23" i="195"/>
  <c r="Q23" i="195" s="1"/>
  <c r="N23" i="195"/>
  <c r="M23" i="195"/>
  <c r="L23" i="195"/>
  <c r="K23" i="195"/>
  <c r="J23" i="195"/>
  <c r="H23" i="195"/>
  <c r="G23" i="195"/>
  <c r="F23" i="195"/>
  <c r="P22" i="195"/>
  <c r="Q22" i="195" s="1"/>
  <c r="N22" i="195"/>
  <c r="M22" i="195"/>
  <c r="L22" i="195"/>
  <c r="K22" i="195"/>
  <c r="J22" i="195"/>
  <c r="H22" i="195"/>
  <c r="G22" i="195"/>
  <c r="F22" i="195"/>
  <c r="P24" i="189"/>
  <c r="Q24" i="189" s="1"/>
  <c r="N24" i="189"/>
  <c r="M24" i="189"/>
  <c r="L24" i="189"/>
  <c r="K24" i="189"/>
  <c r="J24" i="189"/>
  <c r="H24" i="189"/>
  <c r="G24" i="189"/>
  <c r="F24" i="189"/>
  <c r="P23" i="189"/>
  <c r="Q23" i="189" s="1"/>
  <c r="N23" i="189"/>
  <c r="M23" i="189"/>
  <c r="L23" i="189"/>
  <c r="K23" i="189"/>
  <c r="J23" i="189"/>
  <c r="H23" i="189"/>
  <c r="G23" i="189"/>
  <c r="F23" i="189"/>
  <c r="P22" i="189"/>
  <c r="Q22" i="189" s="1"/>
  <c r="N22" i="189"/>
  <c r="M22" i="189"/>
  <c r="L22" i="189"/>
  <c r="K22" i="189"/>
  <c r="J22" i="189"/>
  <c r="H22" i="189"/>
  <c r="G22" i="189"/>
  <c r="F22" i="189"/>
  <c r="P16" i="140"/>
  <c r="Q16" i="140" s="1"/>
  <c r="N16" i="140"/>
  <c r="M16" i="140"/>
  <c r="L16" i="140"/>
  <c r="K16" i="140"/>
  <c r="J16" i="140"/>
  <c r="H16" i="140"/>
  <c r="G16" i="140"/>
  <c r="F16" i="140"/>
  <c r="P12" i="140"/>
  <c r="Q12" i="140" s="1"/>
  <c r="N12" i="140"/>
  <c r="M12" i="140"/>
  <c r="L12" i="140"/>
  <c r="K12" i="140"/>
  <c r="J12" i="140"/>
  <c r="H12" i="140"/>
  <c r="G12" i="140"/>
  <c r="F12" i="140"/>
  <c r="D12" i="140"/>
  <c r="P39" i="178"/>
  <c r="Q39" i="178" s="1"/>
  <c r="N39" i="178"/>
  <c r="M39" i="178"/>
  <c r="L39" i="178"/>
  <c r="K39" i="178"/>
  <c r="J39" i="178"/>
  <c r="H39" i="178"/>
  <c r="G39" i="178"/>
  <c r="F39" i="178"/>
  <c r="D39" i="178"/>
  <c r="P39" i="177"/>
  <c r="Q39" i="177" s="1"/>
  <c r="N39" i="177"/>
  <c r="M39" i="177"/>
  <c r="L39" i="177"/>
  <c r="K39" i="177"/>
  <c r="J39" i="177"/>
  <c r="H39" i="177"/>
  <c r="G39" i="177"/>
  <c r="F39" i="177"/>
  <c r="D39" i="177"/>
  <c r="A6" i="196"/>
  <c r="A7" i="196" s="1"/>
  <c r="A8" i="196" s="1"/>
  <c r="A9" i="196" s="1"/>
  <c r="A10" i="196" s="1"/>
  <c r="A15" i="176"/>
  <c r="P73" i="149"/>
  <c r="Q73" i="149" s="1"/>
  <c r="N73" i="149"/>
  <c r="M73" i="149"/>
  <c r="L73" i="149"/>
  <c r="K73" i="149"/>
  <c r="J73" i="149"/>
  <c r="H73" i="149"/>
  <c r="G73" i="149"/>
  <c r="F73" i="149"/>
  <c r="P72" i="149"/>
  <c r="Q72" i="149" s="1"/>
  <c r="N72" i="149"/>
  <c r="M72" i="149"/>
  <c r="L72" i="149"/>
  <c r="K72" i="149"/>
  <c r="J72" i="149"/>
  <c r="H72" i="149"/>
  <c r="G72" i="149"/>
  <c r="F72" i="149"/>
  <c r="P71" i="149"/>
  <c r="Q71" i="149" s="1"/>
  <c r="N71" i="149"/>
  <c r="M71" i="149"/>
  <c r="L71" i="149"/>
  <c r="K71" i="149"/>
  <c r="J71" i="149"/>
  <c r="H71" i="149"/>
  <c r="G71" i="149"/>
  <c r="F71" i="149"/>
  <c r="P73" i="148"/>
  <c r="Q73" i="148" s="1"/>
  <c r="N73" i="148"/>
  <c r="M73" i="148"/>
  <c r="L73" i="148"/>
  <c r="K73" i="148"/>
  <c r="J73" i="148"/>
  <c r="H73" i="148"/>
  <c r="G73" i="148"/>
  <c r="F73" i="148"/>
  <c r="P72" i="148"/>
  <c r="Q72" i="148" s="1"/>
  <c r="N72" i="148"/>
  <c r="M72" i="148"/>
  <c r="L72" i="148"/>
  <c r="K72" i="148"/>
  <c r="J72" i="148"/>
  <c r="H72" i="148"/>
  <c r="G72" i="148"/>
  <c r="F72" i="148"/>
  <c r="P71" i="148"/>
  <c r="Q71" i="148" s="1"/>
  <c r="N71" i="148"/>
  <c r="M71" i="148"/>
  <c r="L71" i="148"/>
  <c r="K71" i="148"/>
  <c r="J71" i="148"/>
  <c r="H71" i="148"/>
  <c r="G71" i="148"/>
  <c r="F71" i="148"/>
  <c r="P70" i="148"/>
  <c r="Q70" i="148" s="1"/>
  <c r="N70" i="148"/>
  <c r="M70" i="148"/>
  <c r="L70" i="148"/>
  <c r="K70" i="148"/>
  <c r="J70" i="148"/>
  <c r="H70" i="148"/>
  <c r="G70" i="148"/>
  <c r="F70" i="148"/>
  <c r="P69" i="148"/>
  <c r="Q69" i="148" s="1"/>
  <c r="N69" i="148"/>
  <c r="M69" i="148"/>
  <c r="L69" i="148"/>
  <c r="K69" i="148"/>
  <c r="J69" i="148"/>
  <c r="H69" i="148"/>
  <c r="G69" i="148"/>
  <c r="F69" i="148"/>
  <c r="P77" i="147"/>
  <c r="Q77" i="147" s="1"/>
  <c r="N77" i="147"/>
  <c r="M77" i="147"/>
  <c r="L77" i="147"/>
  <c r="K77" i="147"/>
  <c r="J77" i="147"/>
  <c r="H77" i="147"/>
  <c r="G77" i="147"/>
  <c r="F77" i="147"/>
  <c r="P76" i="147"/>
  <c r="Q76" i="147" s="1"/>
  <c r="N76" i="147"/>
  <c r="M76" i="147"/>
  <c r="L76" i="147"/>
  <c r="K76" i="147"/>
  <c r="J76" i="147"/>
  <c r="H76" i="147"/>
  <c r="G76" i="147"/>
  <c r="F76" i="147"/>
  <c r="P75" i="147"/>
  <c r="Q75" i="147" s="1"/>
  <c r="N75" i="147"/>
  <c r="M75" i="147"/>
  <c r="L75" i="147"/>
  <c r="K75" i="147"/>
  <c r="J75" i="147"/>
  <c r="H75" i="147"/>
  <c r="G75" i="147"/>
  <c r="F75" i="147"/>
  <c r="P74" i="147"/>
  <c r="Q74" i="147" s="1"/>
  <c r="N74" i="147"/>
  <c r="M74" i="147"/>
  <c r="L74" i="147"/>
  <c r="K74" i="147"/>
  <c r="J74" i="147"/>
  <c r="H74" i="147"/>
  <c r="G74" i="147"/>
  <c r="F74" i="147"/>
  <c r="P73" i="147"/>
  <c r="Q73" i="147" s="1"/>
  <c r="N73" i="147"/>
  <c r="M73" i="147"/>
  <c r="L73" i="147"/>
  <c r="K73" i="147"/>
  <c r="J73" i="147"/>
  <c r="H73" i="147"/>
  <c r="G73" i="147"/>
  <c r="F73" i="147"/>
  <c r="P72" i="147"/>
  <c r="Q72" i="147" s="1"/>
  <c r="N72" i="147"/>
  <c r="M72" i="147"/>
  <c r="L72" i="147"/>
  <c r="K72" i="147"/>
  <c r="J72" i="147"/>
  <c r="H72" i="147"/>
  <c r="G72" i="147"/>
  <c r="F72" i="147"/>
  <c r="P63" i="146"/>
  <c r="Q63" i="146" s="1"/>
  <c r="N63" i="146"/>
  <c r="M63" i="146"/>
  <c r="L63" i="146"/>
  <c r="K63" i="146"/>
  <c r="J63" i="146"/>
  <c r="H63" i="146"/>
  <c r="G63" i="146"/>
  <c r="F63" i="146"/>
  <c r="P52" i="146"/>
  <c r="Q52" i="146" s="1"/>
  <c r="N52" i="146"/>
  <c r="M52" i="146"/>
  <c r="L52" i="146"/>
  <c r="K52" i="146"/>
  <c r="J52" i="146"/>
  <c r="H52" i="146"/>
  <c r="G52" i="146"/>
  <c r="F52" i="146"/>
  <c r="D52" i="146"/>
  <c r="P51" i="146"/>
  <c r="Q51" i="146" s="1"/>
  <c r="N51" i="146"/>
  <c r="M51" i="146"/>
  <c r="L51" i="146"/>
  <c r="K51" i="146"/>
  <c r="J51" i="146"/>
  <c r="H51" i="146"/>
  <c r="G51" i="146"/>
  <c r="F51" i="146"/>
  <c r="D51" i="146"/>
  <c r="N73" i="146"/>
  <c r="M73" i="146"/>
  <c r="L73" i="146"/>
  <c r="K73" i="146"/>
  <c r="J73" i="146"/>
  <c r="H73" i="146"/>
  <c r="G73" i="146"/>
  <c r="F73" i="146"/>
  <c r="D73" i="146"/>
  <c r="N72" i="146"/>
  <c r="M72" i="146"/>
  <c r="L72" i="146"/>
  <c r="K72" i="146"/>
  <c r="J72" i="146"/>
  <c r="H72" i="146"/>
  <c r="G72" i="146"/>
  <c r="F72" i="146"/>
  <c r="D72" i="146"/>
  <c r="U21" i="30"/>
  <c r="O21" i="30" s="1"/>
  <c r="F21" i="30" s="1"/>
  <c r="P73" i="146" s="1"/>
  <c r="Q73" i="146" s="1"/>
  <c r="U33" i="30"/>
  <c r="O33" i="30" s="1"/>
  <c r="F33" i="30" s="1"/>
  <c r="P50" i="146"/>
  <c r="Q50" i="146" s="1"/>
  <c r="N50" i="146"/>
  <c r="M50" i="146"/>
  <c r="L50" i="146"/>
  <c r="K50" i="146"/>
  <c r="J50" i="146"/>
  <c r="H50" i="146"/>
  <c r="G50" i="146"/>
  <c r="F50" i="146"/>
  <c r="D50" i="146"/>
  <c r="P12" i="144"/>
  <c r="Q12" i="144" s="1"/>
  <c r="N12" i="144"/>
  <c r="M12" i="144"/>
  <c r="L12" i="144"/>
  <c r="K12" i="144"/>
  <c r="J12" i="144"/>
  <c r="H12" i="144"/>
  <c r="G12" i="144"/>
  <c r="F12" i="144"/>
  <c r="D12" i="144"/>
  <c r="P62" i="146"/>
  <c r="Q62" i="146" s="1"/>
  <c r="N62" i="146"/>
  <c r="M62" i="146"/>
  <c r="L62" i="146"/>
  <c r="K62" i="146"/>
  <c r="J62" i="146"/>
  <c r="H62" i="146"/>
  <c r="G62" i="146"/>
  <c r="F62" i="146"/>
  <c r="P60" i="146"/>
  <c r="Q60" i="146" s="1"/>
  <c r="N60" i="146"/>
  <c r="M60" i="146"/>
  <c r="L60" i="146"/>
  <c r="K60" i="146"/>
  <c r="J60" i="146"/>
  <c r="H60" i="146"/>
  <c r="G60" i="146"/>
  <c r="F60" i="146"/>
  <c r="P17" i="173"/>
  <c r="Q17" i="173" s="1"/>
  <c r="N17" i="173"/>
  <c r="M17" i="173"/>
  <c r="L17" i="173"/>
  <c r="K17" i="173"/>
  <c r="J17" i="173"/>
  <c r="H17" i="173"/>
  <c r="G17" i="173"/>
  <c r="F17" i="173"/>
  <c r="D17" i="173"/>
  <c r="P23" i="173"/>
  <c r="Q23" i="173" s="1"/>
  <c r="N23" i="173"/>
  <c r="M23" i="173"/>
  <c r="L23" i="173"/>
  <c r="K23" i="173"/>
  <c r="J23" i="173"/>
  <c r="H23" i="173"/>
  <c r="G23" i="173"/>
  <c r="F23" i="173"/>
  <c r="P30" i="76"/>
  <c r="Q30" i="76" s="1"/>
  <c r="N30" i="76"/>
  <c r="M30" i="76"/>
  <c r="L30" i="76"/>
  <c r="K30" i="76"/>
  <c r="J30" i="76"/>
  <c r="H30" i="76"/>
  <c r="G30" i="76"/>
  <c r="F30" i="76"/>
  <c r="P14" i="71"/>
  <c r="Q14" i="71" s="1"/>
  <c r="N14" i="71"/>
  <c r="M14" i="71"/>
  <c r="L14" i="71"/>
  <c r="K14" i="71"/>
  <c r="J14" i="71"/>
  <c r="H14" i="71"/>
  <c r="G14" i="71"/>
  <c r="F14" i="71"/>
  <c r="P37" i="172"/>
  <c r="Q37" i="172" s="1"/>
  <c r="N37" i="172"/>
  <c r="M37" i="172"/>
  <c r="L37" i="172"/>
  <c r="K37" i="172"/>
  <c r="J37" i="172"/>
  <c r="H37" i="172"/>
  <c r="G37" i="172"/>
  <c r="F37" i="172"/>
  <c r="P36" i="172"/>
  <c r="Q36" i="172" s="1"/>
  <c r="N36" i="172"/>
  <c r="M36" i="172"/>
  <c r="L36" i="172"/>
  <c r="K36" i="172"/>
  <c r="J36" i="172"/>
  <c r="H36" i="172"/>
  <c r="G36" i="172"/>
  <c r="F36" i="172"/>
  <c r="P26" i="172"/>
  <c r="Q26" i="172" s="1"/>
  <c r="N26" i="172"/>
  <c r="M26" i="172"/>
  <c r="L26" i="172"/>
  <c r="K26" i="172"/>
  <c r="J26" i="172"/>
  <c r="H26" i="172"/>
  <c r="G26" i="172"/>
  <c r="F26" i="172"/>
  <c r="D26" i="172"/>
  <c r="P26" i="151"/>
  <c r="Q26" i="151" s="1"/>
  <c r="N26" i="151"/>
  <c r="M26" i="151"/>
  <c r="L26" i="151"/>
  <c r="K26" i="151"/>
  <c r="J26" i="151"/>
  <c r="H26" i="151"/>
  <c r="G26" i="151"/>
  <c r="F26" i="151"/>
  <c r="D26" i="151"/>
  <c r="P37" i="151"/>
  <c r="Q37" i="151" s="1"/>
  <c r="N37" i="151"/>
  <c r="M37" i="151"/>
  <c r="L37" i="151"/>
  <c r="K37" i="151"/>
  <c r="J37" i="151"/>
  <c r="H37" i="151"/>
  <c r="G37" i="151"/>
  <c r="F37" i="151"/>
  <c r="P36" i="151"/>
  <c r="Q36" i="151" s="1"/>
  <c r="N36" i="151"/>
  <c r="M36" i="151"/>
  <c r="L36" i="151"/>
  <c r="K36" i="151"/>
  <c r="J36" i="151"/>
  <c r="H36" i="151"/>
  <c r="G36" i="151"/>
  <c r="F36" i="151"/>
  <c r="P28" i="186"/>
  <c r="Q28" i="186" s="1"/>
  <c r="N28" i="186"/>
  <c r="M28" i="186"/>
  <c r="L28" i="186"/>
  <c r="K28" i="186"/>
  <c r="J28" i="186"/>
  <c r="H28" i="186"/>
  <c r="G28" i="186"/>
  <c r="F28" i="186"/>
  <c r="D28" i="186"/>
  <c r="P28" i="150"/>
  <c r="Q28" i="150" s="1"/>
  <c r="N28" i="150"/>
  <c r="M28" i="150"/>
  <c r="L28" i="150"/>
  <c r="K28" i="150"/>
  <c r="J28" i="150"/>
  <c r="H28" i="150"/>
  <c r="G28" i="150"/>
  <c r="F28" i="150"/>
  <c r="D28" i="150"/>
  <c r="E353" i="29"/>
  <c r="E354" i="29"/>
  <c r="E355" i="29"/>
  <c r="E356" i="29"/>
  <c r="P27" i="150"/>
  <c r="Q27" i="150" s="1"/>
  <c r="N27" i="150"/>
  <c r="M27" i="150"/>
  <c r="L27" i="150"/>
  <c r="K27" i="150"/>
  <c r="J27" i="150"/>
  <c r="H27" i="150"/>
  <c r="G27" i="150"/>
  <c r="F27" i="150"/>
  <c r="D27" i="150"/>
  <c r="P40" i="186"/>
  <c r="Q40" i="186" s="1"/>
  <c r="N40" i="186"/>
  <c r="M40" i="186"/>
  <c r="L40" i="186"/>
  <c r="K40" i="186"/>
  <c r="J40" i="186"/>
  <c r="H40" i="186"/>
  <c r="G40" i="186"/>
  <c r="F40" i="186"/>
  <c r="P39" i="186"/>
  <c r="Q39" i="186" s="1"/>
  <c r="N39" i="186"/>
  <c r="M39" i="186"/>
  <c r="L39" i="186"/>
  <c r="K39" i="186"/>
  <c r="J39" i="186"/>
  <c r="H39" i="186"/>
  <c r="G39" i="186"/>
  <c r="F39" i="186"/>
  <c r="J40" i="150"/>
  <c r="K40" i="150"/>
  <c r="L40" i="150"/>
  <c r="M40" i="150"/>
  <c r="N40" i="150"/>
  <c r="P40" i="150"/>
  <c r="Q40" i="150" s="1"/>
  <c r="F40" i="150"/>
  <c r="G40" i="150"/>
  <c r="H40" i="150"/>
  <c r="J39" i="150"/>
  <c r="K39" i="150"/>
  <c r="L39" i="150"/>
  <c r="M39" i="150"/>
  <c r="N39" i="150"/>
  <c r="P39" i="150"/>
  <c r="Q39" i="150" s="1"/>
  <c r="F39" i="150"/>
  <c r="G39" i="150"/>
  <c r="H39" i="150"/>
  <c r="P33" i="166"/>
  <c r="Q33" i="166" s="1"/>
  <c r="N33" i="166"/>
  <c r="M33" i="166"/>
  <c r="L33" i="166"/>
  <c r="K33" i="166"/>
  <c r="J33" i="166"/>
  <c r="H33" i="166"/>
  <c r="G33" i="166"/>
  <c r="F33" i="166"/>
  <c r="J16" i="144"/>
  <c r="K16" i="144"/>
  <c r="L16" i="144"/>
  <c r="M16" i="144"/>
  <c r="N16" i="144"/>
  <c r="P16" i="144"/>
  <c r="Q16" i="144" s="1"/>
  <c r="F16" i="144"/>
  <c r="G16" i="144"/>
  <c r="H16" i="144"/>
  <c r="F14" i="144"/>
  <c r="G14" i="144"/>
  <c r="H14" i="144"/>
  <c r="J14" i="144"/>
  <c r="K14" i="144"/>
  <c r="L14" i="144"/>
  <c r="M14" i="144"/>
  <c r="N14" i="144"/>
  <c r="P14" i="144"/>
  <c r="Q14" i="144" s="1"/>
  <c r="A15" i="144"/>
  <c r="A16" i="144" s="1"/>
  <c r="F15" i="144"/>
  <c r="G15" i="144"/>
  <c r="H15" i="144"/>
  <c r="J15" i="144"/>
  <c r="K15" i="144"/>
  <c r="L15" i="144"/>
  <c r="M15" i="144"/>
  <c r="N15" i="144"/>
  <c r="P15" i="144"/>
  <c r="Q15" i="144" s="1"/>
  <c r="P9" i="120"/>
  <c r="Q9" i="120" s="1"/>
  <c r="N9" i="120"/>
  <c r="M9" i="120"/>
  <c r="L9" i="120"/>
  <c r="K9" i="120"/>
  <c r="J9" i="120"/>
  <c r="H9" i="120"/>
  <c r="G9" i="120"/>
  <c r="F9" i="120"/>
  <c r="D9" i="120"/>
  <c r="P34" i="63"/>
  <c r="Q34" i="63" s="1"/>
  <c r="N34" i="63"/>
  <c r="M34" i="63"/>
  <c r="L34" i="63"/>
  <c r="K34" i="63"/>
  <c r="J34" i="63"/>
  <c r="H34" i="63"/>
  <c r="G34" i="63"/>
  <c r="F34" i="63"/>
  <c r="P28" i="63"/>
  <c r="Q28" i="63" s="1"/>
  <c r="N28" i="63"/>
  <c r="M28" i="63"/>
  <c r="L28" i="63"/>
  <c r="K28" i="63"/>
  <c r="J28" i="63"/>
  <c r="H28" i="63"/>
  <c r="G28" i="63"/>
  <c r="F28" i="63"/>
  <c r="D28" i="63"/>
  <c r="P13" i="162"/>
  <c r="Q13" i="162" s="1"/>
  <c r="N13" i="162"/>
  <c r="M13" i="162"/>
  <c r="L13" i="162"/>
  <c r="K13" i="162"/>
  <c r="J13" i="162"/>
  <c r="H13" i="162"/>
  <c r="G13" i="162"/>
  <c r="F13" i="162"/>
  <c r="D13" i="162"/>
  <c r="P19" i="165"/>
  <c r="Q19" i="165" s="1"/>
  <c r="N19" i="165"/>
  <c r="M19" i="165"/>
  <c r="L19" i="165"/>
  <c r="K19" i="165"/>
  <c r="J19" i="165"/>
  <c r="H19" i="165"/>
  <c r="G19" i="165"/>
  <c r="F19" i="165"/>
  <c r="P17" i="164"/>
  <c r="Q17" i="164" s="1"/>
  <c r="N17" i="164"/>
  <c r="M17" i="164"/>
  <c r="L17" i="164"/>
  <c r="K17" i="164"/>
  <c r="J17" i="164"/>
  <c r="H17" i="164"/>
  <c r="G17" i="164"/>
  <c r="F17" i="164"/>
  <c r="P16" i="163"/>
  <c r="Q16" i="163" s="1"/>
  <c r="N16" i="163"/>
  <c r="M16" i="163"/>
  <c r="L16" i="163"/>
  <c r="K16" i="163"/>
  <c r="J16" i="163"/>
  <c r="H16" i="163"/>
  <c r="G16" i="163"/>
  <c r="F16" i="163"/>
  <c r="P15" i="163"/>
  <c r="Q15" i="163" s="1"/>
  <c r="N15" i="163"/>
  <c r="M15" i="163"/>
  <c r="L15" i="163"/>
  <c r="K15" i="163"/>
  <c r="J15" i="163"/>
  <c r="H15" i="163"/>
  <c r="G15" i="163"/>
  <c r="F15" i="163"/>
  <c r="P25" i="106"/>
  <c r="Q25" i="106" s="1"/>
  <c r="N25" i="106"/>
  <c r="M25" i="106"/>
  <c r="L25" i="106"/>
  <c r="K25" i="106"/>
  <c r="J25" i="106"/>
  <c r="H25" i="106"/>
  <c r="G25" i="106"/>
  <c r="F25" i="106"/>
  <c r="P17" i="83"/>
  <c r="Q17" i="83" s="1"/>
  <c r="N17" i="83"/>
  <c r="M17" i="83"/>
  <c r="L17" i="83"/>
  <c r="K17" i="83"/>
  <c r="J17" i="83"/>
  <c r="H17" i="83"/>
  <c r="G17" i="83"/>
  <c r="F17" i="83"/>
  <c r="D17" i="83"/>
  <c r="P34" i="99"/>
  <c r="Q34" i="99" s="1"/>
  <c r="N34" i="99"/>
  <c r="M34" i="99"/>
  <c r="L34" i="99"/>
  <c r="K34" i="99"/>
  <c r="J34" i="99"/>
  <c r="H34" i="99"/>
  <c r="G34" i="99"/>
  <c r="F34" i="99"/>
  <c r="P33" i="99"/>
  <c r="Q33" i="99" s="1"/>
  <c r="N33" i="99"/>
  <c r="M33" i="99"/>
  <c r="L33" i="99"/>
  <c r="K33" i="99"/>
  <c r="J33" i="99"/>
  <c r="H33" i="99"/>
  <c r="G33" i="99"/>
  <c r="F33" i="99"/>
  <c r="P32" i="99"/>
  <c r="Q32" i="99" s="1"/>
  <c r="N32" i="99"/>
  <c r="M32" i="99"/>
  <c r="L32" i="99"/>
  <c r="K32" i="99"/>
  <c r="J32" i="99"/>
  <c r="H32" i="99"/>
  <c r="G32" i="99"/>
  <c r="F32" i="99"/>
  <c r="P31" i="99"/>
  <c r="Q31" i="99" s="1"/>
  <c r="N31" i="99"/>
  <c r="M31" i="99"/>
  <c r="L31" i="99"/>
  <c r="K31" i="99"/>
  <c r="J31" i="99"/>
  <c r="H31" i="99"/>
  <c r="G31" i="99"/>
  <c r="F31" i="99"/>
  <c r="P25" i="99"/>
  <c r="Q25" i="99" s="1"/>
  <c r="N25" i="99"/>
  <c r="M25" i="99"/>
  <c r="L25" i="99"/>
  <c r="K25" i="99"/>
  <c r="J25" i="99"/>
  <c r="H25" i="99"/>
  <c r="G25" i="99"/>
  <c r="F25" i="99"/>
  <c r="P24" i="99"/>
  <c r="Q24" i="99" s="1"/>
  <c r="N24" i="99"/>
  <c r="M24" i="99"/>
  <c r="L24" i="99"/>
  <c r="K24" i="99"/>
  <c r="J24" i="99"/>
  <c r="H24" i="99"/>
  <c r="G24" i="99"/>
  <c r="F24" i="99"/>
  <c r="P21" i="99"/>
  <c r="Q21" i="99" s="1"/>
  <c r="N21" i="99"/>
  <c r="M21" i="99"/>
  <c r="L21" i="99"/>
  <c r="K21" i="99"/>
  <c r="J21" i="99"/>
  <c r="H21" i="99"/>
  <c r="G21" i="99"/>
  <c r="F21" i="99"/>
  <c r="P20" i="99"/>
  <c r="Q20" i="99" s="1"/>
  <c r="N20" i="99"/>
  <c r="M20" i="99"/>
  <c r="L20" i="99"/>
  <c r="K20" i="99"/>
  <c r="J20" i="99"/>
  <c r="H20" i="99"/>
  <c r="G20" i="99"/>
  <c r="F20" i="99"/>
  <c r="P45" i="99"/>
  <c r="Q45" i="99" s="1"/>
  <c r="N45" i="99"/>
  <c r="M45" i="99"/>
  <c r="L45" i="99"/>
  <c r="K45" i="99"/>
  <c r="J45" i="99"/>
  <c r="H45" i="99"/>
  <c r="G45" i="99"/>
  <c r="F45" i="99"/>
  <c r="A43" i="99"/>
  <c r="A44" i="99" s="1"/>
  <c r="A45" i="99" s="1"/>
  <c r="P44" i="99"/>
  <c r="Q44" i="99" s="1"/>
  <c r="N44" i="99"/>
  <c r="M44" i="99"/>
  <c r="L44" i="99"/>
  <c r="K44" i="99"/>
  <c r="J44" i="99"/>
  <c r="H44" i="99"/>
  <c r="G44" i="99"/>
  <c r="F44" i="99"/>
  <c r="P43" i="99"/>
  <c r="Q43" i="99" s="1"/>
  <c r="N43" i="99"/>
  <c r="M43" i="99"/>
  <c r="L43" i="99"/>
  <c r="K43" i="99"/>
  <c r="J43" i="99"/>
  <c r="H43" i="99"/>
  <c r="G43" i="99"/>
  <c r="F43" i="99"/>
  <c r="P42" i="99"/>
  <c r="Q42" i="99" s="1"/>
  <c r="N42" i="99"/>
  <c r="M42" i="99"/>
  <c r="L42" i="99"/>
  <c r="K42" i="99"/>
  <c r="J42" i="99"/>
  <c r="H42" i="99"/>
  <c r="G42" i="99"/>
  <c r="F42" i="99"/>
  <c r="P38" i="99"/>
  <c r="Q38" i="99" s="1"/>
  <c r="N38" i="99"/>
  <c r="M38" i="99"/>
  <c r="L38" i="99"/>
  <c r="K38" i="99"/>
  <c r="J38" i="99"/>
  <c r="H38" i="99"/>
  <c r="G38" i="99"/>
  <c r="F38" i="99"/>
  <c r="D38" i="99"/>
  <c r="P37" i="99"/>
  <c r="Q37" i="99" s="1"/>
  <c r="N37" i="99"/>
  <c r="M37" i="99"/>
  <c r="L37" i="99"/>
  <c r="K37" i="99"/>
  <c r="J37" i="99"/>
  <c r="H37" i="99"/>
  <c r="G37" i="99"/>
  <c r="F37" i="99"/>
  <c r="D37" i="99"/>
  <c r="N50" i="99"/>
  <c r="M50" i="99"/>
  <c r="L50" i="99"/>
  <c r="K50" i="99"/>
  <c r="J50" i="99"/>
  <c r="H50" i="99"/>
  <c r="G50" i="99"/>
  <c r="F50" i="99"/>
  <c r="D50" i="99"/>
  <c r="U84" i="30"/>
  <c r="O84" i="30" s="1"/>
  <c r="F84" i="30" s="1"/>
  <c r="P50" i="99" s="1"/>
  <c r="Q50" i="99" s="1"/>
  <c r="P16" i="102"/>
  <c r="Q16" i="102" s="1"/>
  <c r="N16" i="102"/>
  <c r="M16" i="102"/>
  <c r="L16" i="102"/>
  <c r="K16" i="102"/>
  <c r="J16" i="102"/>
  <c r="H16" i="102"/>
  <c r="G16" i="102"/>
  <c r="F16" i="102"/>
  <c r="P15" i="102"/>
  <c r="Q15" i="102" s="1"/>
  <c r="N15" i="102"/>
  <c r="M15" i="102"/>
  <c r="L15" i="102"/>
  <c r="K15" i="102"/>
  <c r="J15" i="102"/>
  <c r="H15" i="102"/>
  <c r="G15" i="102"/>
  <c r="F15" i="102"/>
  <c r="P14" i="102"/>
  <c r="Q14" i="102" s="1"/>
  <c r="N14" i="102"/>
  <c r="M14" i="102"/>
  <c r="L14" i="102"/>
  <c r="K14" i="102"/>
  <c r="J14" i="102"/>
  <c r="H14" i="102"/>
  <c r="G14" i="102"/>
  <c r="F14" i="102"/>
  <c r="A14" i="102"/>
  <c r="A15" i="102" s="1"/>
  <c r="A16" i="102" s="1"/>
  <c r="D19" i="101"/>
  <c r="J35" i="112"/>
  <c r="K35" i="112"/>
  <c r="L35" i="112"/>
  <c r="M35" i="112"/>
  <c r="N35" i="112"/>
  <c r="P35" i="112"/>
  <c r="Q35" i="112" s="1"/>
  <c r="F35" i="112"/>
  <c r="G35" i="112"/>
  <c r="H35" i="112"/>
  <c r="J30" i="112"/>
  <c r="K30" i="112"/>
  <c r="L30" i="112"/>
  <c r="M30" i="112"/>
  <c r="N30" i="112"/>
  <c r="P30" i="112"/>
  <c r="Q30" i="112" s="1"/>
  <c r="F30" i="112"/>
  <c r="G30" i="112"/>
  <c r="H30" i="112"/>
  <c r="D30" i="112"/>
  <c r="F13" i="109"/>
  <c r="G13" i="109"/>
  <c r="H13" i="109"/>
  <c r="J13" i="109"/>
  <c r="K13" i="109"/>
  <c r="L13" i="109"/>
  <c r="M13" i="109"/>
  <c r="N13" i="109"/>
  <c r="P13" i="109"/>
  <c r="Q13" i="109" s="1"/>
  <c r="F13" i="104"/>
  <c r="G13" i="104"/>
  <c r="H13" i="104"/>
  <c r="J13" i="104"/>
  <c r="K13" i="104"/>
  <c r="L13" i="104"/>
  <c r="M13" i="104"/>
  <c r="N13" i="104"/>
  <c r="P13" i="104"/>
  <c r="Q13" i="104" s="1"/>
  <c r="J16" i="182"/>
  <c r="K16" i="182"/>
  <c r="L16" i="182"/>
  <c r="M16" i="182"/>
  <c r="N16" i="182"/>
  <c r="P16" i="182"/>
  <c r="Q16" i="182" s="1"/>
  <c r="F16" i="182"/>
  <c r="G16" i="182"/>
  <c r="H16" i="182"/>
  <c r="J15" i="182"/>
  <c r="K15" i="182"/>
  <c r="L15" i="182"/>
  <c r="M15" i="182"/>
  <c r="N15" i="182"/>
  <c r="P15" i="182"/>
  <c r="Q15" i="182" s="1"/>
  <c r="F15" i="182"/>
  <c r="G15" i="182"/>
  <c r="H15" i="182"/>
  <c r="J14" i="182"/>
  <c r="K14" i="182"/>
  <c r="L14" i="182"/>
  <c r="M14" i="182"/>
  <c r="N14" i="182"/>
  <c r="P14" i="182"/>
  <c r="Q14" i="182" s="1"/>
  <c r="F14" i="182"/>
  <c r="G14" i="182"/>
  <c r="H14" i="182"/>
  <c r="J16" i="181"/>
  <c r="K16" i="181"/>
  <c r="L16" i="181"/>
  <c r="M16" i="181"/>
  <c r="N16" i="181"/>
  <c r="P16" i="181"/>
  <c r="Q16" i="181" s="1"/>
  <c r="F16" i="181"/>
  <c r="G16" i="181"/>
  <c r="H16" i="181"/>
  <c r="J15" i="181"/>
  <c r="K15" i="181"/>
  <c r="L15" i="181"/>
  <c r="M15" i="181"/>
  <c r="N15" i="181"/>
  <c r="P15" i="181"/>
  <c r="Q15" i="181" s="1"/>
  <c r="F15" i="181"/>
  <c r="G15" i="181"/>
  <c r="H15" i="181"/>
  <c r="J14" i="181"/>
  <c r="K14" i="181"/>
  <c r="L14" i="181"/>
  <c r="M14" i="181"/>
  <c r="N14" i="181"/>
  <c r="P14" i="181"/>
  <c r="Q14" i="181" s="1"/>
  <c r="F14" i="181"/>
  <c r="G14" i="181"/>
  <c r="H14" i="181"/>
  <c r="J10" i="181"/>
  <c r="K10" i="181"/>
  <c r="L10" i="181"/>
  <c r="M10" i="181"/>
  <c r="N10" i="181"/>
  <c r="P10" i="181"/>
  <c r="Q10" i="181" s="1"/>
  <c r="F10" i="181"/>
  <c r="G10" i="181"/>
  <c r="H10" i="181"/>
  <c r="D10" i="181"/>
  <c r="J14" i="105"/>
  <c r="K14" i="105"/>
  <c r="L14" i="105"/>
  <c r="M14" i="105"/>
  <c r="N14" i="105"/>
  <c r="P14" i="105"/>
  <c r="Q14" i="105" s="1"/>
  <c r="F14" i="105"/>
  <c r="G14" i="105"/>
  <c r="H14" i="105"/>
  <c r="J17" i="98"/>
  <c r="K17" i="98"/>
  <c r="L17" i="98"/>
  <c r="M17" i="98"/>
  <c r="N17" i="98"/>
  <c r="P17" i="98"/>
  <c r="Q17" i="98" s="1"/>
  <c r="F17" i="98"/>
  <c r="G17" i="98"/>
  <c r="H17" i="98"/>
  <c r="J17" i="96"/>
  <c r="K17" i="96"/>
  <c r="L17" i="96"/>
  <c r="M17" i="96"/>
  <c r="N17" i="96"/>
  <c r="P17" i="96"/>
  <c r="Q17" i="96" s="1"/>
  <c r="F17" i="96"/>
  <c r="G17" i="96"/>
  <c r="H17" i="96"/>
  <c r="J17" i="95"/>
  <c r="K17" i="95"/>
  <c r="L17" i="95"/>
  <c r="M17" i="95"/>
  <c r="N17" i="95"/>
  <c r="P17" i="95"/>
  <c r="Q17" i="95" s="1"/>
  <c r="F17" i="95"/>
  <c r="G17" i="95"/>
  <c r="H17" i="95"/>
  <c r="J17" i="94"/>
  <c r="K17" i="94"/>
  <c r="L17" i="94"/>
  <c r="M17" i="94"/>
  <c r="N17" i="94"/>
  <c r="P17" i="94"/>
  <c r="Q17" i="94" s="1"/>
  <c r="F17" i="94"/>
  <c r="G17" i="94"/>
  <c r="H17" i="94"/>
  <c r="J17" i="90"/>
  <c r="K17" i="90"/>
  <c r="L17" i="90"/>
  <c r="M17" i="90"/>
  <c r="N17" i="90"/>
  <c r="P17" i="90"/>
  <c r="Q17" i="90" s="1"/>
  <c r="F17" i="90"/>
  <c r="G17" i="90"/>
  <c r="H17" i="90"/>
  <c r="J17" i="84"/>
  <c r="K17" i="84"/>
  <c r="L17" i="84"/>
  <c r="M17" i="84"/>
  <c r="N17" i="84"/>
  <c r="P17" i="84"/>
  <c r="Q17" i="84" s="1"/>
  <c r="F17" i="84"/>
  <c r="G17" i="84"/>
  <c r="H17" i="84"/>
  <c r="J13" i="89"/>
  <c r="K13" i="89"/>
  <c r="L13" i="89"/>
  <c r="M13" i="89"/>
  <c r="N13" i="89"/>
  <c r="P13" i="89"/>
  <c r="Q13" i="89" s="1"/>
  <c r="F13" i="89"/>
  <c r="G13" i="89"/>
  <c r="H13" i="89"/>
  <c r="P17" i="111"/>
  <c r="Q17" i="111" s="1"/>
  <c r="N17" i="111"/>
  <c r="M17" i="111"/>
  <c r="L17" i="111"/>
  <c r="K17" i="111"/>
  <c r="J17" i="111"/>
  <c r="H17" i="111"/>
  <c r="G17" i="111"/>
  <c r="F17" i="111"/>
  <c r="D17" i="111"/>
  <c r="P16" i="111"/>
  <c r="Q16" i="111" s="1"/>
  <c r="N16" i="111"/>
  <c r="M16" i="111"/>
  <c r="L16" i="111"/>
  <c r="K16" i="111"/>
  <c r="J16" i="111"/>
  <c r="H16" i="111"/>
  <c r="G16" i="111"/>
  <c r="F16" i="111"/>
  <c r="D16" i="111"/>
  <c r="P24" i="111"/>
  <c r="Q24" i="111" s="1"/>
  <c r="N24" i="111"/>
  <c r="M24" i="111"/>
  <c r="L24" i="111"/>
  <c r="K24" i="111"/>
  <c r="J24" i="111"/>
  <c r="H24" i="111"/>
  <c r="G24" i="111"/>
  <c r="F24" i="111"/>
  <c r="P23" i="111"/>
  <c r="Q23" i="111" s="1"/>
  <c r="N23" i="111"/>
  <c r="M23" i="111"/>
  <c r="L23" i="111"/>
  <c r="K23" i="111"/>
  <c r="J23" i="111"/>
  <c r="H23" i="111"/>
  <c r="G23" i="111"/>
  <c r="F23" i="111"/>
  <c r="P22" i="111"/>
  <c r="Q22" i="111" s="1"/>
  <c r="N22" i="111"/>
  <c r="M22" i="111"/>
  <c r="L22" i="111"/>
  <c r="K22" i="111"/>
  <c r="J22" i="111"/>
  <c r="H22" i="111"/>
  <c r="G22" i="111"/>
  <c r="F22" i="111"/>
  <c r="P21" i="111"/>
  <c r="Q21" i="111" s="1"/>
  <c r="N21" i="111"/>
  <c r="M21" i="111"/>
  <c r="L21" i="111"/>
  <c r="K21" i="111"/>
  <c r="J21" i="111"/>
  <c r="H21" i="111"/>
  <c r="G21" i="111"/>
  <c r="F21" i="111"/>
  <c r="P20" i="111"/>
  <c r="Q20" i="111" s="1"/>
  <c r="N20" i="111"/>
  <c r="M20" i="111"/>
  <c r="L20" i="111"/>
  <c r="K20" i="111"/>
  <c r="J20" i="111"/>
  <c r="H20" i="111"/>
  <c r="G20" i="111"/>
  <c r="F20" i="111"/>
  <c r="A20" i="111"/>
  <c r="A21" i="111" s="1"/>
  <c r="A22" i="111" s="1"/>
  <c r="A23" i="111" s="1"/>
  <c r="A24" i="111" s="1"/>
  <c r="P19" i="111"/>
  <c r="Q19" i="111" s="1"/>
  <c r="N19" i="111"/>
  <c r="M19" i="111"/>
  <c r="L19" i="111"/>
  <c r="K19" i="111"/>
  <c r="J19" i="111"/>
  <c r="H19" i="111"/>
  <c r="G19" i="111"/>
  <c r="F19" i="111"/>
  <c r="P25" i="107"/>
  <c r="Q25" i="107" s="1"/>
  <c r="N25" i="107"/>
  <c r="M25" i="107"/>
  <c r="L25" i="107"/>
  <c r="K25" i="107"/>
  <c r="J25" i="107"/>
  <c r="H25" i="107"/>
  <c r="G25" i="107"/>
  <c r="F25" i="107"/>
  <c r="P24" i="107"/>
  <c r="Q24" i="107" s="1"/>
  <c r="N24" i="107"/>
  <c r="M24" i="107"/>
  <c r="L24" i="107"/>
  <c r="K24" i="107"/>
  <c r="J24" i="107"/>
  <c r="H24" i="107"/>
  <c r="G24" i="107"/>
  <c r="F24" i="107"/>
  <c r="P23" i="107"/>
  <c r="Q23" i="107" s="1"/>
  <c r="N23" i="107"/>
  <c r="M23" i="107"/>
  <c r="L23" i="107"/>
  <c r="K23" i="107"/>
  <c r="J23" i="107"/>
  <c r="H23" i="107"/>
  <c r="G23" i="107"/>
  <c r="F23" i="107"/>
  <c r="P22" i="107"/>
  <c r="Q22" i="107" s="1"/>
  <c r="N22" i="107"/>
  <c r="M22" i="107"/>
  <c r="L22" i="107"/>
  <c r="K22" i="107"/>
  <c r="J22" i="107"/>
  <c r="H22" i="107"/>
  <c r="G22" i="107"/>
  <c r="F22" i="107"/>
  <c r="P21" i="107"/>
  <c r="Q21" i="107" s="1"/>
  <c r="N21" i="107"/>
  <c r="M21" i="107"/>
  <c r="L21" i="107"/>
  <c r="K21" i="107"/>
  <c r="J21" i="107"/>
  <c r="H21" i="107"/>
  <c r="G21" i="107"/>
  <c r="F21" i="107"/>
  <c r="A21" i="107"/>
  <c r="A22" i="107" s="1"/>
  <c r="A23" i="107" s="1"/>
  <c r="A24" i="107" s="1"/>
  <c r="A25" i="107" s="1"/>
  <c r="P20" i="107"/>
  <c r="Q20" i="107" s="1"/>
  <c r="N20" i="107"/>
  <c r="M20" i="107"/>
  <c r="L20" i="107"/>
  <c r="K20" i="107"/>
  <c r="J20" i="107"/>
  <c r="H20" i="107"/>
  <c r="G20" i="107"/>
  <c r="F20" i="107"/>
  <c r="P24" i="87"/>
  <c r="Q24" i="87" s="1"/>
  <c r="N24" i="87"/>
  <c r="M24" i="87"/>
  <c r="L24" i="87"/>
  <c r="K24" i="87"/>
  <c r="J24" i="87"/>
  <c r="H24" i="87"/>
  <c r="G24" i="87"/>
  <c r="F24" i="87"/>
  <c r="P24" i="97"/>
  <c r="Q24" i="97" s="1"/>
  <c r="N24" i="97"/>
  <c r="M24" i="97"/>
  <c r="L24" i="97"/>
  <c r="K24" i="97"/>
  <c r="J24" i="97"/>
  <c r="H24" i="97"/>
  <c r="G24" i="97"/>
  <c r="F24" i="97"/>
  <c r="P23" i="97"/>
  <c r="Q23" i="97" s="1"/>
  <c r="N23" i="97"/>
  <c r="M23" i="97"/>
  <c r="L23" i="97"/>
  <c r="K23" i="97"/>
  <c r="J23" i="97"/>
  <c r="H23" i="97"/>
  <c r="G23" i="97"/>
  <c r="F23" i="97"/>
  <c r="P22" i="97"/>
  <c r="Q22" i="97" s="1"/>
  <c r="N22" i="97"/>
  <c r="M22" i="97"/>
  <c r="L22" i="97"/>
  <c r="K22" i="97"/>
  <c r="J22" i="97"/>
  <c r="H22" i="97"/>
  <c r="G22" i="97"/>
  <c r="F22" i="97"/>
  <c r="P21" i="97"/>
  <c r="Q21" i="97" s="1"/>
  <c r="N21" i="97"/>
  <c r="M21" i="97"/>
  <c r="L21" i="97"/>
  <c r="K21" i="97"/>
  <c r="J21" i="97"/>
  <c r="H21" i="97"/>
  <c r="G21" i="97"/>
  <c r="F21" i="97"/>
  <c r="P20" i="97"/>
  <c r="Q20" i="97" s="1"/>
  <c r="N20" i="97"/>
  <c r="M20" i="97"/>
  <c r="L20" i="97"/>
  <c r="K20" i="97"/>
  <c r="J20" i="97"/>
  <c r="H20" i="97"/>
  <c r="G20" i="97"/>
  <c r="F20" i="97"/>
  <c r="P23" i="121"/>
  <c r="Q23" i="121" s="1"/>
  <c r="N23" i="121"/>
  <c r="M23" i="121"/>
  <c r="L23" i="121"/>
  <c r="K23" i="121"/>
  <c r="J23" i="121"/>
  <c r="H23" i="121"/>
  <c r="G23" i="121"/>
  <c r="F23" i="121"/>
  <c r="P22" i="121"/>
  <c r="Q22" i="121" s="1"/>
  <c r="N22" i="121"/>
  <c r="M22" i="121"/>
  <c r="L22" i="121"/>
  <c r="K22" i="121"/>
  <c r="J22" i="121"/>
  <c r="H22" i="121"/>
  <c r="G22" i="121"/>
  <c r="F22" i="121"/>
  <c r="P21" i="121"/>
  <c r="Q21" i="121" s="1"/>
  <c r="N21" i="121"/>
  <c r="M21" i="121"/>
  <c r="L21" i="121"/>
  <c r="K21" i="121"/>
  <c r="J21" i="121"/>
  <c r="H21" i="121"/>
  <c r="G21" i="121"/>
  <c r="F21" i="121"/>
  <c r="P20" i="121"/>
  <c r="Q20" i="121" s="1"/>
  <c r="N20" i="121"/>
  <c r="M20" i="121"/>
  <c r="L20" i="121"/>
  <c r="K20" i="121"/>
  <c r="J20" i="121"/>
  <c r="H20" i="121"/>
  <c r="G20" i="121"/>
  <c r="F20" i="121"/>
  <c r="P19" i="121"/>
  <c r="Q19" i="121" s="1"/>
  <c r="N19" i="121"/>
  <c r="M19" i="121"/>
  <c r="L19" i="121"/>
  <c r="K19" i="121"/>
  <c r="J19" i="121"/>
  <c r="H19" i="121"/>
  <c r="G19" i="121"/>
  <c r="F19" i="121"/>
  <c r="P23" i="93"/>
  <c r="Q23" i="93" s="1"/>
  <c r="N23" i="93"/>
  <c r="M23" i="93"/>
  <c r="L23" i="93"/>
  <c r="K23" i="93"/>
  <c r="J23" i="93"/>
  <c r="H23" i="93"/>
  <c r="G23" i="93"/>
  <c r="F23" i="93"/>
  <c r="P22" i="93"/>
  <c r="Q22" i="93" s="1"/>
  <c r="N22" i="93"/>
  <c r="M22" i="93"/>
  <c r="L22" i="93"/>
  <c r="K22" i="93"/>
  <c r="J22" i="93"/>
  <c r="H22" i="93"/>
  <c r="G22" i="93"/>
  <c r="F22" i="93"/>
  <c r="P21" i="93"/>
  <c r="Q21" i="93" s="1"/>
  <c r="N21" i="93"/>
  <c r="M21" i="93"/>
  <c r="L21" i="93"/>
  <c r="K21" i="93"/>
  <c r="J21" i="93"/>
  <c r="H21" i="93"/>
  <c r="G21" i="93"/>
  <c r="F21" i="93"/>
  <c r="P20" i="93"/>
  <c r="Q20" i="93" s="1"/>
  <c r="N20" i="93"/>
  <c r="M20" i="93"/>
  <c r="L20" i="93"/>
  <c r="K20" i="93"/>
  <c r="J20" i="93"/>
  <c r="H20" i="93"/>
  <c r="G20" i="93"/>
  <c r="F20" i="93"/>
  <c r="P19" i="93"/>
  <c r="Q19" i="93" s="1"/>
  <c r="N19" i="93"/>
  <c r="M19" i="93"/>
  <c r="L19" i="93"/>
  <c r="K19" i="93"/>
  <c r="J19" i="93"/>
  <c r="H19" i="93"/>
  <c r="G19" i="93"/>
  <c r="F19" i="93"/>
  <c r="P25" i="110"/>
  <c r="Q25" i="110" s="1"/>
  <c r="N25" i="110"/>
  <c r="M25" i="110"/>
  <c r="L25" i="110"/>
  <c r="K25" i="110"/>
  <c r="J25" i="110"/>
  <c r="H25" i="110"/>
  <c r="G25" i="110"/>
  <c r="F25" i="110"/>
  <c r="P16" i="110"/>
  <c r="Q16" i="110" s="1"/>
  <c r="N16" i="110"/>
  <c r="M16" i="110"/>
  <c r="L16" i="110"/>
  <c r="K16" i="110"/>
  <c r="J16" i="110"/>
  <c r="H16" i="110"/>
  <c r="G16" i="110"/>
  <c r="F16" i="110"/>
  <c r="D16" i="110"/>
  <c r="P22" i="86"/>
  <c r="Q22" i="86" s="1"/>
  <c r="N22" i="86"/>
  <c r="M22" i="86"/>
  <c r="L22" i="86"/>
  <c r="K22" i="86"/>
  <c r="J22" i="86"/>
  <c r="H22" i="86"/>
  <c r="G22" i="86"/>
  <c r="F22" i="86"/>
  <c r="J26" i="166"/>
  <c r="K26" i="166"/>
  <c r="L26" i="166"/>
  <c r="M26" i="166"/>
  <c r="N26" i="166"/>
  <c r="P26" i="166"/>
  <c r="Q26" i="166" s="1"/>
  <c r="F26" i="166"/>
  <c r="G26" i="166"/>
  <c r="H26" i="166"/>
  <c r="D26" i="166"/>
  <c r="P27" i="63"/>
  <c r="Q27" i="63" s="1"/>
  <c r="N27" i="63"/>
  <c r="M27" i="63"/>
  <c r="L27" i="63"/>
  <c r="K27" i="63"/>
  <c r="J27" i="63"/>
  <c r="H27" i="63"/>
  <c r="G27" i="63"/>
  <c r="F27" i="63"/>
  <c r="D27" i="63"/>
  <c r="P26" i="63"/>
  <c r="Q26" i="63" s="1"/>
  <c r="N26" i="63"/>
  <c r="M26" i="63"/>
  <c r="L26" i="63"/>
  <c r="K26" i="63"/>
  <c r="J26" i="63"/>
  <c r="H26" i="63"/>
  <c r="G26" i="63"/>
  <c r="F26" i="63"/>
  <c r="D26" i="63"/>
  <c r="P33" i="63"/>
  <c r="Q33" i="63" s="1"/>
  <c r="N33" i="63"/>
  <c r="M33" i="63"/>
  <c r="L33" i="63"/>
  <c r="K33" i="63"/>
  <c r="J33" i="63"/>
  <c r="H33" i="63"/>
  <c r="G33" i="63"/>
  <c r="F33" i="63"/>
  <c r="P15" i="63"/>
  <c r="Q15" i="63" s="1"/>
  <c r="A12" i="131"/>
  <c r="A13" i="131" s="1"/>
  <c r="A14" i="131" s="1"/>
  <c r="A15" i="131" s="1"/>
  <c r="P12" i="158"/>
  <c r="Q12" i="158" s="1"/>
  <c r="N12" i="158"/>
  <c r="M12" i="158"/>
  <c r="L12" i="158"/>
  <c r="K12" i="158"/>
  <c r="J12" i="158"/>
  <c r="H12" i="158"/>
  <c r="G12" i="158"/>
  <c r="F12" i="158"/>
  <c r="D12" i="158"/>
  <c r="P33" i="79"/>
  <c r="Q33" i="79" s="1"/>
  <c r="N33" i="79"/>
  <c r="M33" i="79"/>
  <c r="L33" i="79"/>
  <c r="K33" i="79"/>
  <c r="J33" i="79"/>
  <c r="H33" i="79"/>
  <c r="G33" i="79"/>
  <c r="F33" i="79"/>
  <c r="P22" i="137"/>
  <c r="Q22" i="137" s="1"/>
  <c r="N22" i="137"/>
  <c r="M22" i="137"/>
  <c r="L22" i="137"/>
  <c r="K22" i="137"/>
  <c r="J22" i="137"/>
  <c r="H22" i="137"/>
  <c r="G22" i="137"/>
  <c r="F22" i="137"/>
  <c r="P21" i="137"/>
  <c r="Q21" i="137" s="1"/>
  <c r="N21" i="137"/>
  <c r="M21" i="137"/>
  <c r="L21" i="137"/>
  <c r="K21" i="137"/>
  <c r="J21" i="137"/>
  <c r="H21" i="137"/>
  <c r="G21" i="137"/>
  <c r="F21" i="137"/>
  <c r="A16" i="137"/>
  <c r="A17" i="137" s="1"/>
  <c r="A18" i="137" s="1"/>
  <c r="A19" i="137" s="1"/>
  <c r="A20" i="137" s="1"/>
  <c r="A21" i="137" s="1"/>
  <c r="A22" i="137" s="1"/>
  <c r="P41" i="136"/>
  <c r="Q41" i="136" s="1"/>
  <c r="N41" i="136"/>
  <c r="M41" i="136"/>
  <c r="L41" i="136"/>
  <c r="K41" i="136"/>
  <c r="J41" i="136"/>
  <c r="H41" i="136"/>
  <c r="G41" i="136"/>
  <c r="F41" i="136"/>
  <c r="P40" i="136"/>
  <c r="Q40" i="136" s="1"/>
  <c r="N40" i="136"/>
  <c r="M40" i="136"/>
  <c r="L40" i="136"/>
  <c r="K40" i="136"/>
  <c r="J40" i="136"/>
  <c r="H40" i="136"/>
  <c r="G40" i="136"/>
  <c r="F40" i="136"/>
  <c r="P39" i="136"/>
  <c r="Q39" i="136" s="1"/>
  <c r="N39" i="136"/>
  <c r="M39" i="136"/>
  <c r="L39" i="136"/>
  <c r="K39" i="136"/>
  <c r="J39" i="136"/>
  <c r="H39" i="136"/>
  <c r="G39" i="136"/>
  <c r="F39" i="136"/>
  <c r="A32" i="136"/>
  <c r="A33" i="136" s="1"/>
  <c r="A34" i="136" s="1"/>
  <c r="A35" i="136" s="1"/>
  <c r="A36" i="136" s="1"/>
  <c r="A37" i="136" s="1"/>
  <c r="A38" i="136" s="1"/>
  <c r="A39" i="136" s="1"/>
  <c r="A40" i="136" s="1"/>
  <c r="A41" i="136" s="1"/>
  <c r="A31" i="134"/>
  <c r="A32" i="134" s="1"/>
  <c r="A33" i="134" s="1"/>
  <c r="A34" i="134" s="1"/>
  <c r="A35" i="134" s="1"/>
  <c r="A36" i="134" s="1"/>
  <c r="P9" i="154"/>
  <c r="Q9" i="154" s="1"/>
  <c r="N9" i="154"/>
  <c r="M9" i="154"/>
  <c r="L9" i="154"/>
  <c r="K9" i="154"/>
  <c r="J9" i="154"/>
  <c r="H9" i="154"/>
  <c r="G9" i="154"/>
  <c r="F9" i="154"/>
  <c r="D9" i="154"/>
  <c r="P14" i="154"/>
  <c r="Q14" i="154" s="1"/>
  <c r="N14" i="154"/>
  <c r="M14" i="154"/>
  <c r="L14" i="154"/>
  <c r="K14" i="154"/>
  <c r="J14" i="154"/>
  <c r="H14" i="154"/>
  <c r="G14" i="154"/>
  <c r="F14" i="154"/>
  <c r="P13" i="154"/>
  <c r="Q13" i="154" s="1"/>
  <c r="N13" i="154"/>
  <c r="M13" i="154"/>
  <c r="L13" i="154"/>
  <c r="K13" i="154"/>
  <c r="J13" i="154"/>
  <c r="H13" i="154"/>
  <c r="G13" i="154"/>
  <c r="F13" i="154"/>
  <c r="A12" i="154"/>
  <c r="P15" i="153"/>
  <c r="Q15" i="153" s="1"/>
  <c r="N15" i="153"/>
  <c r="M15" i="153"/>
  <c r="L15" i="153"/>
  <c r="K15" i="153"/>
  <c r="J15" i="153"/>
  <c r="H15" i="153"/>
  <c r="G15" i="153"/>
  <c r="F15" i="153"/>
  <c r="P14" i="153"/>
  <c r="Q14" i="153" s="1"/>
  <c r="N14" i="153"/>
  <c r="M14" i="153"/>
  <c r="L14" i="153"/>
  <c r="K14" i="153"/>
  <c r="J14" i="153"/>
  <c r="H14" i="153"/>
  <c r="G14" i="153"/>
  <c r="F14" i="153"/>
  <c r="A14" i="153"/>
  <c r="A15" i="153" s="1"/>
  <c r="P13" i="153"/>
  <c r="Q13" i="153" s="1"/>
  <c r="N13" i="153"/>
  <c r="M13" i="153"/>
  <c r="L13" i="153"/>
  <c r="K13" i="153"/>
  <c r="J13" i="153"/>
  <c r="H13" i="153"/>
  <c r="G13" i="153"/>
  <c r="F13" i="153"/>
  <c r="P15" i="152"/>
  <c r="Q15" i="152" s="1"/>
  <c r="N15" i="152"/>
  <c r="M15" i="152"/>
  <c r="L15" i="152"/>
  <c r="K15" i="152"/>
  <c r="J15" i="152"/>
  <c r="H15" i="152"/>
  <c r="G15" i="152"/>
  <c r="F15" i="152"/>
  <c r="P14" i="152"/>
  <c r="Q14" i="152" s="1"/>
  <c r="N14" i="152"/>
  <c r="M14" i="152"/>
  <c r="L14" i="152"/>
  <c r="K14" i="152"/>
  <c r="J14" i="152"/>
  <c r="H14" i="152"/>
  <c r="G14" i="152"/>
  <c r="F14" i="152"/>
  <c r="A14" i="152"/>
  <c r="A15" i="152" s="1"/>
  <c r="A25" i="76"/>
  <c r="A26" i="76" s="1"/>
  <c r="A27" i="76" s="1"/>
  <c r="A28" i="76" s="1"/>
  <c r="A29" i="76" s="1"/>
  <c r="P16" i="74"/>
  <c r="Q16" i="74" s="1"/>
  <c r="N16" i="74"/>
  <c r="M16" i="74"/>
  <c r="L16" i="74"/>
  <c r="K16" i="74"/>
  <c r="J16" i="74"/>
  <c r="H16" i="74"/>
  <c r="G16" i="74"/>
  <c r="F16" i="74"/>
  <c r="P13" i="71"/>
  <c r="Q13" i="71" s="1"/>
  <c r="N13" i="71"/>
  <c r="M13" i="71"/>
  <c r="L13" i="71"/>
  <c r="K13" i="71"/>
  <c r="J13" i="71"/>
  <c r="H13" i="71"/>
  <c r="G13" i="71"/>
  <c r="F13" i="71"/>
  <c r="A49" i="77"/>
  <c r="A50" i="77" s="1"/>
  <c r="A51" i="77" s="1"/>
  <c r="A52" i="77" s="1"/>
  <c r="A53" i="77" s="1"/>
  <c r="A54" i="77" s="1"/>
  <c r="A55" i="77" s="1"/>
  <c r="A56" i="77" s="1"/>
  <c r="A57" i="77" s="1"/>
  <c r="A58" i="77" s="1"/>
  <c r="A59" i="77" s="1"/>
  <c r="D46" i="77"/>
  <c r="D45" i="77"/>
  <c r="D44" i="77"/>
  <c r="D43" i="77"/>
  <c r="D42" i="77"/>
  <c r="P32" i="67"/>
  <c r="Q32" i="67" s="1"/>
  <c r="N32" i="67"/>
  <c r="M32" i="67"/>
  <c r="L32" i="67"/>
  <c r="K32" i="67"/>
  <c r="J32" i="67"/>
  <c r="H32" i="67"/>
  <c r="G32" i="67"/>
  <c r="F32" i="67"/>
  <c r="D32" i="67"/>
  <c r="P29" i="174"/>
  <c r="Q29" i="174" s="1"/>
  <c r="N29" i="174"/>
  <c r="M29" i="174"/>
  <c r="L29" i="174"/>
  <c r="K29" i="174"/>
  <c r="J29" i="174"/>
  <c r="H29" i="174"/>
  <c r="G29" i="174"/>
  <c r="F29" i="174"/>
  <c r="P21" i="174"/>
  <c r="Q21" i="174" s="1"/>
  <c r="N21" i="174"/>
  <c r="M21" i="174"/>
  <c r="L21" i="174"/>
  <c r="K21" i="174"/>
  <c r="J21" i="174"/>
  <c r="H21" i="174"/>
  <c r="G21" i="174"/>
  <c r="F21" i="174"/>
  <c r="D21" i="174"/>
  <c r="P20" i="174"/>
  <c r="Q20" i="174" s="1"/>
  <c r="N20" i="174"/>
  <c r="M20" i="174"/>
  <c r="L20" i="174"/>
  <c r="K20" i="174"/>
  <c r="J20" i="174"/>
  <c r="H20" i="174"/>
  <c r="G20" i="174"/>
  <c r="F20" i="174"/>
  <c r="D20" i="174"/>
  <c r="P18" i="130"/>
  <c r="Q18" i="130" s="1"/>
  <c r="N18" i="130"/>
  <c r="M18" i="130"/>
  <c r="L18" i="130"/>
  <c r="K18" i="130"/>
  <c r="J18" i="130"/>
  <c r="H18" i="130"/>
  <c r="G18" i="130"/>
  <c r="F18" i="130"/>
  <c r="P17" i="130"/>
  <c r="Q17" i="130" s="1"/>
  <c r="N17" i="130"/>
  <c r="M17" i="130"/>
  <c r="L17" i="130"/>
  <c r="K17" i="130"/>
  <c r="J17" i="130"/>
  <c r="H17" i="130"/>
  <c r="G17" i="130"/>
  <c r="F17" i="130"/>
  <c r="P9" i="129"/>
  <c r="Q9" i="129" s="1"/>
  <c r="N9" i="129"/>
  <c r="M9" i="129"/>
  <c r="L9" i="129"/>
  <c r="K9" i="129"/>
  <c r="J9" i="129"/>
  <c r="H9" i="129"/>
  <c r="G9" i="129"/>
  <c r="F9" i="129"/>
  <c r="P8" i="129"/>
  <c r="Q8" i="129" s="1"/>
  <c r="N8" i="129"/>
  <c r="M8" i="129"/>
  <c r="L8" i="129"/>
  <c r="K8" i="129"/>
  <c r="J8" i="129"/>
  <c r="H8" i="129"/>
  <c r="G8" i="129"/>
  <c r="F8" i="129"/>
  <c r="D9" i="129"/>
  <c r="D8" i="129"/>
  <c r="P7" i="129"/>
  <c r="Q7" i="129" s="1"/>
  <c r="N7" i="129"/>
  <c r="M7" i="129"/>
  <c r="L7" i="129"/>
  <c r="K7" i="129"/>
  <c r="J7" i="129"/>
  <c r="H7" i="129"/>
  <c r="G7" i="129"/>
  <c r="F7" i="129"/>
  <c r="D7" i="129"/>
  <c r="P63" i="66"/>
  <c r="Q63" i="66" s="1"/>
  <c r="N63" i="66"/>
  <c r="M63" i="66"/>
  <c r="L63" i="66"/>
  <c r="K63" i="66"/>
  <c r="J63" i="66"/>
  <c r="H63" i="66"/>
  <c r="G63" i="66"/>
  <c r="F63" i="66"/>
  <c r="P62" i="66"/>
  <c r="Q62" i="66" s="1"/>
  <c r="N62" i="66"/>
  <c r="M62" i="66"/>
  <c r="L62" i="66"/>
  <c r="K62" i="66"/>
  <c r="J62" i="66"/>
  <c r="H62" i="66"/>
  <c r="G62" i="66"/>
  <c r="F62" i="66"/>
  <c r="P59" i="66"/>
  <c r="Q59" i="66" s="1"/>
  <c r="N59" i="66"/>
  <c r="M59" i="66"/>
  <c r="L59" i="66"/>
  <c r="K59" i="66"/>
  <c r="J59" i="66"/>
  <c r="H59" i="66"/>
  <c r="G59" i="66"/>
  <c r="F59" i="66"/>
  <c r="R378" i="28" a="1"/>
  <c r="V59" i="30" a="1"/>
  <c r="R159" i="28" a="1"/>
  <c r="R345" i="28" a="1"/>
  <c r="R380" i="28" a="1"/>
  <c r="R267" i="28" a="1"/>
  <c r="R306" i="28" a="1"/>
  <c r="D59" i="30" a="1"/>
  <c r="R242" i="28" a="1"/>
  <c r="R390" i="28" a="1"/>
  <c r="R373" i="28" a="1"/>
  <c r="R306" i="28" l="1"/>
  <c r="R159" i="28"/>
  <c r="R378" i="28"/>
  <c r="R373" i="28"/>
  <c r="R345" i="28"/>
  <c r="R390" i="28"/>
  <c r="R380" i="28"/>
  <c r="R267" i="28"/>
  <c r="R242" i="28"/>
  <c r="D59" i="30"/>
  <c r="V59" i="30"/>
  <c r="AD268" i="29"/>
  <c r="P16" i="122"/>
  <c r="Q16" i="122" s="1"/>
  <c r="N16" i="122"/>
  <c r="M16" i="122"/>
  <c r="L16" i="122"/>
  <c r="K16" i="122"/>
  <c r="J16" i="122"/>
  <c r="H16" i="122"/>
  <c r="G16" i="122"/>
  <c r="F16" i="122"/>
  <c r="P15" i="122"/>
  <c r="Q15" i="122" s="1"/>
  <c r="N15" i="122"/>
  <c r="M15" i="122"/>
  <c r="L15" i="122"/>
  <c r="K15" i="122"/>
  <c r="J15" i="122"/>
  <c r="H15" i="122"/>
  <c r="G15" i="122"/>
  <c r="F15" i="122"/>
  <c r="A8" i="122"/>
  <c r="A9" i="122" s="1"/>
  <c r="A10" i="122" s="1"/>
  <c r="A11" i="122" s="1"/>
  <c r="A12" i="122" s="1"/>
  <c r="P23" i="54"/>
  <c r="Q23" i="54" s="1"/>
  <c r="N23" i="54"/>
  <c r="M23" i="54"/>
  <c r="L23" i="54"/>
  <c r="K23" i="54"/>
  <c r="J23" i="54"/>
  <c r="H23" i="54"/>
  <c r="G23" i="54"/>
  <c r="F23" i="54"/>
  <c r="P22" i="54"/>
  <c r="Q22" i="54" s="1"/>
  <c r="N22" i="54"/>
  <c r="M22" i="54"/>
  <c r="L22" i="54"/>
  <c r="K22" i="54"/>
  <c r="J22" i="54"/>
  <c r="H22" i="54"/>
  <c r="G22" i="54"/>
  <c r="F22" i="54"/>
  <c r="D23" i="54"/>
  <c r="D22" i="54"/>
  <c r="P21" i="54"/>
  <c r="Q21" i="54" s="1"/>
  <c r="N21" i="54"/>
  <c r="M21" i="54"/>
  <c r="L21" i="54"/>
  <c r="K21" i="54"/>
  <c r="J21" i="54"/>
  <c r="H21" i="54"/>
  <c r="G21" i="54"/>
  <c r="F21" i="54"/>
  <c r="D21" i="54"/>
  <c r="P20" i="54"/>
  <c r="Q20" i="54" s="1"/>
  <c r="N20" i="54"/>
  <c r="M20" i="54"/>
  <c r="L20" i="54"/>
  <c r="K20" i="54"/>
  <c r="J20" i="54"/>
  <c r="H20" i="54"/>
  <c r="G20" i="54"/>
  <c r="F20" i="54"/>
  <c r="D20" i="54"/>
  <c r="P19" i="54"/>
  <c r="Q19" i="54" s="1"/>
  <c r="N19" i="54"/>
  <c r="M19" i="54"/>
  <c r="L19" i="54"/>
  <c r="K19" i="54"/>
  <c r="J19" i="54"/>
  <c r="H19" i="54"/>
  <c r="G19" i="54"/>
  <c r="F19" i="54"/>
  <c r="D19" i="54"/>
  <c r="P18" i="54"/>
  <c r="Q18" i="54" s="1"/>
  <c r="N18" i="54"/>
  <c r="M18" i="54"/>
  <c r="L18" i="54"/>
  <c r="K18" i="54"/>
  <c r="J18" i="54"/>
  <c r="H18" i="54"/>
  <c r="G18" i="54"/>
  <c r="F18" i="54"/>
  <c r="D18" i="54"/>
  <c r="P17" i="54"/>
  <c r="Q17" i="54" s="1"/>
  <c r="N17" i="54"/>
  <c r="M17" i="54"/>
  <c r="L17" i="54"/>
  <c r="K17" i="54"/>
  <c r="J17" i="54"/>
  <c r="H17" i="54"/>
  <c r="G17" i="54"/>
  <c r="F17" i="54"/>
  <c r="D17" i="54"/>
  <c r="P16" i="54"/>
  <c r="Q16" i="54" s="1"/>
  <c r="N16" i="54"/>
  <c r="M16" i="54"/>
  <c r="L16" i="54"/>
  <c r="K16" i="54"/>
  <c r="J16" i="54"/>
  <c r="H16" i="54"/>
  <c r="G16" i="54"/>
  <c r="F16" i="54"/>
  <c r="D16" i="54"/>
  <c r="P15" i="54"/>
  <c r="Q15" i="54" s="1"/>
  <c r="N15" i="54"/>
  <c r="M15" i="54"/>
  <c r="L15" i="54"/>
  <c r="K15" i="54"/>
  <c r="J15" i="54"/>
  <c r="H15" i="54"/>
  <c r="G15" i="54"/>
  <c r="F15" i="54"/>
  <c r="D15" i="54"/>
  <c r="P14" i="54"/>
  <c r="Q14" i="54" s="1"/>
  <c r="N14" i="54"/>
  <c r="M14" i="54"/>
  <c r="L14" i="54"/>
  <c r="K14" i="54"/>
  <c r="J14" i="54"/>
  <c r="H14" i="54"/>
  <c r="G14" i="54"/>
  <c r="F14" i="54"/>
  <c r="D14" i="54"/>
  <c r="P13" i="54"/>
  <c r="Q13" i="54" s="1"/>
  <c r="N13" i="54"/>
  <c r="M13" i="54"/>
  <c r="L13" i="54"/>
  <c r="K13" i="54"/>
  <c r="J13" i="54"/>
  <c r="H13" i="54"/>
  <c r="G13" i="54"/>
  <c r="F13" i="54"/>
  <c r="D13" i="54"/>
  <c r="P12" i="54"/>
  <c r="Q12" i="54" s="1"/>
  <c r="N12" i="54"/>
  <c r="M12" i="54"/>
  <c r="L12" i="54"/>
  <c r="K12" i="54"/>
  <c r="J12" i="54"/>
  <c r="H12" i="54"/>
  <c r="G12" i="54"/>
  <c r="F12" i="54"/>
  <c r="D12" i="54"/>
  <c r="P11" i="54"/>
  <c r="Q11" i="54" s="1"/>
  <c r="N11" i="54"/>
  <c r="M11" i="54"/>
  <c r="L11" i="54"/>
  <c r="K11" i="54"/>
  <c r="J11" i="54"/>
  <c r="H11" i="54"/>
  <c r="G11" i="54"/>
  <c r="F11" i="54"/>
  <c r="D11" i="54"/>
  <c r="P10" i="54"/>
  <c r="Q10" i="54" s="1"/>
  <c r="N10" i="54"/>
  <c r="M10" i="54"/>
  <c r="L10" i="54"/>
  <c r="K10" i="54"/>
  <c r="J10" i="54"/>
  <c r="H10" i="54"/>
  <c r="G10" i="54"/>
  <c r="F10" i="54"/>
  <c r="D10" i="54"/>
  <c r="P9" i="54"/>
  <c r="Q9" i="54" s="1"/>
  <c r="N9" i="54"/>
  <c r="M9" i="54"/>
  <c r="L9" i="54"/>
  <c r="K9" i="54"/>
  <c r="J9" i="54"/>
  <c r="H9" i="54"/>
  <c r="G9" i="54"/>
  <c r="F9" i="54"/>
  <c r="D9" i="54"/>
  <c r="P8" i="54"/>
  <c r="Q8" i="54" s="1"/>
  <c r="N8" i="54"/>
  <c r="M8" i="54"/>
  <c r="L8" i="54"/>
  <c r="K8" i="54"/>
  <c r="J8" i="54"/>
  <c r="H8" i="54"/>
  <c r="G8" i="54"/>
  <c r="F8" i="54"/>
  <c r="D8" i="54"/>
  <c r="P7" i="54"/>
  <c r="Q7" i="54" s="1"/>
  <c r="N7" i="54"/>
  <c r="M7" i="54"/>
  <c r="L7" i="54"/>
  <c r="K7" i="54"/>
  <c r="J7" i="54"/>
  <c r="H7" i="54"/>
  <c r="G7" i="54"/>
  <c r="F7" i="54"/>
  <c r="D7" i="54"/>
  <c r="U7" i="30"/>
  <c r="O7" i="30" s="1"/>
  <c r="F7" i="30" s="1"/>
  <c r="P47" i="63"/>
  <c r="Q47" i="63" s="1"/>
  <c r="N47" i="63"/>
  <c r="M47" i="63"/>
  <c r="L47" i="63"/>
  <c r="K47" i="63"/>
  <c r="J47" i="63"/>
  <c r="H47" i="63"/>
  <c r="G47" i="63"/>
  <c r="F47" i="63"/>
  <c r="D47" i="63"/>
  <c r="E301" i="29"/>
  <c r="C301" i="29"/>
  <c r="C297" i="29"/>
  <c r="E297" i="29"/>
  <c r="C298" i="29"/>
  <c r="E298" i="29"/>
  <c r="C299" i="29"/>
  <c r="E299" i="29"/>
  <c r="C300" i="29"/>
  <c r="E300" i="29"/>
  <c r="E296" i="29"/>
  <c r="C296" i="29"/>
  <c r="P22" i="196" l="1"/>
  <c r="Q22" i="196" s="1"/>
  <c r="N22" i="196"/>
  <c r="M22" i="196"/>
  <c r="L22" i="196"/>
  <c r="K22" i="196"/>
  <c r="J22" i="196"/>
  <c r="H22" i="196"/>
  <c r="G22" i="196"/>
  <c r="F22" i="196"/>
  <c r="P20" i="196"/>
  <c r="Q20" i="196" s="1"/>
  <c r="N20" i="196"/>
  <c r="M20" i="196"/>
  <c r="L20" i="196"/>
  <c r="K20" i="196"/>
  <c r="J20" i="196"/>
  <c r="H20" i="196"/>
  <c r="G20" i="196"/>
  <c r="F20" i="196"/>
  <c r="P19" i="196"/>
  <c r="Q19" i="196" s="1"/>
  <c r="N19" i="196"/>
  <c r="M19" i="196"/>
  <c r="L19" i="196"/>
  <c r="K19" i="196"/>
  <c r="J19" i="196"/>
  <c r="H19" i="196"/>
  <c r="G19" i="196"/>
  <c r="F19" i="196"/>
  <c r="A19" i="196"/>
  <c r="A20" i="196" s="1"/>
  <c r="P18" i="196"/>
  <c r="Q18" i="196" s="1"/>
  <c r="N18" i="196"/>
  <c r="M18" i="196"/>
  <c r="L18" i="196"/>
  <c r="K18" i="196"/>
  <c r="J18" i="196"/>
  <c r="H18" i="196"/>
  <c r="G18" i="196"/>
  <c r="F18" i="196"/>
  <c r="P21" i="196"/>
  <c r="Q21" i="196" s="1"/>
  <c r="N21" i="196"/>
  <c r="M21" i="196"/>
  <c r="L21" i="196"/>
  <c r="K21" i="196"/>
  <c r="J21" i="196"/>
  <c r="H21" i="196"/>
  <c r="G21" i="196"/>
  <c r="F21" i="196"/>
  <c r="P16" i="196"/>
  <c r="Q16" i="196" s="1"/>
  <c r="N16" i="196"/>
  <c r="M16" i="196"/>
  <c r="L16" i="196"/>
  <c r="K16" i="196"/>
  <c r="J16" i="196"/>
  <c r="H16" i="196"/>
  <c r="G16" i="196"/>
  <c r="F16" i="196"/>
  <c r="D16" i="196"/>
  <c r="P15" i="196"/>
  <c r="Q15" i="196" s="1"/>
  <c r="N15" i="196"/>
  <c r="M15" i="196"/>
  <c r="L15" i="196"/>
  <c r="K15" i="196"/>
  <c r="J15" i="196"/>
  <c r="H15" i="196"/>
  <c r="G15" i="196"/>
  <c r="F15" i="196"/>
  <c r="D15" i="196"/>
  <c r="P14" i="196"/>
  <c r="Q14" i="196" s="1"/>
  <c r="N14" i="196"/>
  <c r="M14" i="196"/>
  <c r="L14" i="196"/>
  <c r="K14" i="196"/>
  <c r="J14" i="196"/>
  <c r="H14" i="196"/>
  <c r="G14" i="196"/>
  <c r="F14" i="196"/>
  <c r="D14" i="196"/>
  <c r="P13" i="196"/>
  <c r="Q13" i="196" s="1"/>
  <c r="N13" i="196"/>
  <c r="M13" i="196"/>
  <c r="L13" i="196"/>
  <c r="K13" i="196"/>
  <c r="J13" i="196"/>
  <c r="H13" i="196"/>
  <c r="G13" i="196"/>
  <c r="F13" i="196"/>
  <c r="D13" i="196"/>
  <c r="A13" i="196"/>
  <c r="A14" i="196" s="1"/>
  <c r="A15" i="196" s="1"/>
  <c r="A16" i="196" s="1"/>
  <c r="P12" i="196"/>
  <c r="Q12" i="196" s="1"/>
  <c r="N12" i="196"/>
  <c r="M12" i="196"/>
  <c r="L12" i="196"/>
  <c r="K12" i="196"/>
  <c r="J12" i="196"/>
  <c r="H12" i="196"/>
  <c r="G12" i="196"/>
  <c r="F12" i="196"/>
  <c r="D12" i="196"/>
  <c r="I3" i="196"/>
  <c r="G3" i="196"/>
  <c r="E3" i="196"/>
  <c r="C3" i="196" s="1"/>
  <c r="I2" i="196"/>
  <c r="G2" i="196"/>
  <c r="N22" i="193"/>
  <c r="M22" i="193"/>
  <c r="L22" i="193"/>
  <c r="K22" i="193"/>
  <c r="J22" i="193"/>
  <c r="H22" i="193"/>
  <c r="G22" i="193"/>
  <c r="N21" i="193"/>
  <c r="M21" i="193"/>
  <c r="L21" i="193"/>
  <c r="K21" i="193"/>
  <c r="J21" i="193"/>
  <c r="H21" i="193"/>
  <c r="G21" i="193"/>
  <c r="N34" i="143"/>
  <c r="M34" i="143"/>
  <c r="L34" i="143"/>
  <c r="K34" i="143"/>
  <c r="J34" i="143"/>
  <c r="H34" i="143"/>
  <c r="G34" i="143"/>
  <c r="P44" i="56"/>
  <c r="P43" i="56"/>
  <c r="P42" i="56"/>
  <c r="P41" i="56"/>
  <c r="P40" i="56"/>
  <c r="U8" i="30"/>
  <c r="O8" i="30" s="1"/>
  <c r="F8" i="30" s="1"/>
  <c r="U29" i="30"/>
  <c r="O29" i="30" s="1"/>
  <c r="F29" i="30" s="1"/>
  <c r="P109" i="46"/>
  <c r="Q109" i="46" s="1"/>
  <c r="N109" i="46"/>
  <c r="M109" i="46"/>
  <c r="L109" i="46"/>
  <c r="K109" i="46"/>
  <c r="J109" i="46"/>
  <c r="H109" i="46"/>
  <c r="G109" i="46"/>
  <c r="F109" i="46"/>
  <c r="P108" i="46"/>
  <c r="Q108" i="46" s="1"/>
  <c r="N108" i="46"/>
  <c r="M108" i="46"/>
  <c r="L108" i="46"/>
  <c r="K108" i="46"/>
  <c r="J108" i="46"/>
  <c r="H108" i="46"/>
  <c r="G108" i="46"/>
  <c r="F108" i="46"/>
  <c r="P107" i="46"/>
  <c r="Q107" i="46" s="1"/>
  <c r="N107" i="46"/>
  <c r="M107" i="46"/>
  <c r="L107" i="46"/>
  <c r="K107" i="46"/>
  <c r="J107" i="46"/>
  <c r="H107" i="46"/>
  <c r="G107" i="46"/>
  <c r="F107" i="46"/>
  <c r="P106" i="46"/>
  <c r="Q106" i="46" s="1"/>
  <c r="N106" i="46"/>
  <c r="M106" i="46"/>
  <c r="L106" i="46"/>
  <c r="K106" i="46"/>
  <c r="J106" i="46"/>
  <c r="H106" i="46"/>
  <c r="G106" i="46"/>
  <c r="F106" i="46"/>
  <c r="A106" i="46"/>
  <c r="A107" i="46" s="1"/>
  <c r="A108" i="46" s="1"/>
  <c r="A109" i="46" s="1"/>
  <c r="P105" i="46"/>
  <c r="Q105" i="46" s="1"/>
  <c r="N105" i="46"/>
  <c r="M105" i="46"/>
  <c r="L105" i="46"/>
  <c r="K105" i="46"/>
  <c r="J105" i="46"/>
  <c r="H105" i="46"/>
  <c r="G105" i="46"/>
  <c r="F105" i="46"/>
  <c r="C77" i="29"/>
  <c r="E77" i="29"/>
  <c r="C78" i="29"/>
  <c r="E78" i="29"/>
  <c r="C79" i="29"/>
  <c r="E79" i="29"/>
  <c r="C81" i="29"/>
  <c r="E81" i="29"/>
  <c r="C80" i="29"/>
  <c r="E80" i="29"/>
  <c r="C82" i="29"/>
  <c r="E82" i="29"/>
  <c r="E36" i="29"/>
  <c r="E230" i="29"/>
  <c r="E249" i="29"/>
  <c r="P32" i="166"/>
  <c r="Q32" i="166" s="1"/>
  <c r="N32" i="166"/>
  <c r="M32" i="166"/>
  <c r="L32" i="166"/>
  <c r="K32" i="166"/>
  <c r="J32" i="166"/>
  <c r="H32" i="166"/>
  <c r="G32" i="166"/>
  <c r="F32" i="166"/>
  <c r="P25" i="166"/>
  <c r="Q25" i="166" s="1"/>
  <c r="N25" i="166"/>
  <c r="M25" i="166"/>
  <c r="L25" i="166"/>
  <c r="K25" i="166"/>
  <c r="J25" i="166"/>
  <c r="G25" i="166"/>
  <c r="F25" i="166"/>
  <c r="D25" i="166"/>
  <c r="J22" i="167"/>
  <c r="K22" i="167"/>
  <c r="L22" i="167"/>
  <c r="M22" i="167"/>
  <c r="N22" i="167"/>
  <c r="P22" i="167"/>
  <c r="Q22" i="167" s="1"/>
  <c r="F22" i="167"/>
  <c r="G22" i="167"/>
  <c r="H22" i="167"/>
  <c r="D22" i="167"/>
  <c r="P16" i="157"/>
  <c r="Q16" i="157" s="1"/>
  <c r="N16" i="157"/>
  <c r="M16" i="157"/>
  <c r="L16" i="157"/>
  <c r="K16" i="157"/>
  <c r="J16" i="157"/>
  <c r="H16" i="157"/>
  <c r="G16" i="157"/>
  <c r="F16" i="157"/>
  <c r="D16" i="157"/>
  <c r="J30" i="67"/>
  <c r="K30" i="67"/>
  <c r="L30" i="67"/>
  <c r="M30" i="67"/>
  <c r="N30" i="67"/>
  <c r="P30" i="67"/>
  <c r="Q30" i="67" s="1"/>
  <c r="F30" i="67"/>
  <c r="G30" i="67"/>
  <c r="H30" i="67"/>
  <c r="D30" i="67"/>
  <c r="E175" i="29"/>
  <c r="J21" i="167"/>
  <c r="K21" i="167"/>
  <c r="L21" i="167"/>
  <c r="M21" i="167"/>
  <c r="N21" i="167"/>
  <c r="P21" i="167"/>
  <c r="Q21" i="167" s="1"/>
  <c r="F21" i="167"/>
  <c r="G21" i="167"/>
  <c r="H21" i="167"/>
  <c r="D21" i="167"/>
  <c r="P19" i="167"/>
  <c r="Q19" i="167" s="1"/>
  <c r="N19" i="167"/>
  <c r="M19" i="167"/>
  <c r="L19" i="167"/>
  <c r="K19" i="167"/>
  <c r="J19" i="167"/>
  <c r="H19" i="167"/>
  <c r="G19" i="167"/>
  <c r="F19" i="167"/>
  <c r="D19" i="167"/>
  <c r="P18" i="167"/>
  <c r="Q18" i="167" s="1"/>
  <c r="N18" i="167"/>
  <c r="M18" i="167"/>
  <c r="L18" i="167"/>
  <c r="K18" i="167"/>
  <c r="J18" i="167"/>
  <c r="H18" i="167"/>
  <c r="G18" i="167"/>
  <c r="F18" i="167"/>
  <c r="D18" i="167"/>
  <c r="P20" i="167"/>
  <c r="Q20" i="167" s="1"/>
  <c r="N20" i="167"/>
  <c r="M20" i="167"/>
  <c r="L20" i="167"/>
  <c r="K20" i="167"/>
  <c r="J20" i="167"/>
  <c r="H20" i="167"/>
  <c r="G20" i="167"/>
  <c r="F20" i="167"/>
  <c r="D20" i="167"/>
  <c r="P23" i="167"/>
  <c r="Q23" i="167" s="1"/>
  <c r="N23" i="167"/>
  <c r="M23" i="167"/>
  <c r="L23" i="167"/>
  <c r="K23" i="167"/>
  <c r="J23" i="167"/>
  <c r="H23" i="167"/>
  <c r="G23" i="167"/>
  <c r="F23" i="167"/>
  <c r="D23" i="167"/>
  <c r="J20" i="162"/>
  <c r="K20" i="162"/>
  <c r="L20" i="162"/>
  <c r="M20" i="162"/>
  <c r="N20" i="162"/>
  <c r="P20" i="162"/>
  <c r="Q20" i="162" s="1"/>
  <c r="F20" i="162"/>
  <c r="G20" i="162"/>
  <c r="H20" i="162"/>
  <c r="J59" i="77"/>
  <c r="K59" i="77"/>
  <c r="L59" i="77"/>
  <c r="M59" i="77"/>
  <c r="N59" i="77"/>
  <c r="P59" i="77"/>
  <c r="Q59" i="77" s="1"/>
  <c r="F59" i="77"/>
  <c r="G59" i="77"/>
  <c r="H59" i="77"/>
  <c r="C105" i="29"/>
  <c r="P34" i="143"/>
  <c r="Q34" i="143" s="1"/>
  <c r="P24" i="193"/>
  <c r="Q24" i="193" s="1"/>
  <c r="N24" i="193"/>
  <c r="M24" i="193"/>
  <c r="L24" i="193"/>
  <c r="K24" i="193"/>
  <c r="J24" i="193"/>
  <c r="H24" i="193"/>
  <c r="G24" i="193"/>
  <c r="F24" i="193"/>
  <c r="P23" i="193"/>
  <c r="Q23" i="193" s="1"/>
  <c r="N23" i="193"/>
  <c r="M23" i="193"/>
  <c r="L23" i="193"/>
  <c r="K23" i="193"/>
  <c r="J23" i="193"/>
  <c r="H23" i="193"/>
  <c r="G23" i="193"/>
  <c r="F23" i="193"/>
  <c r="P20" i="193"/>
  <c r="Q20" i="193" s="1"/>
  <c r="N20" i="193"/>
  <c r="M20" i="193"/>
  <c r="L20" i="193"/>
  <c r="K20" i="193"/>
  <c r="J20" i="193"/>
  <c r="H20" i="193"/>
  <c r="G20" i="193"/>
  <c r="F20" i="193"/>
  <c r="P18" i="193"/>
  <c r="Q18" i="193" s="1"/>
  <c r="N18" i="193"/>
  <c r="M18" i="193"/>
  <c r="L18" i="193"/>
  <c r="K18" i="193"/>
  <c r="J18" i="193"/>
  <c r="H18" i="193"/>
  <c r="G18" i="193"/>
  <c r="F18" i="193"/>
  <c r="D18" i="193"/>
  <c r="P17" i="193"/>
  <c r="Q17" i="193" s="1"/>
  <c r="N17" i="193"/>
  <c r="M17" i="193"/>
  <c r="L17" i="193"/>
  <c r="K17" i="193"/>
  <c r="J17" i="193"/>
  <c r="H17" i="193"/>
  <c r="G17" i="193"/>
  <c r="F17" i="193"/>
  <c r="D17" i="193"/>
  <c r="P16" i="193"/>
  <c r="Q16" i="193" s="1"/>
  <c r="N16" i="193"/>
  <c r="M16" i="193"/>
  <c r="L16" i="193"/>
  <c r="K16" i="193"/>
  <c r="J16" i="193"/>
  <c r="H16" i="193"/>
  <c r="G16" i="193"/>
  <c r="F16" i="193"/>
  <c r="D16" i="193"/>
  <c r="P15" i="193"/>
  <c r="Q15" i="193" s="1"/>
  <c r="N15" i="193"/>
  <c r="M15" i="193"/>
  <c r="L15" i="193"/>
  <c r="K15" i="193"/>
  <c r="J15" i="193"/>
  <c r="H15" i="193"/>
  <c r="G15" i="193"/>
  <c r="F15" i="193"/>
  <c r="D15" i="193"/>
  <c r="P14" i="193"/>
  <c r="Q14" i="193" s="1"/>
  <c r="N14" i="193"/>
  <c r="M14" i="193"/>
  <c r="L14" i="193"/>
  <c r="K14" i="193"/>
  <c r="J14" i="193"/>
  <c r="H14" i="193"/>
  <c r="G14" i="193"/>
  <c r="F14" i="193"/>
  <c r="D14" i="193"/>
  <c r="A14" i="193"/>
  <c r="P13" i="193"/>
  <c r="Q13" i="193" s="1"/>
  <c r="N13" i="193"/>
  <c r="M13" i="193"/>
  <c r="L13" i="193"/>
  <c r="K13" i="193"/>
  <c r="J13" i="193"/>
  <c r="H13" i="193"/>
  <c r="G13" i="193"/>
  <c r="F13" i="193"/>
  <c r="D13" i="193"/>
  <c r="P26" i="194"/>
  <c r="Q26" i="194" s="1"/>
  <c r="N26" i="194"/>
  <c r="M26" i="194"/>
  <c r="L26" i="194"/>
  <c r="K26" i="194"/>
  <c r="J26" i="194"/>
  <c r="H26" i="194"/>
  <c r="G26" i="194"/>
  <c r="F26" i="194"/>
  <c r="P25" i="194"/>
  <c r="Q25" i="194" s="1"/>
  <c r="N25" i="194"/>
  <c r="M25" i="194"/>
  <c r="L25" i="194"/>
  <c r="K25" i="194"/>
  <c r="J25" i="194"/>
  <c r="H25" i="194"/>
  <c r="G25" i="194"/>
  <c r="F25" i="194"/>
  <c r="P24" i="194"/>
  <c r="Q24" i="194" s="1"/>
  <c r="N24" i="194"/>
  <c r="M24" i="194"/>
  <c r="L24" i="194"/>
  <c r="K24" i="194"/>
  <c r="J24" i="194"/>
  <c r="H24" i="194"/>
  <c r="G24" i="194"/>
  <c r="F24" i="194"/>
  <c r="A24" i="194"/>
  <c r="A25" i="194" s="1"/>
  <c r="A26" i="194" s="1"/>
  <c r="A27" i="194" s="1"/>
  <c r="A28" i="194" s="1"/>
  <c r="A29" i="194" s="1"/>
  <c r="P23" i="194"/>
  <c r="Q23" i="194" s="1"/>
  <c r="N23" i="194"/>
  <c r="M23" i="194"/>
  <c r="L23" i="194"/>
  <c r="K23" i="194"/>
  <c r="J23" i="194"/>
  <c r="H23" i="194"/>
  <c r="G23" i="194"/>
  <c r="F23" i="194"/>
  <c r="P21" i="194"/>
  <c r="Q21" i="194" s="1"/>
  <c r="N21" i="194"/>
  <c r="M21" i="194"/>
  <c r="L21" i="194"/>
  <c r="K21" i="194"/>
  <c r="J21" i="194"/>
  <c r="H21" i="194"/>
  <c r="G21" i="194"/>
  <c r="F21" i="194"/>
  <c r="D21" i="194"/>
  <c r="P20" i="194"/>
  <c r="Q20" i="194" s="1"/>
  <c r="N20" i="194"/>
  <c r="M20" i="194"/>
  <c r="L20" i="194"/>
  <c r="K20" i="194"/>
  <c r="J20" i="194"/>
  <c r="H20" i="194"/>
  <c r="G20" i="194"/>
  <c r="F20" i="194"/>
  <c r="D20" i="194"/>
  <c r="P19" i="194"/>
  <c r="Q19" i="194" s="1"/>
  <c r="N19" i="194"/>
  <c r="M19" i="194"/>
  <c r="L19" i="194"/>
  <c r="K19" i="194"/>
  <c r="J19" i="194"/>
  <c r="H19" i="194"/>
  <c r="G19" i="194"/>
  <c r="F19" i="194"/>
  <c r="D19" i="194"/>
  <c r="P18" i="194"/>
  <c r="Q18" i="194" s="1"/>
  <c r="N18" i="194"/>
  <c r="M18" i="194"/>
  <c r="L18" i="194"/>
  <c r="K18" i="194"/>
  <c r="J18" i="194"/>
  <c r="H18" i="194"/>
  <c r="G18" i="194"/>
  <c r="F18" i="194"/>
  <c r="D18" i="194"/>
  <c r="P17" i="194"/>
  <c r="Q17" i="194" s="1"/>
  <c r="N17" i="194"/>
  <c r="M17" i="194"/>
  <c r="L17" i="194"/>
  <c r="K17" i="194"/>
  <c r="J17" i="194"/>
  <c r="H17" i="194"/>
  <c r="G17" i="194"/>
  <c r="F17" i="194"/>
  <c r="D17" i="194"/>
  <c r="P16" i="194"/>
  <c r="Q16" i="194" s="1"/>
  <c r="N16" i="194"/>
  <c r="M16" i="194"/>
  <c r="L16" i="194"/>
  <c r="K16" i="194"/>
  <c r="J16" i="194"/>
  <c r="H16" i="194"/>
  <c r="G16" i="194"/>
  <c r="F16" i="194"/>
  <c r="D16" i="194"/>
  <c r="P15" i="194"/>
  <c r="Q15" i="194" s="1"/>
  <c r="N15" i="194"/>
  <c r="M15" i="194"/>
  <c r="L15" i="194"/>
  <c r="K15" i="194"/>
  <c r="J15" i="194"/>
  <c r="H15" i="194"/>
  <c r="G15" i="194"/>
  <c r="F15" i="194"/>
  <c r="D15" i="194"/>
  <c r="P14" i="194"/>
  <c r="Q14" i="194" s="1"/>
  <c r="N14" i="194"/>
  <c r="M14" i="194"/>
  <c r="L14" i="194"/>
  <c r="K14" i="194"/>
  <c r="J14" i="194"/>
  <c r="H14" i="194"/>
  <c r="G14" i="194"/>
  <c r="F14" i="194"/>
  <c r="D14" i="194"/>
  <c r="P13" i="194"/>
  <c r="Q13" i="194" s="1"/>
  <c r="N13" i="194"/>
  <c r="M13" i="194"/>
  <c r="L13" i="194"/>
  <c r="K13" i="194"/>
  <c r="J13" i="194"/>
  <c r="H13" i="194"/>
  <c r="G13" i="194"/>
  <c r="F13" i="194"/>
  <c r="D13" i="194"/>
  <c r="A13" i="194"/>
  <c r="A14" i="194" s="1"/>
  <c r="A15" i="194" s="1"/>
  <c r="A16" i="194" s="1"/>
  <c r="A17" i="194" s="1"/>
  <c r="A18" i="194" s="1"/>
  <c r="A19" i="194" s="1"/>
  <c r="A20" i="194" s="1"/>
  <c r="A21" i="194" s="1"/>
  <c r="P12" i="194"/>
  <c r="Q12" i="194" s="1"/>
  <c r="N12" i="194"/>
  <c r="M12" i="194"/>
  <c r="L12" i="194"/>
  <c r="K12" i="194"/>
  <c r="J12" i="194"/>
  <c r="H12" i="194"/>
  <c r="G12" i="194"/>
  <c r="F12" i="194"/>
  <c r="D12" i="194"/>
  <c r="P21" i="195"/>
  <c r="Q21" i="195" s="1"/>
  <c r="N21" i="195"/>
  <c r="M21" i="195"/>
  <c r="L21" i="195"/>
  <c r="K21" i="195"/>
  <c r="J21" i="195"/>
  <c r="H21" i="195"/>
  <c r="G21" i="195"/>
  <c r="F21" i="195"/>
  <c r="P19" i="195"/>
  <c r="Q19" i="195" s="1"/>
  <c r="N19" i="195"/>
  <c r="M19" i="195"/>
  <c r="L19" i="195"/>
  <c r="K19" i="195"/>
  <c r="J19" i="195"/>
  <c r="H19" i="195"/>
  <c r="G19" i="195"/>
  <c r="F19" i="195"/>
  <c r="P20" i="195"/>
  <c r="Q20" i="195" s="1"/>
  <c r="N20" i="195"/>
  <c r="M20" i="195"/>
  <c r="L20" i="195"/>
  <c r="K20" i="195"/>
  <c r="J20" i="195"/>
  <c r="H20" i="195"/>
  <c r="G20" i="195"/>
  <c r="F20" i="195"/>
  <c r="A20" i="195"/>
  <c r="A21" i="195" s="1"/>
  <c r="A22" i="195" s="1"/>
  <c r="A23" i="195" s="1"/>
  <c r="A24" i="195" s="1"/>
  <c r="P17" i="195"/>
  <c r="Q17" i="195" s="1"/>
  <c r="N17" i="195"/>
  <c r="M17" i="195"/>
  <c r="L17" i="195"/>
  <c r="K17" i="195"/>
  <c r="J17" i="195"/>
  <c r="H17" i="195"/>
  <c r="G17" i="195"/>
  <c r="F17" i="195"/>
  <c r="D17" i="195"/>
  <c r="P16" i="195"/>
  <c r="Q16" i="195" s="1"/>
  <c r="N16" i="195"/>
  <c r="M16" i="195"/>
  <c r="L16" i="195"/>
  <c r="K16" i="195"/>
  <c r="J16" i="195"/>
  <c r="H16" i="195"/>
  <c r="G16" i="195"/>
  <c r="F16" i="195"/>
  <c r="D16" i="195"/>
  <c r="P15" i="195"/>
  <c r="Q15" i="195" s="1"/>
  <c r="N15" i="195"/>
  <c r="M15" i="195"/>
  <c r="L15" i="195"/>
  <c r="K15" i="195"/>
  <c r="J15" i="195"/>
  <c r="H15" i="195"/>
  <c r="G15" i="195"/>
  <c r="F15" i="195"/>
  <c r="D15" i="195"/>
  <c r="P14" i="195"/>
  <c r="Q14" i="195" s="1"/>
  <c r="N14" i="195"/>
  <c r="M14" i="195"/>
  <c r="L14" i="195"/>
  <c r="K14" i="195"/>
  <c r="J14" i="195"/>
  <c r="H14" i="195"/>
  <c r="G14" i="195"/>
  <c r="F14" i="195"/>
  <c r="D14" i="195"/>
  <c r="P13" i="195"/>
  <c r="Q13" i="195" s="1"/>
  <c r="N13" i="195"/>
  <c r="M13" i="195"/>
  <c r="L13" i="195"/>
  <c r="K13" i="195"/>
  <c r="J13" i="195"/>
  <c r="H13" i="195"/>
  <c r="G13" i="195"/>
  <c r="F13" i="195"/>
  <c r="D13" i="195"/>
  <c r="P12" i="195"/>
  <c r="Q12" i="195" s="1"/>
  <c r="N12" i="195"/>
  <c r="M12" i="195"/>
  <c r="L12" i="195"/>
  <c r="K12" i="195"/>
  <c r="J12" i="195"/>
  <c r="H12" i="195"/>
  <c r="G12" i="195"/>
  <c r="F12" i="195"/>
  <c r="D12" i="195"/>
  <c r="A12" i="195"/>
  <c r="A13" i="195" s="1"/>
  <c r="A14" i="195" s="1"/>
  <c r="A15" i="195" s="1"/>
  <c r="A16" i="195" s="1"/>
  <c r="A17" i="195" s="1"/>
  <c r="P11" i="195"/>
  <c r="Q11" i="195" s="1"/>
  <c r="N11" i="195"/>
  <c r="M11" i="195"/>
  <c r="L11" i="195"/>
  <c r="K11" i="195"/>
  <c r="J11" i="195"/>
  <c r="H11" i="195"/>
  <c r="G11" i="195"/>
  <c r="F11" i="195"/>
  <c r="D11" i="195"/>
  <c r="D17" i="143"/>
  <c r="F17" i="143"/>
  <c r="G17" i="143"/>
  <c r="H17" i="143"/>
  <c r="J17" i="143"/>
  <c r="K17" i="143"/>
  <c r="L17" i="143"/>
  <c r="M17" i="143"/>
  <c r="N17" i="143"/>
  <c r="P17" i="143"/>
  <c r="Q17" i="143" s="1"/>
  <c r="D18" i="143"/>
  <c r="F18" i="143"/>
  <c r="G18" i="143"/>
  <c r="H18" i="143"/>
  <c r="J18" i="143"/>
  <c r="K18" i="143"/>
  <c r="L18" i="143"/>
  <c r="M18" i="143"/>
  <c r="N18" i="143"/>
  <c r="P18" i="143"/>
  <c r="Q18" i="143" s="1"/>
  <c r="D19" i="143"/>
  <c r="F19" i="143"/>
  <c r="G19" i="143"/>
  <c r="H19" i="143"/>
  <c r="J19" i="143"/>
  <c r="K19" i="143"/>
  <c r="L19" i="143"/>
  <c r="M19" i="143"/>
  <c r="N19" i="143"/>
  <c r="P19" i="143"/>
  <c r="Q19" i="143" s="1"/>
  <c r="D20" i="143"/>
  <c r="F20" i="143"/>
  <c r="G20" i="143"/>
  <c r="H20" i="143"/>
  <c r="J20" i="143"/>
  <c r="K20" i="143"/>
  <c r="L20" i="143"/>
  <c r="M20" i="143"/>
  <c r="N20" i="143"/>
  <c r="P20" i="143"/>
  <c r="Q20" i="143" s="1"/>
  <c r="D21" i="143"/>
  <c r="F21" i="143"/>
  <c r="G21" i="143"/>
  <c r="H21" i="143"/>
  <c r="J21" i="143"/>
  <c r="K21" i="143"/>
  <c r="L21" i="143"/>
  <c r="M21" i="143"/>
  <c r="N21" i="143"/>
  <c r="P21" i="143"/>
  <c r="Q21" i="143" s="1"/>
  <c r="D22" i="143"/>
  <c r="F22" i="143"/>
  <c r="G22" i="143"/>
  <c r="H22" i="143"/>
  <c r="J22" i="143"/>
  <c r="K22" i="143"/>
  <c r="L22" i="143"/>
  <c r="M22" i="143"/>
  <c r="N22" i="143"/>
  <c r="P22" i="143"/>
  <c r="Q22" i="143" s="1"/>
  <c r="D23" i="143"/>
  <c r="F23" i="143"/>
  <c r="G23" i="143"/>
  <c r="H23" i="143"/>
  <c r="J23" i="143"/>
  <c r="K23" i="143"/>
  <c r="L23" i="143"/>
  <c r="M23" i="143"/>
  <c r="N23" i="143"/>
  <c r="P23" i="143"/>
  <c r="Q23" i="143" s="1"/>
  <c r="D24" i="143"/>
  <c r="F24" i="143"/>
  <c r="G24" i="143"/>
  <c r="H24" i="143"/>
  <c r="J24" i="143"/>
  <c r="K24" i="143"/>
  <c r="L24" i="143"/>
  <c r="M24" i="143"/>
  <c r="N24" i="143"/>
  <c r="P24" i="143"/>
  <c r="Q24" i="143" s="1"/>
  <c r="D25" i="143"/>
  <c r="F25" i="143"/>
  <c r="G25" i="143"/>
  <c r="H25" i="143"/>
  <c r="J25" i="143"/>
  <c r="K25" i="143"/>
  <c r="L25" i="143"/>
  <c r="M25" i="143"/>
  <c r="N25" i="143"/>
  <c r="P25" i="143"/>
  <c r="Q25" i="143" s="1"/>
  <c r="D26" i="143"/>
  <c r="F26" i="143"/>
  <c r="G26" i="143"/>
  <c r="H26" i="143"/>
  <c r="J26" i="143"/>
  <c r="K26" i="143"/>
  <c r="L26" i="143"/>
  <c r="M26" i="143"/>
  <c r="N26" i="143"/>
  <c r="P26" i="143"/>
  <c r="Q26" i="143" s="1"/>
  <c r="F32" i="143"/>
  <c r="G32" i="143"/>
  <c r="H32" i="143"/>
  <c r="J32" i="143"/>
  <c r="K32" i="143"/>
  <c r="L32" i="143"/>
  <c r="M32" i="143"/>
  <c r="N32" i="143"/>
  <c r="P32" i="143"/>
  <c r="Q32" i="143" s="1"/>
  <c r="F33" i="143"/>
  <c r="G33" i="143"/>
  <c r="H33" i="143"/>
  <c r="J33" i="143"/>
  <c r="K33" i="143"/>
  <c r="L33" i="143"/>
  <c r="M33" i="143"/>
  <c r="N33" i="143"/>
  <c r="P33" i="143"/>
  <c r="Q33" i="143" s="1"/>
  <c r="F35" i="143"/>
  <c r="G35" i="143"/>
  <c r="H35" i="143"/>
  <c r="J35" i="143"/>
  <c r="K35" i="143"/>
  <c r="L35" i="143"/>
  <c r="M35" i="143"/>
  <c r="N35" i="143"/>
  <c r="P35" i="143"/>
  <c r="Q35" i="143" s="1"/>
  <c r="F36" i="143"/>
  <c r="G36" i="143"/>
  <c r="H36" i="143"/>
  <c r="J36" i="143"/>
  <c r="K36" i="143"/>
  <c r="L36" i="143"/>
  <c r="M36" i="143"/>
  <c r="N36" i="143"/>
  <c r="P36" i="143"/>
  <c r="Q36" i="143" s="1"/>
  <c r="F37" i="143"/>
  <c r="G37" i="143"/>
  <c r="H37" i="143"/>
  <c r="J37" i="143"/>
  <c r="K37" i="143"/>
  <c r="L37" i="143"/>
  <c r="M37" i="143"/>
  <c r="N37" i="143"/>
  <c r="P37" i="143"/>
  <c r="Q37" i="143" s="1"/>
  <c r="F38" i="143"/>
  <c r="G38" i="143"/>
  <c r="H38" i="143"/>
  <c r="J38" i="143"/>
  <c r="K38" i="143"/>
  <c r="L38" i="143"/>
  <c r="M38" i="143"/>
  <c r="N38" i="143"/>
  <c r="P38" i="143"/>
  <c r="Q38" i="143" s="1"/>
  <c r="F39" i="143"/>
  <c r="G39" i="143"/>
  <c r="H39" i="143"/>
  <c r="J39" i="143"/>
  <c r="K39" i="143"/>
  <c r="L39" i="143"/>
  <c r="M39" i="143"/>
  <c r="N39" i="143"/>
  <c r="P39" i="143"/>
  <c r="Q39" i="143" s="1"/>
  <c r="F40" i="143"/>
  <c r="G40" i="143"/>
  <c r="H40" i="143"/>
  <c r="J40" i="143"/>
  <c r="K40" i="143"/>
  <c r="L40" i="143"/>
  <c r="M40" i="143"/>
  <c r="N40" i="143"/>
  <c r="P40" i="143"/>
  <c r="Q40" i="143" s="1"/>
  <c r="P34" i="142"/>
  <c r="Q34" i="142" s="1"/>
  <c r="N34" i="142"/>
  <c r="M34" i="142"/>
  <c r="L34" i="142"/>
  <c r="K34" i="142"/>
  <c r="J34" i="142"/>
  <c r="H34" i="142"/>
  <c r="G34" i="142"/>
  <c r="F34" i="142"/>
  <c r="P33" i="142"/>
  <c r="Q33" i="142" s="1"/>
  <c r="N33" i="142"/>
  <c r="M33" i="142"/>
  <c r="L33" i="142"/>
  <c r="K33" i="142"/>
  <c r="J33" i="142"/>
  <c r="H33" i="142"/>
  <c r="G33" i="142"/>
  <c r="F33" i="142"/>
  <c r="P32" i="142"/>
  <c r="Q32" i="142" s="1"/>
  <c r="N32" i="142"/>
  <c r="M32" i="142"/>
  <c r="L32" i="142"/>
  <c r="K32" i="142"/>
  <c r="J32" i="142"/>
  <c r="H32" i="142"/>
  <c r="G32" i="142"/>
  <c r="F32" i="142"/>
  <c r="P22" i="191"/>
  <c r="Q22" i="191" s="1"/>
  <c r="N22" i="191"/>
  <c r="M22" i="191"/>
  <c r="L22" i="191"/>
  <c r="K22" i="191"/>
  <c r="J22" i="191"/>
  <c r="H22" i="191"/>
  <c r="G22" i="191"/>
  <c r="F22" i="191"/>
  <c r="P20" i="191"/>
  <c r="Q20" i="191" s="1"/>
  <c r="N20" i="191"/>
  <c r="M20" i="191"/>
  <c r="L20" i="191"/>
  <c r="K20" i="191"/>
  <c r="J20" i="191"/>
  <c r="H20" i="191"/>
  <c r="G20" i="191"/>
  <c r="F20" i="191"/>
  <c r="P21" i="191"/>
  <c r="Q21" i="191" s="1"/>
  <c r="N21" i="191"/>
  <c r="M21" i="191"/>
  <c r="L21" i="191"/>
  <c r="K21" i="191"/>
  <c r="J21" i="191"/>
  <c r="H21" i="191"/>
  <c r="G21" i="191"/>
  <c r="F21" i="191"/>
  <c r="J43" i="77"/>
  <c r="K43" i="77"/>
  <c r="L43" i="77"/>
  <c r="M43" i="77"/>
  <c r="N43" i="77"/>
  <c r="P43" i="77"/>
  <c r="Q43" i="77" s="1"/>
  <c r="F43" i="77"/>
  <c r="G43" i="77"/>
  <c r="H43" i="77"/>
  <c r="P16" i="191"/>
  <c r="Q16" i="191" s="1"/>
  <c r="N16" i="191"/>
  <c r="M16" i="191"/>
  <c r="L16" i="191"/>
  <c r="K16" i="191"/>
  <c r="J16" i="191"/>
  <c r="H16" i="191"/>
  <c r="G16" i="191"/>
  <c r="F16" i="191"/>
  <c r="D16" i="191"/>
  <c r="P15" i="191"/>
  <c r="Q15" i="191" s="1"/>
  <c r="N15" i="191"/>
  <c r="M15" i="191"/>
  <c r="L15" i="191"/>
  <c r="K15" i="191"/>
  <c r="J15" i="191"/>
  <c r="H15" i="191"/>
  <c r="G15" i="191"/>
  <c r="F15" i="191"/>
  <c r="D15" i="191"/>
  <c r="P14" i="191"/>
  <c r="Q14" i="191" s="1"/>
  <c r="N14" i="191"/>
  <c r="M14" i="191"/>
  <c r="L14" i="191"/>
  <c r="K14" i="191"/>
  <c r="J14" i="191"/>
  <c r="H14" i="191"/>
  <c r="G14" i="191"/>
  <c r="F14" i="191"/>
  <c r="D14" i="191"/>
  <c r="A14" i="191"/>
  <c r="P13" i="191"/>
  <c r="Q13" i="191" s="1"/>
  <c r="N13" i="191"/>
  <c r="M13" i="191"/>
  <c r="L13" i="191"/>
  <c r="K13" i="191"/>
  <c r="J13" i="191"/>
  <c r="H13" i="191"/>
  <c r="G13" i="191"/>
  <c r="F13" i="191"/>
  <c r="D13" i="191"/>
  <c r="A15" i="112"/>
  <c r="F12" i="84"/>
  <c r="G12" i="84"/>
  <c r="H12" i="84"/>
  <c r="J12" i="84"/>
  <c r="K12" i="84"/>
  <c r="L12" i="84"/>
  <c r="M12" i="84"/>
  <c r="N12" i="84"/>
  <c r="F40" i="56"/>
  <c r="G40" i="56"/>
  <c r="H40" i="56"/>
  <c r="J40" i="56"/>
  <c r="K40" i="56"/>
  <c r="L40" i="56"/>
  <c r="M40" i="56"/>
  <c r="N40" i="56"/>
  <c r="F41" i="56"/>
  <c r="G41" i="56"/>
  <c r="H41" i="56"/>
  <c r="J41" i="56"/>
  <c r="K41" i="56"/>
  <c r="L41" i="56"/>
  <c r="M41" i="56"/>
  <c r="N41" i="56"/>
  <c r="F42" i="56"/>
  <c r="G42" i="56"/>
  <c r="H42" i="56"/>
  <c r="J42" i="56"/>
  <c r="K42" i="56"/>
  <c r="L42" i="56"/>
  <c r="M42" i="56"/>
  <c r="N42" i="56"/>
  <c r="F43" i="56"/>
  <c r="G43" i="56"/>
  <c r="H43" i="56"/>
  <c r="J43" i="56"/>
  <c r="K43" i="56"/>
  <c r="L43" i="56"/>
  <c r="M43" i="56"/>
  <c r="N43" i="56"/>
  <c r="F44" i="56"/>
  <c r="G44" i="56"/>
  <c r="H44" i="56"/>
  <c r="J44" i="56"/>
  <c r="K44" i="56"/>
  <c r="L44" i="56"/>
  <c r="M44" i="56"/>
  <c r="N44" i="56"/>
  <c r="F12" i="119"/>
  <c r="G12" i="119"/>
  <c r="H12" i="119"/>
  <c r="J12" i="119"/>
  <c r="K12" i="119"/>
  <c r="L12" i="119"/>
  <c r="M12" i="119"/>
  <c r="N12" i="119"/>
  <c r="F13" i="119"/>
  <c r="G13" i="119"/>
  <c r="H13" i="119"/>
  <c r="J13" i="119"/>
  <c r="K13" i="119"/>
  <c r="L13" i="119"/>
  <c r="M13" i="119"/>
  <c r="N13" i="119"/>
  <c r="F14" i="119"/>
  <c r="G14" i="119"/>
  <c r="H14" i="119"/>
  <c r="J14" i="119"/>
  <c r="K14" i="119"/>
  <c r="L14" i="119"/>
  <c r="M14" i="119"/>
  <c r="N14" i="119"/>
  <c r="F15" i="119"/>
  <c r="G15" i="119"/>
  <c r="H15" i="119"/>
  <c r="J15" i="119"/>
  <c r="K15" i="119"/>
  <c r="L15" i="119"/>
  <c r="M15" i="119"/>
  <c r="N15" i="119"/>
  <c r="J23" i="162"/>
  <c r="K23" i="162"/>
  <c r="L23" i="162"/>
  <c r="M23" i="162"/>
  <c r="N23" i="162"/>
  <c r="F23" i="162"/>
  <c r="G23" i="162"/>
  <c r="H23" i="162"/>
  <c r="F69" i="141"/>
  <c r="G69" i="141"/>
  <c r="H69" i="141"/>
  <c r="J69" i="141"/>
  <c r="K69" i="141"/>
  <c r="L69" i="141"/>
  <c r="M69" i="141"/>
  <c r="N69" i="141"/>
  <c r="F70" i="141"/>
  <c r="G70" i="141"/>
  <c r="H70" i="141"/>
  <c r="J70" i="141"/>
  <c r="K70" i="141"/>
  <c r="L70" i="141"/>
  <c r="M70" i="141"/>
  <c r="N70" i="141"/>
  <c r="F71" i="141"/>
  <c r="G71" i="141"/>
  <c r="H71" i="141"/>
  <c r="J71" i="141"/>
  <c r="K71" i="141"/>
  <c r="L71" i="141"/>
  <c r="M71" i="141"/>
  <c r="N71" i="141"/>
  <c r="F72" i="141"/>
  <c r="G72" i="141"/>
  <c r="H72" i="141"/>
  <c r="J72" i="141"/>
  <c r="K72" i="141"/>
  <c r="L72" i="141"/>
  <c r="M72" i="141"/>
  <c r="N72" i="141"/>
  <c r="F73" i="141"/>
  <c r="G73" i="141"/>
  <c r="H73" i="141"/>
  <c r="J73" i="141"/>
  <c r="K73" i="141"/>
  <c r="L73" i="141"/>
  <c r="M73" i="141"/>
  <c r="N73" i="141"/>
  <c r="F18" i="140"/>
  <c r="G18" i="140"/>
  <c r="H18" i="140"/>
  <c r="J18" i="140"/>
  <c r="K18" i="140"/>
  <c r="L18" i="140"/>
  <c r="M18" i="140"/>
  <c r="N18" i="140"/>
  <c r="F19" i="140"/>
  <c r="G19" i="140"/>
  <c r="H19" i="140"/>
  <c r="J19" i="140"/>
  <c r="K19" i="140"/>
  <c r="L19" i="140"/>
  <c r="M19" i="140"/>
  <c r="N19" i="140"/>
  <c r="F20" i="140"/>
  <c r="G20" i="140"/>
  <c r="H20" i="140"/>
  <c r="J20" i="140"/>
  <c r="K20" i="140"/>
  <c r="L20" i="140"/>
  <c r="M20" i="140"/>
  <c r="N20" i="140"/>
  <c r="F19" i="115"/>
  <c r="G19" i="115"/>
  <c r="H19" i="115"/>
  <c r="J19" i="115"/>
  <c r="K19" i="115"/>
  <c r="L19" i="115"/>
  <c r="M19" i="115"/>
  <c r="N19" i="115"/>
  <c r="F20" i="115"/>
  <c r="G20" i="115"/>
  <c r="H20" i="115"/>
  <c r="J20" i="115"/>
  <c r="K20" i="115"/>
  <c r="L20" i="115"/>
  <c r="M20" i="115"/>
  <c r="N20" i="115"/>
  <c r="F21" i="115"/>
  <c r="G21" i="115"/>
  <c r="H21" i="115"/>
  <c r="J21" i="115"/>
  <c r="K21" i="115"/>
  <c r="L21" i="115"/>
  <c r="M21" i="115"/>
  <c r="N21" i="115"/>
  <c r="F22" i="115"/>
  <c r="G22" i="115"/>
  <c r="H22" i="115"/>
  <c r="J22" i="115"/>
  <c r="K22" i="115"/>
  <c r="L22" i="115"/>
  <c r="M22" i="115"/>
  <c r="N22" i="115"/>
  <c r="F23" i="115"/>
  <c r="G23" i="115"/>
  <c r="H23" i="115"/>
  <c r="J23" i="115"/>
  <c r="K23" i="115"/>
  <c r="L23" i="115"/>
  <c r="M23" i="115"/>
  <c r="N23" i="115"/>
  <c r="F37" i="112"/>
  <c r="G37" i="112"/>
  <c r="H37" i="112"/>
  <c r="J37" i="112"/>
  <c r="K37" i="112"/>
  <c r="L37" i="112"/>
  <c r="M37" i="112"/>
  <c r="N37" i="112"/>
  <c r="F18" i="105"/>
  <c r="G18" i="105"/>
  <c r="H18" i="105"/>
  <c r="J18" i="105"/>
  <c r="K18" i="105"/>
  <c r="L18" i="105"/>
  <c r="M18" i="105"/>
  <c r="N18" i="105"/>
  <c r="F19" i="105"/>
  <c r="G19" i="105"/>
  <c r="H19" i="105"/>
  <c r="J19" i="105"/>
  <c r="K19" i="105"/>
  <c r="L19" i="105"/>
  <c r="M19" i="105"/>
  <c r="N19" i="105"/>
  <c r="F47" i="99"/>
  <c r="G47" i="99"/>
  <c r="H47" i="99"/>
  <c r="J47" i="99"/>
  <c r="K47" i="99"/>
  <c r="L47" i="99"/>
  <c r="M47" i="99"/>
  <c r="N47" i="99"/>
  <c r="F48" i="99"/>
  <c r="G48" i="99"/>
  <c r="H48" i="99"/>
  <c r="J48" i="99"/>
  <c r="K48" i="99"/>
  <c r="L48" i="99"/>
  <c r="M48" i="99"/>
  <c r="N48" i="99"/>
  <c r="F49" i="99"/>
  <c r="G49" i="99"/>
  <c r="H49" i="99"/>
  <c r="J49" i="99"/>
  <c r="K49" i="99"/>
  <c r="L49" i="99"/>
  <c r="M49" i="99"/>
  <c r="N49" i="99"/>
  <c r="F18" i="85"/>
  <c r="G18" i="85"/>
  <c r="H18" i="85"/>
  <c r="J18" i="85"/>
  <c r="K18" i="85"/>
  <c r="L18" i="85"/>
  <c r="M18" i="85"/>
  <c r="N18" i="85"/>
  <c r="F65" i="146"/>
  <c r="G65" i="146"/>
  <c r="H65" i="146"/>
  <c r="J65" i="146"/>
  <c r="K65" i="146"/>
  <c r="L65" i="146"/>
  <c r="M65" i="146"/>
  <c r="N65" i="146"/>
  <c r="F66" i="146"/>
  <c r="G66" i="146"/>
  <c r="H66" i="146"/>
  <c r="J66" i="146"/>
  <c r="K66" i="146"/>
  <c r="L66" i="146"/>
  <c r="M66" i="146"/>
  <c r="N66" i="146"/>
  <c r="F67" i="146"/>
  <c r="G67" i="146"/>
  <c r="H67" i="146"/>
  <c r="J67" i="146"/>
  <c r="K67" i="146"/>
  <c r="L67" i="146"/>
  <c r="M67" i="146"/>
  <c r="N67" i="146"/>
  <c r="F68" i="146"/>
  <c r="G68" i="146"/>
  <c r="H68" i="146"/>
  <c r="J68" i="146"/>
  <c r="K68" i="146"/>
  <c r="L68" i="146"/>
  <c r="M68" i="146"/>
  <c r="N68" i="146"/>
  <c r="F69" i="146"/>
  <c r="G69" i="146"/>
  <c r="H69" i="146"/>
  <c r="J69" i="146"/>
  <c r="K69" i="146"/>
  <c r="L69" i="146"/>
  <c r="M69" i="146"/>
  <c r="N69" i="146"/>
  <c r="F70" i="146"/>
  <c r="G70" i="146"/>
  <c r="H70" i="146"/>
  <c r="J70" i="146"/>
  <c r="K70" i="146"/>
  <c r="L70" i="146"/>
  <c r="M70" i="146"/>
  <c r="N70" i="146"/>
  <c r="F71" i="146"/>
  <c r="G71" i="146"/>
  <c r="H71" i="146"/>
  <c r="J71" i="146"/>
  <c r="K71" i="146"/>
  <c r="L71" i="146"/>
  <c r="M71" i="146"/>
  <c r="N71" i="146"/>
  <c r="F18" i="144"/>
  <c r="G18" i="144"/>
  <c r="H18" i="144"/>
  <c r="J18" i="144"/>
  <c r="K18" i="144"/>
  <c r="L18" i="144"/>
  <c r="M18" i="144"/>
  <c r="N18" i="144"/>
  <c r="F19" i="144"/>
  <c r="G19" i="144"/>
  <c r="H19" i="144"/>
  <c r="J19" i="144"/>
  <c r="K19" i="144"/>
  <c r="L19" i="144"/>
  <c r="M19" i="144"/>
  <c r="N19" i="144"/>
  <c r="F20" i="144"/>
  <c r="G20" i="144"/>
  <c r="H20" i="144"/>
  <c r="J20" i="144"/>
  <c r="K20" i="144"/>
  <c r="L20" i="144"/>
  <c r="M20" i="144"/>
  <c r="N20" i="144"/>
  <c r="F19" i="81"/>
  <c r="G19" i="81"/>
  <c r="H19" i="81"/>
  <c r="J19" i="81"/>
  <c r="K19" i="81"/>
  <c r="L19" i="81"/>
  <c r="M19" i="81"/>
  <c r="N19" i="81"/>
  <c r="F20" i="81"/>
  <c r="G20" i="81"/>
  <c r="H20" i="81"/>
  <c r="J20" i="81"/>
  <c r="K20" i="81"/>
  <c r="L20" i="81"/>
  <c r="M20" i="81"/>
  <c r="N20" i="81"/>
  <c r="F21" i="81"/>
  <c r="G21" i="81"/>
  <c r="H21" i="81"/>
  <c r="J21" i="81"/>
  <c r="K21" i="81"/>
  <c r="L21" i="81"/>
  <c r="M21" i="81"/>
  <c r="N21" i="81"/>
  <c r="F22" i="81"/>
  <c r="G22" i="81"/>
  <c r="H22" i="81"/>
  <c r="J22" i="81"/>
  <c r="K22" i="81"/>
  <c r="L22" i="81"/>
  <c r="M22" i="81"/>
  <c r="N22" i="81"/>
  <c r="F23" i="81"/>
  <c r="G23" i="81"/>
  <c r="H23" i="81"/>
  <c r="J23" i="81"/>
  <c r="K23" i="81"/>
  <c r="L23" i="81"/>
  <c r="M23" i="81"/>
  <c r="N23" i="81"/>
  <c r="F19" i="184"/>
  <c r="G19" i="184"/>
  <c r="H19" i="184"/>
  <c r="J19" i="184"/>
  <c r="K19" i="184"/>
  <c r="L19" i="184"/>
  <c r="M19" i="184"/>
  <c r="N19" i="184"/>
  <c r="F20" i="184"/>
  <c r="G20" i="184"/>
  <c r="H20" i="184"/>
  <c r="J20" i="184"/>
  <c r="K20" i="184"/>
  <c r="L20" i="184"/>
  <c r="M20" i="184"/>
  <c r="N20" i="184"/>
  <c r="F18" i="133"/>
  <c r="G18" i="133"/>
  <c r="H18" i="133"/>
  <c r="J18" i="133"/>
  <c r="K18" i="133"/>
  <c r="L18" i="133"/>
  <c r="M18" i="133"/>
  <c r="N18" i="133"/>
  <c r="F19" i="133"/>
  <c r="G19" i="133"/>
  <c r="H19" i="133"/>
  <c r="J19" i="133"/>
  <c r="K19" i="133"/>
  <c r="L19" i="133"/>
  <c r="M19" i="133"/>
  <c r="N19" i="133"/>
  <c r="F17" i="132"/>
  <c r="G17" i="132"/>
  <c r="H17" i="132"/>
  <c r="J17" i="132"/>
  <c r="K17" i="132"/>
  <c r="L17" i="132"/>
  <c r="M17" i="132"/>
  <c r="N17" i="132"/>
  <c r="F18" i="132"/>
  <c r="G18" i="132"/>
  <c r="H18" i="132"/>
  <c r="J18" i="132"/>
  <c r="K18" i="132"/>
  <c r="L18" i="132"/>
  <c r="M18" i="132"/>
  <c r="N18" i="132"/>
  <c r="J22" i="180"/>
  <c r="K22" i="180"/>
  <c r="L22" i="180"/>
  <c r="M22" i="180"/>
  <c r="N22" i="180"/>
  <c r="F22" i="180"/>
  <c r="G22" i="180"/>
  <c r="H22" i="180"/>
  <c r="J35" i="166"/>
  <c r="K35" i="166"/>
  <c r="L35" i="166"/>
  <c r="M35" i="166"/>
  <c r="N35" i="166"/>
  <c r="F35" i="166"/>
  <c r="G35" i="166"/>
  <c r="H35" i="166"/>
  <c r="F34" i="69"/>
  <c r="G34" i="69"/>
  <c r="H34" i="69"/>
  <c r="J34" i="69"/>
  <c r="K34" i="69"/>
  <c r="L34" i="69"/>
  <c r="M34" i="69"/>
  <c r="N34" i="69"/>
  <c r="F35" i="69"/>
  <c r="G35" i="69"/>
  <c r="H35" i="69"/>
  <c r="J35" i="69"/>
  <c r="K35" i="69"/>
  <c r="L35" i="69"/>
  <c r="M35" i="69"/>
  <c r="N35" i="69"/>
  <c r="F36" i="69"/>
  <c r="G36" i="69"/>
  <c r="H36" i="69"/>
  <c r="J36" i="69"/>
  <c r="K36" i="69"/>
  <c r="L36" i="69"/>
  <c r="M36" i="69"/>
  <c r="N36" i="69"/>
  <c r="F37" i="69"/>
  <c r="G37" i="69"/>
  <c r="H37" i="69"/>
  <c r="J37" i="69"/>
  <c r="K37" i="69"/>
  <c r="L37" i="69"/>
  <c r="M37" i="69"/>
  <c r="N37" i="69"/>
  <c r="F38" i="69"/>
  <c r="G38" i="69"/>
  <c r="H38" i="69"/>
  <c r="J38" i="69"/>
  <c r="K38" i="69"/>
  <c r="L38" i="69"/>
  <c r="M38" i="69"/>
  <c r="N38" i="69"/>
  <c r="F39" i="69"/>
  <c r="G39" i="69"/>
  <c r="H39" i="69"/>
  <c r="J39" i="69"/>
  <c r="K39" i="69"/>
  <c r="L39" i="69"/>
  <c r="M39" i="69"/>
  <c r="N39" i="69"/>
  <c r="F40" i="69"/>
  <c r="G40" i="69"/>
  <c r="H40" i="69"/>
  <c r="J40" i="69"/>
  <c r="K40" i="69"/>
  <c r="L40" i="69"/>
  <c r="M40" i="69"/>
  <c r="N40" i="69"/>
  <c r="F41" i="69"/>
  <c r="G41" i="69"/>
  <c r="H41" i="69"/>
  <c r="J41" i="69"/>
  <c r="K41" i="69"/>
  <c r="L41" i="69"/>
  <c r="M41" i="69"/>
  <c r="N41" i="69"/>
  <c r="F42" i="69"/>
  <c r="G42" i="69"/>
  <c r="H42" i="69"/>
  <c r="J42" i="69"/>
  <c r="K42" i="69"/>
  <c r="L42" i="69"/>
  <c r="M42" i="69"/>
  <c r="N42" i="69"/>
  <c r="F44" i="69"/>
  <c r="G44" i="69"/>
  <c r="H44" i="69"/>
  <c r="J44" i="69"/>
  <c r="K44" i="69"/>
  <c r="L44" i="69"/>
  <c r="M44" i="69"/>
  <c r="N44" i="69"/>
  <c r="F45" i="69"/>
  <c r="G45" i="69"/>
  <c r="H45" i="69"/>
  <c r="J45" i="69"/>
  <c r="K45" i="69"/>
  <c r="L45" i="69"/>
  <c r="M45" i="69"/>
  <c r="N45" i="69"/>
  <c r="J50" i="67"/>
  <c r="K50" i="67"/>
  <c r="L50" i="67"/>
  <c r="M50" i="67"/>
  <c r="N50" i="67"/>
  <c r="F50" i="67"/>
  <c r="G50" i="67"/>
  <c r="H50" i="67"/>
  <c r="F18" i="127"/>
  <c r="G18" i="127"/>
  <c r="H18" i="127"/>
  <c r="J18" i="127"/>
  <c r="K18" i="127"/>
  <c r="L18" i="127"/>
  <c r="M18" i="127"/>
  <c r="N18" i="127"/>
  <c r="F19" i="127"/>
  <c r="G19" i="127"/>
  <c r="H19" i="127"/>
  <c r="J19" i="127"/>
  <c r="K19" i="127"/>
  <c r="L19" i="127"/>
  <c r="M19" i="127"/>
  <c r="N19" i="127"/>
  <c r="F20" i="127"/>
  <c r="G20" i="127"/>
  <c r="H20" i="127"/>
  <c r="J20" i="127"/>
  <c r="K20" i="127"/>
  <c r="L20" i="127"/>
  <c r="M20" i="127"/>
  <c r="N20" i="127"/>
  <c r="F21" i="126"/>
  <c r="G21" i="126"/>
  <c r="H21" i="126"/>
  <c r="J21" i="126"/>
  <c r="K21" i="126"/>
  <c r="L21" i="126"/>
  <c r="M21" i="126"/>
  <c r="N21" i="126"/>
  <c r="F22" i="126"/>
  <c r="G22" i="126"/>
  <c r="H22" i="126"/>
  <c r="J22" i="126"/>
  <c r="K22" i="126"/>
  <c r="L22" i="126"/>
  <c r="M22" i="126"/>
  <c r="N22" i="126"/>
  <c r="F23" i="126"/>
  <c r="G23" i="126"/>
  <c r="H23" i="126"/>
  <c r="J23" i="126"/>
  <c r="K23" i="126"/>
  <c r="L23" i="126"/>
  <c r="M23" i="126"/>
  <c r="N23" i="126"/>
  <c r="F24" i="126"/>
  <c r="G24" i="126"/>
  <c r="H24" i="126"/>
  <c r="J24" i="126"/>
  <c r="K24" i="126"/>
  <c r="L24" i="126"/>
  <c r="M24" i="126"/>
  <c r="N24" i="126"/>
  <c r="F21" i="125"/>
  <c r="G21" i="125"/>
  <c r="H21" i="125"/>
  <c r="J21" i="125"/>
  <c r="K21" i="125"/>
  <c r="L21" i="125"/>
  <c r="M21" i="125"/>
  <c r="N21" i="125"/>
  <c r="F22" i="125"/>
  <c r="G22" i="125"/>
  <c r="H22" i="125"/>
  <c r="J22" i="125"/>
  <c r="K22" i="125"/>
  <c r="L22" i="125"/>
  <c r="M22" i="125"/>
  <c r="N22" i="125"/>
  <c r="F23" i="125"/>
  <c r="G23" i="125"/>
  <c r="H23" i="125"/>
  <c r="J23" i="125"/>
  <c r="K23" i="125"/>
  <c r="L23" i="125"/>
  <c r="M23" i="125"/>
  <c r="N23" i="125"/>
  <c r="F24" i="125"/>
  <c r="G24" i="125"/>
  <c r="H24" i="125"/>
  <c r="J24" i="125"/>
  <c r="K24" i="125"/>
  <c r="L24" i="125"/>
  <c r="M24" i="125"/>
  <c r="N24" i="125"/>
  <c r="F18" i="124"/>
  <c r="G18" i="124"/>
  <c r="H18" i="124"/>
  <c r="J18" i="124"/>
  <c r="K18" i="124"/>
  <c r="L18" i="124"/>
  <c r="M18" i="124"/>
  <c r="N18" i="124"/>
  <c r="F19" i="124"/>
  <c r="G19" i="124"/>
  <c r="H19" i="124"/>
  <c r="J19" i="124"/>
  <c r="K19" i="124"/>
  <c r="L19" i="124"/>
  <c r="M19" i="124"/>
  <c r="N19" i="124"/>
  <c r="F20" i="124"/>
  <c r="G20" i="124"/>
  <c r="H20" i="124"/>
  <c r="J20" i="124"/>
  <c r="K20" i="124"/>
  <c r="L20" i="124"/>
  <c r="M20" i="124"/>
  <c r="N20" i="124"/>
  <c r="F21" i="123"/>
  <c r="G21" i="123"/>
  <c r="H21" i="123"/>
  <c r="J21" i="123"/>
  <c r="K21" i="123"/>
  <c r="L21" i="123"/>
  <c r="M21" i="123"/>
  <c r="N21" i="123"/>
  <c r="F22" i="123"/>
  <c r="G22" i="123"/>
  <c r="H22" i="123"/>
  <c r="J22" i="123"/>
  <c r="K22" i="123"/>
  <c r="L22" i="123"/>
  <c r="M22" i="123"/>
  <c r="N22" i="123"/>
  <c r="F23" i="123"/>
  <c r="G23" i="123"/>
  <c r="H23" i="123"/>
  <c r="J23" i="123"/>
  <c r="K23" i="123"/>
  <c r="L23" i="123"/>
  <c r="M23" i="123"/>
  <c r="N23" i="123"/>
  <c r="F24" i="123"/>
  <c r="G24" i="123"/>
  <c r="H24" i="123"/>
  <c r="J24" i="123"/>
  <c r="K24" i="123"/>
  <c r="L24" i="123"/>
  <c r="M24" i="123"/>
  <c r="N24" i="123"/>
  <c r="F36" i="63"/>
  <c r="G36" i="63"/>
  <c r="H36" i="63"/>
  <c r="J36" i="63"/>
  <c r="K36" i="63"/>
  <c r="L36" i="63"/>
  <c r="M36" i="63"/>
  <c r="N36" i="63"/>
  <c r="F37" i="63"/>
  <c r="G37" i="63"/>
  <c r="H37" i="63"/>
  <c r="J37" i="63"/>
  <c r="K37" i="63"/>
  <c r="L37" i="63"/>
  <c r="M37" i="63"/>
  <c r="N37" i="63"/>
  <c r="F38" i="63"/>
  <c r="G38" i="63"/>
  <c r="H38" i="63"/>
  <c r="J38" i="63"/>
  <c r="K38" i="63"/>
  <c r="L38" i="63"/>
  <c r="M38" i="63"/>
  <c r="N38" i="63"/>
  <c r="F39" i="63"/>
  <c r="G39" i="63"/>
  <c r="H39" i="63"/>
  <c r="J39" i="63"/>
  <c r="K39" i="63"/>
  <c r="L39" i="63"/>
  <c r="M39" i="63"/>
  <c r="N39" i="63"/>
  <c r="F40" i="63"/>
  <c r="G40" i="63"/>
  <c r="H40" i="63"/>
  <c r="J40" i="63"/>
  <c r="K40" i="63"/>
  <c r="L40" i="63"/>
  <c r="M40" i="63"/>
  <c r="N40" i="63"/>
  <c r="F41" i="63"/>
  <c r="G41" i="63"/>
  <c r="H41" i="63"/>
  <c r="J41" i="63"/>
  <c r="K41" i="63"/>
  <c r="L41" i="63"/>
  <c r="M41" i="63"/>
  <c r="N41" i="63"/>
  <c r="F42" i="63"/>
  <c r="G42" i="63"/>
  <c r="H42" i="63"/>
  <c r="J42" i="63"/>
  <c r="K42" i="63"/>
  <c r="L42" i="63"/>
  <c r="M42" i="63"/>
  <c r="N42" i="63"/>
  <c r="F43" i="63"/>
  <c r="G43" i="63"/>
  <c r="H43" i="63"/>
  <c r="J43" i="63"/>
  <c r="K43" i="63"/>
  <c r="L43" i="63"/>
  <c r="M43" i="63"/>
  <c r="N43" i="63"/>
  <c r="F44" i="63"/>
  <c r="G44" i="63"/>
  <c r="H44" i="63"/>
  <c r="J44" i="63"/>
  <c r="K44" i="63"/>
  <c r="L44" i="63"/>
  <c r="M44" i="63"/>
  <c r="N44" i="63"/>
  <c r="F45" i="63"/>
  <c r="G45" i="63"/>
  <c r="H45" i="63"/>
  <c r="J45" i="63"/>
  <c r="K45" i="63"/>
  <c r="L45" i="63"/>
  <c r="M45" i="63"/>
  <c r="N45" i="63"/>
  <c r="F46" i="63"/>
  <c r="G46" i="63"/>
  <c r="H46" i="63"/>
  <c r="J46" i="63"/>
  <c r="K46" i="63"/>
  <c r="L46" i="63"/>
  <c r="M46" i="63"/>
  <c r="N46" i="63"/>
  <c r="F48" i="63"/>
  <c r="G48" i="63"/>
  <c r="H48" i="63"/>
  <c r="J48" i="63"/>
  <c r="K48" i="63"/>
  <c r="L48" i="63"/>
  <c r="M48" i="63"/>
  <c r="N48" i="63"/>
  <c r="F25" i="55"/>
  <c r="G25" i="55"/>
  <c r="H25" i="55"/>
  <c r="J25" i="55"/>
  <c r="K25" i="55"/>
  <c r="L25" i="55"/>
  <c r="M25" i="55"/>
  <c r="N25" i="55"/>
  <c r="F26" i="55"/>
  <c r="G26" i="55"/>
  <c r="H26" i="55"/>
  <c r="J26" i="55"/>
  <c r="K26" i="55"/>
  <c r="L26" i="55"/>
  <c r="M26" i="55"/>
  <c r="N26" i="55"/>
  <c r="F27" i="55"/>
  <c r="G27" i="55"/>
  <c r="H27" i="55"/>
  <c r="J27" i="55"/>
  <c r="K27" i="55"/>
  <c r="L27" i="55"/>
  <c r="M27" i="55"/>
  <c r="N27" i="55"/>
  <c r="F28" i="55"/>
  <c r="G28" i="55"/>
  <c r="H28" i="55"/>
  <c r="J28" i="55"/>
  <c r="K28" i="55"/>
  <c r="L28" i="55"/>
  <c r="M28" i="55"/>
  <c r="N28" i="55"/>
  <c r="F29" i="55"/>
  <c r="G29" i="55"/>
  <c r="H29" i="55"/>
  <c r="J29" i="55"/>
  <c r="K29" i="55"/>
  <c r="L29" i="55"/>
  <c r="M29" i="55"/>
  <c r="N29" i="55"/>
  <c r="F30" i="55"/>
  <c r="G30" i="55"/>
  <c r="H30" i="55"/>
  <c r="J30" i="55"/>
  <c r="K30" i="55"/>
  <c r="L30" i="55"/>
  <c r="M30" i="55"/>
  <c r="N30" i="55"/>
  <c r="F31" i="55"/>
  <c r="G31" i="55"/>
  <c r="H31" i="55"/>
  <c r="J31" i="55"/>
  <c r="K31" i="55"/>
  <c r="L31" i="55"/>
  <c r="M31" i="55"/>
  <c r="N31" i="55"/>
  <c r="N38" i="134"/>
  <c r="M38" i="134"/>
  <c r="L38" i="134"/>
  <c r="K38" i="134"/>
  <c r="J38" i="134"/>
  <c r="H38" i="134"/>
  <c r="G38" i="134"/>
  <c r="F38" i="134"/>
  <c r="D10" i="188"/>
  <c r="F10" i="188"/>
  <c r="G10" i="188"/>
  <c r="H10" i="188"/>
  <c r="J10" i="188"/>
  <c r="K10" i="188"/>
  <c r="L10" i="188"/>
  <c r="M10" i="188"/>
  <c r="N10" i="188"/>
  <c r="P10" i="188"/>
  <c r="Q10" i="188" s="1"/>
  <c r="A11" i="188"/>
  <c r="A12" i="188" s="1"/>
  <c r="A13" i="188" s="1"/>
  <c r="A14" i="188" s="1"/>
  <c r="D11" i="188"/>
  <c r="F11" i="188"/>
  <c r="G11" i="188"/>
  <c r="H11" i="188"/>
  <c r="J11" i="188"/>
  <c r="K11" i="188"/>
  <c r="L11" i="188"/>
  <c r="M11" i="188"/>
  <c r="N11" i="188"/>
  <c r="P11" i="188"/>
  <c r="Q11" i="188" s="1"/>
  <c r="D12" i="188"/>
  <c r="F12" i="188"/>
  <c r="G12" i="188"/>
  <c r="H12" i="188"/>
  <c r="J12" i="188"/>
  <c r="K12" i="188"/>
  <c r="L12" i="188"/>
  <c r="M12" i="188"/>
  <c r="N12" i="188"/>
  <c r="P12" i="188"/>
  <c r="Q12" i="188" s="1"/>
  <c r="D13" i="188"/>
  <c r="F13" i="188"/>
  <c r="G13" i="188"/>
  <c r="H13" i="188"/>
  <c r="J13" i="188"/>
  <c r="K13" i="188"/>
  <c r="L13" i="188"/>
  <c r="M13" i="188"/>
  <c r="N13" i="188"/>
  <c r="P13" i="188"/>
  <c r="Q13" i="188" s="1"/>
  <c r="D14" i="188"/>
  <c r="F14" i="188"/>
  <c r="G14" i="188"/>
  <c r="H14" i="188"/>
  <c r="J14" i="188"/>
  <c r="K14" i="188"/>
  <c r="L14" i="188"/>
  <c r="M14" i="188"/>
  <c r="N14" i="188"/>
  <c r="P14" i="188"/>
  <c r="Q14" i="188" s="1"/>
  <c r="F16" i="188"/>
  <c r="G16" i="188"/>
  <c r="H16" i="188"/>
  <c r="J16" i="188"/>
  <c r="K16" i="188"/>
  <c r="L16" i="188"/>
  <c r="M16" i="188"/>
  <c r="N16" i="188"/>
  <c r="P16" i="188"/>
  <c r="Q16" i="188" s="1"/>
  <c r="A17" i="188"/>
  <c r="A18" i="188" s="1"/>
  <c r="F17" i="188"/>
  <c r="G17" i="188"/>
  <c r="H17" i="188"/>
  <c r="J17" i="188"/>
  <c r="K17" i="188"/>
  <c r="L17" i="188"/>
  <c r="M17" i="188"/>
  <c r="N17" i="188"/>
  <c r="P17" i="188"/>
  <c r="Q17" i="188" s="1"/>
  <c r="F18" i="188"/>
  <c r="G18" i="188"/>
  <c r="H18" i="188"/>
  <c r="J18" i="188"/>
  <c r="K18" i="188"/>
  <c r="L18" i="188"/>
  <c r="M18" i="188"/>
  <c r="N18" i="188"/>
  <c r="P18" i="188"/>
  <c r="Q18" i="188" s="1"/>
  <c r="C378" i="29"/>
  <c r="E378" i="29"/>
  <c r="D17" i="142"/>
  <c r="F17" i="142"/>
  <c r="G17" i="142"/>
  <c r="H17" i="142"/>
  <c r="J17" i="142"/>
  <c r="K17" i="142"/>
  <c r="L17" i="142"/>
  <c r="M17" i="142"/>
  <c r="N17" i="142"/>
  <c r="P17" i="142"/>
  <c r="Q17" i="142" s="1"/>
  <c r="D18" i="142"/>
  <c r="F18" i="142"/>
  <c r="G18" i="142"/>
  <c r="H18" i="142"/>
  <c r="J18" i="142"/>
  <c r="K18" i="142"/>
  <c r="L18" i="142"/>
  <c r="M18" i="142"/>
  <c r="N18" i="142"/>
  <c r="P18" i="142"/>
  <c r="Q18" i="142" s="1"/>
  <c r="J19" i="142"/>
  <c r="K19" i="142"/>
  <c r="L19" i="142"/>
  <c r="M19" i="142"/>
  <c r="N19" i="142"/>
  <c r="P19" i="142"/>
  <c r="Q19" i="142" s="1"/>
  <c r="F19" i="142"/>
  <c r="G19" i="142"/>
  <c r="H19" i="142"/>
  <c r="D19" i="142"/>
  <c r="J20" i="142"/>
  <c r="K20" i="142"/>
  <c r="L20" i="142"/>
  <c r="M20" i="142"/>
  <c r="N20" i="142"/>
  <c r="P20" i="142"/>
  <c r="Q20" i="142" s="1"/>
  <c r="F20" i="142"/>
  <c r="G20" i="142"/>
  <c r="H20" i="142"/>
  <c r="D20" i="142"/>
  <c r="U47" i="30"/>
  <c r="O47" i="30" s="1"/>
  <c r="F47" i="30" s="1"/>
  <c r="U48" i="30"/>
  <c r="O48" i="30" s="1"/>
  <c r="F48" i="30" s="1"/>
  <c r="J48" i="66"/>
  <c r="K48" i="66"/>
  <c r="L48" i="66"/>
  <c r="M48" i="66"/>
  <c r="N48" i="66"/>
  <c r="P48" i="66"/>
  <c r="Q48" i="66" s="1"/>
  <c r="F48" i="66"/>
  <c r="G48" i="66"/>
  <c r="H48" i="66"/>
  <c r="D48" i="66"/>
  <c r="P26" i="150"/>
  <c r="Q26" i="150" s="1"/>
  <c r="N26" i="150"/>
  <c r="M26" i="150"/>
  <c r="L26" i="150"/>
  <c r="K26" i="150"/>
  <c r="J26" i="150"/>
  <c r="H26" i="150"/>
  <c r="G26" i="150"/>
  <c r="F26" i="150"/>
  <c r="D26" i="150"/>
  <c r="P27" i="186"/>
  <c r="Q27" i="186" s="1"/>
  <c r="N27" i="186"/>
  <c r="M27" i="186"/>
  <c r="L27" i="186"/>
  <c r="K27" i="186"/>
  <c r="J27" i="186"/>
  <c r="H27" i="186"/>
  <c r="G27" i="186"/>
  <c r="F27" i="186"/>
  <c r="D27" i="186"/>
  <c r="C16" i="29"/>
  <c r="E16" i="29"/>
  <c r="C17" i="29"/>
  <c r="E17" i="29"/>
  <c r="C18" i="29"/>
  <c r="E18" i="29"/>
  <c r="C363" i="29"/>
  <c r="E363" i="29"/>
  <c r="C19" i="29"/>
  <c r="E19" i="29"/>
  <c r="C171" i="29"/>
  <c r="E171" i="29"/>
  <c r="F65" i="141"/>
  <c r="G65" i="141"/>
  <c r="H65" i="141"/>
  <c r="J65" i="141"/>
  <c r="K65" i="141"/>
  <c r="L65" i="141"/>
  <c r="M65" i="141"/>
  <c r="N65" i="141"/>
  <c r="P65" i="141"/>
  <c r="Q65" i="141" s="1"/>
  <c r="F67" i="141"/>
  <c r="G67" i="141"/>
  <c r="H67" i="141"/>
  <c r="J67" i="141"/>
  <c r="K67" i="141"/>
  <c r="L67" i="141"/>
  <c r="M67" i="141"/>
  <c r="N67" i="141"/>
  <c r="P67" i="141"/>
  <c r="Q67" i="141" s="1"/>
  <c r="D51" i="141"/>
  <c r="F51" i="141"/>
  <c r="G51" i="141"/>
  <c r="H51" i="141"/>
  <c r="J51" i="141"/>
  <c r="K51" i="141"/>
  <c r="L51" i="141"/>
  <c r="M51" i="141"/>
  <c r="N51" i="141"/>
  <c r="P51" i="141"/>
  <c r="Q51" i="141" s="1"/>
  <c r="D52" i="141"/>
  <c r="F52" i="141"/>
  <c r="G52" i="141"/>
  <c r="H52" i="141"/>
  <c r="J52" i="141"/>
  <c r="K52" i="141"/>
  <c r="L52" i="141"/>
  <c r="M52" i="141"/>
  <c r="N52" i="141"/>
  <c r="P52" i="141"/>
  <c r="Q52" i="141" s="1"/>
  <c r="F62" i="141"/>
  <c r="G62" i="141"/>
  <c r="H62" i="141"/>
  <c r="J62" i="141"/>
  <c r="K62" i="141"/>
  <c r="L62" i="141"/>
  <c r="M62" i="141"/>
  <c r="N62" i="141"/>
  <c r="P62" i="141"/>
  <c r="Q62" i="141" s="1"/>
  <c r="F63" i="141"/>
  <c r="G63" i="141"/>
  <c r="H63" i="141"/>
  <c r="J63" i="141"/>
  <c r="K63" i="141"/>
  <c r="L63" i="141"/>
  <c r="M63" i="141"/>
  <c r="N63" i="141"/>
  <c r="P63" i="141"/>
  <c r="Q63" i="141" s="1"/>
  <c r="F64" i="141"/>
  <c r="G64" i="141"/>
  <c r="H64" i="141"/>
  <c r="J64" i="141"/>
  <c r="K64" i="141"/>
  <c r="L64" i="141"/>
  <c r="M64" i="141"/>
  <c r="N64" i="141"/>
  <c r="P64" i="141"/>
  <c r="Q64" i="141" s="1"/>
  <c r="U86" i="30"/>
  <c r="O86" i="30" s="1"/>
  <c r="F86" i="30" s="1"/>
  <c r="P69" i="141" s="1"/>
  <c r="U91" i="30"/>
  <c r="O91" i="30" s="1"/>
  <c r="F91" i="30" s="1"/>
  <c r="P73" i="141" s="1"/>
  <c r="Q73" i="141" s="1"/>
  <c r="U6" i="30"/>
  <c r="O6" i="30" s="1"/>
  <c r="F6" i="30" s="1"/>
  <c r="U10" i="30"/>
  <c r="O10" i="30" s="1"/>
  <c r="F10" i="30" s="1"/>
  <c r="U5" i="30"/>
  <c r="O5" i="30" s="1"/>
  <c r="F5" i="30" s="1"/>
  <c r="D73" i="141"/>
  <c r="D71" i="141"/>
  <c r="D72" i="141"/>
  <c r="A70" i="141"/>
  <c r="A71" i="141" s="1"/>
  <c r="A72" i="141" s="1"/>
  <c r="A73" i="141" s="1"/>
  <c r="D70" i="141"/>
  <c r="D39" i="141"/>
  <c r="F39" i="141"/>
  <c r="G39" i="141"/>
  <c r="H39" i="141"/>
  <c r="J39" i="141"/>
  <c r="K39" i="141"/>
  <c r="L39" i="141"/>
  <c r="M39" i="141"/>
  <c r="N39" i="141"/>
  <c r="P39" i="141"/>
  <c r="Q39" i="141" s="1"/>
  <c r="D40" i="141"/>
  <c r="F40" i="141"/>
  <c r="G40" i="141"/>
  <c r="H40" i="141"/>
  <c r="J40" i="141"/>
  <c r="K40" i="141"/>
  <c r="L40" i="141"/>
  <c r="M40" i="141"/>
  <c r="N40" i="141"/>
  <c r="P40" i="141"/>
  <c r="Q40" i="141" s="1"/>
  <c r="D41" i="141"/>
  <c r="F41" i="141"/>
  <c r="G41" i="141"/>
  <c r="H41" i="141"/>
  <c r="J41" i="141"/>
  <c r="K41" i="141"/>
  <c r="L41" i="141"/>
  <c r="M41" i="141"/>
  <c r="N41" i="141"/>
  <c r="P41" i="141"/>
  <c r="Q41" i="141" s="1"/>
  <c r="D43" i="141"/>
  <c r="F43" i="141"/>
  <c r="G43" i="141"/>
  <c r="H43" i="141"/>
  <c r="J43" i="141"/>
  <c r="K43" i="141"/>
  <c r="L43" i="141"/>
  <c r="M43" i="141"/>
  <c r="N43" i="141"/>
  <c r="P43" i="141"/>
  <c r="Q43" i="141" s="1"/>
  <c r="D44" i="141"/>
  <c r="F44" i="141"/>
  <c r="G44" i="141"/>
  <c r="H44" i="141"/>
  <c r="J44" i="141"/>
  <c r="K44" i="141"/>
  <c r="L44" i="141"/>
  <c r="M44" i="141"/>
  <c r="N44" i="141"/>
  <c r="P44" i="141"/>
  <c r="Q44" i="141" s="1"/>
  <c r="D45" i="141"/>
  <c r="F45" i="141"/>
  <c r="G45" i="141"/>
  <c r="H45" i="141"/>
  <c r="J45" i="141"/>
  <c r="K45" i="141"/>
  <c r="L45" i="141"/>
  <c r="M45" i="141"/>
  <c r="N45" i="141"/>
  <c r="P45" i="141"/>
  <c r="Q45" i="141" s="1"/>
  <c r="D46" i="141"/>
  <c r="F46" i="141"/>
  <c r="G46" i="141"/>
  <c r="H46" i="141"/>
  <c r="J46" i="141"/>
  <c r="K46" i="141"/>
  <c r="L46" i="141"/>
  <c r="M46" i="141"/>
  <c r="N46" i="141"/>
  <c r="P46" i="141"/>
  <c r="Q46" i="141" s="1"/>
  <c r="D47" i="141"/>
  <c r="F47" i="141"/>
  <c r="G47" i="141"/>
  <c r="H47" i="141"/>
  <c r="J47" i="141"/>
  <c r="K47" i="141"/>
  <c r="L47" i="141"/>
  <c r="M47" i="141"/>
  <c r="N47" i="141"/>
  <c r="P47" i="141"/>
  <c r="Q47" i="141" s="1"/>
  <c r="D48" i="141"/>
  <c r="F48" i="141"/>
  <c r="G48" i="141"/>
  <c r="H48" i="141"/>
  <c r="J48" i="141"/>
  <c r="K48" i="141"/>
  <c r="L48" i="141"/>
  <c r="M48" i="141"/>
  <c r="N48" i="141"/>
  <c r="P48" i="141"/>
  <c r="Q48" i="141" s="1"/>
  <c r="D49" i="141"/>
  <c r="F49" i="141"/>
  <c r="G49" i="141"/>
  <c r="H49" i="141"/>
  <c r="J49" i="141"/>
  <c r="K49" i="141"/>
  <c r="L49" i="141"/>
  <c r="M49" i="141"/>
  <c r="N49" i="141"/>
  <c r="P49" i="141"/>
  <c r="Q49" i="141" s="1"/>
  <c r="D50" i="141"/>
  <c r="F50" i="141"/>
  <c r="G50" i="141"/>
  <c r="H50" i="141"/>
  <c r="J50" i="141"/>
  <c r="K50" i="141"/>
  <c r="L50" i="141"/>
  <c r="M50" i="141"/>
  <c r="N50" i="141"/>
  <c r="P50" i="141"/>
  <c r="Q50" i="141" s="1"/>
  <c r="D33" i="141"/>
  <c r="F33" i="141"/>
  <c r="G33" i="141"/>
  <c r="H33" i="141"/>
  <c r="J33" i="141"/>
  <c r="K33" i="141"/>
  <c r="L33" i="141"/>
  <c r="M33" i="141"/>
  <c r="N33" i="141"/>
  <c r="P33" i="141"/>
  <c r="Q33" i="141" s="1"/>
  <c r="D34" i="141"/>
  <c r="F34" i="141"/>
  <c r="G34" i="141"/>
  <c r="H34" i="141"/>
  <c r="J34" i="141"/>
  <c r="K34" i="141"/>
  <c r="L34" i="141"/>
  <c r="M34" i="141"/>
  <c r="N34" i="141"/>
  <c r="P34" i="141"/>
  <c r="Q34" i="141" s="1"/>
  <c r="D35" i="141"/>
  <c r="F35" i="141"/>
  <c r="G35" i="141"/>
  <c r="H35" i="141"/>
  <c r="J35" i="141"/>
  <c r="K35" i="141"/>
  <c r="L35" i="141"/>
  <c r="M35" i="141"/>
  <c r="N35" i="141"/>
  <c r="P35" i="141"/>
  <c r="Q35" i="141" s="1"/>
  <c r="D36" i="141"/>
  <c r="F36" i="141"/>
  <c r="G36" i="141"/>
  <c r="H36" i="141"/>
  <c r="J36" i="141"/>
  <c r="K36" i="141"/>
  <c r="L36" i="141"/>
  <c r="M36" i="141"/>
  <c r="N36" i="141"/>
  <c r="P36" i="141"/>
  <c r="Q36" i="141" s="1"/>
  <c r="D37" i="141"/>
  <c r="F37" i="141"/>
  <c r="G37" i="141"/>
  <c r="H37" i="141"/>
  <c r="J37" i="141"/>
  <c r="K37" i="141"/>
  <c r="L37" i="141"/>
  <c r="M37" i="141"/>
  <c r="N37" i="141"/>
  <c r="P37" i="141"/>
  <c r="Q37" i="141" s="1"/>
  <c r="D38" i="141"/>
  <c r="F38" i="141"/>
  <c r="G38" i="141"/>
  <c r="H38" i="141"/>
  <c r="J38" i="141"/>
  <c r="K38" i="141"/>
  <c r="L38" i="141"/>
  <c r="M38" i="141"/>
  <c r="N38" i="141"/>
  <c r="P38" i="141"/>
  <c r="Q38" i="141" s="1"/>
  <c r="I3" i="195"/>
  <c r="G3" i="195"/>
  <c r="E3" i="195"/>
  <c r="C3" i="195" s="1"/>
  <c r="I2" i="195"/>
  <c r="G2" i="195"/>
  <c r="I3" i="194"/>
  <c r="G3" i="194"/>
  <c r="E3" i="194"/>
  <c r="C3" i="194" s="1"/>
  <c r="I2" i="194"/>
  <c r="G2" i="194"/>
  <c r="I3" i="193"/>
  <c r="G3" i="193"/>
  <c r="E3" i="193"/>
  <c r="C3" i="193" s="1"/>
  <c r="I2" i="193"/>
  <c r="G2" i="193"/>
  <c r="F32" i="69"/>
  <c r="G32" i="69"/>
  <c r="H32" i="69"/>
  <c r="J32" i="69"/>
  <c r="K32" i="69"/>
  <c r="L32" i="69"/>
  <c r="M32" i="69"/>
  <c r="N32" i="69"/>
  <c r="P32" i="69"/>
  <c r="Q32" i="69" s="1"/>
  <c r="J26" i="69"/>
  <c r="K26" i="69"/>
  <c r="L26" i="69"/>
  <c r="M26" i="69"/>
  <c r="N26" i="69"/>
  <c r="P26" i="69"/>
  <c r="Q26" i="69" s="1"/>
  <c r="F26" i="69"/>
  <c r="G26" i="69"/>
  <c r="H26" i="69"/>
  <c r="D26" i="69"/>
  <c r="J27" i="69"/>
  <c r="K27" i="69"/>
  <c r="L27" i="69"/>
  <c r="M27" i="69"/>
  <c r="N27" i="69"/>
  <c r="P27" i="69"/>
  <c r="Q27" i="69" s="1"/>
  <c r="F27" i="69"/>
  <c r="G27" i="69"/>
  <c r="H27" i="69"/>
  <c r="D27" i="69"/>
  <c r="E84" i="29"/>
  <c r="C84" i="29"/>
  <c r="E85" i="29"/>
  <c r="C85" i="29"/>
  <c r="E86" i="29"/>
  <c r="C86" i="29"/>
  <c r="D44" i="69"/>
  <c r="D27" i="142"/>
  <c r="F27" i="142"/>
  <c r="G27" i="142"/>
  <c r="H27" i="142"/>
  <c r="J27" i="142"/>
  <c r="K27" i="142"/>
  <c r="L27" i="142"/>
  <c r="M27" i="142"/>
  <c r="N27" i="142"/>
  <c r="P27" i="142"/>
  <c r="Q27" i="142" s="1"/>
  <c r="D28" i="142"/>
  <c r="F28" i="142"/>
  <c r="G28" i="142"/>
  <c r="H28" i="142"/>
  <c r="J28" i="142"/>
  <c r="K28" i="142"/>
  <c r="L28" i="142"/>
  <c r="M28" i="142"/>
  <c r="N28" i="142"/>
  <c r="P28" i="142"/>
  <c r="Q28" i="142" s="1"/>
  <c r="D29" i="142"/>
  <c r="F29" i="142"/>
  <c r="G29" i="142"/>
  <c r="H29" i="142"/>
  <c r="J29" i="142"/>
  <c r="K29" i="142"/>
  <c r="L29" i="142"/>
  <c r="M29" i="142"/>
  <c r="N29" i="142"/>
  <c r="P29" i="142"/>
  <c r="Q29" i="142" s="1"/>
  <c r="D30" i="142"/>
  <c r="F30" i="142"/>
  <c r="G30" i="142"/>
  <c r="H30" i="142"/>
  <c r="J30" i="142"/>
  <c r="K30" i="142"/>
  <c r="L30" i="142"/>
  <c r="M30" i="142"/>
  <c r="N30" i="142"/>
  <c r="P30" i="142"/>
  <c r="Q30" i="142" s="1"/>
  <c r="P38" i="178"/>
  <c r="Q38" i="178" s="1"/>
  <c r="N38" i="178"/>
  <c r="M38" i="178"/>
  <c r="L38" i="178"/>
  <c r="K38" i="178"/>
  <c r="J38" i="178"/>
  <c r="H38" i="178"/>
  <c r="G38" i="178"/>
  <c r="F38" i="178"/>
  <c r="D38" i="178"/>
  <c r="P37" i="178"/>
  <c r="Q37" i="178" s="1"/>
  <c r="N37" i="178"/>
  <c r="M37" i="178"/>
  <c r="L37" i="178"/>
  <c r="K37" i="178"/>
  <c r="J37" i="178"/>
  <c r="H37" i="178"/>
  <c r="G37" i="178"/>
  <c r="F37" i="178"/>
  <c r="D37" i="178"/>
  <c r="P36" i="178"/>
  <c r="Q36" i="178" s="1"/>
  <c r="N36" i="178"/>
  <c r="M36" i="178"/>
  <c r="L36" i="178"/>
  <c r="K36" i="178"/>
  <c r="J36" i="178"/>
  <c r="H36" i="178"/>
  <c r="G36" i="178"/>
  <c r="F36" i="178"/>
  <c r="D36" i="178"/>
  <c r="P35" i="178"/>
  <c r="Q35" i="178" s="1"/>
  <c r="N35" i="178"/>
  <c r="M35" i="178"/>
  <c r="L35" i="178"/>
  <c r="K35" i="178"/>
  <c r="J35" i="178"/>
  <c r="H35" i="178"/>
  <c r="G35" i="178"/>
  <c r="F35" i="178"/>
  <c r="D35" i="178"/>
  <c r="P34" i="178"/>
  <c r="Q34" i="178" s="1"/>
  <c r="N34" i="178"/>
  <c r="M34" i="178"/>
  <c r="L34" i="178"/>
  <c r="K34" i="178"/>
  <c r="J34" i="178"/>
  <c r="H34" i="178"/>
  <c r="G34" i="178"/>
  <c r="F34" i="178"/>
  <c r="D34" i="178"/>
  <c r="P33" i="178"/>
  <c r="Q33" i="178" s="1"/>
  <c r="N33" i="178"/>
  <c r="M33" i="178"/>
  <c r="L33" i="178"/>
  <c r="K33" i="178"/>
  <c r="J33" i="178"/>
  <c r="H33" i="178"/>
  <c r="G33" i="178"/>
  <c r="F33" i="178"/>
  <c r="D33" i="178"/>
  <c r="P32" i="178"/>
  <c r="Q32" i="178" s="1"/>
  <c r="N32" i="178"/>
  <c r="M32" i="178"/>
  <c r="L32" i="178"/>
  <c r="K32" i="178"/>
  <c r="J32" i="178"/>
  <c r="H32" i="178"/>
  <c r="G32" i="178"/>
  <c r="F32" i="178"/>
  <c r="D32" i="178"/>
  <c r="P31" i="178"/>
  <c r="Q31" i="178" s="1"/>
  <c r="N31" i="178"/>
  <c r="M31" i="178"/>
  <c r="L31" i="178"/>
  <c r="K31" i="178"/>
  <c r="J31" i="178"/>
  <c r="H31" i="178"/>
  <c r="G31" i="178"/>
  <c r="F31" i="178"/>
  <c r="D31" i="178"/>
  <c r="P49" i="178"/>
  <c r="Q49" i="178" s="1"/>
  <c r="N49" i="178"/>
  <c r="M49" i="178"/>
  <c r="L49" i="178"/>
  <c r="K49" i="178"/>
  <c r="J49" i="178"/>
  <c r="H49" i="178"/>
  <c r="G49" i="178"/>
  <c r="F49" i="178"/>
  <c r="A46" i="178"/>
  <c r="A47" i="178" s="1"/>
  <c r="A48" i="178" s="1"/>
  <c r="A49" i="178" s="1"/>
  <c r="P48" i="178"/>
  <c r="Q48" i="178" s="1"/>
  <c r="N48" i="178"/>
  <c r="M48" i="178"/>
  <c r="L48" i="178"/>
  <c r="K48" i="178"/>
  <c r="J48" i="178"/>
  <c r="H48" i="178"/>
  <c r="G48" i="178"/>
  <c r="F48" i="178"/>
  <c r="P47" i="178"/>
  <c r="Q47" i="178" s="1"/>
  <c r="N47" i="178"/>
  <c r="M47" i="178"/>
  <c r="L47" i="178"/>
  <c r="K47" i="178"/>
  <c r="J47" i="178"/>
  <c r="H47" i="178"/>
  <c r="G47" i="178"/>
  <c r="F47" i="178"/>
  <c r="P46" i="178"/>
  <c r="Q46" i="178" s="1"/>
  <c r="N46" i="178"/>
  <c r="M46" i="178"/>
  <c r="L46" i="178"/>
  <c r="K46" i="178"/>
  <c r="J46" i="178"/>
  <c r="H46" i="178"/>
  <c r="G46" i="178"/>
  <c r="F46" i="178"/>
  <c r="P45" i="178"/>
  <c r="Q45" i="178" s="1"/>
  <c r="N45" i="178"/>
  <c r="M45" i="178"/>
  <c r="L45" i="178"/>
  <c r="K45" i="178"/>
  <c r="J45" i="178"/>
  <c r="H45" i="178"/>
  <c r="G45" i="178"/>
  <c r="F45" i="178"/>
  <c r="P38" i="186"/>
  <c r="Q38" i="186" s="1"/>
  <c r="N38" i="186"/>
  <c r="M38" i="186"/>
  <c r="L38" i="186"/>
  <c r="K38" i="186"/>
  <c r="J38" i="186"/>
  <c r="H38" i="186"/>
  <c r="G38" i="186"/>
  <c r="F38" i="186"/>
  <c r="P37" i="186"/>
  <c r="Q37" i="186" s="1"/>
  <c r="N37" i="186"/>
  <c r="M37" i="186"/>
  <c r="L37" i="186"/>
  <c r="K37" i="186"/>
  <c r="J37" i="186"/>
  <c r="H37" i="186"/>
  <c r="G37" i="186"/>
  <c r="F37" i="186"/>
  <c r="P36" i="186"/>
  <c r="Q36" i="186" s="1"/>
  <c r="N36" i="186"/>
  <c r="M36" i="186"/>
  <c r="L36" i="186"/>
  <c r="K36" i="186"/>
  <c r="J36" i="186"/>
  <c r="H36" i="186"/>
  <c r="G36" i="186"/>
  <c r="F36" i="186"/>
  <c r="E336" i="29"/>
  <c r="C336" i="29"/>
  <c r="E337" i="29"/>
  <c r="C337" i="29"/>
  <c r="E338" i="29"/>
  <c r="C338" i="29"/>
  <c r="E339" i="29"/>
  <c r="C339" i="29"/>
  <c r="E340" i="29"/>
  <c r="C340" i="29"/>
  <c r="E341" i="29"/>
  <c r="C341" i="29"/>
  <c r="E342" i="29"/>
  <c r="C342" i="29"/>
  <c r="E343" i="29"/>
  <c r="C343" i="29"/>
  <c r="E344" i="29"/>
  <c r="C344" i="29"/>
  <c r="E345" i="29"/>
  <c r="C345" i="29"/>
  <c r="E348" i="29"/>
  <c r="C348" i="29"/>
  <c r="E349" i="29"/>
  <c r="C349" i="29"/>
  <c r="E350" i="29"/>
  <c r="C350" i="29"/>
  <c r="E351" i="29"/>
  <c r="C351" i="29"/>
  <c r="E352" i="29"/>
  <c r="C352" i="29"/>
  <c r="C353" i="29"/>
  <c r="C354" i="29"/>
  <c r="C355" i="29"/>
  <c r="C356" i="29"/>
  <c r="E357" i="29"/>
  <c r="C357" i="29"/>
  <c r="E358" i="29"/>
  <c r="C358" i="29"/>
  <c r="E359" i="29"/>
  <c r="C359" i="29"/>
  <c r="E360" i="29"/>
  <c r="C360" i="29"/>
  <c r="E361" i="29"/>
  <c r="C361" i="29"/>
  <c r="E362" i="29"/>
  <c r="C362" i="29"/>
  <c r="E364" i="29"/>
  <c r="C364" i="29"/>
  <c r="E365" i="29"/>
  <c r="C365" i="29"/>
  <c r="P25" i="150"/>
  <c r="Q25" i="150" s="1"/>
  <c r="N25" i="150"/>
  <c r="M25" i="150"/>
  <c r="L25" i="150"/>
  <c r="K25" i="150"/>
  <c r="J25" i="150"/>
  <c r="H25" i="150"/>
  <c r="G25" i="150"/>
  <c r="F25" i="150"/>
  <c r="D25" i="150"/>
  <c r="P26" i="186"/>
  <c r="Q26" i="186" s="1"/>
  <c r="N26" i="186"/>
  <c r="M26" i="186"/>
  <c r="L26" i="186"/>
  <c r="K26" i="186"/>
  <c r="J26" i="186"/>
  <c r="H26" i="186"/>
  <c r="G26" i="186"/>
  <c r="F26" i="186"/>
  <c r="D26" i="186"/>
  <c r="A21" i="178"/>
  <c r="A6" i="178" s="1"/>
  <c r="A7" i="178" s="1"/>
  <c r="A8" i="178" s="1"/>
  <c r="A9" i="178" s="1"/>
  <c r="A10" i="178" s="1"/>
  <c r="A11" i="178" s="1"/>
  <c r="A12" i="178" s="1"/>
  <c r="A13" i="178" s="1"/>
  <c r="A14" i="178" s="1"/>
  <c r="A15" i="178" s="1"/>
  <c r="A16" i="178" s="1"/>
  <c r="A17" i="178" s="1"/>
  <c r="A18" i="178" s="1"/>
  <c r="A8" i="177"/>
  <c r="A9" i="177" s="1"/>
  <c r="A10" i="177" s="1"/>
  <c r="A11" i="177" s="1"/>
  <c r="A12" i="177" s="1"/>
  <c r="A13" i="177" s="1"/>
  <c r="A14" i="177" s="1"/>
  <c r="A15" i="177" s="1"/>
  <c r="A16" i="177" s="1"/>
  <c r="A17" i="177" s="1"/>
  <c r="A18" i="177" s="1"/>
  <c r="P23" i="191"/>
  <c r="Q23" i="191" s="1"/>
  <c r="N23" i="191"/>
  <c r="M23" i="191"/>
  <c r="L23" i="191"/>
  <c r="K23" i="191"/>
  <c r="J23" i="191"/>
  <c r="H23" i="191"/>
  <c r="G23" i="191"/>
  <c r="F23" i="191"/>
  <c r="P18" i="191"/>
  <c r="Q18" i="191" s="1"/>
  <c r="N18" i="191"/>
  <c r="M18" i="191"/>
  <c r="L18" i="191"/>
  <c r="K18" i="191"/>
  <c r="J18" i="191"/>
  <c r="H18" i="191"/>
  <c r="G18" i="191"/>
  <c r="F18" i="191"/>
  <c r="D18" i="191"/>
  <c r="P17" i="191"/>
  <c r="Q17" i="191" s="1"/>
  <c r="N17" i="191"/>
  <c r="M17" i="191"/>
  <c r="L17" i="191"/>
  <c r="K17" i="191"/>
  <c r="J17" i="191"/>
  <c r="H17" i="191"/>
  <c r="G17" i="191"/>
  <c r="F17" i="191"/>
  <c r="D17" i="191"/>
  <c r="I3" i="191"/>
  <c r="G3" i="191"/>
  <c r="E3" i="191"/>
  <c r="C3" i="191" s="1"/>
  <c r="I2" i="191"/>
  <c r="G2" i="191"/>
  <c r="P26" i="190"/>
  <c r="Q26" i="190" s="1"/>
  <c r="N26" i="190"/>
  <c r="M26" i="190"/>
  <c r="L26" i="190"/>
  <c r="K26" i="190"/>
  <c r="J26" i="190"/>
  <c r="H26" i="190"/>
  <c r="G26" i="190"/>
  <c r="F26" i="190"/>
  <c r="P25" i="190"/>
  <c r="Q25" i="190" s="1"/>
  <c r="N25" i="190"/>
  <c r="M25" i="190"/>
  <c r="L25" i="190"/>
  <c r="K25" i="190"/>
  <c r="J25" i="190"/>
  <c r="H25" i="190"/>
  <c r="G25" i="190"/>
  <c r="F25" i="190"/>
  <c r="P24" i="190"/>
  <c r="Q24" i="190" s="1"/>
  <c r="N24" i="190"/>
  <c r="M24" i="190"/>
  <c r="L24" i="190"/>
  <c r="K24" i="190"/>
  <c r="J24" i="190"/>
  <c r="H24" i="190"/>
  <c r="G24" i="190"/>
  <c r="F24" i="190"/>
  <c r="A24" i="190"/>
  <c r="A25" i="190" s="1"/>
  <c r="A26" i="190" s="1"/>
  <c r="A27" i="190" s="1"/>
  <c r="A28" i="190" s="1"/>
  <c r="A29" i="190" s="1"/>
  <c r="P23" i="190"/>
  <c r="Q23" i="190" s="1"/>
  <c r="N23" i="190"/>
  <c r="M23" i="190"/>
  <c r="L23" i="190"/>
  <c r="K23" i="190"/>
  <c r="J23" i="190"/>
  <c r="H23" i="190"/>
  <c r="G23" i="190"/>
  <c r="F23" i="190"/>
  <c r="P21" i="190"/>
  <c r="Q21" i="190" s="1"/>
  <c r="N21" i="190"/>
  <c r="M21" i="190"/>
  <c r="L21" i="190"/>
  <c r="K21" i="190"/>
  <c r="J21" i="190"/>
  <c r="H21" i="190"/>
  <c r="G21" i="190"/>
  <c r="F21" i="190"/>
  <c r="D21" i="190"/>
  <c r="P20" i="190"/>
  <c r="Q20" i="190" s="1"/>
  <c r="N20" i="190"/>
  <c r="M20" i="190"/>
  <c r="L20" i="190"/>
  <c r="K20" i="190"/>
  <c r="J20" i="190"/>
  <c r="H20" i="190"/>
  <c r="G20" i="190"/>
  <c r="F20" i="190"/>
  <c r="D20" i="190"/>
  <c r="P19" i="190"/>
  <c r="Q19" i="190" s="1"/>
  <c r="N19" i="190"/>
  <c r="M19" i="190"/>
  <c r="L19" i="190"/>
  <c r="K19" i="190"/>
  <c r="J19" i="190"/>
  <c r="H19" i="190"/>
  <c r="G19" i="190"/>
  <c r="F19" i="190"/>
  <c r="D19" i="190"/>
  <c r="P18" i="190"/>
  <c r="Q18" i="190" s="1"/>
  <c r="N18" i="190"/>
  <c r="M18" i="190"/>
  <c r="L18" i="190"/>
  <c r="K18" i="190"/>
  <c r="J18" i="190"/>
  <c r="H18" i="190"/>
  <c r="G18" i="190"/>
  <c r="F18" i="190"/>
  <c r="D18" i="190"/>
  <c r="P17" i="190"/>
  <c r="Q17" i="190" s="1"/>
  <c r="N17" i="190"/>
  <c r="M17" i="190"/>
  <c r="L17" i="190"/>
  <c r="K17" i="190"/>
  <c r="J17" i="190"/>
  <c r="H17" i="190"/>
  <c r="G17" i="190"/>
  <c r="F17" i="190"/>
  <c r="D17" i="190"/>
  <c r="P16" i="190"/>
  <c r="Q16" i="190" s="1"/>
  <c r="N16" i="190"/>
  <c r="M16" i="190"/>
  <c r="L16" i="190"/>
  <c r="K16" i="190"/>
  <c r="J16" i="190"/>
  <c r="H16" i="190"/>
  <c r="G16" i="190"/>
  <c r="F16" i="190"/>
  <c r="D16" i="190"/>
  <c r="P15" i="190"/>
  <c r="Q15" i="190" s="1"/>
  <c r="N15" i="190"/>
  <c r="M15" i="190"/>
  <c r="L15" i="190"/>
  <c r="K15" i="190"/>
  <c r="J15" i="190"/>
  <c r="H15" i="190"/>
  <c r="G15" i="190"/>
  <c r="F15" i="190"/>
  <c r="D15" i="190"/>
  <c r="P14" i="190"/>
  <c r="Q14" i="190" s="1"/>
  <c r="N14" i="190"/>
  <c r="M14" i="190"/>
  <c r="L14" i="190"/>
  <c r="K14" i="190"/>
  <c r="J14" i="190"/>
  <c r="H14" i="190"/>
  <c r="G14" i="190"/>
  <c r="F14" i="190"/>
  <c r="D14" i="190"/>
  <c r="P13" i="190"/>
  <c r="Q13" i="190" s="1"/>
  <c r="N13" i="190"/>
  <c r="M13" i="190"/>
  <c r="L13" i="190"/>
  <c r="K13" i="190"/>
  <c r="J13" i="190"/>
  <c r="H13" i="190"/>
  <c r="G13" i="190"/>
  <c r="F13" i="190"/>
  <c r="D13" i="190"/>
  <c r="A13" i="190"/>
  <c r="A14" i="190" s="1"/>
  <c r="A15" i="190" s="1"/>
  <c r="A16" i="190" s="1"/>
  <c r="A17" i="190" s="1"/>
  <c r="A18" i="190" s="1"/>
  <c r="A19" i="190" s="1"/>
  <c r="A20" i="190" s="1"/>
  <c r="A21" i="190" s="1"/>
  <c r="P12" i="190"/>
  <c r="Q12" i="190" s="1"/>
  <c r="N12" i="190"/>
  <c r="M12" i="190"/>
  <c r="L12" i="190"/>
  <c r="K12" i="190"/>
  <c r="J12" i="190"/>
  <c r="H12" i="190"/>
  <c r="G12" i="190"/>
  <c r="F12" i="190"/>
  <c r="D12" i="190"/>
  <c r="I3" i="190"/>
  <c r="G3" i="190"/>
  <c r="E3" i="190"/>
  <c r="I2" i="190"/>
  <c r="G2" i="190"/>
  <c r="P21" i="189"/>
  <c r="Q21" i="189" s="1"/>
  <c r="N21" i="189"/>
  <c r="M21" i="189"/>
  <c r="L21" i="189"/>
  <c r="K21" i="189"/>
  <c r="J21" i="189"/>
  <c r="H21" i="189"/>
  <c r="G21" i="189"/>
  <c r="F21" i="189"/>
  <c r="P20" i="189"/>
  <c r="Q20" i="189" s="1"/>
  <c r="N20" i="189"/>
  <c r="M20" i="189"/>
  <c r="L20" i="189"/>
  <c r="K20" i="189"/>
  <c r="J20" i="189"/>
  <c r="H20" i="189"/>
  <c r="G20" i="189"/>
  <c r="F20" i="189"/>
  <c r="A20" i="189"/>
  <c r="A21" i="189" s="1"/>
  <c r="A22" i="189" s="1"/>
  <c r="A23" i="189" s="1"/>
  <c r="A24" i="189" s="1"/>
  <c r="P19" i="189"/>
  <c r="Q19" i="189" s="1"/>
  <c r="N19" i="189"/>
  <c r="M19" i="189"/>
  <c r="L19" i="189"/>
  <c r="K19" i="189"/>
  <c r="J19" i="189"/>
  <c r="H19" i="189"/>
  <c r="G19" i="189"/>
  <c r="F19" i="189"/>
  <c r="P17" i="189"/>
  <c r="Q17" i="189" s="1"/>
  <c r="N17" i="189"/>
  <c r="M17" i="189"/>
  <c r="L17" i="189"/>
  <c r="K17" i="189"/>
  <c r="J17" i="189"/>
  <c r="H17" i="189"/>
  <c r="G17" i="189"/>
  <c r="F17" i="189"/>
  <c r="D17" i="189"/>
  <c r="P16" i="189"/>
  <c r="Q16" i="189" s="1"/>
  <c r="N16" i="189"/>
  <c r="M16" i="189"/>
  <c r="L16" i="189"/>
  <c r="K16" i="189"/>
  <c r="J16" i="189"/>
  <c r="H16" i="189"/>
  <c r="G16" i="189"/>
  <c r="F16" i="189"/>
  <c r="D16" i="189"/>
  <c r="P15" i="189"/>
  <c r="Q15" i="189" s="1"/>
  <c r="N15" i="189"/>
  <c r="M15" i="189"/>
  <c r="L15" i="189"/>
  <c r="K15" i="189"/>
  <c r="J15" i="189"/>
  <c r="H15" i="189"/>
  <c r="G15" i="189"/>
  <c r="F15" i="189"/>
  <c r="D15" i="189"/>
  <c r="P14" i="189"/>
  <c r="Q14" i="189" s="1"/>
  <c r="N14" i="189"/>
  <c r="M14" i="189"/>
  <c r="L14" i="189"/>
  <c r="K14" i="189"/>
  <c r="J14" i="189"/>
  <c r="H14" i="189"/>
  <c r="G14" i="189"/>
  <c r="F14" i="189"/>
  <c r="D14" i="189"/>
  <c r="P13" i="189"/>
  <c r="Q13" i="189" s="1"/>
  <c r="N13" i="189"/>
  <c r="M13" i="189"/>
  <c r="L13" i="189"/>
  <c r="K13" i="189"/>
  <c r="J13" i="189"/>
  <c r="H13" i="189"/>
  <c r="G13" i="189"/>
  <c r="F13" i="189"/>
  <c r="D13" i="189"/>
  <c r="P12" i="189"/>
  <c r="Q12" i="189" s="1"/>
  <c r="N12" i="189"/>
  <c r="M12" i="189"/>
  <c r="L12" i="189"/>
  <c r="K12" i="189"/>
  <c r="J12" i="189"/>
  <c r="H12" i="189"/>
  <c r="G12" i="189"/>
  <c r="F12" i="189"/>
  <c r="D12" i="189"/>
  <c r="A12" i="189"/>
  <c r="A13" i="189" s="1"/>
  <c r="A14" i="189" s="1"/>
  <c r="A15" i="189" s="1"/>
  <c r="A16" i="189" s="1"/>
  <c r="A17" i="189" s="1"/>
  <c r="P11" i="189"/>
  <c r="Q11" i="189" s="1"/>
  <c r="N11" i="189"/>
  <c r="M11" i="189"/>
  <c r="L11" i="189"/>
  <c r="K11" i="189"/>
  <c r="J11" i="189"/>
  <c r="H11" i="189"/>
  <c r="G11" i="189"/>
  <c r="F11" i="189"/>
  <c r="D11" i="189"/>
  <c r="I3" i="189"/>
  <c r="G3" i="189"/>
  <c r="E3" i="189"/>
  <c r="C3" i="189" s="1"/>
  <c r="I2" i="189"/>
  <c r="G2" i="189"/>
  <c r="I3" i="188"/>
  <c r="G3" i="188"/>
  <c r="E3" i="188"/>
  <c r="I2" i="188"/>
  <c r="G2" i="188"/>
  <c r="P18" i="187"/>
  <c r="Q18" i="187" s="1"/>
  <c r="N18" i="187"/>
  <c r="M18" i="187"/>
  <c r="L18" i="187"/>
  <c r="K18" i="187"/>
  <c r="J18" i="187"/>
  <c r="H18" i="187"/>
  <c r="G18" i="187"/>
  <c r="F18" i="187"/>
  <c r="P17" i="187"/>
  <c r="Q17" i="187" s="1"/>
  <c r="N17" i="187"/>
  <c r="M17" i="187"/>
  <c r="L17" i="187"/>
  <c r="K17" i="187"/>
  <c r="J17" i="187"/>
  <c r="H17" i="187"/>
  <c r="G17" i="187"/>
  <c r="F17" i="187"/>
  <c r="A17" i="187"/>
  <c r="A18" i="187" s="1"/>
  <c r="P16" i="187"/>
  <c r="Q16" i="187" s="1"/>
  <c r="N16" i="187"/>
  <c r="M16" i="187"/>
  <c r="L16" i="187"/>
  <c r="K16" i="187"/>
  <c r="J16" i="187"/>
  <c r="H16" i="187"/>
  <c r="G16" i="187"/>
  <c r="F16" i="187"/>
  <c r="P14" i="187"/>
  <c r="Q14" i="187" s="1"/>
  <c r="N14" i="187"/>
  <c r="M14" i="187"/>
  <c r="L14" i="187"/>
  <c r="K14" i="187"/>
  <c r="J14" i="187"/>
  <c r="H14" i="187"/>
  <c r="G14" i="187"/>
  <c r="F14" i="187"/>
  <c r="D14" i="187"/>
  <c r="P13" i="187"/>
  <c r="Q13" i="187" s="1"/>
  <c r="N13" i="187"/>
  <c r="M13" i="187"/>
  <c r="L13" i="187"/>
  <c r="K13" i="187"/>
  <c r="J13" i="187"/>
  <c r="H13" i="187"/>
  <c r="G13" i="187"/>
  <c r="F13" i="187"/>
  <c r="D13" i="187"/>
  <c r="P12" i="187"/>
  <c r="Q12" i="187" s="1"/>
  <c r="N12" i="187"/>
  <c r="M12" i="187"/>
  <c r="L12" i="187"/>
  <c r="K12" i="187"/>
  <c r="J12" i="187"/>
  <c r="H12" i="187"/>
  <c r="G12" i="187"/>
  <c r="F12" i="187"/>
  <c r="D12" i="187"/>
  <c r="P11" i="187"/>
  <c r="Q11" i="187" s="1"/>
  <c r="N11" i="187"/>
  <c r="M11" i="187"/>
  <c r="L11" i="187"/>
  <c r="K11" i="187"/>
  <c r="J11" i="187"/>
  <c r="H11" i="187"/>
  <c r="G11" i="187"/>
  <c r="F11" i="187"/>
  <c r="D11" i="187"/>
  <c r="A11" i="187"/>
  <c r="A12" i="187" s="1"/>
  <c r="A13" i="187" s="1"/>
  <c r="A14" i="187" s="1"/>
  <c r="P10" i="187"/>
  <c r="Q10" i="187" s="1"/>
  <c r="N10" i="187"/>
  <c r="M10" i="187"/>
  <c r="L10" i="187"/>
  <c r="K10" i="187"/>
  <c r="J10" i="187"/>
  <c r="H10" i="187"/>
  <c r="G10" i="187"/>
  <c r="F10" i="187"/>
  <c r="D10" i="187"/>
  <c r="I3" i="187"/>
  <c r="G3" i="187"/>
  <c r="E3" i="187"/>
  <c r="C3" i="187" s="1"/>
  <c r="I2" i="187"/>
  <c r="G2" i="187"/>
  <c r="C327" i="29"/>
  <c r="C328" i="29"/>
  <c r="C329" i="29"/>
  <c r="E327" i="29"/>
  <c r="E328" i="29"/>
  <c r="E329" i="29"/>
  <c r="D21" i="186"/>
  <c r="P35" i="186"/>
  <c r="Q35" i="186" s="1"/>
  <c r="N35" i="186"/>
  <c r="M35" i="186"/>
  <c r="L35" i="186"/>
  <c r="K35" i="186"/>
  <c r="J35" i="186"/>
  <c r="H35" i="186"/>
  <c r="G35" i="186"/>
  <c r="F35" i="186"/>
  <c r="P34" i="186"/>
  <c r="Q34" i="186" s="1"/>
  <c r="N34" i="186"/>
  <c r="M34" i="186"/>
  <c r="L34" i="186"/>
  <c r="K34" i="186"/>
  <c r="J34" i="186"/>
  <c r="H34" i="186"/>
  <c r="G34" i="186"/>
  <c r="F34" i="186"/>
  <c r="P33" i="186"/>
  <c r="Q33" i="186" s="1"/>
  <c r="N33" i="186"/>
  <c r="M33" i="186"/>
  <c r="L33" i="186"/>
  <c r="K33" i="186"/>
  <c r="J33" i="186"/>
  <c r="H33" i="186"/>
  <c r="G33" i="186"/>
  <c r="F33" i="186"/>
  <c r="P32" i="186"/>
  <c r="Q32" i="186" s="1"/>
  <c r="N32" i="186"/>
  <c r="M32" i="186"/>
  <c r="L32" i="186"/>
  <c r="K32" i="186"/>
  <c r="J32" i="186"/>
  <c r="H32" i="186"/>
  <c r="G32" i="186"/>
  <c r="F32" i="186"/>
  <c r="P31" i="186"/>
  <c r="Q31" i="186" s="1"/>
  <c r="N31" i="186"/>
  <c r="M31" i="186"/>
  <c r="L31" i="186"/>
  <c r="K31" i="186"/>
  <c r="J31" i="186"/>
  <c r="H31" i="186"/>
  <c r="G31" i="186"/>
  <c r="F31" i="186"/>
  <c r="A31" i="186"/>
  <c r="A32" i="186" s="1"/>
  <c r="A33" i="186" s="1"/>
  <c r="A34" i="186" s="1"/>
  <c r="A35" i="186" s="1"/>
  <c r="A36" i="186" s="1"/>
  <c r="A37" i="186" s="1"/>
  <c r="A38" i="186" s="1"/>
  <c r="A39" i="186" s="1"/>
  <c r="A40" i="186" s="1"/>
  <c r="P30" i="186"/>
  <c r="Q30" i="186" s="1"/>
  <c r="N30" i="186"/>
  <c r="M30" i="186"/>
  <c r="L30" i="186"/>
  <c r="K30" i="186"/>
  <c r="J30" i="186"/>
  <c r="H30" i="186"/>
  <c r="G30" i="186"/>
  <c r="F30" i="186"/>
  <c r="P25" i="186"/>
  <c r="Q25" i="186" s="1"/>
  <c r="N25" i="186"/>
  <c r="M25" i="186"/>
  <c r="L25" i="186"/>
  <c r="K25" i="186"/>
  <c r="J25" i="186"/>
  <c r="H25" i="186"/>
  <c r="G25" i="186"/>
  <c r="F25" i="186"/>
  <c r="D25" i="186"/>
  <c r="P24" i="186"/>
  <c r="Q24" i="186" s="1"/>
  <c r="N24" i="186"/>
  <c r="M24" i="186"/>
  <c r="L24" i="186"/>
  <c r="K24" i="186"/>
  <c r="J24" i="186"/>
  <c r="H24" i="186"/>
  <c r="G24" i="186"/>
  <c r="F24" i="186"/>
  <c r="D24" i="186"/>
  <c r="P23" i="186"/>
  <c r="Q23" i="186" s="1"/>
  <c r="N23" i="186"/>
  <c r="M23" i="186"/>
  <c r="L23" i="186"/>
  <c r="K23" i="186"/>
  <c r="J23" i="186"/>
  <c r="H23" i="186"/>
  <c r="G23" i="186"/>
  <c r="F23" i="186"/>
  <c r="D23" i="186"/>
  <c r="P22" i="186"/>
  <c r="Q22" i="186" s="1"/>
  <c r="N22" i="186"/>
  <c r="M22" i="186"/>
  <c r="L22" i="186"/>
  <c r="K22" i="186"/>
  <c r="J22" i="186"/>
  <c r="H22" i="186"/>
  <c r="G22" i="186"/>
  <c r="F22" i="186"/>
  <c r="D22" i="186"/>
  <c r="P21" i="186"/>
  <c r="Q21" i="186" s="1"/>
  <c r="N21" i="186"/>
  <c r="M21" i="186"/>
  <c r="L21" i="186"/>
  <c r="K21" i="186"/>
  <c r="J21" i="186"/>
  <c r="H21" i="186"/>
  <c r="G21" i="186"/>
  <c r="F21" i="186"/>
  <c r="P20" i="186"/>
  <c r="Q20" i="186" s="1"/>
  <c r="N20" i="186"/>
  <c r="M20" i="186"/>
  <c r="L20" i="186"/>
  <c r="K20" i="186"/>
  <c r="J20" i="186"/>
  <c r="H20" i="186"/>
  <c r="G20" i="186"/>
  <c r="F20" i="186"/>
  <c r="D20" i="186"/>
  <c r="P19" i="186"/>
  <c r="Q19" i="186" s="1"/>
  <c r="N19" i="186"/>
  <c r="M19" i="186"/>
  <c r="L19" i="186"/>
  <c r="K19" i="186"/>
  <c r="J19" i="186"/>
  <c r="H19" i="186"/>
  <c r="G19" i="186"/>
  <c r="F19" i="186"/>
  <c r="D19" i="186"/>
  <c r="P18" i="186"/>
  <c r="Q18" i="186" s="1"/>
  <c r="N18" i="186"/>
  <c r="M18" i="186"/>
  <c r="L18" i="186"/>
  <c r="K18" i="186"/>
  <c r="J18" i="186"/>
  <c r="H18" i="186"/>
  <c r="G18" i="186"/>
  <c r="F18" i="186"/>
  <c r="D18" i="186"/>
  <c r="P17" i="186"/>
  <c r="Q17" i="186" s="1"/>
  <c r="N17" i="186"/>
  <c r="M17" i="186"/>
  <c r="L17" i="186"/>
  <c r="K17" i="186"/>
  <c r="J17" i="186"/>
  <c r="H17" i="186"/>
  <c r="G17" i="186"/>
  <c r="F17" i="186"/>
  <c r="D17" i="186"/>
  <c r="A17" i="186"/>
  <c r="A18" i="186" s="1"/>
  <c r="A19" i="186" s="1"/>
  <c r="A20" i="186" s="1"/>
  <c r="A21" i="186" s="1"/>
  <c r="A22" i="186" s="1"/>
  <c r="A23" i="186" s="1"/>
  <c r="A24" i="186" s="1"/>
  <c r="A25" i="186" s="1"/>
  <c r="A26" i="186" s="1"/>
  <c r="A27" i="186" s="1"/>
  <c r="A28" i="186" s="1"/>
  <c r="P16" i="186"/>
  <c r="Q16" i="186" s="1"/>
  <c r="N16" i="186"/>
  <c r="M16" i="186"/>
  <c r="L16" i="186"/>
  <c r="K16" i="186"/>
  <c r="J16" i="186"/>
  <c r="H16" i="186"/>
  <c r="G16" i="186"/>
  <c r="F16" i="186"/>
  <c r="D16" i="186"/>
  <c r="I3" i="186"/>
  <c r="G3" i="186"/>
  <c r="E3" i="186"/>
  <c r="I2" i="186"/>
  <c r="G2" i="186"/>
  <c r="U9" i="29"/>
  <c r="P15" i="164"/>
  <c r="Q15" i="164" s="1"/>
  <c r="N15" i="164"/>
  <c r="M15" i="164"/>
  <c r="L15" i="164"/>
  <c r="K15" i="164"/>
  <c r="J15" i="164"/>
  <c r="H15" i="164"/>
  <c r="G15" i="164"/>
  <c r="F15" i="164"/>
  <c r="P70" i="149"/>
  <c r="Q70" i="149" s="1"/>
  <c r="N70" i="149"/>
  <c r="M70" i="149"/>
  <c r="L70" i="149"/>
  <c r="K70" i="149"/>
  <c r="J70" i="149"/>
  <c r="H70" i="149"/>
  <c r="G70" i="149"/>
  <c r="F70" i="149"/>
  <c r="P69" i="149"/>
  <c r="Q69" i="149" s="1"/>
  <c r="N69" i="149"/>
  <c r="M69" i="149"/>
  <c r="L69" i="149"/>
  <c r="K69" i="149"/>
  <c r="J69" i="149"/>
  <c r="H69" i="149"/>
  <c r="G69" i="149"/>
  <c r="F69" i="149"/>
  <c r="F33" i="56"/>
  <c r="G33" i="56"/>
  <c r="H33" i="56"/>
  <c r="J33" i="56"/>
  <c r="K33" i="56"/>
  <c r="L33" i="56"/>
  <c r="M33" i="56"/>
  <c r="N33" i="56"/>
  <c r="F34" i="56"/>
  <c r="G34" i="56"/>
  <c r="H34" i="56"/>
  <c r="J34" i="56"/>
  <c r="K34" i="56"/>
  <c r="L34" i="56"/>
  <c r="M34" i="56"/>
  <c r="N34" i="56"/>
  <c r="F35" i="56"/>
  <c r="G35" i="56"/>
  <c r="H35" i="56"/>
  <c r="J35" i="56"/>
  <c r="K35" i="56"/>
  <c r="L35" i="56"/>
  <c r="M35" i="56"/>
  <c r="N35" i="56"/>
  <c r="F36" i="56"/>
  <c r="G36" i="56"/>
  <c r="H36" i="56"/>
  <c r="J36" i="56"/>
  <c r="K36" i="56"/>
  <c r="L36" i="56"/>
  <c r="M36" i="56"/>
  <c r="N36" i="56"/>
  <c r="F37" i="56"/>
  <c r="G37" i="56"/>
  <c r="H37" i="56"/>
  <c r="J37" i="56"/>
  <c r="K37" i="56"/>
  <c r="L37" i="56"/>
  <c r="M37" i="56"/>
  <c r="N37" i="56"/>
  <c r="F38" i="56"/>
  <c r="G38" i="56"/>
  <c r="H38" i="56"/>
  <c r="J38" i="56"/>
  <c r="K38" i="56"/>
  <c r="L38" i="56"/>
  <c r="M38" i="56"/>
  <c r="N38" i="56"/>
  <c r="F22" i="56"/>
  <c r="G22" i="56"/>
  <c r="H22" i="56"/>
  <c r="J22" i="56"/>
  <c r="K22" i="56"/>
  <c r="L22" i="56"/>
  <c r="M22" i="56"/>
  <c r="N22" i="56"/>
  <c r="F23" i="56"/>
  <c r="G23" i="56"/>
  <c r="H23" i="56"/>
  <c r="J23" i="56"/>
  <c r="K23" i="56"/>
  <c r="L23" i="56"/>
  <c r="M23" i="56"/>
  <c r="N23" i="56"/>
  <c r="F24" i="56"/>
  <c r="G24" i="56"/>
  <c r="H24" i="56"/>
  <c r="J24" i="56"/>
  <c r="K24" i="56"/>
  <c r="L24" i="56"/>
  <c r="M24" i="56"/>
  <c r="N24" i="56"/>
  <c r="F25" i="56"/>
  <c r="G25" i="56"/>
  <c r="H25" i="56"/>
  <c r="J25" i="56"/>
  <c r="K25" i="56"/>
  <c r="L25" i="56"/>
  <c r="M25" i="56"/>
  <c r="N25" i="56"/>
  <c r="F26" i="56"/>
  <c r="G26" i="56"/>
  <c r="H26" i="56"/>
  <c r="J26" i="56"/>
  <c r="K26" i="56"/>
  <c r="L26" i="56"/>
  <c r="M26" i="56"/>
  <c r="N26" i="56"/>
  <c r="F27" i="56"/>
  <c r="G27" i="56"/>
  <c r="H27" i="56"/>
  <c r="J27" i="56"/>
  <c r="K27" i="56"/>
  <c r="L27" i="56"/>
  <c r="M27" i="56"/>
  <c r="N27" i="56"/>
  <c r="F28" i="56"/>
  <c r="G28" i="56"/>
  <c r="H28" i="56"/>
  <c r="J28" i="56"/>
  <c r="K28" i="56"/>
  <c r="L28" i="56"/>
  <c r="M28" i="56"/>
  <c r="N28" i="56"/>
  <c r="F29" i="56"/>
  <c r="G29" i="56"/>
  <c r="H29" i="56"/>
  <c r="J29" i="56"/>
  <c r="K29" i="56"/>
  <c r="L29" i="56"/>
  <c r="M29" i="56"/>
  <c r="N29" i="56"/>
  <c r="F30" i="56"/>
  <c r="G30" i="56"/>
  <c r="H30" i="56"/>
  <c r="J30" i="56"/>
  <c r="K30" i="56"/>
  <c r="L30" i="56"/>
  <c r="M30" i="56"/>
  <c r="N30" i="56"/>
  <c r="F31" i="56"/>
  <c r="G31" i="56"/>
  <c r="H31" i="56"/>
  <c r="J31" i="56"/>
  <c r="K31" i="56"/>
  <c r="L31" i="56"/>
  <c r="M31" i="56"/>
  <c r="N31" i="56"/>
  <c r="F10" i="85"/>
  <c r="G10" i="85"/>
  <c r="H10" i="85"/>
  <c r="J10" i="85"/>
  <c r="K10" i="85"/>
  <c r="L10" i="85"/>
  <c r="M10" i="85"/>
  <c r="N10" i="85"/>
  <c r="F11" i="85"/>
  <c r="G11" i="85"/>
  <c r="H11" i="85"/>
  <c r="J11" i="85"/>
  <c r="K11" i="85"/>
  <c r="L11" i="85"/>
  <c r="M11" i="85"/>
  <c r="N11" i="85"/>
  <c r="K29" i="112"/>
  <c r="K28" i="112"/>
  <c r="K27" i="112"/>
  <c r="K26" i="112"/>
  <c r="K25" i="112"/>
  <c r="K24" i="112"/>
  <c r="K23" i="112"/>
  <c r="K22" i="112"/>
  <c r="K21" i="112"/>
  <c r="K20" i="112"/>
  <c r="K19" i="112"/>
  <c r="K18" i="112"/>
  <c r="K17" i="112"/>
  <c r="K16" i="112"/>
  <c r="K15" i="112"/>
  <c r="K14" i="112"/>
  <c r="K32" i="141"/>
  <c r="K31" i="141"/>
  <c r="K30" i="141"/>
  <c r="K29" i="141"/>
  <c r="K28" i="141"/>
  <c r="K27" i="141"/>
  <c r="K26" i="141"/>
  <c r="K25" i="141"/>
  <c r="K8" i="120"/>
  <c r="K7" i="120"/>
  <c r="K6" i="120"/>
  <c r="K5" i="120"/>
  <c r="C346" i="29"/>
  <c r="C347" i="29"/>
  <c r="C310" i="29"/>
  <c r="C311" i="29"/>
  <c r="C312" i="29"/>
  <c r="C313" i="29"/>
  <c r="C314" i="29"/>
  <c r="C315" i="29"/>
  <c r="C316" i="29"/>
  <c r="C317" i="29"/>
  <c r="C318" i="29"/>
  <c r="C319" i="29"/>
  <c r="C320" i="29"/>
  <c r="C321" i="29"/>
  <c r="C322" i="29"/>
  <c r="C323" i="29"/>
  <c r="C324" i="29"/>
  <c r="C325" i="29"/>
  <c r="C326" i="29"/>
  <c r="E346" i="29"/>
  <c r="E347" i="29"/>
  <c r="E310" i="29"/>
  <c r="E311" i="29"/>
  <c r="E312" i="29"/>
  <c r="E313" i="29"/>
  <c r="E314" i="29"/>
  <c r="E315" i="29"/>
  <c r="E316" i="29"/>
  <c r="E317" i="29"/>
  <c r="E318" i="29"/>
  <c r="E319" i="29"/>
  <c r="E320" i="29"/>
  <c r="E321" i="29"/>
  <c r="E322" i="29"/>
  <c r="E323" i="29"/>
  <c r="E324" i="29"/>
  <c r="E325" i="29"/>
  <c r="E326" i="29"/>
  <c r="P20" i="184"/>
  <c r="Q20" i="184" s="1"/>
  <c r="D20" i="184"/>
  <c r="A20" i="184"/>
  <c r="P19" i="184"/>
  <c r="Q19" i="184" s="1"/>
  <c r="D19" i="184"/>
  <c r="P17" i="184"/>
  <c r="Q17" i="184" s="1"/>
  <c r="N17" i="184"/>
  <c r="M17" i="184"/>
  <c r="L17" i="184"/>
  <c r="K17" i="184"/>
  <c r="J17" i="184"/>
  <c r="H17" i="184"/>
  <c r="G17" i="184"/>
  <c r="F17" i="184"/>
  <c r="A17" i="184"/>
  <c r="P16" i="184"/>
  <c r="Q16" i="184" s="1"/>
  <c r="N16" i="184"/>
  <c r="M16" i="184"/>
  <c r="L16" i="184"/>
  <c r="K16" i="184"/>
  <c r="J16" i="184"/>
  <c r="H16" i="184"/>
  <c r="G16" i="184"/>
  <c r="F16" i="184"/>
  <c r="P14" i="184"/>
  <c r="Q14" i="184" s="1"/>
  <c r="N14" i="184"/>
  <c r="M14" i="184"/>
  <c r="L14" i="184"/>
  <c r="K14" i="184"/>
  <c r="J14" i="184"/>
  <c r="H14" i="184"/>
  <c r="G14" i="184"/>
  <c r="F14" i="184"/>
  <c r="D14" i="184"/>
  <c r="P13" i="184"/>
  <c r="Q13" i="184" s="1"/>
  <c r="N13" i="184"/>
  <c r="M13" i="184"/>
  <c r="L13" i="184"/>
  <c r="K13" i="184"/>
  <c r="J13" i="184"/>
  <c r="H13" i="184"/>
  <c r="G13" i="184"/>
  <c r="F13" i="184"/>
  <c r="D13" i="184"/>
  <c r="P12" i="184"/>
  <c r="Q12" i="184" s="1"/>
  <c r="N12" i="184"/>
  <c r="M12" i="184"/>
  <c r="L12" i="184"/>
  <c r="K12" i="184"/>
  <c r="J12" i="184"/>
  <c r="H12" i="184"/>
  <c r="G12" i="184"/>
  <c r="F12" i="184"/>
  <c r="D12" i="184"/>
  <c r="P11" i="184"/>
  <c r="Q11" i="184" s="1"/>
  <c r="N11" i="184"/>
  <c r="M11" i="184"/>
  <c r="L11" i="184"/>
  <c r="K11" i="184"/>
  <c r="J11" i="184"/>
  <c r="H11" i="184"/>
  <c r="G11" i="184"/>
  <c r="F11" i="184"/>
  <c r="D11" i="184"/>
  <c r="P10" i="184"/>
  <c r="Q10" i="184" s="1"/>
  <c r="N10" i="184"/>
  <c r="M10" i="184"/>
  <c r="L10" i="184"/>
  <c r="K10" i="184"/>
  <c r="J10" i="184"/>
  <c r="H10" i="184"/>
  <c r="G10" i="184"/>
  <c r="F10" i="184"/>
  <c r="D10" i="184"/>
  <c r="A10" i="184"/>
  <c r="A11" i="184" s="1"/>
  <c r="A12" i="184" s="1"/>
  <c r="A13" i="184" s="1"/>
  <c r="A14" i="184" s="1"/>
  <c r="P9" i="184"/>
  <c r="Q9" i="184" s="1"/>
  <c r="N9" i="184"/>
  <c r="M9" i="184"/>
  <c r="L9" i="184"/>
  <c r="K9" i="184"/>
  <c r="J9" i="184"/>
  <c r="H9" i="184"/>
  <c r="G9" i="184"/>
  <c r="F9" i="184"/>
  <c r="D9" i="184"/>
  <c r="I3" i="184"/>
  <c r="G3" i="184"/>
  <c r="E3" i="184"/>
  <c r="C3" i="184" s="1"/>
  <c r="I2" i="184"/>
  <c r="G2" i="184"/>
  <c r="E73" i="29"/>
  <c r="C73" i="29"/>
  <c r="E72" i="29"/>
  <c r="C72" i="29"/>
  <c r="E71" i="29"/>
  <c r="C71" i="29"/>
  <c r="E70" i="29"/>
  <c r="C70" i="29"/>
  <c r="E69" i="29"/>
  <c r="C69" i="29"/>
  <c r="E68" i="29"/>
  <c r="C68" i="29"/>
  <c r="E67" i="29"/>
  <c r="C67" i="29"/>
  <c r="C333" i="29"/>
  <c r="C334" i="29"/>
  <c r="C335" i="29"/>
  <c r="C304" i="29"/>
  <c r="C305" i="29"/>
  <c r="C306" i="29"/>
  <c r="C307" i="29"/>
  <c r="C308" i="29"/>
  <c r="C309" i="29"/>
  <c r="E333" i="29"/>
  <c r="E334" i="29"/>
  <c r="E335" i="29"/>
  <c r="E304" i="29"/>
  <c r="E305" i="29"/>
  <c r="E306" i="29"/>
  <c r="E307" i="29"/>
  <c r="E308" i="29"/>
  <c r="E309" i="29"/>
  <c r="U53" i="30"/>
  <c r="O53" i="30" s="1"/>
  <c r="F53" i="30" s="1"/>
  <c r="P70" i="141" s="1"/>
  <c r="Q70" i="141" s="1"/>
  <c r="U2" i="30"/>
  <c r="O2" i="30" s="1"/>
  <c r="F2" i="30" s="1"/>
  <c r="U35" i="30"/>
  <c r="O35" i="30" s="1"/>
  <c r="F35" i="30" s="1"/>
  <c r="P18" i="144" s="1"/>
  <c r="U34" i="30"/>
  <c r="O34" i="30" s="1"/>
  <c r="F34" i="30" s="1"/>
  <c r="P19" i="144" s="1"/>
  <c r="U32" i="30"/>
  <c r="O32" i="30" s="1"/>
  <c r="F32" i="30" s="1"/>
  <c r="U72" i="30"/>
  <c r="O72" i="30" s="1"/>
  <c r="F72" i="30" s="1"/>
  <c r="P65" i="146" s="1"/>
  <c r="U68" i="30"/>
  <c r="O68" i="30" s="1"/>
  <c r="F68" i="30" s="1"/>
  <c r="P66" i="146" s="1"/>
  <c r="U85" i="30"/>
  <c r="O85" i="30" s="1"/>
  <c r="F85" i="30" s="1"/>
  <c r="P67" i="146" s="1"/>
  <c r="U78" i="30"/>
  <c r="O78" i="30" s="1"/>
  <c r="F78" i="30" s="1"/>
  <c r="P72" i="141" s="1"/>
  <c r="Q72" i="141" s="1"/>
  <c r="U49" i="30"/>
  <c r="O49" i="30" s="1"/>
  <c r="F49" i="30" s="1"/>
  <c r="D34" i="99"/>
  <c r="D33" i="99"/>
  <c r="D32" i="99"/>
  <c r="D31" i="99"/>
  <c r="D25" i="99"/>
  <c r="D24" i="99"/>
  <c r="D21" i="99"/>
  <c r="D20" i="99"/>
  <c r="P31" i="202" l="1"/>
  <c r="Q31" i="202" s="1"/>
  <c r="P30" i="202"/>
  <c r="Q30" i="202" s="1"/>
  <c r="P29" i="202"/>
  <c r="Q29" i="202" s="1"/>
  <c r="P32" i="202"/>
  <c r="Q32" i="202" s="1"/>
  <c r="P28" i="202"/>
  <c r="Q28" i="202" s="1"/>
  <c r="P71" i="141"/>
  <c r="Q71" i="141" s="1"/>
  <c r="P38" i="112"/>
  <c r="Q38" i="112" s="1"/>
  <c r="P19" i="140"/>
  <c r="P20" i="140"/>
  <c r="P71" i="146"/>
  <c r="P72" i="146"/>
  <c r="Q72" i="146" s="1"/>
  <c r="P20" i="144"/>
  <c r="P18" i="140"/>
  <c r="P68" i="146"/>
  <c r="P69" i="146"/>
  <c r="P70" i="146"/>
  <c r="C3" i="190"/>
  <c r="C3" i="188"/>
  <c r="C3" i="186"/>
  <c r="E203" i="29"/>
  <c r="E204" i="29"/>
  <c r="C203" i="29"/>
  <c r="C204" i="29"/>
  <c r="C199" i="29"/>
  <c r="C207" i="29"/>
  <c r="C208" i="29"/>
  <c r="C209" i="29"/>
  <c r="C210" i="29"/>
  <c r="C211" i="29"/>
  <c r="C212" i="29"/>
  <c r="C213" i="29"/>
  <c r="C214" i="29"/>
  <c r="C215" i="29"/>
  <c r="C216" i="29"/>
  <c r="C217" i="29"/>
  <c r="C218" i="29"/>
  <c r="C219" i="29"/>
  <c r="C220" i="29"/>
  <c r="C221" i="29"/>
  <c r="C222" i="29"/>
  <c r="C223" i="29"/>
  <c r="C224" i="29"/>
  <c r="C225" i="29"/>
  <c r="C226" i="29"/>
  <c r="C227" i="29"/>
  <c r="C228" i="29"/>
  <c r="C229" i="29"/>
  <c r="C230" i="29"/>
  <c r="C231" i="29"/>
  <c r="C232" i="29"/>
  <c r="C233" i="29"/>
  <c r="C234" i="29"/>
  <c r="C235" i="29"/>
  <c r="C238" i="29"/>
  <c r="C240" i="29"/>
  <c r="C241" i="29"/>
  <c r="C202" i="29"/>
  <c r="E207" i="29"/>
  <c r="E208" i="29"/>
  <c r="E209" i="29"/>
  <c r="E210" i="29"/>
  <c r="E211" i="29"/>
  <c r="E212" i="29"/>
  <c r="E213" i="29"/>
  <c r="E214" i="29"/>
  <c r="E215" i="29"/>
  <c r="E216" i="29"/>
  <c r="E217" i="29"/>
  <c r="E218" i="29"/>
  <c r="E219" i="29"/>
  <c r="E220" i="29"/>
  <c r="E221" i="29"/>
  <c r="E222" i="29"/>
  <c r="E223" i="29"/>
  <c r="E224" i="29"/>
  <c r="E225" i="29"/>
  <c r="E226" i="29"/>
  <c r="E227" i="29"/>
  <c r="E228" i="29"/>
  <c r="E229" i="29"/>
  <c r="E231" i="29"/>
  <c r="E232" i="29"/>
  <c r="E233" i="29"/>
  <c r="E234" i="29"/>
  <c r="E235" i="29"/>
  <c r="E238" i="29"/>
  <c r="E240" i="29"/>
  <c r="E241" i="29"/>
  <c r="E202" i="29"/>
  <c r="E184" i="29"/>
  <c r="E176" i="29"/>
  <c r="E177" i="29"/>
  <c r="E178" i="29"/>
  <c r="E179" i="29"/>
  <c r="E180" i="29"/>
  <c r="E181" i="29"/>
  <c r="E182" i="29"/>
  <c r="E183" i="29"/>
  <c r="C174" i="29"/>
  <c r="C175" i="29"/>
  <c r="C176" i="29"/>
  <c r="C177" i="29"/>
  <c r="C178" i="29"/>
  <c r="C179" i="29"/>
  <c r="C180" i="29"/>
  <c r="C181" i="29"/>
  <c r="C182" i="29"/>
  <c r="C183" i="29"/>
  <c r="C184" i="29"/>
  <c r="C185" i="29"/>
  <c r="C186" i="29"/>
  <c r="C187" i="29"/>
  <c r="C188" i="29"/>
  <c r="C189" i="29"/>
  <c r="C190" i="29"/>
  <c r="C191" i="29"/>
  <c r="C192" i="29"/>
  <c r="C193" i="29"/>
  <c r="C194" i="29"/>
  <c r="C195" i="29"/>
  <c r="C201" i="29"/>
  <c r="C205" i="29"/>
  <c r="C206" i="29"/>
  <c r="E174" i="29"/>
  <c r="E185" i="29"/>
  <c r="E186" i="29"/>
  <c r="E187" i="29"/>
  <c r="E188" i="29"/>
  <c r="E189" i="29"/>
  <c r="E190" i="29"/>
  <c r="E191" i="29"/>
  <c r="E192" i="29"/>
  <c r="E193" i="29"/>
  <c r="E194" i="29"/>
  <c r="E195" i="29"/>
  <c r="E199" i="29"/>
  <c r="E201" i="29"/>
  <c r="E205" i="29"/>
  <c r="E206" i="29"/>
  <c r="P26" i="136"/>
  <c r="Q26" i="136" s="1"/>
  <c r="N26" i="136"/>
  <c r="M26" i="136"/>
  <c r="L26" i="136"/>
  <c r="K26" i="136"/>
  <c r="J26" i="136"/>
  <c r="H26" i="136"/>
  <c r="G26" i="136"/>
  <c r="F26" i="136"/>
  <c r="C64" i="29"/>
  <c r="E64" i="29"/>
  <c r="D7" i="183"/>
  <c r="F7" i="183"/>
  <c r="G7" i="183"/>
  <c r="H7" i="183"/>
  <c r="J7" i="183"/>
  <c r="K7" i="183"/>
  <c r="L7" i="183"/>
  <c r="M7" i="183"/>
  <c r="N7" i="183"/>
  <c r="P7" i="183"/>
  <c r="Q7" i="183" s="1"/>
  <c r="A8" i="183"/>
  <c r="D8" i="183"/>
  <c r="F8" i="183"/>
  <c r="G8" i="183"/>
  <c r="H8" i="183"/>
  <c r="J8" i="183"/>
  <c r="K8" i="183"/>
  <c r="L8" i="183"/>
  <c r="M8" i="183"/>
  <c r="N8" i="183"/>
  <c r="P8" i="183"/>
  <c r="Q8" i="183" s="1"/>
  <c r="F10" i="183"/>
  <c r="G10" i="183"/>
  <c r="H10" i="183"/>
  <c r="J10" i="183"/>
  <c r="K10" i="183"/>
  <c r="L10" i="183"/>
  <c r="M10" i="183"/>
  <c r="N10" i="183"/>
  <c r="P10" i="183"/>
  <c r="Q10" i="183" s="1"/>
  <c r="A11" i="183"/>
  <c r="F11" i="183"/>
  <c r="G11" i="183"/>
  <c r="H11" i="183"/>
  <c r="J11" i="183"/>
  <c r="K11" i="183"/>
  <c r="L11" i="183"/>
  <c r="M11" i="183"/>
  <c r="N11" i="183"/>
  <c r="P11" i="183"/>
  <c r="Q11" i="183" s="1"/>
  <c r="G2" i="183"/>
  <c r="I2" i="183"/>
  <c r="E3" i="183"/>
  <c r="G3" i="183"/>
  <c r="I3" i="183"/>
  <c r="C167" i="29"/>
  <c r="E167" i="29"/>
  <c r="C3" i="183" l="1"/>
  <c r="J27" i="134"/>
  <c r="K27" i="134"/>
  <c r="L27" i="134"/>
  <c r="M27" i="134"/>
  <c r="N27" i="134"/>
  <c r="P27" i="134"/>
  <c r="Q27" i="134" s="1"/>
  <c r="F27" i="134"/>
  <c r="G27" i="134"/>
  <c r="H27" i="134"/>
  <c r="D27" i="134"/>
  <c r="J12" i="122"/>
  <c r="K12" i="122"/>
  <c r="L12" i="122"/>
  <c r="M12" i="122"/>
  <c r="N12" i="122"/>
  <c r="P12" i="122"/>
  <c r="Q12" i="122" s="1"/>
  <c r="F12" i="122"/>
  <c r="G12" i="122"/>
  <c r="H12" i="122"/>
  <c r="D12" i="122"/>
  <c r="J14" i="62"/>
  <c r="K14" i="62"/>
  <c r="L14" i="62"/>
  <c r="M14" i="62"/>
  <c r="N14" i="62"/>
  <c r="P14" i="62"/>
  <c r="Q14" i="62" s="1"/>
  <c r="F14" i="62"/>
  <c r="G14" i="62"/>
  <c r="H14" i="62"/>
  <c r="E7" i="29"/>
  <c r="E8" i="29"/>
  <c r="E12" i="29"/>
  <c r="E13" i="29"/>
  <c r="E42" i="29"/>
  <c r="E43" i="29"/>
  <c r="E44" i="29"/>
  <c r="E45" i="29"/>
  <c r="E46" i="29"/>
  <c r="E47" i="29"/>
  <c r="E48" i="29"/>
  <c r="E49" i="29"/>
  <c r="E50" i="29"/>
  <c r="E51" i="29"/>
  <c r="E52" i="29"/>
  <c r="E55" i="29"/>
  <c r="E56" i="29"/>
  <c r="E57" i="29"/>
  <c r="E59" i="29"/>
  <c r="E89" i="29"/>
  <c r="E105" i="29"/>
  <c r="E106" i="29"/>
  <c r="E107" i="29"/>
  <c r="E108" i="29"/>
  <c r="E111" i="29"/>
  <c r="E119" i="29"/>
  <c r="E148" i="29"/>
  <c r="C83" i="29"/>
  <c r="E83" i="29"/>
  <c r="C286" i="29"/>
  <c r="C287" i="29"/>
  <c r="E286" i="29"/>
  <c r="E287" i="29"/>
  <c r="P13" i="182"/>
  <c r="Q13" i="182" s="1"/>
  <c r="N13" i="182"/>
  <c r="M13" i="182"/>
  <c r="L13" i="182"/>
  <c r="K13" i="182"/>
  <c r="J13" i="182"/>
  <c r="H13" i="182"/>
  <c r="G13" i="182"/>
  <c r="F13" i="182"/>
  <c r="P11" i="182"/>
  <c r="Q11" i="182" s="1"/>
  <c r="N11" i="182"/>
  <c r="M11" i="182"/>
  <c r="L11" i="182"/>
  <c r="K11" i="182"/>
  <c r="J11" i="182"/>
  <c r="H11" i="182"/>
  <c r="G11" i="182"/>
  <c r="F11" i="182"/>
  <c r="D11" i="182"/>
  <c r="P10" i="182"/>
  <c r="Q10" i="182" s="1"/>
  <c r="N10" i="182"/>
  <c r="M10" i="182"/>
  <c r="L10" i="182"/>
  <c r="K10" i="182"/>
  <c r="J10" i="182"/>
  <c r="H10" i="182"/>
  <c r="G10" i="182"/>
  <c r="F10" i="182"/>
  <c r="D10" i="182"/>
  <c r="P9" i="182"/>
  <c r="Q9" i="182" s="1"/>
  <c r="N9" i="182"/>
  <c r="M9" i="182"/>
  <c r="L9" i="182"/>
  <c r="K9" i="182"/>
  <c r="J9" i="182"/>
  <c r="H9" i="182"/>
  <c r="G9" i="182"/>
  <c r="F9" i="182"/>
  <c r="D9" i="182"/>
  <c r="P8" i="182"/>
  <c r="Q8" i="182" s="1"/>
  <c r="N8" i="182"/>
  <c r="M8" i="182"/>
  <c r="L8" i="182"/>
  <c r="K8" i="182"/>
  <c r="J8" i="182"/>
  <c r="H8" i="182"/>
  <c r="G8" i="182"/>
  <c r="F8" i="182"/>
  <c r="D8" i="182"/>
  <c r="A9" i="182"/>
  <c r="A10" i="182" s="1"/>
  <c r="A11" i="182" s="1"/>
  <c r="I3" i="182"/>
  <c r="G3" i="182"/>
  <c r="E3" i="182"/>
  <c r="C3" i="182" s="1"/>
  <c r="I2" i="182"/>
  <c r="G2" i="182"/>
  <c r="P13" i="181"/>
  <c r="Q13" i="181" s="1"/>
  <c r="N13" i="181"/>
  <c r="M13" i="181"/>
  <c r="L13" i="181"/>
  <c r="K13" i="181"/>
  <c r="J13" i="181"/>
  <c r="H13" i="181"/>
  <c r="G13" i="181"/>
  <c r="F13" i="181"/>
  <c r="P11" i="181"/>
  <c r="Q11" i="181" s="1"/>
  <c r="N11" i="181"/>
  <c r="M11" i="181"/>
  <c r="L11" i="181"/>
  <c r="K11" i="181"/>
  <c r="J11" i="181"/>
  <c r="H11" i="181"/>
  <c r="G11" i="181"/>
  <c r="F11" i="181"/>
  <c r="D11" i="181"/>
  <c r="P9" i="181"/>
  <c r="Q9" i="181" s="1"/>
  <c r="N9" i="181"/>
  <c r="M9" i="181"/>
  <c r="L9" i="181"/>
  <c r="K9" i="181"/>
  <c r="J9" i="181"/>
  <c r="H9" i="181"/>
  <c r="G9" i="181"/>
  <c r="F9" i="181"/>
  <c r="D9" i="181"/>
  <c r="P8" i="181"/>
  <c r="Q8" i="181" s="1"/>
  <c r="N8" i="181"/>
  <c r="M8" i="181"/>
  <c r="L8" i="181"/>
  <c r="K8" i="181"/>
  <c r="J8" i="181"/>
  <c r="H8" i="181"/>
  <c r="G8" i="181"/>
  <c r="F8" i="181"/>
  <c r="D8" i="181"/>
  <c r="A9" i="181"/>
  <c r="A10" i="181" s="1"/>
  <c r="A11" i="181" s="1"/>
  <c r="I3" i="181"/>
  <c r="G3" i="181"/>
  <c r="E3" i="181"/>
  <c r="C3" i="181" s="1"/>
  <c r="I2" i="181"/>
  <c r="G2" i="181"/>
  <c r="C108" i="29"/>
  <c r="U23" i="30"/>
  <c r="O23" i="30" s="1"/>
  <c r="F23" i="30" s="1"/>
  <c r="C107" i="29"/>
  <c r="P16" i="69"/>
  <c r="Q16" i="69" s="1"/>
  <c r="D22" i="180"/>
  <c r="P20" i="180"/>
  <c r="Q20" i="180" s="1"/>
  <c r="N20" i="180"/>
  <c r="M20" i="180"/>
  <c r="L20" i="180"/>
  <c r="K20" i="180"/>
  <c r="J20" i="180"/>
  <c r="H20" i="180"/>
  <c r="G20" i="180"/>
  <c r="F20" i="180"/>
  <c r="P19" i="180"/>
  <c r="Q19" i="180" s="1"/>
  <c r="N19" i="180"/>
  <c r="M19" i="180"/>
  <c r="L19" i="180"/>
  <c r="K19" i="180"/>
  <c r="J19" i="180"/>
  <c r="H19" i="180"/>
  <c r="G19" i="180"/>
  <c r="F19" i="180"/>
  <c r="P18" i="180"/>
  <c r="Q18" i="180" s="1"/>
  <c r="N18" i="180"/>
  <c r="M18" i="180"/>
  <c r="L18" i="180"/>
  <c r="K18" i="180"/>
  <c r="J18" i="180"/>
  <c r="H18" i="180"/>
  <c r="G18" i="180"/>
  <c r="F18" i="180"/>
  <c r="A18" i="180"/>
  <c r="A19" i="180" s="1"/>
  <c r="A20" i="180" s="1"/>
  <c r="P17" i="180"/>
  <c r="Q17" i="180" s="1"/>
  <c r="N17" i="180"/>
  <c r="M17" i="180"/>
  <c r="L17" i="180"/>
  <c r="K17" i="180"/>
  <c r="J17" i="180"/>
  <c r="H17" i="180"/>
  <c r="G17" i="180"/>
  <c r="F17" i="180"/>
  <c r="P14" i="180"/>
  <c r="Q14" i="180" s="1"/>
  <c r="N14" i="180"/>
  <c r="M14" i="180"/>
  <c r="L14" i="180"/>
  <c r="K14" i="180"/>
  <c r="J14" i="180"/>
  <c r="H14" i="180"/>
  <c r="G14" i="180"/>
  <c r="F14" i="180"/>
  <c r="D14" i="180"/>
  <c r="P13" i="180"/>
  <c r="Q13" i="180" s="1"/>
  <c r="N13" i="180"/>
  <c r="M13" i="180"/>
  <c r="L13" i="180"/>
  <c r="K13" i="180"/>
  <c r="J13" i="180"/>
  <c r="H13" i="180"/>
  <c r="G13" i="180"/>
  <c r="F13" i="180"/>
  <c r="D13" i="180"/>
  <c r="P12" i="180"/>
  <c r="Q12" i="180" s="1"/>
  <c r="N12" i="180"/>
  <c r="M12" i="180"/>
  <c r="L12" i="180"/>
  <c r="K12" i="180"/>
  <c r="J12" i="180"/>
  <c r="H12" i="180"/>
  <c r="G12" i="180"/>
  <c r="F12" i="180"/>
  <c r="D12" i="180"/>
  <c r="P11" i="180"/>
  <c r="Q11" i="180" s="1"/>
  <c r="N11" i="180"/>
  <c r="M11" i="180"/>
  <c r="L11" i="180"/>
  <c r="K11" i="180"/>
  <c r="J11" i="180"/>
  <c r="H11" i="180"/>
  <c r="G11" i="180"/>
  <c r="F11" i="180"/>
  <c r="D11" i="180"/>
  <c r="P10" i="180"/>
  <c r="Q10" i="180" s="1"/>
  <c r="N10" i="180"/>
  <c r="M10" i="180"/>
  <c r="L10" i="180"/>
  <c r="K10" i="180"/>
  <c r="J10" i="180"/>
  <c r="H10" i="180"/>
  <c r="G10" i="180"/>
  <c r="F10" i="180"/>
  <c r="D10" i="180"/>
  <c r="P9" i="180"/>
  <c r="Q9" i="180" s="1"/>
  <c r="N9" i="180"/>
  <c r="M9" i="180"/>
  <c r="L9" i="180"/>
  <c r="K9" i="180"/>
  <c r="J9" i="180"/>
  <c r="H9" i="180"/>
  <c r="G9" i="180"/>
  <c r="F9" i="180"/>
  <c r="D9" i="180"/>
  <c r="A9" i="180"/>
  <c r="A10" i="180" s="1"/>
  <c r="A11" i="180" s="1"/>
  <c r="A12" i="180" s="1"/>
  <c r="A13" i="180" s="1"/>
  <c r="A14" i="180" s="1"/>
  <c r="A15" i="180" s="1"/>
  <c r="P8" i="180"/>
  <c r="Q8" i="180" s="1"/>
  <c r="N8" i="180"/>
  <c r="M8" i="180"/>
  <c r="L8" i="180"/>
  <c r="K8" i="180"/>
  <c r="J8" i="180"/>
  <c r="H8" i="180"/>
  <c r="G8" i="180"/>
  <c r="F8" i="180"/>
  <c r="D8" i="180"/>
  <c r="I3" i="180"/>
  <c r="G3" i="180"/>
  <c r="E3" i="180"/>
  <c r="C3" i="180" s="1"/>
  <c r="I2" i="180"/>
  <c r="G2" i="180"/>
  <c r="P15" i="69"/>
  <c r="Q15" i="69" s="1"/>
  <c r="C332" i="29"/>
  <c r="P25" i="179"/>
  <c r="Q25" i="179" s="1"/>
  <c r="N25" i="179"/>
  <c r="M25" i="179"/>
  <c r="L25" i="179"/>
  <c r="K25" i="179"/>
  <c r="J25" i="179"/>
  <c r="H25" i="179"/>
  <c r="G25" i="179"/>
  <c r="F25" i="179"/>
  <c r="P24" i="179"/>
  <c r="Q24" i="179" s="1"/>
  <c r="N24" i="179"/>
  <c r="M24" i="179"/>
  <c r="L24" i="179"/>
  <c r="K24" i="179"/>
  <c r="J24" i="179"/>
  <c r="H24" i="179"/>
  <c r="G24" i="179"/>
  <c r="F24" i="179"/>
  <c r="P23" i="179"/>
  <c r="Q23" i="179" s="1"/>
  <c r="N23" i="179"/>
  <c r="M23" i="179"/>
  <c r="L23" i="179"/>
  <c r="K23" i="179"/>
  <c r="J23" i="179"/>
  <c r="H23" i="179"/>
  <c r="G23" i="179"/>
  <c r="F23" i="179"/>
  <c r="P22" i="179"/>
  <c r="Q22" i="179" s="1"/>
  <c r="N22" i="179"/>
  <c r="M22" i="179"/>
  <c r="L22" i="179"/>
  <c r="K22" i="179"/>
  <c r="J22" i="179"/>
  <c r="H22" i="179"/>
  <c r="G22" i="179"/>
  <c r="F22" i="179"/>
  <c r="A22" i="179"/>
  <c r="A23" i="179" s="1"/>
  <c r="A24" i="179" s="1"/>
  <c r="A25" i="179" s="1"/>
  <c r="P21" i="179"/>
  <c r="Q21" i="179" s="1"/>
  <c r="N21" i="179"/>
  <c r="M21" i="179"/>
  <c r="L21" i="179"/>
  <c r="K21" i="179"/>
  <c r="J21" i="179"/>
  <c r="H21" i="179"/>
  <c r="G21" i="179"/>
  <c r="F21" i="179"/>
  <c r="P19" i="179"/>
  <c r="Q19" i="179" s="1"/>
  <c r="N19" i="179"/>
  <c r="M19" i="179"/>
  <c r="L19" i="179"/>
  <c r="K19" i="179"/>
  <c r="J19" i="179"/>
  <c r="H19" i="179"/>
  <c r="G19" i="179"/>
  <c r="F19" i="179"/>
  <c r="D19" i="179"/>
  <c r="P18" i="179"/>
  <c r="Q18" i="179" s="1"/>
  <c r="N18" i="179"/>
  <c r="M18" i="179"/>
  <c r="L18" i="179"/>
  <c r="K18" i="179"/>
  <c r="J18" i="179"/>
  <c r="H18" i="179"/>
  <c r="G18" i="179"/>
  <c r="F18" i="179"/>
  <c r="D18" i="179"/>
  <c r="P17" i="179"/>
  <c r="Q17" i="179" s="1"/>
  <c r="N17" i="179"/>
  <c r="M17" i="179"/>
  <c r="L17" i="179"/>
  <c r="K17" i="179"/>
  <c r="J17" i="179"/>
  <c r="H17" i="179"/>
  <c r="G17" i="179"/>
  <c r="F17" i="179"/>
  <c r="D17" i="179"/>
  <c r="P16" i="179"/>
  <c r="Q16" i="179" s="1"/>
  <c r="N16" i="179"/>
  <c r="M16" i="179"/>
  <c r="L16" i="179"/>
  <c r="K16" i="179"/>
  <c r="J16" i="179"/>
  <c r="H16" i="179"/>
  <c r="G16" i="179"/>
  <c r="F16" i="179"/>
  <c r="D16" i="179"/>
  <c r="P15" i="179"/>
  <c r="Q15" i="179" s="1"/>
  <c r="N15" i="179"/>
  <c r="M15" i="179"/>
  <c r="L15" i="179"/>
  <c r="K15" i="179"/>
  <c r="J15" i="179"/>
  <c r="H15" i="179"/>
  <c r="G15" i="179"/>
  <c r="F15" i="179"/>
  <c r="D15" i="179"/>
  <c r="P14" i="179"/>
  <c r="Q14" i="179" s="1"/>
  <c r="N14" i="179"/>
  <c r="M14" i="179"/>
  <c r="L14" i="179"/>
  <c r="K14" i="179"/>
  <c r="J14" i="179"/>
  <c r="H14" i="179"/>
  <c r="G14" i="179"/>
  <c r="F14" i="179"/>
  <c r="D14" i="179"/>
  <c r="P13" i="179"/>
  <c r="Q13" i="179" s="1"/>
  <c r="N13" i="179"/>
  <c r="M13" i="179"/>
  <c r="L13" i="179"/>
  <c r="K13" i="179"/>
  <c r="J13" i="179"/>
  <c r="H13" i="179"/>
  <c r="G13" i="179"/>
  <c r="F13" i="179"/>
  <c r="D13" i="179"/>
  <c r="P12" i="179"/>
  <c r="Q12" i="179" s="1"/>
  <c r="N12" i="179"/>
  <c r="M12" i="179"/>
  <c r="L12" i="179"/>
  <c r="K12" i="179"/>
  <c r="J12" i="179"/>
  <c r="H12" i="179"/>
  <c r="G12" i="179"/>
  <c r="F12" i="179"/>
  <c r="D12" i="179"/>
  <c r="A12" i="179"/>
  <c r="A13" i="179" s="1"/>
  <c r="A14" i="179" s="1"/>
  <c r="A15" i="179" s="1"/>
  <c r="A16" i="179" s="1"/>
  <c r="A17" i="179" s="1"/>
  <c r="A18" i="179" s="1"/>
  <c r="A19" i="179" s="1"/>
  <c r="P11" i="179"/>
  <c r="Q11" i="179" s="1"/>
  <c r="N11" i="179"/>
  <c r="M11" i="179"/>
  <c r="L11" i="179"/>
  <c r="K11" i="179"/>
  <c r="J11" i="179"/>
  <c r="H11" i="179"/>
  <c r="G11" i="179"/>
  <c r="F11" i="179"/>
  <c r="D11" i="179"/>
  <c r="I3" i="179"/>
  <c r="G3" i="179"/>
  <c r="E3" i="179"/>
  <c r="I2" i="179"/>
  <c r="G2" i="179"/>
  <c r="P44" i="178"/>
  <c r="Q44" i="178" s="1"/>
  <c r="N44" i="178"/>
  <c r="M44" i="178"/>
  <c r="L44" i="178"/>
  <c r="K44" i="178"/>
  <c r="J44" i="178"/>
  <c r="H44" i="178"/>
  <c r="G44" i="178"/>
  <c r="F44" i="178"/>
  <c r="P43" i="178"/>
  <c r="Q43" i="178" s="1"/>
  <c r="N43" i="178"/>
  <c r="M43" i="178"/>
  <c r="L43" i="178"/>
  <c r="K43" i="178"/>
  <c r="J43" i="178"/>
  <c r="H43" i="178"/>
  <c r="G43" i="178"/>
  <c r="F43" i="178"/>
  <c r="P42" i="178"/>
  <c r="Q42" i="178" s="1"/>
  <c r="N42" i="178"/>
  <c r="M42" i="178"/>
  <c r="L42" i="178"/>
  <c r="K42" i="178"/>
  <c r="J42" i="178"/>
  <c r="H42" i="178"/>
  <c r="G42" i="178"/>
  <c r="F42" i="178"/>
  <c r="A42" i="178"/>
  <c r="A43" i="178" s="1"/>
  <c r="A44" i="178" s="1"/>
  <c r="P41" i="178"/>
  <c r="Q41" i="178" s="1"/>
  <c r="N41" i="178"/>
  <c r="M41" i="178"/>
  <c r="L41" i="178"/>
  <c r="K41" i="178"/>
  <c r="J41" i="178"/>
  <c r="H41" i="178"/>
  <c r="G41" i="178"/>
  <c r="F41" i="178"/>
  <c r="P30" i="178"/>
  <c r="Q30" i="178" s="1"/>
  <c r="N30" i="178"/>
  <c r="M30" i="178"/>
  <c r="L30" i="178"/>
  <c r="K30" i="178"/>
  <c r="J30" i="178"/>
  <c r="H30" i="178"/>
  <c r="G30" i="178"/>
  <c r="F30" i="178"/>
  <c r="D30" i="178"/>
  <c r="P29" i="178"/>
  <c r="Q29" i="178" s="1"/>
  <c r="N29" i="178"/>
  <c r="M29" i="178"/>
  <c r="L29" i="178"/>
  <c r="K29" i="178"/>
  <c r="J29" i="178"/>
  <c r="H29" i="178"/>
  <c r="G29" i="178"/>
  <c r="F29" i="178"/>
  <c r="D29" i="178"/>
  <c r="P28" i="178"/>
  <c r="Q28" i="178" s="1"/>
  <c r="N28" i="178"/>
  <c r="M28" i="178"/>
  <c r="L28" i="178"/>
  <c r="K28" i="178"/>
  <c r="J28" i="178"/>
  <c r="H28" i="178"/>
  <c r="G28" i="178"/>
  <c r="F28" i="178"/>
  <c r="D28" i="178"/>
  <c r="P27" i="178"/>
  <c r="Q27" i="178" s="1"/>
  <c r="N27" i="178"/>
  <c r="M27" i="178"/>
  <c r="L27" i="178"/>
  <c r="K27" i="178"/>
  <c r="J27" i="178"/>
  <c r="H27" i="178"/>
  <c r="G27" i="178"/>
  <c r="F27" i="178"/>
  <c r="D27" i="178"/>
  <c r="P26" i="178"/>
  <c r="Q26" i="178" s="1"/>
  <c r="N26" i="178"/>
  <c r="M26" i="178"/>
  <c r="L26" i="178"/>
  <c r="K26" i="178"/>
  <c r="J26" i="178"/>
  <c r="H26" i="178"/>
  <c r="G26" i="178"/>
  <c r="F26" i="178"/>
  <c r="D26" i="178"/>
  <c r="P25" i="178"/>
  <c r="Q25" i="178" s="1"/>
  <c r="N25" i="178"/>
  <c r="M25" i="178"/>
  <c r="L25" i="178"/>
  <c r="K25" i="178"/>
  <c r="J25" i="178"/>
  <c r="H25" i="178"/>
  <c r="G25" i="178"/>
  <c r="F25" i="178"/>
  <c r="D25" i="178"/>
  <c r="P24" i="178"/>
  <c r="Q24" i="178" s="1"/>
  <c r="N24" i="178"/>
  <c r="M24" i="178"/>
  <c r="L24" i="178"/>
  <c r="K24" i="178"/>
  <c r="J24" i="178"/>
  <c r="H24" i="178"/>
  <c r="G24" i="178"/>
  <c r="F24" i="178"/>
  <c r="D24" i="178"/>
  <c r="A24" i="178"/>
  <c r="A25" i="178" s="1"/>
  <c r="A26" i="178" s="1"/>
  <c r="A27" i="178" s="1"/>
  <c r="A28" i="178" s="1"/>
  <c r="A29" i="178" s="1"/>
  <c r="A30" i="178" s="1"/>
  <c r="A31" i="178" s="1"/>
  <c r="A32" i="178" s="1"/>
  <c r="A33" i="178" s="1"/>
  <c r="A34" i="178" s="1"/>
  <c r="A35" i="178" s="1"/>
  <c r="A36" i="178" s="1"/>
  <c r="A37" i="178" s="1"/>
  <c r="A38" i="178" s="1"/>
  <c r="A39" i="178" s="1"/>
  <c r="P23" i="178"/>
  <c r="Q23" i="178" s="1"/>
  <c r="N23" i="178"/>
  <c r="M23" i="178"/>
  <c r="L23" i="178"/>
  <c r="K23" i="178"/>
  <c r="J23" i="178"/>
  <c r="H23" i="178"/>
  <c r="G23" i="178"/>
  <c r="F23" i="178"/>
  <c r="D23" i="178"/>
  <c r="I3" i="178"/>
  <c r="G3" i="178"/>
  <c r="E3" i="178"/>
  <c r="C3" i="178" s="1"/>
  <c r="I2" i="178"/>
  <c r="G2" i="178"/>
  <c r="P49" i="177"/>
  <c r="Q49" i="177" s="1"/>
  <c r="N49" i="177"/>
  <c r="M49" i="177"/>
  <c r="L49" i="177"/>
  <c r="K49" i="177"/>
  <c r="J49" i="177"/>
  <c r="H49" i="177"/>
  <c r="G49" i="177"/>
  <c r="F49" i="177"/>
  <c r="P48" i="177"/>
  <c r="Q48" i="177" s="1"/>
  <c r="N48" i="177"/>
  <c r="M48" i="177"/>
  <c r="L48" i="177"/>
  <c r="K48" i="177"/>
  <c r="J48" i="177"/>
  <c r="H48" i="177"/>
  <c r="G48" i="177"/>
  <c r="F48" i="177"/>
  <c r="P47" i="177"/>
  <c r="Q47" i="177" s="1"/>
  <c r="N47" i="177"/>
  <c r="M47" i="177"/>
  <c r="L47" i="177"/>
  <c r="K47" i="177"/>
  <c r="J47" i="177"/>
  <c r="H47" i="177"/>
  <c r="G47" i="177"/>
  <c r="F47" i="177"/>
  <c r="P46" i="177"/>
  <c r="Q46" i="177" s="1"/>
  <c r="N46" i="177"/>
  <c r="M46" i="177"/>
  <c r="L46" i="177"/>
  <c r="K46" i="177"/>
  <c r="J46" i="177"/>
  <c r="H46" i="177"/>
  <c r="G46" i="177"/>
  <c r="F46" i="177"/>
  <c r="P45" i="177"/>
  <c r="Q45" i="177" s="1"/>
  <c r="N45" i="177"/>
  <c r="M45" i="177"/>
  <c r="L45" i="177"/>
  <c r="K45" i="177"/>
  <c r="J45" i="177"/>
  <c r="H45" i="177"/>
  <c r="G45" i="177"/>
  <c r="F45" i="177"/>
  <c r="P44" i="177"/>
  <c r="Q44" i="177" s="1"/>
  <c r="N44" i="177"/>
  <c r="M44" i="177"/>
  <c r="L44" i="177"/>
  <c r="K44" i="177"/>
  <c r="J44" i="177"/>
  <c r="H44" i="177"/>
  <c r="G44" i="177"/>
  <c r="F44" i="177"/>
  <c r="P43" i="177"/>
  <c r="Q43" i="177" s="1"/>
  <c r="N43" i="177"/>
  <c r="M43" i="177"/>
  <c r="L43" i="177"/>
  <c r="K43" i="177"/>
  <c r="J43" i="177"/>
  <c r="H43" i="177"/>
  <c r="G43" i="177"/>
  <c r="F43" i="177"/>
  <c r="P42" i="177"/>
  <c r="Q42" i="177" s="1"/>
  <c r="N42" i="177"/>
  <c r="M42" i="177"/>
  <c r="L42" i="177"/>
  <c r="K42" i="177"/>
  <c r="J42" i="177"/>
  <c r="H42" i="177"/>
  <c r="G42" i="177"/>
  <c r="F42" i="177"/>
  <c r="A42" i="177"/>
  <c r="A43" i="177" s="1"/>
  <c r="A44" i="177" s="1"/>
  <c r="A45" i="177" s="1"/>
  <c r="A46" i="177" s="1"/>
  <c r="A47" i="177" s="1"/>
  <c r="A48" i="177" s="1"/>
  <c r="A49" i="177" s="1"/>
  <c r="P41" i="177"/>
  <c r="Q41" i="177" s="1"/>
  <c r="N41" i="177"/>
  <c r="M41" i="177"/>
  <c r="L41" i="177"/>
  <c r="K41" i="177"/>
  <c r="J41" i="177"/>
  <c r="H41" i="177"/>
  <c r="G41" i="177"/>
  <c r="F41" i="177"/>
  <c r="P38" i="177"/>
  <c r="Q38" i="177" s="1"/>
  <c r="N38" i="177"/>
  <c r="M38" i="177"/>
  <c r="L38" i="177"/>
  <c r="K38" i="177"/>
  <c r="J38" i="177"/>
  <c r="H38" i="177"/>
  <c r="G38" i="177"/>
  <c r="F38" i="177"/>
  <c r="D38" i="177"/>
  <c r="P37" i="177"/>
  <c r="Q37" i="177" s="1"/>
  <c r="N37" i="177"/>
  <c r="M37" i="177"/>
  <c r="L37" i="177"/>
  <c r="K37" i="177"/>
  <c r="J37" i="177"/>
  <c r="H37" i="177"/>
  <c r="G37" i="177"/>
  <c r="F37" i="177"/>
  <c r="D37" i="177"/>
  <c r="P36" i="177"/>
  <c r="Q36" i="177" s="1"/>
  <c r="N36" i="177"/>
  <c r="M36" i="177"/>
  <c r="L36" i="177"/>
  <c r="K36" i="177"/>
  <c r="J36" i="177"/>
  <c r="H36" i="177"/>
  <c r="G36" i="177"/>
  <c r="F36" i="177"/>
  <c r="D36" i="177"/>
  <c r="P35" i="177"/>
  <c r="Q35" i="177" s="1"/>
  <c r="N35" i="177"/>
  <c r="M35" i="177"/>
  <c r="L35" i="177"/>
  <c r="K35" i="177"/>
  <c r="J35" i="177"/>
  <c r="H35" i="177"/>
  <c r="G35" i="177"/>
  <c r="F35" i="177"/>
  <c r="D35" i="177"/>
  <c r="P34" i="177"/>
  <c r="Q34" i="177" s="1"/>
  <c r="N34" i="177"/>
  <c r="M34" i="177"/>
  <c r="L34" i="177"/>
  <c r="K34" i="177"/>
  <c r="J34" i="177"/>
  <c r="H34" i="177"/>
  <c r="G34" i="177"/>
  <c r="F34" i="177"/>
  <c r="D34" i="177"/>
  <c r="P33" i="177"/>
  <c r="Q33" i="177" s="1"/>
  <c r="N33" i="177"/>
  <c r="M33" i="177"/>
  <c r="L33" i="177"/>
  <c r="K33" i="177"/>
  <c r="J33" i="177"/>
  <c r="H33" i="177"/>
  <c r="G33" i="177"/>
  <c r="F33" i="177"/>
  <c r="D33" i="177"/>
  <c r="P32" i="177"/>
  <c r="Q32" i="177" s="1"/>
  <c r="N32" i="177"/>
  <c r="M32" i="177"/>
  <c r="L32" i="177"/>
  <c r="K32" i="177"/>
  <c r="J32" i="177"/>
  <c r="H32" i="177"/>
  <c r="G32" i="177"/>
  <c r="F32" i="177"/>
  <c r="D32" i="177"/>
  <c r="P31" i="177"/>
  <c r="Q31" i="177" s="1"/>
  <c r="N31" i="177"/>
  <c r="M31" i="177"/>
  <c r="L31" i="177"/>
  <c r="K31" i="177"/>
  <c r="J31" i="177"/>
  <c r="H31" i="177"/>
  <c r="G31" i="177"/>
  <c r="F31" i="177"/>
  <c r="D31" i="177"/>
  <c r="P30" i="177"/>
  <c r="Q30" i="177" s="1"/>
  <c r="N30" i="177"/>
  <c r="M30" i="177"/>
  <c r="L30" i="177"/>
  <c r="K30" i="177"/>
  <c r="J30" i="177"/>
  <c r="H30" i="177"/>
  <c r="G30" i="177"/>
  <c r="F30" i="177"/>
  <c r="D30" i="177"/>
  <c r="P29" i="177"/>
  <c r="Q29" i="177" s="1"/>
  <c r="N29" i="177"/>
  <c r="M29" i="177"/>
  <c r="L29" i="177"/>
  <c r="K29" i="177"/>
  <c r="J29" i="177"/>
  <c r="H29" i="177"/>
  <c r="G29" i="177"/>
  <c r="F29" i="177"/>
  <c r="D29" i="177"/>
  <c r="P28" i="177"/>
  <c r="Q28" i="177" s="1"/>
  <c r="N28" i="177"/>
  <c r="M28" i="177"/>
  <c r="L28" i="177"/>
  <c r="K28" i="177"/>
  <c r="J28" i="177"/>
  <c r="H28" i="177"/>
  <c r="G28" i="177"/>
  <c r="F28" i="177"/>
  <c r="D28" i="177"/>
  <c r="P27" i="177"/>
  <c r="Q27" i="177" s="1"/>
  <c r="N27" i="177"/>
  <c r="M27" i="177"/>
  <c r="L27" i="177"/>
  <c r="K27" i="177"/>
  <c r="J27" i="177"/>
  <c r="H27" i="177"/>
  <c r="G27" i="177"/>
  <c r="F27" i="177"/>
  <c r="D27" i="177"/>
  <c r="P26" i="177"/>
  <c r="Q26" i="177" s="1"/>
  <c r="N26" i="177"/>
  <c r="M26" i="177"/>
  <c r="L26" i="177"/>
  <c r="K26" i="177"/>
  <c r="J26" i="177"/>
  <c r="H26" i="177"/>
  <c r="G26" i="177"/>
  <c r="F26" i="177"/>
  <c r="D26" i="177"/>
  <c r="P25" i="177"/>
  <c r="Q25" i="177" s="1"/>
  <c r="N25" i="177"/>
  <c r="M25" i="177"/>
  <c r="L25" i="177"/>
  <c r="K25" i="177"/>
  <c r="J25" i="177"/>
  <c r="H25" i="177"/>
  <c r="G25" i="177"/>
  <c r="F25" i="177"/>
  <c r="D25" i="177"/>
  <c r="P24" i="177"/>
  <c r="Q24" i="177" s="1"/>
  <c r="N24" i="177"/>
  <c r="M24" i="177"/>
  <c r="L24" i="177"/>
  <c r="K24" i="177"/>
  <c r="J24" i="177"/>
  <c r="H24" i="177"/>
  <c r="G24" i="177"/>
  <c r="F24" i="177"/>
  <c r="D24" i="177"/>
  <c r="A24" i="177"/>
  <c r="A25" i="177" s="1"/>
  <c r="A26" i="177" s="1"/>
  <c r="A27" i="177" s="1"/>
  <c r="A28" i="177" s="1"/>
  <c r="A29" i="177" s="1"/>
  <c r="A30" i="177" s="1"/>
  <c r="A31" i="177" s="1"/>
  <c r="A32" i="177" s="1"/>
  <c r="A33" i="177" s="1"/>
  <c r="A34" i="177" s="1"/>
  <c r="A35" i="177" s="1"/>
  <c r="A36" i="177" s="1"/>
  <c r="P23" i="177"/>
  <c r="Q23" i="177" s="1"/>
  <c r="N23" i="177"/>
  <c r="M23" i="177"/>
  <c r="L23" i="177"/>
  <c r="K23" i="177"/>
  <c r="J23" i="177"/>
  <c r="H23" i="177"/>
  <c r="G23" i="177"/>
  <c r="F23" i="177"/>
  <c r="D23" i="177"/>
  <c r="I3" i="177"/>
  <c r="G3" i="177"/>
  <c r="E3" i="177"/>
  <c r="I2" i="177"/>
  <c r="G2" i="177"/>
  <c r="C331" i="29"/>
  <c r="C330" i="29"/>
  <c r="E330" i="29"/>
  <c r="E331" i="29"/>
  <c r="E332" i="29"/>
  <c r="C198" i="29"/>
  <c r="E198" i="29"/>
  <c r="C197" i="29"/>
  <c r="C196" i="29"/>
  <c r="C200" i="29"/>
  <c r="E200" i="29"/>
  <c r="E196" i="29"/>
  <c r="E197" i="29"/>
  <c r="A37" i="177" l="1"/>
  <c r="A38" i="177" s="1"/>
  <c r="A39" i="177" s="1"/>
  <c r="P22" i="180"/>
  <c r="Q22" i="180" s="1"/>
  <c r="P45" i="69"/>
  <c r="C3" i="179"/>
  <c r="C3" i="177"/>
  <c r="C237" i="29"/>
  <c r="E237" i="29"/>
  <c r="C239" i="29"/>
  <c r="E239" i="29"/>
  <c r="P33" i="176"/>
  <c r="Q33" i="176" s="1"/>
  <c r="N33" i="176"/>
  <c r="M33" i="176"/>
  <c r="L33" i="176"/>
  <c r="K33" i="176"/>
  <c r="J33" i="176"/>
  <c r="H33" i="176"/>
  <c r="G33" i="176"/>
  <c r="F33" i="176"/>
  <c r="P32" i="176"/>
  <c r="Q32" i="176" s="1"/>
  <c r="N32" i="176"/>
  <c r="M32" i="176"/>
  <c r="L32" i="176"/>
  <c r="K32" i="176"/>
  <c r="J32" i="176"/>
  <c r="H32" i="176"/>
  <c r="G32" i="176"/>
  <c r="F32" i="176"/>
  <c r="P31" i="176"/>
  <c r="Q31" i="176" s="1"/>
  <c r="N31" i="176"/>
  <c r="M31" i="176"/>
  <c r="L31" i="176"/>
  <c r="K31" i="176"/>
  <c r="J31" i="176"/>
  <c r="H31" i="176"/>
  <c r="G31" i="176"/>
  <c r="F31" i="176"/>
  <c r="A31" i="176"/>
  <c r="A32" i="176" s="1"/>
  <c r="A33" i="176" s="1"/>
  <c r="P30" i="176"/>
  <c r="Q30" i="176" s="1"/>
  <c r="N30" i="176"/>
  <c r="M30" i="176"/>
  <c r="L30" i="176"/>
  <c r="K30" i="176"/>
  <c r="J30" i="176"/>
  <c r="H30" i="176"/>
  <c r="G30" i="176"/>
  <c r="F30" i="176"/>
  <c r="P26" i="176"/>
  <c r="Q26" i="176" s="1"/>
  <c r="N26" i="176"/>
  <c r="M26" i="176"/>
  <c r="L26" i="176"/>
  <c r="K26" i="176"/>
  <c r="J26" i="176"/>
  <c r="H26" i="176"/>
  <c r="G26" i="176"/>
  <c r="F26" i="176"/>
  <c r="D26" i="176"/>
  <c r="P25" i="176"/>
  <c r="Q25" i="176" s="1"/>
  <c r="N25" i="176"/>
  <c r="M25" i="176"/>
  <c r="L25" i="176"/>
  <c r="K25" i="176"/>
  <c r="J25" i="176"/>
  <c r="H25" i="176"/>
  <c r="G25" i="176"/>
  <c r="F25" i="176"/>
  <c r="D25" i="176"/>
  <c r="P24" i="176"/>
  <c r="Q24" i="176" s="1"/>
  <c r="N24" i="176"/>
  <c r="M24" i="176"/>
  <c r="L24" i="176"/>
  <c r="K24" i="176"/>
  <c r="J24" i="176"/>
  <c r="H24" i="176"/>
  <c r="G24" i="176"/>
  <c r="F24" i="176"/>
  <c r="D24" i="176"/>
  <c r="P23" i="176"/>
  <c r="Q23" i="176" s="1"/>
  <c r="N23" i="176"/>
  <c r="M23" i="176"/>
  <c r="L23" i="176"/>
  <c r="K23" i="176"/>
  <c r="J23" i="176"/>
  <c r="H23" i="176"/>
  <c r="G23" i="176"/>
  <c r="F23" i="176"/>
  <c r="D23" i="176"/>
  <c r="P22" i="176"/>
  <c r="Q22" i="176" s="1"/>
  <c r="N22" i="176"/>
  <c r="M22" i="176"/>
  <c r="L22" i="176"/>
  <c r="K22" i="176"/>
  <c r="J22" i="176"/>
  <c r="H22" i="176"/>
  <c r="G22" i="176"/>
  <c r="F22" i="176"/>
  <c r="D22" i="176"/>
  <c r="P21" i="176"/>
  <c r="Q21" i="176" s="1"/>
  <c r="N21" i="176"/>
  <c r="M21" i="176"/>
  <c r="L21" i="176"/>
  <c r="K21" i="176"/>
  <c r="J21" i="176"/>
  <c r="H21" i="176"/>
  <c r="G21" i="176"/>
  <c r="F21" i="176"/>
  <c r="D21" i="176"/>
  <c r="P20" i="176"/>
  <c r="Q20" i="176" s="1"/>
  <c r="N20" i="176"/>
  <c r="M20" i="176"/>
  <c r="L20" i="176"/>
  <c r="K20" i="176"/>
  <c r="J20" i="176"/>
  <c r="H20" i="176"/>
  <c r="G20" i="176"/>
  <c r="F20" i="176"/>
  <c r="D20" i="176"/>
  <c r="P19" i="176"/>
  <c r="Q19" i="176" s="1"/>
  <c r="N19" i="176"/>
  <c r="M19" i="176"/>
  <c r="L19" i="176"/>
  <c r="K19" i="176"/>
  <c r="J19" i="176"/>
  <c r="H19" i="176"/>
  <c r="G19" i="176"/>
  <c r="F19" i="176"/>
  <c r="D19" i="176"/>
  <c r="P18" i="176"/>
  <c r="Q18" i="176" s="1"/>
  <c r="N18" i="176"/>
  <c r="M18" i="176"/>
  <c r="L18" i="176"/>
  <c r="K18" i="176"/>
  <c r="J18" i="176"/>
  <c r="H18" i="176"/>
  <c r="G18" i="176"/>
  <c r="F18" i="176"/>
  <c r="D18" i="176"/>
  <c r="P17" i="176"/>
  <c r="Q17" i="176" s="1"/>
  <c r="N17" i="176"/>
  <c r="M17" i="176"/>
  <c r="L17" i="176"/>
  <c r="K17" i="176"/>
  <c r="J17" i="176"/>
  <c r="H17" i="176"/>
  <c r="G17" i="176"/>
  <c r="F17" i="176"/>
  <c r="D17" i="176"/>
  <c r="P16" i="176"/>
  <c r="Q16" i="176" s="1"/>
  <c r="N16" i="176"/>
  <c r="M16" i="176"/>
  <c r="L16" i="176"/>
  <c r="K16" i="176"/>
  <c r="J16" i="176"/>
  <c r="H16" i="176"/>
  <c r="G16" i="176"/>
  <c r="F16" i="176"/>
  <c r="D16" i="176"/>
  <c r="P15" i="176"/>
  <c r="Q15" i="176" s="1"/>
  <c r="N15" i="176"/>
  <c r="M15" i="176"/>
  <c r="L15" i="176"/>
  <c r="K15" i="176"/>
  <c r="J15" i="176"/>
  <c r="H15" i="176"/>
  <c r="G15" i="176"/>
  <c r="F15" i="176"/>
  <c r="D15" i="176"/>
  <c r="A16" i="176"/>
  <c r="A17" i="176" s="1"/>
  <c r="A18" i="176" s="1"/>
  <c r="A19" i="176" s="1"/>
  <c r="A20" i="176" s="1"/>
  <c r="A21" i="176" s="1"/>
  <c r="A22" i="176" s="1"/>
  <c r="A23" i="176" s="1"/>
  <c r="A24" i="176" s="1"/>
  <c r="A25" i="176" s="1"/>
  <c r="A26" i="176" s="1"/>
  <c r="A27" i="176" s="1"/>
  <c r="A28" i="176" s="1"/>
  <c r="P14" i="176"/>
  <c r="Q14" i="176" s="1"/>
  <c r="N14" i="176"/>
  <c r="M14" i="176"/>
  <c r="L14" i="176"/>
  <c r="K14" i="176"/>
  <c r="J14" i="176"/>
  <c r="H14" i="176"/>
  <c r="G14" i="176"/>
  <c r="F14" i="176"/>
  <c r="D14" i="176"/>
  <c r="I3" i="176"/>
  <c r="G3" i="176"/>
  <c r="E3" i="176"/>
  <c r="C3" i="176" s="1"/>
  <c r="I2" i="176"/>
  <c r="G2" i="176"/>
  <c r="P19" i="175"/>
  <c r="Q19" i="175" s="1"/>
  <c r="N19" i="175"/>
  <c r="M19" i="175"/>
  <c r="L19" i="175"/>
  <c r="K19" i="175"/>
  <c r="J19" i="175"/>
  <c r="H19" i="175"/>
  <c r="G19" i="175"/>
  <c r="F19" i="175"/>
  <c r="P18" i="175"/>
  <c r="Q18" i="175" s="1"/>
  <c r="N18" i="175"/>
  <c r="M18" i="175"/>
  <c r="L18" i="175"/>
  <c r="K18" i="175"/>
  <c r="J18" i="175"/>
  <c r="H18" i="175"/>
  <c r="G18" i="175"/>
  <c r="F18" i="175"/>
  <c r="A18" i="175"/>
  <c r="A19" i="175" s="1"/>
  <c r="P17" i="175"/>
  <c r="Q17" i="175" s="1"/>
  <c r="N17" i="175"/>
  <c r="M17" i="175"/>
  <c r="L17" i="175"/>
  <c r="K17" i="175"/>
  <c r="J17" i="175"/>
  <c r="H17" i="175"/>
  <c r="G17" i="175"/>
  <c r="F17" i="175"/>
  <c r="P15" i="175"/>
  <c r="Q15" i="175" s="1"/>
  <c r="N15" i="175"/>
  <c r="M15" i="175"/>
  <c r="L15" i="175"/>
  <c r="K15" i="175"/>
  <c r="J15" i="175"/>
  <c r="H15" i="175"/>
  <c r="G15" i="175"/>
  <c r="F15" i="175"/>
  <c r="D15" i="175"/>
  <c r="P14" i="175"/>
  <c r="Q14" i="175" s="1"/>
  <c r="N14" i="175"/>
  <c r="M14" i="175"/>
  <c r="L14" i="175"/>
  <c r="K14" i="175"/>
  <c r="J14" i="175"/>
  <c r="H14" i="175"/>
  <c r="G14" i="175"/>
  <c r="F14" i="175"/>
  <c r="D14" i="175"/>
  <c r="P13" i="175"/>
  <c r="Q13" i="175" s="1"/>
  <c r="N13" i="175"/>
  <c r="M13" i="175"/>
  <c r="L13" i="175"/>
  <c r="K13" i="175"/>
  <c r="J13" i="175"/>
  <c r="H13" i="175"/>
  <c r="G13" i="175"/>
  <c r="F13" i="175"/>
  <c r="D13" i="175"/>
  <c r="P12" i="175"/>
  <c r="Q12" i="175" s="1"/>
  <c r="N12" i="175"/>
  <c r="M12" i="175"/>
  <c r="L12" i="175"/>
  <c r="K12" i="175"/>
  <c r="J12" i="175"/>
  <c r="H12" i="175"/>
  <c r="G12" i="175"/>
  <c r="F12" i="175"/>
  <c r="D12" i="175"/>
  <c r="A12" i="175"/>
  <c r="A13" i="175" s="1"/>
  <c r="A14" i="175" s="1"/>
  <c r="A15" i="175" s="1"/>
  <c r="P11" i="175"/>
  <c r="Q11" i="175" s="1"/>
  <c r="N11" i="175"/>
  <c r="M11" i="175"/>
  <c r="L11" i="175"/>
  <c r="K11" i="175"/>
  <c r="J11" i="175"/>
  <c r="H11" i="175"/>
  <c r="G11" i="175"/>
  <c r="F11" i="175"/>
  <c r="D11" i="175"/>
  <c r="I3" i="175"/>
  <c r="G3" i="175"/>
  <c r="E3" i="175"/>
  <c r="C3" i="175" s="1"/>
  <c r="I2" i="175"/>
  <c r="G2" i="175"/>
  <c r="P8" i="77"/>
  <c r="Q8" i="77" s="1"/>
  <c r="C57" i="29"/>
  <c r="P8" i="66"/>
  <c r="Q8" i="66" s="1"/>
  <c r="P28" i="174"/>
  <c r="Q28" i="174" s="1"/>
  <c r="N28" i="174"/>
  <c r="M28" i="174"/>
  <c r="L28" i="174"/>
  <c r="K28" i="174"/>
  <c r="J28" i="174"/>
  <c r="H28" i="174"/>
  <c r="G28" i="174"/>
  <c r="F28" i="174"/>
  <c r="P27" i="174"/>
  <c r="Q27" i="174" s="1"/>
  <c r="N27" i="174"/>
  <c r="M27" i="174"/>
  <c r="L27" i="174"/>
  <c r="K27" i="174"/>
  <c r="J27" i="174"/>
  <c r="H27" i="174"/>
  <c r="G27" i="174"/>
  <c r="F27" i="174"/>
  <c r="P26" i="174"/>
  <c r="Q26" i="174" s="1"/>
  <c r="N26" i="174"/>
  <c r="M26" i="174"/>
  <c r="L26" i="174"/>
  <c r="K26" i="174"/>
  <c r="J26" i="174"/>
  <c r="H26" i="174"/>
  <c r="G26" i="174"/>
  <c r="F26" i="174"/>
  <c r="P25" i="174"/>
  <c r="Q25" i="174" s="1"/>
  <c r="N25" i="174"/>
  <c r="M25" i="174"/>
  <c r="L25" i="174"/>
  <c r="K25" i="174"/>
  <c r="J25" i="174"/>
  <c r="H25" i="174"/>
  <c r="G25" i="174"/>
  <c r="F25" i="174"/>
  <c r="P24" i="174"/>
  <c r="Q24" i="174" s="1"/>
  <c r="N24" i="174"/>
  <c r="M24" i="174"/>
  <c r="L24" i="174"/>
  <c r="K24" i="174"/>
  <c r="J24" i="174"/>
  <c r="H24" i="174"/>
  <c r="G24" i="174"/>
  <c r="F24" i="174"/>
  <c r="A24" i="174"/>
  <c r="A25" i="174" s="1"/>
  <c r="A26" i="174" s="1"/>
  <c r="A27" i="174" s="1"/>
  <c r="A28" i="174" s="1"/>
  <c r="A29" i="174" s="1"/>
  <c r="P23" i="174"/>
  <c r="Q23" i="174" s="1"/>
  <c r="N23" i="174"/>
  <c r="M23" i="174"/>
  <c r="L23" i="174"/>
  <c r="K23" i="174"/>
  <c r="J23" i="174"/>
  <c r="H23" i="174"/>
  <c r="G23" i="174"/>
  <c r="F23" i="174"/>
  <c r="P19" i="174"/>
  <c r="Q19" i="174" s="1"/>
  <c r="N19" i="174"/>
  <c r="M19" i="174"/>
  <c r="L19" i="174"/>
  <c r="K19" i="174"/>
  <c r="J19" i="174"/>
  <c r="H19" i="174"/>
  <c r="G19" i="174"/>
  <c r="F19" i="174"/>
  <c r="D19" i="174"/>
  <c r="P18" i="174"/>
  <c r="Q18" i="174" s="1"/>
  <c r="N18" i="174"/>
  <c r="M18" i="174"/>
  <c r="L18" i="174"/>
  <c r="K18" i="174"/>
  <c r="J18" i="174"/>
  <c r="H18" i="174"/>
  <c r="G18" i="174"/>
  <c r="F18" i="174"/>
  <c r="D18" i="174"/>
  <c r="P17" i="174"/>
  <c r="Q17" i="174" s="1"/>
  <c r="N17" i="174"/>
  <c r="M17" i="174"/>
  <c r="L17" i="174"/>
  <c r="K17" i="174"/>
  <c r="J17" i="174"/>
  <c r="H17" i="174"/>
  <c r="G17" i="174"/>
  <c r="F17" i="174"/>
  <c r="D17" i="174"/>
  <c r="P16" i="174"/>
  <c r="Q16" i="174" s="1"/>
  <c r="N16" i="174"/>
  <c r="M16" i="174"/>
  <c r="L16" i="174"/>
  <c r="K16" i="174"/>
  <c r="J16" i="174"/>
  <c r="H16" i="174"/>
  <c r="G16" i="174"/>
  <c r="F16" i="174"/>
  <c r="D16" i="174"/>
  <c r="P15" i="174"/>
  <c r="Q15" i="174" s="1"/>
  <c r="N15" i="174"/>
  <c r="M15" i="174"/>
  <c r="L15" i="174"/>
  <c r="K15" i="174"/>
  <c r="J15" i="174"/>
  <c r="H15" i="174"/>
  <c r="G15" i="174"/>
  <c r="F15" i="174"/>
  <c r="D15" i="174"/>
  <c r="P14" i="174"/>
  <c r="Q14" i="174" s="1"/>
  <c r="N14" i="174"/>
  <c r="M14" i="174"/>
  <c r="L14" i="174"/>
  <c r="K14" i="174"/>
  <c r="J14" i="174"/>
  <c r="H14" i="174"/>
  <c r="G14" i="174"/>
  <c r="F14" i="174"/>
  <c r="D14" i="174"/>
  <c r="P13" i="174"/>
  <c r="Q13" i="174" s="1"/>
  <c r="N13" i="174"/>
  <c r="M13" i="174"/>
  <c r="L13" i="174"/>
  <c r="K13" i="174"/>
  <c r="J13" i="174"/>
  <c r="H13" i="174"/>
  <c r="G13" i="174"/>
  <c r="F13" i="174"/>
  <c r="D13" i="174"/>
  <c r="P12" i="174"/>
  <c r="Q12" i="174" s="1"/>
  <c r="N12" i="174"/>
  <c r="M12" i="174"/>
  <c r="L12" i="174"/>
  <c r="K12" i="174"/>
  <c r="J12" i="174"/>
  <c r="H12" i="174"/>
  <c r="G12" i="174"/>
  <c r="F12" i="174"/>
  <c r="D12" i="174"/>
  <c r="P11" i="174"/>
  <c r="Q11" i="174" s="1"/>
  <c r="N11" i="174"/>
  <c r="M11" i="174"/>
  <c r="L11" i="174"/>
  <c r="K11" i="174"/>
  <c r="J11" i="174"/>
  <c r="H11" i="174"/>
  <c r="G11" i="174"/>
  <c r="F11" i="174"/>
  <c r="D11" i="174"/>
  <c r="P10" i="174"/>
  <c r="Q10" i="174" s="1"/>
  <c r="N10" i="174"/>
  <c r="M10" i="174"/>
  <c r="L10" i="174"/>
  <c r="K10" i="174"/>
  <c r="J10" i="174"/>
  <c r="H10" i="174"/>
  <c r="G10" i="174"/>
  <c r="F10" i="174"/>
  <c r="D10" i="174"/>
  <c r="P9" i="174"/>
  <c r="Q9" i="174" s="1"/>
  <c r="N9" i="174"/>
  <c r="M9" i="174"/>
  <c r="L9" i="174"/>
  <c r="K9" i="174"/>
  <c r="J9" i="174"/>
  <c r="H9" i="174"/>
  <c r="G9" i="174"/>
  <c r="F9" i="174"/>
  <c r="D9" i="174"/>
  <c r="P8" i="174"/>
  <c r="Q8" i="174" s="1"/>
  <c r="N8" i="174"/>
  <c r="M8" i="174"/>
  <c r="L8" i="174"/>
  <c r="K8" i="174"/>
  <c r="J8" i="174"/>
  <c r="H8" i="174"/>
  <c r="G8" i="174"/>
  <c r="F8" i="174"/>
  <c r="D8" i="174"/>
  <c r="P7" i="174"/>
  <c r="Q7" i="174" s="1"/>
  <c r="N7" i="174"/>
  <c r="M7" i="174"/>
  <c r="L7" i="174"/>
  <c r="K7" i="174"/>
  <c r="J7" i="174"/>
  <c r="H7" i="174"/>
  <c r="G7" i="174"/>
  <c r="F7" i="174"/>
  <c r="D7" i="174"/>
  <c r="I3" i="174"/>
  <c r="G3" i="174"/>
  <c r="E3" i="174"/>
  <c r="C3" i="174" s="1"/>
  <c r="I2" i="174"/>
  <c r="G2" i="174"/>
  <c r="P22" i="173"/>
  <c r="Q22" i="173" s="1"/>
  <c r="N22" i="173"/>
  <c r="M22" i="173"/>
  <c r="L22" i="173"/>
  <c r="K22" i="173"/>
  <c r="J22" i="173"/>
  <c r="H22" i="173"/>
  <c r="G22" i="173"/>
  <c r="F22" i="173"/>
  <c r="P21" i="173"/>
  <c r="Q21" i="173" s="1"/>
  <c r="N21" i="173"/>
  <c r="M21" i="173"/>
  <c r="L21" i="173"/>
  <c r="K21" i="173"/>
  <c r="J21" i="173"/>
  <c r="H21" i="173"/>
  <c r="G21" i="173"/>
  <c r="F21" i="173"/>
  <c r="P20" i="173"/>
  <c r="Q20" i="173" s="1"/>
  <c r="N20" i="173"/>
  <c r="M20" i="173"/>
  <c r="L20" i="173"/>
  <c r="K20" i="173"/>
  <c r="J20" i="173"/>
  <c r="H20" i="173"/>
  <c r="G20" i="173"/>
  <c r="F20" i="173"/>
  <c r="A20" i="173"/>
  <c r="A21" i="173" s="1"/>
  <c r="A22" i="173" s="1"/>
  <c r="A23" i="173" s="1"/>
  <c r="P19" i="173"/>
  <c r="Q19" i="173" s="1"/>
  <c r="N19" i="173"/>
  <c r="M19" i="173"/>
  <c r="L19" i="173"/>
  <c r="K19" i="173"/>
  <c r="J19" i="173"/>
  <c r="H19" i="173"/>
  <c r="G19" i="173"/>
  <c r="F19" i="173"/>
  <c r="P16" i="173"/>
  <c r="Q16" i="173" s="1"/>
  <c r="N16" i="173"/>
  <c r="M16" i="173"/>
  <c r="L16" i="173"/>
  <c r="K16" i="173"/>
  <c r="J16" i="173"/>
  <c r="H16" i="173"/>
  <c r="G16" i="173"/>
  <c r="F16" i="173"/>
  <c r="D16" i="173"/>
  <c r="P15" i="173"/>
  <c r="Q15" i="173" s="1"/>
  <c r="N15" i="173"/>
  <c r="M15" i="173"/>
  <c r="L15" i="173"/>
  <c r="K15" i="173"/>
  <c r="J15" i="173"/>
  <c r="H15" i="173"/>
  <c r="G15" i="173"/>
  <c r="F15" i="173"/>
  <c r="D15" i="173"/>
  <c r="P14" i="173"/>
  <c r="Q14" i="173" s="1"/>
  <c r="N14" i="173"/>
  <c r="M14" i="173"/>
  <c r="L14" i="173"/>
  <c r="K14" i="173"/>
  <c r="J14" i="173"/>
  <c r="H14" i="173"/>
  <c r="G14" i="173"/>
  <c r="F14" i="173"/>
  <c r="D14" i="173"/>
  <c r="P13" i="173"/>
  <c r="Q13" i="173" s="1"/>
  <c r="N13" i="173"/>
  <c r="M13" i="173"/>
  <c r="L13" i="173"/>
  <c r="K13" i="173"/>
  <c r="J13" i="173"/>
  <c r="H13" i="173"/>
  <c r="G13" i="173"/>
  <c r="F13" i="173"/>
  <c r="D13" i="173"/>
  <c r="P12" i="173"/>
  <c r="Q12" i="173" s="1"/>
  <c r="N12" i="173"/>
  <c r="M12" i="173"/>
  <c r="L12" i="173"/>
  <c r="K12" i="173"/>
  <c r="J12" i="173"/>
  <c r="H12" i="173"/>
  <c r="G12" i="173"/>
  <c r="F12" i="173"/>
  <c r="D12" i="173"/>
  <c r="A12" i="173"/>
  <c r="A13" i="173" s="1"/>
  <c r="A14" i="173" s="1"/>
  <c r="A15" i="173" s="1"/>
  <c r="A16" i="173" s="1"/>
  <c r="A17" i="173" s="1"/>
  <c r="P11" i="173"/>
  <c r="Q11" i="173" s="1"/>
  <c r="N11" i="173"/>
  <c r="M11" i="173"/>
  <c r="L11" i="173"/>
  <c r="K11" i="173"/>
  <c r="J11" i="173"/>
  <c r="H11" i="173"/>
  <c r="G11" i="173"/>
  <c r="F11" i="173"/>
  <c r="D11" i="173"/>
  <c r="I3" i="173"/>
  <c r="G3" i="173"/>
  <c r="E3" i="173"/>
  <c r="C3" i="173" s="1"/>
  <c r="I2" i="173"/>
  <c r="G2" i="173"/>
  <c r="P35" i="172"/>
  <c r="Q35" i="172" s="1"/>
  <c r="N35" i="172"/>
  <c r="M35" i="172"/>
  <c r="L35" i="172"/>
  <c r="K35" i="172"/>
  <c r="J35" i="172"/>
  <c r="H35" i="172"/>
  <c r="G35" i="172"/>
  <c r="F35" i="172"/>
  <c r="P34" i="172"/>
  <c r="Q34" i="172" s="1"/>
  <c r="N34" i="172"/>
  <c r="M34" i="172"/>
  <c r="L34" i="172"/>
  <c r="K34" i="172"/>
  <c r="J34" i="172"/>
  <c r="H34" i="172"/>
  <c r="G34" i="172"/>
  <c r="F34" i="172"/>
  <c r="P33" i="172"/>
  <c r="Q33" i="172" s="1"/>
  <c r="N33" i="172"/>
  <c r="M33" i="172"/>
  <c r="L33" i="172"/>
  <c r="K33" i="172"/>
  <c r="J33" i="172"/>
  <c r="H33" i="172"/>
  <c r="G33" i="172"/>
  <c r="F33" i="172"/>
  <c r="P32" i="172"/>
  <c r="Q32" i="172" s="1"/>
  <c r="N32" i="172"/>
  <c r="M32" i="172"/>
  <c r="L32" i="172"/>
  <c r="K32" i="172"/>
  <c r="J32" i="172"/>
  <c r="H32" i="172"/>
  <c r="G32" i="172"/>
  <c r="F32" i="172"/>
  <c r="P31" i="172"/>
  <c r="Q31" i="172" s="1"/>
  <c r="N31" i="172"/>
  <c r="M31" i="172"/>
  <c r="L31" i="172"/>
  <c r="K31" i="172"/>
  <c r="J31" i="172"/>
  <c r="H31" i="172"/>
  <c r="G31" i="172"/>
  <c r="F31" i="172"/>
  <c r="P30" i="172"/>
  <c r="Q30" i="172" s="1"/>
  <c r="N30" i="172"/>
  <c r="M30" i="172"/>
  <c r="L30" i="172"/>
  <c r="K30" i="172"/>
  <c r="J30" i="172"/>
  <c r="H30" i="172"/>
  <c r="G30" i="172"/>
  <c r="F30" i="172"/>
  <c r="P29" i="172"/>
  <c r="Q29" i="172" s="1"/>
  <c r="N29" i="172"/>
  <c r="M29" i="172"/>
  <c r="L29" i="172"/>
  <c r="K29" i="172"/>
  <c r="J29" i="172"/>
  <c r="H29" i="172"/>
  <c r="G29" i="172"/>
  <c r="F29" i="172"/>
  <c r="A29" i="172"/>
  <c r="A30" i="172" s="1"/>
  <c r="A31" i="172" s="1"/>
  <c r="A32" i="172" s="1"/>
  <c r="A33" i="172" s="1"/>
  <c r="A34" i="172" s="1"/>
  <c r="A35" i="172" s="1"/>
  <c r="A36" i="172" s="1"/>
  <c r="A37" i="172" s="1"/>
  <c r="P28" i="172"/>
  <c r="Q28" i="172" s="1"/>
  <c r="N28" i="172"/>
  <c r="M28" i="172"/>
  <c r="L28" i="172"/>
  <c r="K28" i="172"/>
  <c r="J28" i="172"/>
  <c r="H28" i="172"/>
  <c r="G28" i="172"/>
  <c r="F28" i="172"/>
  <c r="P25" i="172"/>
  <c r="Q25" i="172" s="1"/>
  <c r="N25" i="172"/>
  <c r="M25" i="172"/>
  <c r="L25" i="172"/>
  <c r="K25" i="172"/>
  <c r="J25" i="172"/>
  <c r="H25" i="172"/>
  <c r="G25" i="172"/>
  <c r="F25" i="172"/>
  <c r="D25" i="172"/>
  <c r="P24" i="172"/>
  <c r="Q24" i="172" s="1"/>
  <c r="N24" i="172"/>
  <c r="M24" i="172"/>
  <c r="L24" i="172"/>
  <c r="K24" i="172"/>
  <c r="J24" i="172"/>
  <c r="H24" i="172"/>
  <c r="G24" i="172"/>
  <c r="F24" i="172"/>
  <c r="D24" i="172"/>
  <c r="P23" i="172"/>
  <c r="Q23" i="172" s="1"/>
  <c r="N23" i="172"/>
  <c r="M23" i="172"/>
  <c r="L23" i="172"/>
  <c r="K23" i="172"/>
  <c r="J23" i="172"/>
  <c r="H23" i="172"/>
  <c r="G23" i="172"/>
  <c r="F23" i="172"/>
  <c r="D23" i="172"/>
  <c r="P22" i="172"/>
  <c r="Q22" i="172" s="1"/>
  <c r="N22" i="172"/>
  <c r="M22" i="172"/>
  <c r="L22" i="172"/>
  <c r="K22" i="172"/>
  <c r="J22" i="172"/>
  <c r="H22" i="172"/>
  <c r="G22" i="172"/>
  <c r="F22" i="172"/>
  <c r="D22" i="172"/>
  <c r="P21" i="172"/>
  <c r="Q21" i="172" s="1"/>
  <c r="N21" i="172"/>
  <c r="M21" i="172"/>
  <c r="L21" i="172"/>
  <c r="K21" i="172"/>
  <c r="J21" i="172"/>
  <c r="H21" i="172"/>
  <c r="G21" i="172"/>
  <c r="F21" i="172"/>
  <c r="D21" i="172"/>
  <c r="P20" i="172"/>
  <c r="Q20" i="172" s="1"/>
  <c r="N20" i="172"/>
  <c r="M20" i="172"/>
  <c r="L20" i="172"/>
  <c r="K20" i="172"/>
  <c r="J20" i="172"/>
  <c r="H20" i="172"/>
  <c r="G20" i="172"/>
  <c r="F20" i="172"/>
  <c r="D20" i="172"/>
  <c r="P19" i="172"/>
  <c r="Q19" i="172" s="1"/>
  <c r="N19" i="172"/>
  <c r="M19" i="172"/>
  <c r="L19" i="172"/>
  <c r="K19" i="172"/>
  <c r="J19" i="172"/>
  <c r="H19" i="172"/>
  <c r="G19" i="172"/>
  <c r="F19" i="172"/>
  <c r="D19" i="172"/>
  <c r="P18" i="172"/>
  <c r="Q18" i="172" s="1"/>
  <c r="N18" i="172"/>
  <c r="M18" i="172"/>
  <c r="L18" i="172"/>
  <c r="K18" i="172"/>
  <c r="J18" i="172"/>
  <c r="H18" i="172"/>
  <c r="G18" i="172"/>
  <c r="F18" i="172"/>
  <c r="D18" i="172"/>
  <c r="P17" i="172"/>
  <c r="Q17" i="172" s="1"/>
  <c r="N17" i="172"/>
  <c r="M17" i="172"/>
  <c r="L17" i="172"/>
  <c r="K17" i="172"/>
  <c r="J17" i="172"/>
  <c r="H17" i="172"/>
  <c r="G17" i="172"/>
  <c r="F17" i="172"/>
  <c r="D17" i="172"/>
  <c r="P16" i="172"/>
  <c r="Q16" i="172" s="1"/>
  <c r="N16" i="172"/>
  <c r="M16" i="172"/>
  <c r="L16" i="172"/>
  <c r="K16" i="172"/>
  <c r="J16" i="172"/>
  <c r="H16" i="172"/>
  <c r="G16" i="172"/>
  <c r="F16" i="172"/>
  <c r="D16" i="172"/>
  <c r="A16" i="172"/>
  <c r="A17" i="172" s="1"/>
  <c r="A18" i="172" s="1"/>
  <c r="A19" i="172" s="1"/>
  <c r="A20" i="172" s="1"/>
  <c r="A21" i="172" s="1"/>
  <c r="A22" i="172" s="1"/>
  <c r="A23" i="172" s="1"/>
  <c r="A24" i="172" s="1"/>
  <c r="A25" i="172" s="1"/>
  <c r="A26" i="172" s="1"/>
  <c r="P15" i="172"/>
  <c r="Q15" i="172" s="1"/>
  <c r="N15" i="172"/>
  <c r="M15" i="172"/>
  <c r="L15" i="172"/>
  <c r="K15" i="172"/>
  <c r="J15" i="172"/>
  <c r="H15" i="172"/>
  <c r="G15" i="172"/>
  <c r="F15" i="172"/>
  <c r="D15" i="172"/>
  <c r="I3" i="172"/>
  <c r="G3" i="172"/>
  <c r="E3" i="172"/>
  <c r="I2" i="172"/>
  <c r="G2" i="172"/>
  <c r="U54" i="30"/>
  <c r="O54" i="30" s="1"/>
  <c r="F54" i="30" s="1"/>
  <c r="P47" i="99" s="1"/>
  <c r="C76" i="29"/>
  <c r="P20" i="170"/>
  <c r="Q20" i="170" s="1"/>
  <c r="N20" i="170"/>
  <c r="M20" i="170"/>
  <c r="L20" i="170"/>
  <c r="K20" i="170"/>
  <c r="J20" i="170"/>
  <c r="H20" i="170"/>
  <c r="G20" i="170"/>
  <c r="F20" i="170"/>
  <c r="A20" i="170"/>
  <c r="A21" i="170" s="1"/>
  <c r="A22" i="170" s="1"/>
  <c r="P19" i="170"/>
  <c r="Q19" i="170" s="1"/>
  <c r="N19" i="170"/>
  <c r="M19" i="170"/>
  <c r="L19" i="170"/>
  <c r="K19" i="170"/>
  <c r="J19" i="170"/>
  <c r="H19" i="170"/>
  <c r="G19" i="170"/>
  <c r="F19" i="170"/>
  <c r="P17" i="170"/>
  <c r="Q17" i="170" s="1"/>
  <c r="N17" i="170"/>
  <c r="M17" i="170"/>
  <c r="L17" i="170"/>
  <c r="K17" i="170"/>
  <c r="J17" i="170"/>
  <c r="H17" i="170"/>
  <c r="G17" i="170"/>
  <c r="F17" i="170"/>
  <c r="D17" i="170"/>
  <c r="P16" i="170"/>
  <c r="Q16" i="170" s="1"/>
  <c r="N16" i="170"/>
  <c r="M16" i="170"/>
  <c r="L16" i="170"/>
  <c r="K16" i="170"/>
  <c r="J16" i="170"/>
  <c r="H16" i="170"/>
  <c r="G16" i="170"/>
  <c r="F16" i="170"/>
  <c r="D16" i="170"/>
  <c r="P15" i="170"/>
  <c r="Q15" i="170" s="1"/>
  <c r="N15" i="170"/>
  <c r="M15" i="170"/>
  <c r="L15" i="170"/>
  <c r="K15" i="170"/>
  <c r="J15" i="170"/>
  <c r="H15" i="170"/>
  <c r="G15" i="170"/>
  <c r="F15" i="170"/>
  <c r="D15" i="170"/>
  <c r="P14" i="170"/>
  <c r="Q14" i="170" s="1"/>
  <c r="N14" i="170"/>
  <c r="M14" i="170"/>
  <c r="L14" i="170"/>
  <c r="K14" i="170"/>
  <c r="J14" i="170"/>
  <c r="H14" i="170"/>
  <c r="G14" i="170"/>
  <c r="F14" i="170"/>
  <c r="D14" i="170"/>
  <c r="P13" i="170"/>
  <c r="Q13" i="170" s="1"/>
  <c r="N13" i="170"/>
  <c r="M13" i="170"/>
  <c r="L13" i="170"/>
  <c r="K13" i="170"/>
  <c r="J13" i="170"/>
  <c r="H13" i="170"/>
  <c r="G13" i="170"/>
  <c r="F13" i="170"/>
  <c r="D13" i="170"/>
  <c r="P12" i="170"/>
  <c r="Q12" i="170" s="1"/>
  <c r="N12" i="170"/>
  <c r="M12" i="170"/>
  <c r="L12" i="170"/>
  <c r="K12" i="170"/>
  <c r="J12" i="170"/>
  <c r="H12" i="170"/>
  <c r="G12" i="170"/>
  <c r="F12" i="170"/>
  <c r="D12" i="170"/>
  <c r="P10" i="170"/>
  <c r="Q10" i="170" s="1"/>
  <c r="N10" i="170"/>
  <c r="M10" i="170"/>
  <c r="L10" i="170"/>
  <c r="K10" i="170"/>
  <c r="J10" i="170"/>
  <c r="H10" i="170"/>
  <c r="G10" i="170"/>
  <c r="F10" i="170"/>
  <c r="D10" i="170"/>
  <c r="P9" i="170"/>
  <c r="Q9" i="170" s="1"/>
  <c r="N9" i="170"/>
  <c r="M9" i="170"/>
  <c r="L9" i="170"/>
  <c r="K9" i="170"/>
  <c r="J9" i="170"/>
  <c r="H9" i="170"/>
  <c r="G9" i="170"/>
  <c r="F9" i="170"/>
  <c r="D9" i="170"/>
  <c r="P8" i="170"/>
  <c r="Q8" i="170" s="1"/>
  <c r="N8" i="170"/>
  <c r="M8" i="170"/>
  <c r="L8" i="170"/>
  <c r="K8" i="170"/>
  <c r="J8" i="170"/>
  <c r="H8" i="170"/>
  <c r="G8" i="170"/>
  <c r="F8" i="170"/>
  <c r="D8" i="170"/>
  <c r="A8" i="170"/>
  <c r="A9" i="170" s="1"/>
  <c r="A10" i="170" s="1"/>
  <c r="A11" i="170" s="1"/>
  <c r="A12" i="170" s="1"/>
  <c r="A13" i="170" s="1"/>
  <c r="A14" i="170" s="1"/>
  <c r="A15" i="170" s="1"/>
  <c r="A16" i="170" s="1"/>
  <c r="A17" i="170" s="1"/>
  <c r="P7" i="170"/>
  <c r="Q7" i="170" s="1"/>
  <c r="N7" i="170"/>
  <c r="M7" i="170"/>
  <c r="L7" i="170"/>
  <c r="K7" i="170"/>
  <c r="J7" i="170"/>
  <c r="H7" i="170"/>
  <c r="G7" i="170"/>
  <c r="F7" i="170"/>
  <c r="D7" i="170"/>
  <c r="I3" i="170"/>
  <c r="G3" i="170"/>
  <c r="E3" i="170"/>
  <c r="C3" i="170" s="1"/>
  <c r="I2" i="170"/>
  <c r="G2" i="170"/>
  <c r="P19" i="169"/>
  <c r="Q19" i="169" s="1"/>
  <c r="N19" i="169"/>
  <c r="M19" i="169"/>
  <c r="L19" i="169"/>
  <c r="K19" i="169"/>
  <c r="J19" i="169"/>
  <c r="H19" i="169"/>
  <c r="G19" i="169"/>
  <c r="F19" i="169"/>
  <c r="P16" i="169"/>
  <c r="Q16" i="169" s="1"/>
  <c r="N16" i="169"/>
  <c r="M16" i="169"/>
  <c r="L16" i="169"/>
  <c r="K16" i="169"/>
  <c r="J16" i="169"/>
  <c r="H16" i="169"/>
  <c r="G16" i="169"/>
  <c r="F16" i="169"/>
  <c r="D16" i="169"/>
  <c r="P15" i="169"/>
  <c r="Q15" i="169" s="1"/>
  <c r="N15" i="169"/>
  <c r="M15" i="169"/>
  <c r="L15" i="169"/>
  <c r="K15" i="169"/>
  <c r="J15" i="169"/>
  <c r="H15" i="169"/>
  <c r="G15" i="169"/>
  <c r="F15" i="169"/>
  <c r="D15" i="169"/>
  <c r="P14" i="169"/>
  <c r="Q14" i="169" s="1"/>
  <c r="N14" i="169"/>
  <c r="M14" i="169"/>
  <c r="L14" i="169"/>
  <c r="K14" i="169"/>
  <c r="J14" i="169"/>
  <c r="H14" i="169"/>
  <c r="G14" i="169"/>
  <c r="F14" i="169"/>
  <c r="D14" i="169"/>
  <c r="P13" i="169"/>
  <c r="Q13" i="169" s="1"/>
  <c r="N13" i="169"/>
  <c r="M13" i="169"/>
  <c r="L13" i="169"/>
  <c r="K13" i="169"/>
  <c r="J13" i="169"/>
  <c r="H13" i="169"/>
  <c r="G13" i="169"/>
  <c r="F13" i="169"/>
  <c r="D13" i="169"/>
  <c r="P12" i="169"/>
  <c r="Q12" i="169" s="1"/>
  <c r="N12" i="169"/>
  <c r="M12" i="169"/>
  <c r="L12" i="169"/>
  <c r="K12" i="169"/>
  <c r="J12" i="169"/>
  <c r="H12" i="169"/>
  <c r="G12" i="169"/>
  <c r="F12" i="169"/>
  <c r="D12" i="169"/>
  <c r="P11" i="169"/>
  <c r="Q11" i="169" s="1"/>
  <c r="N11" i="169"/>
  <c r="M11" i="169"/>
  <c r="L11" i="169"/>
  <c r="K11" i="169"/>
  <c r="J11" i="169"/>
  <c r="H11" i="169"/>
  <c r="G11" i="169"/>
  <c r="F11" i="169"/>
  <c r="D11" i="169"/>
  <c r="P10" i="169"/>
  <c r="Q10" i="169" s="1"/>
  <c r="N10" i="169"/>
  <c r="M10" i="169"/>
  <c r="L10" i="169"/>
  <c r="K10" i="169"/>
  <c r="J10" i="169"/>
  <c r="H10" i="169"/>
  <c r="G10" i="169"/>
  <c r="F10" i="169"/>
  <c r="D10" i="169"/>
  <c r="P9" i="169"/>
  <c r="Q9" i="169" s="1"/>
  <c r="N9" i="169"/>
  <c r="M9" i="169"/>
  <c r="L9" i="169"/>
  <c r="K9" i="169"/>
  <c r="J9" i="169"/>
  <c r="H9" i="169"/>
  <c r="G9" i="169"/>
  <c r="F9" i="169"/>
  <c r="D9" i="169"/>
  <c r="P8" i="169"/>
  <c r="Q8" i="169" s="1"/>
  <c r="N8" i="169"/>
  <c r="M8" i="169"/>
  <c r="L8" i="169"/>
  <c r="K8" i="169"/>
  <c r="J8" i="169"/>
  <c r="H8" i="169"/>
  <c r="G8" i="169"/>
  <c r="F8" i="169"/>
  <c r="D8" i="169"/>
  <c r="P7" i="169"/>
  <c r="Q7" i="169" s="1"/>
  <c r="N7" i="169"/>
  <c r="M7" i="169"/>
  <c r="L7" i="169"/>
  <c r="K7" i="169"/>
  <c r="J7" i="169"/>
  <c r="H7" i="169"/>
  <c r="G7" i="169"/>
  <c r="F7" i="169"/>
  <c r="D7" i="169"/>
  <c r="P6" i="169"/>
  <c r="Q6" i="169" s="1"/>
  <c r="N6" i="169"/>
  <c r="M6" i="169"/>
  <c r="L6" i="169"/>
  <c r="K6" i="169"/>
  <c r="J6" i="169"/>
  <c r="H6" i="169"/>
  <c r="G6" i="169"/>
  <c r="F6" i="169"/>
  <c r="D6" i="169"/>
  <c r="A6" i="169"/>
  <c r="A7" i="169" s="1"/>
  <c r="A8" i="169" s="1"/>
  <c r="A9" i="169" s="1"/>
  <c r="A10" i="169" s="1"/>
  <c r="A11" i="169" s="1"/>
  <c r="A12" i="169" s="1"/>
  <c r="A13" i="169" s="1"/>
  <c r="A14" i="169" s="1"/>
  <c r="A15" i="169" s="1"/>
  <c r="A16" i="169" s="1"/>
  <c r="A17" i="169" s="1"/>
  <c r="P5" i="169"/>
  <c r="Q5" i="169" s="1"/>
  <c r="N5" i="169"/>
  <c r="M5" i="169"/>
  <c r="L5" i="169"/>
  <c r="K5" i="169"/>
  <c r="J5" i="169"/>
  <c r="H5" i="169"/>
  <c r="G5" i="169"/>
  <c r="F5" i="169"/>
  <c r="D5" i="169"/>
  <c r="I3" i="169"/>
  <c r="G3" i="169"/>
  <c r="E3" i="169"/>
  <c r="C3" i="169" s="1"/>
  <c r="I2" i="169"/>
  <c r="G2" i="169"/>
  <c r="E54" i="29"/>
  <c r="D8" i="166"/>
  <c r="D9" i="166"/>
  <c r="D10" i="166"/>
  <c r="D11" i="166"/>
  <c r="D12" i="166"/>
  <c r="D13" i="166"/>
  <c r="D14" i="166"/>
  <c r="D15" i="166"/>
  <c r="D16" i="166"/>
  <c r="P25" i="136"/>
  <c r="Q25" i="136" s="1"/>
  <c r="N25" i="136"/>
  <c r="M25" i="136"/>
  <c r="L25" i="136"/>
  <c r="K25" i="136"/>
  <c r="J25" i="136"/>
  <c r="H25" i="136"/>
  <c r="G25" i="136"/>
  <c r="F25" i="136"/>
  <c r="D25" i="136"/>
  <c r="P10" i="65"/>
  <c r="Q10" i="65" s="1"/>
  <c r="N10" i="65"/>
  <c r="M10" i="65"/>
  <c r="L10" i="65"/>
  <c r="K10" i="65"/>
  <c r="J10" i="65"/>
  <c r="H10" i="65"/>
  <c r="G10" i="65"/>
  <c r="F10" i="65"/>
  <c r="D10" i="65"/>
  <c r="P9" i="65"/>
  <c r="Q9" i="65" s="1"/>
  <c r="N9" i="65"/>
  <c r="M9" i="65"/>
  <c r="L9" i="65"/>
  <c r="K9" i="65"/>
  <c r="J9" i="65"/>
  <c r="H9" i="65"/>
  <c r="G9" i="65"/>
  <c r="F9" i="65"/>
  <c r="D9" i="65"/>
  <c r="H8" i="120"/>
  <c r="H7" i="120"/>
  <c r="H6" i="120"/>
  <c r="H5" i="120"/>
  <c r="H8" i="159"/>
  <c r="H7" i="159"/>
  <c r="H10" i="119"/>
  <c r="H9" i="119"/>
  <c r="H8" i="119"/>
  <c r="H17" i="167"/>
  <c r="H16" i="167"/>
  <c r="H15" i="167"/>
  <c r="H14" i="167"/>
  <c r="H13" i="167"/>
  <c r="H12" i="167"/>
  <c r="H11" i="167"/>
  <c r="H10" i="167"/>
  <c r="H9" i="167"/>
  <c r="H8" i="167"/>
  <c r="H7" i="167"/>
  <c r="H14" i="165"/>
  <c r="H13" i="165"/>
  <c r="H12" i="165"/>
  <c r="H11" i="165"/>
  <c r="H10" i="165"/>
  <c r="H9" i="165"/>
  <c r="H11" i="164"/>
  <c r="H10" i="164"/>
  <c r="H9" i="164"/>
  <c r="H11" i="163"/>
  <c r="H10" i="163"/>
  <c r="H9" i="163"/>
  <c r="H8" i="163"/>
  <c r="H7" i="163"/>
  <c r="H12" i="162"/>
  <c r="H11" i="162"/>
  <c r="H10" i="162"/>
  <c r="H30" i="143"/>
  <c r="H29" i="143"/>
  <c r="H28" i="143"/>
  <c r="H27" i="143"/>
  <c r="H16" i="143"/>
  <c r="H26" i="142"/>
  <c r="H25" i="142"/>
  <c r="H24" i="142"/>
  <c r="H23" i="142"/>
  <c r="H22" i="142"/>
  <c r="H21" i="142"/>
  <c r="H16" i="142"/>
  <c r="H32" i="141"/>
  <c r="H31" i="141"/>
  <c r="H30" i="141"/>
  <c r="H29" i="141"/>
  <c r="H28" i="141"/>
  <c r="H27" i="141"/>
  <c r="H26" i="141"/>
  <c r="H25" i="141"/>
  <c r="H11" i="140"/>
  <c r="H10" i="140"/>
  <c r="H9" i="116"/>
  <c r="H8" i="116"/>
  <c r="H7" i="116"/>
  <c r="H6" i="116"/>
  <c r="H5" i="116"/>
  <c r="H14" i="115"/>
  <c r="H13" i="115"/>
  <c r="H12" i="115"/>
  <c r="H11" i="115"/>
  <c r="H10" i="115"/>
  <c r="H9" i="115"/>
  <c r="H29" i="112"/>
  <c r="H28" i="112"/>
  <c r="H27" i="112"/>
  <c r="H26" i="112"/>
  <c r="H25" i="112"/>
  <c r="H24" i="112"/>
  <c r="H23" i="112"/>
  <c r="H22" i="112"/>
  <c r="H21" i="112"/>
  <c r="H20" i="112"/>
  <c r="H19" i="112"/>
  <c r="H18" i="112"/>
  <c r="H17" i="112"/>
  <c r="H16" i="112"/>
  <c r="H15" i="112"/>
  <c r="H14" i="112"/>
  <c r="H15" i="111"/>
  <c r="H14" i="111"/>
  <c r="H13" i="111"/>
  <c r="H12" i="111"/>
  <c r="H15" i="110"/>
  <c r="H14" i="110"/>
  <c r="H13" i="110"/>
  <c r="H12" i="110"/>
  <c r="H11" i="110"/>
  <c r="H18" i="107"/>
  <c r="H17" i="107"/>
  <c r="H16" i="107"/>
  <c r="H15" i="107"/>
  <c r="H14" i="107"/>
  <c r="H13" i="107"/>
  <c r="H16" i="106"/>
  <c r="H15" i="106"/>
  <c r="H14" i="106"/>
  <c r="H13" i="106"/>
  <c r="H12" i="106"/>
  <c r="H11" i="106"/>
  <c r="H11" i="105"/>
  <c r="H10" i="105"/>
  <c r="H11" i="102"/>
  <c r="H9" i="102"/>
  <c r="H8" i="102"/>
  <c r="H7" i="102"/>
  <c r="H9" i="101"/>
  <c r="H8" i="101"/>
  <c r="H7" i="101"/>
  <c r="H18" i="100"/>
  <c r="H17" i="100"/>
  <c r="H16" i="100"/>
  <c r="H15" i="100"/>
  <c r="H13" i="100"/>
  <c r="H12" i="100"/>
  <c r="H36" i="99"/>
  <c r="H30" i="99"/>
  <c r="H29" i="99"/>
  <c r="H28" i="99"/>
  <c r="H27" i="99"/>
  <c r="H26" i="99"/>
  <c r="H23" i="99"/>
  <c r="H22" i="99"/>
  <c r="H19" i="99"/>
  <c r="H18" i="99"/>
  <c r="H17" i="99"/>
  <c r="H16" i="99"/>
  <c r="H15" i="99"/>
  <c r="H16" i="121"/>
  <c r="H15" i="121"/>
  <c r="H14" i="121"/>
  <c r="H13" i="121"/>
  <c r="H12" i="121"/>
  <c r="H14" i="98"/>
  <c r="H17" i="97"/>
  <c r="H16" i="97"/>
  <c r="H15" i="97"/>
  <c r="H14" i="97"/>
  <c r="H13" i="97"/>
  <c r="H14" i="96"/>
  <c r="H14" i="95"/>
  <c r="H14" i="94"/>
  <c r="H16" i="93"/>
  <c r="H15" i="93"/>
  <c r="H14" i="93"/>
  <c r="H13" i="93"/>
  <c r="H12" i="93"/>
  <c r="H17" i="92"/>
  <c r="H16" i="92"/>
  <c r="H15" i="92"/>
  <c r="H14" i="92"/>
  <c r="H13" i="92"/>
  <c r="H12" i="92"/>
  <c r="H11" i="92"/>
  <c r="H14" i="90"/>
  <c r="H9" i="89"/>
  <c r="H8" i="89"/>
  <c r="H7" i="89"/>
  <c r="H14" i="88"/>
  <c r="H13" i="88"/>
  <c r="H12" i="88"/>
  <c r="H10" i="88"/>
  <c r="H17" i="87"/>
  <c r="H16" i="87"/>
  <c r="H15" i="87"/>
  <c r="H14" i="87"/>
  <c r="H13" i="87"/>
  <c r="H16" i="86"/>
  <c r="H15" i="86"/>
  <c r="H14" i="86"/>
  <c r="H13" i="86"/>
  <c r="H12" i="86"/>
  <c r="H11" i="86"/>
  <c r="H14" i="84"/>
  <c r="H49" i="149"/>
  <c r="H48" i="149"/>
  <c r="H47" i="149"/>
  <c r="H46" i="149"/>
  <c r="H45" i="149"/>
  <c r="H44" i="149"/>
  <c r="H43" i="149"/>
  <c r="H42" i="149"/>
  <c r="H41" i="149"/>
  <c r="H40" i="149"/>
  <c r="H39" i="149"/>
  <c r="H38" i="149"/>
  <c r="H37" i="149"/>
  <c r="H35" i="149"/>
  <c r="H34" i="149"/>
  <c r="H33" i="149"/>
  <c r="H32" i="149"/>
  <c r="H31" i="149"/>
  <c r="H30" i="149"/>
  <c r="H29" i="149"/>
  <c r="H28" i="149"/>
  <c r="H27" i="149"/>
  <c r="H26" i="149"/>
  <c r="H25" i="149"/>
  <c r="H24" i="149"/>
  <c r="H23" i="149"/>
  <c r="H22" i="149"/>
  <c r="H21" i="149"/>
  <c r="H49" i="148"/>
  <c r="H48" i="148"/>
  <c r="H47" i="148"/>
  <c r="H46" i="148"/>
  <c r="H45" i="148"/>
  <c r="H44" i="148"/>
  <c r="H43" i="148"/>
  <c r="H42" i="148"/>
  <c r="H41" i="148"/>
  <c r="H40" i="148"/>
  <c r="H39" i="148"/>
  <c r="H38" i="148"/>
  <c r="H37" i="148"/>
  <c r="H35" i="148"/>
  <c r="H34" i="148"/>
  <c r="H33" i="148"/>
  <c r="H32" i="148"/>
  <c r="H31" i="148"/>
  <c r="H30" i="148"/>
  <c r="H29" i="148"/>
  <c r="H28" i="148"/>
  <c r="H27" i="148"/>
  <c r="H26" i="148"/>
  <c r="H25" i="148"/>
  <c r="H24" i="148"/>
  <c r="H23" i="148"/>
  <c r="H22" i="148"/>
  <c r="H21" i="148"/>
  <c r="H60" i="147"/>
  <c r="H59" i="147"/>
  <c r="H58" i="147"/>
  <c r="H57" i="147"/>
  <c r="H56" i="147"/>
  <c r="H55" i="147"/>
  <c r="H54" i="147"/>
  <c r="H53" i="147"/>
  <c r="H52" i="147"/>
  <c r="H51" i="147"/>
  <c r="H50" i="147"/>
  <c r="H49" i="147"/>
  <c r="H48" i="147"/>
  <c r="H47" i="147"/>
  <c r="H46" i="147"/>
  <c r="H45" i="147"/>
  <c r="H44" i="147"/>
  <c r="H43" i="147"/>
  <c r="H41" i="147"/>
  <c r="H40" i="147"/>
  <c r="H39" i="147"/>
  <c r="H38" i="147"/>
  <c r="H37" i="147"/>
  <c r="H36" i="147"/>
  <c r="H35" i="147"/>
  <c r="H34" i="147"/>
  <c r="H33" i="147"/>
  <c r="H32" i="147"/>
  <c r="H31" i="147"/>
  <c r="H30" i="147"/>
  <c r="H29" i="147"/>
  <c r="H28" i="147"/>
  <c r="H27" i="147"/>
  <c r="H26" i="147"/>
  <c r="H25" i="147"/>
  <c r="H24" i="147"/>
  <c r="H23" i="147"/>
  <c r="H22" i="147"/>
  <c r="H49" i="146"/>
  <c r="H48" i="146"/>
  <c r="H47" i="146"/>
  <c r="H46" i="146"/>
  <c r="H44" i="146"/>
  <c r="H43" i="146"/>
  <c r="H42" i="146"/>
  <c r="H40" i="146"/>
  <c r="H39" i="146"/>
  <c r="H38" i="146"/>
  <c r="H37" i="146"/>
  <c r="H36" i="146"/>
  <c r="H35" i="146"/>
  <c r="H34" i="146"/>
  <c r="H33" i="146"/>
  <c r="H32" i="146"/>
  <c r="H31" i="146"/>
  <c r="H30" i="146"/>
  <c r="H29" i="146"/>
  <c r="H28" i="146"/>
  <c r="H27" i="146"/>
  <c r="H26" i="146"/>
  <c r="H25" i="146"/>
  <c r="H24" i="146"/>
  <c r="H23" i="146"/>
  <c r="H22" i="146"/>
  <c r="H21" i="146"/>
  <c r="H20" i="146"/>
  <c r="H19" i="146"/>
  <c r="H18" i="146"/>
  <c r="H25" i="151"/>
  <c r="H24" i="151"/>
  <c r="H23" i="151"/>
  <c r="H22" i="151"/>
  <c r="H21" i="151"/>
  <c r="H20" i="151"/>
  <c r="H19" i="151"/>
  <c r="H18" i="151"/>
  <c r="H17" i="151"/>
  <c r="H16" i="151"/>
  <c r="H15" i="151"/>
  <c r="H24" i="150"/>
  <c r="H23" i="150"/>
  <c r="H21" i="150"/>
  <c r="H20" i="150"/>
  <c r="H19" i="150"/>
  <c r="H18" i="150"/>
  <c r="H17" i="150"/>
  <c r="H16" i="150"/>
  <c r="H11" i="144"/>
  <c r="H10" i="144"/>
  <c r="H9" i="82"/>
  <c r="H8" i="82"/>
  <c r="H7" i="82"/>
  <c r="H6" i="82"/>
  <c r="H5" i="82"/>
  <c r="H7" i="160"/>
  <c r="H14" i="81"/>
  <c r="H13" i="81"/>
  <c r="H12" i="81"/>
  <c r="H11" i="81"/>
  <c r="H10" i="81"/>
  <c r="H9" i="81"/>
  <c r="H13" i="133"/>
  <c r="H12" i="133"/>
  <c r="H11" i="133"/>
  <c r="H10" i="133"/>
  <c r="H9" i="133"/>
  <c r="H12" i="132"/>
  <c r="H11" i="132"/>
  <c r="H10" i="132"/>
  <c r="H9" i="132"/>
  <c r="H8" i="132"/>
  <c r="H15" i="157"/>
  <c r="H14" i="157"/>
  <c r="H13" i="157"/>
  <c r="H12" i="157"/>
  <c r="H11" i="157"/>
  <c r="H11" i="158"/>
  <c r="H11" i="156"/>
  <c r="H28" i="79"/>
  <c r="H27" i="79"/>
  <c r="H26" i="79"/>
  <c r="H25" i="79"/>
  <c r="H24" i="79"/>
  <c r="H23" i="79"/>
  <c r="H22" i="79"/>
  <c r="H21" i="79"/>
  <c r="H20" i="79"/>
  <c r="H19" i="79"/>
  <c r="H24" i="166"/>
  <c r="H23" i="166"/>
  <c r="H22" i="166"/>
  <c r="H21" i="166"/>
  <c r="H20" i="166"/>
  <c r="H19" i="166"/>
  <c r="H18" i="166"/>
  <c r="H17" i="166"/>
  <c r="H16" i="166"/>
  <c r="H13" i="166"/>
  <c r="H12" i="166"/>
  <c r="H11" i="166"/>
  <c r="H10" i="166"/>
  <c r="H9" i="166"/>
  <c r="H8" i="166"/>
  <c r="H9" i="139"/>
  <c r="H13" i="137"/>
  <c r="H12" i="137"/>
  <c r="H11" i="137"/>
  <c r="H24" i="136"/>
  <c r="H23" i="136"/>
  <c r="H22" i="136"/>
  <c r="H21" i="136"/>
  <c r="H20" i="136"/>
  <c r="H19" i="136"/>
  <c r="H18" i="136"/>
  <c r="H17" i="136"/>
  <c r="H16" i="136"/>
  <c r="H15" i="135"/>
  <c r="H14" i="135"/>
  <c r="H13" i="135"/>
  <c r="H12" i="135"/>
  <c r="H11" i="135"/>
  <c r="H26" i="134"/>
  <c r="H25" i="134"/>
  <c r="H24" i="134"/>
  <c r="H23" i="134"/>
  <c r="H22" i="134"/>
  <c r="H21" i="134"/>
  <c r="H19" i="134"/>
  <c r="H18" i="134"/>
  <c r="H17" i="134"/>
  <c r="H16" i="134"/>
  <c r="H15" i="134"/>
  <c r="H14" i="134"/>
  <c r="H13" i="134"/>
  <c r="H46" i="77"/>
  <c r="H45" i="77"/>
  <c r="H44" i="77"/>
  <c r="H42" i="77"/>
  <c r="H41" i="77"/>
  <c r="H40" i="77"/>
  <c r="H39" i="77"/>
  <c r="H38" i="77"/>
  <c r="H37" i="77"/>
  <c r="H36" i="77"/>
  <c r="H35" i="77"/>
  <c r="H34" i="77"/>
  <c r="H33" i="77"/>
  <c r="H32" i="77"/>
  <c r="H31" i="77"/>
  <c r="H30" i="77"/>
  <c r="H29" i="77"/>
  <c r="H28" i="77"/>
  <c r="H27" i="77"/>
  <c r="H26" i="77"/>
  <c r="H25" i="77"/>
  <c r="H24" i="77"/>
  <c r="H23" i="77"/>
  <c r="H22" i="77"/>
  <c r="H8" i="154"/>
  <c r="H11" i="153"/>
  <c r="H11" i="152"/>
  <c r="H22" i="76"/>
  <c r="H21" i="76"/>
  <c r="H20" i="76"/>
  <c r="H19" i="76"/>
  <c r="H18" i="76"/>
  <c r="H17" i="76"/>
  <c r="H16" i="76"/>
  <c r="H15" i="76"/>
  <c r="H26" i="75"/>
  <c r="H25" i="75"/>
  <c r="H24" i="75"/>
  <c r="H23" i="75"/>
  <c r="H22" i="75"/>
  <c r="H21" i="75"/>
  <c r="H20" i="75"/>
  <c r="H19" i="75"/>
  <c r="H18" i="75"/>
  <c r="H17" i="75"/>
  <c r="H16" i="75"/>
  <c r="H12" i="74"/>
  <c r="H11" i="74"/>
  <c r="H10" i="72"/>
  <c r="H9" i="72"/>
  <c r="H8" i="72"/>
  <c r="H10" i="71"/>
  <c r="H9" i="71"/>
  <c r="H8" i="71"/>
  <c r="H9" i="70"/>
  <c r="H8" i="70"/>
  <c r="H7" i="70"/>
  <c r="H14" i="161"/>
  <c r="H13" i="161"/>
  <c r="H15" i="131"/>
  <c r="H14" i="131"/>
  <c r="H13" i="131"/>
  <c r="H12" i="131"/>
  <c r="H11" i="131"/>
  <c r="H31" i="67"/>
  <c r="H29" i="67"/>
  <c r="H28" i="67"/>
  <c r="H27" i="67"/>
  <c r="H26" i="67"/>
  <c r="H24" i="67"/>
  <c r="H23" i="67"/>
  <c r="H20" i="67"/>
  <c r="H19" i="67"/>
  <c r="H18" i="67"/>
  <c r="H17" i="67"/>
  <c r="H16" i="67"/>
  <c r="H11" i="130"/>
  <c r="H10" i="130"/>
  <c r="H9" i="130"/>
  <c r="H8" i="130"/>
  <c r="H7" i="128"/>
  <c r="H49" i="66"/>
  <c r="H47" i="66"/>
  <c r="H46" i="66"/>
  <c r="H45" i="66"/>
  <c r="H44" i="66"/>
  <c r="H43" i="66"/>
  <c r="H42" i="66"/>
  <c r="H41" i="66"/>
  <c r="H40" i="66"/>
  <c r="H39" i="66"/>
  <c r="H38" i="66"/>
  <c r="H37" i="66"/>
  <c r="H36" i="66"/>
  <c r="H35" i="66"/>
  <c r="H34" i="66"/>
  <c r="H33" i="66"/>
  <c r="H32" i="66"/>
  <c r="H31" i="66"/>
  <c r="H30" i="66"/>
  <c r="H13" i="127"/>
  <c r="H12" i="127"/>
  <c r="H11" i="127"/>
  <c r="H10" i="127"/>
  <c r="H9" i="127"/>
  <c r="H16" i="126"/>
  <c r="H15" i="126"/>
  <c r="H14" i="126"/>
  <c r="H13" i="126"/>
  <c r="H12" i="126"/>
  <c r="H11" i="126"/>
  <c r="H16" i="125"/>
  <c r="H15" i="125"/>
  <c r="H14" i="125"/>
  <c r="H13" i="125"/>
  <c r="H12" i="125"/>
  <c r="H11" i="125"/>
  <c r="H13" i="124"/>
  <c r="H12" i="124"/>
  <c r="H11" i="124"/>
  <c r="H10" i="124"/>
  <c r="H9" i="124"/>
  <c r="H16" i="123"/>
  <c r="H15" i="123"/>
  <c r="H14" i="123"/>
  <c r="H13" i="123"/>
  <c r="H12" i="123"/>
  <c r="H11" i="123"/>
  <c r="H11" i="122"/>
  <c r="H10" i="122"/>
  <c r="H9" i="122"/>
  <c r="H8" i="122"/>
  <c r="H7" i="122"/>
  <c r="H8" i="65"/>
  <c r="H7" i="65"/>
  <c r="H11" i="64"/>
  <c r="H10" i="64"/>
  <c r="H9" i="64"/>
  <c r="H8" i="64"/>
  <c r="H7" i="64"/>
  <c r="H25" i="63"/>
  <c r="H7" i="138"/>
  <c r="H12" i="62"/>
  <c r="H11" i="62"/>
  <c r="H9" i="61"/>
  <c r="H8" i="61"/>
  <c r="H7" i="61"/>
  <c r="H10" i="60"/>
  <c r="H9" i="60"/>
  <c r="H8" i="60"/>
  <c r="H7" i="60"/>
  <c r="H10" i="59"/>
  <c r="H9" i="59"/>
  <c r="H8" i="59"/>
  <c r="H7" i="59"/>
  <c r="H7" i="58"/>
  <c r="H8" i="57"/>
  <c r="H7" i="57"/>
  <c r="H22" i="55"/>
  <c r="H21" i="55"/>
  <c r="H6" i="54"/>
  <c r="H5" i="54"/>
  <c r="H7" i="53"/>
  <c r="H6" i="53"/>
  <c r="H5" i="53"/>
  <c r="H7" i="52"/>
  <c r="H6" i="52"/>
  <c r="H5" i="52"/>
  <c r="H25" i="51"/>
  <c r="H24" i="51"/>
  <c r="H23" i="51"/>
  <c r="H22" i="51"/>
  <c r="H21" i="51"/>
  <c r="H20" i="51"/>
  <c r="H19" i="51"/>
  <c r="H18" i="51"/>
  <c r="H17" i="51"/>
  <c r="H16" i="51"/>
  <c r="H15" i="51"/>
  <c r="H14" i="51"/>
  <c r="H13" i="51"/>
  <c r="H12" i="51"/>
  <c r="H11" i="51"/>
  <c r="H9" i="51"/>
  <c r="H8" i="51"/>
  <c r="H7" i="51"/>
  <c r="H6" i="51"/>
  <c r="H5" i="51"/>
  <c r="H15" i="50"/>
  <c r="H14" i="50"/>
  <c r="H13" i="50"/>
  <c r="H12" i="50"/>
  <c r="H11" i="50"/>
  <c r="H10" i="50"/>
  <c r="H9" i="50"/>
  <c r="H8" i="50"/>
  <c r="H7" i="50"/>
  <c r="H6" i="50"/>
  <c r="H5" i="50"/>
  <c r="H15" i="48"/>
  <c r="H14" i="48"/>
  <c r="H13" i="48"/>
  <c r="H12" i="48"/>
  <c r="H11" i="48"/>
  <c r="H10" i="48"/>
  <c r="H9" i="48"/>
  <c r="H8" i="48"/>
  <c r="H7" i="48"/>
  <c r="H6" i="48"/>
  <c r="H5" i="48"/>
  <c r="H24" i="49"/>
  <c r="H23" i="49"/>
  <c r="H22" i="49"/>
  <c r="H21" i="49"/>
  <c r="H20" i="49"/>
  <c r="H19" i="49"/>
  <c r="H18" i="49"/>
  <c r="H17" i="49"/>
  <c r="H16" i="49"/>
  <c r="H15" i="49"/>
  <c r="H14" i="49"/>
  <c r="H13" i="49"/>
  <c r="H12" i="49"/>
  <c r="H11" i="49"/>
  <c r="H10" i="49"/>
  <c r="H8" i="49"/>
  <c r="H7" i="49"/>
  <c r="H6" i="49"/>
  <c r="H5" i="49"/>
  <c r="H21" i="47"/>
  <c r="H20" i="47"/>
  <c r="H19" i="47"/>
  <c r="H18" i="47"/>
  <c r="H16" i="47"/>
  <c r="H15" i="47"/>
  <c r="H14" i="47"/>
  <c r="H13" i="47"/>
  <c r="H12" i="47"/>
  <c r="H11" i="47"/>
  <c r="H10" i="47"/>
  <c r="H9" i="47"/>
  <c r="H8" i="47"/>
  <c r="H7" i="47"/>
  <c r="H6" i="47"/>
  <c r="H5" i="47"/>
  <c r="H26" i="46"/>
  <c r="H25" i="46"/>
  <c r="H18" i="46"/>
  <c r="H17" i="46"/>
  <c r="H16" i="46"/>
  <c r="H15" i="46"/>
  <c r="H14" i="46"/>
  <c r="H13" i="46"/>
  <c r="H12" i="46"/>
  <c r="H11" i="46"/>
  <c r="H10" i="46"/>
  <c r="H9" i="46"/>
  <c r="H8" i="46"/>
  <c r="H7" i="46"/>
  <c r="H6" i="46"/>
  <c r="H5" i="46"/>
  <c r="J8" i="120"/>
  <c r="J7" i="120"/>
  <c r="J6" i="120"/>
  <c r="J5" i="120"/>
  <c r="J8" i="159"/>
  <c r="J7" i="159"/>
  <c r="J10" i="119"/>
  <c r="J9" i="119"/>
  <c r="J8" i="119"/>
  <c r="J17" i="167"/>
  <c r="J16" i="167"/>
  <c r="J15" i="167"/>
  <c r="J14" i="167"/>
  <c r="J13" i="167"/>
  <c r="J12" i="167"/>
  <c r="J11" i="167"/>
  <c r="J10" i="167"/>
  <c r="J9" i="167"/>
  <c r="J8" i="167"/>
  <c r="J7" i="167"/>
  <c r="J14" i="165"/>
  <c r="J13" i="165"/>
  <c r="J12" i="165"/>
  <c r="J11" i="165"/>
  <c r="J10" i="165"/>
  <c r="J9" i="165"/>
  <c r="J11" i="164"/>
  <c r="J10" i="164"/>
  <c r="J9" i="164"/>
  <c r="J11" i="163"/>
  <c r="J10" i="163"/>
  <c r="J9" i="163"/>
  <c r="J8" i="163"/>
  <c r="J7" i="163"/>
  <c r="J12" i="162"/>
  <c r="J11" i="162"/>
  <c r="J10" i="162"/>
  <c r="J30" i="143"/>
  <c r="J29" i="143"/>
  <c r="J28" i="143"/>
  <c r="J27" i="143"/>
  <c r="J16" i="143"/>
  <c r="J26" i="142"/>
  <c r="J25" i="142"/>
  <c r="J24" i="142"/>
  <c r="J23" i="142"/>
  <c r="J22" i="142"/>
  <c r="J21" i="142"/>
  <c r="J16" i="142"/>
  <c r="J32" i="141"/>
  <c r="J31" i="141"/>
  <c r="J30" i="141"/>
  <c r="J29" i="141"/>
  <c r="J28" i="141"/>
  <c r="J27" i="141"/>
  <c r="J26" i="141"/>
  <c r="J25" i="141"/>
  <c r="J11" i="140"/>
  <c r="J10" i="140"/>
  <c r="J9" i="116"/>
  <c r="J8" i="116"/>
  <c r="J7" i="116"/>
  <c r="J6" i="116"/>
  <c r="J5" i="116"/>
  <c r="J14" i="115"/>
  <c r="J13" i="115"/>
  <c r="J12" i="115"/>
  <c r="J11" i="115"/>
  <c r="J10" i="115"/>
  <c r="J9" i="115"/>
  <c r="J29" i="112"/>
  <c r="J28" i="112"/>
  <c r="J27" i="112"/>
  <c r="J26" i="112"/>
  <c r="J25" i="112"/>
  <c r="J24" i="112"/>
  <c r="J23" i="112"/>
  <c r="J22" i="112"/>
  <c r="J21" i="112"/>
  <c r="J20" i="112"/>
  <c r="J19" i="112"/>
  <c r="J18" i="112"/>
  <c r="J17" i="112"/>
  <c r="J16" i="112"/>
  <c r="J15" i="112"/>
  <c r="J14" i="112"/>
  <c r="J15" i="111"/>
  <c r="J14" i="111"/>
  <c r="J13" i="111"/>
  <c r="J12" i="111"/>
  <c r="J15" i="110"/>
  <c r="J14" i="110"/>
  <c r="J13" i="110"/>
  <c r="J12" i="110"/>
  <c r="J11" i="110"/>
  <c r="J18" i="107"/>
  <c r="J17" i="107"/>
  <c r="J16" i="107"/>
  <c r="J15" i="107"/>
  <c r="J14" i="107"/>
  <c r="J13" i="107"/>
  <c r="J16" i="106"/>
  <c r="J15" i="106"/>
  <c r="J14" i="106"/>
  <c r="J13" i="106"/>
  <c r="J12" i="106"/>
  <c r="J11" i="106"/>
  <c r="J11" i="105"/>
  <c r="J10" i="105"/>
  <c r="J11" i="102"/>
  <c r="J9" i="102"/>
  <c r="J8" i="102"/>
  <c r="J7" i="102"/>
  <c r="J9" i="101"/>
  <c r="J8" i="101"/>
  <c r="J7" i="101"/>
  <c r="J18" i="100"/>
  <c r="J17" i="100"/>
  <c r="J16" i="100"/>
  <c r="J15" i="100"/>
  <c r="J13" i="100"/>
  <c r="J12" i="100"/>
  <c r="J36" i="99"/>
  <c r="J30" i="99"/>
  <c r="J29" i="99"/>
  <c r="J28" i="99"/>
  <c r="J27" i="99"/>
  <c r="J26" i="99"/>
  <c r="J23" i="99"/>
  <c r="J22" i="99"/>
  <c r="J19" i="99"/>
  <c r="J18" i="99"/>
  <c r="J17" i="99"/>
  <c r="J16" i="99"/>
  <c r="J15" i="99"/>
  <c r="J16" i="121"/>
  <c r="J15" i="121"/>
  <c r="J14" i="121"/>
  <c r="J13" i="121"/>
  <c r="J12" i="121"/>
  <c r="J14" i="98"/>
  <c r="J17" i="97"/>
  <c r="J16" i="97"/>
  <c r="J15" i="97"/>
  <c r="J14" i="97"/>
  <c r="J13" i="97"/>
  <c r="J14" i="96"/>
  <c r="J14" i="95"/>
  <c r="J14" i="94"/>
  <c r="J16" i="93"/>
  <c r="J15" i="93"/>
  <c r="J14" i="93"/>
  <c r="J13" i="93"/>
  <c r="J12" i="93"/>
  <c r="J17" i="92"/>
  <c r="J16" i="92"/>
  <c r="J15" i="92"/>
  <c r="J14" i="92"/>
  <c r="J13" i="92"/>
  <c r="J12" i="92"/>
  <c r="J11" i="92"/>
  <c r="J14" i="90"/>
  <c r="J9" i="89"/>
  <c r="J8" i="89"/>
  <c r="J7" i="89"/>
  <c r="J14" i="88"/>
  <c r="J13" i="88"/>
  <c r="J12" i="88"/>
  <c r="J10" i="88"/>
  <c r="J17" i="87"/>
  <c r="J16" i="87"/>
  <c r="J15" i="87"/>
  <c r="J14" i="87"/>
  <c r="J13" i="87"/>
  <c r="J16" i="86"/>
  <c r="J15" i="86"/>
  <c r="J14" i="86"/>
  <c r="J13" i="86"/>
  <c r="J12" i="86"/>
  <c r="J11" i="86"/>
  <c r="J14" i="84"/>
  <c r="J49" i="149"/>
  <c r="J48" i="149"/>
  <c r="J47" i="149"/>
  <c r="J46" i="149"/>
  <c r="J45" i="149"/>
  <c r="J44" i="149"/>
  <c r="J43" i="149"/>
  <c r="J42" i="149"/>
  <c r="J41" i="149"/>
  <c r="J40" i="149"/>
  <c r="J39" i="149"/>
  <c r="J38" i="149"/>
  <c r="J37" i="149"/>
  <c r="J36" i="149"/>
  <c r="J35" i="149"/>
  <c r="J34" i="149"/>
  <c r="J33" i="149"/>
  <c r="J32" i="149"/>
  <c r="J31" i="149"/>
  <c r="J30" i="149"/>
  <c r="J29" i="149"/>
  <c r="J28" i="149"/>
  <c r="J27" i="149"/>
  <c r="J26" i="149"/>
  <c r="J25" i="149"/>
  <c r="J24" i="149"/>
  <c r="J23" i="149"/>
  <c r="J22" i="149"/>
  <c r="J21" i="149"/>
  <c r="J49" i="148"/>
  <c r="J48" i="148"/>
  <c r="J47" i="148"/>
  <c r="J46" i="148"/>
  <c r="J45" i="148"/>
  <c r="J44" i="148"/>
  <c r="J43" i="148"/>
  <c r="J42" i="148"/>
  <c r="J41" i="148"/>
  <c r="J40" i="148"/>
  <c r="J39" i="148"/>
  <c r="J38" i="148"/>
  <c r="J37" i="148"/>
  <c r="J36" i="148"/>
  <c r="J35" i="148"/>
  <c r="J34" i="148"/>
  <c r="J33" i="148"/>
  <c r="J32" i="148"/>
  <c r="J31" i="148"/>
  <c r="J30" i="148"/>
  <c r="J29" i="148"/>
  <c r="J28" i="148"/>
  <c r="J27" i="148"/>
  <c r="J26" i="148"/>
  <c r="J25" i="148"/>
  <c r="J24" i="148"/>
  <c r="J23" i="148"/>
  <c r="J22" i="148"/>
  <c r="J21" i="148"/>
  <c r="J60" i="147"/>
  <c r="J59" i="147"/>
  <c r="J58" i="147"/>
  <c r="J57" i="147"/>
  <c r="J56" i="147"/>
  <c r="J55" i="147"/>
  <c r="J54" i="147"/>
  <c r="J53" i="147"/>
  <c r="J52" i="147"/>
  <c r="J51" i="147"/>
  <c r="J50" i="147"/>
  <c r="J49" i="147"/>
  <c r="J48" i="147"/>
  <c r="J47" i="147"/>
  <c r="J46" i="147"/>
  <c r="J45" i="147"/>
  <c r="J44" i="147"/>
  <c r="J43" i="147"/>
  <c r="J42" i="147"/>
  <c r="J41" i="147"/>
  <c r="J40" i="147"/>
  <c r="J39" i="147"/>
  <c r="J38" i="147"/>
  <c r="J37" i="147"/>
  <c r="J36" i="147"/>
  <c r="J35" i="147"/>
  <c r="J34" i="147"/>
  <c r="J33" i="147"/>
  <c r="J32" i="147"/>
  <c r="J31" i="147"/>
  <c r="J30" i="147"/>
  <c r="J29" i="147"/>
  <c r="J28" i="147"/>
  <c r="J27" i="147"/>
  <c r="J26" i="147"/>
  <c r="J25" i="147"/>
  <c r="J24" i="147"/>
  <c r="J23" i="147"/>
  <c r="J22" i="147"/>
  <c r="J49" i="146"/>
  <c r="J48" i="146"/>
  <c r="J47" i="146"/>
  <c r="J46" i="146"/>
  <c r="J44" i="146"/>
  <c r="J43" i="146"/>
  <c r="J42" i="146"/>
  <c r="J40" i="146"/>
  <c r="J39" i="146"/>
  <c r="J38" i="146"/>
  <c r="J37" i="146"/>
  <c r="J36" i="146"/>
  <c r="J35" i="146"/>
  <c r="J34" i="146"/>
  <c r="J33" i="146"/>
  <c r="J32" i="146"/>
  <c r="J31" i="146"/>
  <c r="J30" i="146"/>
  <c r="J29" i="146"/>
  <c r="J28" i="146"/>
  <c r="J27" i="146"/>
  <c r="J26" i="146"/>
  <c r="J25" i="146"/>
  <c r="J24" i="146"/>
  <c r="J23" i="146"/>
  <c r="J22" i="146"/>
  <c r="J21" i="146"/>
  <c r="J20" i="146"/>
  <c r="J19" i="146"/>
  <c r="J18" i="146"/>
  <c r="J25" i="151"/>
  <c r="J24" i="151"/>
  <c r="J23" i="151"/>
  <c r="J22" i="151"/>
  <c r="J21" i="151"/>
  <c r="J20" i="151"/>
  <c r="J19" i="151"/>
  <c r="J18" i="151"/>
  <c r="J17" i="151"/>
  <c r="J16" i="151"/>
  <c r="J15" i="151"/>
  <c r="J24" i="150"/>
  <c r="J23" i="150"/>
  <c r="J22" i="150"/>
  <c r="J21" i="150"/>
  <c r="J20" i="150"/>
  <c r="J19" i="150"/>
  <c r="J18" i="150"/>
  <c r="J17" i="150"/>
  <c r="J16" i="150"/>
  <c r="J11" i="144"/>
  <c r="J10" i="144"/>
  <c r="J9" i="82"/>
  <c r="J8" i="82"/>
  <c r="J7" i="82"/>
  <c r="J6" i="82"/>
  <c r="J5" i="82"/>
  <c r="J7" i="160"/>
  <c r="J14" i="81"/>
  <c r="J13" i="81"/>
  <c r="J12" i="81"/>
  <c r="J11" i="81"/>
  <c r="J10" i="81"/>
  <c r="J9" i="81"/>
  <c r="J13" i="133"/>
  <c r="J12" i="133"/>
  <c r="J11" i="133"/>
  <c r="J10" i="133"/>
  <c r="J9" i="133"/>
  <c r="J12" i="132"/>
  <c r="J11" i="132"/>
  <c r="J10" i="132"/>
  <c r="J9" i="132"/>
  <c r="J8" i="132"/>
  <c r="J15" i="157"/>
  <c r="J14" i="157"/>
  <c r="J13" i="157"/>
  <c r="J12" i="157"/>
  <c r="J11" i="157"/>
  <c r="J11" i="158"/>
  <c r="J11" i="156"/>
  <c r="J28" i="79"/>
  <c r="J27" i="79"/>
  <c r="J26" i="79"/>
  <c r="J25" i="79"/>
  <c r="J24" i="79"/>
  <c r="J23" i="79"/>
  <c r="J22" i="79"/>
  <c r="J21" i="79"/>
  <c r="J20" i="79"/>
  <c r="J19" i="79"/>
  <c r="J24" i="166"/>
  <c r="J23" i="166"/>
  <c r="J22" i="166"/>
  <c r="J21" i="166"/>
  <c r="J20" i="166"/>
  <c r="J19" i="166"/>
  <c r="J18" i="166"/>
  <c r="J17" i="166"/>
  <c r="J16" i="166"/>
  <c r="J13" i="166"/>
  <c r="J12" i="166"/>
  <c r="J11" i="166"/>
  <c r="J10" i="166"/>
  <c r="J9" i="166"/>
  <c r="J8" i="166"/>
  <c r="J9" i="139"/>
  <c r="J13" i="137"/>
  <c r="J12" i="137"/>
  <c r="J11" i="137"/>
  <c r="J24" i="136"/>
  <c r="J23" i="136"/>
  <c r="J22" i="136"/>
  <c r="J21" i="136"/>
  <c r="J20" i="136"/>
  <c r="J19" i="136"/>
  <c r="J18" i="136"/>
  <c r="J17" i="136"/>
  <c r="J16" i="136"/>
  <c r="J15" i="135"/>
  <c r="J14" i="135"/>
  <c r="J13" i="135"/>
  <c r="J12" i="135"/>
  <c r="J11" i="135"/>
  <c r="J26" i="134"/>
  <c r="J25" i="134"/>
  <c r="J24" i="134"/>
  <c r="J23" i="134"/>
  <c r="J22" i="134"/>
  <c r="J21" i="134"/>
  <c r="J19" i="134"/>
  <c r="J18" i="134"/>
  <c r="J17" i="134"/>
  <c r="J16" i="134"/>
  <c r="J15" i="134"/>
  <c r="J14" i="134"/>
  <c r="J13" i="134"/>
  <c r="J46" i="77"/>
  <c r="J45" i="77"/>
  <c r="J44" i="77"/>
  <c r="J42" i="77"/>
  <c r="J41" i="77"/>
  <c r="J40" i="77"/>
  <c r="J39" i="77"/>
  <c r="J38" i="77"/>
  <c r="J37" i="77"/>
  <c r="J36" i="77"/>
  <c r="J35" i="77"/>
  <c r="J34" i="77"/>
  <c r="J33" i="77"/>
  <c r="J32" i="77"/>
  <c r="J31" i="77"/>
  <c r="J30" i="77"/>
  <c r="J29" i="77"/>
  <c r="J28" i="77"/>
  <c r="J27" i="77"/>
  <c r="J26" i="77"/>
  <c r="J25" i="77"/>
  <c r="J24" i="77"/>
  <c r="J23" i="77"/>
  <c r="J22" i="77"/>
  <c r="J8" i="154"/>
  <c r="J11" i="153"/>
  <c r="J11" i="152"/>
  <c r="J22" i="76"/>
  <c r="J21" i="76"/>
  <c r="J20" i="76"/>
  <c r="J19" i="76"/>
  <c r="J18" i="76"/>
  <c r="J17" i="76"/>
  <c r="J16" i="76"/>
  <c r="J15" i="76"/>
  <c r="J26" i="75"/>
  <c r="J25" i="75"/>
  <c r="J24" i="75"/>
  <c r="J23" i="75"/>
  <c r="J22" i="75"/>
  <c r="J21" i="75"/>
  <c r="J20" i="75"/>
  <c r="J19" i="75"/>
  <c r="J18" i="75"/>
  <c r="J17" i="75"/>
  <c r="J16" i="75"/>
  <c r="J12" i="74"/>
  <c r="J11" i="74"/>
  <c r="J10" i="72"/>
  <c r="J9" i="72"/>
  <c r="J8" i="72"/>
  <c r="J10" i="71"/>
  <c r="J9" i="71"/>
  <c r="J8" i="71"/>
  <c r="J9" i="70"/>
  <c r="J8" i="70"/>
  <c r="J7" i="70"/>
  <c r="J14" i="161"/>
  <c r="J13" i="161"/>
  <c r="J15" i="131"/>
  <c r="J14" i="131"/>
  <c r="J13" i="131"/>
  <c r="J12" i="131"/>
  <c r="J11" i="131"/>
  <c r="J31" i="67"/>
  <c r="J29" i="67"/>
  <c r="J28" i="67"/>
  <c r="J27" i="67"/>
  <c r="J26" i="67"/>
  <c r="J24" i="67"/>
  <c r="J23" i="67"/>
  <c r="J20" i="67"/>
  <c r="J19" i="67"/>
  <c r="J18" i="67"/>
  <c r="J17" i="67"/>
  <c r="J16" i="67"/>
  <c r="J11" i="130"/>
  <c r="J10" i="130"/>
  <c r="J9" i="130"/>
  <c r="J8" i="130"/>
  <c r="J7" i="128"/>
  <c r="J49" i="66"/>
  <c r="J47" i="66"/>
  <c r="J46" i="66"/>
  <c r="J45" i="66"/>
  <c r="J44" i="66"/>
  <c r="J43" i="66"/>
  <c r="J42" i="66"/>
  <c r="J41" i="66"/>
  <c r="J40" i="66"/>
  <c r="J39" i="66"/>
  <c r="J38" i="66"/>
  <c r="J37" i="66"/>
  <c r="J36" i="66"/>
  <c r="J35" i="66"/>
  <c r="J34" i="66"/>
  <c r="J33" i="66"/>
  <c r="J32" i="66"/>
  <c r="J31" i="66"/>
  <c r="J30" i="66"/>
  <c r="J29" i="66"/>
  <c r="J28" i="66"/>
  <c r="J27" i="66"/>
  <c r="J26" i="66"/>
  <c r="J25" i="66"/>
  <c r="J24" i="66"/>
  <c r="J23" i="66"/>
  <c r="J22" i="66"/>
  <c r="J13" i="127"/>
  <c r="J12" i="127"/>
  <c r="J11" i="127"/>
  <c r="J10" i="127"/>
  <c r="J9" i="127"/>
  <c r="J16" i="126"/>
  <c r="J15" i="126"/>
  <c r="J14" i="126"/>
  <c r="J13" i="126"/>
  <c r="J12" i="126"/>
  <c r="J11" i="126"/>
  <c r="J16" i="125"/>
  <c r="J15" i="125"/>
  <c r="J14" i="125"/>
  <c r="J13" i="125"/>
  <c r="J12" i="125"/>
  <c r="J11" i="125"/>
  <c r="J13" i="124"/>
  <c r="J12" i="124"/>
  <c r="J11" i="124"/>
  <c r="J10" i="124"/>
  <c r="J9" i="124"/>
  <c r="J16" i="123"/>
  <c r="J15" i="123"/>
  <c r="J14" i="123"/>
  <c r="J13" i="123"/>
  <c r="J12" i="123"/>
  <c r="J11" i="123"/>
  <c r="J11" i="122"/>
  <c r="J10" i="122"/>
  <c r="J9" i="122"/>
  <c r="J8" i="122"/>
  <c r="J7" i="122"/>
  <c r="J8" i="65"/>
  <c r="J7" i="65"/>
  <c r="J14" i="64"/>
  <c r="J13" i="64"/>
  <c r="J12" i="64"/>
  <c r="J11" i="64"/>
  <c r="J10" i="64"/>
  <c r="J9" i="64"/>
  <c r="J8" i="64"/>
  <c r="J7" i="64"/>
  <c r="J25" i="63"/>
  <c r="J7" i="138"/>
  <c r="J12" i="62"/>
  <c r="J11" i="62"/>
  <c r="J9" i="61"/>
  <c r="J8" i="61"/>
  <c r="J7" i="61"/>
  <c r="J10" i="60"/>
  <c r="J9" i="60"/>
  <c r="J8" i="60"/>
  <c r="J7" i="60"/>
  <c r="J10" i="59"/>
  <c r="J9" i="59"/>
  <c r="J8" i="59"/>
  <c r="J7" i="59"/>
  <c r="J7" i="58"/>
  <c r="J8" i="57"/>
  <c r="J7" i="57"/>
  <c r="J22" i="55"/>
  <c r="J21" i="55"/>
  <c r="J6" i="54"/>
  <c r="J5" i="54"/>
  <c r="J7" i="53"/>
  <c r="J6" i="53"/>
  <c r="J5" i="53"/>
  <c r="J7" i="52"/>
  <c r="J6" i="52"/>
  <c r="J5" i="52"/>
  <c r="J25" i="51"/>
  <c r="J24" i="51"/>
  <c r="J23" i="51"/>
  <c r="J22" i="51"/>
  <c r="J21" i="51"/>
  <c r="J20" i="51"/>
  <c r="J19" i="51"/>
  <c r="J18" i="51"/>
  <c r="J17" i="51"/>
  <c r="J16" i="51"/>
  <c r="J15" i="51"/>
  <c r="J14" i="51"/>
  <c r="J13" i="51"/>
  <c r="J12" i="51"/>
  <c r="J11" i="51"/>
  <c r="J9" i="51"/>
  <c r="J8" i="51"/>
  <c r="J7" i="51"/>
  <c r="J6" i="51"/>
  <c r="J5" i="51"/>
  <c r="J15" i="50"/>
  <c r="J14" i="50"/>
  <c r="J13" i="50"/>
  <c r="J12" i="50"/>
  <c r="J11" i="50"/>
  <c r="J10" i="50"/>
  <c r="J9" i="50"/>
  <c r="J8" i="50"/>
  <c r="J7" i="50"/>
  <c r="J6" i="50"/>
  <c r="J5" i="50"/>
  <c r="J15" i="48"/>
  <c r="J14" i="48"/>
  <c r="J13" i="48"/>
  <c r="J12" i="48"/>
  <c r="J11" i="48"/>
  <c r="J10" i="48"/>
  <c r="J9" i="48"/>
  <c r="J8" i="48"/>
  <c r="J7" i="48"/>
  <c r="J6" i="48"/>
  <c r="J5" i="48"/>
  <c r="J24" i="49"/>
  <c r="J23" i="49"/>
  <c r="J22" i="49"/>
  <c r="J21" i="49"/>
  <c r="J20" i="49"/>
  <c r="J19" i="49"/>
  <c r="J18" i="49"/>
  <c r="J17" i="49"/>
  <c r="J16" i="49"/>
  <c r="J15" i="49"/>
  <c r="J14" i="49"/>
  <c r="J13" i="49"/>
  <c r="J12" i="49"/>
  <c r="J11" i="49"/>
  <c r="J10" i="49"/>
  <c r="J8" i="49"/>
  <c r="J7" i="49"/>
  <c r="J6" i="49"/>
  <c r="J5" i="49"/>
  <c r="J21" i="47"/>
  <c r="J20" i="47"/>
  <c r="J19" i="47"/>
  <c r="J18" i="47"/>
  <c r="J16" i="47"/>
  <c r="J15" i="47"/>
  <c r="J14" i="47"/>
  <c r="J13" i="47"/>
  <c r="J12" i="47"/>
  <c r="J11" i="47"/>
  <c r="J10" i="47"/>
  <c r="J9" i="47"/>
  <c r="J8" i="47"/>
  <c r="J7" i="47"/>
  <c r="J6" i="47"/>
  <c r="J5" i="47"/>
  <c r="K8" i="159"/>
  <c r="K7" i="159"/>
  <c r="K10" i="119"/>
  <c r="K9" i="119"/>
  <c r="K8" i="119"/>
  <c r="K17" i="167"/>
  <c r="K16" i="167"/>
  <c r="K15" i="167"/>
  <c r="K14" i="167"/>
  <c r="K13" i="167"/>
  <c r="K12" i="167"/>
  <c r="K11" i="167"/>
  <c r="K10" i="167"/>
  <c r="K9" i="167"/>
  <c r="K8" i="167"/>
  <c r="K7" i="167"/>
  <c r="K14" i="165"/>
  <c r="K13" i="165"/>
  <c r="K12" i="165"/>
  <c r="K11" i="165"/>
  <c r="K10" i="165"/>
  <c r="K9" i="165"/>
  <c r="K11" i="164"/>
  <c r="K10" i="164"/>
  <c r="K9" i="164"/>
  <c r="K11" i="163"/>
  <c r="K10" i="163"/>
  <c r="K9" i="163"/>
  <c r="K8" i="163"/>
  <c r="K7" i="163"/>
  <c r="K12" i="162"/>
  <c r="K11" i="162"/>
  <c r="K10" i="162"/>
  <c r="K30" i="143"/>
  <c r="K29" i="143"/>
  <c r="K28" i="143"/>
  <c r="K27" i="143"/>
  <c r="K16" i="143"/>
  <c r="K26" i="142"/>
  <c r="K25" i="142"/>
  <c r="K24" i="142"/>
  <c r="K23" i="142"/>
  <c r="K22" i="142"/>
  <c r="K21" i="142"/>
  <c r="K16" i="142"/>
  <c r="K11" i="140"/>
  <c r="K10" i="140"/>
  <c r="K9" i="116"/>
  <c r="K8" i="116"/>
  <c r="K7" i="116"/>
  <c r="K6" i="116"/>
  <c r="K5" i="116"/>
  <c r="K14" i="115"/>
  <c r="K13" i="115"/>
  <c r="K12" i="115"/>
  <c r="K11" i="115"/>
  <c r="K10" i="115"/>
  <c r="K9" i="115"/>
  <c r="K15" i="111"/>
  <c r="K14" i="111"/>
  <c r="K13" i="111"/>
  <c r="K12" i="111"/>
  <c r="K15" i="110"/>
  <c r="K14" i="110"/>
  <c r="K13" i="110"/>
  <c r="K12" i="110"/>
  <c r="K11" i="110"/>
  <c r="K18" i="107"/>
  <c r="K17" i="107"/>
  <c r="K16" i="107"/>
  <c r="K15" i="107"/>
  <c r="K14" i="107"/>
  <c r="K13" i="107"/>
  <c r="K16" i="106"/>
  <c r="K15" i="106"/>
  <c r="K14" i="106"/>
  <c r="K13" i="106"/>
  <c r="K12" i="106"/>
  <c r="K11" i="106"/>
  <c r="K11" i="105"/>
  <c r="K10" i="105"/>
  <c r="K11" i="102"/>
  <c r="K9" i="102"/>
  <c r="K8" i="102"/>
  <c r="K7" i="102"/>
  <c r="K9" i="101"/>
  <c r="K8" i="101"/>
  <c r="K7" i="101"/>
  <c r="K18" i="100"/>
  <c r="K17" i="100"/>
  <c r="K16" i="100"/>
  <c r="K15" i="100"/>
  <c r="K13" i="100"/>
  <c r="K12" i="100"/>
  <c r="K36" i="99"/>
  <c r="K30" i="99"/>
  <c r="K29" i="99"/>
  <c r="K28" i="99"/>
  <c r="K27" i="99"/>
  <c r="K26" i="99"/>
  <c r="K23" i="99"/>
  <c r="K22" i="99"/>
  <c r="K19" i="99"/>
  <c r="K18" i="99"/>
  <c r="K17" i="99"/>
  <c r="K16" i="99"/>
  <c r="K15" i="99"/>
  <c r="K16" i="121"/>
  <c r="K15" i="121"/>
  <c r="K14" i="121"/>
  <c r="K13" i="121"/>
  <c r="K12" i="121"/>
  <c r="K14" i="98"/>
  <c r="K17" i="97"/>
  <c r="K16" i="97"/>
  <c r="K15" i="97"/>
  <c r="K14" i="97"/>
  <c r="K13" i="97"/>
  <c r="K14" i="96"/>
  <c r="K14" i="95"/>
  <c r="K14" i="94"/>
  <c r="K16" i="93"/>
  <c r="K15" i="93"/>
  <c r="K14" i="93"/>
  <c r="K13" i="93"/>
  <c r="K12" i="93"/>
  <c r="K17" i="92"/>
  <c r="K16" i="92"/>
  <c r="K15" i="92"/>
  <c r="K14" i="92"/>
  <c r="K13" i="92"/>
  <c r="K12" i="92"/>
  <c r="K11" i="92"/>
  <c r="K14" i="90"/>
  <c r="K9" i="89"/>
  <c r="K8" i="89"/>
  <c r="K7" i="89"/>
  <c r="K14" i="88"/>
  <c r="K13" i="88"/>
  <c r="K12" i="88"/>
  <c r="K10" i="88"/>
  <c r="K17" i="87"/>
  <c r="K16" i="87"/>
  <c r="K15" i="87"/>
  <c r="K14" i="87"/>
  <c r="K13" i="87"/>
  <c r="K16" i="86"/>
  <c r="K15" i="86"/>
  <c r="K14" i="86"/>
  <c r="K13" i="86"/>
  <c r="K12" i="86"/>
  <c r="K11" i="86"/>
  <c r="K14" i="84"/>
  <c r="K49" i="149"/>
  <c r="K48" i="149"/>
  <c r="K47" i="149"/>
  <c r="K46" i="149"/>
  <c r="K45" i="149"/>
  <c r="K44" i="149"/>
  <c r="K43" i="149"/>
  <c r="K42" i="149"/>
  <c r="K41" i="149"/>
  <c r="K40" i="149"/>
  <c r="K39" i="149"/>
  <c r="K38" i="149"/>
  <c r="K37" i="149"/>
  <c r="K36" i="149"/>
  <c r="K35" i="149"/>
  <c r="K34" i="149"/>
  <c r="K33" i="149"/>
  <c r="K32" i="149"/>
  <c r="K31" i="149"/>
  <c r="K30" i="149"/>
  <c r="K29" i="149"/>
  <c r="K28" i="149"/>
  <c r="K27" i="149"/>
  <c r="K26" i="149"/>
  <c r="K25" i="149"/>
  <c r="K24" i="149"/>
  <c r="K23" i="149"/>
  <c r="K22" i="149"/>
  <c r="K21" i="149"/>
  <c r="K49" i="148"/>
  <c r="K48" i="148"/>
  <c r="K47" i="148"/>
  <c r="K46" i="148"/>
  <c r="K45" i="148"/>
  <c r="K44" i="148"/>
  <c r="K43" i="148"/>
  <c r="K42" i="148"/>
  <c r="K41" i="148"/>
  <c r="K40" i="148"/>
  <c r="K39" i="148"/>
  <c r="K38" i="148"/>
  <c r="K37" i="148"/>
  <c r="K36" i="148"/>
  <c r="K35" i="148"/>
  <c r="K34" i="148"/>
  <c r="K33" i="148"/>
  <c r="K32" i="148"/>
  <c r="K31" i="148"/>
  <c r="K30" i="148"/>
  <c r="K29" i="148"/>
  <c r="K28" i="148"/>
  <c r="K27" i="148"/>
  <c r="K26" i="148"/>
  <c r="K25" i="148"/>
  <c r="K24" i="148"/>
  <c r="K23" i="148"/>
  <c r="K22" i="148"/>
  <c r="K21" i="148"/>
  <c r="K60" i="147"/>
  <c r="K59" i="147"/>
  <c r="K58" i="147"/>
  <c r="K57" i="147"/>
  <c r="K56" i="147"/>
  <c r="K55" i="147"/>
  <c r="K54" i="147"/>
  <c r="K53" i="147"/>
  <c r="K52" i="147"/>
  <c r="K51" i="147"/>
  <c r="K50" i="147"/>
  <c r="K49" i="147"/>
  <c r="K48" i="147"/>
  <c r="K47" i="147"/>
  <c r="K46" i="147"/>
  <c r="K45" i="147"/>
  <c r="K44" i="147"/>
  <c r="K43" i="147"/>
  <c r="K42" i="147"/>
  <c r="K41" i="147"/>
  <c r="K40" i="147"/>
  <c r="K39" i="147"/>
  <c r="K38" i="147"/>
  <c r="K37" i="147"/>
  <c r="K36" i="147"/>
  <c r="K35" i="147"/>
  <c r="K34" i="147"/>
  <c r="K33" i="147"/>
  <c r="K32" i="147"/>
  <c r="K31" i="147"/>
  <c r="K30" i="147"/>
  <c r="K29" i="147"/>
  <c r="K28" i="147"/>
  <c r="K27" i="147"/>
  <c r="K26" i="147"/>
  <c r="K25" i="147"/>
  <c r="K24" i="147"/>
  <c r="K23" i="147"/>
  <c r="K22" i="147"/>
  <c r="K49" i="146"/>
  <c r="K48" i="146"/>
  <c r="K47" i="146"/>
  <c r="K46" i="146"/>
  <c r="K44" i="146"/>
  <c r="K43" i="146"/>
  <c r="K42" i="146"/>
  <c r="K40" i="146"/>
  <c r="K39" i="146"/>
  <c r="K38" i="146"/>
  <c r="K37" i="146"/>
  <c r="K36" i="146"/>
  <c r="K35" i="146"/>
  <c r="K34" i="146"/>
  <c r="K33" i="146"/>
  <c r="K32" i="146"/>
  <c r="K31" i="146"/>
  <c r="K30" i="146"/>
  <c r="K29" i="146"/>
  <c r="K28" i="146"/>
  <c r="K27" i="146"/>
  <c r="K26" i="146"/>
  <c r="K25" i="146"/>
  <c r="K24" i="146"/>
  <c r="K23" i="146"/>
  <c r="K22" i="146"/>
  <c r="K21" i="146"/>
  <c r="K20" i="146"/>
  <c r="K19" i="146"/>
  <c r="K18" i="146"/>
  <c r="K25" i="151"/>
  <c r="K24" i="151"/>
  <c r="K23" i="151"/>
  <c r="K22" i="151"/>
  <c r="K21" i="151"/>
  <c r="K20" i="151"/>
  <c r="K19" i="151"/>
  <c r="K18" i="151"/>
  <c r="K17" i="151"/>
  <c r="K16" i="151"/>
  <c r="K15" i="151"/>
  <c r="K24" i="150"/>
  <c r="K23" i="150"/>
  <c r="K22" i="150"/>
  <c r="K21" i="150"/>
  <c r="K20" i="150"/>
  <c r="K19" i="150"/>
  <c r="K18" i="150"/>
  <c r="K17" i="150"/>
  <c r="K16" i="150"/>
  <c r="K11" i="144"/>
  <c r="K10" i="144"/>
  <c r="K9" i="82"/>
  <c r="K8" i="82"/>
  <c r="K7" i="82"/>
  <c r="K6" i="82"/>
  <c r="K5" i="82"/>
  <c r="K7" i="160"/>
  <c r="K14" i="81"/>
  <c r="K13" i="81"/>
  <c r="K12" i="81"/>
  <c r="K11" i="81"/>
  <c r="K10" i="81"/>
  <c r="K9" i="81"/>
  <c r="K13" i="133"/>
  <c r="K12" i="133"/>
  <c r="K11" i="133"/>
  <c r="K10" i="133"/>
  <c r="K9" i="133"/>
  <c r="K12" i="132"/>
  <c r="K11" i="132"/>
  <c r="K10" i="132"/>
  <c r="K9" i="132"/>
  <c r="K8" i="132"/>
  <c r="K15" i="157"/>
  <c r="K14" i="157"/>
  <c r="K13" i="157"/>
  <c r="K12" i="157"/>
  <c r="K11" i="157"/>
  <c r="K11" i="158"/>
  <c r="K11" i="156"/>
  <c r="K28" i="79"/>
  <c r="K27" i="79"/>
  <c r="K26" i="79"/>
  <c r="K25" i="79"/>
  <c r="K24" i="79"/>
  <c r="K23" i="79"/>
  <c r="K22" i="79"/>
  <c r="K21" i="79"/>
  <c r="K20" i="79"/>
  <c r="K19" i="79"/>
  <c r="K24" i="166"/>
  <c r="K23" i="166"/>
  <c r="K22" i="166"/>
  <c r="K21" i="166"/>
  <c r="K20" i="166"/>
  <c r="K19" i="166"/>
  <c r="K18" i="166"/>
  <c r="K17" i="166"/>
  <c r="K16" i="166"/>
  <c r="K13" i="166"/>
  <c r="K12" i="166"/>
  <c r="K11" i="166"/>
  <c r="K10" i="166"/>
  <c r="K9" i="166"/>
  <c r="K8" i="166"/>
  <c r="K9" i="139"/>
  <c r="K13" i="137"/>
  <c r="K12" i="137"/>
  <c r="K11" i="137"/>
  <c r="K24" i="136"/>
  <c r="K23" i="136"/>
  <c r="K22" i="136"/>
  <c r="K21" i="136"/>
  <c r="K20" i="136"/>
  <c r="K19" i="136"/>
  <c r="K18" i="136"/>
  <c r="K17" i="136"/>
  <c r="K16" i="136"/>
  <c r="K15" i="135"/>
  <c r="K14" i="135"/>
  <c r="K13" i="135"/>
  <c r="K12" i="135"/>
  <c r="K11" i="135"/>
  <c r="K26" i="134"/>
  <c r="K25" i="134"/>
  <c r="K24" i="134"/>
  <c r="K23" i="134"/>
  <c r="K22" i="134"/>
  <c r="K21" i="134"/>
  <c r="K19" i="134"/>
  <c r="K18" i="134"/>
  <c r="K17" i="134"/>
  <c r="K16" i="134"/>
  <c r="K15" i="134"/>
  <c r="K14" i="134"/>
  <c r="K13" i="134"/>
  <c r="K46" i="77"/>
  <c r="K45" i="77"/>
  <c r="K44" i="77"/>
  <c r="K42" i="77"/>
  <c r="K41" i="77"/>
  <c r="K40" i="77"/>
  <c r="K39" i="77"/>
  <c r="K38" i="77"/>
  <c r="K37" i="77"/>
  <c r="K36" i="77"/>
  <c r="K35" i="77"/>
  <c r="K34" i="77"/>
  <c r="K33" i="77"/>
  <c r="K32" i="77"/>
  <c r="K31" i="77"/>
  <c r="K30" i="77"/>
  <c r="K29" i="77"/>
  <c r="K28" i="77"/>
  <c r="K27" i="77"/>
  <c r="K26" i="77"/>
  <c r="K25" i="77"/>
  <c r="K24" i="77"/>
  <c r="K23" i="77"/>
  <c r="K22" i="77"/>
  <c r="K8" i="154"/>
  <c r="K11" i="153"/>
  <c r="K11" i="152"/>
  <c r="K22" i="76"/>
  <c r="K21" i="76"/>
  <c r="K20" i="76"/>
  <c r="K19" i="76"/>
  <c r="K18" i="76"/>
  <c r="K17" i="76"/>
  <c r="K16" i="76"/>
  <c r="K15" i="76"/>
  <c r="K26" i="75"/>
  <c r="K25" i="75"/>
  <c r="K24" i="75"/>
  <c r="K23" i="75"/>
  <c r="K22" i="75"/>
  <c r="K21" i="75"/>
  <c r="K20" i="75"/>
  <c r="K19" i="75"/>
  <c r="K18" i="75"/>
  <c r="K17" i="75"/>
  <c r="K16" i="75"/>
  <c r="K12" i="74"/>
  <c r="K11" i="74"/>
  <c r="K10" i="72"/>
  <c r="K9" i="72"/>
  <c r="K8" i="72"/>
  <c r="K10" i="71"/>
  <c r="K9" i="71"/>
  <c r="K8" i="71"/>
  <c r="K9" i="70"/>
  <c r="K8" i="70"/>
  <c r="K7" i="70"/>
  <c r="K14" i="161"/>
  <c r="K13" i="161"/>
  <c r="K15" i="131"/>
  <c r="K14" i="131"/>
  <c r="K13" i="131"/>
  <c r="K12" i="131"/>
  <c r="K11" i="131"/>
  <c r="K31" i="67"/>
  <c r="K29" i="67"/>
  <c r="K28" i="67"/>
  <c r="K27" i="67"/>
  <c r="K26" i="67"/>
  <c r="K24" i="67"/>
  <c r="K23" i="67"/>
  <c r="K20" i="67"/>
  <c r="K19" i="67"/>
  <c r="K18" i="67"/>
  <c r="K17" i="67"/>
  <c r="K16" i="67"/>
  <c r="K11" i="130"/>
  <c r="K10" i="130"/>
  <c r="K9" i="130"/>
  <c r="K8" i="130"/>
  <c r="K7" i="128"/>
  <c r="K49" i="66"/>
  <c r="K47" i="66"/>
  <c r="K46" i="66"/>
  <c r="K45" i="66"/>
  <c r="K44" i="66"/>
  <c r="K43" i="66"/>
  <c r="K42" i="66"/>
  <c r="K41" i="66"/>
  <c r="K40" i="66"/>
  <c r="K39" i="66"/>
  <c r="K38" i="66"/>
  <c r="K37" i="66"/>
  <c r="K36" i="66"/>
  <c r="K35" i="66"/>
  <c r="K34" i="66"/>
  <c r="K33" i="66"/>
  <c r="K32" i="66"/>
  <c r="K31" i="66"/>
  <c r="K30" i="66"/>
  <c r="K29" i="66"/>
  <c r="K28" i="66"/>
  <c r="K27" i="66"/>
  <c r="K26" i="66"/>
  <c r="K25" i="66"/>
  <c r="K24" i="66"/>
  <c r="K23" i="66"/>
  <c r="K22" i="66"/>
  <c r="K13" i="127"/>
  <c r="K12" i="127"/>
  <c r="K11" i="127"/>
  <c r="K10" i="127"/>
  <c r="K9" i="127"/>
  <c r="K16" i="126"/>
  <c r="K15" i="126"/>
  <c r="K14" i="126"/>
  <c r="K13" i="126"/>
  <c r="K12" i="126"/>
  <c r="K11" i="126"/>
  <c r="K16" i="125"/>
  <c r="K15" i="125"/>
  <c r="K14" i="125"/>
  <c r="K13" i="125"/>
  <c r="K12" i="125"/>
  <c r="K11" i="125"/>
  <c r="K13" i="124"/>
  <c r="K12" i="124"/>
  <c r="K11" i="124"/>
  <c r="K10" i="124"/>
  <c r="K9" i="124"/>
  <c r="K16" i="123"/>
  <c r="K15" i="123"/>
  <c r="K14" i="123"/>
  <c r="K13" i="123"/>
  <c r="K12" i="123"/>
  <c r="K11" i="123"/>
  <c r="K11" i="122"/>
  <c r="K10" i="122"/>
  <c r="K9" i="122"/>
  <c r="K8" i="122"/>
  <c r="K7" i="122"/>
  <c r="K8" i="65"/>
  <c r="K7" i="65"/>
  <c r="K14" i="64"/>
  <c r="K13" i="64"/>
  <c r="K12" i="64"/>
  <c r="K11" i="64"/>
  <c r="K10" i="64"/>
  <c r="K9" i="64"/>
  <c r="K8" i="64"/>
  <c r="K7" i="64"/>
  <c r="K25" i="63"/>
  <c r="K7" i="138"/>
  <c r="K12" i="62"/>
  <c r="K11" i="62"/>
  <c r="K9" i="61"/>
  <c r="K8" i="61"/>
  <c r="K7" i="61"/>
  <c r="K10" i="60"/>
  <c r="K9" i="60"/>
  <c r="K8" i="60"/>
  <c r="K7" i="60"/>
  <c r="K10" i="59"/>
  <c r="K9" i="59"/>
  <c r="K8" i="59"/>
  <c r="K7" i="59"/>
  <c r="K7" i="58"/>
  <c r="K8" i="57"/>
  <c r="K7" i="57"/>
  <c r="K22" i="55"/>
  <c r="K21" i="55"/>
  <c r="K6" i="54"/>
  <c r="K5" i="54"/>
  <c r="K7" i="53"/>
  <c r="K6" i="53"/>
  <c r="K5" i="53"/>
  <c r="K7" i="52"/>
  <c r="K6" i="52"/>
  <c r="K5" i="52"/>
  <c r="K25" i="51"/>
  <c r="K24" i="51"/>
  <c r="K23" i="51"/>
  <c r="K22" i="51"/>
  <c r="K21" i="51"/>
  <c r="K20" i="51"/>
  <c r="K19" i="51"/>
  <c r="K18" i="51"/>
  <c r="K17" i="51"/>
  <c r="K16" i="51"/>
  <c r="K15" i="51"/>
  <c r="K14" i="51"/>
  <c r="K13" i="51"/>
  <c r="K12" i="51"/>
  <c r="K11" i="51"/>
  <c r="K9" i="51"/>
  <c r="K8" i="51"/>
  <c r="K7" i="51"/>
  <c r="K6" i="51"/>
  <c r="K5" i="51"/>
  <c r="K15" i="50"/>
  <c r="K14" i="50"/>
  <c r="K13" i="50"/>
  <c r="K12" i="50"/>
  <c r="K11" i="50"/>
  <c r="K10" i="50"/>
  <c r="K9" i="50"/>
  <c r="K8" i="50"/>
  <c r="K7" i="50"/>
  <c r="K6" i="50"/>
  <c r="K5" i="50"/>
  <c r="K15" i="48"/>
  <c r="K14" i="48"/>
  <c r="K13" i="48"/>
  <c r="K12" i="48"/>
  <c r="K11" i="48"/>
  <c r="K10" i="48"/>
  <c r="K9" i="48"/>
  <c r="K8" i="48"/>
  <c r="K7" i="48"/>
  <c r="K6" i="48"/>
  <c r="K5" i="48"/>
  <c r="K24" i="49"/>
  <c r="K23" i="49"/>
  <c r="K22" i="49"/>
  <c r="K21" i="49"/>
  <c r="K20" i="49"/>
  <c r="K19" i="49"/>
  <c r="K18" i="49"/>
  <c r="K17" i="49"/>
  <c r="K16" i="49"/>
  <c r="K15" i="49"/>
  <c r="K14" i="49"/>
  <c r="K13" i="49"/>
  <c r="K12" i="49"/>
  <c r="K11" i="49"/>
  <c r="K10" i="49"/>
  <c r="K8" i="49"/>
  <c r="K7" i="49"/>
  <c r="K6" i="49"/>
  <c r="K5" i="49"/>
  <c r="K21" i="47"/>
  <c r="K20" i="47"/>
  <c r="K19" i="47"/>
  <c r="K18" i="47"/>
  <c r="K16" i="47"/>
  <c r="K15" i="47"/>
  <c r="K14" i="47"/>
  <c r="K13" i="47"/>
  <c r="K12" i="47"/>
  <c r="K11" i="47"/>
  <c r="K10" i="47"/>
  <c r="K9" i="47"/>
  <c r="K8" i="47"/>
  <c r="K7" i="47"/>
  <c r="K6" i="47"/>
  <c r="K5" i="47"/>
  <c r="K26" i="46"/>
  <c r="J26" i="46"/>
  <c r="K25" i="46"/>
  <c r="J25" i="46"/>
  <c r="K18" i="46"/>
  <c r="J18" i="46"/>
  <c r="K17" i="46"/>
  <c r="J17" i="46"/>
  <c r="K16" i="46"/>
  <c r="J16" i="46"/>
  <c r="K15" i="46"/>
  <c r="J15" i="46"/>
  <c r="K14" i="46"/>
  <c r="J14" i="46"/>
  <c r="K13" i="46"/>
  <c r="J13" i="46"/>
  <c r="K12" i="46"/>
  <c r="J12" i="46"/>
  <c r="K11" i="46"/>
  <c r="J11" i="46"/>
  <c r="K10" i="46"/>
  <c r="J10" i="46"/>
  <c r="K9" i="46"/>
  <c r="J9" i="46"/>
  <c r="K8" i="46"/>
  <c r="J8" i="46"/>
  <c r="K7" i="46"/>
  <c r="J7" i="46"/>
  <c r="K6" i="46"/>
  <c r="J6" i="46"/>
  <c r="K5" i="46"/>
  <c r="J5" i="46"/>
  <c r="L8" i="120"/>
  <c r="L7" i="120"/>
  <c r="L6" i="120"/>
  <c r="L5" i="120"/>
  <c r="L8" i="159"/>
  <c r="L7" i="159"/>
  <c r="L10" i="119"/>
  <c r="L9" i="119"/>
  <c r="L8" i="119"/>
  <c r="L17" i="167"/>
  <c r="L16" i="167"/>
  <c r="L15" i="167"/>
  <c r="L14" i="167"/>
  <c r="L13" i="167"/>
  <c r="L12" i="167"/>
  <c r="L11" i="167"/>
  <c r="L10" i="167"/>
  <c r="L9" i="167"/>
  <c r="L8" i="167"/>
  <c r="L7" i="167"/>
  <c r="L14" i="165"/>
  <c r="L13" i="165"/>
  <c r="L12" i="165"/>
  <c r="L11" i="165"/>
  <c r="L10" i="165"/>
  <c r="L9" i="165"/>
  <c r="L11" i="164"/>
  <c r="L10" i="164"/>
  <c r="L9" i="164"/>
  <c r="L11" i="163"/>
  <c r="L10" i="163"/>
  <c r="L9" i="163"/>
  <c r="L8" i="163"/>
  <c r="L7" i="163"/>
  <c r="L12" i="162"/>
  <c r="L11" i="162"/>
  <c r="L10" i="162"/>
  <c r="L30" i="143"/>
  <c r="L29" i="143"/>
  <c r="L28" i="143"/>
  <c r="L27" i="143"/>
  <c r="L16" i="143"/>
  <c r="L26" i="142"/>
  <c r="L25" i="142"/>
  <c r="L24" i="142"/>
  <c r="L23" i="142"/>
  <c r="L22" i="142"/>
  <c r="L21" i="142"/>
  <c r="L16" i="142"/>
  <c r="L32" i="141"/>
  <c r="L31" i="141"/>
  <c r="L30" i="141"/>
  <c r="L29" i="141"/>
  <c r="L28" i="141"/>
  <c r="L27" i="141"/>
  <c r="L26" i="141"/>
  <c r="L25" i="141"/>
  <c r="L11" i="140"/>
  <c r="L10" i="140"/>
  <c r="L9" i="116"/>
  <c r="L8" i="116"/>
  <c r="L7" i="116"/>
  <c r="L6" i="116"/>
  <c r="L5" i="116"/>
  <c r="L14" i="115"/>
  <c r="L13" i="115"/>
  <c r="L12" i="115"/>
  <c r="L11" i="115"/>
  <c r="L10" i="115"/>
  <c r="L9" i="115"/>
  <c r="L29" i="112"/>
  <c r="L28" i="112"/>
  <c r="L27" i="112"/>
  <c r="L26" i="112"/>
  <c r="L25" i="112"/>
  <c r="L24" i="112"/>
  <c r="L23" i="112"/>
  <c r="L22" i="112"/>
  <c r="L21" i="112"/>
  <c r="L20" i="112"/>
  <c r="L19" i="112"/>
  <c r="L18" i="112"/>
  <c r="L17" i="112"/>
  <c r="L16" i="112"/>
  <c r="L15" i="112"/>
  <c r="L14" i="112"/>
  <c r="L15" i="111"/>
  <c r="L14" i="111"/>
  <c r="L13" i="111"/>
  <c r="L12" i="111"/>
  <c r="L15" i="110"/>
  <c r="L14" i="110"/>
  <c r="L13" i="110"/>
  <c r="L12" i="110"/>
  <c r="L11" i="110"/>
  <c r="L18" i="107"/>
  <c r="L17" i="107"/>
  <c r="L16" i="107"/>
  <c r="L15" i="107"/>
  <c r="L14" i="107"/>
  <c r="L13" i="107"/>
  <c r="L16" i="106"/>
  <c r="L15" i="106"/>
  <c r="L14" i="106"/>
  <c r="L13" i="106"/>
  <c r="L12" i="106"/>
  <c r="L11" i="106"/>
  <c r="L11" i="105"/>
  <c r="L10" i="105"/>
  <c r="L11" i="102"/>
  <c r="L9" i="102"/>
  <c r="L8" i="102"/>
  <c r="L7" i="102"/>
  <c r="L9" i="101"/>
  <c r="L8" i="101"/>
  <c r="L7" i="101"/>
  <c r="L18" i="100"/>
  <c r="L17" i="100"/>
  <c r="L16" i="100"/>
  <c r="L15" i="100"/>
  <c r="L13" i="100"/>
  <c r="L12" i="100"/>
  <c r="L36" i="99"/>
  <c r="L30" i="99"/>
  <c r="L29" i="99"/>
  <c r="L28" i="99"/>
  <c r="L27" i="99"/>
  <c r="L26" i="99"/>
  <c r="L23" i="99"/>
  <c r="L22" i="99"/>
  <c r="L19" i="99"/>
  <c r="L18" i="99"/>
  <c r="L17" i="99"/>
  <c r="L16" i="99"/>
  <c r="L15" i="99"/>
  <c r="L16" i="121"/>
  <c r="L15" i="121"/>
  <c r="L14" i="121"/>
  <c r="L13" i="121"/>
  <c r="L12" i="121"/>
  <c r="L14" i="98"/>
  <c r="L17" i="97"/>
  <c r="L16" i="97"/>
  <c r="L15" i="97"/>
  <c r="L14" i="97"/>
  <c r="L13" i="97"/>
  <c r="L14" i="96"/>
  <c r="L14" i="95"/>
  <c r="L14" i="94"/>
  <c r="L16" i="93"/>
  <c r="L15" i="93"/>
  <c r="L14" i="93"/>
  <c r="L13" i="93"/>
  <c r="L12" i="93"/>
  <c r="L17" i="92"/>
  <c r="L16" i="92"/>
  <c r="L15" i="92"/>
  <c r="L14" i="92"/>
  <c r="L13" i="92"/>
  <c r="L12" i="92"/>
  <c r="L11" i="92"/>
  <c r="L14" i="90"/>
  <c r="L9" i="89"/>
  <c r="L8" i="89"/>
  <c r="L7" i="89"/>
  <c r="L14" i="88"/>
  <c r="L13" i="88"/>
  <c r="L12" i="88"/>
  <c r="L10" i="88"/>
  <c r="L17" i="87"/>
  <c r="L16" i="87"/>
  <c r="L15" i="87"/>
  <c r="L14" i="87"/>
  <c r="L13" i="87"/>
  <c r="L16" i="86"/>
  <c r="L15" i="86"/>
  <c r="L14" i="86"/>
  <c r="L13" i="86"/>
  <c r="L12" i="86"/>
  <c r="L11" i="86"/>
  <c r="L14" i="84"/>
  <c r="L49" i="149"/>
  <c r="L48" i="149"/>
  <c r="L47" i="149"/>
  <c r="L46" i="149"/>
  <c r="L45" i="149"/>
  <c r="L44" i="149"/>
  <c r="L43" i="149"/>
  <c r="L42" i="149"/>
  <c r="L41" i="149"/>
  <c r="L40" i="149"/>
  <c r="L39" i="149"/>
  <c r="L38" i="149"/>
  <c r="L37" i="149"/>
  <c r="L36" i="149"/>
  <c r="L35" i="149"/>
  <c r="L34" i="149"/>
  <c r="L33" i="149"/>
  <c r="L32" i="149"/>
  <c r="L31" i="149"/>
  <c r="L30" i="149"/>
  <c r="L29" i="149"/>
  <c r="L28" i="149"/>
  <c r="L27" i="149"/>
  <c r="L26" i="149"/>
  <c r="L25" i="149"/>
  <c r="L24" i="149"/>
  <c r="L23" i="149"/>
  <c r="L22" i="149"/>
  <c r="L21" i="149"/>
  <c r="L49" i="148"/>
  <c r="L48" i="148"/>
  <c r="L47" i="148"/>
  <c r="L46" i="148"/>
  <c r="L45" i="148"/>
  <c r="L44" i="148"/>
  <c r="L43" i="148"/>
  <c r="L42" i="148"/>
  <c r="L41" i="148"/>
  <c r="L40" i="148"/>
  <c r="L39" i="148"/>
  <c r="L38" i="148"/>
  <c r="L37" i="148"/>
  <c r="L36" i="148"/>
  <c r="L35" i="148"/>
  <c r="L34" i="148"/>
  <c r="L33" i="148"/>
  <c r="L32" i="148"/>
  <c r="L31" i="148"/>
  <c r="L30" i="148"/>
  <c r="L29" i="148"/>
  <c r="L28" i="148"/>
  <c r="L27" i="148"/>
  <c r="L26" i="148"/>
  <c r="L25" i="148"/>
  <c r="L24" i="148"/>
  <c r="L23" i="148"/>
  <c r="L22" i="148"/>
  <c r="L21" i="148"/>
  <c r="L60" i="147"/>
  <c r="L59" i="147"/>
  <c r="L58" i="147"/>
  <c r="L57" i="147"/>
  <c r="L56" i="147"/>
  <c r="L55" i="147"/>
  <c r="L54" i="147"/>
  <c r="L53" i="147"/>
  <c r="L52" i="147"/>
  <c r="L51" i="147"/>
  <c r="L50" i="147"/>
  <c r="L49" i="147"/>
  <c r="L48" i="147"/>
  <c r="L47" i="147"/>
  <c r="L46" i="147"/>
  <c r="L45" i="147"/>
  <c r="L44" i="147"/>
  <c r="L43" i="147"/>
  <c r="L42" i="147"/>
  <c r="L41" i="147"/>
  <c r="L40" i="147"/>
  <c r="L39" i="147"/>
  <c r="L38" i="147"/>
  <c r="L37" i="147"/>
  <c r="L36" i="147"/>
  <c r="L35" i="147"/>
  <c r="L34" i="147"/>
  <c r="L33" i="147"/>
  <c r="L32" i="147"/>
  <c r="L31" i="147"/>
  <c r="L30" i="147"/>
  <c r="L29" i="147"/>
  <c r="L28" i="147"/>
  <c r="L27" i="147"/>
  <c r="L26" i="147"/>
  <c r="L25" i="147"/>
  <c r="L24" i="147"/>
  <c r="L23" i="147"/>
  <c r="L22" i="147"/>
  <c r="L49" i="146"/>
  <c r="L48" i="146"/>
  <c r="L47" i="146"/>
  <c r="L46" i="146"/>
  <c r="L44" i="146"/>
  <c r="L43" i="146"/>
  <c r="L42" i="146"/>
  <c r="L40" i="146"/>
  <c r="L39" i="146"/>
  <c r="L38" i="146"/>
  <c r="L37" i="146"/>
  <c r="L36" i="146"/>
  <c r="L35" i="146"/>
  <c r="L34" i="146"/>
  <c r="L33" i="146"/>
  <c r="L32" i="146"/>
  <c r="L31" i="146"/>
  <c r="L30" i="146"/>
  <c r="L29" i="146"/>
  <c r="L28" i="146"/>
  <c r="L27" i="146"/>
  <c r="L26" i="146"/>
  <c r="L25" i="146"/>
  <c r="L24" i="146"/>
  <c r="L23" i="146"/>
  <c r="L22" i="146"/>
  <c r="L21" i="146"/>
  <c r="L20" i="146"/>
  <c r="L19" i="146"/>
  <c r="L18" i="146"/>
  <c r="L25" i="151"/>
  <c r="L24" i="151"/>
  <c r="L23" i="151"/>
  <c r="L22" i="151"/>
  <c r="L21" i="151"/>
  <c r="L20" i="151"/>
  <c r="L19" i="151"/>
  <c r="L18" i="151"/>
  <c r="L17" i="151"/>
  <c r="L16" i="151"/>
  <c r="L15" i="151"/>
  <c r="L24" i="150"/>
  <c r="L23" i="150"/>
  <c r="L22" i="150"/>
  <c r="L21" i="150"/>
  <c r="L20" i="150"/>
  <c r="L19" i="150"/>
  <c r="L18" i="150"/>
  <c r="L17" i="150"/>
  <c r="L16" i="150"/>
  <c r="L11" i="144"/>
  <c r="L10" i="144"/>
  <c r="L9" i="82"/>
  <c r="L8" i="82"/>
  <c r="L7" i="82"/>
  <c r="L6" i="82"/>
  <c r="L5" i="82"/>
  <c r="L7" i="160"/>
  <c r="L14" i="81"/>
  <c r="L13" i="81"/>
  <c r="L12" i="81"/>
  <c r="L11" i="81"/>
  <c r="L10" i="81"/>
  <c r="L9" i="81"/>
  <c r="L13" i="133"/>
  <c r="L12" i="133"/>
  <c r="L11" i="133"/>
  <c r="L10" i="133"/>
  <c r="L9" i="133"/>
  <c r="L12" i="132"/>
  <c r="L11" i="132"/>
  <c r="L10" i="132"/>
  <c r="L9" i="132"/>
  <c r="L8" i="132"/>
  <c r="L15" i="157"/>
  <c r="L14" i="157"/>
  <c r="L13" i="157"/>
  <c r="L12" i="157"/>
  <c r="L11" i="157"/>
  <c r="L11" i="158"/>
  <c r="L11" i="156"/>
  <c r="L28" i="79"/>
  <c r="L27" i="79"/>
  <c r="L26" i="79"/>
  <c r="L25" i="79"/>
  <c r="L24" i="79"/>
  <c r="L23" i="79"/>
  <c r="L22" i="79"/>
  <c r="L21" i="79"/>
  <c r="L20" i="79"/>
  <c r="L19" i="79"/>
  <c r="L24" i="166"/>
  <c r="L23" i="166"/>
  <c r="L22" i="166"/>
  <c r="L21" i="166"/>
  <c r="L20" i="166"/>
  <c r="L19" i="166"/>
  <c r="L18" i="166"/>
  <c r="L17" i="166"/>
  <c r="L16" i="166"/>
  <c r="L13" i="166"/>
  <c r="L12" i="166"/>
  <c r="L11" i="166"/>
  <c r="L10" i="166"/>
  <c r="L9" i="166"/>
  <c r="L8" i="166"/>
  <c r="L9" i="139"/>
  <c r="L13" i="137"/>
  <c r="L12" i="137"/>
  <c r="L11" i="137"/>
  <c r="L24" i="136"/>
  <c r="L23" i="136"/>
  <c r="L22" i="136"/>
  <c r="L21" i="136"/>
  <c r="L20" i="136"/>
  <c r="L19" i="136"/>
  <c r="L18" i="136"/>
  <c r="L17" i="136"/>
  <c r="L16" i="136"/>
  <c r="L15" i="135"/>
  <c r="L14" i="135"/>
  <c r="L13" i="135"/>
  <c r="L12" i="135"/>
  <c r="L11" i="135"/>
  <c r="L26" i="134"/>
  <c r="L25" i="134"/>
  <c r="L24" i="134"/>
  <c r="L23" i="134"/>
  <c r="L22" i="134"/>
  <c r="L21" i="134"/>
  <c r="L19" i="134"/>
  <c r="L18" i="134"/>
  <c r="L17" i="134"/>
  <c r="L16" i="134"/>
  <c r="L15" i="134"/>
  <c r="L14" i="134"/>
  <c r="L13" i="134"/>
  <c r="L46" i="77"/>
  <c r="L45" i="77"/>
  <c r="L44" i="77"/>
  <c r="L42" i="77"/>
  <c r="L41" i="77"/>
  <c r="L40" i="77"/>
  <c r="L39" i="77"/>
  <c r="L38" i="77"/>
  <c r="L37" i="77"/>
  <c r="L36" i="77"/>
  <c r="L35" i="77"/>
  <c r="L34" i="77"/>
  <c r="L33" i="77"/>
  <c r="L32" i="77"/>
  <c r="L31" i="77"/>
  <c r="L30" i="77"/>
  <c r="L29" i="77"/>
  <c r="L28" i="77"/>
  <c r="L27" i="77"/>
  <c r="L26" i="77"/>
  <c r="L25" i="77"/>
  <c r="L24" i="77"/>
  <c r="L23" i="77"/>
  <c r="L22" i="77"/>
  <c r="L8" i="154"/>
  <c r="L11" i="153"/>
  <c r="L11" i="152"/>
  <c r="L22" i="76"/>
  <c r="L21" i="76"/>
  <c r="L20" i="76"/>
  <c r="L19" i="76"/>
  <c r="L18" i="76"/>
  <c r="L17" i="76"/>
  <c r="L16" i="76"/>
  <c r="L15" i="76"/>
  <c r="L26" i="75"/>
  <c r="L25" i="75"/>
  <c r="L24" i="75"/>
  <c r="L23" i="75"/>
  <c r="L22" i="75"/>
  <c r="L21" i="75"/>
  <c r="L20" i="75"/>
  <c r="L19" i="75"/>
  <c r="L18" i="75"/>
  <c r="L17" i="75"/>
  <c r="L16" i="75"/>
  <c r="L12" i="74"/>
  <c r="L11" i="74"/>
  <c r="L10" i="72"/>
  <c r="L9" i="72"/>
  <c r="L8" i="72"/>
  <c r="L10" i="71"/>
  <c r="L9" i="71"/>
  <c r="L8" i="71"/>
  <c r="L9" i="70"/>
  <c r="L8" i="70"/>
  <c r="L7" i="70"/>
  <c r="L14" i="161"/>
  <c r="L13" i="161"/>
  <c r="L15" i="131"/>
  <c r="L14" i="131"/>
  <c r="L13" i="131"/>
  <c r="L12" i="131"/>
  <c r="L11" i="131"/>
  <c r="L31" i="67"/>
  <c r="L29" i="67"/>
  <c r="L28" i="67"/>
  <c r="L27" i="67"/>
  <c r="L26" i="67"/>
  <c r="L24" i="67"/>
  <c r="L23" i="67"/>
  <c r="L20" i="67"/>
  <c r="L19" i="67"/>
  <c r="L18" i="67"/>
  <c r="L17" i="67"/>
  <c r="L16" i="67"/>
  <c r="L11" i="130"/>
  <c r="L10" i="130"/>
  <c r="L9" i="130"/>
  <c r="L8" i="130"/>
  <c r="L7" i="128"/>
  <c r="L49" i="66"/>
  <c r="L47" i="66"/>
  <c r="L46" i="66"/>
  <c r="L45" i="66"/>
  <c r="L44" i="66"/>
  <c r="L43" i="66"/>
  <c r="L42" i="66"/>
  <c r="L41" i="66"/>
  <c r="L40" i="66"/>
  <c r="L39" i="66"/>
  <c r="L38" i="66"/>
  <c r="L37" i="66"/>
  <c r="L36" i="66"/>
  <c r="L35" i="66"/>
  <c r="L34" i="66"/>
  <c r="L33" i="66"/>
  <c r="L32" i="66"/>
  <c r="L31" i="66"/>
  <c r="L30" i="66"/>
  <c r="L29" i="66"/>
  <c r="L28" i="66"/>
  <c r="L27" i="66"/>
  <c r="L26" i="66"/>
  <c r="L25" i="66"/>
  <c r="L24" i="66"/>
  <c r="L23" i="66"/>
  <c r="L22" i="66"/>
  <c r="L13" i="127"/>
  <c r="L12" i="127"/>
  <c r="L11" i="127"/>
  <c r="L10" i="127"/>
  <c r="L9" i="127"/>
  <c r="L16" i="126"/>
  <c r="L15" i="126"/>
  <c r="L14" i="126"/>
  <c r="L13" i="126"/>
  <c r="L12" i="126"/>
  <c r="L11" i="126"/>
  <c r="L16" i="125"/>
  <c r="L15" i="125"/>
  <c r="L14" i="125"/>
  <c r="L13" i="125"/>
  <c r="L12" i="125"/>
  <c r="L11" i="125"/>
  <c r="L13" i="124"/>
  <c r="L12" i="124"/>
  <c r="L11" i="124"/>
  <c r="L10" i="124"/>
  <c r="L9" i="124"/>
  <c r="L16" i="123"/>
  <c r="L15" i="123"/>
  <c r="L14" i="123"/>
  <c r="L13" i="123"/>
  <c r="L12" i="123"/>
  <c r="L11" i="123"/>
  <c r="L11" i="122"/>
  <c r="L10" i="122"/>
  <c r="L9" i="122"/>
  <c r="L8" i="122"/>
  <c r="L7" i="122"/>
  <c r="L8" i="65"/>
  <c r="L7" i="65"/>
  <c r="L14" i="64"/>
  <c r="L13" i="64"/>
  <c r="L12" i="64"/>
  <c r="L11" i="64"/>
  <c r="L10" i="64"/>
  <c r="L9" i="64"/>
  <c r="L8" i="64"/>
  <c r="L7" i="64"/>
  <c r="L25" i="63"/>
  <c r="L7" i="138"/>
  <c r="L12" i="62"/>
  <c r="L11" i="62"/>
  <c r="L9" i="61"/>
  <c r="L8" i="61"/>
  <c r="L7" i="61"/>
  <c r="L10" i="60"/>
  <c r="L9" i="60"/>
  <c r="L8" i="60"/>
  <c r="L7" i="60"/>
  <c r="L10" i="59"/>
  <c r="L9" i="59"/>
  <c r="L8" i="59"/>
  <c r="L7" i="59"/>
  <c r="L7" i="58"/>
  <c r="L8" i="57"/>
  <c r="L7" i="57"/>
  <c r="L22" i="55"/>
  <c r="L21" i="55"/>
  <c r="L6" i="54"/>
  <c r="L5" i="54"/>
  <c r="L7" i="53"/>
  <c r="L6" i="53"/>
  <c r="L5" i="53"/>
  <c r="L7" i="52"/>
  <c r="L6" i="52"/>
  <c r="L5" i="52"/>
  <c r="L25" i="51"/>
  <c r="L24" i="51"/>
  <c r="L23" i="51"/>
  <c r="L22" i="51"/>
  <c r="L21" i="51"/>
  <c r="L20" i="51"/>
  <c r="L19" i="51"/>
  <c r="L18" i="51"/>
  <c r="L17" i="51"/>
  <c r="L16" i="51"/>
  <c r="L15" i="51"/>
  <c r="L14" i="51"/>
  <c r="L13" i="51"/>
  <c r="L12" i="51"/>
  <c r="L11" i="51"/>
  <c r="L9" i="51"/>
  <c r="L8" i="51"/>
  <c r="L7" i="51"/>
  <c r="L6" i="51"/>
  <c r="L5" i="51"/>
  <c r="L15" i="50"/>
  <c r="L14" i="50"/>
  <c r="L13" i="50"/>
  <c r="L12" i="50"/>
  <c r="L11" i="50"/>
  <c r="L10" i="50"/>
  <c r="L9" i="50"/>
  <c r="L8" i="50"/>
  <c r="L7" i="50"/>
  <c r="L6" i="50"/>
  <c r="L5" i="50"/>
  <c r="L15" i="48"/>
  <c r="L14" i="48"/>
  <c r="L13" i="48"/>
  <c r="L12" i="48"/>
  <c r="L11" i="48"/>
  <c r="L10" i="48"/>
  <c r="L9" i="48"/>
  <c r="L8" i="48"/>
  <c r="L7" i="48"/>
  <c r="L6" i="48"/>
  <c r="L5" i="48"/>
  <c r="L24" i="49"/>
  <c r="L23" i="49"/>
  <c r="L22" i="49"/>
  <c r="L21" i="49"/>
  <c r="L20" i="49"/>
  <c r="L19" i="49"/>
  <c r="L18" i="49"/>
  <c r="L17" i="49"/>
  <c r="L16" i="49"/>
  <c r="L15" i="49"/>
  <c r="L14" i="49"/>
  <c r="L13" i="49"/>
  <c r="L12" i="49"/>
  <c r="L11" i="49"/>
  <c r="L10" i="49"/>
  <c r="L8" i="49"/>
  <c r="L7" i="49"/>
  <c r="L6" i="49"/>
  <c r="L5" i="49"/>
  <c r="L21" i="47"/>
  <c r="L20" i="47"/>
  <c r="L19" i="47"/>
  <c r="L18" i="47"/>
  <c r="L16" i="47"/>
  <c r="L15" i="47"/>
  <c r="L14" i="47"/>
  <c r="L13" i="47"/>
  <c r="L12" i="47"/>
  <c r="L11" i="47"/>
  <c r="L10" i="47"/>
  <c r="L9" i="47"/>
  <c r="L8" i="47"/>
  <c r="L7" i="47"/>
  <c r="L6" i="47"/>
  <c r="L5" i="47"/>
  <c r="L26" i="46"/>
  <c r="L25" i="46"/>
  <c r="L18" i="46"/>
  <c r="L17" i="46"/>
  <c r="L16" i="46"/>
  <c r="L15" i="46"/>
  <c r="L14" i="46"/>
  <c r="L13" i="46"/>
  <c r="L12" i="46"/>
  <c r="L11" i="46"/>
  <c r="L10" i="46"/>
  <c r="L9" i="46"/>
  <c r="L8" i="46"/>
  <c r="L7" i="46"/>
  <c r="L6" i="46"/>
  <c r="L5" i="46"/>
  <c r="M8" i="120"/>
  <c r="M7" i="120"/>
  <c r="M6" i="120"/>
  <c r="M5" i="120"/>
  <c r="M8" i="159"/>
  <c r="M7" i="159"/>
  <c r="M10" i="119"/>
  <c r="M9" i="119"/>
  <c r="M8" i="119"/>
  <c r="M17" i="167"/>
  <c r="M16" i="167"/>
  <c r="M15" i="167"/>
  <c r="M14" i="167"/>
  <c r="M13" i="167"/>
  <c r="M12" i="167"/>
  <c r="M11" i="167"/>
  <c r="M10" i="167"/>
  <c r="M9" i="167"/>
  <c r="M8" i="167"/>
  <c r="M7" i="167"/>
  <c r="M14" i="165"/>
  <c r="M13" i="165"/>
  <c r="M12" i="165"/>
  <c r="M11" i="165"/>
  <c r="M10" i="165"/>
  <c r="M9" i="165"/>
  <c r="M11" i="164"/>
  <c r="M10" i="164"/>
  <c r="M9" i="164"/>
  <c r="M11" i="163"/>
  <c r="M10" i="163"/>
  <c r="M9" i="163"/>
  <c r="M8" i="163"/>
  <c r="M7" i="163"/>
  <c r="M12" i="162"/>
  <c r="M11" i="162"/>
  <c r="M10" i="162"/>
  <c r="M30" i="143"/>
  <c r="M29" i="143"/>
  <c r="M28" i="143"/>
  <c r="M27" i="143"/>
  <c r="M16" i="143"/>
  <c r="M26" i="142"/>
  <c r="M25" i="142"/>
  <c r="M24" i="142"/>
  <c r="M23" i="142"/>
  <c r="M22" i="142"/>
  <c r="M21" i="142"/>
  <c r="M16" i="142"/>
  <c r="M32" i="141"/>
  <c r="M31" i="141"/>
  <c r="M30" i="141"/>
  <c r="M29" i="141"/>
  <c r="M28" i="141"/>
  <c r="M27" i="141"/>
  <c r="M26" i="141"/>
  <c r="M25" i="141"/>
  <c r="M11" i="140"/>
  <c r="M10" i="140"/>
  <c r="M9" i="116"/>
  <c r="M8" i="116"/>
  <c r="M7" i="116"/>
  <c r="M6" i="116"/>
  <c r="M5" i="116"/>
  <c r="M14" i="115"/>
  <c r="M13" i="115"/>
  <c r="M12" i="115"/>
  <c r="M11" i="115"/>
  <c r="M10" i="115"/>
  <c r="M9" i="115"/>
  <c r="M29" i="112"/>
  <c r="M28" i="112"/>
  <c r="M27" i="112"/>
  <c r="M26" i="112"/>
  <c r="M25" i="112"/>
  <c r="M24" i="112"/>
  <c r="M23" i="112"/>
  <c r="M22" i="112"/>
  <c r="M21" i="112"/>
  <c r="M20" i="112"/>
  <c r="M19" i="112"/>
  <c r="M18" i="112"/>
  <c r="M17" i="112"/>
  <c r="M16" i="112"/>
  <c r="M15" i="112"/>
  <c r="M14" i="112"/>
  <c r="M15" i="111"/>
  <c r="M14" i="111"/>
  <c r="M13" i="111"/>
  <c r="M12" i="111"/>
  <c r="M15" i="110"/>
  <c r="M14" i="110"/>
  <c r="M13" i="110"/>
  <c r="M12" i="110"/>
  <c r="M11" i="110"/>
  <c r="M18" i="107"/>
  <c r="M17" i="107"/>
  <c r="M16" i="107"/>
  <c r="M15" i="107"/>
  <c r="M14" i="107"/>
  <c r="M13" i="107"/>
  <c r="M16" i="106"/>
  <c r="M15" i="106"/>
  <c r="M14" i="106"/>
  <c r="M13" i="106"/>
  <c r="M12" i="106"/>
  <c r="M11" i="106"/>
  <c r="M11" i="105"/>
  <c r="M10" i="105"/>
  <c r="M11" i="102"/>
  <c r="M9" i="102"/>
  <c r="M8" i="102"/>
  <c r="M7" i="102"/>
  <c r="M9" i="101"/>
  <c r="M8" i="101"/>
  <c r="M7" i="101"/>
  <c r="M18" i="100"/>
  <c r="M17" i="100"/>
  <c r="M16" i="100"/>
  <c r="M15" i="100"/>
  <c r="M13" i="100"/>
  <c r="M12" i="100"/>
  <c r="M36" i="99"/>
  <c r="M30" i="99"/>
  <c r="M29" i="99"/>
  <c r="M28" i="99"/>
  <c r="M27" i="99"/>
  <c r="M26" i="99"/>
  <c r="M23" i="99"/>
  <c r="M22" i="99"/>
  <c r="M19" i="99"/>
  <c r="M18" i="99"/>
  <c r="M17" i="99"/>
  <c r="M16" i="99"/>
  <c r="M15" i="99"/>
  <c r="M16" i="121"/>
  <c r="M15" i="121"/>
  <c r="M14" i="121"/>
  <c r="M13" i="121"/>
  <c r="M12" i="121"/>
  <c r="M14" i="98"/>
  <c r="M17" i="97"/>
  <c r="M16" i="97"/>
  <c r="M15" i="97"/>
  <c r="M14" i="97"/>
  <c r="M13" i="97"/>
  <c r="M14" i="96"/>
  <c r="M14" i="95"/>
  <c r="M14" i="94"/>
  <c r="M16" i="93"/>
  <c r="M15" i="93"/>
  <c r="M14" i="93"/>
  <c r="M13" i="93"/>
  <c r="M12" i="93"/>
  <c r="M17" i="92"/>
  <c r="M16" i="92"/>
  <c r="M15" i="92"/>
  <c r="M14" i="92"/>
  <c r="M13" i="92"/>
  <c r="M12" i="92"/>
  <c r="M11" i="92"/>
  <c r="M14" i="90"/>
  <c r="M9" i="89"/>
  <c r="M8" i="89"/>
  <c r="M7" i="89"/>
  <c r="M14" i="88"/>
  <c r="M13" i="88"/>
  <c r="M12" i="88"/>
  <c r="M10" i="88"/>
  <c r="M17" i="87"/>
  <c r="M16" i="87"/>
  <c r="M15" i="87"/>
  <c r="M14" i="87"/>
  <c r="M13" i="87"/>
  <c r="M16" i="86"/>
  <c r="M15" i="86"/>
  <c r="M14" i="86"/>
  <c r="M13" i="86"/>
  <c r="M12" i="86"/>
  <c r="M11" i="86"/>
  <c r="M14" i="84"/>
  <c r="M49" i="149"/>
  <c r="M48" i="149"/>
  <c r="M47" i="149"/>
  <c r="M46" i="149"/>
  <c r="M45" i="149"/>
  <c r="M44" i="149"/>
  <c r="M43" i="149"/>
  <c r="M42" i="149"/>
  <c r="M41" i="149"/>
  <c r="M40" i="149"/>
  <c r="M39" i="149"/>
  <c r="M38" i="149"/>
  <c r="M37" i="149"/>
  <c r="M36" i="149"/>
  <c r="M35" i="149"/>
  <c r="M34" i="149"/>
  <c r="M33" i="149"/>
  <c r="M32" i="149"/>
  <c r="M31" i="149"/>
  <c r="M30" i="149"/>
  <c r="M29" i="149"/>
  <c r="M28" i="149"/>
  <c r="M27" i="149"/>
  <c r="M26" i="149"/>
  <c r="M25" i="149"/>
  <c r="M24" i="149"/>
  <c r="M23" i="149"/>
  <c r="M22" i="149"/>
  <c r="M21" i="149"/>
  <c r="M49" i="148"/>
  <c r="M48" i="148"/>
  <c r="M47" i="148"/>
  <c r="M46" i="148"/>
  <c r="M45" i="148"/>
  <c r="M44" i="148"/>
  <c r="M43" i="148"/>
  <c r="M42" i="148"/>
  <c r="M41" i="148"/>
  <c r="M40" i="148"/>
  <c r="M39" i="148"/>
  <c r="M38" i="148"/>
  <c r="M37" i="148"/>
  <c r="M36" i="148"/>
  <c r="M35" i="148"/>
  <c r="M34" i="148"/>
  <c r="M33" i="148"/>
  <c r="M32" i="148"/>
  <c r="M31" i="148"/>
  <c r="M30" i="148"/>
  <c r="M29" i="148"/>
  <c r="M28" i="148"/>
  <c r="M27" i="148"/>
  <c r="M26" i="148"/>
  <c r="M25" i="148"/>
  <c r="M24" i="148"/>
  <c r="M23" i="148"/>
  <c r="M22" i="148"/>
  <c r="M21" i="148"/>
  <c r="M60" i="147"/>
  <c r="M59" i="147"/>
  <c r="M58" i="147"/>
  <c r="M57" i="147"/>
  <c r="M56" i="147"/>
  <c r="M55" i="147"/>
  <c r="M54" i="147"/>
  <c r="M53" i="147"/>
  <c r="M52" i="147"/>
  <c r="M51" i="147"/>
  <c r="M50" i="147"/>
  <c r="M49" i="147"/>
  <c r="M48" i="147"/>
  <c r="M47" i="147"/>
  <c r="M46" i="147"/>
  <c r="M45" i="147"/>
  <c r="M44" i="147"/>
  <c r="M43" i="147"/>
  <c r="M42" i="147"/>
  <c r="M41" i="147"/>
  <c r="M40" i="147"/>
  <c r="M39" i="147"/>
  <c r="M38" i="147"/>
  <c r="M37" i="147"/>
  <c r="M36" i="147"/>
  <c r="M35" i="147"/>
  <c r="M34" i="147"/>
  <c r="M33" i="147"/>
  <c r="M32" i="147"/>
  <c r="M31" i="147"/>
  <c r="M30" i="147"/>
  <c r="M29" i="147"/>
  <c r="M28" i="147"/>
  <c r="M27" i="147"/>
  <c r="M26" i="147"/>
  <c r="M25" i="147"/>
  <c r="M24" i="147"/>
  <c r="M23" i="147"/>
  <c r="M22" i="147"/>
  <c r="M49" i="146"/>
  <c r="M48" i="146"/>
  <c r="M47" i="146"/>
  <c r="M46" i="146"/>
  <c r="M44" i="146"/>
  <c r="M43" i="146"/>
  <c r="M42" i="146"/>
  <c r="M40" i="146"/>
  <c r="M39" i="146"/>
  <c r="M38" i="146"/>
  <c r="M37" i="146"/>
  <c r="M36" i="146"/>
  <c r="M35" i="146"/>
  <c r="M34" i="146"/>
  <c r="M33" i="146"/>
  <c r="M32" i="146"/>
  <c r="M31" i="146"/>
  <c r="M30" i="146"/>
  <c r="M29" i="146"/>
  <c r="M28" i="146"/>
  <c r="M27" i="146"/>
  <c r="M26" i="146"/>
  <c r="M25" i="146"/>
  <c r="M24" i="146"/>
  <c r="M23" i="146"/>
  <c r="M22" i="146"/>
  <c r="M21" i="146"/>
  <c r="M20" i="146"/>
  <c r="M19" i="146"/>
  <c r="M18" i="146"/>
  <c r="M25" i="151"/>
  <c r="M24" i="151"/>
  <c r="M23" i="151"/>
  <c r="M22" i="151"/>
  <c r="M21" i="151"/>
  <c r="M20" i="151"/>
  <c r="M19" i="151"/>
  <c r="M18" i="151"/>
  <c r="M17" i="151"/>
  <c r="M16" i="151"/>
  <c r="M15" i="151"/>
  <c r="M24" i="150"/>
  <c r="M23" i="150"/>
  <c r="M22" i="150"/>
  <c r="M21" i="150"/>
  <c r="M20" i="150"/>
  <c r="M19" i="150"/>
  <c r="M18" i="150"/>
  <c r="M17" i="150"/>
  <c r="M16" i="150"/>
  <c r="M11" i="144"/>
  <c r="M10" i="144"/>
  <c r="M9" i="82"/>
  <c r="M8" i="82"/>
  <c r="M7" i="82"/>
  <c r="M6" i="82"/>
  <c r="M5" i="82"/>
  <c r="M7" i="160"/>
  <c r="M14" i="81"/>
  <c r="M13" i="81"/>
  <c r="M12" i="81"/>
  <c r="M11" i="81"/>
  <c r="M10" i="81"/>
  <c r="M9" i="81"/>
  <c r="M13" i="133"/>
  <c r="M12" i="133"/>
  <c r="M11" i="133"/>
  <c r="M10" i="133"/>
  <c r="M9" i="133"/>
  <c r="M12" i="132"/>
  <c r="M11" i="132"/>
  <c r="M10" i="132"/>
  <c r="M9" i="132"/>
  <c r="M8" i="132"/>
  <c r="M15" i="157"/>
  <c r="M14" i="157"/>
  <c r="M13" i="157"/>
  <c r="M12" i="157"/>
  <c r="M11" i="157"/>
  <c r="M11" i="158"/>
  <c r="M11" i="156"/>
  <c r="M28" i="79"/>
  <c r="M27" i="79"/>
  <c r="M26" i="79"/>
  <c r="M25" i="79"/>
  <c r="M24" i="79"/>
  <c r="M23" i="79"/>
  <c r="M22" i="79"/>
  <c r="M21" i="79"/>
  <c r="M20" i="79"/>
  <c r="M19" i="79"/>
  <c r="M24" i="166"/>
  <c r="M23" i="166"/>
  <c r="M22" i="166"/>
  <c r="M21" i="166"/>
  <c r="M20" i="166"/>
  <c r="M19" i="166"/>
  <c r="M18" i="166"/>
  <c r="M17" i="166"/>
  <c r="M16" i="166"/>
  <c r="M13" i="166"/>
  <c r="M12" i="166"/>
  <c r="M11" i="166"/>
  <c r="M10" i="166"/>
  <c r="M9" i="166"/>
  <c r="M8" i="166"/>
  <c r="M9" i="139"/>
  <c r="M13" i="137"/>
  <c r="M12" i="137"/>
  <c r="M11" i="137"/>
  <c r="M24" i="136"/>
  <c r="M23" i="136"/>
  <c r="M22" i="136"/>
  <c r="M21" i="136"/>
  <c r="M20" i="136"/>
  <c r="M19" i="136"/>
  <c r="M18" i="136"/>
  <c r="M17" i="136"/>
  <c r="M16" i="136"/>
  <c r="M15" i="135"/>
  <c r="M14" i="135"/>
  <c r="M13" i="135"/>
  <c r="M12" i="135"/>
  <c r="M11" i="135"/>
  <c r="M26" i="134"/>
  <c r="M25" i="134"/>
  <c r="M24" i="134"/>
  <c r="M23" i="134"/>
  <c r="M22" i="134"/>
  <c r="M21" i="134"/>
  <c r="M19" i="134"/>
  <c r="M18" i="134"/>
  <c r="M17" i="134"/>
  <c r="M16" i="134"/>
  <c r="M15" i="134"/>
  <c r="M14" i="134"/>
  <c r="M13" i="134"/>
  <c r="M46" i="77"/>
  <c r="M45" i="77"/>
  <c r="M44" i="77"/>
  <c r="M42" i="77"/>
  <c r="M41" i="77"/>
  <c r="M40" i="77"/>
  <c r="M39" i="77"/>
  <c r="M38" i="77"/>
  <c r="M37" i="77"/>
  <c r="M36" i="77"/>
  <c r="M35" i="77"/>
  <c r="M34" i="77"/>
  <c r="M33" i="77"/>
  <c r="M32" i="77"/>
  <c r="M31" i="77"/>
  <c r="M30" i="77"/>
  <c r="M29" i="77"/>
  <c r="M28" i="77"/>
  <c r="M27" i="77"/>
  <c r="M26" i="77"/>
  <c r="M25" i="77"/>
  <c r="M24" i="77"/>
  <c r="M23" i="77"/>
  <c r="M22" i="77"/>
  <c r="M8" i="154"/>
  <c r="M11" i="153"/>
  <c r="M11" i="152"/>
  <c r="M22" i="76"/>
  <c r="M21" i="76"/>
  <c r="M20" i="76"/>
  <c r="M19" i="76"/>
  <c r="M18" i="76"/>
  <c r="M17" i="76"/>
  <c r="M16" i="76"/>
  <c r="M15" i="76"/>
  <c r="M26" i="75"/>
  <c r="M25" i="75"/>
  <c r="M24" i="75"/>
  <c r="M23" i="75"/>
  <c r="M22" i="75"/>
  <c r="M21" i="75"/>
  <c r="M20" i="75"/>
  <c r="M19" i="75"/>
  <c r="M18" i="75"/>
  <c r="M17" i="75"/>
  <c r="M16" i="75"/>
  <c r="M12" i="74"/>
  <c r="M11" i="74"/>
  <c r="M10" i="72"/>
  <c r="M9" i="72"/>
  <c r="M8" i="72"/>
  <c r="M10" i="71"/>
  <c r="M9" i="71"/>
  <c r="M8" i="71"/>
  <c r="M9" i="70"/>
  <c r="M8" i="70"/>
  <c r="M7" i="70"/>
  <c r="M14" i="161"/>
  <c r="M13" i="161"/>
  <c r="M15" i="131"/>
  <c r="M14" i="131"/>
  <c r="M13" i="131"/>
  <c r="M12" i="131"/>
  <c r="M11" i="131"/>
  <c r="M31" i="67"/>
  <c r="M29" i="67"/>
  <c r="M28" i="67"/>
  <c r="M27" i="67"/>
  <c r="M26" i="67"/>
  <c r="M24" i="67"/>
  <c r="M23" i="67"/>
  <c r="M20" i="67"/>
  <c r="M19" i="67"/>
  <c r="M18" i="67"/>
  <c r="M17" i="67"/>
  <c r="M16" i="67"/>
  <c r="M11" i="130"/>
  <c r="M10" i="130"/>
  <c r="M9" i="130"/>
  <c r="M8" i="130"/>
  <c r="M7" i="128"/>
  <c r="M49" i="66"/>
  <c r="M47" i="66"/>
  <c r="M46" i="66"/>
  <c r="M45" i="66"/>
  <c r="M44" i="66"/>
  <c r="M43" i="66"/>
  <c r="M42" i="66"/>
  <c r="M41" i="66"/>
  <c r="M40" i="66"/>
  <c r="M39" i="66"/>
  <c r="M38" i="66"/>
  <c r="M37" i="66"/>
  <c r="M36" i="66"/>
  <c r="M35" i="66"/>
  <c r="M34" i="66"/>
  <c r="M33" i="66"/>
  <c r="M32" i="66"/>
  <c r="M31" i="66"/>
  <c r="M30" i="66"/>
  <c r="M29" i="66"/>
  <c r="M28" i="66"/>
  <c r="M27" i="66"/>
  <c r="M26" i="66"/>
  <c r="M25" i="66"/>
  <c r="M24" i="66"/>
  <c r="M23" i="66"/>
  <c r="M22" i="66"/>
  <c r="M13" i="127"/>
  <c r="M12" i="127"/>
  <c r="M11" i="127"/>
  <c r="M10" i="127"/>
  <c r="M9" i="127"/>
  <c r="M16" i="126"/>
  <c r="M15" i="126"/>
  <c r="M14" i="126"/>
  <c r="M13" i="126"/>
  <c r="M12" i="126"/>
  <c r="M11" i="126"/>
  <c r="M16" i="125"/>
  <c r="M15" i="125"/>
  <c r="M14" i="125"/>
  <c r="M13" i="125"/>
  <c r="M12" i="125"/>
  <c r="M11" i="125"/>
  <c r="M13" i="124"/>
  <c r="M12" i="124"/>
  <c r="M11" i="124"/>
  <c r="M10" i="124"/>
  <c r="M9" i="124"/>
  <c r="M16" i="123"/>
  <c r="M15" i="123"/>
  <c r="M14" i="123"/>
  <c r="M13" i="123"/>
  <c r="M12" i="123"/>
  <c r="M11" i="123"/>
  <c r="M11" i="122"/>
  <c r="M10" i="122"/>
  <c r="M9" i="122"/>
  <c r="M8" i="122"/>
  <c r="M7" i="122"/>
  <c r="M8" i="65"/>
  <c r="M7" i="65"/>
  <c r="M14" i="64"/>
  <c r="M13" i="64"/>
  <c r="M12" i="64"/>
  <c r="M11" i="64"/>
  <c r="M10" i="64"/>
  <c r="M9" i="64"/>
  <c r="M8" i="64"/>
  <c r="M7" i="64"/>
  <c r="M25" i="63"/>
  <c r="M7" i="138"/>
  <c r="M12" i="62"/>
  <c r="M11" i="62"/>
  <c r="M9" i="61"/>
  <c r="M8" i="61"/>
  <c r="M7" i="61"/>
  <c r="M10" i="60"/>
  <c r="M9" i="60"/>
  <c r="M8" i="60"/>
  <c r="M7" i="60"/>
  <c r="M10" i="59"/>
  <c r="M9" i="59"/>
  <c r="M8" i="59"/>
  <c r="M7" i="59"/>
  <c r="M7" i="58"/>
  <c r="M8" i="57"/>
  <c r="M7" i="57"/>
  <c r="M22" i="55"/>
  <c r="M21" i="55"/>
  <c r="M6" i="54"/>
  <c r="M5" i="54"/>
  <c r="M7" i="53"/>
  <c r="M6" i="53"/>
  <c r="M5" i="53"/>
  <c r="M7" i="52"/>
  <c r="M6" i="52"/>
  <c r="M5" i="52"/>
  <c r="M25" i="51"/>
  <c r="M24" i="51"/>
  <c r="M23" i="51"/>
  <c r="M22" i="51"/>
  <c r="M21" i="51"/>
  <c r="M20" i="51"/>
  <c r="M19" i="51"/>
  <c r="M18" i="51"/>
  <c r="M17" i="51"/>
  <c r="M16" i="51"/>
  <c r="M15" i="51"/>
  <c r="M14" i="51"/>
  <c r="M13" i="51"/>
  <c r="M12" i="51"/>
  <c r="M11" i="51"/>
  <c r="M9" i="51"/>
  <c r="M8" i="51"/>
  <c r="M7" i="51"/>
  <c r="M6" i="51"/>
  <c r="M5" i="51"/>
  <c r="M15" i="50"/>
  <c r="M14" i="50"/>
  <c r="M13" i="50"/>
  <c r="M12" i="50"/>
  <c r="M11" i="50"/>
  <c r="M10" i="50"/>
  <c r="M9" i="50"/>
  <c r="M8" i="50"/>
  <c r="M7" i="50"/>
  <c r="M6" i="50"/>
  <c r="M5" i="50"/>
  <c r="M15" i="48"/>
  <c r="M14" i="48"/>
  <c r="M13" i="48"/>
  <c r="M12" i="48"/>
  <c r="M11" i="48"/>
  <c r="M10" i="48"/>
  <c r="M9" i="48"/>
  <c r="M8" i="48"/>
  <c r="M7" i="48"/>
  <c r="M6" i="48"/>
  <c r="M5" i="48"/>
  <c r="M24" i="49"/>
  <c r="M23" i="49"/>
  <c r="M22" i="49"/>
  <c r="M21" i="49"/>
  <c r="M20" i="49"/>
  <c r="M19" i="49"/>
  <c r="M18" i="49"/>
  <c r="M17" i="49"/>
  <c r="M16" i="49"/>
  <c r="M15" i="49"/>
  <c r="M14" i="49"/>
  <c r="M13" i="49"/>
  <c r="M12" i="49"/>
  <c r="M11" i="49"/>
  <c r="M10" i="49"/>
  <c r="M8" i="49"/>
  <c r="M7" i="49"/>
  <c r="M6" i="49"/>
  <c r="M5" i="49"/>
  <c r="M21" i="47"/>
  <c r="M20" i="47"/>
  <c r="M19" i="47"/>
  <c r="M18" i="47"/>
  <c r="M16" i="47"/>
  <c r="M15" i="47"/>
  <c r="M14" i="47"/>
  <c r="M13" i="47"/>
  <c r="M12" i="47"/>
  <c r="M11" i="47"/>
  <c r="M10" i="47"/>
  <c r="M9" i="47"/>
  <c r="M8" i="47"/>
  <c r="M7" i="47"/>
  <c r="M6" i="47"/>
  <c r="M5" i="47"/>
  <c r="M26" i="46"/>
  <c r="M25" i="46"/>
  <c r="M18" i="46"/>
  <c r="M17" i="46"/>
  <c r="M16" i="46"/>
  <c r="M15" i="46"/>
  <c r="M14" i="46"/>
  <c r="M13" i="46"/>
  <c r="M12" i="46"/>
  <c r="M11" i="46"/>
  <c r="M10" i="46"/>
  <c r="M9" i="46"/>
  <c r="M8" i="46"/>
  <c r="M7" i="46"/>
  <c r="M6" i="46"/>
  <c r="M5" i="46"/>
  <c r="N8" i="120"/>
  <c r="N7" i="120"/>
  <c r="N6" i="120"/>
  <c r="N5" i="120"/>
  <c r="N8" i="159"/>
  <c r="N7" i="159"/>
  <c r="N10" i="119"/>
  <c r="N9" i="119"/>
  <c r="N8" i="119"/>
  <c r="N17" i="167"/>
  <c r="N16" i="167"/>
  <c r="N15" i="167"/>
  <c r="N14" i="167"/>
  <c r="N13" i="167"/>
  <c r="N12" i="167"/>
  <c r="N11" i="167"/>
  <c r="N10" i="167"/>
  <c r="N9" i="167"/>
  <c r="N8" i="167"/>
  <c r="N7" i="167"/>
  <c r="N14" i="165"/>
  <c r="N13" i="165"/>
  <c r="N12" i="165"/>
  <c r="N11" i="165"/>
  <c r="N10" i="165"/>
  <c r="N9" i="165"/>
  <c r="N11" i="164"/>
  <c r="N10" i="164"/>
  <c r="N9" i="164"/>
  <c r="N11" i="163"/>
  <c r="N10" i="163"/>
  <c r="N9" i="163"/>
  <c r="N8" i="163"/>
  <c r="N7" i="163"/>
  <c r="N12" i="162"/>
  <c r="N11" i="162"/>
  <c r="N10" i="162"/>
  <c r="N30" i="143"/>
  <c r="N29" i="143"/>
  <c r="N28" i="143"/>
  <c r="N27" i="143"/>
  <c r="N16" i="143"/>
  <c r="N26" i="142"/>
  <c r="N25" i="142"/>
  <c r="N24" i="142"/>
  <c r="N23" i="142"/>
  <c r="N22" i="142"/>
  <c r="N21" i="142"/>
  <c r="N16" i="142"/>
  <c r="N32" i="141"/>
  <c r="N31" i="141"/>
  <c r="N30" i="141"/>
  <c r="N29" i="141"/>
  <c r="N28" i="141"/>
  <c r="N27" i="141"/>
  <c r="N26" i="141"/>
  <c r="N25" i="141"/>
  <c r="N11" i="140"/>
  <c r="N10" i="140"/>
  <c r="N9" i="116"/>
  <c r="N8" i="116"/>
  <c r="N7" i="116"/>
  <c r="N6" i="116"/>
  <c r="N5" i="116"/>
  <c r="N14" i="115"/>
  <c r="N13" i="115"/>
  <c r="N12" i="115"/>
  <c r="N11" i="115"/>
  <c r="N10" i="115"/>
  <c r="N9" i="115"/>
  <c r="N29" i="112"/>
  <c r="N28" i="112"/>
  <c r="N27" i="112"/>
  <c r="N26" i="112"/>
  <c r="N25" i="112"/>
  <c r="N24" i="112"/>
  <c r="N23" i="112"/>
  <c r="N22" i="112"/>
  <c r="N21" i="112"/>
  <c r="N20" i="112"/>
  <c r="N19" i="112"/>
  <c r="N18" i="112"/>
  <c r="N17" i="112"/>
  <c r="N16" i="112"/>
  <c r="N15" i="112"/>
  <c r="N14" i="112"/>
  <c r="N15" i="111"/>
  <c r="N14" i="111"/>
  <c r="N13" i="111"/>
  <c r="N12" i="111"/>
  <c r="N15" i="110"/>
  <c r="N14" i="110"/>
  <c r="N13" i="110"/>
  <c r="N12" i="110"/>
  <c r="N11" i="110"/>
  <c r="N18" i="107"/>
  <c r="N17" i="107"/>
  <c r="N16" i="107"/>
  <c r="N15" i="107"/>
  <c r="N14" i="107"/>
  <c r="N13" i="107"/>
  <c r="N16" i="106"/>
  <c r="N15" i="106"/>
  <c r="N14" i="106"/>
  <c r="N13" i="106"/>
  <c r="N12" i="106"/>
  <c r="N11" i="106"/>
  <c r="N11" i="105"/>
  <c r="N10" i="105"/>
  <c r="N11" i="102"/>
  <c r="N9" i="102"/>
  <c r="N8" i="102"/>
  <c r="N7" i="102"/>
  <c r="N9" i="101"/>
  <c r="N8" i="101"/>
  <c r="N7" i="101"/>
  <c r="N18" i="100"/>
  <c r="N17" i="100"/>
  <c r="N16" i="100"/>
  <c r="N15" i="100"/>
  <c r="N13" i="100"/>
  <c r="N12" i="100"/>
  <c r="N36" i="99"/>
  <c r="N30" i="99"/>
  <c r="N29" i="99"/>
  <c r="N28" i="99"/>
  <c r="N27" i="99"/>
  <c r="N26" i="99"/>
  <c r="N23" i="99"/>
  <c r="N22" i="99"/>
  <c r="N19" i="99"/>
  <c r="N18" i="99"/>
  <c r="N17" i="99"/>
  <c r="N16" i="99"/>
  <c r="N15" i="99"/>
  <c r="N16" i="121"/>
  <c r="N15" i="121"/>
  <c r="N14" i="121"/>
  <c r="N13" i="121"/>
  <c r="N12" i="121"/>
  <c r="N14" i="98"/>
  <c r="N17" i="97"/>
  <c r="N16" i="97"/>
  <c r="N15" i="97"/>
  <c r="N14" i="97"/>
  <c r="N13" i="97"/>
  <c r="N14" i="96"/>
  <c r="N14" i="95"/>
  <c r="N14" i="94"/>
  <c r="N16" i="93"/>
  <c r="N15" i="93"/>
  <c r="N14" i="93"/>
  <c r="N13" i="93"/>
  <c r="N12" i="93"/>
  <c r="N17" i="92"/>
  <c r="N16" i="92"/>
  <c r="N15" i="92"/>
  <c r="N14" i="92"/>
  <c r="N13" i="92"/>
  <c r="N12" i="92"/>
  <c r="N11" i="92"/>
  <c r="N14" i="90"/>
  <c r="N9" i="89"/>
  <c r="N8" i="89"/>
  <c r="N7" i="89"/>
  <c r="N14" i="88"/>
  <c r="N13" i="88"/>
  <c r="N12" i="88"/>
  <c r="N10" i="88"/>
  <c r="N17" i="87"/>
  <c r="N16" i="87"/>
  <c r="N15" i="87"/>
  <c r="N14" i="87"/>
  <c r="N13" i="87"/>
  <c r="N16" i="86"/>
  <c r="N15" i="86"/>
  <c r="N14" i="86"/>
  <c r="N13" i="86"/>
  <c r="N12" i="86"/>
  <c r="N11" i="86"/>
  <c r="N14" i="84"/>
  <c r="N49" i="149"/>
  <c r="N48" i="149"/>
  <c r="N47" i="149"/>
  <c r="N46" i="149"/>
  <c r="N45" i="149"/>
  <c r="N44" i="149"/>
  <c r="N43" i="149"/>
  <c r="N42" i="149"/>
  <c r="N41" i="149"/>
  <c r="N40" i="149"/>
  <c r="N39" i="149"/>
  <c r="N38" i="149"/>
  <c r="N37" i="149"/>
  <c r="N36" i="149"/>
  <c r="N35" i="149"/>
  <c r="N34" i="149"/>
  <c r="N33" i="149"/>
  <c r="N32" i="149"/>
  <c r="N31" i="149"/>
  <c r="N30" i="149"/>
  <c r="N29" i="149"/>
  <c r="N28" i="149"/>
  <c r="N27" i="149"/>
  <c r="N26" i="149"/>
  <c r="N25" i="149"/>
  <c r="N24" i="149"/>
  <c r="N23" i="149"/>
  <c r="N22" i="149"/>
  <c r="N21" i="149"/>
  <c r="N49" i="148"/>
  <c r="N48" i="148"/>
  <c r="N47" i="148"/>
  <c r="N46" i="148"/>
  <c r="N45" i="148"/>
  <c r="N44" i="148"/>
  <c r="N43" i="148"/>
  <c r="N42" i="148"/>
  <c r="N41" i="148"/>
  <c r="N40" i="148"/>
  <c r="N39" i="148"/>
  <c r="N38" i="148"/>
  <c r="N37" i="148"/>
  <c r="N36" i="148"/>
  <c r="N35" i="148"/>
  <c r="N34" i="148"/>
  <c r="N33" i="148"/>
  <c r="N32" i="148"/>
  <c r="N31" i="148"/>
  <c r="N30" i="148"/>
  <c r="N29" i="148"/>
  <c r="N28" i="148"/>
  <c r="N27" i="148"/>
  <c r="N26" i="148"/>
  <c r="N25" i="148"/>
  <c r="N24" i="148"/>
  <c r="N23" i="148"/>
  <c r="N22" i="148"/>
  <c r="N21" i="148"/>
  <c r="N60" i="147"/>
  <c r="N59" i="147"/>
  <c r="N58" i="147"/>
  <c r="N57" i="147"/>
  <c r="N56" i="147"/>
  <c r="N55" i="147"/>
  <c r="N54" i="147"/>
  <c r="N53" i="147"/>
  <c r="N52" i="147"/>
  <c r="N51" i="147"/>
  <c r="N50" i="147"/>
  <c r="N49" i="147"/>
  <c r="N48" i="147"/>
  <c r="N47" i="147"/>
  <c r="N46" i="147"/>
  <c r="N45" i="147"/>
  <c r="N44" i="147"/>
  <c r="N43" i="147"/>
  <c r="N42" i="147"/>
  <c r="N41" i="147"/>
  <c r="N40" i="147"/>
  <c r="N39" i="147"/>
  <c r="N38" i="147"/>
  <c r="N37" i="147"/>
  <c r="N36" i="147"/>
  <c r="N35" i="147"/>
  <c r="N34" i="147"/>
  <c r="N33" i="147"/>
  <c r="N32" i="147"/>
  <c r="N31" i="147"/>
  <c r="N30" i="147"/>
  <c r="N29" i="147"/>
  <c r="N28" i="147"/>
  <c r="N27" i="147"/>
  <c r="N26" i="147"/>
  <c r="N25" i="147"/>
  <c r="N24" i="147"/>
  <c r="N23" i="147"/>
  <c r="N22" i="147"/>
  <c r="N49" i="146"/>
  <c r="N48" i="146"/>
  <c r="N47" i="146"/>
  <c r="N46" i="146"/>
  <c r="N44" i="146"/>
  <c r="N43" i="146"/>
  <c r="N42" i="146"/>
  <c r="N40" i="146"/>
  <c r="N39" i="146"/>
  <c r="N38" i="146"/>
  <c r="N37" i="146"/>
  <c r="N36" i="146"/>
  <c r="N35" i="146"/>
  <c r="N34" i="146"/>
  <c r="N33" i="146"/>
  <c r="N32" i="146"/>
  <c r="N31" i="146"/>
  <c r="N30" i="146"/>
  <c r="N29" i="146"/>
  <c r="N28" i="146"/>
  <c r="N27" i="146"/>
  <c r="N26" i="146"/>
  <c r="N25" i="146"/>
  <c r="N24" i="146"/>
  <c r="N23" i="146"/>
  <c r="N22" i="146"/>
  <c r="N21" i="146"/>
  <c r="N20" i="146"/>
  <c r="N19" i="146"/>
  <c r="N18" i="146"/>
  <c r="N25" i="151"/>
  <c r="N24" i="151"/>
  <c r="N23" i="151"/>
  <c r="N22" i="151"/>
  <c r="N21" i="151"/>
  <c r="N20" i="151"/>
  <c r="N19" i="151"/>
  <c r="N18" i="151"/>
  <c r="N17" i="151"/>
  <c r="N16" i="151"/>
  <c r="N15" i="151"/>
  <c r="N24" i="150"/>
  <c r="N23" i="150"/>
  <c r="N22" i="150"/>
  <c r="N21" i="150"/>
  <c r="N20" i="150"/>
  <c r="N19" i="150"/>
  <c r="N18" i="150"/>
  <c r="N17" i="150"/>
  <c r="N16" i="150"/>
  <c r="N11" i="144"/>
  <c r="N10" i="144"/>
  <c r="N9" i="82"/>
  <c r="N8" i="82"/>
  <c r="N7" i="82"/>
  <c r="N6" i="82"/>
  <c r="N5" i="82"/>
  <c r="N7" i="160"/>
  <c r="N14" i="81"/>
  <c r="N13" i="81"/>
  <c r="N12" i="81"/>
  <c r="N11" i="81"/>
  <c r="N10" i="81"/>
  <c r="N9" i="81"/>
  <c r="N13" i="133"/>
  <c r="N12" i="133"/>
  <c r="N11" i="133"/>
  <c r="N10" i="133"/>
  <c r="N9" i="133"/>
  <c r="N12" i="132"/>
  <c r="N11" i="132"/>
  <c r="N10" i="132"/>
  <c r="N9" i="132"/>
  <c r="N8" i="132"/>
  <c r="N15" i="157"/>
  <c r="N14" i="157"/>
  <c r="N13" i="157"/>
  <c r="N12" i="157"/>
  <c r="N11" i="157"/>
  <c r="N11" i="158"/>
  <c r="N11" i="156"/>
  <c r="N28" i="79"/>
  <c r="N27" i="79"/>
  <c r="N26" i="79"/>
  <c r="N25" i="79"/>
  <c r="N24" i="79"/>
  <c r="N23" i="79"/>
  <c r="N22" i="79"/>
  <c r="N21" i="79"/>
  <c r="N20" i="79"/>
  <c r="N19" i="79"/>
  <c r="N24" i="166"/>
  <c r="N23" i="166"/>
  <c r="N22" i="166"/>
  <c r="N21" i="166"/>
  <c r="N20" i="166"/>
  <c r="N19" i="166"/>
  <c r="N18" i="166"/>
  <c r="N17" i="166"/>
  <c r="N16" i="166"/>
  <c r="N13" i="166"/>
  <c r="N12" i="166"/>
  <c r="N11" i="166"/>
  <c r="N10" i="166"/>
  <c r="N9" i="166"/>
  <c r="N8" i="166"/>
  <c r="N9" i="139"/>
  <c r="N13" i="137"/>
  <c r="N12" i="137"/>
  <c r="N11" i="137"/>
  <c r="N24" i="136"/>
  <c r="N23" i="136"/>
  <c r="N22" i="136"/>
  <c r="N21" i="136"/>
  <c r="N20" i="136"/>
  <c r="N19" i="136"/>
  <c r="N18" i="136"/>
  <c r="N17" i="136"/>
  <c r="N16" i="136"/>
  <c r="N15" i="135"/>
  <c r="N14" i="135"/>
  <c r="N13" i="135"/>
  <c r="N12" i="135"/>
  <c r="N11" i="135"/>
  <c r="N26" i="134"/>
  <c r="N25" i="134"/>
  <c r="N24" i="134"/>
  <c r="N23" i="134"/>
  <c r="N22" i="134"/>
  <c r="N21" i="134"/>
  <c r="N19" i="134"/>
  <c r="N18" i="134"/>
  <c r="N17" i="134"/>
  <c r="N16" i="134"/>
  <c r="N15" i="134"/>
  <c r="N14" i="134"/>
  <c r="N13" i="134"/>
  <c r="N46" i="77"/>
  <c r="N45" i="77"/>
  <c r="N44" i="77"/>
  <c r="N42" i="77"/>
  <c r="N41" i="77"/>
  <c r="N40" i="77"/>
  <c r="N39" i="77"/>
  <c r="N38" i="77"/>
  <c r="N37" i="77"/>
  <c r="N36" i="77"/>
  <c r="N35" i="77"/>
  <c r="N34" i="77"/>
  <c r="N33" i="77"/>
  <c r="N32" i="77"/>
  <c r="N31" i="77"/>
  <c r="N30" i="77"/>
  <c r="N29" i="77"/>
  <c r="N28" i="77"/>
  <c r="N27" i="77"/>
  <c r="N26" i="77"/>
  <c r="N25" i="77"/>
  <c r="N24" i="77"/>
  <c r="N23" i="77"/>
  <c r="N22" i="77"/>
  <c r="N8" i="154"/>
  <c r="N11" i="153"/>
  <c r="N11" i="152"/>
  <c r="N22" i="76"/>
  <c r="N21" i="76"/>
  <c r="N20" i="76"/>
  <c r="N19" i="76"/>
  <c r="N18" i="76"/>
  <c r="N17" i="76"/>
  <c r="N16" i="76"/>
  <c r="N15" i="76"/>
  <c r="N26" i="75"/>
  <c r="N25" i="75"/>
  <c r="N24" i="75"/>
  <c r="N23" i="75"/>
  <c r="N22" i="75"/>
  <c r="N21" i="75"/>
  <c r="N20" i="75"/>
  <c r="N19" i="75"/>
  <c r="N18" i="75"/>
  <c r="N17" i="75"/>
  <c r="N16" i="75"/>
  <c r="N12" i="74"/>
  <c r="N11" i="74"/>
  <c r="N10" i="72"/>
  <c r="N9" i="72"/>
  <c r="N8" i="72"/>
  <c r="N10" i="71"/>
  <c r="N9" i="71"/>
  <c r="N8" i="71"/>
  <c r="N9" i="70"/>
  <c r="N8" i="70"/>
  <c r="N7" i="70"/>
  <c r="N14" i="161"/>
  <c r="N13" i="161"/>
  <c r="N15" i="131"/>
  <c r="N14" i="131"/>
  <c r="N13" i="131"/>
  <c r="N12" i="131"/>
  <c r="N11" i="131"/>
  <c r="N31" i="67"/>
  <c r="N29" i="67"/>
  <c r="N28" i="67"/>
  <c r="N27" i="67"/>
  <c r="N26" i="67"/>
  <c r="N24" i="67"/>
  <c r="N23" i="67"/>
  <c r="N20" i="67"/>
  <c r="N19" i="67"/>
  <c r="N18" i="67"/>
  <c r="N17" i="67"/>
  <c r="N16" i="67"/>
  <c r="N11" i="130"/>
  <c r="N10" i="130"/>
  <c r="N9" i="130"/>
  <c r="N8" i="130"/>
  <c r="N7" i="128"/>
  <c r="N49" i="66"/>
  <c r="N47" i="66"/>
  <c r="N46" i="66"/>
  <c r="N45" i="66"/>
  <c r="N44" i="66"/>
  <c r="N43" i="66"/>
  <c r="N42" i="66"/>
  <c r="N41" i="66"/>
  <c r="N40" i="66"/>
  <c r="N39" i="66"/>
  <c r="N38" i="66"/>
  <c r="N37" i="66"/>
  <c r="N36" i="66"/>
  <c r="N35" i="66"/>
  <c r="N34" i="66"/>
  <c r="N33" i="66"/>
  <c r="N32" i="66"/>
  <c r="N31" i="66"/>
  <c r="N30" i="66"/>
  <c r="N29" i="66"/>
  <c r="N28" i="66"/>
  <c r="N27" i="66"/>
  <c r="N26" i="66"/>
  <c r="N25" i="66"/>
  <c r="N24" i="66"/>
  <c r="N23" i="66"/>
  <c r="N22" i="66"/>
  <c r="N13" i="127"/>
  <c r="N12" i="127"/>
  <c r="N11" i="127"/>
  <c r="N10" i="127"/>
  <c r="N9" i="127"/>
  <c r="N16" i="126"/>
  <c r="N15" i="126"/>
  <c r="N14" i="126"/>
  <c r="N13" i="126"/>
  <c r="N12" i="126"/>
  <c r="N11" i="126"/>
  <c r="N16" i="125"/>
  <c r="N15" i="125"/>
  <c r="N14" i="125"/>
  <c r="N13" i="125"/>
  <c r="N12" i="125"/>
  <c r="N11" i="125"/>
  <c r="N13" i="124"/>
  <c r="N12" i="124"/>
  <c r="N11" i="124"/>
  <c r="N10" i="124"/>
  <c r="N9" i="124"/>
  <c r="N16" i="123"/>
  <c r="N15" i="123"/>
  <c r="N14" i="123"/>
  <c r="N13" i="123"/>
  <c r="N12" i="123"/>
  <c r="N11" i="123"/>
  <c r="N11" i="122"/>
  <c r="N10" i="122"/>
  <c r="N9" i="122"/>
  <c r="N8" i="122"/>
  <c r="N7" i="122"/>
  <c r="N8" i="65"/>
  <c r="N7" i="65"/>
  <c r="N14" i="64"/>
  <c r="N13" i="64"/>
  <c r="N12" i="64"/>
  <c r="N11" i="64"/>
  <c r="N10" i="64"/>
  <c r="N9" i="64"/>
  <c r="N8" i="64"/>
  <c r="N7" i="64"/>
  <c r="N25" i="63"/>
  <c r="N7" i="138"/>
  <c r="N12" i="62"/>
  <c r="N11" i="62"/>
  <c r="N9" i="61"/>
  <c r="N8" i="61"/>
  <c r="N7" i="61"/>
  <c r="N10" i="60"/>
  <c r="N9" i="60"/>
  <c r="N8" i="60"/>
  <c r="N7" i="60"/>
  <c r="N10" i="59"/>
  <c r="N9" i="59"/>
  <c r="N8" i="59"/>
  <c r="N7" i="59"/>
  <c r="N7" i="58"/>
  <c r="N8" i="57"/>
  <c r="N7" i="57"/>
  <c r="N22" i="55"/>
  <c r="N21" i="55"/>
  <c r="N6" i="54"/>
  <c r="N5" i="54"/>
  <c r="N7" i="53"/>
  <c r="N6" i="53"/>
  <c r="N5" i="53"/>
  <c r="N7" i="52"/>
  <c r="N6" i="52"/>
  <c r="N5" i="52"/>
  <c r="N25" i="51"/>
  <c r="N24" i="51"/>
  <c r="N23" i="51"/>
  <c r="N22" i="51"/>
  <c r="N21" i="51"/>
  <c r="N20" i="51"/>
  <c r="N19" i="51"/>
  <c r="N18" i="51"/>
  <c r="N17" i="51"/>
  <c r="N16" i="51"/>
  <c r="N15" i="51"/>
  <c r="N14" i="51"/>
  <c r="N13" i="51"/>
  <c r="N12" i="51"/>
  <c r="N11" i="51"/>
  <c r="N9" i="51"/>
  <c r="N8" i="51"/>
  <c r="N7" i="51"/>
  <c r="N6" i="51"/>
  <c r="N5" i="51"/>
  <c r="N15" i="50"/>
  <c r="N14" i="50"/>
  <c r="N13" i="50"/>
  <c r="N12" i="50"/>
  <c r="N11" i="50"/>
  <c r="N10" i="50"/>
  <c r="N9" i="50"/>
  <c r="N8" i="50"/>
  <c r="N7" i="50"/>
  <c r="N6" i="50"/>
  <c r="N5" i="50"/>
  <c r="N15" i="48"/>
  <c r="N14" i="48"/>
  <c r="N13" i="48"/>
  <c r="N12" i="48"/>
  <c r="N11" i="48"/>
  <c r="N10" i="48"/>
  <c r="N9" i="48"/>
  <c r="N8" i="48"/>
  <c r="N7" i="48"/>
  <c r="N6" i="48"/>
  <c r="N5" i="48"/>
  <c r="N24" i="49"/>
  <c r="N23" i="49"/>
  <c r="N22" i="49"/>
  <c r="N21" i="49"/>
  <c r="N20" i="49"/>
  <c r="N19" i="49"/>
  <c r="N18" i="49"/>
  <c r="N17" i="49"/>
  <c r="N16" i="49"/>
  <c r="N15" i="49"/>
  <c r="N14" i="49"/>
  <c r="N13" i="49"/>
  <c r="N12" i="49"/>
  <c r="N11" i="49"/>
  <c r="N10" i="49"/>
  <c r="N8" i="49"/>
  <c r="N7" i="49"/>
  <c r="N6" i="49"/>
  <c r="N5" i="49"/>
  <c r="N21" i="47"/>
  <c r="N20" i="47"/>
  <c r="N19" i="47"/>
  <c r="N18" i="47"/>
  <c r="N16" i="47"/>
  <c r="N15" i="47"/>
  <c r="N14" i="47"/>
  <c r="N13" i="47"/>
  <c r="N12" i="47"/>
  <c r="N11" i="47"/>
  <c r="N10" i="47"/>
  <c r="N9" i="47"/>
  <c r="N8" i="47"/>
  <c r="N7" i="47"/>
  <c r="N6" i="47"/>
  <c r="N5" i="47"/>
  <c r="N26" i="46"/>
  <c r="N25" i="46"/>
  <c r="N18" i="46"/>
  <c r="N17" i="46"/>
  <c r="N16" i="46"/>
  <c r="N15" i="46"/>
  <c r="N14" i="46"/>
  <c r="N13" i="46"/>
  <c r="N12" i="46"/>
  <c r="N11" i="46"/>
  <c r="N10" i="46"/>
  <c r="N9" i="46"/>
  <c r="N8" i="46"/>
  <c r="N7" i="46"/>
  <c r="N6" i="46"/>
  <c r="N5" i="46"/>
  <c r="P14" i="161"/>
  <c r="Q14" i="161" s="1"/>
  <c r="G14" i="161"/>
  <c r="F14" i="161"/>
  <c r="D14" i="161"/>
  <c r="A14" i="161"/>
  <c r="P13" i="161"/>
  <c r="Q13" i="161" s="1"/>
  <c r="G13" i="161"/>
  <c r="F13" i="161"/>
  <c r="D13" i="161"/>
  <c r="E2" i="29"/>
  <c r="E3" i="29"/>
  <c r="E4" i="29"/>
  <c r="E5" i="29"/>
  <c r="E6" i="29"/>
  <c r="E9" i="29"/>
  <c r="E10" i="29"/>
  <c r="E11" i="29"/>
  <c r="E14" i="29"/>
  <c r="E22" i="29"/>
  <c r="E23" i="29"/>
  <c r="E24" i="29"/>
  <c r="E25" i="29"/>
  <c r="E26" i="29"/>
  <c r="E27" i="29"/>
  <c r="E28" i="29"/>
  <c r="E29" i="29"/>
  <c r="E30" i="29"/>
  <c r="E31" i="29"/>
  <c r="E32" i="29"/>
  <c r="E33" i="29"/>
  <c r="E34" i="29"/>
  <c r="E35" i="29"/>
  <c r="E37" i="29"/>
  <c r="E38" i="29"/>
  <c r="E39" i="29"/>
  <c r="E40" i="29"/>
  <c r="E41" i="29"/>
  <c r="E53" i="29"/>
  <c r="E58" i="29"/>
  <c r="E60" i="29"/>
  <c r="E61" i="29"/>
  <c r="E62" i="29"/>
  <c r="E63" i="29"/>
  <c r="E66" i="29"/>
  <c r="E74" i="29"/>
  <c r="E90" i="29"/>
  <c r="E91" i="29"/>
  <c r="E92" i="29"/>
  <c r="E93" i="29"/>
  <c r="E95" i="29"/>
  <c r="E96" i="29"/>
  <c r="E97" i="29"/>
  <c r="E98" i="29"/>
  <c r="E99" i="29"/>
  <c r="E100" i="29"/>
  <c r="E101" i="29"/>
  <c r="E102" i="29"/>
  <c r="E103" i="29"/>
  <c r="E104" i="29"/>
  <c r="E110" i="29"/>
  <c r="E112" i="29"/>
  <c r="E113" i="29"/>
  <c r="E114" i="29"/>
  <c r="E115" i="29"/>
  <c r="E116" i="29"/>
  <c r="E117" i="29"/>
  <c r="E118" i="29"/>
  <c r="E121" i="29"/>
  <c r="E122" i="29"/>
  <c r="E123" i="29"/>
  <c r="E124" i="29"/>
  <c r="E125" i="29"/>
  <c r="E126" i="29"/>
  <c r="E127" i="29"/>
  <c r="E128" i="29"/>
  <c r="E129" i="29"/>
  <c r="E130" i="29"/>
  <c r="E131" i="29"/>
  <c r="E132" i="29"/>
  <c r="E133" i="29"/>
  <c r="E134" i="29"/>
  <c r="E135" i="29"/>
  <c r="E136" i="29"/>
  <c r="E137" i="29"/>
  <c r="E138" i="29"/>
  <c r="E139" i="29"/>
  <c r="E140" i="29"/>
  <c r="E141" i="29"/>
  <c r="E142" i="29"/>
  <c r="E143" i="29"/>
  <c r="E144" i="29"/>
  <c r="E145" i="29"/>
  <c r="E146" i="29"/>
  <c r="E147" i="29"/>
  <c r="E149" i="29"/>
  <c r="E150" i="29"/>
  <c r="E151" i="29"/>
  <c r="E152" i="29"/>
  <c r="E153" i="29"/>
  <c r="E154" i="29"/>
  <c r="E155" i="29"/>
  <c r="E156" i="29"/>
  <c r="E157" i="29"/>
  <c r="E158" i="29"/>
  <c r="E159" i="29"/>
  <c r="E160" i="29"/>
  <c r="E161" i="29"/>
  <c r="E162" i="29"/>
  <c r="E163" i="29"/>
  <c r="E164" i="29"/>
  <c r="E165" i="29"/>
  <c r="E166" i="29"/>
  <c r="E168" i="29"/>
  <c r="E169" i="29"/>
  <c r="E172" i="29"/>
  <c r="E173" i="29"/>
  <c r="E236" i="29"/>
  <c r="E244" i="29"/>
  <c r="E245" i="29"/>
  <c r="E246" i="29"/>
  <c r="E247" i="29"/>
  <c r="E243" i="29"/>
  <c r="E248" i="29"/>
  <c r="E250" i="29"/>
  <c r="E251" i="29"/>
  <c r="E252" i="29"/>
  <c r="E253" i="29"/>
  <c r="E254" i="29"/>
  <c r="E255" i="29"/>
  <c r="E256" i="29"/>
  <c r="E257" i="29"/>
  <c r="E259" i="29"/>
  <c r="E260" i="29"/>
  <c r="E261" i="29"/>
  <c r="E262" i="29"/>
  <c r="E263" i="29"/>
  <c r="E267" i="29"/>
  <c r="E268" i="29"/>
  <c r="E269" i="29"/>
  <c r="E270" i="29"/>
  <c r="E271" i="29"/>
  <c r="E274" i="29"/>
  <c r="E275" i="29"/>
  <c r="E276" i="29"/>
  <c r="E277" i="29"/>
  <c r="E278" i="29"/>
  <c r="E279" i="29"/>
  <c r="E280" i="29"/>
  <c r="E281" i="29"/>
  <c r="E282" i="29"/>
  <c r="E283" i="29"/>
  <c r="E284" i="29"/>
  <c r="E285" i="29"/>
  <c r="E289" i="29"/>
  <c r="E290" i="29"/>
  <c r="E291" i="29"/>
  <c r="E292" i="29"/>
  <c r="E293" i="29"/>
  <c r="E294" i="29"/>
  <c r="E295" i="29"/>
  <c r="E302" i="29"/>
  <c r="E303" i="29"/>
  <c r="E366" i="29"/>
  <c r="E368" i="29"/>
  <c r="E369" i="29"/>
  <c r="E367" i="29"/>
  <c r="E370" i="29"/>
  <c r="E371" i="29"/>
  <c r="E372" i="29"/>
  <c r="E373" i="29"/>
  <c r="E374" i="29"/>
  <c r="E375" i="29"/>
  <c r="E376" i="29"/>
  <c r="E377" i="29"/>
  <c r="C3" i="172" l="1"/>
  <c r="C106" i="29"/>
  <c r="P46" i="77"/>
  <c r="Q46" i="77" s="1"/>
  <c r="G46" i="77"/>
  <c r="F46" i="77"/>
  <c r="P13" i="165"/>
  <c r="Q13" i="165" s="1"/>
  <c r="F13" i="165"/>
  <c r="G13" i="165"/>
  <c r="D13" i="165"/>
  <c r="P23" i="136"/>
  <c r="Q23" i="136" s="1"/>
  <c r="G23" i="136"/>
  <c r="F23" i="136"/>
  <c r="D23" i="136"/>
  <c r="P22" i="136"/>
  <c r="Q22" i="136" s="1"/>
  <c r="G22" i="136"/>
  <c r="F22" i="136"/>
  <c r="D22" i="136"/>
  <c r="P11" i="165"/>
  <c r="Q11" i="165" s="1"/>
  <c r="F11" i="165"/>
  <c r="G11" i="165"/>
  <c r="D11" i="165"/>
  <c r="P12" i="165"/>
  <c r="Q12" i="165" s="1"/>
  <c r="F12" i="165"/>
  <c r="G12" i="165"/>
  <c r="D12" i="165"/>
  <c r="P44" i="77"/>
  <c r="Q44" i="77" s="1"/>
  <c r="G44" i="77"/>
  <c r="F44" i="77"/>
  <c r="P45" i="77"/>
  <c r="Q45" i="77" s="1"/>
  <c r="G45" i="77"/>
  <c r="F45" i="77"/>
  <c r="P47" i="66"/>
  <c r="Q47" i="66" s="1"/>
  <c r="G47" i="66"/>
  <c r="F47" i="66"/>
  <c r="D47" i="66"/>
  <c r="C377" i="29"/>
  <c r="P9" i="89"/>
  <c r="Q9" i="89" s="1"/>
  <c r="G9" i="89"/>
  <c r="F9" i="89"/>
  <c r="D9" i="89"/>
  <c r="D46" i="66"/>
  <c r="F46" i="66"/>
  <c r="G46" i="66"/>
  <c r="P46" i="66"/>
  <c r="Q46" i="66" s="1"/>
  <c r="D49" i="66"/>
  <c r="F49" i="66"/>
  <c r="G49" i="66"/>
  <c r="P49" i="66"/>
  <c r="Q49" i="66" s="1"/>
  <c r="P12" i="167"/>
  <c r="Q12" i="167" s="1"/>
  <c r="G12" i="167"/>
  <c r="F12" i="167"/>
  <c r="D12" i="167"/>
  <c r="P11" i="167"/>
  <c r="Q11" i="167" s="1"/>
  <c r="G11" i="167"/>
  <c r="F11" i="167"/>
  <c r="D11" i="167"/>
  <c r="P10" i="167"/>
  <c r="Q10" i="167" s="1"/>
  <c r="G10" i="167"/>
  <c r="F10" i="167"/>
  <c r="D10" i="167"/>
  <c r="P9" i="167"/>
  <c r="Q9" i="167" s="1"/>
  <c r="G9" i="167"/>
  <c r="F9" i="167"/>
  <c r="D9" i="167"/>
  <c r="P8" i="167"/>
  <c r="Q8" i="167" s="1"/>
  <c r="G8" i="167"/>
  <c r="F8" i="167"/>
  <c r="D8" i="167"/>
  <c r="P14" i="167"/>
  <c r="Q14" i="167" s="1"/>
  <c r="G14" i="167"/>
  <c r="F14" i="167"/>
  <c r="D14" i="167"/>
  <c r="P13" i="167"/>
  <c r="Q13" i="167" s="1"/>
  <c r="G13" i="167"/>
  <c r="F13" i="167"/>
  <c r="D13" i="167"/>
  <c r="P7" i="167"/>
  <c r="Q7" i="167" s="1"/>
  <c r="G7" i="167"/>
  <c r="F7" i="167"/>
  <c r="D7" i="167"/>
  <c r="P28" i="167"/>
  <c r="Q28" i="167" s="1"/>
  <c r="N28" i="167"/>
  <c r="M28" i="167"/>
  <c r="L28" i="167"/>
  <c r="K28" i="167"/>
  <c r="J28" i="167"/>
  <c r="H28" i="167"/>
  <c r="G28" i="167"/>
  <c r="F28" i="167"/>
  <c r="A28" i="167"/>
  <c r="P27" i="167"/>
  <c r="Q27" i="167" s="1"/>
  <c r="N27" i="167"/>
  <c r="M27" i="167"/>
  <c r="L27" i="167"/>
  <c r="K27" i="167"/>
  <c r="J27" i="167"/>
  <c r="H27" i="167"/>
  <c r="G27" i="167"/>
  <c r="F27" i="167"/>
  <c r="P17" i="167"/>
  <c r="Q17" i="167" s="1"/>
  <c r="G17" i="167"/>
  <c r="F17" i="167"/>
  <c r="D17" i="167"/>
  <c r="P16" i="167"/>
  <c r="Q16" i="167" s="1"/>
  <c r="G16" i="167"/>
  <c r="F16" i="167"/>
  <c r="D16" i="167"/>
  <c r="P15" i="167"/>
  <c r="Q15" i="167" s="1"/>
  <c r="G15" i="167"/>
  <c r="F15" i="167"/>
  <c r="D15" i="167"/>
  <c r="I3" i="167"/>
  <c r="G3" i="167"/>
  <c r="E3" i="167"/>
  <c r="C3" i="167" s="1"/>
  <c r="I2" i="167"/>
  <c r="G2" i="167"/>
  <c r="C376" i="29"/>
  <c r="C375" i="29"/>
  <c r="C374" i="29"/>
  <c r="C373" i="29"/>
  <c r="C372" i="29"/>
  <c r="C371" i="29"/>
  <c r="C367" i="29"/>
  <c r="D35" i="166"/>
  <c r="P31" i="166"/>
  <c r="Q31" i="166" s="1"/>
  <c r="N31" i="166"/>
  <c r="M31" i="166"/>
  <c r="L31" i="166"/>
  <c r="K31" i="166"/>
  <c r="J31" i="166"/>
  <c r="H31" i="166"/>
  <c r="G31" i="166"/>
  <c r="F31" i="166"/>
  <c r="P30" i="166"/>
  <c r="Q30" i="166" s="1"/>
  <c r="N30" i="166"/>
  <c r="M30" i="166"/>
  <c r="L30" i="166"/>
  <c r="K30" i="166"/>
  <c r="J30" i="166"/>
  <c r="H30" i="166"/>
  <c r="G30" i="166"/>
  <c r="F30" i="166"/>
  <c r="A30" i="166"/>
  <c r="A31" i="166" s="1"/>
  <c r="A32" i="166" s="1"/>
  <c r="A33" i="166" s="1"/>
  <c r="P29" i="166"/>
  <c r="Q29" i="166" s="1"/>
  <c r="N29" i="166"/>
  <c r="M29" i="166"/>
  <c r="L29" i="166"/>
  <c r="K29" i="166"/>
  <c r="J29" i="166"/>
  <c r="H29" i="166"/>
  <c r="G29" i="166"/>
  <c r="F29" i="166"/>
  <c r="P24" i="166"/>
  <c r="Q24" i="166" s="1"/>
  <c r="G24" i="166"/>
  <c r="F24" i="166"/>
  <c r="D24" i="166"/>
  <c r="P23" i="166"/>
  <c r="Q23" i="166" s="1"/>
  <c r="G23" i="166"/>
  <c r="F23" i="166"/>
  <c r="D23" i="166"/>
  <c r="P22" i="166"/>
  <c r="Q22" i="166" s="1"/>
  <c r="G22" i="166"/>
  <c r="F22" i="166"/>
  <c r="D22" i="166"/>
  <c r="P21" i="166"/>
  <c r="Q21" i="166" s="1"/>
  <c r="G21" i="166"/>
  <c r="F21" i="166"/>
  <c r="D21" i="166"/>
  <c r="P20" i="166"/>
  <c r="Q20" i="166" s="1"/>
  <c r="G20" i="166"/>
  <c r="F20" i="166"/>
  <c r="D20" i="166"/>
  <c r="P19" i="166"/>
  <c r="Q19" i="166" s="1"/>
  <c r="G19" i="166"/>
  <c r="F19" i="166"/>
  <c r="D19" i="166"/>
  <c r="P18" i="166"/>
  <c r="Q18" i="166" s="1"/>
  <c r="G18" i="166"/>
  <c r="F18" i="166"/>
  <c r="D18" i="166"/>
  <c r="P17" i="166"/>
  <c r="Q17" i="166" s="1"/>
  <c r="G17" i="166"/>
  <c r="F17" i="166"/>
  <c r="D17" i="166"/>
  <c r="P16" i="166"/>
  <c r="Q16" i="166" s="1"/>
  <c r="G16" i="166"/>
  <c r="F16" i="166"/>
  <c r="P13" i="166"/>
  <c r="Q13" i="166" s="1"/>
  <c r="G13" i="166"/>
  <c r="F13" i="166"/>
  <c r="P12" i="166"/>
  <c r="Q12" i="166" s="1"/>
  <c r="G12" i="166"/>
  <c r="F12" i="166"/>
  <c r="P11" i="166"/>
  <c r="Q11" i="166" s="1"/>
  <c r="G11" i="166"/>
  <c r="F11" i="166"/>
  <c r="P10" i="166"/>
  <c r="Q10" i="166" s="1"/>
  <c r="G10" i="166"/>
  <c r="F10" i="166"/>
  <c r="P9" i="166"/>
  <c r="Q9" i="166" s="1"/>
  <c r="G9" i="166"/>
  <c r="F9" i="166"/>
  <c r="A9" i="166"/>
  <c r="A10" i="166" s="1"/>
  <c r="A11" i="166" s="1"/>
  <c r="A12" i="166" s="1"/>
  <c r="A13" i="166" s="1"/>
  <c r="A14" i="166" s="1"/>
  <c r="A15" i="166" s="1"/>
  <c r="A16" i="166" s="1"/>
  <c r="A17" i="166" s="1"/>
  <c r="A18" i="166" s="1"/>
  <c r="A19" i="166" s="1"/>
  <c r="A20" i="166" s="1"/>
  <c r="A21" i="166" s="1"/>
  <c r="A22" i="166" s="1"/>
  <c r="A23" i="166" s="1"/>
  <c r="A24" i="166" s="1"/>
  <c r="A25" i="166" s="1"/>
  <c r="A26" i="166" s="1"/>
  <c r="A27" i="166" s="1"/>
  <c r="P8" i="166"/>
  <c r="Q8" i="166" s="1"/>
  <c r="G8" i="166"/>
  <c r="F8" i="166"/>
  <c r="I3" i="166"/>
  <c r="G3" i="166"/>
  <c r="E3" i="166"/>
  <c r="I2" i="166"/>
  <c r="G2" i="166"/>
  <c r="C368" i="29"/>
  <c r="C369" i="29"/>
  <c r="C370" i="29"/>
  <c r="C366" i="29"/>
  <c r="D9" i="165"/>
  <c r="F9" i="165"/>
  <c r="G9" i="165"/>
  <c r="P9" i="165"/>
  <c r="Q9" i="165" s="1"/>
  <c r="A10" i="165"/>
  <c r="A11" i="165" s="1"/>
  <c r="A12" i="165" s="1"/>
  <c r="A13" i="165" s="1"/>
  <c r="A14" i="165" s="1"/>
  <c r="A15" i="165" s="1"/>
  <c r="D10" i="165"/>
  <c r="F10" i="165"/>
  <c r="G10" i="165"/>
  <c r="P10" i="165"/>
  <c r="Q10" i="165" s="1"/>
  <c r="D14" i="165"/>
  <c r="F14" i="165"/>
  <c r="G14" i="165"/>
  <c r="P14" i="165"/>
  <c r="Q14" i="165" s="1"/>
  <c r="F17" i="165"/>
  <c r="G17" i="165"/>
  <c r="H17" i="165"/>
  <c r="J17" i="165"/>
  <c r="K17" i="165"/>
  <c r="L17" i="165"/>
  <c r="M17" i="165"/>
  <c r="N17" i="165"/>
  <c r="P17" i="165"/>
  <c r="Q17" i="165" s="1"/>
  <c r="A18" i="165"/>
  <c r="A19" i="165" s="1"/>
  <c r="F18" i="165"/>
  <c r="G18" i="165"/>
  <c r="H18" i="165"/>
  <c r="J18" i="165"/>
  <c r="K18" i="165"/>
  <c r="L18" i="165"/>
  <c r="M18" i="165"/>
  <c r="N18" i="165"/>
  <c r="P18" i="165"/>
  <c r="Q18" i="165" s="1"/>
  <c r="G2" i="165"/>
  <c r="I2" i="165"/>
  <c r="E3" i="165"/>
  <c r="C3" i="165" s="1"/>
  <c r="G3" i="165"/>
  <c r="I3" i="165"/>
  <c r="D9" i="164"/>
  <c r="F9" i="164"/>
  <c r="G9" i="164"/>
  <c r="P9" i="164"/>
  <c r="Q9" i="164" s="1"/>
  <c r="A10" i="164"/>
  <c r="A11" i="164" s="1"/>
  <c r="D10" i="164"/>
  <c r="F10" i="164"/>
  <c r="G10" i="164"/>
  <c r="P10" i="164"/>
  <c r="Q10" i="164" s="1"/>
  <c r="D11" i="164"/>
  <c r="F11" i="164"/>
  <c r="G11" i="164"/>
  <c r="P11" i="164"/>
  <c r="Q11" i="164" s="1"/>
  <c r="F13" i="164"/>
  <c r="G13" i="164"/>
  <c r="H13" i="164"/>
  <c r="J13" i="164"/>
  <c r="K13" i="164"/>
  <c r="L13" i="164"/>
  <c r="M13" i="164"/>
  <c r="N13" i="164"/>
  <c r="P13" i="164"/>
  <c r="Q13" i="164" s="1"/>
  <c r="A14" i="164"/>
  <c r="A15" i="164" s="1"/>
  <c r="A16" i="164" s="1"/>
  <c r="A17" i="164" s="1"/>
  <c r="F14" i="164"/>
  <c r="G14" i="164"/>
  <c r="H14" i="164"/>
  <c r="J14" i="164"/>
  <c r="K14" i="164"/>
  <c r="L14" i="164"/>
  <c r="M14" i="164"/>
  <c r="N14" i="164"/>
  <c r="P14" i="164"/>
  <c r="Q14" i="164" s="1"/>
  <c r="F16" i="164"/>
  <c r="G16" i="164"/>
  <c r="H16" i="164"/>
  <c r="J16" i="164"/>
  <c r="K16" i="164"/>
  <c r="L16" i="164"/>
  <c r="M16" i="164"/>
  <c r="N16" i="164"/>
  <c r="P16" i="164"/>
  <c r="Q16" i="164" s="1"/>
  <c r="G2" i="164"/>
  <c r="I2" i="164"/>
  <c r="E3" i="164"/>
  <c r="C3" i="164" s="1"/>
  <c r="G3" i="164"/>
  <c r="I3" i="164"/>
  <c r="D7" i="163"/>
  <c r="F7" i="163"/>
  <c r="G7" i="163"/>
  <c r="P7" i="163"/>
  <c r="Q7" i="163" s="1"/>
  <c r="A8" i="163"/>
  <c r="A9" i="163" s="1"/>
  <c r="A10" i="163" s="1"/>
  <c r="A11" i="163" s="1"/>
  <c r="D8" i="163"/>
  <c r="F8" i="163"/>
  <c r="G8" i="163"/>
  <c r="P8" i="163"/>
  <c r="Q8" i="163" s="1"/>
  <c r="D9" i="163"/>
  <c r="F9" i="163"/>
  <c r="G9" i="163"/>
  <c r="P9" i="163"/>
  <c r="Q9" i="163" s="1"/>
  <c r="D10" i="163"/>
  <c r="F10" i="163"/>
  <c r="G10" i="163"/>
  <c r="P10" i="163"/>
  <c r="Q10" i="163" s="1"/>
  <c r="D11" i="163"/>
  <c r="F11" i="163"/>
  <c r="G11" i="163"/>
  <c r="P11" i="163"/>
  <c r="Q11" i="163" s="1"/>
  <c r="F13" i="163"/>
  <c r="G13" i="163"/>
  <c r="H13" i="163"/>
  <c r="J13" i="163"/>
  <c r="K13" i="163"/>
  <c r="L13" i="163"/>
  <c r="M13" i="163"/>
  <c r="N13" i="163"/>
  <c r="P13" i="163"/>
  <c r="Q13" i="163" s="1"/>
  <c r="A14" i="163"/>
  <c r="A15" i="163" s="1"/>
  <c r="A16" i="163" s="1"/>
  <c r="F14" i="163"/>
  <c r="G14" i="163"/>
  <c r="H14" i="163"/>
  <c r="J14" i="163"/>
  <c r="K14" i="163"/>
  <c r="L14" i="163"/>
  <c r="M14" i="163"/>
  <c r="N14" i="163"/>
  <c r="P14" i="163"/>
  <c r="Q14" i="163" s="1"/>
  <c r="G2" i="163"/>
  <c r="I2" i="163"/>
  <c r="E3" i="163"/>
  <c r="G3" i="163"/>
  <c r="I3" i="163"/>
  <c r="D23" i="162"/>
  <c r="D10" i="162"/>
  <c r="F10" i="162"/>
  <c r="G10" i="162"/>
  <c r="P10" i="162"/>
  <c r="Q10" i="162" s="1"/>
  <c r="A11" i="162"/>
  <c r="A12" i="162" s="1"/>
  <c r="A13" i="162" s="1"/>
  <c r="A14" i="162" s="1"/>
  <c r="D11" i="162"/>
  <c r="F11" i="162"/>
  <c r="G11" i="162"/>
  <c r="P11" i="162"/>
  <c r="Q11" i="162" s="1"/>
  <c r="D12" i="162"/>
  <c r="F12" i="162"/>
  <c r="G12" i="162"/>
  <c r="P12" i="162"/>
  <c r="Q12" i="162" s="1"/>
  <c r="F16" i="162"/>
  <c r="G16" i="162"/>
  <c r="H16" i="162"/>
  <c r="J16" i="162"/>
  <c r="K16" i="162"/>
  <c r="L16" i="162"/>
  <c r="M16" i="162"/>
  <c r="N16" i="162"/>
  <c r="P16" i="162"/>
  <c r="Q16" i="162" s="1"/>
  <c r="A17" i="162"/>
  <c r="A18" i="162" s="1"/>
  <c r="A19" i="162" s="1"/>
  <c r="A20" i="162" s="1"/>
  <c r="A21" i="162" s="1"/>
  <c r="F17" i="162"/>
  <c r="G17" i="162"/>
  <c r="H17" i="162"/>
  <c r="J17" i="162"/>
  <c r="K17" i="162"/>
  <c r="L17" i="162"/>
  <c r="M17" i="162"/>
  <c r="N17" i="162"/>
  <c r="P17" i="162"/>
  <c r="Q17" i="162" s="1"/>
  <c r="F18" i="162"/>
  <c r="G18" i="162"/>
  <c r="H18" i="162"/>
  <c r="J18" i="162"/>
  <c r="K18" i="162"/>
  <c r="L18" i="162"/>
  <c r="M18" i="162"/>
  <c r="N18" i="162"/>
  <c r="P18" i="162"/>
  <c r="Q18" i="162" s="1"/>
  <c r="F19" i="162"/>
  <c r="G19" i="162"/>
  <c r="H19" i="162"/>
  <c r="J19" i="162"/>
  <c r="K19" i="162"/>
  <c r="L19" i="162"/>
  <c r="M19" i="162"/>
  <c r="N19" i="162"/>
  <c r="P19" i="162"/>
  <c r="Q19" i="162" s="1"/>
  <c r="F21" i="162"/>
  <c r="G21" i="162"/>
  <c r="H21" i="162"/>
  <c r="J21" i="162"/>
  <c r="K21" i="162"/>
  <c r="L21" i="162"/>
  <c r="M21" i="162"/>
  <c r="N21" i="162"/>
  <c r="P21" i="162"/>
  <c r="Q21" i="162" s="1"/>
  <c r="G2" i="162"/>
  <c r="I2" i="162"/>
  <c r="E3" i="162"/>
  <c r="C3" i="162" s="1"/>
  <c r="G3" i="162"/>
  <c r="I3" i="162"/>
  <c r="C236" i="29"/>
  <c r="U73" i="30"/>
  <c r="O73" i="30" s="1"/>
  <c r="F73" i="30" s="1"/>
  <c r="P49" i="99" s="1"/>
  <c r="C3" i="166" l="1"/>
  <c r="C3" i="163"/>
  <c r="D48" i="63" l="1"/>
  <c r="D46" i="63"/>
  <c r="P17" i="135"/>
  <c r="Q17" i="135" s="1"/>
  <c r="N17" i="135"/>
  <c r="M17" i="135"/>
  <c r="L17" i="135"/>
  <c r="K17" i="135"/>
  <c r="J17" i="135"/>
  <c r="H17" i="135"/>
  <c r="G17" i="135"/>
  <c r="F17" i="135"/>
  <c r="P25" i="134"/>
  <c r="Q25" i="134" s="1"/>
  <c r="G25" i="134"/>
  <c r="F25" i="134"/>
  <c r="D25" i="134"/>
  <c r="P15" i="134"/>
  <c r="Q15" i="134" s="1"/>
  <c r="G15" i="134"/>
  <c r="F15" i="134"/>
  <c r="D15" i="134"/>
  <c r="P24" i="134"/>
  <c r="Q24" i="134" s="1"/>
  <c r="G24" i="134"/>
  <c r="F24" i="134"/>
  <c r="D24" i="134"/>
  <c r="F16" i="161"/>
  <c r="G16" i="161"/>
  <c r="H16" i="161"/>
  <c r="J16" i="161"/>
  <c r="K16" i="161"/>
  <c r="L16" i="161"/>
  <c r="M16" i="161"/>
  <c r="N16" i="161"/>
  <c r="P16" i="161"/>
  <c r="Q16" i="161" s="1"/>
  <c r="G2" i="161"/>
  <c r="I2" i="161"/>
  <c r="E3" i="161"/>
  <c r="C3" i="161" s="1"/>
  <c r="G3" i="161"/>
  <c r="I3" i="161"/>
  <c r="F42" i="77" l="1"/>
  <c r="G42" i="77"/>
  <c r="P42" i="77"/>
  <c r="Q42" i="77" s="1"/>
  <c r="P41" i="77"/>
  <c r="Q41" i="77" s="1"/>
  <c r="F41" i="77"/>
  <c r="G41" i="77"/>
  <c r="D41" i="77"/>
  <c r="P40" i="77"/>
  <c r="Q40" i="77" s="1"/>
  <c r="F40" i="77"/>
  <c r="G40" i="77"/>
  <c r="D40" i="77"/>
  <c r="D37" i="77"/>
  <c r="F37" i="77"/>
  <c r="G37" i="77"/>
  <c r="P37" i="77"/>
  <c r="Q37" i="77" s="1"/>
  <c r="D38" i="77"/>
  <c r="F38" i="77"/>
  <c r="G38" i="77"/>
  <c r="P38" i="77"/>
  <c r="Q38" i="77" s="1"/>
  <c r="P39" i="77"/>
  <c r="Q39" i="77" s="1"/>
  <c r="F39" i="77"/>
  <c r="G39" i="77"/>
  <c r="D39" i="77"/>
  <c r="P36" i="77"/>
  <c r="Q36" i="77" s="1"/>
  <c r="F36" i="77"/>
  <c r="G36" i="77"/>
  <c r="D36" i="77"/>
  <c r="P9" i="160"/>
  <c r="Q9" i="160" s="1"/>
  <c r="N9" i="160"/>
  <c r="M9" i="160"/>
  <c r="L9" i="160"/>
  <c r="K9" i="160"/>
  <c r="J9" i="160"/>
  <c r="H9" i="160"/>
  <c r="G9" i="160"/>
  <c r="F9" i="160"/>
  <c r="P7" i="160"/>
  <c r="Q7" i="160" s="1"/>
  <c r="G7" i="160"/>
  <c r="F7" i="160"/>
  <c r="D7" i="160"/>
  <c r="I3" i="160"/>
  <c r="G3" i="160"/>
  <c r="E3" i="160"/>
  <c r="I2" i="160"/>
  <c r="G2" i="160"/>
  <c r="P12" i="159"/>
  <c r="Q12" i="159" s="1"/>
  <c r="N12" i="159"/>
  <c r="M12" i="159"/>
  <c r="L12" i="159"/>
  <c r="K12" i="159"/>
  <c r="J12" i="159"/>
  <c r="H12" i="159"/>
  <c r="G12" i="159"/>
  <c r="F12" i="159"/>
  <c r="P11" i="159"/>
  <c r="Q11" i="159" s="1"/>
  <c r="N11" i="159"/>
  <c r="M11" i="159"/>
  <c r="L11" i="159"/>
  <c r="K11" i="159"/>
  <c r="J11" i="159"/>
  <c r="H11" i="159"/>
  <c r="G11" i="159"/>
  <c r="F11" i="159"/>
  <c r="A11" i="159"/>
  <c r="A12" i="159" s="1"/>
  <c r="P10" i="159"/>
  <c r="Q10" i="159" s="1"/>
  <c r="N10" i="159"/>
  <c r="M10" i="159"/>
  <c r="L10" i="159"/>
  <c r="K10" i="159"/>
  <c r="J10" i="159"/>
  <c r="H10" i="159"/>
  <c r="G10" i="159"/>
  <c r="F10" i="159"/>
  <c r="P8" i="159"/>
  <c r="Q8" i="159" s="1"/>
  <c r="G8" i="159"/>
  <c r="F8" i="159"/>
  <c r="D8" i="159"/>
  <c r="A8" i="159"/>
  <c r="P7" i="159"/>
  <c r="Q7" i="159" s="1"/>
  <c r="G7" i="159"/>
  <c r="F7" i="159"/>
  <c r="D7" i="159"/>
  <c r="I3" i="159"/>
  <c r="G3" i="159"/>
  <c r="E3" i="159"/>
  <c r="I2" i="159"/>
  <c r="G2" i="159"/>
  <c r="C3" i="160" l="1"/>
  <c r="C3" i="159"/>
  <c r="C303" i="29"/>
  <c r="U26" i="30"/>
  <c r="O26" i="30" s="1"/>
  <c r="F26" i="30" s="1"/>
  <c r="P19" i="133" s="1"/>
  <c r="U16" i="30"/>
  <c r="O16" i="30" s="1"/>
  <c r="D31" i="55"/>
  <c r="D30" i="55"/>
  <c r="D29" i="55"/>
  <c r="D28" i="55"/>
  <c r="D27" i="55"/>
  <c r="D26" i="55"/>
  <c r="D25" i="55"/>
  <c r="D45" i="63"/>
  <c r="D44" i="63"/>
  <c r="D43" i="63"/>
  <c r="D42" i="63"/>
  <c r="D41" i="63"/>
  <c r="D40" i="63"/>
  <c r="D39" i="63"/>
  <c r="D38" i="63"/>
  <c r="D37" i="63"/>
  <c r="D36" i="63"/>
  <c r="D24" i="123"/>
  <c r="D23" i="123"/>
  <c r="D22" i="123"/>
  <c r="D21" i="123"/>
  <c r="D20" i="124"/>
  <c r="D19" i="124"/>
  <c r="D18" i="124"/>
  <c r="D24" i="125"/>
  <c r="D23" i="125"/>
  <c r="D22" i="125"/>
  <c r="D21" i="125"/>
  <c r="D24" i="126"/>
  <c r="D23" i="126"/>
  <c r="D22" i="126"/>
  <c r="D21" i="126"/>
  <c r="D20" i="127"/>
  <c r="D19" i="127"/>
  <c r="D18" i="127"/>
  <c r="D50" i="67"/>
  <c r="D45" i="69"/>
  <c r="D42" i="69"/>
  <c r="D41" i="69"/>
  <c r="D40" i="69"/>
  <c r="D39" i="69"/>
  <c r="D38" i="69"/>
  <c r="D37" i="69"/>
  <c r="D36" i="69"/>
  <c r="D35" i="69"/>
  <c r="D34" i="69"/>
  <c r="D38" i="134"/>
  <c r="D18" i="132"/>
  <c r="D17" i="132"/>
  <c r="D19" i="133"/>
  <c r="D18" i="133"/>
  <c r="D23" i="81"/>
  <c r="D22" i="81"/>
  <c r="D21" i="81"/>
  <c r="D20" i="81"/>
  <c r="D19" i="81"/>
  <c r="D20" i="144"/>
  <c r="D19" i="144"/>
  <c r="D18" i="144"/>
  <c r="D71" i="146"/>
  <c r="D70" i="146"/>
  <c r="D69" i="146"/>
  <c r="D68" i="146"/>
  <c r="D67" i="146"/>
  <c r="D66" i="146"/>
  <c r="D65" i="146"/>
  <c r="D18" i="85"/>
  <c r="D49" i="99"/>
  <c r="D48" i="99"/>
  <c r="D47" i="99"/>
  <c r="D19" i="105"/>
  <c r="D18" i="105"/>
  <c r="D37" i="112"/>
  <c r="D23" i="115"/>
  <c r="D22" i="115"/>
  <c r="D21" i="115"/>
  <c r="D20" i="115"/>
  <c r="D19" i="115"/>
  <c r="D20" i="140"/>
  <c r="D19" i="140"/>
  <c r="D18" i="140"/>
  <c r="D69" i="141"/>
  <c r="D15" i="119"/>
  <c r="D14" i="119"/>
  <c r="D13" i="119"/>
  <c r="D12" i="119"/>
  <c r="D44" i="56"/>
  <c r="D43" i="56"/>
  <c r="D42" i="56"/>
  <c r="D41" i="56"/>
  <c r="D40" i="56"/>
  <c r="U12" i="30"/>
  <c r="O12" i="30" s="1"/>
  <c r="F12" i="30" s="1"/>
  <c r="P18" i="132" s="1"/>
  <c r="J31" i="79"/>
  <c r="K31" i="79"/>
  <c r="L31" i="79"/>
  <c r="M31" i="79"/>
  <c r="N31" i="79"/>
  <c r="P31" i="79"/>
  <c r="Q31" i="79" s="1"/>
  <c r="F31" i="79"/>
  <c r="G31" i="79"/>
  <c r="H31" i="79"/>
  <c r="J30" i="79"/>
  <c r="K30" i="79"/>
  <c r="L30" i="79"/>
  <c r="M30" i="79"/>
  <c r="N30" i="79"/>
  <c r="P30" i="79"/>
  <c r="Q30" i="79" s="1"/>
  <c r="F30" i="79"/>
  <c r="G30" i="79"/>
  <c r="H30" i="79"/>
  <c r="P35" i="134"/>
  <c r="Q35" i="134" s="1"/>
  <c r="N35" i="134"/>
  <c r="M35" i="134"/>
  <c r="L35" i="134"/>
  <c r="K35" i="134"/>
  <c r="J35" i="134"/>
  <c r="H35" i="134"/>
  <c r="G35" i="134"/>
  <c r="F35" i="134"/>
  <c r="P34" i="134"/>
  <c r="Q34" i="134" s="1"/>
  <c r="N34" i="134"/>
  <c r="M34" i="134"/>
  <c r="L34" i="134"/>
  <c r="K34" i="134"/>
  <c r="J34" i="134"/>
  <c r="H34" i="134"/>
  <c r="G34" i="134"/>
  <c r="F34" i="134"/>
  <c r="P33" i="134"/>
  <c r="Q33" i="134" s="1"/>
  <c r="N33" i="134"/>
  <c r="M33" i="134"/>
  <c r="L33" i="134"/>
  <c r="K33" i="134"/>
  <c r="J33" i="134"/>
  <c r="H33" i="134"/>
  <c r="G33" i="134"/>
  <c r="F33" i="134"/>
  <c r="P26" i="134"/>
  <c r="Q26" i="134" s="1"/>
  <c r="G26" i="134"/>
  <c r="F26" i="134"/>
  <c r="D26" i="134"/>
  <c r="P23" i="134"/>
  <c r="Q23" i="134" s="1"/>
  <c r="G23" i="134"/>
  <c r="F23" i="134"/>
  <c r="D23" i="134"/>
  <c r="U36" i="30"/>
  <c r="O36" i="30" s="1"/>
  <c r="F53" i="77"/>
  <c r="G53" i="77"/>
  <c r="H53" i="77"/>
  <c r="J53" i="77"/>
  <c r="K53" i="77"/>
  <c r="L53" i="77"/>
  <c r="M53" i="77"/>
  <c r="N53" i="77"/>
  <c r="P53" i="77"/>
  <c r="Q53" i="77" s="1"/>
  <c r="F54" i="77"/>
  <c r="G54" i="77"/>
  <c r="H54" i="77"/>
  <c r="J54" i="77"/>
  <c r="K54" i="77"/>
  <c r="L54" i="77"/>
  <c r="M54" i="77"/>
  <c r="N54" i="77"/>
  <c r="P54" i="77"/>
  <c r="Q54" i="77" s="1"/>
  <c r="F55" i="77"/>
  <c r="G55" i="77"/>
  <c r="H55" i="77"/>
  <c r="J55" i="77"/>
  <c r="K55" i="77"/>
  <c r="L55" i="77"/>
  <c r="M55" i="77"/>
  <c r="N55" i="77"/>
  <c r="P55" i="77"/>
  <c r="Q55" i="77" s="1"/>
  <c r="F36" i="30" l="1"/>
  <c r="P38" i="134" s="1"/>
  <c r="F16" i="30"/>
  <c r="P18" i="133" s="1"/>
  <c r="P26" i="76"/>
  <c r="N26" i="76"/>
  <c r="M26" i="76"/>
  <c r="L26" i="76"/>
  <c r="K26" i="76"/>
  <c r="J26" i="76"/>
  <c r="H26" i="76"/>
  <c r="G26" i="76"/>
  <c r="F26" i="76"/>
  <c r="C172" i="29"/>
  <c r="C165" i="29"/>
  <c r="C160" i="29"/>
  <c r="C157" i="29"/>
  <c r="C146" i="29"/>
  <c r="C145" i="29"/>
  <c r="C143" i="29"/>
  <c r="C142" i="29"/>
  <c r="C135" i="29"/>
  <c r="C132" i="29"/>
  <c r="C130" i="29"/>
  <c r="C128" i="29"/>
  <c r="C125" i="29"/>
  <c r="C124" i="29"/>
  <c r="C115" i="29"/>
  <c r="C112" i="29"/>
  <c r="C99" i="29"/>
  <c r="C98" i="29"/>
  <c r="P21" i="75" l="1"/>
  <c r="Q21" i="75" s="1"/>
  <c r="G21" i="75"/>
  <c r="F21" i="75"/>
  <c r="D21" i="75"/>
  <c r="C104" i="29"/>
  <c r="C74" i="29"/>
  <c r="C277" i="29"/>
  <c r="C271" i="29" l="1"/>
  <c r="C162" i="29"/>
  <c r="C163" i="29"/>
  <c r="C168" i="29"/>
  <c r="C169" i="29"/>
  <c r="C139" i="29"/>
  <c r="C121" i="29"/>
  <c r="D19" i="79"/>
  <c r="F19" i="79"/>
  <c r="G19" i="79"/>
  <c r="P19" i="79"/>
  <c r="Q19" i="79" s="1"/>
  <c r="A20" i="79"/>
  <c r="A21" i="79" s="1"/>
  <c r="D20" i="79"/>
  <c r="F20" i="79"/>
  <c r="G20" i="79"/>
  <c r="P20" i="79"/>
  <c r="Q20" i="79" s="1"/>
  <c r="J58" i="66"/>
  <c r="K58" i="66"/>
  <c r="L58" i="66"/>
  <c r="M58" i="66"/>
  <c r="N58" i="66"/>
  <c r="P58" i="66"/>
  <c r="Q58" i="66" s="1"/>
  <c r="F58" i="66"/>
  <c r="G58" i="66"/>
  <c r="H58" i="66"/>
  <c r="B17" i="92"/>
  <c r="C152" i="29"/>
  <c r="C153" i="29"/>
  <c r="C154" i="29"/>
  <c r="C155" i="29"/>
  <c r="C156" i="29"/>
  <c r="P15" i="158"/>
  <c r="Q15" i="158" s="1"/>
  <c r="N15" i="158"/>
  <c r="M15" i="158"/>
  <c r="L15" i="158"/>
  <c r="K15" i="158"/>
  <c r="J15" i="158"/>
  <c r="H15" i="158"/>
  <c r="G15" i="158"/>
  <c r="F15" i="158"/>
  <c r="A15" i="158"/>
  <c r="P14" i="158"/>
  <c r="Q14" i="158" s="1"/>
  <c r="N14" i="158"/>
  <c r="M14" i="158"/>
  <c r="L14" i="158"/>
  <c r="K14" i="158"/>
  <c r="J14" i="158"/>
  <c r="H14" i="158"/>
  <c r="G14" i="158"/>
  <c r="F14" i="158"/>
  <c r="P11" i="158"/>
  <c r="Q11" i="158" s="1"/>
  <c r="G11" i="158"/>
  <c r="F11" i="158"/>
  <c r="D11" i="158"/>
  <c r="I3" i="158"/>
  <c r="G3" i="158"/>
  <c r="E3" i="158"/>
  <c r="I2" i="158"/>
  <c r="G2" i="158"/>
  <c r="P19" i="157"/>
  <c r="Q19" i="157" s="1"/>
  <c r="N19" i="157"/>
  <c r="M19" i="157"/>
  <c r="L19" i="157"/>
  <c r="K19" i="157"/>
  <c r="J19" i="157"/>
  <c r="H19" i="157"/>
  <c r="G19" i="157"/>
  <c r="F19" i="157"/>
  <c r="A19" i="157"/>
  <c r="P18" i="157"/>
  <c r="Q18" i="157" s="1"/>
  <c r="N18" i="157"/>
  <c r="M18" i="157"/>
  <c r="L18" i="157"/>
  <c r="K18" i="157"/>
  <c r="J18" i="157"/>
  <c r="H18" i="157"/>
  <c r="G18" i="157"/>
  <c r="F18" i="157"/>
  <c r="P15" i="157"/>
  <c r="Q15" i="157" s="1"/>
  <c r="G15" i="157"/>
  <c r="F15" i="157"/>
  <c r="D15" i="157"/>
  <c r="P14" i="157"/>
  <c r="Q14" i="157" s="1"/>
  <c r="G14" i="157"/>
  <c r="F14" i="157"/>
  <c r="D14" i="157"/>
  <c r="P13" i="157"/>
  <c r="Q13" i="157" s="1"/>
  <c r="G13" i="157"/>
  <c r="F13" i="157"/>
  <c r="D13" i="157"/>
  <c r="P12" i="157"/>
  <c r="Q12" i="157" s="1"/>
  <c r="G12" i="157"/>
  <c r="F12" i="157"/>
  <c r="D12" i="157"/>
  <c r="A12" i="157"/>
  <c r="A13" i="157" s="1"/>
  <c r="A14" i="157" s="1"/>
  <c r="A15" i="157" s="1"/>
  <c r="A16" i="157" s="1"/>
  <c r="P11" i="157"/>
  <c r="Q11" i="157" s="1"/>
  <c r="G11" i="157"/>
  <c r="F11" i="157"/>
  <c r="D11" i="157"/>
  <c r="I3" i="157"/>
  <c r="G3" i="157"/>
  <c r="E3" i="157"/>
  <c r="I2" i="157"/>
  <c r="G2" i="157"/>
  <c r="P14" i="156"/>
  <c r="Q14" i="156" s="1"/>
  <c r="N14" i="156"/>
  <c r="M14" i="156"/>
  <c r="L14" i="156"/>
  <c r="K14" i="156"/>
  <c r="J14" i="156"/>
  <c r="H14" i="156"/>
  <c r="G14" i="156"/>
  <c r="F14" i="156"/>
  <c r="A14" i="156"/>
  <c r="P13" i="156"/>
  <c r="Q13" i="156" s="1"/>
  <c r="N13" i="156"/>
  <c r="M13" i="156"/>
  <c r="L13" i="156"/>
  <c r="K13" i="156"/>
  <c r="J13" i="156"/>
  <c r="H13" i="156"/>
  <c r="G13" i="156"/>
  <c r="F13" i="156"/>
  <c r="P11" i="156"/>
  <c r="Q11" i="156" s="1"/>
  <c r="G11" i="156"/>
  <c r="F11" i="156"/>
  <c r="D11" i="156"/>
  <c r="I3" i="156"/>
  <c r="G3" i="156"/>
  <c r="E3" i="156"/>
  <c r="I2" i="156"/>
  <c r="G2" i="156"/>
  <c r="B16" i="92"/>
  <c r="I3" i="155"/>
  <c r="G3" i="155"/>
  <c r="E3" i="155"/>
  <c r="C3" i="155" s="1"/>
  <c r="I2" i="155"/>
  <c r="G2" i="155"/>
  <c r="P44" i="66"/>
  <c r="Q44" i="66" s="1"/>
  <c r="F44" i="66"/>
  <c r="G44" i="66"/>
  <c r="D44" i="66"/>
  <c r="P43" i="66"/>
  <c r="Q43" i="66" s="1"/>
  <c r="F43" i="66"/>
  <c r="G43" i="66"/>
  <c r="D43" i="66"/>
  <c r="P12" i="154"/>
  <c r="Q12" i="154" s="1"/>
  <c r="N12" i="154"/>
  <c r="M12" i="154"/>
  <c r="L12" i="154"/>
  <c r="K12" i="154"/>
  <c r="J12" i="154"/>
  <c r="H12" i="154"/>
  <c r="G12" i="154"/>
  <c r="F12" i="154"/>
  <c r="P11" i="154"/>
  <c r="Q11" i="154" s="1"/>
  <c r="N11" i="154"/>
  <c r="M11" i="154"/>
  <c r="L11" i="154"/>
  <c r="K11" i="154"/>
  <c r="J11" i="154"/>
  <c r="H11" i="154"/>
  <c r="G11" i="154"/>
  <c r="F11" i="154"/>
  <c r="P8" i="154"/>
  <c r="Q8" i="154" s="1"/>
  <c r="G8" i="154"/>
  <c r="F8" i="154"/>
  <c r="D8" i="154"/>
  <c r="I3" i="154"/>
  <c r="G3" i="154"/>
  <c r="E3" i="154"/>
  <c r="C3" i="154" s="1"/>
  <c r="I2" i="154"/>
  <c r="G2" i="154"/>
  <c r="P11" i="153"/>
  <c r="Q11" i="153" s="1"/>
  <c r="G11" i="153"/>
  <c r="F11" i="153"/>
  <c r="D11" i="153"/>
  <c r="I3" i="153"/>
  <c r="G3" i="153"/>
  <c r="E3" i="153"/>
  <c r="I2" i="153"/>
  <c r="G2" i="153"/>
  <c r="P11" i="130"/>
  <c r="Q11" i="130" s="1"/>
  <c r="F11" i="130"/>
  <c r="G11" i="130"/>
  <c r="D11" i="130"/>
  <c r="F19" i="76"/>
  <c r="G19" i="76"/>
  <c r="P19" i="76"/>
  <c r="Q19" i="76" s="1"/>
  <c r="F20" i="76"/>
  <c r="G20" i="76"/>
  <c r="P20" i="76"/>
  <c r="Q20" i="76" s="1"/>
  <c r="F21" i="76"/>
  <c r="G21" i="76"/>
  <c r="P21" i="76"/>
  <c r="Q21" i="76" s="1"/>
  <c r="D19" i="76"/>
  <c r="D20" i="76"/>
  <c r="P13" i="152"/>
  <c r="Q13" i="152" s="1"/>
  <c r="N13" i="152"/>
  <c r="M13" i="152"/>
  <c r="L13" i="152"/>
  <c r="K13" i="152"/>
  <c r="J13" i="152"/>
  <c r="H13" i="152"/>
  <c r="G13" i="152"/>
  <c r="F13" i="152"/>
  <c r="P11" i="152"/>
  <c r="Q11" i="152" s="1"/>
  <c r="G11" i="152"/>
  <c r="F11" i="152"/>
  <c r="D11" i="152"/>
  <c r="I3" i="152"/>
  <c r="G3" i="152"/>
  <c r="E3" i="152"/>
  <c r="I2" i="152"/>
  <c r="G2" i="152"/>
  <c r="J43" i="67"/>
  <c r="K43" i="67"/>
  <c r="L43" i="67"/>
  <c r="M43" i="67"/>
  <c r="N43" i="67"/>
  <c r="P43" i="67"/>
  <c r="Q43" i="67" s="1"/>
  <c r="F43" i="67"/>
  <c r="G43" i="67"/>
  <c r="H43" i="67"/>
  <c r="J19" i="131"/>
  <c r="K19" i="131"/>
  <c r="L19" i="131"/>
  <c r="M19" i="131"/>
  <c r="N19" i="131"/>
  <c r="P19" i="131"/>
  <c r="Q19" i="131" s="1"/>
  <c r="F19" i="131"/>
  <c r="G19" i="131"/>
  <c r="H19" i="131"/>
  <c r="P15" i="131"/>
  <c r="Q15" i="131" s="1"/>
  <c r="F15" i="131"/>
  <c r="G15" i="131"/>
  <c r="D15" i="131"/>
  <c r="C116" i="29"/>
  <c r="C148" i="29"/>
  <c r="C149" i="29"/>
  <c r="C150" i="29"/>
  <c r="C151" i="29"/>
  <c r="P14" i="64"/>
  <c r="F14" i="64"/>
  <c r="G14" i="64"/>
  <c r="D14" i="64"/>
  <c r="P13" i="64"/>
  <c r="F13" i="64"/>
  <c r="G13" i="64"/>
  <c r="D13" i="64"/>
  <c r="P12" i="64"/>
  <c r="Q12" i="64" s="1"/>
  <c r="F12" i="64"/>
  <c r="G12" i="64"/>
  <c r="D12" i="64"/>
  <c r="P11" i="64"/>
  <c r="Q11" i="64" s="1"/>
  <c r="F11" i="64"/>
  <c r="G11" i="64"/>
  <c r="D11" i="64"/>
  <c r="B14" i="64"/>
  <c r="B13" i="64"/>
  <c r="D15" i="151"/>
  <c r="F15" i="151"/>
  <c r="G15" i="151"/>
  <c r="P15" i="151"/>
  <c r="Q15" i="151" s="1"/>
  <c r="A16" i="151"/>
  <c r="A17" i="151" s="1"/>
  <c r="A18" i="151" s="1"/>
  <c r="A19" i="151" s="1"/>
  <c r="A20" i="151" s="1"/>
  <c r="A21" i="151" s="1"/>
  <c r="A22" i="151" s="1"/>
  <c r="A23" i="151" s="1"/>
  <c r="A24" i="151" s="1"/>
  <c r="A25" i="151" s="1"/>
  <c r="A26" i="151" s="1"/>
  <c r="D16" i="151"/>
  <c r="F16" i="151"/>
  <c r="G16" i="151"/>
  <c r="P16" i="151"/>
  <c r="Q16" i="151" s="1"/>
  <c r="D17" i="151"/>
  <c r="F17" i="151"/>
  <c r="G17" i="151"/>
  <c r="P17" i="151"/>
  <c r="Q17" i="151" s="1"/>
  <c r="D18" i="151"/>
  <c r="F18" i="151"/>
  <c r="G18" i="151"/>
  <c r="P18" i="151"/>
  <c r="Q18" i="151" s="1"/>
  <c r="D19" i="151"/>
  <c r="F19" i="151"/>
  <c r="G19" i="151"/>
  <c r="P19" i="151"/>
  <c r="Q19" i="151" s="1"/>
  <c r="D20" i="151"/>
  <c r="F20" i="151"/>
  <c r="G20" i="151"/>
  <c r="P20" i="151"/>
  <c r="Q20" i="151" s="1"/>
  <c r="D21" i="151"/>
  <c r="F21" i="151"/>
  <c r="G21" i="151"/>
  <c r="P21" i="151"/>
  <c r="Q21" i="151" s="1"/>
  <c r="D22" i="151"/>
  <c r="F22" i="151"/>
  <c r="G22" i="151"/>
  <c r="P22" i="151"/>
  <c r="Q22" i="151" s="1"/>
  <c r="D23" i="151"/>
  <c r="F23" i="151"/>
  <c r="G23" i="151"/>
  <c r="P23" i="151"/>
  <c r="Q23" i="151" s="1"/>
  <c r="D24" i="151"/>
  <c r="F24" i="151"/>
  <c r="G24" i="151"/>
  <c r="P24" i="151"/>
  <c r="Q24" i="151" s="1"/>
  <c r="D25" i="151"/>
  <c r="F25" i="151"/>
  <c r="G25" i="151"/>
  <c r="P25" i="151"/>
  <c r="Q25" i="151" s="1"/>
  <c r="F28" i="151"/>
  <c r="G28" i="151"/>
  <c r="H28" i="151"/>
  <c r="J28" i="151"/>
  <c r="K28" i="151"/>
  <c r="L28" i="151"/>
  <c r="M28" i="151"/>
  <c r="N28" i="151"/>
  <c r="P28" i="151"/>
  <c r="Q28" i="151" s="1"/>
  <c r="A29" i="151"/>
  <c r="A30" i="151" s="1"/>
  <c r="A31" i="151" s="1"/>
  <c r="A32" i="151" s="1"/>
  <c r="A33" i="151" s="1"/>
  <c r="A34" i="151" s="1"/>
  <c r="A35" i="151" s="1"/>
  <c r="A36" i="151" s="1"/>
  <c r="A37" i="151" s="1"/>
  <c r="F29" i="151"/>
  <c r="G29" i="151"/>
  <c r="H29" i="151"/>
  <c r="J29" i="151"/>
  <c r="K29" i="151"/>
  <c r="L29" i="151"/>
  <c r="M29" i="151"/>
  <c r="N29" i="151"/>
  <c r="P29" i="151"/>
  <c r="Q29" i="151" s="1"/>
  <c r="F30" i="151"/>
  <c r="G30" i="151"/>
  <c r="H30" i="151"/>
  <c r="J30" i="151"/>
  <c r="K30" i="151"/>
  <c r="L30" i="151"/>
  <c r="M30" i="151"/>
  <c r="N30" i="151"/>
  <c r="P30" i="151"/>
  <c r="Q30" i="151" s="1"/>
  <c r="F31" i="151"/>
  <c r="G31" i="151"/>
  <c r="H31" i="151"/>
  <c r="J31" i="151"/>
  <c r="K31" i="151"/>
  <c r="L31" i="151"/>
  <c r="M31" i="151"/>
  <c r="N31" i="151"/>
  <c r="P31" i="151"/>
  <c r="Q31" i="151" s="1"/>
  <c r="F32" i="151"/>
  <c r="G32" i="151"/>
  <c r="H32" i="151"/>
  <c r="J32" i="151"/>
  <c r="K32" i="151"/>
  <c r="L32" i="151"/>
  <c r="M32" i="151"/>
  <c r="N32" i="151"/>
  <c r="P32" i="151"/>
  <c r="Q32" i="151" s="1"/>
  <c r="F33" i="151"/>
  <c r="G33" i="151"/>
  <c r="H33" i="151"/>
  <c r="J33" i="151"/>
  <c r="K33" i="151"/>
  <c r="L33" i="151"/>
  <c r="M33" i="151"/>
  <c r="N33" i="151"/>
  <c r="P33" i="151"/>
  <c r="Q33" i="151" s="1"/>
  <c r="F34" i="151"/>
  <c r="G34" i="151"/>
  <c r="H34" i="151"/>
  <c r="J34" i="151"/>
  <c r="K34" i="151"/>
  <c r="L34" i="151"/>
  <c r="M34" i="151"/>
  <c r="N34" i="151"/>
  <c r="P34" i="151"/>
  <c r="Q34" i="151" s="1"/>
  <c r="F35" i="151"/>
  <c r="G35" i="151"/>
  <c r="H35" i="151"/>
  <c r="J35" i="151"/>
  <c r="K35" i="151"/>
  <c r="L35" i="151"/>
  <c r="M35" i="151"/>
  <c r="N35" i="151"/>
  <c r="P35" i="151"/>
  <c r="Q35" i="151" s="1"/>
  <c r="G2" i="151"/>
  <c r="I2" i="151"/>
  <c r="E3" i="151"/>
  <c r="C3" i="151" s="1"/>
  <c r="G3" i="151"/>
  <c r="I3" i="151"/>
  <c r="D16" i="150"/>
  <c r="F16" i="150"/>
  <c r="G16" i="150"/>
  <c r="P16" i="150"/>
  <c r="Q16" i="150" s="1"/>
  <c r="A17" i="150"/>
  <c r="A18" i="150" s="1"/>
  <c r="A19" i="150" s="1"/>
  <c r="A20" i="150" s="1"/>
  <c r="A21" i="150" s="1"/>
  <c r="A22" i="150" s="1"/>
  <c r="A23" i="150" s="1"/>
  <c r="A24" i="150" s="1"/>
  <c r="A25" i="150" s="1"/>
  <c r="A26" i="150" s="1"/>
  <c r="A27" i="150" s="1"/>
  <c r="A28" i="150" s="1"/>
  <c r="D17" i="150"/>
  <c r="F17" i="150"/>
  <c r="G17" i="150"/>
  <c r="P17" i="150"/>
  <c r="Q17" i="150" s="1"/>
  <c r="D18" i="150"/>
  <c r="F18" i="150"/>
  <c r="G18" i="150"/>
  <c r="P18" i="150"/>
  <c r="Q18" i="150" s="1"/>
  <c r="D19" i="150"/>
  <c r="F19" i="150"/>
  <c r="G19" i="150"/>
  <c r="P19" i="150"/>
  <c r="Q19" i="150" s="1"/>
  <c r="D20" i="150"/>
  <c r="F20" i="150"/>
  <c r="G20" i="150"/>
  <c r="P20" i="150"/>
  <c r="Q20" i="150" s="1"/>
  <c r="D21" i="150"/>
  <c r="F21" i="150"/>
  <c r="G21" i="150"/>
  <c r="P21" i="150"/>
  <c r="Q21" i="150" s="1"/>
  <c r="D22" i="150"/>
  <c r="F22" i="150"/>
  <c r="G22" i="150"/>
  <c r="P22" i="150"/>
  <c r="Q22" i="150" s="1"/>
  <c r="D23" i="150"/>
  <c r="F23" i="150"/>
  <c r="G23" i="150"/>
  <c r="P23" i="150"/>
  <c r="Q23" i="150" s="1"/>
  <c r="D24" i="150"/>
  <c r="F24" i="150"/>
  <c r="G24" i="150"/>
  <c r="P24" i="150"/>
  <c r="Q24" i="150" s="1"/>
  <c r="F30" i="150"/>
  <c r="G30" i="150"/>
  <c r="H30" i="150"/>
  <c r="J30" i="150"/>
  <c r="K30" i="150"/>
  <c r="L30" i="150"/>
  <c r="M30" i="150"/>
  <c r="N30" i="150"/>
  <c r="P30" i="150"/>
  <c r="Q30" i="150" s="1"/>
  <c r="A31" i="150"/>
  <c r="A32" i="150" s="1"/>
  <c r="A33" i="150" s="1"/>
  <c r="A34" i="150" s="1"/>
  <c r="A35" i="150" s="1"/>
  <c r="A36" i="150" s="1"/>
  <c r="A37" i="150" s="1"/>
  <c r="A38" i="150" s="1"/>
  <c r="F31" i="150"/>
  <c r="G31" i="150"/>
  <c r="H31" i="150"/>
  <c r="J31" i="150"/>
  <c r="K31" i="150"/>
  <c r="L31" i="150"/>
  <c r="M31" i="150"/>
  <c r="N31" i="150"/>
  <c r="P31" i="150"/>
  <c r="Q31" i="150" s="1"/>
  <c r="F32" i="150"/>
  <c r="G32" i="150"/>
  <c r="H32" i="150"/>
  <c r="J32" i="150"/>
  <c r="K32" i="150"/>
  <c r="L32" i="150"/>
  <c r="M32" i="150"/>
  <c r="N32" i="150"/>
  <c r="P32" i="150"/>
  <c r="Q32" i="150" s="1"/>
  <c r="F33" i="150"/>
  <c r="G33" i="150"/>
  <c r="H33" i="150"/>
  <c r="J33" i="150"/>
  <c r="K33" i="150"/>
  <c r="L33" i="150"/>
  <c r="M33" i="150"/>
  <c r="N33" i="150"/>
  <c r="P33" i="150"/>
  <c r="Q33" i="150" s="1"/>
  <c r="F34" i="150"/>
  <c r="G34" i="150"/>
  <c r="H34" i="150"/>
  <c r="J34" i="150"/>
  <c r="K34" i="150"/>
  <c r="L34" i="150"/>
  <c r="M34" i="150"/>
  <c r="N34" i="150"/>
  <c r="P34" i="150"/>
  <c r="Q34" i="150" s="1"/>
  <c r="F35" i="150"/>
  <c r="G35" i="150"/>
  <c r="H35" i="150"/>
  <c r="J35" i="150"/>
  <c r="K35" i="150"/>
  <c r="L35" i="150"/>
  <c r="M35" i="150"/>
  <c r="N35" i="150"/>
  <c r="P35" i="150"/>
  <c r="Q35" i="150" s="1"/>
  <c r="F36" i="150"/>
  <c r="G36" i="150"/>
  <c r="H36" i="150"/>
  <c r="J36" i="150"/>
  <c r="K36" i="150"/>
  <c r="L36" i="150"/>
  <c r="M36" i="150"/>
  <c r="N36" i="150"/>
  <c r="P36" i="150"/>
  <c r="Q36" i="150" s="1"/>
  <c r="F37" i="150"/>
  <c r="G37" i="150"/>
  <c r="H37" i="150"/>
  <c r="J37" i="150"/>
  <c r="K37" i="150"/>
  <c r="L37" i="150"/>
  <c r="M37" i="150"/>
  <c r="N37" i="150"/>
  <c r="P37" i="150"/>
  <c r="Q37" i="150" s="1"/>
  <c r="F38" i="150"/>
  <c r="G38" i="150"/>
  <c r="H38" i="150"/>
  <c r="J38" i="150"/>
  <c r="K38" i="150"/>
  <c r="L38" i="150"/>
  <c r="M38" i="150"/>
  <c r="N38" i="150"/>
  <c r="P38" i="150"/>
  <c r="Q38" i="150" s="1"/>
  <c r="G2" i="150"/>
  <c r="I2" i="150"/>
  <c r="E3" i="150"/>
  <c r="C3" i="150" s="1"/>
  <c r="G3" i="150"/>
  <c r="I3" i="150"/>
  <c r="P68" i="149"/>
  <c r="Q68" i="149" s="1"/>
  <c r="N68" i="149"/>
  <c r="M68" i="149"/>
  <c r="L68" i="149"/>
  <c r="K68" i="149"/>
  <c r="J68" i="149"/>
  <c r="H68" i="149"/>
  <c r="G68" i="149"/>
  <c r="F68" i="149"/>
  <c r="P67" i="149"/>
  <c r="Q67" i="149" s="1"/>
  <c r="N67" i="149"/>
  <c r="M67" i="149"/>
  <c r="L67" i="149"/>
  <c r="K67" i="149"/>
  <c r="J67" i="149"/>
  <c r="H67" i="149"/>
  <c r="G67" i="149"/>
  <c r="F67" i="149"/>
  <c r="P66" i="149"/>
  <c r="Q66" i="149" s="1"/>
  <c r="N66" i="149"/>
  <c r="M66" i="149"/>
  <c r="L66" i="149"/>
  <c r="K66" i="149"/>
  <c r="J66" i="149"/>
  <c r="H66" i="149"/>
  <c r="G66" i="149"/>
  <c r="F66" i="149"/>
  <c r="P65" i="149"/>
  <c r="Q65" i="149" s="1"/>
  <c r="N65" i="149"/>
  <c r="M65" i="149"/>
  <c r="L65" i="149"/>
  <c r="K65" i="149"/>
  <c r="J65" i="149"/>
  <c r="H65" i="149"/>
  <c r="G65" i="149"/>
  <c r="F65" i="149"/>
  <c r="P64" i="149"/>
  <c r="Q64" i="149" s="1"/>
  <c r="N64" i="149"/>
  <c r="M64" i="149"/>
  <c r="L64" i="149"/>
  <c r="K64" i="149"/>
  <c r="J64" i="149"/>
  <c r="H64" i="149"/>
  <c r="G64" i="149"/>
  <c r="F64" i="149"/>
  <c r="P63" i="149"/>
  <c r="Q63" i="149" s="1"/>
  <c r="N63" i="149"/>
  <c r="M63" i="149"/>
  <c r="L63" i="149"/>
  <c r="K63" i="149"/>
  <c r="J63" i="149"/>
  <c r="H63" i="149"/>
  <c r="G63" i="149"/>
  <c r="F63" i="149"/>
  <c r="P62" i="149"/>
  <c r="Q62" i="149" s="1"/>
  <c r="N62" i="149"/>
  <c r="M62" i="149"/>
  <c r="L62" i="149"/>
  <c r="K62" i="149"/>
  <c r="J62" i="149"/>
  <c r="H62" i="149"/>
  <c r="G62" i="149"/>
  <c r="F62" i="149"/>
  <c r="P61" i="149"/>
  <c r="Q61" i="149" s="1"/>
  <c r="N61" i="149"/>
  <c r="M61" i="149"/>
  <c r="L61" i="149"/>
  <c r="K61" i="149"/>
  <c r="J61" i="149"/>
  <c r="H61" i="149"/>
  <c r="G61" i="149"/>
  <c r="F61" i="149"/>
  <c r="P60" i="149"/>
  <c r="Q60" i="149" s="1"/>
  <c r="N60" i="149"/>
  <c r="M60" i="149"/>
  <c r="L60" i="149"/>
  <c r="K60" i="149"/>
  <c r="J60" i="149"/>
  <c r="H60" i="149"/>
  <c r="G60" i="149"/>
  <c r="F60" i="149"/>
  <c r="P59" i="149"/>
  <c r="Q59" i="149" s="1"/>
  <c r="N59" i="149"/>
  <c r="M59" i="149"/>
  <c r="L59" i="149"/>
  <c r="K59" i="149"/>
  <c r="J59" i="149"/>
  <c r="H59" i="149"/>
  <c r="G59" i="149"/>
  <c r="F59" i="149"/>
  <c r="P58" i="149"/>
  <c r="Q58" i="149" s="1"/>
  <c r="N58" i="149"/>
  <c r="M58" i="149"/>
  <c r="L58" i="149"/>
  <c r="K58" i="149"/>
  <c r="J58" i="149"/>
  <c r="H58" i="149"/>
  <c r="G58" i="149"/>
  <c r="F58" i="149"/>
  <c r="P57" i="149"/>
  <c r="Q57" i="149" s="1"/>
  <c r="N57" i="149"/>
  <c r="M57" i="149"/>
  <c r="L57" i="149"/>
  <c r="K57" i="149"/>
  <c r="J57" i="149"/>
  <c r="H57" i="149"/>
  <c r="G57" i="149"/>
  <c r="F57" i="149"/>
  <c r="P56" i="149"/>
  <c r="Q56" i="149" s="1"/>
  <c r="N56" i="149"/>
  <c r="M56" i="149"/>
  <c r="L56" i="149"/>
  <c r="K56" i="149"/>
  <c r="J56" i="149"/>
  <c r="H56" i="149"/>
  <c r="G56" i="149"/>
  <c r="F56" i="149"/>
  <c r="P55" i="149"/>
  <c r="Q55" i="149" s="1"/>
  <c r="N55" i="149"/>
  <c r="M55" i="149"/>
  <c r="L55" i="149"/>
  <c r="K55" i="149"/>
  <c r="J55" i="149"/>
  <c r="H55" i="149"/>
  <c r="G55" i="149"/>
  <c r="F55" i="149"/>
  <c r="P54" i="149"/>
  <c r="Q54" i="149" s="1"/>
  <c r="N54" i="149"/>
  <c r="M54" i="149"/>
  <c r="L54" i="149"/>
  <c r="K54" i="149"/>
  <c r="J54" i="149"/>
  <c r="H54" i="149"/>
  <c r="G54" i="149"/>
  <c r="F54" i="149"/>
  <c r="P53" i="149"/>
  <c r="Q53" i="149" s="1"/>
  <c r="N53" i="149"/>
  <c r="M53" i="149"/>
  <c r="L53" i="149"/>
  <c r="K53" i="149"/>
  <c r="J53" i="149"/>
  <c r="H53" i="149"/>
  <c r="G53" i="149"/>
  <c r="F53" i="149"/>
  <c r="P52" i="149"/>
  <c r="Q52" i="149" s="1"/>
  <c r="N52" i="149"/>
  <c r="M52" i="149"/>
  <c r="L52" i="149"/>
  <c r="K52" i="149"/>
  <c r="J52" i="149"/>
  <c r="H52" i="149"/>
  <c r="G52" i="149"/>
  <c r="F52" i="149"/>
  <c r="A52" i="149"/>
  <c r="A53" i="149" s="1"/>
  <c r="A54" i="149" s="1"/>
  <c r="A55" i="149" s="1"/>
  <c r="A56" i="149" s="1"/>
  <c r="A57" i="149" s="1"/>
  <c r="A58" i="149" s="1"/>
  <c r="A59" i="149" s="1"/>
  <c r="A60" i="149" s="1"/>
  <c r="A61" i="149" s="1"/>
  <c r="A62" i="149" s="1"/>
  <c r="A63" i="149" s="1"/>
  <c r="A64" i="149" s="1"/>
  <c r="A65" i="149" s="1"/>
  <c r="A66" i="149" s="1"/>
  <c r="A67" i="149" s="1"/>
  <c r="A68" i="149" s="1"/>
  <c r="A69" i="149" s="1"/>
  <c r="A70" i="149" s="1"/>
  <c r="A71" i="149" s="1"/>
  <c r="A72" i="149" s="1"/>
  <c r="A73" i="149" s="1"/>
  <c r="P51" i="149"/>
  <c r="Q51" i="149" s="1"/>
  <c r="N51" i="149"/>
  <c r="M51" i="149"/>
  <c r="L51" i="149"/>
  <c r="K51" i="149"/>
  <c r="J51" i="149"/>
  <c r="H51" i="149"/>
  <c r="G51" i="149"/>
  <c r="F51" i="149"/>
  <c r="P49" i="149"/>
  <c r="Q49" i="149" s="1"/>
  <c r="G49" i="149"/>
  <c r="F49" i="149"/>
  <c r="D49" i="149"/>
  <c r="P48" i="149"/>
  <c r="Q48" i="149" s="1"/>
  <c r="G48" i="149"/>
  <c r="F48" i="149"/>
  <c r="D48" i="149"/>
  <c r="P47" i="149"/>
  <c r="Q47" i="149" s="1"/>
  <c r="G47" i="149"/>
  <c r="F47" i="149"/>
  <c r="D47" i="149"/>
  <c r="P46" i="149"/>
  <c r="Q46" i="149" s="1"/>
  <c r="G46" i="149"/>
  <c r="F46" i="149"/>
  <c r="D46" i="149"/>
  <c r="P45" i="149"/>
  <c r="Q45" i="149" s="1"/>
  <c r="G45" i="149"/>
  <c r="F45" i="149"/>
  <c r="D45" i="149"/>
  <c r="P44" i="149"/>
  <c r="Q44" i="149" s="1"/>
  <c r="G44" i="149"/>
  <c r="F44" i="149"/>
  <c r="D44" i="149"/>
  <c r="P43" i="149"/>
  <c r="Q43" i="149" s="1"/>
  <c r="G43" i="149"/>
  <c r="F43" i="149"/>
  <c r="D43" i="149"/>
  <c r="P42" i="149"/>
  <c r="Q42" i="149" s="1"/>
  <c r="G42" i="149"/>
  <c r="F42" i="149"/>
  <c r="D42" i="149"/>
  <c r="P41" i="149"/>
  <c r="Q41" i="149" s="1"/>
  <c r="G41" i="149"/>
  <c r="F41" i="149"/>
  <c r="D41" i="149"/>
  <c r="P40" i="149"/>
  <c r="Q40" i="149" s="1"/>
  <c r="G40" i="149"/>
  <c r="F40" i="149"/>
  <c r="D40" i="149"/>
  <c r="P39" i="149"/>
  <c r="Q39" i="149" s="1"/>
  <c r="G39" i="149"/>
  <c r="F39" i="149"/>
  <c r="D39" i="149"/>
  <c r="P38" i="149"/>
  <c r="Q38" i="149" s="1"/>
  <c r="G38" i="149"/>
  <c r="F38" i="149"/>
  <c r="D38" i="149"/>
  <c r="P37" i="149"/>
  <c r="Q37" i="149" s="1"/>
  <c r="G37" i="149"/>
  <c r="F37" i="149"/>
  <c r="D37" i="149"/>
  <c r="P36" i="149"/>
  <c r="Q36" i="149" s="1"/>
  <c r="G36" i="149"/>
  <c r="F36" i="149"/>
  <c r="D36" i="149"/>
  <c r="P35" i="149"/>
  <c r="Q35" i="149" s="1"/>
  <c r="G35" i="149"/>
  <c r="F35" i="149"/>
  <c r="D35" i="149"/>
  <c r="P34" i="149"/>
  <c r="Q34" i="149" s="1"/>
  <c r="G34" i="149"/>
  <c r="F34" i="149"/>
  <c r="D34" i="149"/>
  <c r="P33" i="149"/>
  <c r="Q33" i="149" s="1"/>
  <c r="G33" i="149"/>
  <c r="F33" i="149"/>
  <c r="D33" i="149"/>
  <c r="P32" i="149"/>
  <c r="Q32" i="149" s="1"/>
  <c r="G32" i="149"/>
  <c r="F32" i="149"/>
  <c r="D32" i="149"/>
  <c r="P31" i="149"/>
  <c r="Q31" i="149" s="1"/>
  <c r="G31" i="149"/>
  <c r="F31" i="149"/>
  <c r="D31" i="149"/>
  <c r="P30" i="149"/>
  <c r="Q30" i="149" s="1"/>
  <c r="G30" i="149"/>
  <c r="F30" i="149"/>
  <c r="D30" i="149"/>
  <c r="P29" i="149"/>
  <c r="Q29" i="149" s="1"/>
  <c r="G29" i="149"/>
  <c r="F29" i="149"/>
  <c r="D29" i="149"/>
  <c r="P28" i="149"/>
  <c r="Q28" i="149" s="1"/>
  <c r="G28" i="149"/>
  <c r="F28" i="149"/>
  <c r="D28" i="149"/>
  <c r="P27" i="149"/>
  <c r="Q27" i="149" s="1"/>
  <c r="G27" i="149"/>
  <c r="F27" i="149"/>
  <c r="D27" i="149"/>
  <c r="P26" i="149"/>
  <c r="Q26" i="149" s="1"/>
  <c r="G26" i="149"/>
  <c r="F26" i="149"/>
  <c r="D26" i="149"/>
  <c r="P25" i="149"/>
  <c r="Q25" i="149" s="1"/>
  <c r="G25" i="149"/>
  <c r="F25" i="149"/>
  <c r="D25" i="149"/>
  <c r="P24" i="149"/>
  <c r="Q24" i="149" s="1"/>
  <c r="G24" i="149"/>
  <c r="F24" i="149"/>
  <c r="D24" i="149"/>
  <c r="P23" i="149"/>
  <c r="Q23" i="149" s="1"/>
  <c r="G23" i="149"/>
  <c r="F23" i="149"/>
  <c r="D23" i="149"/>
  <c r="P22" i="149"/>
  <c r="Q22" i="149" s="1"/>
  <c r="G22" i="149"/>
  <c r="F22" i="149"/>
  <c r="D22" i="149"/>
  <c r="A22" i="149"/>
  <c r="A23" i="149" s="1"/>
  <c r="A24" i="149" s="1"/>
  <c r="A25" i="149" s="1"/>
  <c r="A26" i="149" s="1"/>
  <c r="A27" i="149" s="1"/>
  <c r="A28" i="149" s="1"/>
  <c r="A29" i="149" s="1"/>
  <c r="A30" i="149" s="1"/>
  <c r="A31" i="149" s="1"/>
  <c r="A32" i="149" s="1"/>
  <c r="A33" i="149" s="1"/>
  <c r="A34" i="149" s="1"/>
  <c r="A35" i="149" s="1"/>
  <c r="A36" i="149" s="1"/>
  <c r="A37" i="149" s="1"/>
  <c r="A38" i="149" s="1"/>
  <c r="A39" i="149" s="1"/>
  <c r="A40" i="149" s="1"/>
  <c r="A41" i="149" s="1"/>
  <c r="A42" i="149" s="1"/>
  <c r="A43" i="149" s="1"/>
  <c r="A44" i="149" s="1"/>
  <c r="A45" i="149" s="1"/>
  <c r="A46" i="149" s="1"/>
  <c r="A47" i="149" s="1"/>
  <c r="A48" i="149" s="1"/>
  <c r="A49" i="149" s="1"/>
  <c r="P21" i="149"/>
  <c r="Q21" i="149" s="1"/>
  <c r="G21" i="149"/>
  <c r="F21" i="149"/>
  <c r="D21" i="149"/>
  <c r="A15" i="149"/>
  <c r="A16" i="149" s="1"/>
  <c r="A17" i="149" s="1"/>
  <c r="A18" i="149" s="1"/>
  <c r="A19" i="149" s="1"/>
  <c r="I3" i="149"/>
  <c r="G3" i="149"/>
  <c r="E3" i="149"/>
  <c r="C3" i="149" s="1"/>
  <c r="I2" i="149"/>
  <c r="G2" i="149"/>
  <c r="P68" i="148"/>
  <c r="Q68" i="148" s="1"/>
  <c r="N68" i="148"/>
  <c r="M68" i="148"/>
  <c r="L68" i="148"/>
  <c r="K68" i="148"/>
  <c r="J68" i="148"/>
  <c r="H68" i="148"/>
  <c r="G68" i="148"/>
  <c r="F68" i="148"/>
  <c r="P67" i="148"/>
  <c r="Q67" i="148" s="1"/>
  <c r="N67" i="148"/>
  <c r="M67" i="148"/>
  <c r="L67" i="148"/>
  <c r="K67" i="148"/>
  <c r="J67" i="148"/>
  <c r="H67" i="148"/>
  <c r="G67" i="148"/>
  <c r="F67" i="148"/>
  <c r="P66" i="148"/>
  <c r="Q66" i="148" s="1"/>
  <c r="N66" i="148"/>
  <c r="M66" i="148"/>
  <c r="L66" i="148"/>
  <c r="K66" i="148"/>
  <c r="J66" i="148"/>
  <c r="H66" i="148"/>
  <c r="G66" i="148"/>
  <c r="F66" i="148"/>
  <c r="P65" i="148"/>
  <c r="Q65" i="148" s="1"/>
  <c r="N65" i="148"/>
  <c r="M65" i="148"/>
  <c r="L65" i="148"/>
  <c r="K65" i="148"/>
  <c r="J65" i="148"/>
  <c r="H65" i="148"/>
  <c r="G65" i="148"/>
  <c r="F65" i="148"/>
  <c r="P64" i="148"/>
  <c r="Q64" i="148" s="1"/>
  <c r="N64" i="148"/>
  <c r="M64" i="148"/>
  <c r="L64" i="148"/>
  <c r="K64" i="148"/>
  <c r="J64" i="148"/>
  <c r="H64" i="148"/>
  <c r="G64" i="148"/>
  <c r="F64" i="148"/>
  <c r="P63" i="148"/>
  <c r="Q63" i="148" s="1"/>
  <c r="N63" i="148"/>
  <c r="M63" i="148"/>
  <c r="L63" i="148"/>
  <c r="K63" i="148"/>
  <c r="J63" i="148"/>
  <c r="H63" i="148"/>
  <c r="G63" i="148"/>
  <c r="F63" i="148"/>
  <c r="P62" i="148"/>
  <c r="Q62" i="148" s="1"/>
  <c r="N62" i="148"/>
  <c r="M62" i="148"/>
  <c r="L62" i="148"/>
  <c r="K62" i="148"/>
  <c r="J62" i="148"/>
  <c r="H62" i="148"/>
  <c r="G62" i="148"/>
  <c r="F62" i="148"/>
  <c r="P61" i="148"/>
  <c r="Q61" i="148" s="1"/>
  <c r="N61" i="148"/>
  <c r="M61" i="148"/>
  <c r="L61" i="148"/>
  <c r="K61" i="148"/>
  <c r="J61" i="148"/>
  <c r="H61" i="148"/>
  <c r="G61" i="148"/>
  <c r="F61" i="148"/>
  <c r="P60" i="148"/>
  <c r="Q60" i="148" s="1"/>
  <c r="N60" i="148"/>
  <c r="M60" i="148"/>
  <c r="L60" i="148"/>
  <c r="K60" i="148"/>
  <c r="J60" i="148"/>
  <c r="H60" i="148"/>
  <c r="G60" i="148"/>
  <c r="F60" i="148"/>
  <c r="P59" i="148"/>
  <c r="Q59" i="148" s="1"/>
  <c r="N59" i="148"/>
  <c r="M59" i="148"/>
  <c r="L59" i="148"/>
  <c r="K59" i="148"/>
  <c r="J59" i="148"/>
  <c r="H59" i="148"/>
  <c r="G59" i="148"/>
  <c r="F59" i="148"/>
  <c r="P58" i="148"/>
  <c r="Q58" i="148" s="1"/>
  <c r="N58" i="148"/>
  <c r="M58" i="148"/>
  <c r="L58" i="148"/>
  <c r="K58" i="148"/>
  <c r="J58" i="148"/>
  <c r="H58" i="148"/>
  <c r="G58" i="148"/>
  <c r="F58" i="148"/>
  <c r="P57" i="148"/>
  <c r="Q57" i="148" s="1"/>
  <c r="N57" i="148"/>
  <c r="M57" i="148"/>
  <c r="L57" i="148"/>
  <c r="K57" i="148"/>
  <c r="J57" i="148"/>
  <c r="H57" i="148"/>
  <c r="G57" i="148"/>
  <c r="F57" i="148"/>
  <c r="P56" i="148"/>
  <c r="Q56" i="148" s="1"/>
  <c r="N56" i="148"/>
  <c r="M56" i="148"/>
  <c r="L56" i="148"/>
  <c r="K56" i="148"/>
  <c r="J56" i="148"/>
  <c r="H56" i="148"/>
  <c r="G56" i="148"/>
  <c r="F56" i="148"/>
  <c r="P55" i="148"/>
  <c r="Q55" i="148" s="1"/>
  <c r="N55" i="148"/>
  <c r="M55" i="148"/>
  <c r="L55" i="148"/>
  <c r="K55" i="148"/>
  <c r="J55" i="148"/>
  <c r="H55" i="148"/>
  <c r="G55" i="148"/>
  <c r="F55" i="148"/>
  <c r="P54" i="148"/>
  <c r="Q54" i="148" s="1"/>
  <c r="N54" i="148"/>
  <c r="M54" i="148"/>
  <c r="L54" i="148"/>
  <c r="K54" i="148"/>
  <c r="J54" i="148"/>
  <c r="H54" i="148"/>
  <c r="G54" i="148"/>
  <c r="F54" i="148"/>
  <c r="P53" i="148"/>
  <c r="Q53" i="148" s="1"/>
  <c r="N53" i="148"/>
  <c r="M53" i="148"/>
  <c r="L53" i="148"/>
  <c r="K53" i="148"/>
  <c r="J53" i="148"/>
  <c r="H53" i="148"/>
  <c r="G53" i="148"/>
  <c r="F53" i="148"/>
  <c r="P52" i="148"/>
  <c r="Q52" i="148" s="1"/>
  <c r="N52" i="148"/>
  <c r="M52" i="148"/>
  <c r="L52" i="148"/>
  <c r="K52" i="148"/>
  <c r="J52" i="148"/>
  <c r="H52" i="148"/>
  <c r="G52" i="148"/>
  <c r="F52" i="148"/>
  <c r="A52" i="148"/>
  <c r="A53" i="148" s="1"/>
  <c r="A54" i="148" s="1"/>
  <c r="A55" i="148" s="1"/>
  <c r="A56" i="148" s="1"/>
  <c r="A57" i="148" s="1"/>
  <c r="A58" i="148" s="1"/>
  <c r="A59" i="148" s="1"/>
  <c r="A60" i="148" s="1"/>
  <c r="A61" i="148" s="1"/>
  <c r="A62" i="148" s="1"/>
  <c r="A63" i="148" s="1"/>
  <c r="A64" i="148" s="1"/>
  <c r="A65" i="148" s="1"/>
  <c r="A66" i="148" s="1"/>
  <c r="A67" i="148" s="1"/>
  <c r="A68" i="148" s="1"/>
  <c r="A69" i="148" s="1"/>
  <c r="A70" i="148" s="1"/>
  <c r="A71" i="148" s="1"/>
  <c r="A72" i="148" s="1"/>
  <c r="A73" i="148" s="1"/>
  <c r="P51" i="148"/>
  <c r="Q51" i="148" s="1"/>
  <c r="N51" i="148"/>
  <c r="M51" i="148"/>
  <c r="L51" i="148"/>
  <c r="K51" i="148"/>
  <c r="J51" i="148"/>
  <c r="H51" i="148"/>
  <c r="G51" i="148"/>
  <c r="F51" i="148"/>
  <c r="P49" i="148"/>
  <c r="Q49" i="148" s="1"/>
  <c r="G49" i="148"/>
  <c r="F49" i="148"/>
  <c r="D49" i="148"/>
  <c r="P48" i="148"/>
  <c r="Q48" i="148" s="1"/>
  <c r="G48" i="148"/>
  <c r="F48" i="148"/>
  <c r="D48" i="148"/>
  <c r="P47" i="148"/>
  <c r="Q47" i="148" s="1"/>
  <c r="G47" i="148"/>
  <c r="F47" i="148"/>
  <c r="D47" i="148"/>
  <c r="P46" i="148"/>
  <c r="Q46" i="148" s="1"/>
  <c r="G46" i="148"/>
  <c r="F46" i="148"/>
  <c r="D46" i="148"/>
  <c r="P45" i="148"/>
  <c r="Q45" i="148" s="1"/>
  <c r="G45" i="148"/>
  <c r="F45" i="148"/>
  <c r="D45" i="148"/>
  <c r="P44" i="148"/>
  <c r="Q44" i="148" s="1"/>
  <c r="G44" i="148"/>
  <c r="F44" i="148"/>
  <c r="D44" i="148"/>
  <c r="P43" i="148"/>
  <c r="Q43" i="148" s="1"/>
  <c r="G43" i="148"/>
  <c r="F43" i="148"/>
  <c r="D43" i="148"/>
  <c r="P42" i="148"/>
  <c r="Q42" i="148" s="1"/>
  <c r="G42" i="148"/>
  <c r="F42" i="148"/>
  <c r="D42" i="148"/>
  <c r="P41" i="148"/>
  <c r="Q41" i="148" s="1"/>
  <c r="G41" i="148"/>
  <c r="F41" i="148"/>
  <c r="D41" i="148"/>
  <c r="P40" i="148"/>
  <c r="Q40" i="148" s="1"/>
  <c r="G40" i="148"/>
  <c r="F40" i="148"/>
  <c r="D40" i="148"/>
  <c r="P39" i="148"/>
  <c r="Q39" i="148" s="1"/>
  <c r="G39" i="148"/>
  <c r="F39" i="148"/>
  <c r="D39" i="148"/>
  <c r="P38" i="148"/>
  <c r="Q38" i="148" s="1"/>
  <c r="G38" i="148"/>
  <c r="F38" i="148"/>
  <c r="D38" i="148"/>
  <c r="P37" i="148"/>
  <c r="Q37" i="148" s="1"/>
  <c r="G37" i="148"/>
  <c r="F37" i="148"/>
  <c r="D37" i="148"/>
  <c r="P36" i="148"/>
  <c r="Q36" i="148" s="1"/>
  <c r="G36" i="148"/>
  <c r="F36" i="148"/>
  <c r="D36" i="148"/>
  <c r="P35" i="148"/>
  <c r="Q35" i="148" s="1"/>
  <c r="G35" i="148"/>
  <c r="F35" i="148"/>
  <c r="D35" i="148"/>
  <c r="P34" i="148"/>
  <c r="Q34" i="148" s="1"/>
  <c r="G34" i="148"/>
  <c r="F34" i="148"/>
  <c r="D34" i="148"/>
  <c r="P33" i="148"/>
  <c r="Q33" i="148" s="1"/>
  <c r="G33" i="148"/>
  <c r="F33" i="148"/>
  <c r="D33" i="148"/>
  <c r="P32" i="148"/>
  <c r="Q32" i="148" s="1"/>
  <c r="G32" i="148"/>
  <c r="F32" i="148"/>
  <c r="D32" i="148"/>
  <c r="P31" i="148"/>
  <c r="Q31" i="148" s="1"/>
  <c r="G31" i="148"/>
  <c r="F31" i="148"/>
  <c r="D31" i="148"/>
  <c r="P30" i="148"/>
  <c r="Q30" i="148" s="1"/>
  <c r="G30" i="148"/>
  <c r="F30" i="148"/>
  <c r="D30" i="148"/>
  <c r="P29" i="148"/>
  <c r="Q29" i="148" s="1"/>
  <c r="G29" i="148"/>
  <c r="F29" i="148"/>
  <c r="D29" i="148"/>
  <c r="P28" i="148"/>
  <c r="Q28" i="148" s="1"/>
  <c r="G28" i="148"/>
  <c r="F28" i="148"/>
  <c r="D28" i="148"/>
  <c r="P27" i="148"/>
  <c r="Q27" i="148" s="1"/>
  <c r="G27" i="148"/>
  <c r="F27" i="148"/>
  <c r="D27" i="148"/>
  <c r="P26" i="148"/>
  <c r="Q26" i="148" s="1"/>
  <c r="G26" i="148"/>
  <c r="F26" i="148"/>
  <c r="D26" i="148"/>
  <c r="P25" i="148"/>
  <c r="Q25" i="148" s="1"/>
  <c r="G25" i="148"/>
  <c r="F25" i="148"/>
  <c r="D25" i="148"/>
  <c r="P24" i="148"/>
  <c r="Q24" i="148" s="1"/>
  <c r="G24" i="148"/>
  <c r="F24" i="148"/>
  <c r="D24" i="148"/>
  <c r="P23" i="148"/>
  <c r="Q23" i="148" s="1"/>
  <c r="G23" i="148"/>
  <c r="F23" i="148"/>
  <c r="D23" i="148"/>
  <c r="P22" i="148"/>
  <c r="Q22" i="148" s="1"/>
  <c r="G22" i="148"/>
  <c r="F22" i="148"/>
  <c r="D22" i="148"/>
  <c r="A22" i="148"/>
  <c r="A23" i="148" s="1"/>
  <c r="A24" i="148" s="1"/>
  <c r="A25" i="148" s="1"/>
  <c r="A26" i="148" s="1"/>
  <c r="A27" i="148" s="1"/>
  <c r="A28" i="148" s="1"/>
  <c r="A29" i="148" s="1"/>
  <c r="A30" i="148" s="1"/>
  <c r="A31" i="148" s="1"/>
  <c r="A32" i="148" s="1"/>
  <c r="A33" i="148" s="1"/>
  <c r="A34" i="148" s="1"/>
  <c r="A35" i="148" s="1"/>
  <c r="A36" i="148" s="1"/>
  <c r="A37" i="148" s="1"/>
  <c r="A38" i="148" s="1"/>
  <c r="A39" i="148" s="1"/>
  <c r="A40" i="148" s="1"/>
  <c r="A41" i="148" s="1"/>
  <c r="A42" i="148" s="1"/>
  <c r="A43" i="148" s="1"/>
  <c r="A44" i="148" s="1"/>
  <c r="A45" i="148" s="1"/>
  <c r="A46" i="148" s="1"/>
  <c r="A47" i="148" s="1"/>
  <c r="A48" i="148" s="1"/>
  <c r="A49" i="148" s="1"/>
  <c r="P21" i="148"/>
  <c r="Q21" i="148" s="1"/>
  <c r="G21" i="148"/>
  <c r="F21" i="148"/>
  <c r="D21" i="148"/>
  <c r="A15" i="148"/>
  <c r="A16" i="148" s="1"/>
  <c r="A17" i="148" s="1"/>
  <c r="A18" i="148" s="1"/>
  <c r="A19" i="148" s="1"/>
  <c r="I3" i="148"/>
  <c r="G3" i="148"/>
  <c r="E3" i="148"/>
  <c r="C3" i="148" s="1"/>
  <c r="I2" i="148"/>
  <c r="G2" i="148"/>
  <c r="P71" i="147"/>
  <c r="Q71" i="147" s="1"/>
  <c r="N71" i="147"/>
  <c r="M71" i="147"/>
  <c r="L71" i="147"/>
  <c r="K71" i="147"/>
  <c r="J71" i="147"/>
  <c r="H71" i="147"/>
  <c r="G71" i="147"/>
  <c r="F71" i="147"/>
  <c r="P70" i="147"/>
  <c r="Q70" i="147" s="1"/>
  <c r="N70" i="147"/>
  <c r="M70" i="147"/>
  <c r="L70" i="147"/>
  <c r="K70" i="147"/>
  <c r="J70" i="147"/>
  <c r="H70" i="147"/>
  <c r="G70" i="147"/>
  <c r="F70" i="147"/>
  <c r="P69" i="147"/>
  <c r="Q69" i="147" s="1"/>
  <c r="N69" i="147"/>
  <c r="M69" i="147"/>
  <c r="L69" i="147"/>
  <c r="K69" i="147"/>
  <c r="J69" i="147"/>
  <c r="H69" i="147"/>
  <c r="G69" i="147"/>
  <c r="F69" i="147"/>
  <c r="P68" i="147"/>
  <c r="Q68" i="147" s="1"/>
  <c r="N68" i="147"/>
  <c r="M68" i="147"/>
  <c r="L68" i="147"/>
  <c r="K68" i="147"/>
  <c r="J68" i="147"/>
  <c r="H68" i="147"/>
  <c r="G68" i="147"/>
  <c r="F68" i="147"/>
  <c r="P67" i="147"/>
  <c r="Q67" i="147" s="1"/>
  <c r="N67" i="147"/>
  <c r="M67" i="147"/>
  <c r="L67" i="147"/>
  <c r="K67" i="147"/>
  <c r="J67" i="147"/>
  <c r="H67" i="147"/>
  <c r="G67" i="147"/>
  <c r="F67" i="147"/>
  <c r="P66" i="147"/>
  <c r="Q66" i="147" s="1"/>
  <c r="N66" i="147"/>
  <c r="M66" i="147"/>
  <c r="L66" i="147"/>
  <c r="K66" i="147"/>
  <c r="J66" i="147"/>
  <c r="H66" i="147"/>
  <c r="G66" i="147"/>
  <c r="F66" i="147"/>
  <c r="P65" i="147"/>
  <c r="Q65" i="147" s="1"/>
  <c r="N65" i="147"/>
  <c r="M65" i="147"/>
  <c r="L65" i="147"/>
  <c r="K65" i="147"/>
  <c r="J65" i="147"/>
  <c r="H65" i="147"/>
  <c r="G65" i="147"/>
  <c r="F65" i="147"/>
  <c r="P64" i="147"/>
  <c r="Q64" i="147" s="1"/>
  <c r="N64" i="147"/>
  <c r="M64" i="147"/>
  <c r="L64" i="147"/>
  <c r="K64" i="147"/>
  <c r="J64" i="147"/>
  <c r="H64" i="147"/>
  <c r="G64" i="147"/>
  <c r="F64" i="147"/>
  <c r="P63" i="147"/>
  <c r="Q63" i="147" s="1"/>
  <c r="N63" i="147"/>
  <c r="M63" i="147"/>
  <c r="L63" i="147"/>
  <c r="K63" i="147"/>
  <c r="J63" i="147"/>
  <c r="H63" i="147"/>
  <c r="G63" i="147"/>
  <c r="F63" i="147"/>
  <c r="A63" i="147"/>
  <c r="A64" i="147" s="1"/>
  <c r="A65" i="147" s="1"/>
  <c r="A66" i="147" s="1"/>
  <c r="A67" i="147" s="1"/>
  <c r="A68" i="147" s="1"/>
  <c r="A69" i="147" s="1"/>
  <c r="A70" i="147" s="1"/>
  <c r="A71" i="147" s="1"/>
  <c r="A72" i="147" s="1"/>
  <c r="A73" i="147" s="1"/>
  <c r="A74" i="147" s="1"/>
  <c r="A75" i="147" s="1"/>
  <c r="A76" i="147" s="1"/>
  <c r="A77" i="147" s="1"/>
  <c r="P62" i="147"/>
  <c r="Q62" i="147" s="1"/>
  <c r="N62" i="147"/>
  <c r="M62" i="147"/>
  <c r="L62" i="147"/>
  <c r="K62" i="147"/>
  <c r="J62" i="147"/>
  <c r="H62" i="147"/>
  <c r="G62" i="147"/>
  <c r="F62" i="147"/>
  <c r="P60" i="147"/>
  <c r="Q60" i="147" s="1"/>
  <c r="G60" i="147"/>
  <c r="F60" i="147"/>
  <c r="D60" i="147"/>
  <c r="P59" i="147"/>
  <c r="Q59" i="147" s="1"/>
  <c r="G59" i="147"/>
  <c r="F59" i="147"/>
  <c r="D59" i="147"/>
  <c r="P58" i="147"/>
  <c r="Q58" i="147" s="1"/>
  <c r="G58" i="147"/>
  <c r="F58" i="147"/>
  <c r="D58" i="147"/>
  <c r="P57" i="147"/>
  <c r="Q57" i="147" s="1"/>
  <c r="G57" i="147"/>
  <c r="F57" i="147"/>
  <c r="D57" i="147"/>
  <c r="P56" i="147"/>
  <c r="Q56" i="147" s="1"/>
  <c r="G56" i="147"/>
  <c r="F56" i="147"/>
  <c r="D56" i="147"/>
  <c r="P55" i="147"/>
  <c r="Q55" i="147" s="1"/>
  <c r="G55" i="147"/>
  <c r="F55" i="147"/>
  <c r="D55" i="147"/>
  <c r="P54" i="147"/>
  <c r="Q54" i="147" s="1"/>
  <c r="G54" i="147"/>
  <c r="F54" i="147"/>
  <c r="D54" i="147"/>
  <c r="P53" i="147"/>
  <c r="Q53" i="147" s="1"/>
  <c r="G53" i="147"/>
  <c r="F53" i="147"/>
  <c r="D53" i="147"/>
  <c r="P52" i="147"/>
  <c r="Q52" i="147" s="1"/>
  <c r="G52" i="147"/>
  <c r="F52" i="147"/>
  <c r="D52" i="147"/>
  <c r="P51" i="147"/>
  <c r="Q51" i="147" s="1"/>
  <c r="G51" i="147"/>
  <c r="F51" i="147"/>
  <c r="D51" i="147"/>
  <c r="P50" i="147"/>
  <c r="Q50" i="147" s="1"/>
  <c r="G50" i="147"/>
  <c r="F50" i="147"/>
  <c r="D50" i="147"/>
  <c r="P49" i="147"/>
  <c r="Q49" i="147" s="1"/>
  <c r="G49" i="147"/>
  <c r="F49" i="147"/>
  <c r="D49" i="147"/>
  <c r="P48" i="147"/>
  <c r="Q48" i="147" s="1"/>
  <c r="G48" i="147"/>
  <c r="F48" i="147"/>
  <c r="D48" i="147"/>
  <c r="P47" i="147"/>
  <c r="Q47" i="147" s="1"/>
  <c r="G47" i="147"/>
  <c r="F47" i="147"/>
  <c r="D47" i="147"/>
  <c r="P46" i="147"/>
  <c r="Q46" i="147" s="1"/>
  <c r="G46" i="147"/>
  <c r="F46" i="147"/>
  <c r="D46" i="147"/>
  <c r="P45" i="147"/>
  <c r="Q45" i="147" s="1"/>
  <c r="G45" i="147"/>
  <c r="F45" i="147"/>
  <c r="D45" i="147"/>
  <c r="P44" i="147"/>
  <c r="Q44" i="147" s="1"/>
  <c r="G44" i="147"/>
  <c r="F44" i="147"/>
  <c r="D44" i="147"/>
  <c r="P43" i="147"/>
  <c r="Q43" i="147" s="1"/>
  <c r="G43" i="147"/>
  <c r="F43" i="147"/>
  <c r="D43" i="147"/>
  <c r="P42" i="147"/>
  <c r="Q42" i="147" s="1"/>
  <c r="G42" i="147"/>
  <c r="F42" i="147"/>
  <c r="D42" i="147"/>
  <c r="P41" i="147"/>
  <c r="Q41" i="147" s="1"/>
  <c r="G41" i="147"/>
  <c r="F41" i="147"/>
  <c r="D41" i="147"/>
  <c r="P40" i="147"/>
  <c r="Q40" i="147" s="1"/>
  <c r="G40" i="147"/>
  <c r="F40" i="147"/>
  <c r="D40" i="147"/>
  <c r="P39" i="147"/>
  <c r="Q39" i="147" s="1"/>
  <c r="G39" i="147"/>
  <c r="F39" i="147"/>
  <c r="D39" i="147"/>
  <c r="P38" i="147"/>
  <c r="Q38" i="147" s="1"/>
  <c r="G38" i="147"/>
  <c r="F38" i="147"/>
  <c r="D38" i="147"/>
  <c r="P37" i="147"/>
  <c r="Q37" i="147" s="1"/>
  <c r="G37" i="147"/>
  <c r="F37" i="147"/>
  <c r="D37" i="147"/>
  <c r="P36" i="147"/>
  <c r="Q36" i="147" s="1"/>
  <c r="G36" i="147"/>
  <c r="F36" i="147"/>
  <c r="D36" i="147"/>
  <c r="P35" i="147"/>
  <c r="Q35" i="147" s="1"/>
  <c r="G35" i="147"/>
  <c r="F35" i="147"/>
  <c r="D35" i="147"/>
  <c r="P34" i="147"/>
  <c r="Q34" i="147" s="1"/>
  <c r="G34" i="147"/>
  <c r="F34" i="147"/>
  <c r="D34" i="147"/>
  <c r="P33" i="147"/>
  <c r="Q33" i="147" s="1"/>
  <c r="G33" i="147"/>
  <c r="F33" i="147"/>
  <c r="D33" i="147"/>
  <c r="P32" i="147"/>
  <c r="Q32" i="147" s="1"/>
  <c r="G32" i="147"/>
  <c r="F32" i="147"/>
  <c r="D32" i="147"/>
  <c r="P31" i="147"/>
  <c r="Q31" i="147" s="1"/>
  <c r="G31" i="147"/>
  <c r="F31" i="147"/>
  <c r="D31" i="147"/>
  <c r="P30" i="147"/>
  <c r="Q30" i="147" s="1"/>
  <c r="G30" i="147"/>
  <c r="F30" i="147"/>
  <c r="D30" i="147"/>
  <c r="P29" i="147"/>
  <c r="Q29" i="147" s="1"/>
  <c r="G29" i="147"/>
  <c r="F29" i="147"/>
  <c r="D29" i="147"/>
  <c r="P28" i="147"/>
  <c r="Q28" i="147" s="1"/>
  <c r="G28" i="147"/>
  <c r="F28" i="147"/>
  <c r="D28" i="147"/>
  <c r="P27" i="147"/>
  <c r="Q27" i="147" s="1"/>
  <c r="G27" i="147"/>
  <c r="F27" i="147"/>
  <c r="D27" i="147"/>
  <c r="P26" i="147"/>
  <c r="Q26" i="147" s="1"/>
  <c r="G26" i="147"/>
  <c r="F26" i="147"/>
  <c r="D26" i="147"/>
  <c r="P25" i="147"/>
  <c r="Q25" i="147" s="1"/>
  <c r="G25" i="147"/>
  <c r="F25" i="147"/>
  <c r="D25" i="147"/>
  <c r="P24" i="147"/>
  <c r="Q24" i="147" s="1"/>
  <c r="G24" i="147"/>
  <c r="F24" i="147"/>
  <c r="D24" i="147"/>
  <c r="P23" i="147"/>
  <c r="Q23" i="147" s="1"/>
  <c r="G23" i="147"/>
  <c r="F23" i="147"/>
  <c r="D23" i="147"/>
  <c r="A23" i="147"/>
  <c r="A24" i="147" s="1"/>
  <c r="A25" i="147" s="1"/>
  <c r="A26" i="147" s="1"/>
  <c r="A27" i="147" s="1"/>
  <c r="A28" i="147" s="1"/>
  <c r="A29" i="147" s="1"/>
  <c r="A30" i="147" s="1"/>
  <c r="A31" i="147" s="1"/>
  <c r="A32" i="147" s="1"/>
  <c r="A33" i="147" s="1"/>
  <c r="A34" i="147" s="1"/>
  <c r="A35" i="147" s="1"/>
  <c r="A36" i="147" s="1"/>
  <c r="A37" i="147" s="1"/>
  <c r="A38" i="147" s="1"/>
  <c r="A39" i="147" s="1"/>
  <c r="A40" i="147" s="1"/>
  <c r="A41" i="147" s="1"/>
  <c r="A42" i="147" s="1"/>
  <c r="A43" i="147" s="1"/>
  <c r="A44" i="147" s="1"/>
  <c r="A45" i="147" s="1"/>
  <c r="A46" i="147" s="1"/>
  <c r="A47" i="147" s="1"/>
  <c r="A48" i="147" s="1"/>
  <c r="A49" i="147" s="1"/>
  <c r="A50" i="147" s="1"/>
  <c r="A51" i="147" s="1"/>
  <c r="A52" i="147" s="1"/>
  <c r="A53" i="147" s="1"/>
  <c r="A54" i="147" s="1"/>
  <c r="A55" i="147" s="1"/>
  <c r="A56" i="147" s="1"/>
  <c r="A57" i="147" s="1"/>
  <c r="A58" i="147" s="1"/>
  <c r="A59" i="147" s="1"/>
  <c r="A60" i="147" s="1"/>
  <c r="P22" i="147"/>
  <c r="Q22" i="147" s="1"/>
  <c r="G22" i="147"/>
  <c r="F22" i="147"/>
  <c r="D22" i="147"/>
  <c r="A15" i="147"/>
  <c r="A16" i="147" s="1"/>
  <c r="A17" i="147" s="1"/>
  <c r="A18" i="147" s="1"/>
  <c r="A19" i="147" s="1"/>
  <c r="A20" i="147" s="1"/>
  <c r="I3" i="147"/>
  <c r="G3" i="147"/>
  <c r="E3" i="147"/>
  <c r="C3" i="147" s="1"/>
  <c r="I2" i="147"/>
  <c r="G2" i="147"/>
  <c r="Q71" i="146"/>
  <c r="Q70" i="146"/>
  <c r="Q69" i="146"/>
  <c r="Q68" i="146"/>
  <c r="Q67" i="146"/>
  <c r="Q66" i="146"/>
  <c r="A66" i="146"/>
  <c r="A67" i="146" s="1"/>
  <c r="A68" i="146" s="1"/>
  <c r="A69" i="146" s="1"/>
  <c r="A70" i="146" s="1"/>
  <c r="A71" i="146" s="1"/>
  <c r="A72" i="146" s="1"/>
  <c r="A73" i="146" s="1"/>
  <c r="Q65" i="146"/>
  <c r="P61" i="146"/>
  <c r="Q61" i="146" s="1"/>
  <c r="N61" i="146"/>
  <c r="M61" i="146"/>
  <c r="L61" i="146"/>
  <c r="K61" i="146"/>
  <c r="J61" i="146"/>
  <c r="H61" i="146"/>
  <c r="G61" i="146"/>
  <c r="F61" i="146"/>
  <c r="P59" i="146"/>
  <c r="Q59" i="146" s="1"/>
  <c r="N59" i="146"/>
  <c r="M59" i="146"/>
  <c r="L59" i="146"/>
  <c r="K59" i="146"/>
  <c r="J59" i="146"/>
  <c r="H59" i="146"/>
  <c r="G59" i="146"/>
  <c r="F59" i="146"/>
  <c r="P58" i="146"/>
  <c r="Q58" i="146" s="1"/>
  <c r="N58" i="146"/>
  <c r="M58" i="146"/>
  <c r="L58" i="146"/>
  <c r="K58" i="146"/>
  <c r="J58" i="146"/>
  <c r="H58" i="146"/>
  <c r="G58" i="146"/>
  <c r="F58" i="146"/>
  <c r="P57" i="146"/>
  <c r="Q57" i="146" s="1"/>
  <c r="N57" i="146"/>
  <c r="M57" i="146"/>
  <c r="L57" i="146"/>
  <c r="K57" i="146"/>
  <c r="J57" i="146"/>
  <c r="H57" i="146"/>
  <c r="G57" i="146"/>
  <c r="F57" i="146"/>
  <c r="A57" i="146"/>
  <c r="A58" i="146" s="1"/>
  <c r="A59" i="146" s="1"/>
  <c r="A60" i="146" s="1"/>
  <c r="A61" i="146" s="1"/>
  <c r="A62" i="146" s="1"/>
  <c r="A63" i="146" s="1"/>
  <c r="P56" i="146"/>
  <c r="Q56" i="146" s="1"/>
  <c r="N56" i="146"/>
  <c r="M56" i="146"/>
  <c r="L56" i="146"/>
  <c r="K56" i="146"/>
  <c r="J56" i="146"/>
  <c r="H56" i="146"/>
  <c r="G56" i="146"/>
  <c r="F56" i="146"/>
  <c r="P49" i="146"/>
  <c r="Q49" i="146" s="1"/>
  <c r="G49" i="146"/>
  <c r="F49" i="146"/>
  <c r="D49" i="146"/>
  <c r="P48" i="146"/>
  <c r="Q48" i="146" s="1"/>
  <c r="G48" i="146"/>
  <c r="F48" i="146"/>
  <c r="D48" i="146"/>
  <c r="P47" i="146"/>
  <c r="Q47" i="146" s="1"/>
  <c r="G47" i="146"/>
  <c r="F47" i="146"/>
  <c r="D47" i="146"/>
  <c r="P46" i="146"/>
  <c r="Q46" i="146" s="1"/>
  <c r="G46" i="146"/>
  <c r="F46" i="146"/>
  <c r="D46" i="146"/>
  <c r="P44" i="146"/>
  <c r="Q44" i="146" s="1"/>
  <c r="G44" i="146"/>
  <c r="F44" i="146"/>
  <c r="D44" i="146"/>
  <c r="P43" i="146"/>
  <c r="Q43" i="146" s="1"/>
  <c r="G43" i="146"/>
  <c r="F43" i="146"/>
  <c r="D43" i="146"/>
  <c r="P42" i="146"/>
  <c r="Q42" i="146" s="1"/>
  <c r="G42" i="146"/>
  <c r="F42" i="146"/>
  <c r="D42" i="146"/>
  <c r="P40" i="146"/>
  <c r="Q40" i="146" s="1"/>
  <c r="G40" i="146"/>
  <c r="F40" i="146"/>
  <c r="D40" i="146"/>
  <c r="P39" i="146"/>
  <c r="Q39" i="146" s="1"/>
  <c r="G39" i="146"/>
  <c r="F39" i="146"/>
  <c r="D39" i="146"/>
  <c r="P38" i="146"/>
  <c r="Q38" i="146" s="1"/>
  <c r="G38" i="146"/>
  <c r="F38" i="146"/>
  <c r="D38" i="146"/>
  <c r="P37" i="146"/>
  <c r="Q37" i="146" s="1"/>
  <c r="G37" i="146"/>
  <c r="F37" i="146"/>
  <c r="D37" i="146"/>
  <c r="P36" i="146"/>
  <c r="Q36" i="146" s="1"/>
  <c r="G36" i="146"/>
  <c r="F36" i="146"/>
  <c r="D36" i="146"/>
  <c r="P35" i="146"/>
  <c r="Q35" i="146" s="1"/>
  <c r="G35" i="146"/>
  <c r="F35" i="146"/>
  <c r="D35" i="146"/>
  <c r="P34" i="146"/>
  <c r="Q34" i="146" s="1"/>
  <c r="G34" i="146"/>
  <c r="F34" i="146"/>
  <c r="D34" i="146"/>
  <c r="P33" i="146"/>
  <c r="Q33" i="146" s="1"/>
  <c r="G33" i="146"/>
  <c r="F33" i="146"/>
  <c r="D33" i="146"/>
  <c r="P32" i="146"/>
  <c r="Q32" i="146" s="1"/>
  <c r="G32" i="146"/>
  <c r="F32" i="146"/>
  <c r="D32" i="146"/>
  <c r="P31" i="146"/>
  <c r="Q31" i="146" s="1"/>
  <c r="G31" i="146"/>
  <c r="F31" i="146"/>
  <c r="D31" i="146"/>
  <c r="P30" i="146"/>
  <c r="Q30" i="146" s="1"/>
  <c r="G30" i="146"/>
  <c r="F30" i="146"/>
  <c r="D30" i="146"/>
  <c r="P29" i="146"/>
  <c r="Q29" i="146" s="1"/>
  <c r="G29" i="146"/>
  <c r="F29" i="146"/>
  <c r="D29" i="146"/>
  <c r="P28" i="146"/>
  <c r="Q28" i="146" s="1"/>
  <c r="G28" i="146"/>
  <c r="F28" i="146"/>
  <c r="D28" i="146"/>
  <c r="P27" i="146"/>
  <c r="Q27" i="146" s="1"/>
  <c r="G27" i="146"/>
  <c r="F27" i="146"/>
  <c r="D27" i="146"/>
  <c r="P26" i="146"/>
  <c r="Q26" i="146" s="1"/>
  <c r="G26" i="146"/>
  <c r="F26" i="146"/>
  <c r="D26" i="146"/>
  <c r="P25" i="146"/>
  <c r="Q25" i="146" s="1"/>
  <c r="G25" i="146"/>
  <c r="F25" i="146"/>
  <c r="D25" i="146"/>
  <c r="P24" i="146"/>
  <c r="Q24" i="146" s="1"/>
  <c r="G24" i="146"/>
  <c r="F24" i="146"/>
  <c r="D24" i="146"/>
  <c r="P23" i="146"/>
  <c r="Q23" i="146" s="1"/>
  <c r="G23" i="146"/>
  <c r="F23" i="146"/>
  <c r="D23" i="146"/>
  <c r="P22" i="146"/>
  <c r="Q22" i="146" s="1"/>
  <c r="G22" i="146"/>
  <c r="F22" i="146"/>
  <c r="D22" i="146"/>
  <c r="P21" i="146"/>
  <c r="Q21" i="146" s="1"/>
  <c r="G21" i="146"/>
  <c r="F21" i="146"/>
  <c r="D21" i="146"/>
  <c r="P20" i="146"/>
  <c r="Q20" i="146" s="1"/>
  <c r="G20" i="146"/>
  <c r="F20" i="146"/>
  <c r="D20" i="146"/>
  <c r="P19" i="146"/>
  <c r="Q19" i="146" s="1"/>
  <c r="G19" i="146"/>
  <c r="F19" i="146"/>
  <c r="D19" i="146"/>
  <c r="A19" i="146"/>
  <c r="A20" i="146" s="1"/>
  <c r="A21" i="146" s="1"/>
  <c r="A22" i="146" s="1"/>
  <c r="A23" i="146" s="1"/>
  <c r="A24" i="146" s="1"/>
  <c r="A25" i="146" s="1"/>
  <c r="A26" i="146" s="1"/>
  <c r="A27" i="146" s="1"/>
  <c r="A28" i="146" s="1"/>
  <c r="A29" i="146" s="1"/>
  <c r="A30" i="146" s="1"/>
  <c r="A31" i="146" s="1"/>
  <c r="A32" i="146" s="1"/>
  <c r="A33" i="146" s="1"/>
  <c r="A34" i="146" s="1"/>
  <c r="A35" i="146" s="1"/>
  <c r="A36" i="146" s="1"/>
  <c r="A37" i="146" s="1"/>
  <c r="A38" i="146" s="1"/>
  <c r="A39" i="146" s="1"/>
  <c r="A40" i="146" s="1"/>
  <c r="A41" i="146" s="1"/>
  <c r="A42" i="146" s="1"/>
  <c r="A43" i="146" s="1"/>
  <c r="A44" i="146" s="1"/>
  <c r="A45" i="146" s="1"/>
  <c r="A46" i="146" s="1"/>
  <c r="A47" i="146" s="1"/>
  <c r="A48" i="146" s="1"/>
  <c r="A49" i="146" s="1"/>
  <c r="A50" i="146" s="1"/>
  <c r="A51" i="146" s="1"/>
  <c r="A52" i="146" s="1"/>
  <c r="A53" i="146" s="1"/>
  <c r="P18" i="146"/>
  <c r="Q18" i="146" s="1"/>
  <c r="G18" i="146"/>
  <c r="F18" i="146"/>
  <c r="D18" i="146"/>
  <c r="I3" i="146"/>
  <c r="G3" i="146"/>
  <c r="E3" i="146"/>
  <c r="C3" i="146" s="1"/>
  <c r="I2" i="146"/>
  <c r="G2" i="146"/>
  <c r="I3" i="145"/>
  <c r="G3" i="145"/>
  <c r="E3" i="145"/>
  <c r="C3" i="145" s="1"/>
  <c r="I2" i="145"/>
  <c r="G2" i="145"/>
  <c r="Q20" i="144"/>
  <c r="Q19" i="144"/>
  <c r="A19" i="144"/>
  <c r="A20" i="144" s="1"/>
  <c r="Q18" i="144"/>
  <c r="P11" i="144"/>
  <c r="Q11" i="144" s="1"/>
  <c r="G11" i="144"/>
  <c r="F11" i="144"/>
  <c r="D11" i="144"/>
  <c r="A11" i="144"/>
  <c r="A12" i="144" s="1"/>
  <c r="P10" i="144"/>
  <c r="Q10" i="144" s="1"/>
  <c r="G10" i="144"/>
  <c r="F10" i="144"/>
  <c r="D10" i="144"/>
  <c r="I3" i="144"/>
  <c r="G3" i="144"/>
  <c r="E3" i="144"/>
  <c r="C3" i="144" s="1"/>
  <c r="I2" i="144"/>
  <c r="G2" i="144"/>
  <c r="P30" i="143"/>
  <c r="Q30" i="143" s="1"/>
  <c r="G30" i="143"/>
  <c r="F30" i="143"/>
  <c r="D30" i="143"/>
  <c r="P29" i="143"/>
  <c r="Q29" i="143" s="1"/>
  <c r="G29" i="143"/>
  <c r="F29" i="143"/>
  <c r="D29" i="143"/>
  <c r="P28" i="143"/>
  <c r="Q28" i="143" s="1"/>
  <c r="G28" i="143"/>
  <c r="F28" i="143"/>
  <c r="D28" i="143"/>
  <c r="P27" i="143"/>
  <c r="Q27" i="143" s="1"/>
  <c r="G27" i="143"/>
  <c r="F27" i="143"/>
  <c r="D27" i="143"/>
  <c r="P16" i="143"/>
  <c r="Q16" i="143" s="1"/>
  <c r="G16" i="143"/>
  <c r="F16" i="143"/>
  <c r="D16" i="143"/>
  <c r="I3" i="143"/>
  <c r="G3" i="143"/>
  <c r="E3" i="143"/>
  <c r="C3" i="143" s="1"/>
  <c r="I2" i="143"/>
  <c r="G2" i="143"/>
  <c r="P39" i="142"/>
  <c r="Q39" i="142" s="1"/>
  <c r="N39" i="142"/>
  <c r="M39" i="142"/>
  <c r="L39" i="142"/>
  <c r="K39" i="142"/>
  <c r="J39" i="142"/>
  <c r="H39" i="142"/>
  <c r="G39" i="142"/>
  <c r="F39" i="142"/>
  <c r="P38" i="142"/>
  <c r="Q38" i="142" s="1"/>
  <c r="N38" i="142"/>
  <c r="M38" i="142"/>
  <c r="L38" i="142"/>
  <c r="K38" i="142"/>
  <c r="J38" i="142"/>
  <c r="H38" i="142"/>
  <c r="G38" i="142"/>
  <c r="F38" i="142"/>
  <c r="P37" i="142"/>
  <c r="Q37" i="142" s="1"/>
  <c r="N37" i="142"/>
  <c r="M37" i="142"/>
  <c r="L37" i="142"/>
  <c r="K37" i="142"/>
  <c r="J37" i="142"/>
  <c r="H37" i="142"/>
  <c r="G37" i="142"/>
  <c r="F37" i="142"/>
  <c r="P36" i="142"/>
  <c r="Q36" i="142" s="1"/>
  <c r="N36" i="142"/>
  <c r="M36" i="142"/>
  <c r="L36" i="142"/>
  <c r="K36" i="142"/>
  <c r="J36" i="142"/>
  <c r="H36" i="142"/>
  <c r="G36" i="142"/>
  <c r="F36" i="142"/>
  <c r="P26" i="142"/>
  <c r="Q26" i="142" s="1"/>
  <c r="G26" i="142"/>
  <c r="F26" i="142"/>
  <c r="D26" i="142"/>
  <c r="P25" i="142"/>
  <c r="Q25" i="142" s="1"/>
  <c r="G25" i="142"/>
  <c r="F25" i="142"/>
  <c r="D25" i="142"/>
  <c r="P24" i="142"/>
  <c r="Q24" i="142" s="1"/>
  <c r="G24" i="142"/>
  <c r="F24" i="142"/>
  <c r="D24" i="142"/>
  <c r="P23" i="142"/>
  <c r="Q23" i="142" s="1"/>
  <c r="G23" i="142"/>
  <c r="F23" i="142"/>
  <c r="D23" i="142"/>
  <c r="P22" i="142"/>
  <c r="Q22" i="142" s="1"/>
  <c r="G22" i="142"/>
  <c r="F22" i="142"/>
  <c r="D22" i="142"/>
  <c r="P21" i="142"/>
  <c r="Q21" i="142" s="1"/>
  <c r="G21" i="142"/>
  <c r="F21" i="142"/>
  <c r="D21" i="142"/>
  <c r="P16" i="142"/>
  <c r="Q16" i="142" s="1"/>
  <c r="G16" i="142"/>
  <c r="F16" i="142"/>
  <c r="D16" i="142"/>
  <c r="I3" i="142"/>
  <c r="G3" i="142"/>
  <c r="E3" i="142"/>
  <c r="C3" i="142" s="1"/>
  <c r="I2" i="142"/>
  <c r="G2" i="142"/>
  <c r="Q69" i="141"/>
  <c r="P61" i="141"/>
  <c r="Q61" i="141" s="1"/>
  <c r="N61" i="141"/>
  <c r="M61" i="141"/>
  <c r="L61" i="141"/>
  <c r="K61" i="141"/>
  <c r="J61" i="141"/>
  <c r="H61" i="141"/>
  <c r="G61" i="141"/>
  <c r="F61" i="141"/>
  <c r="P60" i="141"/>
  <c r="Q60" i="141" s="1"/>
  <c r="N60" i="141"/>
  <c r="M60" i="141"/>
  <c r="L60" i="141"/>
  <c r="K60" i="141"/>
  <c r="J60" i="141"/>
  <c r="H60" i="141"/>
  <c r="G60" i="141"/>
  <c r="F60" i="141"/>
  <c r="P58" i="141"/>
  <c r="Q58" i="141" s="1"/>
  <c r="N58" i="141"/>
  <c r="M58" i="141"/>
  <c r="L58" i="141"/>
  <c r="K58" i="141"/>
  <c r="J58" i="141"/>
  <c r="H58" i="141"/>
  <c r="G58" i="141"/>
  <c r="F58" i="141"/>
  <c r="P32" i="141"/>
  <c r="Q32" i="141" s="1"/>
  <c r="G32" i="141"/>
  <c r="F32" i="141"/>
  <c r="D32" i="141"/>
  <c r="P31" i="141"/>
  <c r="Q31" i="141" s="1"/>
  <c r="G31" i="141"/>
  <c r="F31" i="141"/>
  <c r="D31" i="141"/>
  <c r="P30" i="141"/>
  <c r="Q30" i="141" s="1"/>
  <c r="G30" i="141"/>
  <c r="F30" i="141"/>
  <c r="D30" i="141"/>
  <c r="P29" i="141"/>
  <c r="Q29" i="141" s="1"/>
  <c r="G29" i="141"/>
  <c r="F29" i="141"/>
  <c r="D29" i="141"/>
  <c r="P28" i="141"/>
  <c r="Q28" i="141" s="1"/>
  <c r="G28" i="141"/>
  <c r="F28" i="141"/>
  <c r="D28" i="141"/>
  <c r="P27" i="141"/>
  <c r="Q27" i="141" s="1"/>
  <c r="G27" i="141"/>
  <c r="F27" i="141"/>
  <c r="D27" i="141"/>
  <c r="P26" i="141"/>
  <c r="Q26" i="141" s="1"/>
  <c r="G26" i="141"/>
  <c r="F26" i="141"/>
  <c r="D26" i="141"/>
  <c r="A26" i="141"/>
  <c r="A27" i="141" s="1"/>
  <c r="A28" i="141" s="1"/>
  <c r="A29" i="141" s="1"/>
  <c r="A30" i="141" s="1"/>
  <c r="A31" i="141" s="1"/>
  <c r="A32" i="141" s="1"/>
  <c r="A33" i="141" s="1"/>
  <c r="A34" i="141" s="1"/>
  <c r="A35" i="141" s="1"/>
  <c r="A36" i="141" s="1"/>
  <c r="A37" i="141" s="1"/>
  <c r="A38" i="141" s="1"/>
  <c r="A39" i="141" s="1"/>
  <c r="A40" i="141" s="1"/>
  <c r="A41" i="141" s="1"/>
  <c r="A42" i="141" s="1"/>
  <c r="A43" i="141" s="1"/>
  <c r="A44" i="141" s="1"/>
  <c r="A45" i="141" s="1"/>
  <c r="A46" i="141" s="1"/>
  <c r="A47" i="141" s="1"/>
  <c r="A48" i="141" s="1"/>
  <c r="A49" i="141" s="1"/>
  <c r="A50" i="141" s="1"/>
  <c r="A51" i="141" s="1"/>
  <c r="A52" i="141" s="1"/>
  <c r="A53" i="141" s="1"/>
  <c r="A54" i="141" s="1"/>
  <c r="A55" i="141" s="1"/>
  <c r="A56" i="141" s="1"/>
  <c r="P25" i="141"/>
  <c r="Q25" i="141" s="1"/>
  <c r="G25" i="141"/>
  <c r="F25" i="141"/>
  <c r="D25" i="141"/>
  <c r="I3" i="141"/>
  <c r="G3" i="141"/>
  <c r="E3" i="141"/>
  <c r="C3" i="141" s="1"/>
  <c r="I2" i="141"/>
  <c r="G2" i="141"/>
  <c r="Q20" i="140"/>
  <c r="Q19" i="140"/>
  <c r="A19" i="140"/>
  <c r="A20" i="140" s="1"/>
  <c r="Q18" i="140"/>
  <c r="P15" i="140"/>
  <c r="Q15" i="140" s="1"/>
  <c r="N15" i="140"/>
  <c r="M15" i="140"/>
  <c r="L15" i="140"/>
  <c r="K15" i="140"/>
  <c r="J15" i="140"/>
  <c r="H15" i="140"/>
  <c r="G15" i="140"/>
  <c r="F15" i="140"/>
  <c r="A15" i="140"/>
  <c r="A16" i="140" s="1"/>
  <c r="P14" i="140"/>
  <c r="Q14" i="140" s="1"/>
  <c r="N14" i="140"/>
  <c r="M14" i="140"/>
  <c r="L14" i="140"/>
  <c r="K14" i="140"/>
  <c r="J14" i="140"/>
  <c r="H14" i="140"/>
  <c r="G14" i="140"/>
  <c r="F14" i="140"/>
  <c r="P11" i="140"/>
  <c r="Q11" i="140" s="1"/>
  <c r="G11" i="140"/>
  <c r="F11" i="140"/>
  <c r="D11" i="140"/>
  <c r="A11" i="140"/>
  <c r="A12" i="140" s="1"/>
  <c r="P10" i="140"/>
  <c r="Q10" i="140" s="1"/>
  <c r="G10" i="140"/>
  <c r="F10" i="140"/>
  <c r="D10" i="140"/>
  <c r="I3" i="140"/>
  <c r="G3" i="140"/>
  <c r="E3" i="140"/>
  <c r="C3" i="140" s="1"/>
  <c r="I2" i="140"/>
  <c r="G2" i="140"/>
  <c r="C144" i="29"/>
  <c r="C3" i="158" l="1"/>
  <c r="C3" i="157"/>
  <c r="C3" i="156"/>
  <c r="C3" i="153"/>
  <c r="C3" i="152"/>
  <c r="Q14" i="64"/>
  <c r="Q13" i="64"/>
  <c r="P22" i="55"/>
  <c r="Q22" i="55" s="1"/>
  <c r="G22" i="55"/>
  <c r="F22" i="55"/>
  <c r="D22" i="55"/>
  <c r="C147" i="29"/>
  <c r="C158" i="29"/>
  <c r="C159" i="29"/>
  <c r="C161" i="29"/>
  <c r="P26" i="67"/>
  <c r="Q26" i="67" s="1"/>
  <c r="G26" i="67"/>
  <c r="F26" i="67"/>
  <c r="D26" i="67"/>
  <c r="P24" i="67"/>
  <c r="Q24" i="67" s="1"/>
  <c r="G24" i="67"/>
  <c r="F24" i="67"/>
  <c r="D24" i="67"/>
  <c r="P23" i="67"/>
  <c r="Q23" i="67" s="1"/>
  <c r="G23" i="67"/>
  <c r="F23" i="67"/>
  <c r="D23" i="67"/>
  <c r="P28" i="67"/>
  <c r="Q28" i="67" s="1"/>
  <c r="G28" i="67"/>
  <c r="F28" i="67"/>
  <c r="D28" i="67"/>
  <c r="P27" i="67"/>
  <c r="Q27" i="67" s="1"/>
  <c r="G27" i="67"/>
  <c r="F27" i="67"/>
  <c r="D27" i="67"/>
  <c r="P56" i="66"/>
  <c r="Q56" i="66" s="1"/>
  <c r="N56" i="66"/>
  <c r="M56" i="66"/>
  <c r="L56" i="66"/>
  <c r="K56" i="66"/>
  <c r="J56" i="66"/>
  <c r="H56" i="66"/>
  <c r="G56" i="66"/>
  <c r="F56" i="66"/>
  <c r="P55" i="66"/>
  <c r="Q55" i="66" s="1"/>
  <c r="N55" i="66"/>
  <c r="M55" i="66"/>
  <c r="L55" i="66"/>
  <c r="K55" i="66"/>
  <c r="J55" i="66"/>
  <c r="H55" i="66"/>
  <c r="G55" i="66"/>
  <c r="F55" i="66"/>
  <c r="P54" i="66"/>
  <c r="Q54" i="66" s="1"/>
  <c r="N54" i="66"/>
  <c r="M54" i="66"/>
  <c r="L54" i="66"/>
  <c r="K54" i="66"/>
  <c r="J54" i="66"/>
  <c r="H54" i="66"/>
  <c r="G54" i="66"/>
  <c r="F54" i="66"/>
  <c r="P53" i="66"/>
  <c r="Q53" i="66" s="1"/>
  <c r="N53" i="66"/>
  <c r="M53" i="66"/>
  <c r="L53" i="66"/>
  <c r="K53" i="66"/>
  <c r="J53" i="66"/>
  <c r="H53" i="66"/>
  <c r="G53" i="66"/>
  <c r="F53" i="66"/>
  <c r="A53" i="66"/>
  <c r="A54" i="66" s="1"/>
  <c r="A55" i="66" s="1"/>
  <c r="A56" i="66" s="1"/>
  <c r="A57" i="66" s="1"/>
  <c r="A58" i="66" s="1"/>
  <c r="A59" i="66" s="1"/>
  <c r="A60" i="66" s="1"/>
  <c r="A61" i="66" s="1"/>
  <c r="A62" i="66" s="1"/>
  <c r="A63" i="66" s="1"/>
  <c r="P52" i="66"/>
  <c r="Q52" i="66" s="1"/>
  <c r="N52" i="66"/>
  <c r="M52" i="66"/>
  <c r="L52" i="66"/>
  <c r="K52" i="66"/>
  <c r="J52" i="66"/>
  <c r="H52" i="66"/>
  <c r="G52" i="66"/>
  <c r="F52" i="66"/>
  <c r="P41" i="66"/>
  <c r="Q41" i="66" s="1"/>
  <c r="G41" i="66"/>
  <c r="F41" i="66"/>
  <c r="D41" i="66"/>
  <c r="P40" i="66"/>
  <c r="Q40" i="66" s="1"/>
  <c r="G40" i="66"/>
  <c r="F40" i="66"/>
  <c r="D40" i="66"/>
  <c r="P45" i="66"/>
  <c r="Q45" i="66" s="1"/>
  <c r="G45" i="66"/>
  <c r="F45" i="66"/>
  <c r="D45" i="66"/>
  <c r="P42" i="66"/>
  <c r="Q42" i="66" s="1"/>
  <c r="G42" i="66"/>
  <c r="F42" i="66"/>
  <c r="D42" i="66"/>
  <c r="P38" i="66"/>
  <c r="Q38" i="66" s="1"/>
  <c r="G38" i="66"/>
  <c r="F38" i="66"/>
  <c r="D38" i="66"/>
  <c r="P37" i="66"/>
  <c r="Q37" i="66" s="1"/>
  <c r="G37" i="66"/>
  <c r="F37" i="66"/>
  <c r="D37" i="66"/>
  <c r="P36" i="66"/>
  <c r="Q36" i="66" s="1"/>
  <c r="G36" i="66"/>
  <c r="F36" i="66"/>
  <c r="D36" i="66"/>
  <c r="P32" i="66"/>
  <c r="Q32" i="66" s="1"/>
  <c r="G32" i="66"/>
  <c r="F32" i="66"/>
  <c r="D32" i="66"/>
  <c r="P31" i="66"/>
  <c r="Q31" i="66" s="1"/>
  <c r="G31" i="66"/>
  <c r="F31" i="66"/>
  <c r="D31" i="66"/>
  <c r="P30" i="66"/>
  <c r="Q30" i="66" s="1"/>
  <c r="G30" i="66"/>
  <c r="F30" i="66"/>
  <c r="D30" i="66"/>
  <c r="P35" i="66"/>
  <c r="Q35" i="66" s="1"/>
  <c r="G35" i="66"/>
  <c r="F35" i="66"/>
  <c r="D35" i="66"/>
  <c r="P34" i="66"/>
  <c r="Q34" i="66" s="1"/>
  <c r="G34" i="66"/>
  <c r="F34" i="66"/>
  <c r="D34" i="66"/>
  <c r="P33" i="66"/>
  <c r="Q33" i="66" s="1"/>
  <c r="G33" i="66"/>
  <c r="F33" i="66"/>
  <c r="D33" i="66"/>
  <c r="C131" i="29"/>
  <c r="C133" i="29"/>
  <c r="C134" i="29"/>
  <c r="C136" i="29"/>
  <c r="C138" i="29"/>
  <c r="C137" i="29"/>
  <c r="C140" i="29"/>
  <c r="C141" i="29"/>
  <c r="D11" i="122"/>
  <c r="F11" i="122"/>
  <c r="G11" i="122"/>
  <c r="P11" i="122"/>
  <c r="Q11" i="122" s="1"/>
  <c r="D9" i="122"/>
  <c r="F9" i="122"/>
  <c r="G9" i="122"/>
  <c r="P9" i="122"/>
  <c r="Q9" i="122" s="1"/>
  <c r="D10" i="122"/>
  <c r="F10" i="122"/>
  <c r="G10" i="122"/>
  <c r="P10" i="122"/>
  <c r="Q10" i="122" s="1"/>
  <c r="C102" i="29"/>
  <c r="C103" i="29"/>
  <c r="C122" i="29"/>
  <c r="C123" i="29"/>
  <c r="C126" i="29"/>
  <c r="C127" i="29"/>
  <c r="C129" i="29"/>
  <c r="C14" i="29"/>
  <c r="D9" i="139"/>
  <c r="F9" i="139"/>
  <c r="G9" i="139"/>
  <c r="P9" i="139"/>
  <c r="Q9" i="139" s="1"/>
  <c r="F11" i="139"/>
  <c r="G11" i="139"/>
  <c r="H11" i="139"/>
  <c r="J11" i="139"/>
  <c r="K11" i="139"/>
  <c r="L11" i="139"/>
  <c r="M11" i="139"/>
  <c r="N11" i="139"/>
  <c r="P11" i="139"/>
  <c r="Q11" i="139" s="1"/>
  <c r="A12" i="139"/>
  <c r="F12" i="139"/>
  <c r="G12" i="139"/>
  <c r="H12" i="139"/>
  <c r="J12" i="139"/>
  <c r="K12" i="139"/>
  <c r="L12" i="139"/>
  <c r="M12" i="139"/>
  <c r="N12" i="139"/>
  <c r="P12" i="139"/>
  <c r="Q12" i="139" s="1"/>
  <c r="G2" i="139"/>
  <c r="I2" i="139"/>
  <c r="E3" i="139"/>
  <c r="G3" i="139"/>
  <c r="I3" i="139"/>
  <c r="P9" i="138"/>
  <c r="Q9" i="138" s="1"/>
  <c r="N9" i="138"/>
  <c r="M9" i="138"/>
  <c r="L9" i="138"/>
  <c r="K9" i="138"/>
  <c r="J9" i="138"/>
  <c r="H9" i="138"/>
  <c r="G9" i="138"/>
  <c r="F9" i="138"/>
  <c r="P7" i="138"/>
  <c r="Q7" i="138" s="1"/>
  <c r="G7" i="138"/>
  <c r="F7" i="138"/>
  <c r="D7" i="138"/>
  <c r="I3" i="138"/>
  <c r="G3" i="138"/>
  <c r="E3" i="138"/>
  <c r="I2" i="138"/>
  <c r="G2" i="138"/>
  <c r="P21" i="55"/>
  <c r="Q21" i="55" s="1"/>
  <c r="G21" i="55"/>
  <c r="F21" i="55"/>
  <c r="D21" i="55"/>
  <c r="D11" i="137"/>
  <c r="F11" i="137"/>
  <c r="G11" i="137"/>
  <c r="P11" i="137"/>
  <c r="Q11" i="137" s="1"/>
  <c r="A12" i="137"/>
  <c r="A13" i="137" s="1"/>
  <c r="D12" i="137"/>
  <c r="F12" i="137"/>
  <c r="G12" i="137"/>
  <c r="P12" i="137"/>
  <c r="Q12" i="137" s="1"/>
  <c r="D13" i="137"/>
  <c r="F13" i="137"/>
  <c r="G13" i="137"/>
  <c r="P13" i="137"/>
  <c r="Q13" i="137" s="1"/>
  <c r="F15" i="137"/>
  <c r="G15" i="137"/>
  <c r="H15" i="137"/>
  <c r="J15" i="137"/>
  <c r="K15" i="137"/>
  <c r="L15" i="137"/>
  <c r="M15" i="137"/>
  <c r="N15" i="137"/>
  <c r="P15" i="137"/>
  <c r="Q15" i="137" s="1"/>
  <c r="F16" i="137"/>
  <c r="G16" i="137"/>
  <c r="H16" i="137"/>
  <c r="J16" i="137"/>
  <c r="K16" i="137"/>
  <c r="L16" i="137"/>
  <c r="M16" i="137"/>
  <c r="N16" i="137"/>
  <c r="P16" i="137"/>
  <c r="Q16" i="137" s="1"/>
  <c r="F17" i="137"/>
  <c r="G17" i="137"/>
  <c r="H17" i="137"/>
  <c r="J17" i="137"/>
  <c r="K17" i="137"/>
  <c r="L17" i="137"/>
  <c r="M17" i="137"/>
  <c r="N17" i="137"/>
  <c r="P17" i="137"/>
  <c r="Q17" i="137" s="1"/>
  <c r="F18" i="137"/>
  <c r="G18" i="137"/>
  <c r="H18" i="137"/>
  <c r="J18" i="137"/>
  <c r="K18" i="137"/>
  <c r="L18" i="137"/>
  <c r="M18" i="137"/>
  <c r="N18" i="137"/>
  <c r="P18" i="137"/>
  <c r="Q18" i="137" s="1"/>
  <c r="F19" i="137"/>
  <c r="G19" i="137"/>
  <c r="H19" i="137"/>
  <c r="J19" i="137"/>
  <c r="K19" i="137"/>
  <c r="L19" i="137"/>
  <c r="M19" i="137"/>
  <c r="N19" i="137"/>
  <c r="P19" i="137"/>
  <c r="Q19" i="137" s="1"/>
  <c r="F20" i="137"/>
  <c r="G20" i="137"/>
  <c r="H20" i="137"/>
  <c r="J20" i="137"/>
  <c r="K20" i="137"/>
  <c r="L20" i="137"/>
  <c r="M20" i="137"/>
  <c r="N20" i="137"/>
  <c r="P20" i="137"/>
  <c r="Q20" i="137" s="1"/>
  <c r="G2" i="137"/>
  <c r="I2" i="137"/>
  <c r="E3" i="137"/>
  <c r="G3" i="137"/>
  <c r="I3" i="137"/>
  <c r="D16" i="136"/>
  <c r="F16" i="136"/>
  <c r="G16" i="136"/>
  <c r="P16" i="136"/>
  <c r="Q16" i="136" s="1"/>
  <c r="A17" i="136"/>
  <c r="A18" i="136" s="1"/>
  <c r="A19" i="136" s="1"/>
  <c r="A20" i="136" s="1"/>
  <c r="A21" i="136" s="1"/>
  <c r="A22" i="136" s="1"/>
  <c r="A23" i="136" s="1"/>
  <c r="A24" i="136" s="1"/>
  <c r="A25" i="136" s="1"/>
  <c r="A26" i="136" s="1"/>
  <c r="A27" i="136" s="1"/>
  <c r="A28" i="136" s="1"/>
  <c r="A29" i="136" s="1"/>
  <c r="D17" i="136"/>
  <c r="F17" i="136"/>
  <c r="G17" i="136"/>
  <c r="P17" i="136"/>
  <c r="Q17" i="136" s="1"/>
  <c r="D18" i="136"/>
  <c r="F18" i="136"/>
  <c r="G18" i="136"/>
  <c r="P18" i="136"/>
  <c r="Q18" i="136" s="1"/>
  <c r="D19" i="136"/>
  <c r="F19" i="136"/>
  <c r="G19" i="136"/>
  <c r="P19" i="136"/>
  <c r="Q19" i="136" s="1"/>
  <c r="D20" i="136"/>
  <c r="F20" i="136"/>
  <c r="G20" i="136"/>
  <c r="P20" i="136"/>
  <c r="Q20" i="136" s="1"/>
  <c r="D21" i="136"/>
  <c r="F21" i="136"/>
  <c r="G21" i="136"/>
  <c r="P21" i="136"/>
  <c r="Q21" i="136" s="1"/>
  <c r="D24" i="136"/>
  <c r="F24" i="136"/>
  <c r="G24" i="136"/>
  <c r="P24" i="136"/>
  <c r="Q24" i="136" s="1"/>
  <c r="F31" i="136"/>
  <c r="G31" i="136"/>
  <c r="H31" i="136"/>
  <c r="J31" i="136"/>
  <c r="K31" i="136"/>
  <c r="L31" i="136"/>
  <c r="M31" i="136"/>
  <c r="N31" i="136"/>
  <c r="P31" i="136"/>
  <c r="Q31" i="136" s="1"/>
  <c r="F32" i="136"/>
  <c r="G32" i="136"/>
  <c r="H32" i="136"/>
  <c r="J32" i="136"/>
  <c r="K32" i="136"/>
  <c r="L32" i="136"/>
  <c r="M32" i="136"/>
  <c r="N32" i="136"/>
  <c r="P32" i="136"/>
  <c r="Q32" i="136" s="1"/>
  <c r="F33" i="136"/>
  <c r="G33" i="136"/>
  <c r="H33" i="136"/>
  <c r="J33" i="136"/>
  <c r="K33" i="136"/>
  <c r="L33" i="136"/>
  <c r="M33" i="136"/>
  <c r="N33" i="136"/>
  <c r="P33" i="136"/>
  <c r="Q33" i="136" s="1"/>
  <c r="F34" i="136"/>
  <c r="G34" i="136"/>
  <c r="H34" i="136"/>
  <c r="J34" i="136"/>
  <c r="K34" i="136"/>
  <c r="L34" i="136"/>
  <c r="M34" i="136"/>
  <c r="N34" i="136"/>
  <c r="P34" i="136"/>
  <c r="Q34" i="136" s="1"/>
  <c r="F35" i="136"/>
  <c r="G35" i="136"/>
  <c r="H35" i="136"/>
  <c r="J35" i="136"/>
  <c r="K35" i="136"/>
  <c r="L35" i="136"/>
  <c r="M35" i="136"/>
  <c r="N35" i="136"/>
  <c r="P35" i="136"/>
  <c r="Q35" i="136" s="1"/>
  <c r="F36" i="136"/>
  <c r="G36" i="136"/>
  <c r="H36" i="136"/>
  <c r="J36" i="136"/>
  <c r="K36" i="136"/>
  <c r="L36" i="136"/>
  <c r="M36" i="136"/>
  <c r="N36" i="136"/>
  <c r="P36" i="136"/>
  <c r="Q36" i="136" s="1"/>
  <c r="F37" i="136"/>
  <c r="G37" i="136"/>
  <c r="H37" i="136"/>
  <c r="J37" i="136"/>
  <c r="K37" i="136"/>
  <c r="L37" i="136"/>
  <c r="M37" i="136"/>
  <c r="N37" i="136"/>
  <c r="P37" i="136"/>
  <c r="Q37" i="136" s="1"/>
  <c r="F38" i="136"/>
  <c r="G38" i="136"/>
  <c r="H38" i="136"/>
  <c r="J38" i="136"/>
  <c r="K38" i="136"/>
  <c r="L38" i="136"/>
  <c r="M38" i="136"/>
  <c r="N38" i="136"/>
  <c r="P38" i="136"/>
  <c r="Q38" i="136" s="1"/>
  <c r="A14" i="136"/>
  <c r="G2" i="136"/>
  <c r="I2" i="136"/>
  <c r="E3" i="136"/>
  <c r="G3" i="136"/>
  <c r="I3" i="136"/>
  <c r="D11" i="135"/>
  <c r="F11" i="135"/>
  <c r="G11" i="135"/>
  <c r="P11" i="135"/>
  <c r="Q11" i="135" s="1"/>
  <c r="A12" i="135"/>
  <c r="A13" i="135" s="1"/>
  <c r="A14" i="135" s="1"/>
  <c r="A15" i="135" s="1"/>
  <c r="D12" i="135"/>
  <c r="F12" i="135"/>
  <c r="G12" i="135"/>
  <c r="P12" i="135"/>
  <c r="Q12" i="135" s="1"/>
  <c r="D13" i="135"/>
  <c r="F13" i="135"/>
  <c r="G13" i="135"/>
  <c r="P13" i="135"/>
  <c r="Q13" i="135" s="1"/>
  <c r="D14" i="135"/>
  <c r="F14" i="135"/>
  <c r="G14" i="135"/>
  <c r="P14" i="135"/>
  <c r="Q14" i="135" s="1"/>
  <c r="D15" i="135"/>
  <c r="F15" i="135"/>
  <c r="G15" i="135"/>
  <c r="P15" i="135"/>
  <c r="Q15" i="135" s="1"/>
  <c r="F18" i="135"/>
  <c r="G18" i="135"/>
  <c r="H18" i="135"/>
  <c r="J18" i="135"/>
  <c r="K18" i="135"/>
  <c r="L18" i="135"/>
  <c r="M18" i="135"/>
  <c r="N18" i="135"/>
  <c r="P18" i="135"/>
  <c r="Q18" i="135" s="1"/>
  <c r="F19" i="135"/>
  <c r="G19" i="135"/>
  <c r="H19" i="135"/>
  <c r="J19" i="135"/>
  <c r="K19" i="135"/>
  <c r="L19" i="135"/>
  <c r="M19" i="135"/>
  <c r="N19" i="135"/>
  <c r="P19" i="135"/>
  <c r="Q19" i="135" s="1"/>
  <c r="G2" i="135"/>
  <c r="I2" i="135"/>
  <c r="E3" i="135"/>
  <c r="G3" i="135"/>
  <c r="I3" i="135"/>
  <c r="D13" i="134"/>
  <c r="F13" i="134"/>
  <c r="G13" i="134"/>
  <c r="P13" i="134"/>
  <c r="Q13" i="134" s="1"/>
  <c r="A14" i="134"/>
  <c r="A15" i="134" s="1"/>
  <c r="A16" i="134" s="1"/>
  <c r="A17" i="134" s="1"/>
  <c r="A18" i="134" s="1"/>
  <c r="A19" i="134" s="1"/>
  <c r="A20" i="134" s="1"/>
  <c r="A21" i="134" s="1"/>
  <c r="A22" i="134" s="1"/>
  <c r="A23" i="134" s="1"/>
  <c r="A24" i="134" s="1"/>
  <c r="A25" i="134" s="1"/>
  <c r="A26" i="134" s="1"/>
  <c r="A27" i="134" s="1"/>
  <c r="A28" i="134" s="1"/>
  <c r="D14" i="134"/>
  <c r="F14" i="134"/>
  <c r="G14" i="134"/>
  <c r="P14" i="134"/>
  <c r="Q14" i="134" s="1"/>
  <c r="D16" i="134"/>
  <c r="F16" i="134"/>
  <c r="G16" i="134"/>
  <c r="P16" i="134"/>
  <c r="Q16" i="134" s="1"/>
  <c r="D17" i="134"/>
  <c r="F17" i="134"/>
  <c r="G17" i="134"/>
  <c r="P17" i="134"/>
  <c r="Q17" i="134" s="1"/>
  <c r="D18" i="134"/>
  <c r="F18" i="134"/>
  <c r="G18" i="134"/>
  <c r="P18" i="134"/>
  <c r="Q18" i="134" s="1"/>
  <c r="D19" i="134"/>
  <c r="F19" i="134"/>
  <c r="G19" i="134"/>
  <c r="P19" i="134"/>
  <c r="Q19" i="134" s="1"/>
  <c r="D21" i="134"/>
  <c r="F21" i="134"/>
  <c r="G21" i="134"/>
  <c r="P21" i="134"/>
  <c r="Q21" i="134" s="1"/>
  <c r="D22" i="134"/>
  <c r="F22" i="134"/>
  <c r="G22" i="134"/>
  <c r="P22" i="134"/>
  <c r="Q22" i="134" s="1"/>
  <c r="F30" i="134"/>
  <c r="G30" i="134"/>
  <c r="H30" i="134"/>
  <c r="J30" i="134"/>
  <c r="K30" i="134"/>
  <c r="L30" i="134"/>
  <c r="M30" i="134"/>
  <c r="N30" i="134"/>
  <c r="P30" i="134"/>
  <c r="Q30" i="134" s="1"/>
  <c r="F31" i="134"/>
  <c r="G31" i="134"/>
  <c r="H31" i="134"/>
  <c r="J31" i="134"/>
  <c r="K31" i="134"/>
  <c r="L31" i="134"/>
  <c r="M31" i="134"/>
  <c r="N31" i="134"/>
  <c r="P31" i="134"/>
  <c r="Q31" i="134" s="1"/>
  <c r="F32" i="134"/>
  <c r="G32" i="134"/>
  <c r="H32" i="134"/>
  <c r="J32" i="134"/>
  <c r="K32" i="134"/>
  <c r="L32" i="134"/>
  <c r="M32" i="134"/>
  <c r="N32" i="134"/>
  <c r="P32" i="134"/>
  <c r="Q32" i="134" s="1"/>
  <c r="G2" i="134"/>
  <c r="I2" i="134"/>
  <c r="E3" i="134"/>
  <c r="G3" i="134"/>
  <c r="I3" i="134"/>
  <c r="C118" i="29"/>
  <c r="C119" i="29"/>
  <c r="C90" i="29"/>
  <c r="C91" i="29"/>
  <c r="C95" i="29"/>
  <c r="C96" i="29"/>
  <c r="C97" i="29"/>
  <c r="C100" i="29"/>
  <c r="C101" i="29"/>
  <c r="A22" i="123"/>
  <c r="A23" i="123" s="1"/>
  <c r="A24" i="123" s="1"/>
  <c r="U11" i="30"/>
  <c r="O11" i="30" s="1"/>
  <c r="F11" i="30" s="1"/>
  <c r="P20" i="127" s="1"/>
  <c r="U19" i="30"/>
  <c r="O19" i="30" s="1"/>
  <c r="F19" i="30" s="1"/>
  <c r="P23" i="126" s="1"/>
  <c r="U20" i="30"/>
  <c r="O20" i="30" s="1"/>
  <c r="F20" i="30" s="1"/>
  <c r="P24" i="126" s="1"/>
  <c r="U41" i="30"/>
  <c r="O41" i="30" s="1"/>
  <c r="F41" i="30" s="1"/>
  <c r="U52" i="30"/>
  <c r="O52" i="30" s="1"/>
  <c r="F52" i="30" s="1"/>
  <c r="P46" i="63" s="1"/>
  <c r="C36" i="29"/>
  <c r="C37" i="29"/>
  <c r="C38" i="29"/>
  <c r="C39" i="29"/>
  <c r="C40" i="29"/>
  <c r="C41" i="29"/>
  <c r="C111" i="29"/>
  <c r="C113" i="29"/>
  <c r="C114" i="29"/>
  <c r="C92" i="29"/>
  <c r="C93" i="29"/>
  <c r="C89" i="29"/>
  <c r="C117" i="29"/>
  <c r="P48" i="63" l="1"/>
  <c r="Q48" i="63" s="1"/>
  <c r="Q24" i="126"/>
  <c r="Q23" i="126"/>
  <c r="Q20" i="127"/>
  <c r="Q46" i="63"/>
  <c r="C3" i="138"/>
  <c r="C3" i="139"/>
  <c r="C3" i="134"/>
  <c r="C3" i="135"/>
  <c r="C3" i="136"/>
  <c r="C3" i="137"/>
  <c r="C276" i="29"/>
  <c r="U87" i="30"/>
  <c r="O87" i="30" s="1"/>
  <c r="F87" i="30" s="1"/>
  <c r="P18" i="85" s="1"/>
  <c r="U9" i="30"/>
  <c r="O9" i="30" s="1"/>
  <c r="F9" i="30" s="1"/>
  <c r="U14" i="30"/>
  <c r="O14" i="30" s="1"/>
  <c r="F14" i="30" s="1"/>
  <c r="P22" i="123" s="1"/>
  <c r="U15" i="30"/>
  <c r="O15" i="30" s="1"/>
  <c r="F15" i="30" s="1"/>
  <c r="P23" i="123" s="1"/>
  <c r="U4" i="30"/>
  <c r="O4" i="30" s="1"/>
  <c r="F4" i="30" s="1"/>
  <c r="U3" i="30"/>
  <c r="O3" i="30" s="1"/>
  <c r="F3" i="30" s="1"/>
  <c r="U13" i="30"/>
  <c r="O13" i="30" s="1"/>
  <c r="F13" i="30" s="1"/>
  <c r="P20" i="124" s="1"/>
  <c r="U17" i="30"/>
  <c r="O17" i="30" s="1"/>
  <c r="F17" i="30" s="1"/>
  <c r="P23" i="125" s="1"/>
  <c r="U18" i="30"/>
  <c r="O18" i="30" s="1"/>
  <c r="F18" i="30" s="1"/>
  <c r="P24" i="125" s="1"/>
  <c r="Q18" i="133"/>
  <c r="A19" i="133"/>
  <c r="Q19" i="133"/>
  <c r="D9" i="133"/>
  <c r="F9" i="133"/>
  <c r="G9" i="133"/>
  <c r="P9" i="133"/>
  <c r="Q9" i="133" s="1"/>
  <c r="A10" i="133"/>
  <c r="A11" i="133" s="1"/>
  <c r="A12" i="133" s="1"/>
  <c r="A13" i="133" s="1"/>
  <c r="D10" i="133"/>
  <c r="F10" i="133"/>
  <c r="G10" i="133"/>
  <c r="P10" i="133"/>
  <c r="Q10" i="133" s="1"/>
  <c r="D11" i="133"/>
  <c r="F11" i="133"/>
  <c r="G11" i="133"/>
  <c r="P11" i="133"/>
  <c r="Q11" i="133" s="1"/>
  <c r="D12" i="133"/>
  <c r="F12" i="133"/>
  <c r="G12" i="133"/>
  <c r="P12" i="133"/>
  <c r="Q12" i="133" s="1"/>
  <c r="D13" i="133"/>
  <c r="F13" i="133"/>
  <c r="G13" i="133"/>
  <c r="P13" i="133"/>
  <c r="Q13" i="133" s="1"/>
  <c r="F15" i="133"/>
  <c r="G15" i="133"/>
  <c r="H15" i="133"/>
  <c r="J15" i="133"/>
  <c r="K15" i="133"/>
  <c r="L15" i="133"/>
  <c r="M15" i="133"/>
  <c r="N15" i="133"/>
  <c r="P15" i="133"/>
  <c r="Q15" i="133" s="1"/>
  <c r="A16" i="133"/>
  <c r="F16" i="133"/>
  <c r="G16" i="133"/>
  <c r="H16" i="133"/>
  <c r="J16" i="133"/>
  <c r="K16" i="133"/>
  <c r="L16" i="133"/>
  <c r="M16" i="133"/>
  <c r="N16" i="133"/>
  <c r="P16" i="133"/>
  <c r="Q16" i="133" s="1"/>
  <c r="G2" i="133"/>
  <c r="I2" i="133"/>
  <c r="E3" i="133"/>
  <c r="G3" i="133"/>
  <c r="I3" i="133"/>
  <c r="A18" i="132"/>
  <c r="Q18" i="132"/>
  <c r="D8" i="132"/>
  <c r="F8" i="132"/>
  <c r="G8" i="132"/>
  <c r="P8" i="132"/>
  <c r="Q8" i="132" s="1"/>
  <c r="A9" i="132"/>
  <c r="A10" i="132" s="1"/>
  <c r="A11" i="132" s="1"/>
  <c r="A12" i="132" s="1"/>
  <c r="D9" i="132"/>
  <c r="F9" i="132"/>
  <c r="G9" i="132"/>
  <c r="P9" i="132"/>
  <c r="Q9" i="132" s="1"/>
  <c r="D10" i="132"/>
  <c r="F10" i="132"/>
  <c r="G10" i="132"/>
  <c r="P10" i="132"/>
  <c r="Q10" i="132" s="1"/>
  <c r="D11" i="132"/>
  <c r="F11" i="132"/>
  <c r="G11" i="132"/>
  <c r="P11" i="132"/>
  <c r="Q11" i="132" s="1"/>
  <c r="D12" i="132"/>
  <c r="F12" i="132"/>
  <c r="G12" i="132"/>
  <c r="P12" i="132"/>
  <c r="Q12" i="132" s="1"/>
  <c r="F14" i="132"/>
  <c r="G14" i="132"/>
  <c r="H14" i="132"/>
  <c r="J14" i="132"/>
  <c r="K14" i="132"/>
  <c r="L14" i="132"/>
  <c r="M14" i="132"/>
  <c r="N14" i="132"/>
  <c r="P14" i="132"/>
  <c r="Q14" i="132" s="1"/>
  <c r="A15" i="132"/>
  <c r="F15" i="132"/>
  <c r="G15" i="132"/>
  <c r="H15" i="132"/>
  <c r="J15" i="132"/>
  <c r="K15" i="132"/>
  <c r="L15" i="132"/>
  <c r="M15" i="132"/>
  <c r="N15" i="132"/>
  <c r="P15" i="132"/>
  <c r="Q15" i="132" s="1"/>
  <c r="G2" i="132"/>
  <c r="I2" i="132"/>
  <c r="E3" i="132"/>
  <c r="G3" i="132"/>
  <c r="I3" i="132"/>
  <c r="D11" i="131"/>
  <c r="F11" i="131"/>
  <c r="G11" i="131"/>
  <c r="P11" i="131"/>
  <c r="Q11" i="131" s="1"/>
  <c r="D12" i="131"/>
  <c r="F12" i="131"/>
  <c r="G12" i="131"/>
  <c r="P12" i="131"/>
  <c r="Q12" i="131" s="1"/>
  <c r="D13" i="131"/>
  <c r="F13" i="131"/>
  <c r="G13" i="131"/>
  <c r="P13" i="131"/>
  <c r="Q13" i="131" s="1"/>
  <c r="D14" i="131"/>
  <c r="F14" i="131"/>
  <c r="G14" i="131"/>
  <c r="P14" i="131"/>
  <c r="Q14" i="131" s="1"/>
  <c r="F17" i="131"/>
  <c r="G17" i="131"/>
  <c r="H17" i="131"/>
  <c r="J17" i="131"/>
  <c r="K17" i="131"/>
  <c r="L17" i="131"/>
  <c r="M17" i="131"/>
  <c r="N17" i="131"/>
  <c r="P17" i="131"/>
  <c r="Q17" i="131" s="1"/>
  <c r="A18" i="131"/>
  <c r="F18" i="131"/>
  <c r="G18" i="131"/>
  <c r="H18" i="131"/>
  <c r="J18" i="131"/>
  <c r="K18" i="131"/>
  <c r="L18" i="131"/>
  <c r="M18" i="131"/>
  <c r="N18" i="131"/>
  <c r="P18" i="131"/>
  <c r="Q18" i="131" s="1"/>
  <c r="G2" i="131"/>
  <c r="I2" i="131"/>
  <c r="E3" i="131"/>
  <c r="G3" i="131"/>
  <c r="I3" i="131"/>
  <c r="D8" i="130"/>
  <c r="F8" i="130"/>
  <c r="G8" i="130"/>
  <c r="P8" i="130"/>
  <c r="Q8" i="130" s="1"/>
  <c r="A9" i="130"/>
  <c r="D9" i="130"/>
  <c r="F9" i="130"/>
  <c r="G9" i="130"/>
  <c r="P9" i="130"/>
  <c r="Q9" i="130" s="1"/>
  <c r="D10" i="130"/>
  <c r="F10" i="130"/>
  <c r="G10" i="130"/>
  <c r="P10" i="130"/>
  <c r="Q10" i="130" s="1"/>
  <c r="F13" i="130"/>
  <c r="G13" i="130"/>
  <c r="H13" i="130"/>
  <c r="J13" i="130"/>
  <c r="K13" i="130"/>
  <c r="L13" i="130"/>
  <c r="M13" i="130"/>
  <c r="N13" i="130"/>
  <c r="P13" i="130"/>
  <c r="Q13" i="130" s="1"/>
  <c r="A14" i="130"/>
  <c r="A15" i="130" s="1"/>
  <c r="A16" i="130" s="1"/>
  <c r="A17" i="130" s="1"/>
  <c r="A18" i="130" s="1"/>
  <c r="F14" i="130"/>
  <c r="G14" i="130"/>
  <c r="H14" i="130"/>
  <c r="J14" i="130"/>
  <c r="K14" i="130"/>
  <c r="L14" i="130"/>
  <c r="M14" i="130"/>
  <c r="N14" i="130"/>
  <c r="P14" i="130"/>
  <c r="Q14" i="130" s="1"/>
  <c r="F15" i="130"/>
  <c r="G15" i="130"/>
  <c r="H15" i="130"/>
  <c r="J15" i="130"/>
  <c r="K15" i="130"/>
  <c r="L15" i="130"/>
  <c r="M15" i="130"/>
  <c r="N15" i="130"/>
  <c r="P15" i="130"/>
  <c r="Q15" i="130" s="1"/>
  <c r="F16" i="130"/>
  <c r="G16" i="130"/>
  <c r="H16" i="130"/>
  <c r="J16" i="130"/>
  <c r="K16" i="130"/>
  <c r="L16" i="130"/>
  <c r="M16" i="130"/>
  <c r="N16" i="130"/>
  <c r="P16" i="130"/>
  <c r="Q16" i="130" s="1"/>
  <c r="G2" i="130"/>
  <c r="I2" i="130"/>
  <c r="E3" i="130"/>
  <c r="G3" i="130"/>
  <c r="I3" i="130"/>
  <c r="G2" i="129"/>
  <c r="I2" i="129"/>
  <c r="E3" i="129"/>
  <c r="G3" i="129"/>
  <c r="I3" i="129"/>
  <c r="D7" i="128"/>
  <c r="F7" i="128"/>
  <c r="G7" i="128"/>
  <c r="P7" i="128"/>
  <c r="Q7" i="128" s="1"/>
  <c r="G2" i="128"/>
  <c r="I2" i="128"/>
  <c r="E3" i="128"/>
  <c r="G3" i="128"/>
  <c r="I3" i="128"/>
  <c r="A19" i="127"/>
  <c r="A20" i="127" s="1"/>
  <c r="D9" i="127"/>
  <c r="F9" i="127"/>
  <c r="G9" i="127"/>
  <c r="P9" i="127"/>
  <c r="Q9" i="127" s="1"/>
  <c r="A10" i="127"/>
  <c r="A11" i="127" s="1"/>
  <c r="A12" i="127" s="1"/>
  <c r="A13" i="127" s="1"/>
  <c r="D10" i="127"/>
  <c r="F10" i="127"/>
  <c r="G10" i="127"/>
  <c r="P10" i="127"/>
  <c r="Q10" i="127" s="1"/>
  <c r="D11" i="127"/>
  <c r="F11" i="127"/>
  <c r="G11" i="127"/>
  <c r="P11" i="127"/>
  <c r="Q11" i="127" s="1"/>
  <c r="D12" i="127"/>
  <c r="F12" i="127"/>
  <c r="G12" i="127"/>
  <c r="P12" i="127"/>
  <c r="Q12" i="127" s="1"/>
  <c r="D13" i="127"/>
  <c r="F13" i="127"/>
  <c r="G13" i="127"/>
  <c r="P13" i="127"/>
  <c r="Q13" i="127" s="1"/>
  <c r="F15" i="127"/>
  <c r="G15" i="127"/>
  <c r="H15" i="127"/>
  <c r="J15" i="127"/>
  <c r="K15" i="127"/>
  <c r="L15" i="127"/>
  <c r="M15" i="127"/>
  <c r="N15" i="127"/>
  <c r="P15" i="127"/>
  <c r="Q15" i="127" s="1"/>
  <c r="A16" i="127"/>
  <c r="F16" i="127"/>
  <c r="G16" i="127"/>
  <c r="H16" i="127"/>
  <c r="J16" i="127"/>
  <c r="K16" i="127"/>
  <c r="L16" i="127"/>
  <c r="M16" i="127"/>
  <c r="N16" i="127"/>
  <c r="P16" i="127"/>
  <c r="Q16" i="127" s="1"/>
  <c r="G2" i="127"/>
  <c r="I2" i="127"/>
  <c r="E3" i="127"/>
  <c r="G3" i="127"/>
  <c r="I3" i="127"/>
  <c r="A22" i="126"/>
  <c r="A23" i="126" s="1"/>
  <c r="A24" i="126" s="1"/>
  <c r="D11" i="126"/>
  <c r="F11" i="126"/>
  <c r="G11" i="126"/>
  <c r="P11" i="126"/>
  <c r="Q11" i="126" s="1"/>
  <c r="A12" i="126"/>
  <c r="A13" i="126" s="1"/>
  <c r="A14" i="126" s="1"/>
  <c r="A15" i="126" s="1"/>
  <c r="A16" i="126" s="1"/>
  <c r="D12" i="126"/>
  <c r="F12" i="126"/>
  <c r="G12" i="126"/>
  <c r="P12" i="126"/>
  <c r="Q12" i="126" s="1"/>
  <c r="D13" i="126"/>
  <c r="F13" i="126"/>
  <c r="G13" i="126"/>
  <c r="P13" i="126"/>
  <c r="Q13" i="126" s="1"/>
  <c r="D14" i="126"/>
  <c r="F14" i="126"/>
  <c r="G14" i="126"/>
  <c r="P14" i="126"/>
  <c r="Q14" i="126" s="1"/>
  <c r="D15" i="126"/>
  <c r="F15" i="126"/>
  <c r="G15" i="126"/>
  <c r="P15" i="126"/>
  <c r="Q15" i="126" s="1"/>
  <c r="D16" i="126"/>
  <c r="F16" i="126"/>
  <c r="G16" i="126"/>
  <c r="P16" i="126"/>
  <c r="Q16" i="126" s="1"/>
  <c r="F18" i="126"/>
  <c r="G18" i="126"/>
  <c r="H18" i="126"/>
  <c r="J18" i="126"/>
  <c r="K18" i="126"/>
  <c r="L18" i="126"/>
  <c r="M18" i="126"/>
  <c r="N18" i="126"/>
  <c r="P18" i="126"/>
  <c r="Q18" i="126" s="1"/>
  <c r="A19" i="126"/>
  <c r="F19" i="126"/>
  <c r="G19" i="126"/>
  <c r="H19" i="126"/>
  <c r="J19" i="126"/>
  <c r="K19" i="126"/>
  <c r="L19" i="126"/>
  <c r="M19" i="126"/>
  <c r="N19" i="126"/>
  <c r="P19" i="126"/>
  <c r="Q19" i="126" s="1"/>
  <c r="G2" i="126"/>
  <c r="I2" i="126"/>
  <c r="E3" i="126"/>
  <c r="G3" i="126"/>
  <c r="I3" i="126"/>
  <c r="A22" i="125"/>
  <c r="A23" i="125" s="1"/>
  <c r="A24" i="125" s="1"/>
  <c r="D11" i="125"/>
  <c r="F11" i="125"/>
  <c r="G11" i="125"/>
  <c r="P11" i="125"/>
  <c r="Q11" i="125" s="1"/>
  <c r="A12" i="125"/>
  <c r="A13" i="125" s="1"/>
  <c r="A14" i="125" s="1"/>
  <c r="A15" i="125" s="1"/>
  <c r="A16" i="125" s="1"/>
  <c r="D12" i="125"/>
  <c r="F12" i="125"/>
  <c r="G12" i="125"/>
  <c r="P12" i="125"/>
  <c r="Q12" i="125" s="1"/>
  <c r="D13" i="125"/>
  <c r="F13" i="125"/>
  <c r="G13" i="125"/>
  <c r="P13" i="125"/>
  <c r="Q13" i="125" s="1"/>
  <c r="D14" i="125"/>
  <c r="F14" i="125"/>
  <c r="G14" i="125"/>
  <c r="P14" i="125"/>
  <c r="Q14" i="125" s="1"/>
  <c r="D15" i="125"/>
  <c r="F15" i="125"/>
  <c r="G15" i="125"/>
  <c r="P15" i="125"/>
  <c r="Q15" i="125" s="1"/>
  <c r="D16" i="125"/>
  <c r="F16" i="125"/>
  <c r="G16" i="125"/>
  <c r="P16" i="125"/>
  <c r="Q16" i="125" s="1"/>
  <c r="F18" i="125"/>
  <c r="G18" i="125"/>
  <c r="H18" i="125"/>
  <c r="J18" i="125"/>
  <c r="K18" i="125"/>
  <c r="L18" i="125"/>
  <c r="M18" i="125"/>
  <c r="N18" i="125"/>
  <c r="P18" i="125"/>
  <c r="Q18" i="125" s="1"/>
  <c r="A19" i="125"/>
  <c r="F19" i="125"/>
  <c r="G19" i="125"/>
  <c r="H19" i="125"/>
  <c r="J19" i="125"/>
  <c r="K19" i="125"/>
  <c r="L19" i="125"/>
  <c r="M19" i="125"/>
  <c r="N19" i="125"/>
  <c r="P19" i="125"/>
  <c r="Q19" i="125" s="1"/>
  <c r="G2" i="125"/>
  <c r="I2" i="125"/>
  <c r="E3" i="125"/>
  <c r="G3" i="125"/>
  <c r="I3" i="125"/>
  <c r="A19" i="124"/>
  <c r="A20" i="124" s="1"/>
  <c r="D9" i="124"/>
  <c r="F9" i="124"/>
  <c r="G9" i="124"/>
  <c r="P9" i="124"/>
  <c r="Q9" i="124" s="1"/>
  <c r="A10" i="124"/>
  <c r="A11" i="124" s="1"/>
  <c r="A12" i="124" s="1"/>
  <c r="A13" i="124" s="1"/>
  <c r="D10" i="124"/>
  <c r="F10" i="124"/>
  <c r="G10" i="124"/>
  <c r="P10" i="124"/>
  <c r="Q10" i="124" s="1"/>
  <c r="D11" i="124"/>
  <c r="F11" i="124"/>
  <c r="G11" i="124"/>
  <c r="P11" i="124"/>
  <c r="Q11" i="124" s="1"/>
  <c r="D12" i="124"/>
  <c r="F12" i="124"/>
  <c r="G12" i="124"/>
  <c r="P12" i="124"/>
  <c r="Q12" i="124" s="1"/>
  <c r="D13" i="124"/>
  <c r="F13" i="124"/>
  <c r="G13" i="124"/>
  <c r="P13" i="124"/>
  <c r="Q13" i="124" s="1"/>
  <c r="F15" i="124"/>
  <c r="G15" i="124"/>
  <c r="H15" i="124"/>
  <c r="J15" i="124"/>
  <c r="K15" i="124"/>
  <c r="L15" i="124"/>
  <c r="M15" i="124"/>
  <c r="N15" i="124"/>
  <c r="P15" i="124"/>
  <c r="Q15" i="124" s="1"/>
  <c r="A16" i="124"/>
  <c r="F16" i="124"/>
  <c r="G16" i="124"/>
  <c r="H16" i="124"/>
  <c r="J16" i="124"/>
  <c r="K16" i="124"/>
  <c r="L16" i="124"/>
  <c r="M16" i="124"/>
  <c r="N16" i="124"/>
  <c r="P16" i="124"/>
  <c r="Q16" i="124" s="1"/>
  <c r="G2" i="124"/>
  <c r="I2" i="124"/>
  <c r="E3" i="124"/>
  <c r="G3" i="124"/>
  <c r="I3" i="124"/>
  <c r="D11" i="123"/>
  <c r="F11" i="123"/>
  <c r="G11" i="123"/>
  <c r="P11" i="123"/>
  <c r="Q11" i="123" s="1"/>
  <c r="A12" i="123"/>
  <c r="A13" i="123" s="1"/>
  <c r="A14" i="123" s="1"/>
  <c r="A15" i="123" s="1"/>
  <c r="A16" i="123" s="1"/>
  <c r="D12" i="123"/>
  <c r="F12" i="123"/>
  <c r="G12" i="123"/>
  <c r="P12" i="123"/>
  <c r="Q12" i="123" s="1"/>
  <c r="D13" i="123"/>
  <c r="F13" i="123"/>
  <c r="G13" i="123"/>
  <c r="P13" i="123"/>
  <c r="Q13" i="123" s="1"/>
  <c r="D14" i="123"/>
  <c r="F14" i="123"/>
  <c r="G14" i="123"/>
  <c r="P14" i="123"/>
  <c r="Q14" i="123" s="1"/>
  <c r="D15" i="123"/>
  <c r="F15" i="123"/>
  <c r="G15" i="123"/>
  <c r="P15" i="123"/>
  <c r="Q15" i="123" s="1"/>
  <c r="D16" i="123"/>
  <c r="F16" i="123"/>
  <c r="G16" i="123"/>
  <c r="P16" i="123"/>
  <c r="Q16" i="123" s="1"/>
  <c r="F18" i="123"/>
  <c r="G18" i="123"/>
  <c r="H18" i="123"/>
  <c r="J18" i="123"/>
  <c r="K18" i="123"/>
  <c r="L18" i="123"/>
  <c r="M18" i="123"/>
  <c r="N18" i="123"/>
  <c r="P18" i="123"/>
  <c r="Q18" i="123" s="1"/>
  <c r="A19" i="123"/>
  <c r="F19" i="123"/>
  <c r="G19" i="123"/>
  <c r="H19" i="123"/>
  <c r="J19" i="123"/>
  <c r="K19" i="123"/>
  <c r="L19" i="123"/>
  <c r="M19" i="123"/>
  <c r="N19" i="123"/>
  <c r="P19" i="123"/>
  <c r="Q19" i="123" s="1"/>
  <c r="G2" i="123"/>
  <c r="I2" i="123"/>
  <c r="E3" i="123"/>
  <c r="G3" i="123"/>
  <c r="I3" i="123"/>
  <c r="D7" i="122"/>
  <c r="F7" i="122"/>
  <c r="G7" i="122"/>
  <c r="P7" i="122"/>
  <c r="Q7" i="122" s="1"/>
  <c r="D8" i="122"/>
  <c r="F8" i="122"/>
  <c r="G8" i="122"/>
  <c r="P8" i="122"/>
  <c r="Q8" i="122" s="1"/>
  <c r="F14" i="122"/>
  <c r="G14" i="122"/>
  <c r="H14" i="122"/>
  <c r="J14" i="122"/>
  <c r="K14" i="122"/>
  <c r="L14" i="122"/>
  <c r="M14" i="122"/>
  <c r="N14" i="122"/>
  <c r="P14" i="122"/>
  <c r="Q14" i="122" s="1"/>
  <c r="G2" i="122"/>
  <c r="I2" i="122"/>
  <c r="E3" i="122"/>
  <c r="G3" i="122"/>
  <c r="I3" i="122"/>
  <c r="F21" i="87"/>
  <c r="G21" i="87"/>
  <c r="H21" i="87"/>
  <c r="J21" i="87"/>
  <c r="K21" i="87"/>
  <c r="L21" i="87"/>
  <c r="M21" i="87"/>
  <c r="N21" i="87"/>
  <c r="F22" i="87"/>
  <c r="G22" i="87"/>
  <c r="H22" i="87"/>
  <c r="J22" i="87"/>
  <c r="K22" i="87"/>
  <c r="L22" i="87"/>
  <c r="M22" i="87"/>
  <c r="N22" i="87"/>
  <c r="F23" i="87"/>
  <c r="G23" i="87"/>
  <c r="H23" i="87"/>
  <c r="J23" i="87"/>
  <c r="K23" i="87"/>
  <c r="L23" i="87"/>
  <c r="M23" i="87"/>
  <c r="N23" i="87"/>
  <c r="U79" i="30"/>
  <c r="O79" i="30" s="1"/>
  <c r="U77" i="30"/>
  <c r="O77" i="30" s="1"/>
  <c r="U62" i="30"/>
  <c r="O62" i="30" s="1"/>
  <c r="U57" i="30"/>
  <c r="O57" i="30" s="1"/>
  <c r="U80" i="30"/>
  <c r="O80" i="30" s="1"/>
  <c r="U93" i="30"/>
  <c r="O93" i="30" s="1"/>
  <c r="U92" i="30"/>
  <c r="O92" i="30" s="1"/>
  <c r="U30" i="30"/>
  <c r="O30" i="30" s="1"/>
  <c r="U89" i="30"/>
  <c r="O89" i="30" s="1"/>
  <c r="U76" i="30"/>
  <c r="O76" i="30" s="1"/>
  <c r="U74" i="30"/>
  <c r="O74" i="30" s="1"/>
  <c r="U63" i="30"/>
  <c r="O63" i="30" s="1"/>
  <c r="U55" i="30"/>
  <c r="O55" i="30" s="1"/>
  <c r="U51" i="30"/>
  <c r="O51" i="30" s="1"/>
  <c r="U90" i="30"/>
  <c r="O90" i="30" s="1"/>
  <c r="F90" i="30" s="1"/>
  <c r="P15" i="119" s="1"/>
  <c r="U75" i="30"/>
  <c r="O75" i="30" s="1"/>
  <c r="F75" i="30" s="1"/>
  <c r="P14" i="119" s="1"/>
  <c r="U67" i="30"/>
  <c r="O67" i="30" s="1"/>
  <c r="F67" i="30" s="1"/>
  <c r="P13" i="119" s="1"/>
  <c r="U61" i="30"/>
  <c r="O61" i="30" s="1"/>
  <c r="F61" i="30" s="1"/>
  <c r="P12" i="119" s="1"/>
  <c r="P21" i="125" l="1"/>
  <c r="Q21" i="125" s="1"/>
  <c r="P18" i="124"/>
  <c r="Q18" i="124" s="1"/>
  <c r="P17" i="132"/>
  <c r="Q17" i="132" s="1"/>
  <c r="P18" i="127"/>
  <c r="Q18" i="127" s="1"/>
  <c r="P22" i="126"/>
  <c r="Q22" i="126" s="1"/>
  <c r="P22" i="125"/>
  <c r="Q22" i="125" s="1"/>
  <c r="P19" i="124"/>
  <c r="Q19" i="124" s="1"/>
  <c r="P24" i="123"/>
  <c r="Q24" i="123" s="1"/>
  <c r="P19" i="127"/>
  <c r="Q19" i="127" s="1"/>
  <c r="P21" i="126"/>
  <c r="Q21" i="126" s="1"/>
  <c r="P21" i="123"/>
  <c r="Q21" i="123" s="1"/>
  <c r="F74" i="30"/>
  <c r="P21" i="115" s="1"/>
  <c r="F76" i="30"/>
  <c r="P20" i="115" s="1"/>
  <c r="F89" i="30"/>
  <c r="P22" i="115" s="1"/>
  <c r="F30" i="30"/>
  <c r="P37" i="112" s="1"/>
  <c r="F92" i="30"/>
  <c r="P19" i="105" s="1"/>
  <c r="F93" i="30"/>
  <c r="P18" i="105" s="1"/>
  <c r="F80" i="30"/>
  <c r="P48" i="99" s="1"/>
  <c r="F63" i="30"/>
  <c r="P23" i="115" s="1"/>
  <c r="F62" i="30"/>
  <c r="P23" i="81" s="1"/>
  <c r="F77" i="30"/>
  <c r="P21" i="81" s="1"/>
  <c r="F79" i="30"/>
  <c r="P20" i="81" s="1"/>
  <c r="F57" i="30"/>
  <c r="P19" i="81" s="1"/>
  <c r="F51" i="30"/>
  <c r="P23" i="162" s="1"/>
  <c r="Q23" i="162" s="1"/>
  <c r="F55" i="30"/>
  <c r="P19" i="115" s="1"/>
  <c r="Q23" i="123"/>
  <c r="Q24" i="125"/>
  <c r="Q23" i="125"/>
  <c r="Q20" i="124"/>
  <c r="Q22" i="123"/>
  <c r="A10" i="130"/>
  <c r="C3" i="129"/>
  <c r="C3" i="124"/>
  <c r="C3" i="131"/>
  <c r="C3" i="133"/>
  <c r="C3" i="130"/>
  <c r="C3" i="126"/>
  <c r="C3" i="122"/>
  <c r="C3" i="132"/>
  <c r="C3" i="128"/>
  <c r="C3" i="123"/>
  <c r="C3" i="125"/>
  <c r="C3" i="127"/>
  <c r="Q23" i="115" l="1"/>
  <c r="A12" i="121"/>
  <c r="A13" i="121" s="1"/>
  <c r="A14" i="121" s="1"/>
  <c r="A15" i="121" s="1"/>
  <c r="A16" i="121" s="1"/>
  <c r="D12" i="121"/>
  <c r="F12" i="121"/>
  <c r="G12" i="121"/>
  <c r="P12" i="121"/>
  <c r="Q12" i="121" s="1"/>
  <c r="D13" i="121"/>
  <c r="F13" i="121"/>
  <c r="G13" i="121"/>
  <c r="P13" i="121"/>
  <c r="Q13" i="121" s="1"/>
  <c r="D14" i="121"/>
  <c r="F14" i="121"/>
  <c r="G14" i="121"/>
  <c r="P14" i="121"/>
  <c r="Q14" i="121" s="1"/>
  <c r="D15" i="121"/>
  <c r="F15" i="121"/>
  <c r="G15" i="121"/>
  <c r="P15" i="121"/>
  <c r="Q15" i="121" s="1"/>
  <c r="D16" i="121"/>
  <c r="F16" i="121"/>
  <c r="G16" i="121"/>
  <c r="P16" i="121"/>
  <c r="Q16" i="121" s="1"/>
  <c r="F18" i="121"/>
  <c r="G18" i="121"/>
  <c r="H18" i="121"/>
  <c r="J18" i="121"/>
  <c r="K18" i="121"/>
  <c r="L18" i="121"/>
  <c r="M18" i="121"/>
  <c r="N18" i="121"/>
  <c r="P18" i="121"/>
  <c r="Q18" i="121" s="1"/>
  <c r="A19" i="121"/>
  <c r="A20" i="121" s="1"/>
  <c r="A21" i="121" s="1"/>
  <c r="A22" i="121" s="1"/>
  <c r="A23" i="121" s="1"/>
  <c r="G2" i="121"/>
  <c r="I2" i="121"/>
  <c r="E3" i="121"/>
  <c r="G3" i="121"/>
  <c r="I3" i="121"/>
  <c r="D5" i="120"/>
  <c r="F5" i="120"/>
  <c r="G5" i="120"/>
  <c r="P5" i="120"/>
  <c r="Q5" i="120" s="1"/>
  <c r="A6" i="120"/>
  <c r="A7" i="120" s="1"/>
  <c r="A8" i="120" s="1"/>
  <c r="A9" i="120" s="1"/>
  <c r="A10" i="120" s="1"/>
  <c r="D6" i="120"/>
  <c r="F6" i="120"/>
  <c r="G6" i="120"/>
  <c r="P6" i="120"/>
  <c r="Q6" i="120" s="1"/>
  <c r="D7" i="120"/>
  <c r="F7" i="120"/>
  <c r="G7" i="120"/>
  <c r="P7" i="120"/>
  <c r="Q7" i="120" s="1"/>
  <c r="D8" i="120"/>
  <c r="F8" i="120"/>
  <c r="G8" i="120"/>
  <c r="P8" i="120"/>
  <c r="Q8" i="120" s="1"/>
  <c r="G2" i="120"/>
  <c r="I2" i="120"/>
  <c r="E3" i="120"/>
  <c r="G3" i="120"/>
  <c r="I3" i="120"/>
  <c r="Q12" i="119"/>
  <c r="A13" i="119"/>
  <c r="A14" i="119" s="1"/>
  <c r="A15" i="119" s="1"/>
  <c r="Q13" i="119"/>
  <c r="Q14" i="119"/>
  <c r="Q15" i="119"/>
  <c r="D8" i="119"/>
  <c r="F8" i="119"/>
  <c r="G8" i="119"/>
  <c r="P8" i="119"/>
  <c r="Q8" i="119" s="1"/>
  <c r="A9" i="119"/>
  <c r="A10" i="119" s="1"/>
  <c r="D9" i="119"/>
  <c r="F9" i="119"/>
  <c r="G9" i="119"/>
  <c r="P9" i="119"/>
  <c r="Q9" i="119" s="1"/>
  <c r="D10" i="119"/>
  <c r="F10" i="119"/>
  <c r="G10" i="119"/>
  <c r="P10" i="119"/>
  <c r="Q10" i="119" s="1"/>
  <c r="G2" i="119"/>
  <c r="I2" i="119"/>
  <c r="E3" i="119"/>
  <c r="G3" i="119"/>
  <c r="I3" i="119"/>
  <c r="G2" i="118"/>
  <c r="I2" i="118"/>
  <c r="E3" i="118"/>
  <c r="G3" i="118"/>
  <c r="I3" i="118"/>
  <c r="G2" i="117"/>
  <c r="I2" i="117"/>
  <c r="E3" i="117"/>
  <c r="G3" i="117"/>
  <c r="I3" i="117"/>
  <c r="D5" i="116"/>
  <c r="F5" i="116"/>
  <c r="G5" i="116"/>
  <c r="P5" i="116"/>
  <c r="Q5" i="116" s="1"/>
  <c r="A6" i="116"/>
  <c r="A7" i="116" s="1"/>
  <c r="A8" i="116" s="1"/>
  <c r="A9" i="116" s="1"/>
  <c r="D6" i="116"/>
  <c r="F6" i="116"/>
  <c r="G6" i="116"/>
  <c r="P6" i="116"/>
  <c r="Q6" i="116" s="1"/>
  <c r="D7" i="116"/>
  <c r="F7" i="116"/>
  <c r="G7" i="116"/>
  <c r="P7" i="116"/>
  <c r="Q7" i="116" s="1"/>
  <c r="D8" i="116"/>
  <c r="F8" i="116"/>
  <c r="G8" i="116"/>
  <c r="P8" i="116"/>
  <c r="Q8" i="116" s="1"/>
  <c r="D9" i="116"/>
  <c r="F9" i="116"/>
  <c r="G9" i="116"/>
  <c r="P9" i="116"/>
  <c r="Q9" i="116" s="1"/>
  <c r="F11" i="116"/>
  <c r="G11" i="116"/>
  <c r="H11" i="116"/>
  <c r="J11" i="116"/>
  <c r="K11" i="116"/>
  <c r="L11" i="116"/>
  <c r="M11" i="116"/>
  <c r="N11" i="116"/>
  <c r="P11" i="116"/>
  <c r="Q11" i="116" s="1"/>
  <c r="A12" i="116"/>
  <c r="F12" i="116"/>
  <c r="G12" i="116"/>
  <c r="H12" i="116"/>
  <c r="J12" i="116"/>
  <c r="K12" i="116"/>
  <c r="L12" i="116"/>
  <c r="M12" i="116"/>
  <c r="N12" i="116"/>
  <c r="P12" i="116"/>
  <c r="Q12" i="116" s="1"/>
  <c r="G2" i="116"/>
  <c r="I2" i="116"/>
  <c r="E3" i="116"/>
  <c r="G3" i="116"/>
  <c r="I3" i="116"/>
  <c r="Q19" i="115"/>
  <c r="A20" i="115"/>
  <c r="A21" i="115" s="1"/>
  <c r="A22" i="115" s="1"/>
  <c r="A23" i="115" s="1"/>
  <c r="Q20" i="115"/>
  <c r="Q21" i="115"/>
  <c r="Q22" i="115"/>
  <c r="D9" i="115"/>
  <c r="F9" i="115"/>
  <c r="G9" i="115"/>
  <c r="P9" i="115"/>
  <c r="Q9" i="115" s="1"/>
  <c r="A10" i="115"/>
  <c r="A11" i="115" s="1"/>
  <c r="A12" i="115" s="1"/>
  <c r="A13" i="115" s="1"/>
  <c r="A14" i="115" s="1"/>
  <c r="D10" i="115"/>
  <c r="F10" i="115"/>
  <c r="G10" i="115"/>
  <c r="P10" i="115"/>
  <c r="Q10" i="115" s="1"/>
  <c r="D11" i="115"/>
  <c r="F11" i="115"/>
  <c r="G11" i="115"/>
  <c r="P11" i="115"/>
  <c r="Q11" i="115" s="1"/>
  <c r="D12" i="115"/>
  <c r="F12" i="115"/>
  <c r="G12" i="115"/>
  <c r="P12" i="115"/>
  <c r="Q12" i="115" s="1"/>
  <c r="D13" i="115"/>
  <c r="F13" i="115"/>
  <c r="G13" i="115"/>
  <c r="P13" i="115"/>
  <c r="Q13" i="115" s="1"/>
  <c r="D14" i="115"/>
  <c r="F14" i="115"/>
  <c r="G14" i="115"/>
  <c r="P14" i="115"/>
  <c r="Q14" i="115" s="1"/>
  <c r="F16" i="115"/>
  <c r="G16" i="115"/>
  <c r="H16" i="115"/>
  <c r="J16" i="115"/>
  <c r="K16" i="115"/>
  <c r="L16" i="115"/>
  <c r="M16" i="115"/>
  <c r="N16" i="115"/>
  <c r="P16" i="115"/>
  <c r="Q16" i="115" s="1"/>
  <c r="A17" i="115"/>
  <c r="F17" i="115"/>
  <c r="G17" i="115"/>
  <c r="H17" i="115"/>
  <c r="J17" i="115"/>
  <c r="K17" i="115"/>
  <c r="L17" i="115"/>
  <c r="M17" i="115"/>
  <c r="N17" i="115"/>
  <c r="P17" i="115"/>
  <c r="Q17" i="115" s="1"/>
  <c r="G2" i="115"/>
  <c r="I2" i="115"/>
  <c r="E3" i="115"/>
  <c r="G3" i="115"/>
  <c r="I3" i="115"/>
  <c r="G2" i="114"/>
  <c r="I2" i="114"/>
  <c r="E3" i="114"/>
  <c r="G3" i="114"/>
  <c r="I3" i="114"/>
  <c r="Q37" i="112"/>
  <c r="D14" i="112"/>
  <c r="F14" i="112"/>
  <c r="G14" i="112"/>
  <c r="P14" i="112"/>
  <c r="Q14" i="112" s="1"/>
  <c r="A16" i="112"/>
  <c r="A17" i="112" s="1"/>
  <c r="A18" i="112" s="1"/>
  <c r="A19" i="112" s="1"/>
  <c r="A20" i="112" s="1"/>
  <c r="A21" i="112" s="1"/>
  <c r="A22" i="112" s="1"/>
  <c r="A23" i="112" s="1"/>
  <c r="A24" i="112" s="1"/>
  <c r="A25" i="112" s="1"/>
  <c r="A26" i="112" s="1"/>
  <c r="A27" i="112" s="1"/>
  <c r="A28" i="112" s="1"/>
  <c r="A29" i="112" s="1"/>
  <c r="A30" i="112" s="1"/>
  <c r="D15" i="112"/>
  <c r="F15" i="112"/>
  <c r="G15" i="112"/>
  <c r="P15" i="112"/>
  <c r="Q15" i="112" s="1"/>
  <c r="D16" i="112"/>
  <c r="F16" i="112"/>
  <c r="G16" i="112"/>
  <c r="P16" i="112"/>
  <c r="Q16" i="112" s="1"/>
  <c r="D17" i="112"/>
  <c r="F17" i="112"/>
  <c r="G17" i="112"/>
  <c r="P17" i="112"/>
  <c r="Q17" i="112" s="1"/>
  <c r="D18" i="112"/>
  <c r="F18" i="112"/>
  <c r="G18" i="112"/>
  <c r="P18" i="112"/>
  <c r="Q18" i="112" s="1"/>
  <c r="D19" i="112"/>
  <c r="F19" i="112"/>
  <c r="G19" i="112"/>
  <c r="P19" i="112"/>
  <c r="Q19" i="112" s="1"/>
  <c r="D20" i="112"/>
  <c r="F20" i="112"/>
  <c r="G20" i="112"/>
  <c r="P20" i="112"/>
  <c r="Q20" i="112" s="1"/>
  <c r="D21" i="112"/>
  <c r="F21" i="112"/>
  <c r="G21" i="112"/>
  <c r="P21" i="112"/>
  <c r="Q21" i="112" s="1"/>
  <c r="D22" i="112"/>
  <c r="F22" i="112"/>
  <c r="G22" i="112"/>
  <c r="P22" i="112"/>
  <c r="Q22" i="112" s="1"/>
  <c r="D23" i="112"/>
  <c r="F23" i="112"/>
  <c r="G23" i="112"/>
  <c r="P23" i="112"/>
  <c r="Q23" i="112" s="1"/>
  <c r="D24" i="112"/>
  <c r="F24" i="112"/>
  <c r="G24" i="112"/>
  <c r="P24" i="112"/>
  <c r="Q24" i="112" s="1"/>
  <c r="D25" i="112"/>
  <c r="F25" i="112"/>
  <c r="G25" i="112"/>
  <c r="P25" i="112"/>
  <c r="Q25" i="112" s="1"/>
  <c r="D26" i="112"/>
  <c r="F26" i="112"/>
  <c r="G26" i="112"/>
  <c r="P26" i="112"/>
  <c r="Q26" i="112" s="1"/>
  <c r="D27" i="112"/>
  <c r="F27" i="112"/>
  <c r="G27" i="112"/>
  <c r="P27" i="112"/>
  <c r="Q27" i="112" s="1"/>
  <c r="D28" i="112"/>
  <c r="F28" i="112"/>
  <c r="G28" i="112"/>
  <c r="P28" i="112"/>
  <c r="Q28" i="112" s="1"/>
  <c r="D29" i="112"/>
  <c r="F29" i="112"/>
  <c r="G29" i="112"/>
  <c r="P29" i="112"/>
  <c r="Q29" i="112" s="1"/>
  <c r="F32" i="112"/>
  <c r="G32" i="112"/>
  <c r="H32" i="112"/>
  <c r="J32" i="112"/>
  <c r="K32" i="112"/>
  <c r="L32" i="112"/>
  <c r="M32" i="112"/>
  <c r="N32" i="112"/>
  <c r="P32" i="112"/>
  <c r="Q32" i="112" s="1"/>
  <c r="A33" i="112"/>
  <c r="A34" i="112" s="1"/>
  <c r="A35" i="112" s="1"/>
  <c r="F33" i="112"/>
  <c r="G33" i="112"/>
  <c r="H33" i="112"/>
  <c r="J33" i="112"/>
  <c r="K33" i="112"/>
  <c r="L33" i="112"/>
  <c r="M33" i="112"/>
  <c r="N33" i="112"/>
  <c r="P33" i="112"/>
  <c r="Q33" i="112" s="1"/>
  <c r="F34" i="112"/>
  <c r="G34" i="112"/>
  <c r="H34" i="112"/>
  <c r="J34" i="112"/>
  <c r="K34" i="112"/>
  <c r="L34" i="112"/>
  <c r="M34" i="112"/>
  <c r="N34" i="112"/>
  <c r="P34" i="112"/>
  <c r="Q34" i="112" s="1"/>
  <c r="G2" i="112"/>
  <c r="I2" i="112"/>
  <c r="E3" i="112"/>
  <c r="G3" i="112"/>
  <c r="I3" i="112"/>
  <c r="A12" i="111"/>
  <c r="A13" i="111" s="1"/>
  <c r="A14" i="111" s="1"/>
  <c r="A15" i="111" s="1"/>
  <c r="A16" i="111" s="1"/>
  <c r="A17" i="111" s="1"/>
  <c r="D12" i="111"/>
  <c r="F12" i="111"/>
  <c r="G12" i="111"/>
  <c r="P12" i="111"/>
  <c r="Q12" i="111" s="1"/>
  <c r="D13" i="111"/>
  <c r="F13" i="111"/>
  <c r="G13" i="111"/>
  <c r="P13" i="111"/>
  <c r="Q13" i="111" s="1"/>
  <c r="D14" i="111"/>
  <c r="F14" i="111"/>
  <c r="G14" i="111"/>
  <c r="P14" i="111"/>
  <c r="Q14" i="111" s="1"/>
  <c r="D15" i="111"/>
  <c r="F15" i="111"/>
  <c r="G15" i="111"/>
  <c r="P15" i="111"/>
  <c r="Q15" i="111" s="1"/>
  <c r="G2" i="111"/>
  <c r="I2" i="111"/>
  <c r="E3" i="111"/>
  <c r="G3" i="111"/>
  <c r="I3" i="111"/>
  <c r="D11" i="110"/>
  <c r="F11" i="110"/>
  <c r="G11" i="110"/>
  <c r="P11" i="110"/>
  <c r="Q11" i="110" s="1"/>
  <c r="A12" i="110"/>
  <c r="A13" i="110" s="1"/>
  <c r="A14" i="110" s="1"/>
  <c r="A15" i="110" s="1"/>
  <c r="A16" i="110" s="1"/>
  <c r="D12" i="110"/>
  <c r="F12" i="110"/>
  <c r="G12" i="110"/>
  <c r="P12" i="110"/>
  <c r="Q12" i="110" s="1"/>
  <c r="D13" i="110"/>
  <c r="F13" i="110"/>
  <c r="G13" i="110"/>
  <c r="P13" i="110"/>
  <c r="Q13" i="110" s="1"/>
  <c r="D14" i="110"/>
  <c r="F14" i="110"/>
  <c r="G14" i="110"/>
  <c r="P14" i="110"/>
  <c r="Q14" i="110" s="1"/>
  <c r="D15" i="110"/>
  <c r="F15" i="110"/>
  <c r="G15" i="110"/>
  <c r="P15" i="110"/>
  <c r="Q15" i="110" s="1"/>
  <c r="F18" i="110"/>
  <c r="G18" i="110"/>
  <c r="H18" i="110"/>
  <c r="J18" i="110"/>
  <c r="K18" i="110"/>
  <c r="L18" i="110"/>
  <c r="M18" i="110"/>
  <c r="N18" i="110"/>
  <c r="P18" i="110"/>
  <c r="Q18" i="110" s="1"/>
  <c r="A19" i="110"/>
  <c r="A20" i="110" s="1"/>
  <c r="A21" i="110" s="1"/>
  <c r="A22" i="110" s="1"/>
  <c r="A23" i="110" s="1"/>
  <c r="A24" i="110" s="1"/>
  <c r="A25" i="110" s="1"/>
  <c r="F19" i="110"/>
  <c r="G19" i="110"/>
  <c r="H19" i="110"/>
  <c r="J19" i="110"/>
  <c r="K19" i="110"/>
  <c r="L19" i="110"/>
  <c r="M19" i="110"/>
  <c r="N19" i="110"/>
  <c r="P19" i="110"/>
  <c r="Q19" i="110" s="1"/>
  <c r="F20" i="110"/>
  <c r="G20" i="110"/>
  <c r="H20" i="110"/>
  <c r="J20" i="110"/>
  <c r="K20" i="110"/>
  <c r="L20" i="110"/>
  <c r="M20" i="110"/>
  <c r="N20" i="110"/>
  <c r="P20" i="110"/>
  <c r="Q20" i="110" s="1"/>
  <c r="F21" i="110"/>
  <c r="G21" i="110"/>
  <c r="H21" i="110"/>
  <c r="J21" i="110"/>
  <c r="K21" i="110"/>
  <c r="L21" i="110"/>
  <c r="M21" i="110"/>
  <c r="N21" i="110"/>
  <c r="P21" i="110"/>
  <c r="Q21" i="110" s="1"/>
  <c r="F22" i="110"/>
  <c r="G22" i="110"/>
  <c r="H22" i="110"/>
  <c r="J22" i="110"/>
  <c r="K22" i="110"/>
  <c r="L22" i="110"/>
  <c r="M22" i="110"/>
  <c r="N22" i="110"/>
  <c r="P22" i="110"/>
  <c r="Q22" i="110" s="1"/>
  <c r="F23" i="110"/>
  <c r="G23" i="110"/>
  <c r="H23" i="110"/>
  <c r="J23" i="110"/>
  <c r="K23" i="110"/>
  <c r="L23" i="110"/>
  <c r="M23" i="110"/>
  <c r="N23" i="110"/>
  <c r="P23" i="110"/>
  <c r="Q23" i="110" s="1"/>
  <c r="F24" i="110"/>
  <c r="G24" i="110"/>
  <c r="H24" i="110"/>
  <c r="J24" i="110"/>
  <c r="K24" i="110"/>
  <c r="L24" i="110"/>
  <c r="M24" i="110"/>
  <c r="N24" i="110"/>
  <c r="P24" i="110"/>
  <c r="Q24" i="110" s="1"/>
  <c r="G2" i="110"/>
  <c r="I2" i="110"/>
  <c r="E3" i="110"/>
  <c r="G3" i="110"/>
  <c r="I3" i="110"/>
  <c r="G2" i="109"/>
  <c r="I2" i="109"/>
  <c r="E3" i="109"/>
  <c r="G3" i="109"/>
  <c r="I3" i="109"/>
  <c r="A13" i="107"/>
  <c r="A14" i="107" s="1"/>
  <c r="A15" i="107" s="1"/>
  <c r="A16" i="107" s="1"/>
  <c r="A17" i="107" s="1"/>
  <c r="A18" i="107" s="1"/>
  <c r="D13" i="107"/>
  <c r="F13" i="107"/>
  <c r="G13" i="107"/>
  <c r="P13" i="107"/>
  <c r="Q13" i="107" s="1"/>
  <c r="D14" i="107"/>
  <c r="F14" i="107"/>
  <c r="G14" i="107"/>
  <c r="P14" i="107"/>
  <c r="Q14" i="107" s="1"/>
  <c r="D15" i="107"/>
  <c r="F15" i="107"/>
  <c r="G15" i="107"/>
  <c r="P15" i="107"/>
  <c r="Q15" i="107" s="1"/>
  <c r="D16" i="107"/>
  <c r="F16" i="107"/>
  <c r="G16" i="107"/>
  <c r="P16" i="107"/>
  <c r="Q16" i="107" s="1"/>
  <c r="D17" i="107"/>
  <c r="F17" i="107"/>
  <c r="G17" i="107"/>
  <c r="P17" i="107"/>
  <c r="Q17" i="107" s="1"/>
  <c r="D18" i="107"/>
  <c r="F18" i="107"/>
  <c r="G18" i="107"/>
  <c r="P18" i="107"/>
  <c r="Q18" i="107" s="1"/>
  <c r="G2" i="107"/>
  <c r="I2" i="107"/>
  <c r="E3" i="107"/>
  <c r="G3" i="107"/>
  <c r="I3" i="107"/>
  <c r="D11" i="106"/>
  <c r="F11" i="106"/>
  <c r="G11" i="106"/>
  <c r="P11" i="106"/>
  <c r="Q11" i="106" s="1"/>
  <c r="A12" i="106"/>
  <c r="A13" i="106" s="1"/>
  <c r="A14" i="106" s="1"/>
  <c r="A15" i="106" s="1"/>
  <c r="A16" i="106" s="1"/>
  <c r="D12" i="106"/>
  <c r="F12" i="106"/>
  <c r="G12" i="106"/>
  <c r="P12" i="106"/>
  <c r="Q12" i="106" s="1"/>
  <c r="D13" i="106"/>
  <c r="F13" i="106"/>
  <c r="G13" i="106"/>
  <c r="P13" i="106"/>
  <c r="Q13" i="106" s="1"/>
  <c r="D14" i="106"/>
  <c r="F14" i="106"/>
  <c r="G14" i="106"/>
  <c r="P14" i="106"/>
  <c r="Q14" i="106" s="1"/>
  <c r="D15" i="106"/>
  <c r="F15" i="106"/>
  <c r="G15" i="106"/>
  <c r="P15" i="106"/>
  <c r="Q15" i="106" s="1"/>
  <c r="D16" i="106"/>
  <c r="F16" i="106"/>
  <c r="G16" i="106"/>
  <c r="P16" i="106"/>
  <c r="Q16" i="106" s="1"/>
  <c r="F18" i="106"/>
  <c r="G18" i="106"/>
  <c r="H18" i="106"/>
  <c r="J18" i="106"/>
  <c r="K18" i="106"/>
  <c r="L18" i="106"/>
  <c r="M18" i="106"/>
  <c r="N18" i="106"/>
  <c r="P18" i="106"/>
  <c r="Q18" i="106" s="1"/>
  <c r="A19" i="106"/>
  <c r="A20" i="106" s="1"/>
  <c r="A21" i="106" s="1"/>
  <c r="A22" i="106" s="1"/>
  <c r="A23" i="106" s="1"/>
  <c r="A24" i="106" s="1"/>
  <c r="A25" i="106" s="1"/>
  <c r="F19" i="106"/>
  <c r="G19" i="106"/>
  <c r="H19" i="106"/>
  <c r="J19" i="106"/>
  <c r="K19" i="106"/>
  <c r="L19" i="106"/>
  <c r="M19" i="106"/>
  <c r="N19" i="106"/>
  <c r="P19" i="106"/>
  <c r="Q19" i="106" s="1"/>
  <c r="F20" i="106"/>
  <c r="G20" i="106"/>
  <c r="H20" i="106"/>
  <c r="J20" i="106"/>
  <c r="K20" i="106"/>
  <c r="L20" i="106"/>
  <c r="M20" i="106"/>
  <c r="N20" i="106"/>
  <c r="P20" i="106"/>
  <c r="Q20" i="106" s="1"/>
  <c r="F21" i="106"/>
  <c r="G21" i="106"/>
  <c r="H21" i="106"/>
  <c r="J21" i="106"/>
  <c r="K21" i="106"/>
  <c r="L21" i="106"/>
  <c r="M21" i="106"/>
  <c r="N21" i="106"/>
  <c r="P21" i="106"/>
  <c r="Q21" i="106" s="1"/>
  <c r="F22" i="106"/>
  <c r="G22" i="106"/>
  <c r="H22" i="106"/>
  <c r="J22" i="106"/>
  <c r="K22" i="106"/>
  <c r="L22" i="106"/>
  <c r="M22" i="106"/>
  <c r="N22" i="106"/>
  <c r="P22" i="106"/>
  <c r="Q22" i="106" s="1"/>
  <c r="F23" i="106"/>
  <c r="G23" i="106"/>
  <c r="H23" i="106"/>
  <c r="J23" i="106"/>
  <c r="K23" i="106"/>
  <c r="L23" i="106"/>
  <c r="M23" i="106"/>
  <c r="N23" i="106"/>
  <c r="P23" i="106"/>
  <c r="Q23" i="106" s="1"/>
  <c r="F24" i="106"/>
  <c r="G24" i="106"/>
  <c r="H24" i="106"/>
  <c r="J24" i="106"/>
  <c r="K24" i="106"/>
  <c r="L24" i="106"/>
  <c r="M24" i="106"/>
  <c r="N24" i="106"/>
  <c r="P24" i="106"/>
  <c r="Q24" i="106" s="1"/>
  <c r="G2" i="106"/>
  <c r="I2" i="106"/>
  <c r="E3" i="106"/>
  <c r="G3" i="106"/>
  <c r="I3" i="106"/>
  <c r="Q18" i="105"/>
  <c r="A19" i="105"/>
  <c r="Q19" i="105"/>
  <c r="D10" i="105"/>
  <c r="F10" i="105"/>
  <c r="G10" i="105"/>
  <c r="P10" i="105"/>
  <c r="Q10" i="105" s="1"/>
  <c r="A11" i="105"/>
  <c r="D11" i="105"/>
  <c r="F11" i="105"/>
  <c r="G11" i="105"/>
  <c r="P11" i="105"/>
  <c r="Q11" i="105" s="1"/>
  <c r="F13" i="105"/>
  <c r="G13" i="105"/>
  <c r="H13" i="105"/>
  <c r="J13" i="105"/>
  <c r="K13" i="105"/>
  <c r="L13" i="105"/>
  <c r="M13" i="105"/>
  <c r="N13" i="105"/>
  <c r="P13" i="105"/>
  <c r="Q13" i="105" s="1"/>
  <c r="A14" i="105"/>
  <c r="A15" i="105" s="1"/>
  <c r="A16" i="105" s="1"/>
  <c r="F15" i="105"/>
  <c r="G15" i="105"/>
  <c r="H15" i="105"/>
  <c r="J15" i="105"/>
  <c r="K15" i="105"/>
  <c r="L15" i="105"/>
  <c r="M15" i="105"/>
  <c r="N15" i="105"/>
  <c r="P15" i="105"/>
  <c r="Q15" i="105" s="1"/>
  <c r="F16" i="105"/>
  <c r="G16" i="105"/>
  <c r="H16" i="105"/>
  <c r="J16" i="105"/>
  <c r="K16" i="105"/>
  <c r="L16" i="105"/>
  <c r="M16" i="105"/>
  <c r="N16" i="105"/>
  <c r="P16" i="105"/>
  <c r="Q16" i="105" s="1"/>
  <c r="G2" i="105"/>
  <c r="I2" i="105"/>
  <c r="E3" i="105"/>
  <c r="G3" i="105"/>
  <c r="I3" i="105"/>
  <c r="G2" i="104"/>
  <c r="I2" i="104"/>
  <c r="E3" i="104"/>
  <c r="G3" i="104"/>
  <c r="I3" i="104"/>
  <c r="G2" i="103"/>
  <c r="I2" i="103"/>
  <c r="E3" i="103"/>
  <c r="G3" i="103"/>
  <c r="I3" i="103"/>
  <c r="D7" i="102"/>
  <c r="F7" i="102"/>
  <c r="G7" i="102"/>
  <c r="P7" i="102"/>
  <c r="Q7" i="102" s="1"/>
  <c r="A8" i="102"/>
  <c r="A9" i="102" s="1"/>
  <c r="A10" i="102" s="1"/>
  <c r="A11" i="102" s="1"/>
  <c r="D8" i="102"/>
  <c r="F8" i="102"/>
  <c r="G8" i="102"/>
  <c r="P8" i="102"/>
  <c r="Q8" i="102" s="1"/>
  <c r="D9" i="102"/>
  <c r="F9" i="102"/>
  <c r="G9" i="102"/>
  <c r="P9" i="102"/>
  <c r="Q9" i="102" s="1"/>
  <c r="D11" i="102"/>
  <c r="F11" i="102"/>
  <c r="G11" i="102"/>
  <c r="P11" i="102"/>
  <c r="Q11" i="102" s="1"/>
  <c r="F13" i="102"/>
  <c r="G13" i="102"/>
  <c r="H13" i="102"/>
  <c r="J13" i="102"/>
  <c r="K13" i="102"/>
  <c r="L13" i="102"/>
  <c r="M13" i="102"/>
  <c r="N13" i="102"/>
  <c r="P13" i="102"/>
  <c r="Q13" i="102" s="1"/>
  <c r="G2" i="102"/>
  <c r="I2" i="102"/>
  <c r="E3" i="102"/>
  <c r="G3" i="102"/>
  <c r="I3" i="102"/>
  <c r="D7" i="101"/>
  <c r="F7" i="101"/>
  <c r="G7" i="101"/>
  <c r="P7" i="101"/>
  <c r="Q7" i="101" s="1"/>
  <c r="A8" i="101"/>
  <c r="A9" i="101" s="1"/>
  <c r="D8" i="101"/>
  <c r="F8" i="101"/>
  <c r="G8" i="101"/>
  <c r="P8" i="101"/>
  <c r="Q8" i="101" s="1"/>
  <c r="D9" i="101"/>
  <c r="F9" i="101"/>
  <c r="G9" i="101"/>
  <c r="P9" i="101"/>
  <c r="Q9" i="101" s="1"/>
  <c r="F11" i="101"/>
  <c r="G11" i="101"/>
  <c r="H11" i="101"/>
  <c r="J11" i="101"/>
  <c r="K11" i="101"/>
  <c r="L11" i="101"/>
  <c r="M11" i="101"/>
  <c r="N11" i="101"/>
  <c r="P11" i="101"/>
  <c r="Q11" i="101" s="1"/>
  <c r="A12" i="101"/>
  <c r="F12" i="101"/>
  <c r="G12" i="101"/>
  <c r="H12" i="101"/>
  <c r="J12" i="101"/>
  <c r="K12" i="101"/>
  <c r="L12" i="101"/>
  <c r="M12" i="101"/>
  <c r="N12" i="101"/>
  <c r="P12" i="101"/>
  <c r="Q12" i="101" s="1"/>
  <c r="G2" i="101"/>
  <c r="I2" i="101"/>
  <c r="E3" i="101"/>
  <c r="G3" i="101"/>
  <c r="I3" i="101"/>
  <c r="A13" i="100"/>
  <c r="A14" i="100" s="1"/>
  <c r="A15" i="100" s="1"/>
  <c r="A16" i="100" s="1"/>
  <c r="A17" i="100" s="1"/>
  <c r="A18" i="100" s="1"/>
  <c r="D12" i="100"/>
  <c r="F12" i="100"/>
  <c r="G12" i="100"/>
  <c r="P12" i="100"/>
  <c r="Q12" i="100" s="1"/>
  <c r="D13" i="100"/>
  <c r="F13" i="100"/>
  <c r="G13" i="100"/>
  <c r="P13" i="100"/>
  <c r="Q13" i="100" s="1"/>
  <c r="D15" i="100"/>
  <c r="F15" i="100"/>
  <c r="G15" i="100"/>
  <c r="P15" i="100"/>
  <c r="Q15" i="100" s="1"/>
  <c r="D16" i="100"/>
  <c r="F16" i="100"/>
  <c r="G16" i="100"/>
  <c r="P16" i="100"/>
  <c r="Q16" i="100" s="1"/>
  <c r="D17" i="100"/>
  <c r="F17" i="100"/>
  <c r="G17" i="100"/>
  <c r="P17" i="100"/>
  <c r="Q17" i="100" s="1"/>
  <c r="D18" i="100"/>
  <c r="F18" i="100"/>
  <c r="G18" i="100"/>
  <c r="P18" i="100"/>
  <c r="Q18" i="100" s="1"/>
  <c r="F20" i="100"/>
  <c r="G20" i="100"/>
  <c r="H20" i="100"/>
  <c r="J20" i="100"/>
  <c r="K20" i="100"/>
  <c r="L20" i="100"/>
  <c r="M20" i="100"/>
  <c r="N20" i="100"/>
  <c r="P20" i="100"/>
  <c r="Q20" i="100" s="1"/>
  <c r="A21" i="100"/>
  <c r="A22" i="100" s="1"/>
  <c r="F21" i="100"/>
  <c r="G21" i="100"/>
  <c r="H21" i="100"/>
  <c r="J21" i="100"/>
  <c r="K21" i="100"/>
  <c r="L21" i="100"/>
  <c r="M21" i="100"/>
  <c r="N21" i="100"/>
  <c r="P21" i="100"/>
  <c r="Q21" i="100" s="1"/>
  <c r="F22" i="100"/>
  <c r="G22" i="100"/>
  <c r="H22" i="100"/>
  <c r="J22" i="100"/>
  <c r="K22" i="100"/>
  <c r="L22" i="100"/>
  <c r="M22" i="100"/>
  <c r="N22" i="100"/>
  <c r="P22" i="100"/>
  <c r="Q22" i="100" s="1"/>
  <c r="G2" i="100"/>
  <c r="I2" i="100"/>
  <c r="E3" i="100"/>
  <c r="G3" i="100"/>
  <c r="I3" i="100"/>
  <c r="A48" i="99"/>
  <c r="A49" i="99" s="1"/>
  <c r="A50" i="99" s="1"/>
  <c r="Q48" i="99"/>
  <c r="Q49" i="99"/>
  <c r="D15" i="99"/>
  <c r="F15" i="99"/>
  <c r="G15" i="99"/>
  <c r="P15" i="99"/>
  <c r="Q15" i="99" s="1"/>
  <c r="A16" i="99"/>
  <c r="A17" i="99" s="1"/>
  <c r="A18" i="99" s="1"/>
  <c r="A19" i="99" s="1"/>
  <c r="A20" i="99" s="1"/>
  <c r="A21" i="99" s="1"/>
  <c r="A22" i="99" s="1"/>
  <c r="A23" i="99" s="1"/>
  <c r="A24" i="99" s="1"/>
  <c r="A25" i="99" s="1"/>
  <c r="A26" i="99" s="1"/>
  <c r="A27" i="99" s="1"/>
  <c r="A28" i="99" s="1"/>
  <c r="A29" i="99" s="1"/>
  <c r="A30" i="99" s="1"/>
  <c r="A31" i="99" s="1"/>
  <c r="A32" i="99" s="1"/>
  <c r="A33" i="99" s="1"/>
  <c r="A34" i="99" s="1"/>
  <c r="A35" i="99" s="1"/>
  <c r="A36" i="99" s="1"/>
  <c r="A37" i="99" s="1"/>
  <c r="A38" i="99" s="1"/>
  <c r="A39" i="99" s="1"/>
  <c r="D16" i="99"/>
  <c r="F16" i="99"/>
  <c r="G16" i="99"/>
  <c r="P16" i="99"/>
  <c r="Q16" i="99" s="1"/>
  <c r="D17" i="99"/>
  <c r="F17" i="99"/>
  <c r="G17" i="99"/>
  <c r="P17" i="99"/>
  <c r="Q17" i="99" s="1"/>
  <c r="D18" i="99"/>
  <c r="F18" i="99"/>
  <c r="G18" i="99"/>
  <c r="P18" i="99"/>
  <c r="Q18" i="99" s="1"/>
  <c r="D19" i="99"/>
  <c r="F19" i="99"/>
  <c r="G19" i="99"/>
  <c r="P19" i="99"/>
  <c r="Q19" i="99" s="1"/>
  <c r="D22" i="99"/>
  <c r="F22" i="99"/>
  <c r="G22" i="99"/>
  <c r="P22" i="99"/>
  <c r="Q22" i="99" s="1"/>
  <c r="D23" i="99"/>
  <c r="F23" i="99"/>
  <c r="G23" i="99"/>
  <c r="P23" i="99"/>
  <c r="Q23" i="99" s="1"/>
  <c r="D26" i="99"/>
  <c r="F26" i="99"/>
  <c r="G26" i="99"/>
  <c r="P26" i="99"/>
  <c r="Q26" i="99" s="1"/>
  <c r="D27" i="99"/>
  <c r="F27" i="99"/>
  <c r="G27" i="99"/>
  <c r="P27" i="99"/>
  <c r="Q27" i="99" s="1"/>
  <c r="D28" i="99"/>
  <c r="F28" i="99"/>
  <c r="G28" i="99"/>
  <c r="P28" i="99"/>
  <c r="Q28" i="99" s="1"/>
  <c r="D29" i="99"/>
  <c r="F29" i="99"/>
  <c r="G29" i="99"/>
  <c r="P29" i="99"/>
  <c r="Q29" i="99" s="1"/>
  <c r="D30" i="99"/>
  <c r="F30" i="99"/>
  <c r="G30" i="99"/>
  <c r="P30" i="99"/>
  <c r="Q30" i="99" s="1"/>
  <c r="D36" i="99"/>
  <c r="F36" i="99"/>
  <c r="G36" i="99"/>
  <c r="P36" i="99"/>
  <c r="Q36" i="99" s="1"/>
  <c r="G2" i="99"/>
  <c r="I2" i="99"/>
  <c r="E3" i="99"/>
  <c r="G3" i="99"/>
  <c r="I3" i="99"/>
  <c r="D14" i="98"/>
  <c r="F14" i="98"/>
  <c r="G14" i="98"/>
  <c r="P14" i="98"/>
  <c r="Q14" i="98" s="1"/>
  <c r="F16" i="98"/>
  <c r="G16" i="98"/>
  <c r="H16" i="98"/>
  <c r="J16" i="98"/>
  <c r="K16" i="98"/>
  <c r="L16" i="98"/>
  <c r="M16" i="98"/>
  <c r="N16" i="98"/>
  <c r="P16" i="98"/>
  <c r="Q16" i="98" s="1"/>
  <c r="G2" i="98"/>
  <c r="I2" i="98"/>
  <c r="E3" i="98"/>
  <c r="G3" i="98"/>
  <c r="I3" i="98"/>
  <c r="A13" i="97"/>
  <c r="A14" i="97" s="1"/>
  <c r="A15" i="97" s="1"/>
  <c r="A16" i="97" s="1"/>
  <c r="A17" i="97" s="1"/>
  <c r="D13" i="97"/>
  <c r="F13" i="97"/>
  <c r="G13" i="97"/>
  <c r="P13" i="97"/>
  <c r="Q13" i="97" s="1"/>
  <c r="D14" i="97"/>
  <c r="F14" i="97"/>
  <c r="G14" i="97"/>
  <c r="P14" i="97"/>
  <c r="Q14" i="97" s="1"/>
  <c r="D15" i="97"/>
  <c r="F15" i="97"/>
  <c r="G15" i="97"/>
  <c r="P15" i="97"/>
  <c r="Q15" i="97" s="1"/>
  <c r="D16" i="97"/>
  <c r="F16" i="97"/>
  <c r="G16" i="97"/>
  <c r="P16" i="97"/>
  <c r="Q16" i="97" s="1"/>
  <c r="D17" i="97"/>
  <c r="F17" i="97"/>
  <c r="G17" i="97"/>
  <c r="P17" i="97"/>
  <c r="Q17" i="97" s="1"/>
  <c r="F19" i="97"/>
  <c r="G19" i="97"/>
  <c r="H19" i="97"/>
  <c r="J19" i="97"/>
  <c r="K19" i="97"/>
  <c r="L19" i="97"/>
  <c r="M19" i="97"/>
  <c r="N19" i="97"/>
  <c r="P19" i="97"/>
  <c r="Q19" i="97" s="1"/>
  <c r="A20" i="97"/>
  <c r="A21" i="97" s="1"/>
  <c r="A22" i="97" s="1"/>
  <c r="A23" i="97" s="1"/>
  <c r="A24" i="97" s="1"/>
  <c r="G2" i="97"/>
  <c r="I2" i="97"/>
  <c r="E3" i="97"/>
  <c r="G3" i="97"/>
  <c r="I3" i="97"/>
  <c r="D14" i="96"/>
  <c r="F14" i="96"/>
  <c r="G14" i="96"/>
  <c r="P14" i="96"/>
  <c r="Q14" i="96" s="1"/>
  <c r="F16" i="96"/>
  <c r="G16" i="96"/>
  <c r="H16" i="96"/>
  <c r="J16" i="96"/>
  <c r="K16" i="96"/>
  <c r="L16" i="96"/>
  <c r="M16" i="96"/>
  <c r="N16" i="96"/>
  <c r="P16" i="96"/>
  <c r="Q16" i="96" s="1"/>
  <c r="G2" i="96"/>
  <c r="I2" i="96"/>
  <c r="E3" i="96"/>
  <c r="G3" i="96"/>
  <c r="I3" i="96"/>
  <c r="D14" i="95"/>
  <c r="F14" i="95"/>
  <c r="G14" i="95"/>
  <c r="P14" i="95"/>
  <c r="Q14" i="95" s="1"/>
  <c r="F16" i="95"/>
  <c r="G16" i="95"/>
  <c r="H16" i="95"/>
  <c r="J16" i="95"/>
  <c r="K16" i="95"/>
  <c r="L16" i="95"/>
  <c r="M16" i="95"/>
  <c r="N16" i="95"/>
  <c r="P16" i="95"/>
  <c r="Q16" i="95" s="1"/>
  <c r="G2" i="95"/>
  <c r="I2" i="95"/>
  <c r="E3" i="95"/>
  <c r="G3" i="95"/>
  <c r="I3" i="95"/>
  <c r="D14" i="94"/>
  <c r="F14" i="94"/>
  <c r="G14" i="94"/>
  <c r="P14" i="94"/>
  <c r="Q14" i="94" s="1"/>
  <c r="F16" i="94"/>
  <c r="G16" i="94"/>
  <c r="H16" i="94"/>
  <c r="J16" i="94"/>
  <c r="K16" i="94"/>
  <c r="L16" i="94"/>
  <c r="M16" i="94"/>
  <c r="N16" i="94"/>
  <c r="P16" i="94"/>
  <c r="Q16" i="94" s="1"/>
  <c r="G2" i="94"/>
  <c r="I2" i="94"/>
  <c r="E3" i="94"/>
  <c r="G3" i="94"/>
  <c r="I3" i="94"/>
  <c r="A12" i="93"/>
  <c r="A13" i="93" s="1"/>
  <c r="A14" i="93" s="1"/>
  <c r="A15" i="93" s="1"/>
  <c r="A16" i="93" s="1"/>
  <c r="D12" i="93"/>
  <c r="F12" i="93"/>
  <c r="G12" i="93"/>
  <c r="P12" i="93"/>
  <c r="Q12" i="93" s="1"/>
  <c r="D13" i="93"/>
  <c r="F13" i="93"/>
  <c r="G13" i="93"/>
  <c r="P13" i="93"/>
  <c r="Q13" i="93" s="1"/>
  <c r="D14" i="93"/>
  <c r="F14" i="93"/>
  <c r="G14" i="93"/>
  <c r="P14" i="93"/>
  <c r="Q14" i="93" s="1"/>
  <c r="D15" i="93"/>
  <c r="F15" i="93"/>
  <c r="G15" i="93"/>
  <c r="P15" i="93"/>
  <c r="Q15" i="93" s="1"/>
  <c r="D16" i="93"/>
  <c r="F16" i="93"/>
  <c r="G16" i="93"/>
  <c r="P16" i="93"/>
  <c r="Q16" i="93" s="1"/>
  <c r="F18" i="93"/>
  <c r="G18" i="93"/>
  <c r="H18" i="93"/>
  <c r="J18" i="93"/>
  <c r="K18" i="93"/>
  <c r="L18" i="93"/>
  <c r="M18" i="93"/>
  <c r="N18" i="93"/>
  <c r="P18" i="93"/>
  <c r="Q18" i="93" s="1"/>
  <c r="A19" i="93"/>
  <c r="A20" i="93" s="1"/>
  <c r="A21" i="93" s="1"/>
  <c r="A22" i="93" s="1"/>
  <c r="A23" i="93" s="1"/>
  <c r="G2" i="93"/>
  <c r="I2" i="93"/>
  <c r="E3" i="93"/>
  <c r="G3" i="93"/>
  <c r="I3" i="93"/>
  <c r="D11" i="92"/>
  <c r="F11" i="92"/>
  <c r="G11" i="92"/>
  <c r="P11" i="92"/>
  <c r="Q11" i="92" s="1"/>
  <c r="A12" i="92"/>
  <c r="A13" i="92" s="1"/>
  <c r="A14" i="92" s="1"/>
  <c r="A15" i="92" s="1"/>
  <c r="A16" i="92" s="1"/>
  <c r="A17" i="92" s="1"/>
  <c r="D12" i="92"/>
  <c r="F12" i="92"/>
  <c r="G12" i="92"/>
  <c r="P12" i="92"/>
  <c r="Q12" i="92" s="1"/>
  <c r="D13" i="92"/>
  <c r="F13" i="92"/>
  <c r="G13" i="92"/>
  <c r="P13" i="92"/>
  <c r="Q13" i="92" s="1"/>
  <c r="D14" i="92"/>
  <c r="F14" i="92"/>
  <c r="G14" i="92"/>
  <c r="P14" i="92"/>
  <c r="Q14" i="92" s="1"/>
  <c r="D15" i="92"/>
  <c r="F15" i="92"/>
  <c r="G15" i="92"/>
  <c r="P15" i="92"/>
  <c r="Q15" i="92" s="1"/>
  <c r="D16" i="92"/>
  <c r="F16" i="92"/>
  <c r="G16" i="92"/>
  <c r="P16" i="92"/>
  <c r="Q16" i="92" s="1"/>
  <c r="D17" i="92"/>
  <c r="F17" i="92"/>
  <c r="G17" i="92"/>
  <c r="P17" i="92"/>
  <c r="Q17" i="92" s="1"/>
  <c r="F19" i="92"/>
  <c r="G19" i="92"/>
  <c r="H19" i="92"/>
  <c r="J19" i="92"/>
  <c r="K19" i="92"/>
  <c r="L19" i="92"/>
  <c r="M19" i="92"/>
  <c r="N19" i="92"/>
  <c r="P19" i="92"/>
  <c r="Q19" i="92" s="1"/>
  <c r="A20" i="92"/>
  <c r="A21" i="92" s="1"/>
  <c r="A22" i="92" s="1"/>
  <c r="A23" i="92" s="1"/>
  <c r="A24" i="92" s="1"/>
  <c r="A25" i="92" s="1"/>
  <c r="A26" i="92" s="1"/>
  <c r="F20" i="92"/>
  <c r="G20" i="92"/>
  <c r="H20" i="92"/>
  <c r="J20" i="92"/>
  <c r="K20" i="92"/>
  <c r="L20" i="92"/>
  <c r="M20" i="92"/>
  <c r="N20" i="92"/>
  <c r="P20" i="92"/>
  <c r="Q20" i="92" s="1"/>
  <c r="F21" i="92"/>
  <c r="G21" i="92"/>
  <c r="H21" i="92"/>
  <c r="J21" i="92"/>
  <c r="K21" i="92"/>
  <c r="L21" i="92"/>
  <c r="M21" i="92"/>
  <c r="N21" i="92"/>
  <c r="P21" i="92"/>
  <c r="Q21" i="92" s="1"/>
  <c r="F22" i="92"/>
  <c r="G22" i="92"/>
  <c r="H22" i="92"/>
  <c r="J22" i="92"/>
  <c r="K22" i="92"/>
  <c r="L22" i="92"/>
  <c r="M22" i="92"/>
  <c r="N22" i="92"/>
  <c r="P22" i="92"/>
  <c r="Q22" i="92" s="1"/>
  <c r="F23" i="92"/>
  <c r="G23" i="92"/>
  <c r="H23" i="92"/>
  <c r="J23" i="92"/>
  <c r="K23" i="92"/>
  <c r="L23" i="92"/>
  <c r="M23" i="92"/>
  <c r="N23" i="92"/>
  <c r="P23" i="92"/>
  <c r="Q23" i="92" s="1"/>
  <c r="F24" i="92"/>
  <c r="G24" i="92"/>
  <c r="H24" i="92"/>
  <c r="J24" i="92"/>
  <c r="K24" i="92"/>
  <c r="L24" i="92"/>
  <c r="M24" i="92"/>
  <c r="N24" i="92"/>
  <c r="P24" i="92"/>
  <c r="Q24" i="92" s="1"/>
  <c r="F26" i="92"/>
  <c r="G26" i="92"/>
  <c r="H26" i="92"/>
  <c r="J26" i="92"/>
  <c r="K26" i="92"/>
  <c r="L26" i="92"/>
  <c r="M26" i="92"/>
  <c r="N26" i="92"/>
  <c r="P26" i="92"/>
  <c r="Q26" i="92" s="1"/>
  <c r="G2" i="92"/>
  <c r="I2" i="92"/>
  <c r="E3" i="92"/>
  <c r="G3" i="92"/>
  <c r="I3" i="92"/>
  <c r="D14" i="90"/>
  <c r="F14" i="90"/>
  <c r="G14" i="90"/>
  <c r="P14" i="90"/>
  <c r="Q14" i="90" s="1"/>
  <c r="F16" i="90"/>
  <c r="G16" i="90"/>
  <c r="H16" i="90"/>
  <c r="J16" i="90"/>
  <c r="K16" i="90"/>
  <c r="L16" i="90"/>
  <c r="M16" i="90"/>
  <c r="N16" i="90"/>
  <c r="P16" i="90"/>
  <c r="Q16" i="90" s="1"/>
  <c r="G2" i="90"/>
  <c r="I2" i="90"/>
  <c r="E3" i="90"/>
  <c r="G3" i="90"/>
  <c r="I3" i="90"/>
  <c r="D7" i="89"/>
  <c r="F7" i="89"/>
  <c r="G7" i="89"/>
  <c r="P7" i="89"/>
  <c r="Q7" i="89" s="1"/>
  <c r="A8" i="89"/>
  <c r="D8" i="89"/>
  <c r="F8" i="89"/>
  <c r="G8" i="89"/>
  <c r="P8" i="89"/>
  <c r="Q8" i="89" s="1"/>
  <c r="F11" i="89"/>
  <c r="G11" i="89"/>
  <c r="H11" i="89"/>
  <c r="J11" i="89"/>
  <c r="K11" i="89"/>
  <c r="L11" i="89"/>
  <c r="M11" i="89"/>
  <c r="N11" i="89"/>
  <c r="P11" i="89"/>
  <c r="Q11" i="89" s="1"/>
  <c r="A12" i="89"/>
  <c r="A13" i="89" s="1"/>
  <c r="F12" i="89"/>
  <c r="G12" i="89"/>
  <c r="H12" i="89"/>
  <c r="J12" i="89"/>
  <c r="K12" i="89"/>
  <c r="L12" i="89"/>
  <c r="M12" i="89"/>
  <c r="N12" i="89"/>
  <c r="P12" i="89"/>
  <c r="Q12" i="89" s="1"/>
  <c r="G2" i="89"/>
  <c r="I2" i="89"/>
  <c r="E3" i="89"/>
  <c r="G3" i="89"/>
  <c r="I3" i="89"/>
  <c r="D10" i="88"/>
  <c r="F10" i="88"/>
  <c r="G10" i="88"/>
  <c r="P10" i="88"/>
  <c r="Q10" i="88" s="1"/>
  <c r="A11" i="88"/>
  <c r="A12" i="88" s="1"/>
  <c r="A13" i="88" s="1"/>
  <c r="A14" i="88" s="1"/>
  <c r="P11" i="88"/>
  <c r="Q11" i="88" s="1"/>
  <c r="D12" i="88"/>
  <c r="F12" i="88"/>
  <c r="G12" i="88"/>
  <c r="P12" i="88"/>
  <c r="Q12" i="88" s="1"/>
  <c r="D13" i="88"/>
  <c r="F13" i="88"/>
  <c r="G13" i="88"/>
  <c r="P13" i="88"/>
  <c r="Q13" i="88" s="1"/>
  <c r="D14" i="88"/>
  <c r="F14" i="88"/>
  <c r="G14" i="88"/>
  <c r="P14" i="88"/>
  <c r="Q14" i="88" s="1"/>
  <c r="F16" i="88"/>
  <c r="G16" i="88"/>
  <c r="H16" i="88"/>
  <c r="J16" i="88"/>
  <c r="K16" i="88"/>
  <c r="L16" i="88"/>
  <c r="M16" i="88"/>
  <c r="N16" i="88"/>
  <c r="P16" i="88"/>
  <c r="Q16" i="88" s="1"/>
  <c r="A17" i="88"/>
  <c r="A18" i="88" s="1"/>
  <c r="F17" i="88"/>
  <c r="G17" i="88"/>
  <c r="H17" i="88"/>
  <c r="J17" i="88"/>
  <c r="K17" i="88"/>
  <c r="L17" i="88"/>
  <c r="M17" i="88"/>
  <c r="N17" i="88"/>
  <c r="P17" i="88"/>
  <c r="Q17" i="88" s="1"/>
  <c r="G2" i="88"/>
  <c r="I2" i="88"/>
  <c r="E3" i="88"/>
  <c r="G3" i="88"/>
  <c r="I3" i="88"/>
  <c r="A13" i="87"/>
  <c r="A14" i="87" s="1"/>
  <c r="A15" i="87" s="1"/>
  <c r="A16" i="87" s="1"/>
  <c r="A17" i="87" s="1"/>
  <c r="D13" i="87"/>
  <c r="F13" i="87"/>
  <c r="G13" i="87"/>
  <c r="P13" i="87"/>
  <c r="Q13" i="87" s="1"/>
  <c r="D14" i="87"/>
  <c r="F14" i="87"/>
  <c r="G14" i="87"/>
  <c r="P14" i="87"/>
  <c r="Q14" i="87" s="1"/>
  <c r="D15" i="87"/>
  <c r="F15" i="87"/>
  <c r="G15" i="87"/>
  <c r="P15" i="87"/>
  <c r="Q15" i="87" s="1"/>
  <c r="D16" i="87"/>
  <c r="F16" i="87"/>
  <c r="G16" i="87"/>
  <c r="P16" i="87"/>
  <c r="Q16" i="87" s="1"/>
  <c r="D17" i="87"/>
  <c r="F17" i="87"/>
  <c r="G17" i="87"/>
  <c r="P17" i="87"/>
  <c r="Q17" i="87" s="1"/>
  <c r="F19" i="87"/>
  <c r="G19" i="87"/>
  <c r="H19" i="87"/>
  <c r="J19" i="87"/>
  <c r="K19" i="87"/>
  <c r="L19" i="87"/>
  <c r="M19" i="87"/>
  <c r="N19" i="87"/>
  <c r="P19" i="87"/>
  <c r="Q19" i="87" s="1"/>
  <c r="A20" i="87"/>
  <c r="A21" i="87" s="1"/>
  <c r="A22" i="87" s="1"/>
  <c r="A23" i="87" s="1"/>
  <c r="A24" i="87" s="1"/>
  <c r="F20" i="87"/>
  <c r="G20" i="87"/>
  <c r="H20" i="87"/>
  <c r="J20" i="87"/>
  <c r="K20" i="87"/>
  <c r="L20" i="87"/>
  <c r="M20" i="87"/>
  <c r="N20" i="87"/>
  <c r="P20" i="87"/>
  <c r="Q20" i="87" s="1"/>
  <c r="P21" i="87"/>
  <c r="Q21" i="87" s="1"/>
  <c r="P22" i="87"/>
  <c r="Q22" i="87" s="1"/>
  <c r="P23" i="87"/>
  <c r="Q23" i="87" s="1"/>
  <c r="G2" i="87"/>
  <c r="I2" i="87"/>
  <c r="E3" i="87"/>
  <c r="G3" i="87"/>
  <c r="I3" i="87"/>
  <c r="D11" i="86"/>
  <c r="F11" i="86"/>
  <c r="G11" i="86"/>
  <c r="P11" i="86"/>
  <c r="Q11" i="86" s="1"/>
  <c r="A12" i="86"/>
  <c r="A13" i="86" s="1"/>
  <c r="A14" i="86" s="1"/>
  <c r="A15" i="86" s="1"/>
  <c r="A16" i="86" s="1"/>
  <c r="D12" i="86"/>
  <c r="F12" i="86"/>
  <c r="G12" i="86"/>
  <c r="P12" i="86"/>
  <c r="Q12" i="86" s="1"/>
  <c r="D13" i="86"/>
  <c r="F13" i="86"/>
  <c r="G13" i="86"/>
  <c r="P13" i="86"/>
  <c r="Q13" i="86" s="1"/>
  <c r="D14" i="86"/>
  <c r="F14" i="86"/>
  <c r="G14" i="86"/>
  <c r="P14" i="86"/>
  <c r="Q14" i="86" s="1"/>
  <c r="D15" i="86"/>
  <c r="F15" i="86"/>
  <c r="G15" i="86"/>
  <c r="P15" i="86"/>
  <c r="Q15" i="86" s="1"/>
  <c r="D16" i="86"/>
  <c r="F16" i="86"/>
  <c r="G16" i="86"/>
  <c r="P16" i="86"/>
  <c r="Q16" i="86" s="1"/>
  <c r="F18" i="86"/>
  <c r="G18" i="86"/>
  <c r="H18" i="86"/>
  <c r="J18" i="86"/>
  <c r="K18" i="86"/>
  <c r="L18" i="86"/>
  <c r="M18" i="86"/>
  <c r="N18" i="86"/>
  <c r="P18" i="86"/>
  <c r="Q18" i="86" s="1"/>
  <c r="A19" i="86"/>
  <c r="A20" i="86" s="1"/>
  <c r="A21" i="86" s="1"/>
  <c r="A22" i="86" s="1"/>
  <c r="A23" i="86" s="1"/>
  <c r="A24" i="86" s="1"/>
  <c r="A25" i="86" s="1"/>
  <c r="F19" i="86"/>
  <c r="G19" i="86"/>
  <c r="H19" i="86"/>
  <c r="J19" i="86"/>
  <c r="K19" i="86"/>
  <c r="L19" i="86"/>
  <c r="M19" i="86"/>
  <c r="N19" i="86"/>
  <c r="P19" i="86"/>
  <c r="Q19" i="86" s="1"/>
  <c r="F20" i="86"/>
  <c r="G20" i="86"/>
  <c r="H20" i="86"/>
  <c r="J20" i="86"/>
  <c r="K20" i="86"/>
  <c r="L20" i="86"/>
  <c r="M20" i="86"/>
  <c r="N20" i="86"/>
  <c r="P20" i="86"/>
  <c r="Q20" i="86" s="1"/>
  <c r="F21" i="86"/>
  <c r="G21" i="86"/>
  <c r="H21" i="86"/>
  <c r="J21" i="86"/>
  <c r="K21" i="86"/>
  <c r="L21" i="86"/>
  <c r="M21" i="86"/>
  <c r="N21" i="86"/>
  <c r="P21" i="86"/>
  <c r="Q21" i="86" s="1"/>
  <c r="F23" i="86"/>
  <c r="G23" i="86"/>
  <c r="H23" i="86"/>
  <c r="J23" i="86"/>
  <c r="K23" i="86"/>
  <c r="L23" i="86"/>
  <c r="M23" i="86"/>
  <c r="N23" i="86"/>
  <c r="P23" i="86"/>
  <c r="Q23" i="86" s="1"/>
  <c r="F24" i="86"/>
  <c r="G24" i="86"/>
  <c r="H24" i="86"/>
  <c r="J24" i="86"/>
  <c r="K24" i="86"/>
  <c r="L24" i="86"/>
  <c r="M24" i="86"/>
  <c r="N24" i="86"/>
  <c r="P24" i="86"/>
  <c r="Q24" i="86" s="1"/>
  <c r="F25" i="86"/>
  <c r="G25" i="86"/>
  <c r="H25" i="86"/>
  <c r="J25" i="86"/>
  <c r="K25" i="86"/>
  <c r="L25" i="86"/>
  <c r="M25" i="86"/>
  <c r="N25" i="86"/>
  <c r="P25" i="86"/>
  <c r="Q25" i="86" s="1"/>
  <c r="G2" i="86"/>
  <c r="I2" i="86"/>
  <c r="E3" i="86"/>
  <c r="G3" i="86"/>
  <c r="I3" i="86"/>
  <c r="Q18" i="85"/>
  <c r="D10" i="85"/>
  <c r="P10" i="85"/>
  <c r="Q10" i="85" s="1"/>
  <c r="A11" i="85"/>
  <c r="D11" i="85"/>
  <c r="P11" i="85"/>
  <c r="Q11" i="85" s="1"/>
  <c r="F13" i="85"/>
  <c r="G13" i="85"/>
  <c r="H13" i="85"/>
  <c r="J13" i="85"/>
  <c r="K13" i="85"/>
  <c r="L13" i="85"/>
  <c r="M13" i="85"/>
  <c r="N13" i="85"/>
  <c r="P13" i="85"/>
  <c r="Q13" i="85" s="1"/>
  <c r="A14" i="85"/>
  <c r="A15" i="85" s="1"/>
  <c r="A16" i="85" s="1"/>
  <c r="F14" i="85"/>
  <c r="G14" i="85"/>
  <c r="H14" i="85"/>
  <c r="J14" i="85"/>
  <c r="K14" i="85"/>
  <c r="L14" i="85"/>
  <c r="M14" i="85"/>
  <c r="N14" i="85"/>
  <c r="P14" i="85"/>
  <c r="Q14" i="85" s="1"/>
  <c r="F15" i="85"/>
  <c r="G15" i="85"/>
  <c r="H15" i="85"/>
  <c r="J15" i="85"/>
  <c r="K15" i="85"/>
  <c r="L15" i="85"/>
  <c r="M15" i="85"/>
  <c r="N15" i="85"/>
  <c r="P15" i="85"/>
  <c r="Q15" i="85" s="1"/>
  <c r="F16" i="85"/>
  <c r="G16" i="85"/>
  <c r="H16" i="85"/>
  <c r="J16" i="85"/>
  <c r="K16" i="85"/>
  <c r="L16" i="85"/>
  <c r="M16" i="85"/>
  <c r="N16" i="85"/>
  <c r="P16" i="85"/>
  <c r="Q16" i="85" s="1"/>
  <c r="G2" i="85"/>
  <c r="I2" i="85"/>
  <c r="E3" i="85"/>
  <c r="G3" i="85"/>
  <c r="I3" i="85"/>
  <c r="D14" i="84"/>
  <c r="F14" i="84"/>
  <c r="G14" i="84"/>
  <c r="P14" i="84"/>
  <c r="Q14" i="84" s="1"/>
  <c r="F16" i="84"/>
  <c r="G16" i="84"/>
  <c r="H16" i="84"/>
  <c r="J16" i="84"/>
  <c r="K16" i="84"/>
  <c r="L16" i="84"/>
  <c r="M16" i="84"/>
  <c r="N16" i="84"/>
  <c r="P16" i="84"/>
  <c r="Q16" i="84" s="1"/>
  <c r="G2" i="84"/>
  <c r="I2" i="84"/>
  <c r="E3" i="84"/>
  <c r="G3" i="84"/>
  <c r="I3" i="84"/>
  <c r="G2" i="83"/>
  <c r="I2" i="83"/>
  <c r="E3" i="83"/>
  <c r="G3" i="83"/>
  <c r="I3" i="83"/>
  <c r="D5" i="82"/>
  <c r="F5" i="82"/>
  <c r="G5" i="82"/>
  <c r="P5" i="82"/>
  <c r="Q5" i="82" s="1"/>
  <c r="A6" i="82"/>
  <c r="A7" i="82" s="1"/>
  <c r="A8" i="82" s="1"/>
  <c r="A9" i="82" s="1"/>
  <c r="D6" i="82"/>
  <c r="F6" i="82"/>
  <c r="G6" i="82"/>
  <c r="P6" i="82"/>
  <c r="Q6" i="82" s="1"/>
  <c r="D7" i="82"/>
  <c r="F7" i="82"/>
  <c r="G7" i="82"/>
  <c r="P7" i="82"/>
  <c r="Q7" i="82" s="1"/>
  <c r="D8" i="82"/>
  <c r="F8" i="82"/>
  <c r="G8" i="82"/>
  <c r="P8" i="82"/>
  <c r="Q8" i="82" s="1"/>
  <c r="D9" i="82"/>
  <c r="F9" i="82"/>
  <c r="G9" i="82"/>
  <c r="P9" i="82"/>
  <c r="Q9" i="82" s="1"/>
  <c r="F11" i="82"/>
  <c r="G11" i="82"/>
  <c r="H11" i="82"/>
  <c r="J11" i="82"/>
  <c r="K11" i="82"/>
  <c r="L11" i="82"/>
  <c r="M11" i="82"/>
  <c r="N11" i="82"/>
  <c r="P11" i="82"/>
  <c r="Q11" i="82" s="1"/>
  <c r="A12" i="82"/>
  <c r="F12" i="82"/>
  <c r="G12" i="82"/>
  <c r="H12" i="82"/>
  <c r="J12" i="82"/>
  <c r="K12" i="82"/>
  <c r="L12" i="82"/>
  <c r="M12" i="82"/>
  <c r="N12" i="82"/>
  <c r="P12" i="82"/>
  <c r="Q12" i="82" s="1"/>
  <c r="G2" i="82"/>
  <c r="I2" i="82"/>
  <c r="E3" i="82"/>
  <c r="G3" i="82"/>
  <c r="I3" i="82"/>
  <c r="Q19" i="81"/>
  <c r="A20" i="81"/>
  <c r="A21" i="81" s="1"/>
  <c r="A22" i="81" s="1"/>
  <c r="A23" i="81" s="1"/>
  <c r="Q20" i="81"/>
  <c r="Q21" i="81"/>
  <c r="Q23" i="81"/>
  <c r="D9" i="81"/>
  <c r="F9" i="81"/>
  <c r="G9" i="81"/>
  <c r="P9" i="81"/>
  <c r="Q9" i="81" s="1"/>
  <c r="A10" i="81"/>
  <c r="A11" i="81" s="1"/>
  <c r="A12" i="81" s="1"/>
  <c r="A13" i="81" s="1"/>
  <c r="A14" i="81" s="1"/>
  <c r="D10" i="81"/>
  <c r="F10" i="81"/>
  <c r="G10" i="81"/>
  <c r="P10" i="81"/>
  <c r="Q10" i="81" s="1"/>
  <c r="D11" i="81"/>
  <c r="F11" i="81"/>
  <c r="G11" i="81"/>
  <c r="P11" i="81"/>
  <c r="Q11" i="81" s="1"/>
  <c r="D12" i="81"/>
  <c r="F12" i="81"/>
  <c r="G12" i="81"/>
  <c r="P12" i="81"/>
  <c r="Q12" i="81" s="1"/>
  <c r="D13" i="81"/>
  <c r="F13" i="81"/>
  <c r="G13" i="81"/>
  <c r="P13" i="81"/>
  <c r="Q13" i="81" s="1"/>
  <c r="D14" i="81"/>
  <c r="F14" i="81"/>
  <c r="G14" i="81"/>
  <c r="P14" i="81"/>
  <c r="Q14" i="81" s="1"/>
  <c r="F16" i="81"/>
  <c r="G16" i="81"/>
  <c r="H16" i="81"/>
  <c r="J16" i="81"/>
  <c r="K16" i="81"/>
  <c r="L16" i="81"/>
  <c r="M16" i="81"/>
  <c r="N16" i="81"/>
  <c r="P16" i="81"/>
  <c r="Q16" i="81" s="1"/>
  <c r="A17" i="81"/>
  <c r="F17" i="81"/>
  <c r="G17" i="81"/>
  <c r="H17" i="81"/>
  <c r="J17" i="81"/>
  <c r="K17" i="81"/>
  <c r="L17" i="81"/>
  <c r="M17" i="81"/>
  <c r="N17" i="81"/>
  <c r="P17" i="81"/>
  <c r="Q17" i="81" s="1"/>
  <c r="G2" i="81"/>
  <c r="I2" i="81"/>
  <c r="E3" i="81"/>
  <c r="G3" i="81"/>
  <c r="I3" i="81"/>
  <c r="G2" i="80"/>
  <c r="I2" i="80"/>
  <c r="E3" i="80"/>
  <c r="G3" i="80"/>
  <c r="I3" i="80"/>
  <c r="A22" i="79"/>
  <c r="A23" i="79" s="1"/>
  <c r="A24" i="79" s="1"/>
  <c r="A25" i="79" s="1"/>
  <c r="A26" i="79" s="1"/>
  <c r="A27" i="79" s="1"/>
  <c r="A28" i="79" s="1"/>
  <c r="D21" i="79"/>
  <c r="F21" i="79"/>
  <c r="G21" i="79"/>
  <c r="P21" i="79"/>
  <c r="Q21" i="79" s="1"/>
  <c r="D22" i="79"/>
  <c r="F22" i="79"/>
  <c r="G22" i="79"/>
  <c r="P22" i="79"/>
  <c r="Q22" i="79" s="1"/>
  <c r="D23" i="79"/>
  <c r="F23" i="79"/>
  <c r="G23" i="79"/>
  <c r="P23" i="79"/>
  <c r="Q23" i="79" s="1"/>
  <c r="D24" i="79"/>
  <c r="F24" i="79"/>
  <c r="G24" i="79"/>
  <c r="P24" i="79"/>
  <c r="Q24" i="79" s="1"/>
  <c r="D25" i="79"/>
  <c r="F25" i="79"/>
  <c r="G25" i="79"/>
  <c r="P25" i="79"/>
  <c r="Q25" i="79" s="1"/>
  <c r="D26" i="79"/>
  <c r="F26" i="79"/>
  <c r="G26" i="79"/>
  <c r="P26" i="79"/>
  <c r="Q26" i="79" s="1"/>
  <c r="D27" i="79"/>
  <c r="F27" i="79"/>
  <c r="G27" i="79"/>
  <c r="P27" i="79"/>
  <c r="Q27" i="79" s="1"/>
  <c r="D28" i="79"/>
  <c r="F28" i="79"/>
  <c r="G28" i="79"/>
  <c r="P28" i="79"/>
  <c r="Q28" i="79" s="1"/>
  <c r="F32" i="79"/>
  <c r="G32" i="79"/>
  <c r="H32" i="79"/>
  <c r="J32" i="79"/>
  <c r="K32" i="79"/>
  <c r="L32" i="79"/>
  <c r="M32" i="79"/>
  <c r="N32" i="79"/>
  <c r="P32" i="79"/>
  <c r="Q32" i="79" s="1"/>
  <c r="G2" i="79"/>
  <c r="I2" i="79"/>
  <c r="E3" i="79"/>
  <c r="G3" i="79"/>
  <c r="I3" i="79"/>
  <c r="G2" i="78"/>
  <c r="I2" i="78"/>
  <c r="E3" i="78"/>
  <c r="G3" i="78"/>
  <c r="I3" i="78"/>
  <c r="D22" i="77"/>
  <c r="F22" i="77"/>
  <c r="G22" i="77"/>
  <c r="P22" i="77"/>
  <c r="Q22" i="77" s="1"/>
  <c r="A23" i="77"/>
  <c r="A24" i="77" s="1"/>
  <c r="A25" i="77" s="1"/>
  <c r="A26" i="77" s="1"/>
  <c r="A27" i="77" s="1"/>
  <c r="A28" i="77" s="1"/>
  <c r="A29" i="77" s="1"/>
  <c r="A30" i="77" s="1"/>
  <c r="A31" i="77" s="1"/>
  <c r="A32" i="77" s="1"/>
  <c r="A33" i="77" s="1"/>
  <c r="A34" i="77" s="1"/>
  <c r="A35" i="77" s="1"/>
  <c r="A36" i="77" s="1"/>
  <c r="A37" i="77" s="1"/>
  <c r="A38" i="77" s="1"/>
  <c r="A39" i="77" s="1"/>
  <c r="A40" i="77" s="1"/>
  <c r="A41" i="77" s="1"/>
  <c r="A42" i="77" s="1"/>
  <c r="A43" i="77" s="1"/>
  <c r="A44" i="77" s="1"/>
  <c r="A45" i="77" s="1"/>
  <c r="A46" i="77" s="1"/>
  <c r="D23" i="77"/>
  <c r="F23" i="77"/>
  <c r="G23" i="77"/>
  <c r="P23" i="77"/>
  <c r="Q23" i="77" s="1"/>
  <c r="D24" i="77"/>
  <c r="F24" i="77"/>
  <c r="G24" i="77"/>
  <c r="P24" i="77"/>
  <c r="Q24" i="77" s="1"/>
  <c r="D25" i="77"/>
  <c r="F25" i="77"/>
  <c r="G25" i="77"/>
  <c r="P25" i="77"/>
  <c r="Q25" i="77" s="1"/>
  <c r="D26" i="77"/>
  <c r="F26" i="77"/>
  <c r="G26" i="77"/>
  <c r="P26" i="77"/>
  <c r="Q26" i="77" s="1"/>
  <c r="D27" i="77"/>
  <c r="F27" i="77"/>
  <c r="G27" i="77"/>
  <c r="P27" i="77"/>
  <c r="Q27" i="77" s="1"/>
  <c r="D28" i="77"/>
  <c r="F28" i="77"/>
  <c r="G28" i="77"/>
  <c r="P28" i="77"/>
  <c r="Q28" i="77" s="1"/>
  <c r="D29" i="77"/>
  <c r="F29" i="77"/>
  <c r="G29" i="77"/>
  <c r="P29" i="77"/>
  <c r="Q29" i="77" s="1"/>
  <c r="D30" i="77"/>
  <c r="F30" i="77"/>
  <c r="G30" i="77"/>
  <c r="P30" i="77"/>
  <c r="Q30" i="77" s="1"/>
  <c r="D31" i="77"/>
  <c r="F31" i="77"/>
  <c r="G31" i="77"/>
  <c r="P31" i="77"/>
  <c r="Q31" i="77" s="1"/>
  <c r="D32" i="77"/>
  <c r="F32" i="77"/>
  <c r="G32" i="77"/>
  <c r="P32" i="77"/>
  <c r="Q32" i="77" s="1"/>
  <c r="D33" i="77"/>
  <c r="F33" i="77"/>
  <c r="G33" i="77"/>
  <c r="P33" i="77"/>
  <c r="Q33" i="77" s="1"/>
  <c r="D34" i="77"/>
  <c r="F34" i="77"/>
  <c r="G34" i="77"/>
  <c r="P34" i="77"/>
  <c r="Q34" i="77" s="1"/>
  <c r="D35" i="77"/>
  <c r="F35" i="77"/>
  <c r="G35" i="77"/>
  <c r="P35" i="77"/>
  <c r="Q35" i="77" s="1"/>
  <c r="F48" i="77"/>
  <c r="G48" i="77"/>
  <c r="H48" i="77"/>
  <c r="J48" i="77"/>
  <c r="K48" i="77"/>
  <c r="L48" i="77"/>
  <c r="M48" i="77"/>
  <c r="N48" i="77"/>
  <c r="P48" i="77"/>
  <c r="Q48" i="77" s="1"/>
  <c r="F49" i="77"/>
  <c r="G49" i="77"/>
  <c r="H49" i="77"/>
  <c r="J49" i="77"/>
  <c r="K49" i="77"/>
  <c r="L49" i="77"/>
  <c r="M49" i="77"/>
  <c r="N49" i="77"/>
  <c r="P49" i="77"/>
  <c r="Q49" i="77" s="1"/>
  <c r="F50" i="77"/>
  <c r="G50" i="77"/>
  <c r="H50" i="77"/>
  <c r="J50" i="77"/>
  <c r="K50" i="77"/>
  <c r="L50" i="77"/>
  <c r="M50" i="77"/>
  <c r="N50" i="77"/>
  <c r="P50" i="77"/>
  <c r="Q50" i="77" s="1"/>
  <c r="F51" i="77"/>
  <c r="G51" i="77"/>
  <c r="H51" i="77"/>
  <c r="J51" i="77"/>
  <c r="K51" i="77"/>
  <c r="L51" i="77"/>
  <c r="M51" i="77"/>
  <c r="N51" i="77"/>
  <c r="P51" i="77"/>
  <c r="Q51" i="77" s="1"/>
  <c r="F52" i="77"/>
  <c r="G52" i="77"/>
  <c r="H52" i="77"/>
  <c r="J52" i="77"/>
  <c r="K52" i="77"/>
  <c r="L52" i="77"/>
  <c r="M52" i="77"/>
  <c r="N52" i="77"/>
  <c r="P52" i="77"/>
  <c r="Q52" i="77" s="1"/>
  <c r="F56" i="77"/>
  <c r="G56" i="77"/>
  <c r="H56" i="77"/>
  <c r="J56" i="77"/>
  <c r="K56" i="77"/>
  <c r="L56" i="77"/>
  <c r="M56" i="77"/>
  <c r="N56" i="77"/>
  <c r="P56" i="77"/>
  <c r="Q56" i="77" s="1"/>
  <c r="F57" i="77"/>
  <c r="G57" i="77"/>
  <c r="H57" i="77"/>
  <c r="J57" i="77"/>
  <c r="K57" i="77"/>
  <c r="L57" i="77"/>
  <c r="M57" i="77"/>
  <c r="N57" i="77"/>
  <c r="P57" i="77"/>
  <c r="Q57" i="77" s="1"/>
  <c r="A20" i="77"/>
  <c r="G2" i="77"/>
  <c r="I2" i="77"/>
  <c r="E3" i="77"/>
  <c r="G3" i="77"/>
  <c r="I3" i="77"/>
  <c r="D15" i="76"/>
  <c r="F15" i="76"/>
  <c r="G15" i="76"/>
  <c r="P15" i="76"/>
  <c r="Q15" i="76" s="1"/>
  <c r="A16" i="76"/>
  <c r="A17" i="76" s="1"/>
  <c r="A18" i="76" s="1"/>
  <c r="A19" i="76" s="1"/>
  <c r="A20" i="76" s="1"/>
  <c r="A21" i="76" s="1"/>
  <c r="A22" i="76" s="1"/>
  <c r="D16" i="76"/>
  <c r="F16" i="76"/>
  <c r="G16" i="76"/>
  <c r="P16" i="76"/>
  <c r="Q16" i="76" s="1"/>
  <c r="D17" i="76"/>
  <c r="F17" i="76"/>
  <c r="G17" i="76"/>
  <c r="P17" i="76"/>
  <c r="Q17" i="76" s="1"/>
  <c r="D18" i="76"/>
  <c r="F18" i="76"/>
  <c r="G18" i="76"/>
  <c r="P18" i="76"/>
  <c r="Q18" i="76" s="1"/>
  <c r="D21" i="76"/>
  <c r="D22" i="76"/>
  <c r="F22" i="76"/>
  <c r="G22" i="76"/>
  <c r="P22" i="76"/>
  <c r="Q22" i="76" s="1"/>
  <c r="F24" i="76"/>
  <c r="G24" i="76"/>
  <c r="H24" i="76"/>
  <c r="J24" i="76"/>
  <c r="K24" i="76"/>
  <c r="L24" i="76"/>
  <c r="M24" i="76"/>
  <c r="N24" i="76"/>
  <c r="P24" i="76"/>
  <c r="Q24" i="76" s="1"/>
  <c r="F25" i="76"/>
  <c r="G25" i="76"/>
  <c r="H25" i="76"/>
  <c r="J25" i="76"/>
  <c r="K25" i="76"/>
  <c r="L25" i="76"/>
  <c r="M25" i="76"/>
  <c r="N25" i="76"/>
  <c r="P25" i="76"/>
  <c r="Q25" i="76" s="1"/>
  <c r="Q26" i="76"/>
  <c r="F27" i="76"/>
  <c r="G27" i="76"/>
  <c r="H27" i="76"/>
  <c r="J27" i="76"/>
  <c r="K27" i="76"/>
  <c r="L27" i="76"/>
  <c r="M27" i="76"/>
  <c r="N27" i="76"/>
  <c r="P27" i="76"/>
  <c r="Q27" i="76" s="1"/>
  <c r="F28" i="76"/>
  <c r="G28" i="76"/>
  <c r="H28" i="76"/>
  <c r="J28" i="76"/>
  <c r="K28" i="76"/>
  <c r="L28" i="76"/>
  <c r="M28" i="76"/>
  <c r="N28" i="76"/>
  <c r="P28" i="76"/>
  <c r="Q28" i="76" s="1"/>
  <c r="F29" i="76"/>
  <c r="G29" i="76"/>
  <c r="H29" i="76"/>
  <c r="J29" i="76"/>
  <c r="K29" i="76"/>
  <c r="L29" i="76"/>
  <c r="M29" i="76"/>
  <c r="N29" i="76"/>
  <c r="P29" i="76"/>
  <c r="Q29" i="76" s="1"/>
  <c r="G2" i="76"/>
  <c r="I2" i="76"/>
  <c r="E3" i="76"/>
  <c r="G3" i="76"/>
  <c r="I3" i="76"/>
  <c r="D16" i="75"/>
  <c r="F16" i="75"/>
  <c r="G16" i="75"/>
  <c r="P16" i="75"/>
  <c r="Q16" i="75" s="1"/>
  <c r="A17" i="75"/>
  <c r="A18" i="75" s="1"/>
  <c r="A19" i="75" s="1"/>
  <c r="D17" i="75"/>
  <c r="F17" i="75"/>
  <c r="G17" i="75"/>
  <c r="P17" i="75"/>
  <c r="Q17" i="75" s="1"/>
  <c r="D18" i="75"/>
  <c r="F18" i="75"/>
  <c r="G18" i="75"/>
  <c r="P18" i="75"/>
  <c r="Q18" i="75" s="1"/>
  <c r="D19" i="75"/>
  <c r="F19" i="75"/>
  <c r="G19" i="75"/>
  <c r="P19" i="75"/>
  <c r="Q19" i="75" s="1"/>
  <c r="D20" i="75"/>
  <c r="F20" i="75"/>
  <c r="G20" i="75"/>
  <c r="P20" i="75"/>
  <c r="Q20" i="75" s="1"/>
  <c r="D22" i="75"/>
  <c r="F22" i="75"/>
  <c r="G22" i="75"/>
  <c r="P22" i="75"/>
  <c r="Q22" i="75" s="1"/>
  <c r="D23" i="75"/>
  <c r="F23" i="75"/>
  <c r="G23" i="75"/>
  <c r="P23" i="75"/>
  <c r="Q23" i="75" s="1"/>
  <c r="D24" i="75"/>
  <c r="F24" i="75"/>
  <c r="G24" i="75"/>
  <c r="P24" i="75"/>
  <c r="Q24" i="75" s="1"/>
  <c r="D25" i="75"/>
  <c r="F25" i="75"/>
  <c r="G25" i="75"/>
  <c r="P25" i="75"/>
  <c r="Q25" i="75" s="1"/>
  <c r="D26" i="75"/>
  <c r="F26" i="75"/>
  <c r="G26" i="75"/>
  <c r="P26" i="75"/>
  <c r="Q26" i="75" s="1"/>
  <c r="F32" i="75"/>
  <c r="G32" i="75"/>
  <c r="H32" i="75"/>
  <c r="J32" i="75"/>
  <c r="K32" i="75"/>
  <c r="L32" i="75"/>
  <c r="M32" i="75"/>
  <c r="N32" i="75"/>
  <c r="P32" i="75"/>
  <c r="Q32" i="75" s="1"/>
  <c r="A33" i="75"/>
  <c r="A34" i="75" s="1"/>
  <c r="F33" i="75"/>
  <c r="G33" i="75"/>
  <c r="H33" i="75"/>
  <c r="J33" i="75"/>
  <c r="K33" i="75"/>
  <c r="L33" i="75"/>
  <c r="M33" i="75"/>
  <c r="N33" i="75"/>
  <c r="P33" i="75"/>
  <c r="Q33" i="75" s="1"/>
  <c r="F34" i="75"/>
  <c r="G34" i="75"/>
  <c r="H34" i="75"/>
  <c r="J34" i="75"/>
  <c r="K34" i="75"/>
  <c r="L34" i="75"/>
  <c r="M34" i="75"/>
  <c r="N34" i="75"/>
  <c r="P34" i="75"/>
  <c r="Q34" i="75" s="1"/>
  <c r="G2" i="75"/>
  <c r="I2" i="75"/>
  <c r="E3" i="75"/>
  <c r="G3" i="75"/>
  <c r="I3" i="75"/>
  <c r="D11" i="74"/>
  <c r="F11" i="74"/>
  <c r="G11" i="74"/>
  <c r="P11" i="74"/>
  <c r="Q11" i="74" s="1"/>
  <c r="A12" i="74"/>
  <c r="D12" i="74"/>
  <c r="F12" i="74"/>
  <c r="G12" i="74"/>
  <c r="P12" i="74"/>
  <c r="Q12" i="74" s="1"/>
  <c r="F14" i="74"/>
  <c r="G14" i="74"/>
  <c r="H14" i="74"/>
  <c r="J14" i="74"/>
  <c r="K14" i="74"/>
  <c r="L14" i="74"/>
  <c r="M14" i="74"/>
  <c r="N14" i="74"/>
  <c r="P14" i="74"/>
  <c r="Q14" i="74" s="1"/>
  <c r="A15" i="74"/>
  <c r="F15" i="74"/>
  <c r="G15" i="74"/>
  <c r="H15" i="74"/>
  <c r="J15" i="74"/>
  <c r="K15" i="74"/>
  <c r="L15" i="74"/>
  <c r="M15" i="74"/>
  <c r="N15" i="74"/>
  <c r="P15" i="74"/>
  <c r="Q15" i="74" s="1"/>
  <c r="G2" i="74"/>
  <c r="I2" i="74"/>
  <c r="E3" i="74"/>
  <c r="G3" i="74"/>
  <c r="I3" i="74"/>
  <c r="D8" i="72"/>
  <c r="F8" i="72"/>
  <c r="G8" i="72"/>
  <c r="P8" i="72"/>
  <c r="Q8" i="72" s="1"/>
  <c r="A9" i="72"/>
  <c r="A10" i="72" s="1"/>
  <c r="A11" i="72" s="1"/>
  <c r="D9" i="72"/>
  <c r="F9" i="72"/>
  <c r="G9" i="72"/>
  <c r="P9" i="72"/>
  <c r="Q9" i="72" s="1"/>
  <c r="D10" i="72"/>
  <c r="F10" i="72"/>
  <c r="G10" i="72"/>
  <c r="P10" i="72"/>
  <c r="Q10" i="72" s="1"/>
  <c r="F13" i="72"/>
  <c r="G13" i="72"/>
  <c r="H13" i="72"/>
  <c r="J13" i="72"/>
  <c r="K13" i="72"/>
  <c r="L13" i="72"/>
  <c r="M13" i="72"/>
  <c r="N13" i="72"/>
  <c r="P13" i="72"/>
  <c r="Q13" i="72" s="1"/>
  <c r="A14" i="72"/>
  <c r="A15" i="72" s="1"/>
  <c r="A16" i="72" s="1"/>
  <c r="A17" i="72" s="1"/>
  <c r="F14" i="72"/>
  <c r="G14" i="72"/>
  <c r="H14" i="72"/>
  <c r="J14" i="72"/>
  <c r="K14" i="72"/>
  <c r="L14" i="72"/>
  <c r="M14" i="72"/>
  <c r="N14" i="72"/>
  <c r="P14" i="72"/>
  <c r="Q14" i="72" s="1"/>
  <c r="F15" i="72"/>
  <c r="G15" i="72"/>
  <c r="H15" i="72"/>
  <c r="J15" i="72"/>
  <c r="K15" i="72"/>
  <c r="L15" i="72"/>
  <c r="M15" i="72"/>
  <c r="N15" i="72"/>
  <c r="P15" i="72"/>
  <c r="Q15" i="72" s="1"/>
  <c r="F16" i="72"/>
  <c r="G16" i="72"/>
  <c r="H16" i="72"/>
  <c r="J16" i="72"/>
  <c r="K16" i="72"/>
  <c r="L16" i="72"/>
  <c r="M16" i="72"/>
  <c r="N16" i="72"/>
  <c r="P16" i="72"/>
  <c r="Q16" i="72" s="1"/>
  <c r="F17" i="72"/>
  <c r="G17" i="72"/>
  <c r="H17" i="72"/>
  <c r="J17" i="72"/>
  <c r="K17" i="72"/>
  <c r="L17" i="72"/>
  <c r="M17" i="72"/>
  <c r="N17" i="72"/>
  <c r="P17" i="72"/>
  <c r="Q17" i="72" s="1"/>
  <c r="G2" i="72"/>
  <c r="I2" i="72"/>
  <c r="E3" i="72"/>
  <c r="G3" i="72"/>
  <c r="I3" i="72"/>
  <c r="D8" i="71"/>
  <c r="F8" i="71"/>
  <c r="G8" i="71"/>
  <c r="P8" i="71"/>
  <c r="Q8" i="71" s="1"/>
  <c r="A9" i="71"/>
  <c r="A10" i="71" s="1"/>
  <c r="D9" i="71"/>
  <c r="F9" i="71"/>
  <c r="G9" i="71"/>
  <c r="P9" i="71"/>
  <c r="Q9" i="71" s="1"/>
  <c r="D10" i="71"/>
  <c r="F10" i="71"/>
  <c r="G10" i="71"/>
  <c r="P10" i="71"/>
  <c r="Q10" i="71" s="1"/>
  <c r="F12" i="71"/>
  <c r="G12" i="71"/>
  <c r="H12" i="71"/>
  <c r="J12" i="71"/>
  <c r="K12" i="71"/>
  <c r="L12" i="71"/>
  <c r="M12" i="71"/>
  <c r="N12" i="71"/>
  <c r="P12" i="71"/>
  <c r="Q12" i="71" s="1"/>
  <c r="G2" i="71"/>
  <c r="I2" i="71"/>
  <c r="E3" i="71"/>
  <c r="G3" i="71"/>
  <c r="I3" i="71"/>
  <c r="D7" i="70"/>
  <c r="F7" i="70"/>
  <c r="G7" i="70"/>
  <c r="P7" i="70"/>
  <c r="Q7" i="70" s="1"/>
  <c r="A8" i="70"/>
  <c r="A9" i="70" s="1"/>
  <c r="D8" i="70"/>
  <c r="F8" i="70"/>
  <c r="G8" i="70"/>
  <c r="P8" i="70"/>
  <c r="Q8" i="70" s="1"/>
  <c r="D9" i="70"/>
  <c r="F9" i="70"/>
  <c r="G9" i="70"/>
  <c r="P9" i="70"/>
  <c r="Q9" i="70" s="1"/>
  <c r="F11" i="70"/>
  <c r="G11" i="70"/>
  <c r="H11" i="70"/>
  <c r="J11" i="70"/>
  <c r="K11" i="70"/>
  <c r="L11" i="70"/>
  <c r="M11" i="70"/>
  <c r="N11" i="70"/>
  <c r="P11" i="70"/>
  <c r="Q11" i="70" s="1"/>
  <c r="A12" i="70"/>
  <c r="F12" i="70"/>
  <c r="G12" i="70"/>
  <c r="H12" i="70"/>
  <c r="J12" i="70"/>
  <c r="K12" i="70"/>
  <c r="L12" i="70"/>
  <c r="M12" i="70"/>
  <c r="N12" i="70"/>
  <c r="P12" i="70"/>
  <c r="Q12" i="70" s="1"/>
  <c r="G2" i="70"/>
  <c r="I2" i="70"/>
  <c r="E3" i="70"/>
  <c r="G3" i="70"/>
  <c r="I3" i="70"/>
  <c r="A35" i="69"/>
  <c r="A36" i="69" s="1"/>
  <c r="A37" i="69" s="1"/>
  <c r="A38" i="69" s="1"/>
  <c r="A39" i="69" s="1"/>
  <c r="A40" i="69" s="1"/>
  <c r="A41" i="69" s="1"/>
  <c r="A42" i="69" s="1"/>
  <c r="A43" i="69" s="1"/>
  <c r="A44" i="69" s="1"/>
  <c r="A45" i="69" s="1"/>
  <c r="G2" i="69"/>
  <c r="I2" i="69"/>
  <c r="E3" i="69"/>
  <c r="G3" i="69"/>
  <c r="I3" i="69"/>
  <c r="G2" i="68"/>
  <c r="I2" i="68"/>
  <c r="E3" i="68"/>
  <c r="G3" i="68"/>
  <c r="I3" i="68"/>
  <c r="D16" i="67"/>
  <c r="F16" i="67"/>
  <c r="G16" i="67"/>
  <c r="P16" i="67"/>
  <c r="Q16" i="67" s="1"/>
  <c r="D17" i="67"/>
  <c r="F17" i="67"/>
  <c r="G17" i="67"/>
  <c r="P17" i="67"/>
  <c r="Q17" i="67" s="1"/>
  <c r="D18" i="67"/>
  <c r="F18" i="67"/>
  <c r="G18" i="67"/>
  <c r="P18" i="67"/>
  <c r="Q18" i="67" s="1"/>
  <c r="D19" i="67"/>
  <c r="F19" i="67"/>
  <c r="G19" i="67"/>
  <c r="P19" i="67"/>
  <c r="Q19" i="67" s="1"/>
  <c r="D20" i="67"/>
  <c r="F20" i="67"/>
  <c r="G20" i="67"/>
  <c r="P20" i="67"/>
  <c r="Q20" i="67" s="1"/>
  <c r="D29" i="67"/>
  <c r="F29" i="67"/>
  <c r="G29" i="67"/>
  <c r="P29" i="67"/>
  <c r="Q29" i="67" s="1"/>
  <c r="D31" i="67"/>
  <c r="F31" i="67"/>
  <c r="G31" i="67"/>
  <c r="P31" i="67"/>
  <c r="Q31" i="67" s="1"/>
  <c r="F37" i="67"/>
  <c r="G37" i="67"/>
  <c r="H37" i="67"/>
  <c r="J37" i="67"/>
  <c r="K37" i="67"/>
  <c r="L37" i="67"/>
  <c r="M37" i="67"/>
  <c r="N37" i="67"/>
  <c r="P37" i="67"/>
  <c r="Q37" i="67" s="1"/>
  <c r="A38" i="67"/>
  <c r="A39" i="67" s="1"/>
  <c r="A40" i="67" s="1"/>
  <c r="A41" i="67" s="1"/>
  <c r="A42" i="67" s="1"/>
  <c r="A43" i="67" s="1"/>
  <c r="A44" i="67" s="1"/>
  <c r="A45" i="67" s="1"/>
  <c r="A46" i="67" s="1"/>
  <c r="A47" i="67" s="1"/>
  <c r="A48" i="67" s="1"/>
  <c r="F38" i="67"/>
  <c r="G38" i="67"/>
  <c r="H38" i="67"/>
  <c r="J38" i="67"/>
  <c r="K38" i="67"/>
  <c r="L38" i="67"/>
  <c r="M38" i="67"/>
  <c r="N38" i="67"/>
  <c r="P38" i="67"/>
  <c r="Q38" i="67" s="1"/>
  <c r="F39" i="67"/>
  <c r="G39" i="67"/>
  <c r="H39" i="67"/>
  <c r="J39" i="67"/>
  <c r="K39" i="67"/>
  <c r="L39" i="67"/>
  <c r="M39" i="67"/>
  <c r="N39" i="67"/>
  <c r="P39" i="67"/>
  <c r="Q39" i="67" s="1"/>
  <c r="F40" i="67"/>
  <c r="G40" i="67"/>
  <c r="H40" i="67"/>
  <c r="J40" i="67"/>
  <c r="K40" i="67"/>
  <c r="L40" i="67"/>
  <c r="M40" i="67"/>
  <c r="N40" i="67"/>
  <c r="P40" i="67"/>
  <c r="Q40" i="67" s="1"/>
  <c r="F41" i="67"/>
  <c r="G41" i="67"/>
  <c r="H41" i="67"/>
  <c r="J41" i="67"/>
  <c r="K41" i="67"/>
  <c r="L41" i="67"/>
  <c r="M41" i="67"/>
  <c r="N41" i="67"/>
  <c r="P41" i="67"/>
  <c r="Q41" i="67" s="1"/>
  <c r="F42" i="67"/>
  <c r="G42" i="67"/>
  <c r="H42" i="67"/>
  <c r="J42" i="67"/>
  <c r="K42" i="67"/>
  <c r="L42" i="67"/>
  <c r="M42" i="67"/>
  <c r="N42" i="67"/>
  <c r="P42" i="67"/>
  <c r="Q42" i="67" s="1"/>
  <c r="F44" i="67"/>
  <c r="G44" i="67"/>
  <c r="H44" i="67"/>
  <c r="J44" i="67"/>
  <c r="K44" i="67"/>
  <c r="L44" i="67"/>
  <c r="M44" i="67"/>
  <c r="N44" i="67"/>
  <c r="P44" i="67"/>
  <c r="Q44" i="67" s="1"/>
  <c r="G2" i="67"/>
  <c r="I2" i="67"/>
  <c r="E3" i="67"/>
  <c r="G3" i="67"/>
  <c r="I3" i="67"/>
  <c r="D22" i="66"/>
  <c r="F22" i="66"/>
  <c r="G22" i="66"/>
  <c r="P22" i="66"/>
  <c r="Q22" i="66" s="1"/>
  <c r="D23" i="66"/>
  <c r="F23" i="66"/>
  <c r="G23" i="66"/>
  <c r="P23" i="66"/>
  <c r="Q23" i="66" s="1"/>
  <c r="D24" i="66"/>
  <c r="F24" i="66"/>
  <c r="G24" i="66"/>
  <c r="P24" i="66"/>
  <c r="Q24" i="66" s="1"/>
  <c r="D25" i="66"/>
  <c r="F25" i="66"/>
  <c r="G25" i="66"/>
  <c r="P25" i="66"/>
  <c r="Q25" i="66" s="1"/>
  <c r="D26" i="66"/>
  <c r="F26" i="66"/>
  <c r="G26" i="66"/>
  <c r="P26" i="66"/>
  <c r="Q26" i="66" s="1"/>
  <c r="D27" i="66"/>
  <c r="F27" i="66"/>
  <c r="G27" i="66"/>
  <c r="P27" i="66"/>
  <c r="Q27" i="66" s="1"/>
  <c r="D28" i="66"/>
  <c r="F28" i="66"/>
  <c r="G28" i="66"/>
  <c r="P28" i="66"/>
  <c r="Q28" i="66" s="1"/>
  <c r="D29" i="66"/>
  <c r="F29" i="66"/>
  <c r="G29" i="66"/>
  <c r="P29" i="66"/>
  <c r="Q29" i="66" s="1"/>
  <c r="D39" i="66"/>
  <c r="F39" i="66"/>
  <c r="G39" i="66"/>
  <c r="P39" i="66"/>
  <c r="Q39" i="66" s="1"/>
  <c r="F57" i="66"/>
  <c r="G57" i="66"/>
  <c r="H57" i="66"/>
  <c r="J57" i="66"/>
  <c r="K57" i="66"/>
  <c r="L57" i="66"/>
  <c r="M57" i="66"/>
  <c r="N57" i="66"/>
  <c r="P57" i="66"/>
  <c r="Q57" i="66" s="1"/>
  <c r="F60" i="66"/>
  <c r="G60" i="66"/>
  <c r="H60" i="66"/>
  <c r="J60" i="66"/>
  <c r="K60" i="66"/>
  <c r="L60" i="66"/>
  <c r="M60" i="66"/>
  <c r="N60" i="66"/>
  <c r="P60" i="66"/>
  <c r="Q60" i="66" s="1"/>
  <c r="F61" i="66"/>
  <c r="G61" i="66"/>
  <c r="H61" i="66"/>
  <c r="J61" i="66"/>
  <c r="K61" i="66"/>
  <c r="L61" i="66"/>
  <c r="M61" i="66"/>
  <c r="N61" i="66"/>
  <c r="P61" i="66"/>
  <c r="Q61" i="66" s="1"/>
  <c r="G2" i="66"/>
  <c r="I2" i="66"/>
  <c r="E3" i="66"/>
  <c r="G3" i="66"/>
  <c r="I3" i="66"/>
  <c r="D7" i="65"/>
  <c r="F7" i="65"/>
  <c r="G7" i="65"/>
  <c r="P7" i="65"/>
  <c r="Q7" i="65" s="1"/>
  <c r="A8" i="65"/>
  <c r="A9" i="65" s="1"/>
  <c r="A10" i="65" s="1"/>
  <c r="D8" i="65"/>
  <c r="F8" i="65"/>
  <c r="G8" i="65"/>
  <c r="P8" i="65"/>
  <c r="Q8" i="65" s="1"/>
  <c r="F12" i="65"/>
  <c r="G12" i="65"/>
  <c r="H12" i="65"/>
  <c r="J12" i="65"/>
  <c r="K12" i="65"/>
  <c r="L12" i="65"/>
  <c r="M12" i="65"/>
  <c r="N12" i="65"/>
  <c r="P12" i="65"/>
  <c r="Q12" i="65" s="1"/>
  <c r="A13" i="65"/>
  <c r="A14" i="65" s="1"/>
  <c r="F13" i="65"/>
  <c r="G13" i="65"/>
  <c r="H13" i="65"/>
  <c r="J13" i="65"/>
  <c r="K13" i="65"/>
  <c r="L13" i="65"/>
  <c r="M13" i="65"/>
  <c r="N13" i="65"/>
  <c r="P13" i="65"/>
  <c r="Q13" i="65" s="1"/>
  <c r="F14" i="65"/>
  <c r="G14" i="65"/>
  <c r="H14" i="65"/>
  <c r="J14" i="65"/>
  <c r="K14" i="65"/>
  <c r="L14" i="65"/>
  <c r="M14" i="65"/>
  <c r="N14" i="65"/>
  <c r="P14" i="65"/>
  <c r="Q14" i="65" s="1"/>
  <c r="G2" i="65"/>
  <c r="I2" i="65"/>
  <c r="E3" i="65"/>
  <c r="G3" i="65"/>
  <c r="I3" i="65"/>
  <c r="D7" i="64"/>
  <c r="F7" i="64"/>
  <c r="G7" i="64"/>
  <c r="P7" i="64"/>
  <c r="Q7" i="64" s="1"/>
  <c r="A8" i="64"/>
  <c r="A9" i="64" s="1"/>
  <c r="A10" i="64" s="1"/>
  <c r="A11" i="64" s="1"/>
  <c r="A12" i="64" s="1"/>
  <c r="A13" i="64" s="1"/>
  <c r="A14" i="64" s="1"/>
  <c r="D8" i="64"/>
  <c r="F8" i="64"/>
  <c r="G8" i="64"/>
  <c r="P8" i="64"/>
  <c r="Q8" i="64" s="1"/>
  <c r="D9" i="64"/>
  <c r="F9" i="64"/>
  <c r="G9" i="64"/>
  <c r="P9" i="64"/>
  <c r="Q9" i="64" s="1"/>
  <c r="D10" i="64"/>
  <c r="F10" i="64"/>
  <c r="G10" i="64"/>
  <c r="P10" i="64"/>
  <c r="Q10" i="64" s="1"/>
  <c r="F16" i="64"/>
  <c r="G16" i="64"/>
  <c r="H16" i="64"/>
  <c r="J16" i="64"/>
  <c r="K16" i="64"/>
  <c r="L16" i="64"/>
  <c r="M16" i="64"/>
  <c r="N16" i="64"/>
  <c r="P16" i="64"/>
  <c r="Q16" i="64" s="1"/>
  <c r="A17" i="64"/>
  <c r="A18" i="64" s="1"/>
  <c r="A19" i="64" s="1"/>
  <c r="F17" i="64"/>
  <c r="G17" i="64"/>
  <c r="H17" i="64"/>
  <c r="J17" i="64"/>
  <c r="K17" i="64"/>
  <c r="L17" i="64"/>
  <c r="M17" i="64"/>
  <c r="N17" i="64"/>
  <c r="P17" i="64"/>
  <c r="Q17" i="64" s="1"/>
  <c r="F18" i="64"/>
  <c r="G18" i="64"/>
  <c r="H18" i="64"/>
  <c r="J18" i="64"/>
  <c r="K18" i="64"/>
  <c r="L18" i="64"/>
  <c r="M18" i="64"/>
  <c r="N18" i="64"/>
  <c r="P18" i="64"/>
  <c r="Q18" i="64" s="1"/>
  <c r="F19" i="64"/>
  <c r="G19" i="64"/>
  <c r="H19" i="64"/>
  <c r="J19" i="64"/>
  <c r="K19" i="64"/>
  <c r="L19" i="64"/>
  <c r="M19" i="64"/>
  <c r="N19" i="64"/>
  <c r="P19" i="64"/>
  <c r="Q19" i="64" s="1"/>
  <c r="G2" i="64"/>
  <c r="I2" i="64"/>
  <c r="E3" i="64"/>
  <c r="G3" i="64"/>
  <c r="I3" i="64"/>
  <c r="A37" i="63"/>
  <c r="A38" i="63" s="1"/>
  <c r="A39" i="63" s="1"/>
  <c r="A40" i="63" s="1"/>
  <c r="A41" i="63" s="1"/>
  <c r="A42" i="63" s="1"/>
  <c r="A43" i="63" s="1"/>
  <c r="A44" i="63" s="1"/>
  <c r="A45" i="63" s="1"/>
  <c r="A46" i="63" s="1"/>
  <c r="A47" i="63" s="1"/>
  <c r="A48" i="63" s="1"/>
  <c r="A49" i="63" s="1"/>
  <c r="A50" i="63" s="1"/>
  <c r="D25" i="63"/>
  <c r="F25" i="63"/>
  <c r="G25" i="63"/>
  <c r="P25" i="63"/>
  <c r="Q25" i="63" s="1"/>
  <c r="G2" i="63"/>
  <c r="I2" i="63"/>
  <c r="E3" i="63"/>
  <c r="G3" i="63"/>
  <c r="I3" i="63"/>
  <c r="D11" i="62"/>
  <c r="F11" i="62"/>
  <c r="G11" i="62"/>
  <c r="P11" i="62"/>
  <c r="Q11" i="62" s="1"/>
  <c r="A12" i="62"/>
  <c r="D12" i="62"/>
  <c r="F12" i="62"/>
  <c r="G12" i="62"/>
  <c r="P12" i="62"/>
  <c r="Q12" i="62" s="1"/>
  <c r="G2" i="62"/>
  <c r="I2" i="62"/>
  <c r="E3" i="62"/>
  <c r="G3" i="62"/>
  <c r="I3" i="62"/>
  <c r="D7" i="61"/>
  <c r="F7" i="61"/>
  <c r="G7" i="61"/>
  <c r="P7" i="61"/>
  <c r="Q7" i="61" s="1"/>
  <c r="A8" i="61"/>
  <c r="A9" i="61" s="1"/>
  <c r="D8" i="61"/>
  <c r="F8" i="61"/>
  <c r="G8" i="61"/>
  <c r="P8" i="61"/>
  <c r="Q8" i="61" s="1"/>
  <c r="D9" i="61"/>
  <c r="F9" i="61"/>
  <c r="G9" i="61"/>
  <c r="P9" i="61"/>
  <c r="Q9" i="61" s="1"/>
  <c r="F11" i="61"/>
  <c r="G11" i="61"/>
  <c r="H11" i="61"/>
  <c r="J11" i="61"/>
  <c r="K11" i="61"/>
  <c r="L11" i="61"/>
  <c r="M11" i="61"/>
  <c r="N11" i="61"/>
  <c r="P11" i="61"/>
  <c r="Q11" i="61" s="1"/>
  <c r="A12" i="61"/>
  <c r="F12" i="61"/>
  <c r="G12" i="61"/>
  <c r="H12" i="61"/>
  <c r="J12" i="61"/>
  <c r="K12" i="61"/>
  <c r="L12" i="61"/>
  <c r="M12" i="61"/>
  <c r="N12" i="61"/>
  <c r="P12" i="61"/>
  <c r="Q12" i="61" s="1"/>
  <c r="G2" i="61"/>
  <c r="I2" i="61"/>
  <c r="E3" i="61"/>
  <c r="G3" i="61"/>
  <c r="I3" i="61"/>
  <c r="D7" i="60"/>
  <c r="F7" i="60"/>
  <c r="G7" i="60"/>
  <c r="P7" i="60"/>
  <c r="Q7" i="60" s="1"/>
  <c r="A8" i="60"/>
  <c r="A9" i="60" s="1"/>
  <c r="A10" i="60" s="1"/>
  <c r="D8" i="60"/>
  <c r="F8" i="60"/>
  <c r="G8" i="60"/>
  <c r="P8" i="60"/>
  <c r="Q8" i="60" s="1"/>
  <c r="D9" i="60"/>
  <c r="F9" i="60"/>
  <c r="G9" i="60"/>
  <c r="P9" i="60"/>
  <c r="Q9" i="60" s="1"/>
  <c r="D10" i="60"/>
  <c r="F10" i="60"/>
  <c r="G10" i="60"/>
  <c r="P10" i="60"/>
  <c r="Q10" i="60" s="1"/>
  <c r="F12" i="60"/>
  <c r="G12" i="60"/>
  <c r="H12" i="60"/>
  <c r="J12" i="60"/>
  <c r="K12" i="60"/>
  <c r="L12" i="60"/>
  <c r="M12" i="60"/>
  <c r="N12" i="60"/>
  <c r="P12" i="60"/>
  <c r="Q12" i="60" s="1"/>
  <c r="A13" i="60"/>
  <c r="A14" i="60" s="1"/>
  <c r="F13" i="60"/>
  <c r="G13" i="60"/>
  <c r="H13" i="60"/>
  <c r="J13" i="60"/>
  <c r="K13" i="60"/>
  <c r="L13" i="60"/>
  <c r="M13" i="60"/>
  <c r="N13" i="60"/>
  <c r="P13" i="60"/>
  <c r="Q13" i="60" s="1"/>
  <c r="F14" i="60"/>
  <c r="G14" i="60"/>
  <c r="H14" i="60"/>
  <c r="J14" i="60"/>
  <c r="K14" i="60"/>
  <c r="L14" i="60"/>
  <c r="M14" i="60"/>
  <c r="N14" i="60"/>
  <c r="P14" i="60"/>
  <c r="Q14" i="60" s="1"/>
  <c r="G2" i="60"/>
  <c r="I2" i="60"/>
  <c r="E3" i="60"/>
  <c r="G3" i="60"/>
  <c r="I3" i="60"/>
  <c r="D7" i="59"/>
  <c r="F7" i="59"/>
  <c r="G7" i="59"/>
  <c r="P7" i="59"/>
  <c r="Q7" i="59" s="1"/>
  <c r="A8" i="59"/>
  <c r="A9" i="59" s="1"/>
  <c r="A10" i="59" s="1"/>
  <c r="D8" i="59"/>
  <c r="F8" i="59"/>
  <c r="G8" i="59"/>
  <c r="P8" i="59"/>
  <c r="Q8" i="59" s="1"/>
  <c r="D9" i="59"/>
  <c r="F9" i="59"/>
  <c r="G9" i="59"/>
  <c r="P9" i="59"/>
  <c r="Q9" i="59" s="1"/>
  <c r="D10" i="59"/>
  <c r="F10" i="59"/>
  <c r="G10" i="59"/>
  <c r="P10" i="59"/>
  <c r="Q10" i="59" s="1"/>
  <c r="F12" i="59"/>
  <c r="G12" i="59"/>
  <c r="H12" i="59"/>
  <c r="J12" i="59"/>
  <c r="K12" i="59"/>
  <c r="L12" i="59"/>
  <c r="M12" i="59"/>
  <c r="N12" i="59"/>
  <c r="P12" i="59"/>
  <c r="Q12" i="59" s="1"/>
  <c r="A13" i="59"/>
  <c r="A14" i="59" s="1"/>
  <c r="F13" i="59"/>
  <c r="G13" i="59"/>
  <c r="H13" i="59"/>
  <c r="J13" i="59"/>
  <c r="K13" i="59"/>
  <c r="L13" i="59"/>
  <c r="M13" i="59"/>
  <c r="N13" i="59"/>
  <c r="P13" i="59"/>
  <c r="Q13" i="59" s="1"/>
  <c r="F14" i="59"/>
  <c r="G14" i="59"/>
  <c r="H14" i="59"/>
  <c r="J14" i="59"/>
  <c r="K14" i="59"/>
  <c r="L14" i="59"/>
  <c r="M14" i="59"/>
  <c r="N14" i="59"/>
  <c r="P14" i="59"/>
  <c r="Q14" i="59" s="1"/>
  <c r="G2" i="59"/>
  <c r="I2" i="59"/>
  <c r="E3" i="59"/>
  <c r="G3" i="59"/>
  <c r="I3" i="59"/>
  <c r="D7" i="58"/>
  <c r="F7" i="58"/>
  <c r="G7" i="58"/>
  <c r="P7" i="58"/>
  <c r="Q7" i="58" s="1"/>
  <c r="F9" i="58"/>
  <c r="G9" i="58"/>
  <c r="H9" i="58"/>
  <c r="J9" i="58"/>
  <c r="K9" i="58"/>
  <c r="L9" i="58"/>
  <c r="M9" i="58"/>
  <c r="N9" i="58"/>
  <c r="P9" i="58"/>
  <c r="Q9" i="58" s="1"/>
  <c r="G2" i="58"/>
  <c r="I2" i="58"/>
  <c r="E3" i="58"/>
  <c r="G3" i="58"/>
  <c r="I3" i="58"/>
  <c r="D7" i="57"/>
  <c r="F7" i="57"/>
  <c r="G7" i="57"/>
  <c r="P7" i="57"/>
  <c r="Q7" i="57" s="1"/>
  <c r="A8" i="57"/>
  <c r="D8" i="57"/>
  <c r="F8" i="57"/>
  <c r="G8" i="57"/>
  <c r="P8" i="57"/>
  <c r="Q8" i="57" s="1"/>
  <c r="F10" i="57"/>
  <c r="G10" i="57"/>
  <c r="H10" i="57"/>
  <c r="J10" i="57"/>
  <c r="K10" i="57"/>
  <c r="L10" i="57"/>
  <c r="M10" i="57"/>
  <c r="N10" i="57"/>
  <c r="P10" i="57"/>
  <c r="Q10" i="57" s="1"/>
  <c r="G2" i="57"/>
  <c r="I2" i="57"/>
  <c r="E3" i="57"/>
  <c r="G3" i="57"/>
  <c r="I3" i="57"/>
  <c r="Q40" i="56"/>
  <c r="A41" i="56"/>
  <c r="A42" i="56" s="1"/>
  <c r="A43" i="56" s="1"/>
  <c r="A44" i="56" s="1"/>
  <c r="Q41" i="56"/>
  <c r="Q42" i="56"/>
  <c r="Q43" i="56"/>
  <c r="Q44" i="56"/>
  <c r="D22" i="56"/>
  <c r="P22" i="56"/>
  <c r="Q22" i="56" s="1"/>
  <c r="A23" i="56"/>
  <c r="A24" i="56" s="1"/>
  <c r="A25" i="56" s="1"/>
  <c r="A26" i="56" s="1"/>
  <c r="A27" i="56" s="1"/>
  <c r="A28" i="56" s="1"/>
  <c r="A29" i="56" s="1"/>
  <c r="A30" i="56" s="1"/>
  <c r="A31" i="56" s="1"/>
  <c r="D23" i="56"/>
  <c r="P23" i="56"/>
  <c r="Q23" i="56" s="1"/>
  <c r="D24" i="56"/>
  <c r="P24" i="56"/>
  <c r="Q24" i="56" s="1"/>
  <c r="D25" i="56"/>
  <c r="P25" i="56"/>
  <c r="Q25" i="56" s="1"/>
  <c r="D26" i="56"/>
  <c r="P26" i="56"/>
  <c r="Q26" i="56" s="1"/>
  <c r="D27" i="56"/>
  <c r="P27" i="56"/>
  <c r="Q27" i="56" s="1"/>
  <c r="D28" i="56"/>
  <c r="P28" i="56"/>
  <c r="Q28" i="56" s="1"/>
  <c r="D29" i="56"/>
  <c r="P29" i="56"/>
  <c r="Q29" i="56" s="1"/>
  <c r="D30" i="56"/>
  <c r="P30" i="56"/>
  <c r="Q30" i="56" s="1"/>
  <c r="D31" i="56"/>
  <c r="P31" i="56"/>
  <c r="Q31" i="56" s="1"/>
  <c r="P33" i="56"/>
  <c r="Q33" i="56" s="1"/>
  <c r="A34" i="56"/>
  <c r="A35" i="56" s="1"/>
  <c r="A36" i="56" s="1"/>
  <c r="A37" i="56" s="1"/>
  <c r="A38" i="56" s="1"/>
  <c r="P34" i="56"/>
  <c r="Q34" i="56" s="1"/>
  <c r="P35" i="56"/>
  <c r="Q35" i="56" s="1"/>
  <c r="P36" i="56"/>
  <c r="Q36" i="56" s="1"/>
  <c r="P37" i="56"/>
  <c r="Q37" i="56" s="1"/>
  <c r="P38" i="56"/>
  <c r="Q38" i="56" s="1"/>
  <c r="G2" i="56"/>
  <c r="I2" i="56"/>
  <c r="E3" i="56"/>
  <c r="G3" i="56"/>
  <c r="I3" i="56"/>
  <c r="Q5" i="56"/>
  <c r="Q6" i="56"/>
  <c r="Q7" i="56"/>
  <c r="Q8" i="56"/>
  <c r="Q9" i="56"/>
  <c r="A26" i="55"/>
  <c r="A27" i="55" s="1"/>
  <c r="A28" i="55" s="1"/>
  <c r="A29" i="55" s="1"/>
  <c r="A30" i="55" s="1"/>
  <c r="A31" i="55" s="1"/>
  <c r="G2" i="55"/>
  <c r="I2" i="55"/>
  <c r="E3" i="55"/>
  <c r="G3" i="55"/>
  <c r="I3" i="55"/>
  <c r="D5" i="54"/>
  <c r="F5" i="54"/>
  <c r="G5" i="54"/>
  <c r="P5" i="54"/>
  <c r="Q5" i="54" s="1"/>
  <c r="A6" i="54"/>
  <c r="A7" i="54" s="1"/>
  <c r="A8" i="54" s="1"/>
  <c r="A9" i="54" s="1"/>
  <c r="A10" i="54" s="1"/>
  <c r="A11" i="54" s="1"/>
  <c r="A12" i="54" s="1"/>
  <c r="A13" i="54" s="1"/>
  <c r="A14" i="54" s="1"/>
  <c r="A15" i="54" s="1"/>
  <c r="A16" i="54" s="1"/>
  <c r="A17" i="54" s="1"/>
  <c r="A18" i="54" s="1"/>
  <c r="A19" i="54" s="1"/>
  <c r="A20" i="54" s="1"/>
  <c r="A21" i="54" s="1"/>
  <c r="A22" i="54" s="1"/>
  <c r="A23" i="54" s="1"/>
  <c r="A24" i="54" s="1"/>
  <c r="D6" i="54"/>
  <c r="F6" i="54"/>
  <c r="G6" i="54"/>
  <c r="P6" i="54"/>
  <c r="Q6" i="54" s="1"/>
  <c r="G2" i="54"/>
  <c r="I2" i="54"/>
  <c r="E3" i="54"/>
  <c r="G3" i="54"/>
  <c r="I3" i="54"/>
  <c r="D5" i="53"/>
  <c r="F5" i="53"/>
  <c r="G5" i="53"/>
  <c r="P5" i="53"/>
  <c r="Q5" i="53" s="1"/>
  <c r="A6" i="53"/>
  <c r="A7" i="53" s="1"/>
  <c r="A8" i="53" s="1"/>
  <c r="A9" i="53" s="1"/>
  <c r="A10" i="53" s="1"/>
  <c r="A11" i="53" s="1"/>
  <c r="A12" i="53" s="1"/>
  <c r="A13" i="53" s="1"/>
  <c r="A14" i="53" s="1"/>
  <c r="A15" i="53" s="1"/>
  <c r="A16" i="53" s="1"/>
  <c r="A17" i="53" s="1"/>
  <c r="A18" i="53" s="1"/>
  <c r="A19" i="53" s="1"/>
  <c r="A20" i="53" s="1"/>
  <c r="A21" i="53" s="1"/>
  <c r="A22" i="53" s="1"/>
  <c r="A23" i="53" s="1"/>
  <c r="A24" i="53" s="1"/>
  <c r="A25" i="53" s="1"/>
  <c r="A26" i="53" s="1"/>
  <c r="A27" i="53" s="1"/>
  <c r="A28" i="53" s="1"/>
  <c r="A29" i="53" s="1"/>
  <c r="A30" i="53" s="1"/>
  <c r="A31" i="53" s="1"/>
  <c r="A32" i="53" s="1"/>
  <c r="A33" i="53" s="1"/>
  <c r="D6" i="53"/>
  <c r="F6" i="53"/>
  <c r="G6" i="53"/>
  <c r="P6" i="53"/>
  <c r="Q6" i="53" s="1"/>
  <c r="D7" i="53"/>
  <c r="F7" i="53"/>
  <c r="G7" i="53"/>
  <c r="P7" i="53"/>
  <c r="Q7" i="53" s="1"/>
  <c r="G2" i="53"/>
  <c r="I2" i="53"/>
  <c r="E3" i="53"/>
  <c r="G3" i="53"/>
  <c r="I3" i="53"/>
  <c r="D5" i="52"/>
  <c r="F5" i="52"/>
  <c r="G5" i="52"/>
  <c r="P5" i="52"/>
  <c r="Q5" i="52" s="1"/>
  <c r="A6" i="52"/>
  <c r="A7" i="52" s="1"/>
  <c r="A8" i="52" s="1"/>
  <c r="A9" i="52" s="1"/>
  <c r="A10" i="52" s="1"/>
  <c r="A11" i="52" s="1"/>
  <c r="A12" i="52" s="1"/>
  <c r="A13" i="52" s="1"/>
  <c r="A14" i="52" s="1"/>
  <c r="A15" i="52" s="1"/>
  <c r="A16" i="52" s="1"/>
  <c r="A17" i="52" s="1"/>
  <c r="A18" i="52" s="1"/>
  <c r="A19" i="52" s="1"/>
  <c r="A20" i="52" s="1"/>
  <c r="A21" i="52" s="1"/>
  <c r="A22" i="52" s="1"/>
  <c r="A23" i="52" s="1"/>
  <c r="A24" i="52" s="1"/>
  <c r="A25" i="52" s="1"/>
  <c r="A26" i="52" s="1"/>
  <c r="A27" i="52" s="1"/>
  <c r="A28" i="52" s="1"/>
  <c r="A29" i="52" s="1"/>
  <c r="A30" i="52" s="1"/>
  <c r="A31" i="52" s="1"/>
  <c r="A32" i="52" s="1"/>
  <c r="A33" i="52" s="1"/>
  <c r="D6" i="52"/>
  <c r="F6" i="52"/>
  <c r="G6" i="52"/>
  <c r="P6" i="52"/>
  <c r="Q6" i="52" s="1"/>
  <c r="D7" i="52"/>
  <c r="F7" i="52"/>
  <c r="G7" i="52"/>
  <c r="P7" i="52"/>
  <c r="Q7" i="52" s="1"/>
  <c r="G2" i="52"/>
  <c r="I2" i="52"/>
  <c r="E3" i="52"/>
  <c r="G3" i="52"/>
  <c r="I3" i="52"/>
  <c r="D5" i="51"/>
  <c r="F5" i="51"/>
  <c r="G5" i="51"/>
  <c r="P5" i="51"/>
  <c r="Q5" i="51" s="1"/>
  <c r="A6" i="51"/>
  <c r="A7" i="51" s="1"/>
  <c r="A8" i="51" s="1"/>
  <c r="A9" i="51" s="1"/>
  <c r="A10" i="51" s="1"/>
  <c r="A11" i="51" s="1"/>
  <c r="A12" i="51" s="1"/>
  <c r="A13" i="51" s="1"/>
  <c r="A14" i="51" s="1"/>
  <c r="A15" i="51" s="1"/>
  <c r="A16" i="51" s="1"/>
  <c r="A17" i="51" s="1"/>
  <c r="A18" i="51" s="1"/>
  <c r="A19" i="51" s="1"/>
  <c r="A20" i="51" s="1"/>
  <c r="A21" i="51" s="1"/>
  <c r="A22" i="51" s="1"/>
  <c r="A23" i="51" s="1"/>
  <c r="A24" i="51" s="1"/>
  <c r="A25" i="51" s="1"/>
  <c r="A26" i="51" s="1"/>
  <c r="A27" i="51" s="1"/>
  <c r="A28" i="51" s="1"/>
  <c r="A29" i="51" s="1"/>
  <c r="A30" i="51" s="1"/>
  <c r="A31" i="51" s="1"/>
  <c r="A32" i="51" s="1"/>
  <c r="D6" i="51"/>
  <c r="F6" i="51"/>
  <c r="G6" i="51"/>
  <c r="P6" i="51"/>
  <c r="Q6" i="51" s="1"/>
  <c r="D7" i="51"/>
  <c r="F7" i="51"/>
  <c r="G7" i="51"/>
  <c r="P7" i="51"/>
  <c r="Q7" i="51" s="1"/>
  <c r="D8" i="51"/>
  <c r="F8" i="51"/>
  <c r="G8" i="51"/>
  <c r="P8" i="51"/>
  <c r="Q8" i="51" s="1"/>
  <c r="D9" i="51"/>
  <c r="F9" i="51"/>
  <c r="G9" i="51"/>
  <c r="P9" i="51"/>
  <c r="Q9" i="51" s="1"/>
  <c r="D11" i="51"/>
  <c r="F11" i="51"/>
  <c r="G11" i="51"/>
  <c r="P11" i="51"/>
  <c r="Q11" i="51" s="1"/>
  <c r="D12" i="51"/>
  <c r="F12" i="51"/>
  <c r="G12" i="51"/>
  <c r="P12" i="51"/>
  <c r="Q12" i="51" s="1"/>
  <c r="D13" i="51"/>
  <c r="F13" i="51"/>
  <c r="G13" i="51"/>
  <c r="P13" i="51"/>
  <c r="Q13" i="51" s="1"/>
  <c r="D14" i="51"/>
  <c r="F14" i="51"/>
  <c r="G14" i="51"/>
  <c r="P14" i="51"/>
  <c r="Q14" i="51" s="1"/>
  <c r="D15" i="51"/>
  <c r="F15" i="51"/>
  <c r="G15" i="51"/>
  <c r="P15" i="51"/>
  <c r="Q15" i="51" s="1"/>
  <c r="D16" i="51"/>
  <c r="F16" i="51"/>
  <c r="G16" i="51"/>
  <c r="P16" i="51"/>
  <c r="Q16" i="51" s="1"/>
  <c r="D17" i="51"/>
  <c r="F17" i="51"/>
  <c r="G17" i="51"/>
  <c r="P17" i="51"/>
  <c r="Q17" i="51" s="1"/>
  <c r="D18" i="51"/>
  <c r="F18" i="51"/>
  <c r="G18" i="51"/>
  <c r="P18" i="51"/>
  <c r="Q18" i="51" s="1"/>
  <c r="D19" i="51"/>
  <c r="F19" i="51"/>
  <c r="G19" i="51"/>
  <c r="P19" i="51"/>
  <c r="Q19" i="51" s="1"/>
  <c r="D20" i="51"/>
  <c r="F20" i="51"/>
  <c r="G20" i="51"/>
  <c r="P20" i="51"/>
  <c r="Q20" i="51" s="1"/>
  <c r="D21" i="51"/>
  <c r="F21" i="51"/>
  <c r="G21" i="51"/>
  <c r="P21" i="51"/>
  <c r="Q21" i="51" s="1"/>
  <c r="D22" i="51"/>
  <c r="F22" i="51"/>
  <c r="G22" i="51"/>
  <c r="P22" i="51"/>
  <c r="Q22" i="51" s="1"/>
  <c r="D23" i="51"/>
  <c r="F23" i="51"/>
  <c r="G23" i="51"/>
  <c r="P23" i="51"/>
  <c r="Q23" i="51" s="1"/>
  <c r="D24" i="51"/>
  <c r="F24" i="51"/>
  <c r="G24" i="51"/>
  <c r="P24" i="51"/>
  <c r="Q24" i="51" s="1"/>
  <c r="D25" i="51"/>
  <c r="F25" i="51"/>
  <c r="G25" i="51"/>
  <c r="P25" i="51"/>
  <c r="Q25" i="51" s="1"/>
  <c r="G2" i="51"/>
  <c r="I2" i="51"/>
  <c r="E3" i="51"/>
  <c r="G3" i="51"/>
  <c r="I3" i="51"/>
  <c r="D5" i="50"/>
  <c r="F5" i="50"/>
  <c r="G5" i="50"/>
  <c r="P5" i="50"/>
  <c r="Q5" i="50" s="1"/>
  <c r="A6" i="50"/>
  <c r="A7" i="50" s="1"/>
  <c r="A8" i="50" s="1"/>
  <c r="A9" i="50" s="1"/>
  <c r="A10" i="50" s="1"/>
  <c r="A11" i="50" s="1"/>
  <c r="A12" i="50" s="1"/>
  <c r="A13" i="50" s="1"/>
  <c r="A14" i="50" s="1"/>
  <c r="A15" i="50" s="1"/>
  <c r="A16" i="50" s="1"/>
  <c r="A17" i="50" s="1"/>
  <c r="A18" i="50" s="1"/>
  <c r="A19" i="50" s="1"/>
  <c r="A20" i="50" s="1"/>
  <c r="A21" i="50" s="1"/>
  <c r="A22" i="50" s="1"/>
  <c r="A23" i="50" s="1"/>
  <c r="A24" i="50" s="1"/>
  <c r="A25" i="50" s="1"/>
  <c r="A26" i="50" s="1"/>
  <c r="A27" i="50" s="1"/>
  <c r="A28" i="50" s="1"/>
  <c r="A29" i="50" s="1"/>
  <c r="A30" i="50" s="1"/>
  <c r="A31" i="50" s="1"/>
  <c r="A32" i="50" s="1"/>
  <c r="A33" i="50" s="1"/>
  <c r="A34" i="50" s="1"/>
  <c r="A35" i="50" s="1"/>
  <c r="A36" i="50" s="1"/>
  <c r="A37" i="50" s="1"/>
  <c r="A38" i="50" s="1"/>
  <c r="D6" i="50"/>
  <c r="F6" i="50"/>
  <c r="G6" i="50"/>
  <c r="P6" i="50"/>
  <c r="Q6" i="50" s="1"/>
  <c r="D7" i="50"/>
  <c r="F7" i="50"/>
  <c r="G7" i="50"/>
  <c r="P7" i="50"/>
  <c r="Q7" i="50" s="1"/>
  <c r="D8" i="50"/>
  <c r="F8" i="50"/>
  <c r="G8" i="50"/>
  <c r="P8" i="50"/>
  <c r="Q8" i="50" s="1"/>
  <c r="D9" i="50"/>
  <c r="F9" i="50"/>
  <c r="G9" i="50"/>
  <c r="P9" i="50"/>
  <c r="Q9" i="50" s="1"/>
  <c r="D10" i="50"/>
  <c r="F10" i="50"/>
  <c r="G10" i="50"/>
  <c r="P10" i="50"/>
  <c r="Q10" i="50" s="1"/>
  <c r="D11" i="50"/>
  <c r="F11" i="50"/>
  <c r="G11" i="50"/>
  <c r="P11" i="50"/>
  <c r="Q11" i="50" s="1"/>
  <c r="D12" i="50"/>
  <c r="F12" i="50"/>
  <c r="G12" i="50"/>
  <c r="P12" i="50"/>
  <c r="Q12" i="50" s="1"/>
  <c r="D13" i="50"/>
  <c r="F13" i="50"/>
  <c r="G13" i="50"/>
  <c r="P13" i="50"/>
  <c r="Q13" i="50" s="1"/>
  <c r="D14" i="50"/>
  <c r="F14" i="50"/>
  <c r="G14" i="50"/>
  <c r="P14" i="50"/>
  <c r="Q14" i="50" s="1"/>
  <c r="D15" i="50"/>
  <c r="F15" i="50"/>
  <c r="G15" i="50"/>
  <c r="P15" i="50"/>
  <c r="Q15" i="50" s="1"/>
  <c r="G2" i="50"/>
  <c r="I2" i="50"/>
  <c r="E3" i="50"/>
  <c r="G3" i="50"/>
  <c r="I3" i="50"/>
  <c r="D5" i="49"/>
  <c r="F5" i="49"/>
  <c r="G5" i="49"/>
  <c r="P5" i="49"/>
  <c r="Q5" i="49" s="1"/>
  <c r="A6" i="49"/>
  <c r="A7" i="49" s="1"/>
  <c r="A8" i="49" s="1"/>
  <c r="A9" i="49" s="1"/>
  <c r="A10" i="49" s="1"/>
  <c r="A11" i="49" s="1"/>
  <c r="A12" i="49" s="1"/>
  <c r="A13" i="49" s="1"/>
  <c r="A14" i="49" s="1"/>
  <c r="A15" i="49" s="1"/>
  <c r="A16" i="49" s="1"/>
  <c r="A17" i="49" s="1"/>
  <c r="A18" i="49" s="1"/>
  <c r="A19" i="49" s="1"/>
  <c r="A20" i="49" s="1"/>
  <c r="A21" i="49" s="1"/>
  <c r="A22" i="49" s="1"/>
  <c r="A23" i="49" s="1"/>
  <c r="A24" i="49" s="1"/>
  <c r="A25" i="49" s="1"/>
  <c r="A26" i="49" s="1"/>
  <c r="A27" i="49" s="1"/>
  <c r="A28" i="49" s="1"/>
  <c r="A29" i="49" s="1"/>
  <c r="A30" i="49" s="1"/>
  <c r="A31" i="49" s="1"/>
  <c r="A32" i="49" s="1"/>
  <c r="A33" i="49" s="1"/>
  <c r="A34" i="49" s="1"/>
  <c r="A35" i="49" s="1"/>
  <c r="A36" i="49" s="1"/>
  <c r="A37" i="49" s="1"/>
  <c r="A38" i="49" s="1"/>
  <c r="A39" i="49" s="1"/>
  <c r="D6" i="49"/>
  <c r="F6" i="49"/>
  <c r="G6" i="49"/>
  <c r="P6" i="49"/>
  <c r="Q6" i="49" s="1"/>
  <c r="D7" i="49"/>
  <c r="F7" i="49"/>
  <c r="G7" i="49"/>
  <c r="P7" i="49"/>
  <c r="Q7" i="49" s="1"/>
  <c r="D8" i="49"/>
  <c r="F8" i="49"/>
  <c r="G8" i="49"/>
  <c r="P8" i="49"/>
  <c r="Q8" i="49" s="1"/>
  <c r="D10" i="49"/>
  <c r="F10" i="49"/>
  <c r="G10" i="49"/>
  <c r="P10" i="49"/>
  <c r="Q10" i="49" s="1"/>
  <c r="D11" i="49"/>
  <c r="F11" i="49"/>
  <c r="G11" i="49"/>
  <c r="P11" i="49"/>
  <c r="Q11" i="49" s="1"/>
  <c r="D12" i="49"/>
  <c r="F12" i="49"/>
  <c r="G12" i="49"/>
  <c r="P12" i="49"/>
  <c r="Q12" i="49" s="1"/>
  <c r="D13" i="49"/>
  <c r="F13" i="49"/>
  <c r="G13" i="49"/>
  <c r="P13" i="49"/>
  <c r="Q13" i="49" s="1"/>
  <c r="D14" i="49"/>
  <c r="F14" i="49"/>
  <c r="G14" i="49"/>
  <c r="P14" i="49"/>
  <c r="Q14" i="49" s="1"/>
  <c r="D15" i="49"/>
  <c r="F15" i="49"/>
  <c r="G15" i="49"/>
  <c r="P15" i="49"/>
  <c r="Q15" i="49" s="1"/>
  <c r="D16" i="49"/>
  <c r="F16" i="49"/>
  <c r="G16" i="49"/>
  <c r="P16" i="49"/>
  <c r="Q16" i="49" s="1"/>
  <c r="D17" i="49"/>
  <c r="F17" i="49"/>
  <c r="G17" i="49"/>
  <c r="P17" i="49"/>
  <c r="Q17" i="49" s="1"/>
  <c r="D18" i="49"/>
  <c r="F18" i="49"/>
  <c r="G18" i="49"/>
  <c r="P18" i="49"/>
  <c r="Q18" i="49" s="1"/>
  <c r="D19" i="49"/>
  <c r="F19" i="49"/>
  <c r="G19" i="49"/>
  <c r="P19" i="49"/>
  <c r="Q19" i="49" s="1"/>
  <c r="D20" i="49"/>
  <c r="F20" i="49"/>
  <c r="G20" i="49"/>
  <c r="P20" i="49"/>
  <c r="Q20" i="49" s="1"/>
  <c r="D21" i="49"/>
  <c r="F21" i="49"/>
  <c r="G21" i="49"/>
  <c r="P21" i="49"/>
  <c r="Q21" i="49" s="1"/>
  <c r="D22" i="49"/>
  <c r="F22" i="49"/>
  <c r="G22" i="49"/>
  <c r="P22" i="49"/>
  <c r="Q22" i="49" s="1"/>
  <c r="D23" i="49"/>
  <c r="F23" i="49"/>
  <c r="G23" i="49"/>
  <c r="P23" i="49"/>
  <c r="Q23" i="49" s="1"/>
  <c r="D24" i="49"/>
  <c r="F24" i="49"/>
  <c r="G24" i="49"/>
  <c r="P24" i="49"/>
  <c r="Q24" i="49" s="1"/>
  <c r="G2" i="49"/>
  <c r="I2" i="49"/>
  <c r="E3" i="49"/>
  <c r="G3" i="49"/>
  <c r="I3" i="49"/>
  <c r="D5" i="48"/>
  <c r="F5" i="48"/>
  <c r="G5" i="48"/>
  <c r="P5" i="48"/>
  <c r="Q5" i="48" s="1"/>
  <c r="A6" i="48"/>
  <c r="A7" i="48" s="1"/>
  <c r="A8" i="48" s="1"/>
  <c r="A9" i="48" s="1"/>
  <c r="A10" i="48" s="1"/>
  <c r="A11" i="48" s="1"/>
  <c r="A12" i="48" s="1"/>
  <c r="A13" i="48" s="1"/>
  <c r="A14" i="48" s="1"/>
  <c r="A15" i="48" s="1"/>
  <c r="A16" i="48" s="1"/>
  <c r="A17" i="48" s="1"/>
  <c r="A18" i="48" s="1"/>
  <c r="A19" i="48" s="1"/>
  <c r="A20" i="48" s="1"/>
  <c r="A21" i="48" s="1"/>
  <c r="A22" i="48" s="1"/>
  <c r="A23" i="48" s="1"/>
  <c r="A24" i="48" s="1"/>
  <c r="A25" i="48" s="1"/>
  <c r="A26" i="48" s="1"/>
  <c r="A27" i="48" s="1"/>
  <c r="A28" i="48" s="1"/>
  <c r="A29" i="48" s="1"/>
  <c r="A30" i="48" s="1"/>
  <c r="A31" i="48" s="1"/>
  <c r="A32" i="48" s="1"/>
  <c r="A33" i="48" s="1"/>
  <c r="A34" i="48" s="1"/>
  <c r="A35" i="48" s="1"/>
  <c r="A36" i="48" s="1"/>
  <c r="A37" i="48" s="1"/>
  <c r="A38" i="48" s="1"/>
  <c r="A39" i="48" s="1"/>
  <c r="A40" i="48" s="1"/>
  <c r="A41" i="48" s="1"/>
  <c r="D6" i="48"/>
  <c r="F6" i="48"/>
  <c r="G6" i="48"/>
  <c r="P6" i="48"/>
  <c r="Q6" i="48" s="1"/>
  <c r="D7" i="48"/>
  <c r="F7" i="48"/>
  <c r="G7" i="48"/>
  <c r="P7" i="48"/>
  <c r="Q7" i="48" s="1"/>
  <c r="D8" i="48"/>
  <c r="F8" i="48"/>
  <c r="G8" i="48"/>
  <c r="P8" i="48"/>
  <c r="Q8" i="48" s="1"/>
  <c r="D9" i="48"/>
  <c r="F9" i="48"/>
  <c r="G9" i="48"/>
  <c r="P9" i="48"/>
  <c r="Q9" i="48" s="1"/>
  <c r="D10" i="48"/>
  <c r="F10" i="48"/>
  <c r="G10" i="48"/>
  <c r="P10" i="48"/>
  <c r="Q10" i="48" s="1"/>
  <c r="D11" i="48"/>
  <c r="F11" i="48"/>
  <c r="G11" i="48"/>
  <c r="P11" i="48"/>
  <c r="Q11" i="48" s="1"/>
  <c r="D12" i="48"/>
  <c r="F12" i="48"/>
  <c r="G12" i="48"/>
  <c r="P12" i="48"/>
  <c r="Q12" i="48" s="1"/>
  <c r="D13" i="48"/>
  <c r="F13" i="48"/>
  <c r="G13" i="48"/>
  <c r="P13" i="48"/>
  <c r="Q13" i="48" s="1"/>
  <c r="D14" i="48"/>
  <c r="F14" i="48"/>
  <c r="G14" i="48"/>
  <c r="P14" i="48"/>
  <c r="Q14" i="48" s="1"/>
  <c r="D15" i="48"/>
  <c r="F15" i="48"/>
  <c r="G15" i="48"/>
  <c r="P15" i="48"/>
  <c r="Q15" i="48" s="1"/>
  <c r="G2" i="48"/>
  <c r="I2" i="48"/>
  <c r="E3" i="48"/>
  <c r="G3" i="48"/>
  <c r="I3" i="48"/>
  <c r="A6" i="47"/>
  <c r="A7" i="47" s="1"/>
  <c r="A8" i="47" s="1"/>
  <c r="A9" i="47" s="1"/>
  <c r="A10" i="47" s="1"/>
  <c r="A11" i="47" s="1"/>
  <c r="A12" i="47" s="1"/>
  <c r="A13" i="47" s="1"/>
  <c r="A14" i="47" s="1"/>
  <c r="A15" i="47" s="1"/>
  <c r="A16" i="47" s="1"/>
  <c r="A17" i="47" s="1"/>
  <c r="A18" i="47" s="1"/>
  <c r="A19" i="47" s="1"/>
  <c r="A20" i="47" s="1"/>
  <c r="A21" i="47" s="1"/>
  <c r="A22" i="47" s="1"/>
  <c r="A23" i="47" s="1"/>
  <c r="A24" i="47" s="1"/>
  <c r="A25" i="47" s="1"/>
  <c r="A26" i="47" s="1"/>
  <c r="A27" i="47" s="1"/>
  <c r="A28" i="47" s="1"/>
  <c r="A29" i="47" s="1"/>
  <c r="A30" i="47" s="1"/>
  <c r="A31" i="47" s="1"/>
  <c r="A32" i="47" s="1"/>
  <c r="A33" i="47" s="1"/>
  <c r="A34" i="47" s="1"/>
  <c r="A35" i="47" s="1"/>
  <c r="A36" i="47" s="1"/>
  <c r="A37" i="47" s="1"/>
  <c r="A38" i="47" s="1"/>
  <c r="A39" i="47" s="1"/>
  <c r="A40" i="47" s="1"/>
  <c r="A41" i="47" s="1"/>
  <c r="A42" i="47" s="1"/>
  <c r="A43" i="47" s="1"/>
  <c r="A44" i="47" s="1"/>
  <c r="A45" i="47" s="1"/>
  <c r="A46" i="47" s="1"/>
  <c r="A47" i="47" s="1"/>
  <c r="A48" i="47" s="1"/>
  <c r="A49" i="47" s="1"/>
  <c r="A50" i="47" s="1"/>
  <c r="A51" i="47" s="1"/>
  <c r="A52" i="47" s="1"/>
  <c r="A53" i="47" s="1"/>
  <c r="A54" i="47" s="1"/>
  <c r="A55" i="47" s="1"/>
  <c r="A56" i="47" s="1"/>
  <c r="A57" i="47" s="1"/>
  <c r="A58" i="47" s="1"/>
  <c r="A59" i="47" s="1"/>
  <c r="A60" i="47" s="1"/>
  <c r="A61" i="47" s="1"/>
  <c r="A62" i="47" s="1"/>
  <c r="A63" i="47" s="1"/>
  <c r="D5" i="47"/>
  <c r="F5" i="47"/>
  <c r="G5" i="47"/>
  <c r="P5" i="47"/>
  <c r="Q5" i="47" s="1"/>
  <c r="D6" i="47"/>
  <c r="F6" i="47"/>
  <c r="G6" i="47"/>
  <c r="P6" i="47"/>
  <c r="Q6" i="47" s="1"/>
  <c r="D7" i="47"/>
  <c r="F7" i="47"/>
  <c r="G7" i="47"/>
  <c r="P7" i="47"/>
  <c r="Q7" i="47" s="1"/>
  <c r="D8" i="47"/>
  <c r="F8" i="47"/>
  <c r="G8" i="47"/>
  <c r="P8" i="47"/>
  <c r="Q8" i="47" s="1"/>
  <c r="D9" i="47"/>
  <c r="F9" i="47"/>
  <c r="G9" i="47"/>
  <c r="P9" i="47"/>
  <c r="Q9" i="47" s="1"/>
  <c r="D10" i="47"/>
  <c r="F10" i="47"/>
  <c r="G10" i="47"/>
  <c r="P10" i="47"/>
  <c r="Q10" i="47" s="1"/>
  <c r="D11" i="47"/>
  <c r="F11" i="47"/>
  <c r="G11" i="47"/>
  <c r="P11" i="47"/>
  <c r="Q11" i="47" s="1"/>
  <c r="D12" i="47"/>
  <c r="F12" i="47"/>
  <c r="G12" i="47"/>
  <c r="P12" i="47"/>
  <c r="Q12" i="47" s="1"/>
  <c r="D13" i="47"/>
  <c r="F13" i="47"/>
  <c r="G13" i="47"/>
  <c r="P13" i="47"/>
  <c r="Q13" i="47" s="1"/>
  <c r="D14" i="47"/>
  <c r="F14" i="47"/>
  <c r="G14" i="47"/>
  <c r="P14" i="47"/>
  <c r="Q14" i="47" s="1"/>
  <c r="D15" i="47"/>
  <c r="F15" i="47"/>
  <c r="G15" i="47"/>
  <c r="P15" i="47"/>
  <c r="Q15" i="47" s="1"/>
  <c r="D16" i="47"/>
  <c r="F16" i="47"/>
  <c r="G16" i="47"/>
  <c r="P16" i="47"/>
  <c r="Q16" i="47" s="1"/>
  <c r="D18" i="47"/>
  <c r="F18" i="47"/>
  <c r="G18" i="47"/>
  <c r="P18" i="47"/>
  <c r="Q18" i="47" s="1"/>
  <c r="D19" i="47"/>
  <c r="F19" i="47"/>
  <c r="G19" i="47"/>
  <c r="P19" i="47"/>
  <c r="Q19" i="47" s="1"/>
  <c r="D20" i="47"/>
  <c r="F20" i="47"/>
  <c r="G20" i="47"/>
  <c r="P20" i="47"/>
  <c r="Q20" i="47" s="1"/>
  <c r="D21" i="47"/>
  <c r="F21" i="47"/>
  <c r="G21" i="47"/>
  <c r="P21" i="47"/>
  <c r="Q21" i="47" s="1"/>
  <c r="G2" i="47"/>
  <c r="I2" i="47"/>
  <c r="E3" i="47"/>
  <c r="G3" i="47"/>
  <c r="I3" i="47"/>
  <c r="D5" i="46"/>
  <c r="F5" i="46"/>
  <c r="G5" i="46"/>
  <c r="P5" i="46"/>
  <c r="Q5" i="46" s="1"/>
  <c r="A6" i="46"/>
  <c r="A7" i="46" s="1"/>
  <c r="A8" i="46" s="1"/>
  <c r="A9" i="46" s="1"/>
  <c r="A10" i="46" s="1"/>
  <c r="A11" i="46" s="1"/>
  <c r="A12" i="46" s="1"/>
  <c r="A13" i="46" s="1"/>
  <c r="A14" i="46" s="1"/>
  <c r="A15" i="46" s="1"/>
  <c r="A16" i="46" s="1"/>
  <c r="A17" i="46" s="1"/>
  <c r="A18" i="46" s="1"/>
  <c r="A19" i="46" s="1"/>
  <c r="A20" i="46" s="1"/>
  <c r="A21" i="46" s="1"/>
  <c r="A22" i="46" s="1"/>
  <c r="A23" i="46" s="1"/>
  <c r="A24" i="46" s="1"/>
  <c r="A25" i="46" s="1"/>
  <c r="D6" i="46"/>
  <c r="F6" i="46"/>
  <c r="G6" i="46"/>
  <c r="P6" i="46"/>
  <c r="Q6" i="46" s="1"/>
  <c r="D7" i="46"/>
  <c r="F7" i="46"/>
  <c r="G7" i="46"/>
  <c r="P7" i="46"/>
  <c r="Q7" i="46" s="1"/>
  <c r="D8" i="46"/>
  <c r="F8" i="46"/>
  <c r="G8" i="46"/>
  <c r="P8" i="46"/>
  <c r="Q8" i="46" s="1"/>
  <c r="D9" i="46"/>
  <c r="F9" i="46"/>
  <c r="G9" i="46"/>
  <c r="P9" i="46"/>
  <c r="Q9" i="46" s="1"/>
  <c r="D10" i="46"/>
  <c r="F10" i="46"/>
  <c r="G10" i="46"/>
  <c r="P10" i="46"/>
  <c r="Q10" i="46" s="1"/>
  <c r="D11" i="46"/>
  <c r="F11" i="46"/>
  <c r="G11" i="46"/>
  <c r="P11" i="46"/>
  <c r="Q11" i="46" s="1"/>
  <c r="D12" i="46"/>
  <c r="F12" i="46"/>
  <c r="G12" i="46"/>
  <c r="P12" i="46"/>
  <c r="Q12" i="46" s="1"/>
  <c r="D13" i="46"/>
  <c r="F13" i="46"/>
  <c r="G13" i="46"/>
  <c r="P13" i="46"/>
  <c r="Q13" i="46" s="1"/>
  <c r="D14" i="46"/>
  <c r="F14" i="46"/>
  <c r="G14" i="46"/>
  <c r="P14" i="46"/>
  <c r="Q14" i="46" s="1"/>
  <c r="D15" i="46"/>
  <c r="F15" i="46"/>
  <c r="G15" i="46"/>
  <c r="P15" i="46"/>
  <c r="Q15" i="46" s="1"/>
  <c r="D16" i="46"/>
  <c r="F16" i="46"/>
  <c r="G16" i="46"/>
  <c r="P16" i="46"/>
  <c r="Q16" i="46" s="1"/>
  <c r="D17" i="46"/>
  <c r="F17" i="46"/>
  <c r="G17" i="46"/>
  <c r="P17" i="46"/>
  <c r="Q17" i="46" s="1"/>
  <c r="D18" i="46"/>
  <c r="F18" i="46"/>
  <c r="G18" i="46"/>
  <c r="P18" i="46"/>
  <c r="Q18" i="46" s="1"/>
  <c r="D25" i="46"/>
  <c r="F25" i="46"/>
  <c r="G25" i="46"/>
  <c r="P25" i="46"/>
  <c r="Q25" i="46" s="1"/>
  <c r="D26" i="46"/>
  <c r="F26" i="46"/>
  <c r="G26" i="46"/>
  <c r="P26" i="46"/>
  <c r="Q26" i="46" s="1"/>
  <c r="G2" i="46"/>
  <c r="I2" i="46"/>
  <c r="E3" i="46"/>
  <c r="G3" i="46"/>
  <c r="I3" i="46"/>
  <c r="L2" i="2"/>
  <c r="G2" i="31" s="1"/>
  <c r="C3" i="2"/>
  <c r="Q11" i="120" l="1"/>
  <c r="Q13" i="82"/>
  <c r="Q110" i="46"/>
  <c r="A26" i="46"/>
  <c r="A27" i="46" s="1"/>
  <c r="A28" i="46" s="1"/>
  <c r="A29" i="46" s="1"/>
  <c r="A30" i="46" s="1"/>
  <c r="A31" i="46" s="1"/>
  <c r="A32" i="46" s="1"/>
  <c r="A33" i="46" s="1"/>
  <c r="A34" i="46" s="1"/>
  <c r="A35" i="46" s="1"/>
  <c r="A36" i="46" s="1"/>
  <c r="A37" i="46" s="1"/>
  <c r="A38" i="46" s="1"/>
  <c r="A39" i="46" s="1"/>
  <c r="A40" i="46" s="1"/>
  <c r="A41" i="46" s="1"/>
  <c r="A42" i="46" s="1"/>
  <c r="A43" i="46" s="1"/>
  <c r="A44" i="46" s="1"/>
  <c r="A45" i="46" s="1"/>
  <c r="A46" i="46" s="1"/>
  <c r="A47" i="46" s="1"/>
  <c r="A48" i="46" s="1"/>
  <c r="A49" i="46" s="1"/>
  <c r="A50" i="46" s="1"/>
  <c r="A51" i="46" s="1"/>
  <c r="A52" i="46" s="1"/>
  <c r="A53" i="46" s="1"/>
  <c r="A54" i="46" s="1"/>
  <c r="A55" i="46" s="1"/>
  <c r="A56" i="46" s="1"/>
  <c r="A57" i="46" s="1"/>
  <c r="A58" i="46" s="1"/>
  <c r="A59" i="46" s="1"/>
  <c r="A60" i="46" s="1"/>
  <c r="A61" i="46" s="1"/>
  <c r="A62" i="46" s="1"/>
  <c r="A63" i="46" s="1"/>
  <c r="A9" i="89"/>
  <c r="Q25" i="54"/>
  <c r="Q34" i="53"/>
  <c r="P6" i="114" s="1"/>
  <c r="Q34" i="52"/>
  <c r="P6" i="80" s="1"/>
  <c r="Q33" i="51"/>
  <c r="P5" i="114" s="1"/>
  <c r="Q39" i="50"/>
  <c r="P8" i="103" s="1"/>
  <c r="Q8" i="103" s="1"/>
  <c r="Q42" i="48"/>
  <c r="P12" i="83" s="1"/>
  <c r="Q12" i="83" s="1"/>
  <c r="Q40" i="49"/>
  <c r="P5" i="80" s="1"/>
  <c r="Q64" i="47"/>
  <c r="C3" i="119"/>
  <c r="A20" i="75"/>
  <c r="A21" i="75" s="1"/>
  <c r="A22" i="75" s="1"/>
  <c r="A23" i="75" s="1"/>
  <c r="A24" i="75" s="1"/>
  <c r="A25" i="75" s="1"/>
  <c r="A26" i="75" s="1"/>
  <c r="A27" i="75" s="1"/>
  <c r="A28" i="75" s="1"/>
  <c r="A29" i="75" s="1"/>
  <c r="A30" i="75" s="1"/>
  <c r="C3" i="50"/>
  <c r="C3" i="52"/>
  <c r="C3" i="55"/>
  <c r="C3" i="86"/>
  <c r="C3" i="97"/>
  <c r="C3" i="66"/>
  <c r="C3" i="72"/>
  <c r="C3" i="77"/>
  <c r="C3" i="95"/>
  <c r="C3" i="58"/>
  <c r="C3" i="59"/>
  <c r="C3" i="60"/>
  <c r="C3" i="67"/>
  <c r="C3" i="79"/>
  <c r="C3" i="105"/>
  <c r="C3" i="110"/>
  <c r="C3" i="117"/>
  <c r="C3" i="120"/>
  <c r="C3" i="57"/>
  <c r="C3" i="75"/>
  <c r="C3" i="81"/>
  <c r="C3" i="101"/>
  <c r="C3" i="103"/>
  <c r="C3" i="47"/>
  <c r="C3" i="61"/>
  <c r="C3" i="65"/>
  <c r="C3" i="69"/>
  <c r="C3" i="100"/>
  <c r="C3" i="109"/>
  <c r="C3" i="48"/>
  <c r="C3" i="54"/>
  <c r="C3" i="63"/>
  <c r="C3" i="64"/>
  <c r="C3" i="85"/>
  <c r="C3" i="88"/>
  <c r="C3" i="102"/>
  <c r="C3" i="115"/>
  <c r="C3" i="116"/>
  <c r="C3" i="121"/>
  <c r="C3" i="46"/>
  <c r="C3" i="49"/>
  <c r="C3" i="53"/>
  <c r="C3" i="56"/>
  <c r="C2" i="56"/>
  <c r="L2" i="56" s="1"/>
  <c r="O9" i="56" s="1"/>
  <c r="C3" i="70"/>
  <c r="C3" i="90"/>
  <c r="C3" i="94"/>
  <c r="C3" i="51"/>
  <c r="C3" i="83"/>
  <c r="C3" i="104"/>
  <c r="C3" i="78"/>
  <c r="C3" i="80"/>
  <c r="C3" i="106"/>
  <c r="C3" i="112"/>
  <c r="C3" i="114"/>
  <c r="C3" i="71"/>
  <c r="C3" i="76"/>
  <c r="C3" i="84"/>
  <c r="C3" i="93"/>
  <c r="C3" i="107"/>
  <c r="C3" i="118"/>
  <c r="C3" i="74"/>
  <c r="C3" i="82"/>
  <c r="C3" i="62"/>
  <c r="C3" i="68"/>
  <c r="C3" i="87"/>
  <c r="C3" i="89"/>
  <c r="C3" i="92"/>
  <c r="C3" i="96"/>
  <c r="C3" i="98"/>
  <c r="C3" i="99"/>
  <c r="C3" i="111"/>
  <c r="O9" i="2"/>
  <c r="O11" i="2"/>
  <c r="O10" i="2"/>
  <c r="O12" i="2"/>
  <c r="P13" i="14" l="1"/>
  <c r="Q13" i="14" s="1"/>
  <c r="A64" i="46"/>
  <c r="A65" i="46" s="1"/>
  <c r="A66" i="46" s="1"/>
  <c r="A67" i="46" s="1"/>
  <c r="A68" i="46" s="1"/>
  <c r="A69" i="46" s="1"/>
  <c r="A70" i="46" s="1"/>
  <c r="A71" i="46" s="1"/>
  <c r="A72" i="46" s="1"/>
  <c r="A73" i="46" s="1"/>
  <c r="A74" i="46" s="1"/>
  <c r="A75" i="46" s="1"/>
  <c r="A76" i="46" s="1"/>
  <c r="A77" i="46" s="1"/>
  <c r="A78" i="46" s="1"/>
  <c r="A79" i="46" s="1"/>
  <c r="A80" i="46" s="1"/>
  <c r="A81" i="46" s="1"/>
  <c r="A82" i="46" s="1"/>
  <c r="A83" i="46" s="1"/>
  <c r="A84" i="46" s="1"/>
  <c r="A85" i="46" s="1"/>
  <c r="A86" i="46" s="1"/>
  <c r="A87" i="46" s="1"/>
  <c r="A88" i="46" s="1"/>
  <c r="A89" i="46" s="1"/>
  <c r="A90" i="46" s="1"/>
  <c r="A91" i="46" s="1"/>
  <c r="A92" i="46" s="1"/>
  <c r="A93" i="46" s="1"/>
  <c r="A94" i="46" s="1"/>
  <c r="A95" i="46" s="1"/>
  <c r="A96" i="46" s="1"/>
  <c r="A97" i="46" s="1"/>
  <c r="A98" i="46" s="1"/>
  <c r="A99" i="46" s="1"/>
  <c r="A100" i="46" s="1"/>
  <c r="A101" i="46" s="1"/>
  <c r="A102" i="46" s="1"/>
  <c r="A103" i="46" s="1"/>
  <c r="P5" i="68"/>
  <c r="Q5" i="68" s="1"/>
  <c r="O43" i="56"/>
  <c r="O27" i="56"/>
  <c r="O36" i="56"/>
  <c r="O12" i="56"/>
  <c r="O16" i="56"/>
  <c r="O20" i="56"/>
  <c r="O7" i="56"/>
  <c r="O31" i="56"/>
  <c r="O35" i="56"/>
  <c r="O11" i="56"/>
  <c r="O15" i="56"/>
  <c r="O19" i="56"/>
  <c r="O41" i="56"/>
  <c r="O25" i="56"/>
  <c r="O30" i="56"/>
  <c r="O34" i="56"/>
  <c r="O38" i="56"/>
  <c r="O14" i="56"/>
  <c r="O18" i="56"/>
  <c r="O40" i="56"/>
  <c r="O24" i="56"/>
  <c r="O5" i="56"/>
  <c r="O23" i="56"/>
  <c r="O33" i="56"/>
  <c r="O37" i="56"/>
  <c r="O13" i="56"/>
  <c r="O17" i="56"/>
  <c r="O44" i="56"/>
  <c r="O28" i="56"/>
  <c r="O6" i="56"/>
  <c r="O22" i="56"/>
  <c r="O26" i="56"/>
  <c r="O42" i="56"/>
  <c r="O29" i="56"/>
  <c r="O8" i="56"/>
  <c r="O32" i="56"/>
  <c r="C110" i="29"/>
  <c r="C166" i="29"/>
  <c r="C59" i="29"/>
  <c r="C11" i="29"/>
  <c r="C283" i="29"/>
  <c r="C282" i="29"/>
  <c r="C281" i="29"/>
  <c r="C289" i="29" l="1"/>
  <c r="C292" i="29"/>
  <c r="C280" i="29"/>
  <c r="U88" i="30"/>
  <c r="O88" i="30" s="1"/>
  <c r="C291" i="29"/>
  <c r="F88" i="30" l="1"/>
  <c r="P22" i="81" s="1"/>
  <c r="C290" i="29"/>
  <c r="U65" i="30"/>
  <c r="O65" i="30" s="1"/>
  <c r="Q22" i="81" l="1"/>
  <c r="F65" i="30"/>
  <c r="P37" i="69" s="1"/>
  <c r="Q37" i="69" s="1"/>
  <c r="C42" i="29"/>
  <c r="C35" i="29"/>
  <c r="U39" i="30"/>
  <c r="O39" i="30" s="1"/>
  <c r="C7" i="29"/>
  <c r="C6" i="29"/>
  <c r="C5" i="29"/>
  <c r="C4" i="29"/>
  <c r="C2" i="29"/>
  <c r="C302" i="29"/>
  <c r="C294" i="29"/>
  <c r="C295" i="29"/>
  <c r="C293" i="29"/>
  <c r="C285" i="29"/>
  <c r="C284" i="29"/>
  <c r="C279" i="29"/>
  <c r="C275" i="29"/>
  <c r="C274" i="29"/>
  <c r="C270" i="29"/>
  <c r="C269" i="29"/>
  <c r="C252" i="29"/>
  <c r="C262" i="29"/>
  <c r="C261" i="29"/>
  <c r="C278" i="29"/>
  <c r="C260" i="29"/>
  <c r="C259" i="29"/>
  <c r="C268" i="29"/>
  <c r="C267" i="29"/>
  <c r="C263" i="29"/>
  <c r="C251" i="29"/>
  <c r="C250" i="29"/>
  <c r="C249" i="29"/>
  <c r="C248" i="29"/>
  <c r="C243" i="29"/>
  <c r="C247" i="29"/>
  <c r="C246" i="29"/>
  <c r="C245" i="29"/>
  <c r="C244" i="29"/>
  <c r="C257" i="29"/>
  <c r="C256" i="29"/>
  <c r="C255" i="29"/>
  <c r="C254" i="29"/>
  <c r="C253" i="29"/>
  <c r="C3" i="29"/>
  <c r="C44" i="29"/>
  <c r="C28" i="29"/>
  <c r="C27" i="29"/>
  <c r="C43" i="29"/>
  <c r="C25" i="29"/>
  <c r="C24" i="29"/>
  <c r="C23" i="29"/>
  <c r="C22" i="29"/>
  <c r="C13" i="29"/>
  <c r="C12" i="29"/>
  <c r="C26" i="29"/>
  <c r="C173" i="29"/>
  <c r="C10" i="29"/>
  <c r="C9" i="29"/>
  <c r="C8" i="29"/>
  <c r="C48" i="29"/>
  <c r="C30" i="29"/>
  <c r="C47" i="29"/>
  <c r="C29" i="29"/>
  <c r="C46" i="29"/>
  <c r="C45" i="29"/>
  <c r="C52" i="29"/>
  <c r="C51" i="29"/>
  <c r="C50" i="29"/>
  <c r="C49" i="29"/>
  <c r="C56" i="29"/>
  <c r="C58" i="29"/>
  <c r="F39" i="30" l="1"/>
  <c r="Q38" i="134"/>
  <c r="C55" i="29"/>
  <c r="C54" i="29"/>
  <c r="C53" i="29"/>
  <c r="C66" i="29"/>
  <c r="C164" i="29"/>
  <c r="O5" i="2"/>
  <c r="B6" i="13"/>
  <c r="R11" i="13"/>
  <c r="R10" i="13"/>
  <c r="R17" i="13"/>
  <c r="R9" i="13"/>
  <c r="R8" i="13"/>
  <c r="R7" i="13"/>
  <c r="R16" i="13"/>
  <c r="R15" i="13"/>
  <c r="K5" i="204" l="1"/>
  <c r="F5" i="204"/>
  <c r="H5" i="203"/>
  <c r="P35" i="69"/>
  <c r="Q35" i="69" s="1"/>
  <c r="P35" i="166"/>
  <c r="Q35" i="166" s="1"/>
  <c r="C62" i="29"/>
  <c r="C63" i="29"/>
  <c r="J5" i="203" s="1"/>
  <c r="C31" i="29"/>
  <c r="C32" i="29"/>
  <c r="C33" i="29"/>
  <c r="C34" i="29"/>
  <c r="C60" i="29"/>
  <c r="C61" i="29"/>
  <c r="I3" i="14"/>
  <c r="G3" i="14"/>
  <c r="E3" i="14"/>
  <c r="I2" i="14"/>
  <c r="G2" i="14"/>
  <c r="R30" i="13"/>
  <c r="R29" i="13"/>
  <c r="R28" i="13"/>
  <c r="R27" i="13"/>
  <c r="U42" i="30"/>
  <c r="O42" i="30" s="1"/>
  <c r="U25" i="30"/>
  <c r="O25" i="30" s="1"/>
  <c r="U69" i="30"/>
  <c r="O69" i="30" s="1"/>
  <c r="U46" i="30"/>
  <c r="O46" i="30" s="1"/>
  <c r="U38" i="30"/>
  <c r="O38" i="30" s="1"/>
  <c r="U37" i="30"/>
  <c r="O37" i="30" s="1"/>
  <c r="U28" i="30"/>
  <c r="O28" i="30" s="1"/>
  <c r="U24" i="30"/>
  <c r="O24" i="30" s="1"/>
  <c r="U50" i="30"/>
  <c r="O50" i="30" s="1"/>
  <c r="U83" i="30"/>
  <c r="O83" i="30" s="1"/>
  <c r="U82" i="30"/>
  <c r="O82" i="30" s="1"/>
  <c r="U71" i="30"/>
  <c r="O71" i="30" s="1"/>
  <c r="U64" i="30"/>
  <c r="O64" i="30" s="1"/>
  <c r="U59" i="30"/>
  <c r="O59" i="30" s="1"/>
  <c r="U56" i="30"/>
  <c r="O56" i="30" s="1"/>
  <c r="U45" i="30"/>
  <c r="O45" i="30" s="1"/>
  <c r="U43" i="30"/>
  <c r="O43" i="30" s="1"/>
  <c r="U44" i="30"/>
  <c r="O44" i="30" s="1"/>
  <c r="F44" i="30" s="1"/>
  <c r="U58" i="30"/>
  <c r="O58" i="30" s="1"/>
  <c r="F58" i="30" s="1"/>
  <c r="U60" i="30"/>
  <c r="O60" i="30" s="1"/>
  <c r="F60" i="30" s="1"/>
  <c r="U70" i="30"/>
  <c r="O70" i="30" s="1"/>
  <c r="U81" i="30"/>
  <c r="M5" i="205" l="1"/>
  <c r="D5" i="205"/>
  <c r="D5" i="206"/>
  <c r="K5" i="205"/>
  <c r="J5" i="205"/>
  <c r="H5" i="205"/>
  <c r="K5" i="206"/>
  <c r="F5" i="203"/>
  <c r="P5" i="206"/>
  <c r="Q5" i="206" s="1"/>
  <c r="Q15" i="206" s="1"/>
  <c r="F5" i="206"/>
  <c r="D5" i="203"/>
  <c r="M5" i="206"/>
  <c r="N5" i="206"/>
  <c r="N5" i="203"/>
  <c r="L5" i="205"/>
  <c r="P5" i="203"/>
  <c r="Q5" i="203" s="1"/>
  <c r="Q15" i="203" s="1"/>
  <c r="L5" i="206"/>
  <c r="H5" i="206"/>
  <c r="P5" i="205"/>
  <c r="Q5" i="205" s="1"/>
  <c r="Q16" i="205" s="1"/>
  <c r="F5" i="205"/>
  <c r="K5" i="203"/>
  <c r="N5" i="205"/>
  <c r="G5" i="204"/>
  <c r="G5" i="205"/>
  <c r="G5" i="203"/>
  <c r="L5" i="203"/>
  <c r="N5" i="204"/>
  <c r="D5" i="204"/>
  <c r="M5" i="204"/>
  <c r="L5" i="204"/>
  <c r="J5" i="204"/>
  <c r="J5" i="206"/>
  <c r="H5" i="204"/>
  <c r="G5" i="206"/>
  <c r="P5" i="204"/>
  <c r="Q5" i="204" s="1"/>
  <c r="Q16" i="204" s="1"/>
  <c r="M5" i="203"/>
  <c r="F6" i="133"/>
  <c r="P6" i="133"/>
  <c r="Q6" i="133" s="1"/>
  <c r="M6" i="133"/>
  <c r="L6" i="133"/>
  <c r="J6" i="133"/>
  <c r="K6" i="133"/>
  <c r="H6" i="133"/>
  <c r="G6" i="133"/>
  <c r="D6" i="133"/>
  <c r="N6" i="133"/>
  <c r="L23" i="141"/>
  <c r="F23" i="141"/>
  <c r="K11" i="176"/>
  <c r="D23" i="141"/>
  <c r="P13" i="99"/>
  <c r="Q13" i="99" s="1"/>
  <c r="P12" i="99"/>
  <c r="Q12" i="99" s="1"/>
  <c r="N12" i="176"/>
  <c r="P15" i="146"/>
  <c r="Q15" i="146" s="1"/>
  <c r="M15" i="146"/>
  <c r="J12" i="176"/>
  <c r="K22" i="141"/>
  <c r="D12" i="99"/>
  <c r="L13" i="99"/>
  <c r="G11" i="176"/>
  <c r="H22" i="141"/>
  <c r="H15" i="146"/>
  <c r="N22" i="141"/>
  <c r="D11" i="176"/>
  <c r="H12" i="176"/>
  <c r="M22" i="141"/>
  <c r="F13" i="99"/>
  <c r="K13" i="99"/>
  <c r="L16" i="146"/>
  <c r="J15" i="146"/>
  <c r="N11" i="176"/>
  <c r="M23" i="141"/>
  <c r="M12" i="99"/>
  <c r="D12" i="176"/>
  <c r="D13" i="99"/>
  <c r="J23" i="141"/>
  <c r="J12" i="99"/>
  <c r="G16" i="146"/>
  <c r="K16" i="146"/>
  <c r="J16" i="146"/>
  <c r="M12" i="176"/>
  <c r="P11" i="176"/>
  <c r="Q11" i="176" s="1"/>
  <c r="P22" i="141"/>
  <c r="Q22" i="141" s="1"/>
  <c r="N13" i="99"/>
  <c r="K23" i="141"/>
  <c r="H13" i="99"/>
  <c r="L15" i="146"/>
  <c r="M11" i="176"/>
  <c r="F12" i="176"/>
  <c r="D16" i="146"/>
  <c r="N16" i="146"/>
  <c r="L12" i="99"/>
  <c r="N23" i="141"/>
  <c r="F16" i="146"/>
  <c r="D22" i="141"/>
  <c r="G12" i="99"/>
  <c r="L12" i="176"/>
  <c r="G23" i="141"/>
  <c r="M16" i="146"/>
  <c r="H23" i="141"/>
  <c r="P12" i="176"/>
  <c r="Q12" i="176" s="1"/>
  <c r="N15" i="146"/>
  <c r="G13" i="99"/>
  <c r="G22" i="141"/>
  <c r="F22" i="141"/>
  <c r="N12" i="99"/>
  <c r="L11" i="176"/>
  <c r="K12" i="99"/>
  <c r="H11" i="176"/>
  <c r="J22" i="141"/>
  <c r="F12" i="99"/>
  <c r="J11" i="176"/>
  <c r="P23" i="141"/>
  <c r="Q23" i="141" s="1"/>
  <c r="F11" i="176"/>
  <c r="M13" i="99"/>
  <c r="G15" i="146"/>
  <c r="K12" i="176"/>
  <c r="L22" i="141"/>
  <c r="J13" i="99"/>
  <c r="K15" i="146"/>
  <c r="D15" i="146"/>
  <c r="P16" i="146"/>
  <c r="Q16" i="146" s="1"/>
  <c r="G12" i="176"/>
  <c r="F15" i="146"/>
  <c r="H12" i="99"/>
  <c r="H16" i="146"/>
  <c r="F6" i="202"/>
  <c r="P8" i="202"/>
  <c r="Q8" i="202" s="1"/>
  <c r="M7" i="202"/>
  <c r="N10" i="202"/>
  <c r="D6" i="202"/>
  <c r="K8" i="202"/>
  <c r="G9" i="202"/>
  <c r="N9" i="202"/>
  <c r="F8" i="202"/>
  <c r="M6" i="202"/>
  <c r="N11" i="202"/>
  <c r="J10" i="202"/>
  <c r="M8" i="202"/>
  <c r="K11" i="202"/>
  <c r="H11" i="202"/>
  <c r="K6" i="202"/>
  <c r="M11" i="202"/>
  <c r="L6" i="202"/>
  <c r="J8" i="202"/>
  <c r="H10" i="202"/>
  <c r="H7" i="202"/>
  <c r="H9" i="202"/>
  <c r="H8" i="202"/>
  <c r="K9" i="202"/>
  <c r="P7" i="202"/>
  <c r="Q7" i="202" s="1"/>
  <c r="J6" i="202"/>
  <c r="D11" i="202"/>
  <c r="D8" i="202"/>
  <c r="J11" i="202"/>
  <c r="F11" i="202"/>
  <c r="N8" i="202"/>
  <c r="J9" i="202"/>
  <c r="G8" i="202"/>
  <c r="L9" i="202"/>
  <c r="P10" i="202"/>
  <c r="Q10" i="202" s="1"/>
  <c r="G10" i="202"/>
  <c r="F10" i="202"/>
  <c r="M10" i="202"/>
  <c r="L8" i="202"/>
  <c r="D9" i="202"/>
  <c r="L7" i="202"/>
  <c r="D10" i="202"/>
  <c r="F9" i="202"/>
  <c r="L11" i="202"/>
  <c r="H6" i="202"/>
  <c r="P9" i="202"/>
  <c r="Q9" i="202" s="1"/>
  <c r="M9" i="202"/>
  <c r="N7" i="202"/>
  <c r="G6" i="202"/>
  <c r="K7" i="202"/>
  <c r="D7" i="202"/>
  <c r="N6" i="202"/>
  <c r="L10" i="202"/>
  <c r="K10" i="202"/>
  <c r="G11" i="202"/>
  <c r="G7" i="202"/>
  <c r="F7" i="202"/>
  <c r="P6" i="202"/>
  <c r="Q6" i="202" s="1"/>
  <c r="P11" i="202"/>
  <c r="Q11" i="202" s="1"/>
  <c r="J7" i="202"/>
  <c r="P10" i="107"/>
  <c r="Q10" i="107" s="1"/>
  <c r="P10" i="87"/>
  <c r="Q10" i="87" s="1"/>
  <c r="K10" i="87"/>
  <c r="M9" i="111"/>
  <c r="D10" i="97"/>
  <c r="J9" i="93"/>
  <c r="M10" i="107"/>
  <c r="F9" i="93"/>
  <c r="P9" i="93"/>
  <c r="Q9" i="93" s="1"/>
  <c r="J10" i="87"/>
  <c r="L10" i="97"/>
  <c r="M10" i="87"/>
  <c r="N10" i="87"/>
  <c r="N10" i="107"/>
  <c r="G10" i="97"/>
  <c r="D9" i="93"/>
  <c r="G9" i="111"/>
  <c r="J9" i="111"/>
  <c r="G9" i="93"/>
  <c r="N9" i="93"/>
  <c r="K9" i="121"/>
  <c r="F9" i="111"/>
  <c r="H9" i="111"/>
  <c r="G10" i="87"/>
  <c r="H10" i="107"/>
  <c r="L10" i="87"/>
  <c r="H10" i="87"/>
  <c r="D10" i="87"/>
  <c r="K9" i="111"/>
  <c r="F10" i="107"/>
  <c r="P9" i="121"/>
  <c r="Q9" i="121" s="1"/>
  <c r="P9" i="111"/>
  <c r="Q9" i="111" s="1"/>
  <c r="J10" i="107"/>
  <c r="M9" i="121"/>
  <c r="G10" i="107"/>
  <c r="L9" i="111"/>
  <c r="N9" i="121"/>
  <c r="L10" i="107"/>
  <c r="F10" i="97"/>
  <c r="D9" i="121"/>
  <c r="K10" i="107"/>
  <c r="D9" i="111"/>
  <c r="K10" i="97"/>
  <c r="J9" i="121"/>
  <c r="K9" i="93"/>
  <c r="P10" i="97"/>
  <c r="Q10" i="97" s="1"/>
  <c r="J10" i="97"/>
  <c r="F9" i="121"/>
  <c r="N9" i="111"/>
  <c r="H9" i="93"/>
  <c r="G9" i="121"/>
  <c r="L9" i="93"/>
  <c r="M9" i="93"/>
  <c r="H9" i="121"/>
  <c r="H10" i="97"/>
  <c r="L9" i="121"/>
  <c r="F10" i="87"/>
  <c r="D10" i="107"/>
  <c r="M10" i="97"/>
  <c r="N10" i="97"/>
  <c r="H14" i="67"/>
  <c r="G14" i="67"/>
  <c r="P14" i="67"/>
  <c r="Q14" i="67" s="1"/>
  <c r="M14" i="67"/>
  <c r="L14" i="67"/>
  <c r="F14" i="67"/>
  <c r="K14" i="67"/>
  <c r="D14" i="67"/>
  <c r="J14" i="67"/>
  <c r="N14" i="67"/>
  <c r="P8" i="199"/>
  <c r="Q8" i="199" s="1"/>
  <c r="P7" i="199"/>
  <c r="Q7" i="199" s="1"/>
  <c r="N8" i="199"/>
  <c r="M7" i="199"/>
  <c r="G8" i="199"/>
  <c r="P8" i="200"/>
  <c r="Q8" i="200" s="1"/>
  <c r="M7" i="200"/>
  <c r="F7" i="200"/>
  <c r="K8" i="200"/>
  <c r="G7" i="199"/>
  <c r="N8" i="200"/>
  <c r="N7" i="200"/>
  <c r="K7" i="200"/>
  <c r="L7" i="200"/>
  <c r="G8" i="200"/>
  <c r="J8" i="199"/>
  <c r="L7" i="199"/>
  <c r="J8" i="200"/>
  <c r="P7" i="200"/>
  <c r="Q7" i="200" s="1"/>
  <c r="G7" i="200"/>
  <c r="J7" i="200"/>
  <c r="M8" i="200"/>
  <c r="H8" i="199"/>
  <c r="H7" i="200"/>
  <c r="D8" i="200"/>
  <c r="M8" i="199"/>
  <c r="H8" i="200"/>
  <c r="L8" i="199"/>
  <c r="F7" i="199"/>
  <c r="D8" i="199"/>
  <c r="H7" i="199"/>
  <c r="L8" i="200"/>
  <c r="K7" i="199"/>
  <c r="J7" i="199"/>
  <c r="D7" i="200"/>
  <c r="K8" i="199"/>
  <c r="N7" i="199"/>
  <c r="D7" i="199"/>
  <c r="F8" i="200"/>
  <c r="F8" i="199"/>
  <c r="M15" i="83"/>
  <c r="L15" i="83"/>
  <c r="K15" i="83"/>
  <c r="F15" i="83"/>
  <c r="N15" i="83"/>
  <c r="D15" i="83"/>
  <c r="G15" i="83"/>
  <c r="P15" i="83"/>
  <c r="Q15" i="83" s="1"/>
  <c r="H15" i="83"/>
  <c r="J15" i="83"/>
  <c r="G6" i="200"/>
  <c r="D6" i="200"/>
  <c r="N6" i="199"/>
  <c r="M6" i="199"/>
  <c r="N6" i="200"/>
  <c r="L6" i="199"/>
  <c r="F6" i="200"/>
  <c r="K6" i="199"/>
  <c r="P6" i="199"/>
  <c r="Q6" i="199" s="1"/>
  <c r="H6" i="199"/>
  <c r="J6" i="200"/>
  <c r="G6" i="199"/>
  <c r="F6" i="199"/>
  <c r="D6" i="199"/>
  <c r="J6" i="199"/>
  <c r="P6" i="200"/>
  <c r="Q6" i="200" s="1"/>
  <c r="M6" i="200"/>
  <c r="H6" i="200"/>
  <c r="L6" i="200"/>
  <c r="K6" i="200"/>
  <c r="F23" i="63"/>
  <c r="K24" i="69"/>
  <c r="K23" i="63"/>
  <c r="J21" i="63"/>
  <c r="P23" i="69"/>
  <c r="Q23" i="69" s="1"/>
  <c r="K21" i="63"/>
  <c r="L23" i="63"/>
  <c r="D24" i="69"/>
  <c r="J24" i="69"/>
  <c r="D22" i="63"/>
  <c r="J23" i="63"/>
  <c r="D23" i="69"/>
  <c r="L24" i="69"/>
  <c r="J23" i="69"/>
  <c r="P22" i="63"/>
  <c r="Q22" i="63" s="1"/>
  <c r="D21" i="63"/>
  <c r="F22" i="63"/>
  <c r="L22" i="63"/>
  <c r="K23" i="69"/>
  <c r="L21" i="63"/>
  <c r="G22" i="63"/>
  <c r="F21" i="63"/>
  <c r="M22" i="63"/>
  <c r="F24" i="69"/>
  <c r="M24" i="69"/>
  <c r="G23" i="63"/>
  <c r="F23" i="69"/>
  <c r="G23" i="69"/>
  <c r="G21" i="63"/>
  <c r="N23" i="63"/>
  <c r="G24" i="69"/>
  <c r="N24" i="69"/>
  <c r="N22" i="63"/>
  <c r="L23" i="69"/>
  <c r="N21" i="63"/>
  <c r="J22" i="63"/>
  <c r="H23" i="63"/>
  <c r="H22" i="63"/>
  <c r="P23" i="63"/>
  <c r="Q23" i="63" s="1"/>
  <c r="H24" i="69"/>
  <c r="P24" i="69"/>
  <c r="Q24" i="69" s="1"/>
  <c r="H21" i="63"/>
  <c r="M23" i="63"/>
  <c r="M21" i="63"/>
  <c r="H23" i="69"/>
  <c r="M23" i="69"/>
  <c r="N23" i="69"/>
  <c r="P21" i="63"/>
  <c r="Q21" i="63" s="1"/>
  <c r="K22" i="63"/>
  <c r="D23" i="63"/>
  <c r="P13" i="149"/>
  <c r="Q13" i="149" s="1"/>
  <c r="D5" i="198"/>
  <c r="G6" i="198"/>
  <c r="N7" i="198"/>
  <c r="F5" i="198"/>
  <c r="K8" i="198"/>
  <c r="F6" i="198"/>
  <c r="H8" i="198"/>
  <c r="J5" i="198"/>
  <c r="K6" i="198"/>
  <c r="D8" i="198"/>
  <c r="H7" i="198"/>
  <c r="K7" i="198"/>
  <c r="N5" i="198"/>
  <c r="F7" i="198"/>
  <c r="J7" i="198"/>
  <c r="L7" i="198"/>
  <c r="L8" i="198"/>
  <c r="H6" i="198"/>
  <c r="G8" i="198"/>
  <c r="P7" i="198"/>
  <c r="Q7" i="198" s="1"/>
  <c r="K5" i="198"/>
  <c r="P6" i="198"/>
  <c r="Q6" i="198" s="1"/>
  <c r="J8" i="198"/>
  <c r="M7" i="198"/>
  <c r="G7" i="198"/>
  <c r="P5" i="198"/>
  <c r="Q5" i="198" s="1"/>
  <c r="L5" i="198"/>
  <c r="M5" i="198"/>
  <c r="D7" i="198"/>
  <c r="M8" i="198"/>
  <c r="D6" i="198"/>
  <c r="G5" i="198"/>
  <c r="M6" i="198"/>
  <c r="F8" i="198"/>
  <c r="J6" i="198"/>
  <c r="L6" i="198"/>
  <c r="P8" i="198"/>
  <c r="Q8" i="198" s="1"/>
  <c r="N8" i="198"/>
  <c r="H5" i="198"/>
  <c r="N6" i="198"/>
  <c r="P12" i="149"/>
  <c r="Q12" i="149" s="1"/>
  <c r="P15" i="149"/>
  <c r="Q15" i="149" s="1"/>
  <c r="P16" i="149"/>
  <c r="Q16" i="149" s="1"/>
  <c r="P19" i="149"/>
  <c r="Q19" i="149" s="1"/>
  <c r="P9" i="149"/>
  <c r="Q9" i="149" s="1"/>
  <c r="P11" i="149"/>
  <c r="Q11" i="149" s="1"/>
  <c r="P10" i="149"/>
  <c r="Q10" i="149" s="1"/>
  <c r="P14" i="149"/>
  <c r="Q14" i="149" s="1"/>
  <c r="P17" i="149"/>
  <c r="Q17" i="149" s="1"/>
  <c r="P18" i="149"/>
  <c r="Q18" i="149" s="1"/>
  <c r="P7" i="149"/>
  <c r="Q7" i="149" s="1"/>
  <c r="P8" i="149"/>
  <c r="Q8" i="149" s="1"/>
  <c r="P20" i="63"/>
  <c r="Q20" i="63" s="1"/>
  <c r="N20" i="63"/>
  <c r="M20" i="63"/>
  <c r="L20" i="63"/>
  <c r="G20" i="63"/>
  <c r="K20" i="63"/>
  <c r="J20" i="63"/>
  <c r="H20" i="63"/>
  <c r="F20" i="63"/>
  <c r="D20" i="63"/>
  <c r="N12" i="95"/>
  <c r="H8" i="196"/>
  <c r="L12" i="95"/>
  <c r="P8" i="196"/>
  <c r="Q8" i="196" s="1"/>
  <c r="J8" i="196"/>
  <c r="F8" i="196"/>
  <c r="J7" i="196"/>
  <c r="F5" i="196"/>
  <c r="L9" i="196"/>
  <c r="K10" i="196"/>
  <c r="G6" i="196"/>
  <c r="P7" i="196"/>
  <c r="Q7" i="196" s="1"/>
  <c r="D9" i="196"/>
  <c r="J5" i="196"/>
  <c r="D10" i="196"/>
  <c r="J9" i="196"/>
  <c r="G9" i="196"/>
  <c r="H5" i="196"/>
  <c r="H10" i="196"/>
  <c r="G8" i="196"/>
  <c r="N5" i="196"/>
  <c r="M6" i="196"/>
  <c r="N9" i="196"/>
  <c r="D7" i="196"/>
  <c r="P6" i="196"/>
  <c r="Q6" i="196" s="1"/>
  <c r="J10" i="196"/>
  <c r="M10" i="196"/>
  <c r="F9" i="196"/>
  <c r="G5" i="196"/>
  <c r="N6" i="196"/>
  <c r="P9" i="196"/>
  <c r="Q9" i="196" s="1"/>
  <c r="F7" i="196"/>
  <c r="F10" i="196"/>
  <c r="G7" i="196"/>
  <c r="J6" i="196"/>
  <c r="P10" i="196"/>
  <c r="Q10" i="196" s="1"/>
  <c r="L5" i="196"/>
  <c r="M8" i="196"/>
  <c r="L8" i="196"/>
  <c r="H9" i="196"/>
  <c r="K8" i="196"/>
  <c r="L10" i="196"/>
  <c r="L7" i="196"/>
  <c r="K7" i="196"/>
  <c r="F6" i="196"/>
  <c r="D8" i="196"/>
  <c r="G10" i="196"/>
  <c r="M5" i="196"/>
  <c r="K6" i="196"/>
  <c r="K5" i="196"/>
  <c r="H6" i="196"/>
  <c r="M9" i="196"/>
  <c r="D5" i="196"/>
  <c r="H7" i="196"/>
  <c r="M7" i="196"/>
  <c r="L6" i="196"/>
  <c r="N8" i="196"/>
  <c r="D6" i="196"/>
  <c r="P5" i="196"/>
  <c r="Q5" i="196" s="1"/>
  <c r="N7" i="196"/>
  <c r="N10" i="196"/>
  <c r="K9" i="196"/>
  <c r="F12" i="98"/>
  <c r="N12" i="96"/>
  <c r="M12" i="95"/>
  <c r="H12" i="98"/>
  <c r="L12" i="96"/>
  <c r="K12" i="96"/>
  <c r="L12" i="98"/>
  <c r="J12" i="98"/>
  <c r="H12" i="96"/>
  <c r="G12" i="98"/>
  <c r="G12" i="95"/>
  <c r="H12" i="95"/>
  <c r="J12" i="95"/>
  <c r="M12" i="96"/>
  <c r="N12" i="98"/>
  <c r="J12" i="96"/>
  <c r="K12" i="95"/>
  <c r="M12" i="98"/>
  <c r="F12" i="96"/>
  <c r="K12" i="98"/>
  <c r="F12" i="95"/>
  <c r="G12" i="96"/>
  <c r="P43" i="63"/>
  <c r="Q43" i="63" s="1"/>
  <c r="P31" i="55"/>
  <c r="Q31" i="55" s="1"/>
  <c r="P37" i="63"/>
  <c r="Q37" i="63" s="1"/>
  <c r="P27" i="55"/>
  <c r="Q27" i="55" s="1"/>
  <c r="P44" i="63"/>
  <c r="Q44" i="63" s="1"/>
  <c r="P30" i="55"/>
  <c r="Q30" i="55" s="1"/>
  <c r="K12" i="112"/>
  <c r="G7" i="112"/>
  <c r="M8" i="112"/>
  <c r="F11" i="112"/>
  <c r="L8" i="112"/>
  <c r="F7" i="112"/>
  <c r="H11" i="112"/>
  <c r="J7" i="115"/>
  <c r="K7" i="115"/>
  <c r="J12" i="112"/>
  <c r="K7" i="112"/>
  <c r="G12" i="112"/>
  <c r="J7" i="112"/>
  <c r="H8" i="112"/>
  <c r="N12" i="112"/>
  <c r="N7" i="115"/>
  <c r="J11" i="112"/>
  <c r="J8" i="112"/>
  <c r="M11" i="112"/>
  <c r="F8" i="112"/>
  <c r="H7" i="112"/>
  <c r="L7" i="112"/>
  <c r="N8" i="112"/>
  <c r="L7" i="115"/>
  <c r="M7" i="112"/>
  <c r="L11" i="112"/>
  <c r="H12" i="112"/>
  <c r="H7" i="115"/>
  <c r="N7" i="112"/>
  <c r="G8" i="112"/>
  <c r="F12" i="112"/>
  <c r="F7" i="115"/>
  <c r="K8" i="112"/>
  <c r="G7" i="115"/>
  <c r="L12" i="112"/>
  <c r="J14" i="143"/>
  <c r="G11" i="112"/>
  <c r="M12" i="112"/>
  <c r="K11" i="112"/>
  <c r="M7" i="115"/>
  <c r="N11" i="112"/>
  <c r="N10" i="112"/>
  <c r="H12" i="94"/>
  <c r="J9" i="112"/>
  <c r="J13" i="143"/>
  <c r="H14" i="143"/>
  <c r="M13" i="143"/>
  <c r="G9" i="112"/>
  <c r="K13" i="143"/>
  <c r="J13" i="142"/>
  <c r="H14" i="142"/>
  <c r="F14" i="142"/>
  <c r="G13" i="143"/>
  <c r="G10" i="112"/>
  <c r="L12" i="94"/>
  <c r="M12" i="142"/>
  <c r="N12" i="143"/>
  <c r="N13" i="142"/>
  <c r="K9" i="112"/>
  <c r="J12" i="143"/>
  <c r="G14" i="143"/>
  <c r="J10" i="112"/>
  <c r="M10" i="112"/>
  <c r="J12" i="142"/>
  <c r="K12" i="143"/>
  <c r="H13" i="142"/>
  <c r="H12" i="142"/>
  <c r="K10" i="112"/>
  <c r="M13" i="142"/>
  <c r="H12" i="143"/>
  <c r="L14" i="142"/>
  <c r="F13" i="143"/>
  <c r="L12" i="142"/>
  <c r="F13" i="142"/>
  <c r="N13" i="143"/>
  <c r="F9" i="112"/>
  <c r="G13" i="142"/>
  <c r="F12" i="142"/>
  <c r="J14" i="142"/>
  <c r="L12" i="143"/>
  <c r="K14" i="143"/>
  <c r="N14" i="143"/>
  <c r="F10" i="112"/>
  <c r="G12" i="94"/>
  <c r="K12" i="94"/>
  <c r="N12" i="94"/>
  <c r="M12" i="143"/>
  <c r="N9" i="112"/>
  <c r="K12" i="142"/>
  <c r="G14" i="142"/>
  <c r="H9" i="112"/>
  <c r="L9" i="112"/>
  <c r="M14" i="143"/>
  <c r="K14" i="142"/>
  <c r="H10" i="112"/>
  <c r="M9" i="112"/>
  <c r="N12" i="142"/>
  <c r="L10" i="112"/>
  <c r="G12" i="142"/>
  <c r="N14" i="142"/>
  <c r="F12" i="94"/>
  <c r="J12" i="94"/>
  <c r="M12" i="94"/>
  <c r="H13" i="143"/>
  <c r="L13" i="143"/>
  <c r="F14" i="143"/>
  <c r="M14" i="142"/>
  <c r="G12" i="143"/>
  <c r="L14" i="143"/>
  <c r="F12" i="143"/>
  <c r="K13" i="142"/>
  <c r="L13" i="142"/>
  <c r="D5" i="147"/>
  <c r="M21" i="178"/>
  <c r="L21" i="178"/>
  <c r="K21" i="178"/>
  <c r="G21" i="178"/>
  <c r="N21" i="177"/>
  <c r="F21" i="178"/>
  <c r="P21" i="178"/>
  <c r="Q21" i="178" s="1"/>
  <c r="L21" i="177"/>
  <c r="H21" i="177"/>
  <c r="H21" i="178"/>
  <c r="J21" i="177"/>
  <c r="J21" i="178"/>
  <c r="P21" i="177"/>
  <c r="Q21" i="177" s="1"/>
  <c r="M21" i="177"/>
  <c r="K21" i="177"/>
  <c r="G21" i="177"/>
  <c r="F21" i="177"/>
  <c r="N21" i="178"/>
  <c r="J18" i="63"/>
  <c r="H18" i="63"/>
  <c r="F17" i="63"/>
  <c r="N19" i="63"/>
  <c r="K18" i="63"/>
  <c r="D18" i="63"/>
  <c r="L18" i="63"/>
  <c r="J17" i="63"/>
  <c r="H17" i="63"/>
  <c r="F19" i="63"/>
  <c r="K17" i="63"/>
  <c r="H19" i="63"/>
  <c r="N17" i="63"/>
  <c r="M19" i="63"/>
  <c r="M18" i="63"/>
  <c r="D17" i="63"/>
  <c r="G19" i="63"/>
  <c r="L17" i="63"/>
  <c r="J19" i="63"/>
  <c r="F18" i="63"/>
  <c r="N18" i="63"/>
  <c r="M17" i="63"/>
  <c r="G18" i="63"/>
  <c r="P18" i="63"/>
  <c r="Q18" i="63" s="1"/>
  <c r="P17" i="63"/>
  <c r="Q17" i="63" s="1"/>
  <c r="P19" i="63"/>
  <c r="Q19" i="63" s="1"/>
  <c r="K19" i="63"/>
  <c r="D19" i="63"/>
  <c r="L19" i="63"/>
  <c r="G17" i="63"/>
  <c r="D6" i="156"/>
  <c r="F9" i="153"/>
  <c r="L5" i="60"/>
  <c r="M9" i="152"/>
  <c r="N15" i="141"/>
  <c r="N17" i="141"/>
  <c r="N9" i="141"/>
  <c r="N10" i="141"/>
  <c r="N21" i="141"/>
  <c r="D8" i="62"/>
  <c r="G7" i="62"/>
  <c r="L5" i="64"/>
  <c r="N5" i="64"/>
  <c r="G5" i="64"/>
  <c r="J5" i="122"/>
  <c r="J6" i="156"/>
  <c r="J6" i="158"/>
  <c r="N6" i="158"/>
  <c r="L6" i="158"/>
  <c r="N8" i="62"/>
  <c r="H7" i="62"/>
  <c r="J7" i="74"/>
  <c r="F5" i="122"/>
  <c r="G5" i="122"/>
  <c r="K5" i="65"/>
  <c r="J9" i="152"/>
  <c r="H6" i="158"/>
  <c r="N6" i="156"/>
  <c r="N9" i="153"/>
  <c r="D6" i="158"/>
  <c r="D5" i="60"/>
  <c r="M5" i="64"/>
  <c r="N5" i="60"/>
  <c r="N9" i="62"/>
  <c r="M5" i="122"/>
  <c r="J7" i="62"/>
  <c r="K5" i="138"/>
  <c r="D9" i="153"/>
  <c r="K9" i="152"/>
  <c r="F7" i="62"/>
  <c r="D5" i="65"/>
  <c r="N7" i="74"/>
  <c r="G6" i="158"/>
  <c r="G5" i="138"/>
  <c r="J5" i="65"/>
  <c r="M8" i="62"/>
  <c r="N8" i="152"/>
  <c r="K5" i="64"/>
  <c r="L5" i="65"/>
  <c r="K6" i="158"/>
  <c r="H5" i="138"/>
  <c r="J9" i="62"/>
  <c r="F5" i="138"/>
  <c r="L7" i="62"/>
  <c r="K5" i="61"/>
  <c r="M6" i="158"/>
  <c r="F9" i="62"/>
  <c r="L5" i="122"/>
  <c r="F5" i="65"/>
  <c r="D8" i="153"/>
  <c r="N5" i="122"/>
  <c r="D5" i="64"/>
  <c r="G5" i="65"/>
  <c r="K8" i="62"/>
  <c r="H5" i="122"/>
  <c r="N12" i="141"/>
  <c r="K6" i="156"/>
  <c r="J8" i="152"/>
  <c r="M7" i="74"/>
  <c r="K7" i="74"/>
  <c r="G8" i="153"/>
  <c r="H5" i="65"/>
  <c r="H6" i="156"/>
  <c r="F9" i="152"/>
  <c r="H7" i="74"/>
  <c r="K5" i="59"/>
  <c r="N5" i="65"/>
  <c r="G8" i="152"/>
  <c r="N19" i="141"/>
  <c r="H9" i="153"/>
  <c r="D7" i="74"/>
  <c r="J8" i="153"/>
  <c r="M9" i="153"/>
  <c r="H8" i="153"/>
  <c r="H9" i="152"/>
  <c r="D5" i="122"/>
  <c r="N20" i="141"/>
  <c r="F8" i="62"/>
  <c r="L7" i="74"/>
  <c r="M8" i="152"/>
  <c r="L5" i="138"/>
  <c r="D8" i="152"/>
  <c r="N7" i="62"/>
  <c r="L8" i="152"/>
  <c r="F6" i="156"/>
  <c r="G7" i="74"/>
  <c r="N13" i="141"/>
  <c r="F7" i="74"/>
  <c r="M5" i="65"/>
  <c r="G9" i="152"/>
  <c r="M7" i="62"/>
  <c r="J5" i="138"/>
  <c r="K8" i="152"/>
  <c r="K8" i="153"/>
  <c r="K5" i="122"/>
  <c r="L6" i="156"/>
  <c r="L9" i="152"/>
  <c r="N16" i="141"/>
  <c r="D9" i="152"/>
  <c r="K9" i="153"/>
  <c r="H5" i="59"/>
  <c r="F5" i="64"/>
  <c r="H8" i="152"/>
  <c r="D7" i="62"/>
  <c r="G9" i="62"/>
  <c r="K7" i="62"/>
  <c r="L9" i="153"/>
  <c r="N9" i="152"/>
  <c r="N14" i="141"/>
  <c r="D5" i="138"/>
  <c r="F6" i="158"/>
  <c r="F5" i="60"/>
  <c r="H8" i="62"/>
  <c r="G9" i="153"/>
  <c r="L8" i="153"/>
  <c r="G8" i="62"/>
  <c r="M9" i="62"/>
  <c r="G6" i="156"/>
  <c r="F8" i="152"/>
  <c r="N18" i="141"/>
  <c r="P8" i="62"/>
  <c r="Q8" i="62" s="1"/>
  <c r="M5" i="138"/>
  <c r="N5" i="138"/>
  <c r="K9" i="62"/>
  <c r="L9" i="62"/>
  <c r="H5" i="64"/>
  <c r="H9" i="62"/>
  <c r="M8" i="153"/>
  <c r="F8" i="153"/>
  <c r="J8" i="62"/>
  <c r="J9" i="153"/>
  <c r="N8" i="153"/>
  <c r="N11" i="141"/>
  <c r="D9" i="194"/>
  <c r="L9" i="195"/>
  <c r="H5" i="194"/>
  <c r="J6" i="194"/>
  <c r="F8" i="193"/>
  <c r="G9" i="193"/>
  <c r="F9" i="193"/>
  <c r="K6" i="195"/>
  <c r="L8" i="195"/>
  <c r="N7" i="194"/>
  <c r="J8" i="195"/>
  <c r="K9" i="195"/>
  <c r="G5" i="194"/>
  <c r="P6" i="193"/>
  <c r="Q6" i="193" s="1"/>
  <c r="D8" i="193"/>
  <c r="P7" i="193"/>
  <c r="Q7" i="193" s="1"/>
  <c r="N7" i="193"/>
  <c r="P8" i="193"/>
  <c r="Q8" i="193" s="1"/>
  <c r="H5" i="195"/>
  <c r="G11" i="193"/>
  <c r="L7" i="195"/>
  <c r="P9" i="195"/>
  <c r="Q9" i="195" s="1"/>
  <c r="L5" i="194"/>
  <c r="P7" i="194"/>
  <c r="Q7" i="194" s="1"/>
  <c r="K7" i="195"/>
  <c r="L6" i="194"/>
  <c r="N11" i="193"/>
  <c r="G7" i="195"/>
  <c r="H8" i="195"/>
  <c r="P9" i="194"/>
  <c r="Q9" i="194" s="1"/>
  <c r="M5" i="193"/>
  <c r="N6" i="193"/>
  <c r="M6" i="193"/>
  <c r="L6" i="193"/>
  <c r="M7" i="193"/>
  <c r="D10" i="193"/>
  <c r="J6" i="195"/>
  <c r="M6" i="194"/>
  <c r="K5" i="194"/>
  <c r="J5" i="194"/>
  <c r="L10" i="193"/>
  <c r="D6" i="195"/>
  <c r="P11" i="193"/>
  <c r="Q11" i="193" s="1"/>
  <c r="F7" i="195"/>
  <c r="M8" i="194"/>
  <c r="N9" i="194"/>
  <c r="L5" i="193"/>
  <c r="P10" i="194"/>
  <c r="Q10" i="194" s="1"/>
  <c r="K5" i="193"/>
  <c r="N10" i="194"/>
  <c r="J5" i="193"/>
  <c r="M10" i="194"/>
  <c r="K6" i="193"/>
  <c r="N8" i="193"/>
  <c r="G5" i="195"/>
  <c r="F11" i="193"/>
  <c r="M9" i="195"/>
  <c r="J9" i="193"/>
  <c r="M10" i="193"/>
  <c r="P5" i="195"/>
  <c r="Q5" i="195" s="1"/>
  <c r="K7" i="194"/>
  <c r="L8" i="194"/>
  <c r="M9" i="194"/>
  <c r="L9" i="194"/>
  <c r="K9" i="194"/>
  <c r="H5" i="193"/>
  <c r="L7" i="193"/>
  <c r="P9" i="193"/>
  <c r="Q9" i="193" s="1"/>
  <c r="H6" i="195"/>
  <c r="K8" i="195"/>
  <c r="G8" i="193"/>
  <c r="K9" i="193"/>
  <c r="H6" i="194"/>
  <c r="J7" i="194"/>
  <c r="K8" i="194"/>
  <c r="J8" i="194"/>
  <c r="H8" i="194"/>
  <c r="L10" i="194"/>
  <c r="J6" i="193"/>
  <c r="M8" i="193"/>
  <c r="F5" i="195"/>
  <c r="D11" i="193"/>
  <c r="J7" i="195"/>
  <c r="H7" i="195"/>
  <c r="D7" i="193"/>
  <c r="H8" i="193"/>
  <c r="J9" i="195"/>
  <c r="F5" i="194"/>
  <c r="G6" i="194"/>
  <c r="H7" i="194"/>
  <c r="G7" i="194"/>
  <c r="F7" i="194"/>
  <c r="J9" i="194"/>
  <c r="G5" i="193"/>
  <c r="K7" i="193"/>
  <c r="N9" i="193"/>
  <c r="G6" i="195"/>
  <c r="F6" i="195"/>
  <c r="N10" i="193"/>
  <c r="N5" i="193"/>
  <c r="F7" i="193"/>
  <c r="G8" i="195"/>
  <c r="H9" i="195"/>
  <c r="D5" i="194"/>
  <c r="F6" i="194"/>
  <c r="D6" i="194"/>
  <c r="P5" i="194"/>
  <c r="Q5" i="194" s="1"/>
  <c r="G8" i="194"/>
  <c r="K10" i="194"/>
  <c r="H6" i="193"/>
  <c r="L8" i="193"/>
  <c r="D5" i="195"/>
  <c r="P10" i="193"/>
  <c r="Q10" i="193" s="1"/>
  <c r="P5" i="193"/>
  <c r="Q5" i="193" s="1"/>
  <c r="D7" i="194"/>
  <c r="H9" i="194"/>
  <c r="D8" i="194"/>
  <c r="H10" i="194"/>
  <c r="D9" i="193"/>
  <c r="L9" i="193"/>
  <c r="F10" i="194"/>
  <c r="D7" i="195"/>
  <c r="F8" i="195"/>
  <c r="G9" i="195"/>
  <c r="F9" i="195"/>
  <c r="D9" i="195"/>
  <c r="F5" i="193"/>
  <c r="J7" i="193"/>
  <c r="M9" i="193"/>
  <c r="J8" i="193"/>
  <c r="P8" i="194"/>
  <c r="Q8" i="194" s="1"/>
  <c r="D10" i="194"/>
  <c r="N5" i="195"/>
  <c r="M11" i="193"/>
  <c r="P6" i="195"/>
  <c r="Q6" i="195" s="1"/>
  <c r="D8" i="195"/>
  <c r="P7" i="195"/>
  <c r="Q7" i="195" s="1"/>
  <c r="N7" i="195"/>
  <c r="N5" i="194"/>
  <c r="F8" i="194"/>
  <c r="J10" i="194"/>
  <c r="G6" i="193"/>
  <c r="K8" i="193"/>
  <c r="G7" i="193"/>
  <c r="M7" i="194"/>
  <c r="N8" i="194"/>
  <c r="K10" i="193"/>
  <c r="M5" i="195"/>
  <c r="L11" i="193"/>
  <c r="N6" i="195"/>
  <c r="K11" i="193"/>
  <c r="M6" i="195"/>
  <c r="J11" i="193"/>
  <c r="L6" i="195"/>
  <c r="P8" i="195"/>
  <c r="Q8" i="195" s="1"/>
  <c r="P6" i="194"/>
  <c r="Q6" i="194" s="1"/>
  <c r="G9" i="194"/>
  <c r="D5" i="193"/>
  <c r="H7" i="193"/>
  <c r="G10" i="194"/>
  <c r="D6" i="193"/>
  <c r="K6" i="194"/>
  <c r="L7" i="194"/>
  <c r="H9" i="193"/>
  <c r="J10" i="193"/>
  <c r="L5" i="195"/>
  <c r="H10" i="193"/>
  <c r="K5" i="195"/>
  <c r="G10" i="193"/>
  <c r="J5" i="195"/>
  <c r="H11" i="193"/>
  <c r="M7" i="195"/>
  <c r="M5" i="194"/>
  <c r="F6" i="193"/>
  <c r="F10" i="193"/>
  <c r="N8" i="195"/>
  <c r="N6" i="194"/>
  <c r="F9" i="194"/>
  <c r="M8" i="195"/>
  <c r="N9" i="195"/>
  <c r="H19" i="69"/>
  <c r="P19" i="69"/>
  <c r="Q19" i="69" s="1"/>
  <c r="G21" i="69"/>
  <c r="K19" i="69"/>
  <c r="G20" i="69"/>
  <c r="F20" i="69"/>
  <c r="M20" i="69"/>
  <c r="D21" i="69"/>
  <c r="F21" i="69"/>
  <c r="J19" i="69"/>
  <c r="G19" i="69"/>
  <c r="K21" i="69"/>
  <c r="P20" i="69"/>
  <c r="Q20" i="69" s="1"/>
  <c r="D20" i="69"/>
  <c r="N19" i="69"/>
  <c r="H20" i="69"/>
  <c r="K20" i="69"/>
  <c r="J20" i="69"/>
  <c r="F19" i="69"/>
  <c r="L20" i="69"/>
  <c r="H21" i="69"/>
  <c r="N20" i="69"/>
  <c r="P21" i="69"/>
  <c r="Q21" i="69" s="1"/>
  <c r="J21" i="69"/>
  <c r="D19" i="69"/>
  <c r="M19" i="69"/>
  <c r="L21" i="69"/>
  <c r="N21" i="69"/>
  <c r="L19" i="69"/>
  <c r="M21" i="69"/>
  <c r="F5" i="59"/>
  <c r="K5" i="60"/>
  <c r="H5" i="60"/>
  <c r="M5" i="59"/>
  <c r="J5" i="60"/>
  <c r="D5" i="59"/>
  <c r="G5" i="60"/>
  <c r="M5" i="61"/>
  <c r="D5" i="61"/>
  <c r="F5" i="61"/>
  <c r="G5" i="59"/>
  <c r="N5" i="59"/>
  <c r="J5" i="61"/>
  <c r="J5" i="59"/>
  <c r="M5" i="60"/>
  <c r="H5" i="61"/>
  <c r="N5" i="61"/>
  <c r="L5" i="61"/>
  <c r="D9" i="62"/>
  <c r="L8" i="62"/>
  <c r="J5" i="64"/>
  <c r="M6" i="156"/>
  <c r="L5" i="59"/>
  <c r="G5" i="61"/>
  <c r="D21" i="178"/>
  <c r="D21" i="177"/>
  <c r="N10" i="191"/>
  <c r="F6" i="191"/>
  <c r="J7" i="190"/>
  <c r="G7" i="189"/>
  <c r="G8" i="188"/>
  <c r="F8" i="188"/>
  <c r="P6" i="189"/>
  <c r="Q6" i="189" s="1"/>
  <c r="P7" i="188"/>
  <c r="Q7" i="188" s="1"/>
  <c r="J5" i="188"/>
  <c r="G7" i="187"/>
  <c r="K11" i="191"/>
  <c r="P6" i="191"/>
  <c r="Q6" i="191" s="1"/>
  <c r="H8" i="190"/>
  <c r="L5" i="189"/>
  <c r="M5" i="190"/>
  <c r="H10" i="190"/>
  <c r="J5" i="190"/>
  <c r="F7" i="186"/>
  <c r="H9" i="186"/>
  <c r="P10" i="186"/>
  <c r="Q10" i="186" s="1"/>
  <c r="J6" i="186"/>
  <c r="G12" i="186"/>
  <c r="M6" i="186"/>
  <c r="F13" i="186"/>
  <c r="G6" i="190"/>
  <c r="K7" i="188"/>
  <c r="J7" i="188"/>
  <c r="N5" i="186"/>
  <c r="G9" i="189"/>
  <c r="L11" i="186"/>
  <c r="K8" i="191"/>
  <c r="D5" i="190"/>
  <c r="L9" i="189"/>
  <c r="N5" i="188"/>
  <c r="M5" i="188"/>
  <c r="K5" i="188"/>
  <c r="N8" i="190"/>
  <c r="H9" i="191"/>
  <c r="P5" i="190"/>
  <c r="Q5" i="190" s="1"/>
  <c r="P7" i="190"/>
  <c r="Q7" i="190" s="1"/>
  <c r="J8" i="186"/>
  <c r="N10" i="186"/>
  <c r="F8" i="186"/>
  <c r="M14" i="186"/>
  <c r="J10" i="186"/>
  <c r="L10" i="186"/>
  <c r="K6" i="189"/>
  <c r="D13" i="186"/>
  <c r="F9" i="186"/>
  <c r="J8" i="189"/>
  <c r="F12" i="186"/>
  <c r="K9" i="186"/>
  <c r="G9" i="191"/>
  <c r="L13" i="186"/>
  <c r="G6" i="191"/>
  <c r="D10" i="190"/>
  <c r="H7" i="189"/>
  <c r="P8" i="190"/>
  <c r="Q8" i="190" s="1"/>
  <c r="J6" i="190"/>
  <c r="M8" i="190"/>
  <c r="L11" i="191"/>
  <c r="D7" i="191"/>
  <c r="N10" i="190"/>
  <c r="M7" i="187"/>
  <c r="K5" i="190"/>
  <c r="M9" i="186"/>
  <c r="G14" i="186"/>
  <c r="P11" i="186"/>
  <c r="Q11" i="186" s="1"/>
  <c r="K7" i="191"/>
  <c r="D12" i="186"/>
  <c r="P8" i="188"/>
  <c r="Q8" i="188" s="1"/>
  <c r="K6" i="188"/>
  <c r="F6" i="189"/>
  <c r="L9" i="186"/>
  <c r="J12" i="186"/>
  <c r="P8" i="186"/>
  <c r="Q8" i="186" s="1"/>
  <c r="L7" i="190"/>
  <c r="H8" i="188"/>
  <c r="D8" i="188"/>
  <c r="N8" i="187"/>
  <c r="K6" i="190"/>
  <c r="H6" i="190"/>
  <c r="J9" i="191"/>
  <c r="J8" i="190"/>
  <c r="D6" i="191"/>
  <c r="P7" i="186"/>
  <c r="Q7" i="186" s="1"/>
  <c r="J7" i="186"/>
  <c r="D6" i="186"/>
  <c r="H8" i="186"/>
  <c r="N9" i="186"/>
  <c r="K14" i="186"/>
  <c r="K5" i="189"/>
  <c r="D6" i="189"/>
  <c r="K7" i="186"/>
  <c r="D8" i="186"/>
  <c r="L5" i="186"/>
  <c r="G5" i="190"/>
  <c r="M9" i="189"/>
  <c r="P5" i="188"/>
  <c r="Q5" i="188" s="1"/>
  <c r="L5" i="188"/>
  <c r="P8" i="187"/>
  <c r="Q8" i="187" s="1"/>
  <c r="J6" i="187"/>
  <c r="M8" i="189"/>
  <c r="F7" i="191"/>
  <c r="P10" i="190"/>
  <c r="Q10" i="190" s="1"/>
  <c r="D6" i="190"/>
  <c r="D8" i="189"/>
  <c r="N7" i="189"/>
  <c r="M8" i="186"/>
  <c r="P14" i="186"/>
  <c r="Q14" i="186" s="1"/>
  <c r="P6" i="186"/>
  <c r="Q6" i="186" s="1"/>
  <c r="K13" i="186"/>
  <c r="P13" i="186"/>
  <c r="Q13" i="186" s="1"/>
  <c r="N8" i="186"/>
  <c r="P12" i="186"/>
  <c r="Q12" i="186" s="1"/>
  <c r="G8" i="190"/>
  <c r="H12" i="186"/>
  <c r="N5" i="190"/>
  <c r="F7" i="188"/>
  <c r="N13" i="186"/>
  <c r="F8" i="190"/>
  <c r="F10" i="190"/>
  <c r="J7" i="189"/>
  <c r="J8" i="188"/>
  <c r="N6" i="187"/>
  <c r="M6" i="187"/>
  <c r="K6" i="187"/>
  <c r="J6" i="189"/>
  <c r="K8" i="190"/>
  <c r="G8" i="189"/>
  <c r="G11" i="191"/>
  <c r="M5" i="189"/>
  <c r="J5" i="189"/>
  <c r="G13" i="186"/>
  <c r="J13" i="186"/>
  <c r="J14" i="186"/>
  <c r="F10" i="186"/>
  <c r="G6" i="189"/>
  <c r="D10" i="186"/>
  <c r="D5" i="188"/>
  <c r="H5" i="186"/>
  <c r="N7" i="190"/>
  <c r="M7" i="190"/>
  <c r="D5" i="189"/>
  <c r="D6" i="188"/>
  <c r="L6" i="189"/>
  <c r="M7" i="188"/>
  <c r="N9" i="191"/>
  <c r="N8" i="189"/>
  <c r="L8" i="189"/>
  <c r="F6" i="190"/>
  <c r="P5" i="189"/>
  <c r="Q5" i="189" s="1"/>
  <c r="D9" i="191"/>
  <c r="P7" i="189"/>
  <c r="Q7" i="189" s="1"/>
  <c r="K6" i="186"/>
  <c r="G7" i="186"/>
  <c r="P5" i="186"/>
  <c r="Q5" i="186" s="1"/>
  <c r="H6" i="189"/>
  <c r="H8" i="189"/>
  <c r="H11" i="186"/>
  <c r="G5" i="191"/>
  <c r="D11" i="186"/>
  <c r="N6" i="188"/>
  <c r="D7" i="188"/>
  <c r="G5" i="186"/>
  <c r="G11" i="186"/>
  <c r="F6" i="186"/>
  <c r="G7" i="191"/>
  <c r="H5" i="190"/>
  <c r="L7" i="189"/>
  <c r="M8" i="187"/>
  <c r="L8" i="190"/>
  <c r="N7" i="187"/>
  <c r="N7" i="188"/>
  <c r="G5" i="189"/>
  <c r="P6" i="187"/>
  <c r="Q6" i="187" s="1"/>
  <c r="F5" i="189"/>
  <c r="L6" i="187"/>
  <c r="L10" i="190"/>
  <c r="M12" i="186"/>
  <c r="H14" i="186"/>
  <c r="K5" i="187"/>
  <c r="K8" i="188"/>
  <c r="H8" i="191"/>
  <c r="G6" i="188"/>
  <c r="G5" i="188"/>
  <c r="L8" i="188"/>
  <c r="M7" i="189"/>
  <c r="M8" i="188"/>
  <c r="F6" i="188"/>
  <c r="D7" i="187"/>
  <c r="F5" i="190"/>
  <c r="P9" i="191"/>
  <c r="Q9" i="191" s="1"/>
  <c r="F5" i="188"/>
  <c r="H5" i="189"/>
  <c r="H5" i="188"/>
  <c r="F10" i="191"/>
  <c r="K7" i="189"/>
  <c r="L7" i="191"/>
  <c r="D9" i="190"/>
  <c r="L7" i="188"/>
  <c r="L6" i="188"/>
  <c r="J8" i="191"/>
  <c r="G10" i="191"/>
  <c r="P7" i="191"/>
  <c r="Q7" i="191" s="1"/>
  <c r="M7" i="191"/>
  <c r="H5" i="191"/>
  <c r="L6" i="190"/>
  <c r="M5" i="191"/>
  <c r="L5" i="191"/>
  <c r="J5" i="191"/>
  <c r="K8" i="187"/>
  <c r="D8" i="187"/>
  <c r="N5" i="189"/>
  <c r="J5" i="187"/>
  <c r="K7" i="187"/>
  <c r="H13" i="186"/>
  <c r="H6" i="186"/>
  <c r="M10" i="186"/>
  <c r="L7" i="186"/>
  <c r="J9" i="186"/>
  <c r="D5" i="186"/>
  <c r="L8" i="186"/>
  <c r="N12" i="186"/>
  <c r="N8" i="188"/>
  <c r="N9" i="189"/>
  <c r="F7" i="187"/>
  <c r="H10" i="191"/>
  <c r="D10" i="191"/>
  <c r="F6" i="187"/>
  <c r="H7" i="188"/>
  <c r="G7" i="188"/>
  <c r="L5" i="187"/>
  <c r="F5" i="187"/>
  <c r="M13" i="186"/>
  <c r="L14" i="186"/>
  <c r="D7" i="186"/>
  <c r="F14" i="186"/>
  <c r="K7" i="190"/>
  <c r="N9" i="190"/>
  <c r="J6" i="188"/>
  <c r="D8" i="191"/>
  <c r="N7" i="191"/>
  <c r="F9" i="190"/>
  <c r="P8" i="189"/>
  <c r="Q8" i="189" s="1"/>
  <c r="L8" i="187"/>
  <c r="J10" i="190"/>
  <c r="J8" i="187"/>
  <c r="F8" i="187"/>
  <c r="M6" i="191"/>
  <c r="L7" i="187"/>
  <c r="G6" i="186"/>
  <c r="M7" i="186"/>
  <c r="N6" i="186"/>
  <c r="G10" i="186"/>
  <c r="N14" i="186"/>
  <c r="J7" i="191"/>
  <c r="K10" i="190"/>
  <c r="G9" i="186"/>
  <c r="N5" i="191"/>
  <c r="K9" i="190"/>
  <c r="J9" i="190"/>
  <c r="K5" i="191"/>
  <c r="G9" i="190"/>
  <c r="M6" i="190"/>
  <c r="G6" i="187"/>
  <c r="D6" i="187"/>
  <c r="M5" i="187"/>
  <c r="P9" i="190"/>
  <c r="Q9" i="190" s="1"/>
  <c r="G5" i="187"/>
  <c r="P9" i="189"/>
  <c r="Q9" i="189" s="1"/>
  <c r="M5" i="186"/>
  <c r="G8" i="186"/>
  <c r="P9" i="186"/>
  <c r="Q9" i="186" s="1"/>
  <c r="N7" i="186"/>
  <c r="P7" i="187"/>
  <c r="Q7" i="187" s="1"/>
  <c r="F5" i="186"/>
  <c r="M10" i="190"/>
  <c r="J10" i="191"/>
  <c r="F7" i="190"/>
  <c r="D7" i="190"/>
  <c r="N6" i="190"/>
  <c r="H6" i="187"/>
  <c r="H8" i="187"/>
  <c r="G8" i="187"/>
  <c r="D8" i="190"/>
  <c r="F8" i="189"/>
  <c r="D11" i="191"/>
  <c r="J5" i="186"/>
  <c r="D9" i="186"/>
  <c r="K10" i="186"/>
  <c r="M11" i="186"/>
  <c r="J11" i="186"/>
  <c r="M10" i="191"/>
  <c r="K9" i="189"/>
  <c r="F8" i="191"/>
  <c r="H5" i="187"/>
  <c r="K8" i="189"/>
  <c r="L5" i="190"/>
  <c r="N5" i="187"/>
  <c r="F11" i="191"/>
  <c r="N8" i="191"/>
  <c r="P10" i="191"/>
  <c r="Q10" i="191" s="1"/>
  <c r="H6" i="188"/>
  <c r="F11" i="186"/>
  <c r="N11" i="186"/>
  <c r="K12" i="186"/>
  <c r="L12" i="186"/>
  <c r="M9" i="190"/>
  <c r="D5" i="191"/>
  <c r="H7" i="186"/>
  <c r="J7" i="187"/>
  <c r="K10" i="191"/>
  <c r="P5" i="191"/>
  <c r="Q5" i="191" s="1"/>
  <c r="L9" i="190"/>
  <c r="H9" i="190"/>
  <c r="D9" i="189"/>
  <c r="N11" i="191"/>
  <c r="L10" i="191"/>
  <c r="P5" i="187"/>
  <c r="Q5" i="187" s="1"/>
  <c r="H11" i="191"/>
  <c r="P8" i="191"/>
  <c r="Q8" i="191" s="1"/>
  <c r="K6" i="191"/>
  <c r="L8" i="191"/>
  <c r="K11" i="186"/>
  <c r="H10" i="186"/>
  <c r="J11" i="191"/>
  <c r="K5" i="186"/>
  <c r="F5" i="191"/>
  <c r="D14" i="186"/>
  <c r="D5" i="187"/>
  <c r="G8" i="191"/>
  <c r="G7" i="190"/>
  <c r="J9" i="189"/>
  <c r="H9" i="189"/>
  <c r="P6" i="190"/>
  <c r="Q6" i="190" s="1"/>
  <c r="F9" i="189"/>
  <c r="M6" i="189"/>
  <c r="P11" i="191"/>
  <c r="Q11" i="191" s="1"/>
  <c r="L9" i="191"/>
  <c r="F9" i="191"/>
  <c r="P6" i="188"/>
  <c r="Q6" i="188" s="1"/>
  <c r="L6" i="191"/>
  <c r="H6" i="191"/>
  <c r="H7" i="187"/>
  <c r="K8" i="186"/>
  <c r="J6" i="191"/>
  <c r="L6" i="186"/>
  <c r="F7" i="189"/>
  <c r="D7" i="189"/>
  <c r="N6" i="189"/>
  <c r="M9" i="191"/>
  <c r="H7" i="191"/>
  <c r="M11" i="191"/>
  <c r="M6" i="188"/>
  <c r="N6" i="191"/>
  <c r="M8" i="191"/>
  <c r="K9" i="191"/>
  <c r="G10" i="190"/>
  <c r="H7" i="190"/>
  <c r="K5" i="57"/>
  <c r="J6" i="62"/>
  <c r="F5" i="57"/>
  <c r="D5" i="57"/>
  <c r="M5" i="57"/>
  <c r="J5" i="57"/>
  <c r="H5" i="57"/>
  <c r="G5" i="57"/>
  <c r="N5" i="57"/>
  <c r="L5" i="57"/>
  <c r="K6" i="165"/>
  <c r="K5" i="160"/>
  <c r="K14" i="66"/>
  <c r="M9" i="110"/>
  <c r="H8" i="105"/>
  <c r="K6" i="179"/>
  <c r="N6" i="111"/>
  <c r="H8" i="176"/>
  <c r="F5" i="165"/>
  <c r="L6" i="172"/>
  <c r="K17" i="149"/>
  <c r="N6" i="150"/>
  <c r="H15" i="148"/>
  <c r="M6" i="151"/>
  <c r="L15" i="148"/>
  <c r="L7" i="164"/>
  <c r="J9" i="150"/>
  <c r="K6" i="88"/>
  <c r="H6" i="88"/>
  <c r="N10" i="66"/>
  <c r="F7" i="67"/>
  <c r="F11" i="66"/>
  <c r="M5" i="88"/>
  <c r="K13" i="149"/>
  <c r="L19" i="66"/>
  <c r="G5" i="88"/>
  <c r="N6" i="173"/>
  <c r="J6" i="162"/>
  <c r="F14" i="148"/>
  <c r="G19" i="148"/>
  <c r="K6" i="150"/>
  <c r="J6" i="151"/>
  <c r="F16" i="149"/>
  <c r="H9" i="150"/>
  <c r="G7" i="151"/>
  <c r="L17" i="66"/>
  <c r="K19" i="66"/>
  <c r="J12" i="66"/>
  <c r="H13" i="66"/>
  <c r="J5" i="88"/>
  <c r="J17" i="66"/>
  <c r="F13" i="66"/>
  <c r="J18" i="66"/>
  <c r="H13" i="149"/>
  <c r="G5" i="165"/>
  <c r="N10" i="150"/>
  <c r="G16" i="149"/>
  <c r="G17" i="147"/>
  <c r="K17" i="147"/>
  <c r="M7" i="151"/>
  <c r="J12" i="172"/>
  <c r="M12" i="66"/>
  <c r="H12" i="66"/>
  <c r="L5" i="88"/>
  <c r="F19" i="66"/>
  <c r="H6" i="151"/>
  <c r="F6" i="88"/>
  <c r="H17" i="147"/>
  <c r="F6" i="173"/>
  <c r="K10" i="141"/>
  <c r="H10" i="141"/>
  <c r="F6" i="151"/>
  <c r="J15" i="148"/>
  <c r="N6" i="151"/>
  <c r="F7" i="164"/>
  <c r="F19" i="149"/>
  <c r="L13" i="66"/>
  <c r="F16" i="66"/>
  <c r="J10" i="66"/>
  <c r="M13" i="66"/>
  <c r="H16" i="66"/>
  <c r="N18" i="66"/>
  <c r="M17" i="147"/>
  <c r="K17" i="66"/>
  <c r="N14" i="148"/>
  <c r="M19" i="148"/>
  <c r="H16" i="149"/>
  <c r="H5" i="165"/>
  <c r="N16" i="149"/>
  <c r="K15" i="148"/>
  <c r="J8" i="151"/>
  <c r="L6" i="162"/>
  <c r="M10" i="141"/>
  <c r="K20" i="66"/>
  <c r="K13" i="66"/>
  <c r="J11" i="66"/>
  <c r="H18" i="66"/>
  <c r="G18" i="66"/>
  <c r="H19" i="66"/>
  <c r="L14" i="148"/>
  <c r="F6" i="172"/>
  <c r="L10" i="141"/>
  <c r="H6" i="162"/>
  <c r="F13" i="149"/>
  <c r="N5" i="165"/>
  <c r="L13" i="149"/>
  <c r="H16" i="147"/>
  <c r="L6" i="173"/>
  <c r="M10" i="66"/>
  <c r="M11" i="66"/>
  <c r="J13" i="66"/>
  <c r="J19" i="66"/>
  <c r="F18" i="66"/>
  <c r="G17" i="66"/>
  <c r="G12" i="172"/>
  <c r="N19" i="66"/>
  <c r="G12" i="66"/>
  <c r="F16" i="147"/>
  <c r="N12" i="172"/>
  <c r="N17" i="147"/>
  <c r="H19" i="149"/>
  <c r="L5" i="165"/>
  <c r="K6" i="162"/>
  <c r="K19" i="149"/>
  <c r="H6" i="172"/>
  <c r="F17" i="149"/>
  <c r="L11" i="66"/>
  <c r="K10" i="66"/>
  <c r="G13" i="66"/>
  <c r="J16" i="66"/>
  <c r="N11" i="66"/>
  <c r="F17" i="66"/>
  <c r="K12" i="66"/>
  <c r="G20" i="66"/>
  <c r="F20" i="66"/>
  <c r="F5" i="88"/>
  <c r="K16" i="147"/>
  <c r="F12" i="172"/>
  <c r="H7" i="164"/>
  <c r="M5" i="165"/>
  <c r="J19" i="149"/>
  <c r="J6" i="150"/>
  <c r="J16" i="147"/>
  <c r="F10" i="150"/>
  <c r="M9" i="150"/>
  <c r="K16" i="148"/>
  <c r="H10" i="150"/>
  <c r="L9" i="150"/>
  <c r="L17" i="149"/>
  <c r="J13" i="149"/>
  <c r="J10" i="141"/>
  <c r="G14" i="148"/>
  <c r="K7" i="164"/>
  <c r="G9" i="150"/>
  <c r="M6" i="162"/>
  <c r="M18" i="66"/>
  <c r="M14" i="148"/>
  <c r="H12" i="172"/>
  <c r="M6" i="172"/>
  <c r="M15" i="148"/>
  <c r="F7" i="151"/>
  <c r="J16" i="149"/>
  <c r="M17" i="149"/>
  <c r="K19" i="148"/>
  <c r="L12" i="172"/>
  <c r="G10" i="141"/>
  <c r="F8" i="151"/>
  <c r="K8" i="151"/>
  <c r="J6" i="172"/>
  <c r="L16" i="148"/>
  <c r="H16" i="148"/>
  <c r="G19" i="149"/>
  <c r="K9" i="150"/>
  <c r="N5" i="88"/>
  <c r="F9" i="150"/>
  <c r="J10" i="150"/>
  <c r="L13" i="172"/>
  <c r="N16" i="147"/>
  <c r="N19" i="148"/>
  <c r="H14" i="148"/>
  <c r="H17" i="149"/>
  <c r="F10" i="141"/>
  <c r="G10" i="66"/>
  <c r="L7" i="151"/>
  <c r="K7" i="151"/>
  <c r="H7" i="151"/>
  <c r="L17" i="147"/>
  <c r="M6" i="173"/>
  <c r="J6" i="173"/>
  <c r="N20" i="66"/>
  <c r="L19" i="149"/>
  <c r="K10" i="150"/>
  <c r="M12" i="172"/>
  <c r="H6" i="150"/>
  <c r="F6" i="150"/>
  <c r="M13" i="149"/>
  <c r="J5" i="165"/>
  <c r="G16" i="148"/>
  <c r="F12" i="66"/>
  <c r="M20" i="66"/>
  <c r="H20" i="66"/>
  <c r="G6" i="172"/>
  <c r="L8" i="151"/>
  <c r="J7" i="164"/>
  <c r="N6" i="172"/>
  <c r="J7" i="151"/>
  <c r="G6" i="151"/>
  <c r="J14" i="148"/>
  <c r="J19" i="148"/>
  <c r="J17" i="149"/>
  <c r="K5" i="165"/>
  <c r="M19" i="66"/>
  <c r="J20" i="66"/>
  <c r="K16" i="149"/>
  <c r="G15" i="148"/>
  <c r="N13" i="172"/>
  <c r="G17" i="149"/>
  <c r="L6" i="150"/>
  <c r="F19" i="148"/>
  <c r="N8" i="151"/>
  <c r="F10" i="66"/>
  <c r="M17" i="66"/>
  <c r="H17" i="66"/>
  <c r="L20" i="66"/>
  <c r="G6" i="88"/>
  <c r="L16" i="147"/>
  <c r="N7" i="151"/>
  <c r="N6" i="162"/>
  <c r="J16" i="148"/>
  <c r="F13" i="172"/>
  <c r="L6" i="151"/>
  <c r="M16" i="149"/>
  <c r="H13" i="172"/>
  <c r="L18" i="66"/>
  <c r="M16" i="66"/>
  <c r="K11" i="66"/>
  <c r="M16" i="147"/>
  <c r="N19" i="149"/>
  <c r="N15" i="148"/>
  <c r="G13" i="149"/>
  <c r="L16" i="149"/>
  <c r="H6" i="173"/>
  <c r="G6" i="173"/>
  <c r="N17" i="149"/>
  <c r="J13" i="172"/>
  <c r="H5" i="88"/>
  <c r="H10" i="66"/>
  <c r="N17" i="66"/>
  <c r="K16" i="66"/>
  <c r="H11" i="66"/>
  <c r="K12" i="172"/>
  <c r="N7" i="164"/>
  <c r="G10" i="150"/>
  <c r="M7" i="164"/>
  <c r="F16" i="148"/>
  <c r="F6" i="162"/>
  <c r="M10" i="150"/>
  <c r="M6" i="88"/>
  <c r="L12" i="66"/>
  <c r="L16" i="66"/>
  <c r="G11" i="66"/>
  <c r="N6" i="88"/>
  <c r="M6" i="150"/>
  <c r="G13" i="172"/>
  <c r="G16" i="147"/>
  <c r="F17" i="147"/>
  <c r="G8" i="151"/>
  <c r="K13" i="172"/>
  <c r="N9" i="150"/>
  <c r="J6" i="88"/>
  <c r="L10" i="66"/>
  <c r="N13" i="66"/>
  <c r="K18" i="66"/>
  <c r="H8" i="151"/>
  <c r="G16" i="66"/>
  <c r="M8" i="151"/>
  <c r="K6" i="172"/>
  <c r="L19" i="148"/>
  <c r="M19" i="149"/>
  <c r="G6" i="162"/>
  <c r="K6" i="151"/>
  <c r="G6" i="150"/>
  <c r="H19" i="148"/>
  <c r="K5" i="88"/>
  <c r="G19" i="66"/>
  <c r="J17" i="147"/>
  <c r="N16" i="66"/>
  <c r="K6" i="173"/>
  <c r="K14" i="148"/>
  <c r="L10" i="150"/>
  <c r="N16" i="148"/>
  <c r="M13" i="172"/>
  <c r="F15" i="148"/>
  <c r="M16" i="148"/>
  <c r="G7" i="164"/>
  <c r="L6" i="88"/>
  <c r="N12" i="66"/>
  <c r="N13" i="149"/>
  <c r="K7" i="67"/>
  <c r="G14" i="146"/>
  <c r="G7" i="67"/>
  <c r="G5" i="105"/>
  <c r="J5" i="130"/>
  <c r="H7" i="107"/>
  <c r="N7" i="67"/>
  <c r="G5" i="130"/>
  <c r="M7" i="67"/>
  <c r="L7" i="67"/>
  <c r="M5" i="130"/>
  <c r="N6" i="175"/>
  <c r="F5" i="130"/>
  <c r="K5" i="130"/>
  <c r="N5" i="130"/>
  <c r="F6" i="87"/>
  <c r="H5" i="130"/>
  <c r="J15" i="141"/>
  <c r="J7" i="67"/>
  <c r="M6" i="130"/>
  <c r="G5" i="126"/>
  <c r="H7" i="67"/>
  <c r="L5" i="130"/>
  <c r="N15" i="66"/>
  <c r="J5" i="107"/>
  <c r="F5" i="125"/>
  <c r="N5" i="58"/>
  <c r="L6" i="107"/>
  <c r="J8" i="85"/>
  <c r="K10" i="148"/>
  <c r="G5" i="132"/>
  <c r="N19" i="55"/>
  <c r="F8" i="148"/>
  <c r="M5" i="92"/>
  <c r="L8" i="92"/>
  <c r="H13" i="75"/>
  <c r="L7" i="88"/>
  <c r="L6" i="126"/>
  <c r="G6" i="127"/>
  <c r="H15" i="177"/>
  <c r="G9" i="97"/>
  <c r="J10" i="100"/>
  <c r="L15" i="178"/>
  <c r="G15" i="56"/>
  <c r="J6" i="176"/>
  <c r="L8" i="110"/>
  <c r="K6" i="110"/>
  <c r="G5" i="87"/>
  <c r="N5" i="92"/>
  <c r="F19" i="55"/>
  <c r="H6" i="148"/>
  <c r="G16" i="56"/>
  <c r="G11" i="99"/>
  <c r="J10" i="149"/>
  <c r="N5" i="85"/>
  <c r="F9" i="131"/>
  <c r="K7" i="106"/>
  <c r="L6" i="182"/>
  <c r="G6" i="111"/>
  <c r="F7" i="105"/>
  <c r="L7" i="176"/>
  <c r="M13" i="141"/>
  <c r="M5" i="111"/>
  <c r="H5" i="110"/>
  <c r="M8" i="85"/>
  <c r="H8" i="87"/>
  <c r="K13" i="147"/>
  <c r="J6" i="175"/>
  <c r="H12" i="177"/>
  <c r="M8" i="106"/>
  <c r="N14" i="56"/>
  <c r="J13" i="148"/>
  <c r="F11" i="99"/>
  <c r="K17" i="177"/>
  <c r="F13" i="178"/>
  <c r="J13" i="141"/>
  <c r="G5" i="177"/>
  <c r="M8" i="176"/>
  <c r="H5" i="101"/>
  <c r="F11" i="178"/>
  <c r="J9" i="148"/>
  <c r="M5" i="89"/>
  <c r="G6" i="164"/>
  <c r="K9" i="106"/>
  <c r="M5" i="150"/>
  <c r="M10" i="100"/>
  <c r="F5" i="121"/>
  <c r="M5" i="101"/>
  <c r="H6" i="97"/>
  <c r="F6" i="105"/>
  <c r="K11" i="150"/>
  <c r="F10" i="148"/>
  <c r="G7" i="107"/>
  <c r="G7" i="88"/>
  <c r="M9" i="147"/>
  <c r="M9" i="106"/>
  <c r="M9" i="67"/>
  <c r="L10" i="100"/>
  <c r="G8" i="105"/>
  <c r="G18" i="148"/>
  <c r="L9" i="92"/>
  <c r="F7" i="111"/>
  <c r="K8" i="148"/>
  <c r="N5" i="147"/>
  <c r="K6" i="178"/>
  <c r="F11" i="177"/>
  <c r="L5" i="178"/>
  <c r="K10" i="100"/>
  <c r="K11" i="151"/>
  <c r="F5" i="86"/>
  <c r="L5" i="129"/>
  <c r="F18" i="147"/>
  <c r="F9" i="100"/>
  <c r="J7" i="107"/>
  <c r="K9" i="86"/>
  <c r="H6" i="105"/>
  <c r="N6" i="176"/>
  <c r="H7" i="97"/>
  <c r="K5" i="89"/>
  <c r="K11" i="99"/>
  <c r="F5" i="89"/>
  <c r="M9" i="92"/>
  <c r="L5" i="89"/>
  <c r="F8" i="172"/>
  <c r="F6" i="179"/>
  <c r="N13" i="146"/>
  <c r="H10" i="176"/>
  <c r="L5" i="92"/>
  <c r="F14" i="141"/>
  <c r="N6" i="179"/>
  <c r="K9" i="92"/>
  <c r="K8" i="106"/>
  <c r="J7" i="126"/>
  <c r="N8" i="148"/>
  <c r="F9" i="107"/>
  <c r="J5" i="111"/>
  <c r="N5" i="106"/>
  <c r="K8" i="146"/>
  <c r="K10" i="176"/>
  <c r="N6" i="107"/>
  <c r="J18" i="55"/>
  <c r="G10" i="146"/>
  <c r="G7" i="150"/>
  <c r="L5" i="170"/>
  <c r="N8" i="126"/>
  <c r="H5" i="100"/>
  <c r="N6" i="110"/>
  <c r="K12" i="147"/>
  <c r="G13" i="147"/>
  <c r="J6" i="181"/>
  <c r="J18" i="148"/>
  <c r="J6" i="164"/>
  <c r="H6" i="131"/>
  <c r="J5" i="149"/>
  <c r="M13" i="147"/>
  <c r="H6" i="85"/>
  <c r="F10" i="99"/>
  <c r="L8" i="85"/>
  <c r="M7" i="85"/>
  <c r="M5" i="159"/>
  <c r="J7" i="105"/>
  <c r="H5" i="149"/>
  <c r="F7" i="88"/>
  <c r="N8" i="121"/>
  <c r="N12" i="178"/>
  <c r="K10" i="178"/>
  <c r="G5" i="159"/>
  <c r="K19" i="147"/>
  <c r="N5" i="125"/>
  <c r="J7" i="173"/>
  <c r="F7" i="127"/>
  <c r="F13" i="67"/>
  <c r="M9" i="172"/>
  <c r="H8" i="175"/>
  <c r="H7" i="110"/>
  <c r="K6" i="126"/>
  <c r="K8" i="175"/>
  <c r="J14" i="147"/>
  <c r="K11" i="172"/>
  <c r="L5" i="62"/>
  <c r="F9" i="147"/>
  <c r="J8" i="175"/>
  <c r="F6" i="148"/>
  <c r="N11" i="56"/>
  <c r="K5" i="164"/>
  <c r="M6" i="177"/>
  <c r="L9" i="177"/>
  <c r="K8" i="107"/>
  <c r="H8" i="88"/>
  <c r="J5" i="127"/>
  <c r="H17" i="56"/>
  <c r="H6" i="182"/>
  <c r="L7" i="93"/>
  <c r="H5" i="167"/>
  <c r="G11" i="177"/>
  <c r="H9" i="177"/>
  <c r="M8" i="177"/>
  <c r="H18" i="56"/>
  <c r="K9" i="131"/>
  <c r="F10" i="147"/>
  <c r="F8" i="121"/>
  <c r="N5" i="86"/>
  <c r="M6" i="176"/>
  <c r="N7" i="93"/>
  <c r="G9" i="106"/>
  <c r="N5" i="110"/>
  <c r="F8" i="176"/>
  <c r="H12" i="90"/>
  <c r="F5" i="102"/>
  <c r="J8" i="110"/>
  <c r="L7" i="165"/>
  <c r="N10" i="100"/>
  <c r="N5" i="129"/>
  <c r="G6" i="179"/>
  <c r="K13" i="141"/>
  <c r="G11" i="141"/>
  <c r="K7" i="177"/>
  <c r="J12" i="151"/>
  <c r="K9" i="178"/>
  <c r="M10" i="177"/>
  <c r="M8" i="172"/>
  <c r="G11" i="146"/>
  <c r="G5" i="146"/>
  <c r="J5" i="89"/>
  <c r="G10" i="147"/>
  <c r="K6" i="100"/>
  <c r="H8" i="111"/>
  <c r="G6" i="87"/>
  <c r="K18" i="141"/>
  <c r="K8" i="100"/>
  <c r="M7" i="87"/>
  <c r="L11" i="148"/>
  <c r="G5" i="149"/>
  <c r="M8" i="178"/>
  <c r="J12" i="148"/>
  <c r="M7" i="105"/>
  <c r="L7" i="85"/>
  <c r="N5" i="177"/>
  <c r="G17" i="56"/>
  <c r="L10" i="178"/>
  <c r="L6" i="127"/>
  <c r="G6" i="106"/>
  <c r="K8" i="92"/>
  <c r="K7" i="176"/>
  <c r="G8" i="111"/>
  <c r="M6" i="85"/>
  <c r="L6" i="62"/>
  <c r="G19" i="177"/>
  <c r="M5" i="177"/>
  <c r="K8" i="150"/>
  <c r="K7" i="86"/>
  <c r="G8" i="121"/>
  <c r="M10" i="176"/>
  <c r="G6" i="97"/>
  <c r="K6" i="97"/>
  <c r="M15" i="178"/>
  <c r="K9" i="179"/>
  <c r="N10" i="176"/>
  <c r="K18" i="177"/>
  <c r="J12" i="147"/>
  <c r="H8" i="161"/>
  <c r="F8" i="92"/>
  <c r="K7" i="150"/>
  <c r="F6" i="86"/>
  <c r="F12" i="56"/>
  <c r="L5" i="85"/>
  <c r="M8" i="100"/>
  <c r="M9" i="161"/>
  <c r="H5" i="106"/>
  <c r="N9" i="97"/>
  <c r="K7" i="107"/>
  <c r="J5" i="85"/>
  <c r="G7" i="147"/>
  <c r="M7" i="121"/>
  <c r="H11" i="149"/>
  <c r="H5" i="93"/>
  <c r="N5" i="105"/>
  <c r="F8" i="175"/>
  <c r="M8" i="110"/>
  <c r="M11" i="141"/>
  <c r="M7" i="148"/>
  <c r="G5" i="179"/>
  <c r="K8" i="105"/>
  <c r="M8" i="175"/>
  <c r="K9" i="100"/>
  <c r="F5" i="93"/>
  <c r="L12" i="141"/>
  <c r="J8" i="179"/>
  <c r="F18" i="148"/>
  <c r="M13" i="150"/>
  <c r="H8" i="93"/>
  <c r="G9" i="161"/>
  <c r="K8" i="149"/>
  <c r="N9" i="87"/>
  <c r="H10" i="99"/>
  <c r="L11" i="67"/>
  <c r="L6" i="92"/>
  <c r="M5" i="121"/>
  <c r="M6" i="110"/>
  <c r="M15" i="177"/>
  <c r="L7" i="111"/>
  <c r="M6" i="125"/>
  <c r="N6" i="100"/>
  <c r="H5" i="97"/>
  <c r="K6" i="93"/>
  <c r="L18" i="141"/>
  <c r="L6" i="93"/>
  <c r="G7" i="110"/>
  <c r="J5" i="93"/>
  <c r="L8" i="88"/>
  <c r="M6" i="93"/>
  <c r="H7" i="92"/>
  <c r="K16" i="178"/>
  <c r="L5" i="163"/>
  <c r="G18" i="177"/>
  <c r="J19" i="178"/>
  <c r="H7" i="127"/>
  <c r="K6" i="87"/>
  <c r="J6" i="92"/>
  <c r="G8" i="149"/>
  <c r="H6" i="106"/>
  <c r="K6" i="146"/>
  <c r="K18" i="148"/>
  <c r="L7" i="172"/>
  <c r="J9" i="97"/>
  <c r="K9" i="147"/>
  <c r="G8" i="110"/>
  <c r="K5" i="162"/>
  <c r="L6" i="86"/>
  <c r="N7" i="106"/>
  <c r="J6" i="93"/>
  <c r="N11" i="99"/>
  <c r="H9" i="176"/>
  <c r="J7" i="92"/>
  <c r="G5" i="106"/>
  <c r="K7" i="92"/>
  <c r="K10" i="147"/>
  <c r="J5" i="97"/>
  <c r="F6" i="111"/>
  <c r="K15" i="56"/>
  <c r="F10" i="100"/>
  <c r="L17" i="178"/>
  <c r="F14" i="56"/>
  <c r="K20" i="177"/>
  <c r="M7" i="161"/>
  <c r="L9" i="87"/>
  <c r="H5" i="162"/>
  <c r="J8" i="149"/>
  <c r="N18" i="178"/>
  <c r="N8" i="97"/>
  <c r="H8" i="110"/>
  <c r="G16" i="177"/>
  <c r="J5" i="92"/>
  <c r="K6" i="175"/>
  <c r="M8" i="147"/>
  <c r="F12" i="90"/>
  <c r="F5" i="148"/>
  <c r="K5" i="149"/>
  <c r="K8" i="85"/>
  <c r="G5" i="97"/>
  <c r="N6" i="97"/>
  <c r="N7" i="87"/>
  <c r="K7" i="105"/>
  <c r="N18" i="56"/>
  <c r="H5" i="86"/>
  <c r="J6" i="121"/>
  <c r="K10" i="177"/>
  <c r="L5" i="164"/>
  <c r="M14" i="150"/>
  <c r="M7" i="97"/>
  <c r="F7" i="148"/>
  <c r="M5" i="100"/>
  <c r="M7" i="176"/>
  <c r="J9" i="107"/>
  <c r="J15" i="177"/>
  <c r="G8" i="87"/>
  <c r="K12" i="90"/>
  <c r="F6" i="107"/>
  <c r="F8" i="67"/>
  <c r="N12" i="90"/>
  <c r="J12" i="141"/>
  <c r="J6" i="161"/>
  <c r="K9" i="173"/>
  <c r="H9" i="106"/>
  <c r="K5" i="148"/>
  <c r="L10" i="99"/>
  <c r="L7" i="86"/>
  <c r="F8" i="97"/>
  <c r="L9" i="86"/>
  <c r="J5" i="175"/>
  <c r="L5" i="102"/>
  <c r="H6" i="124"/>
  <c r="N9" i="176"/>
  <c r="L5" i="93"/>
  <c r="N17" i="177"/>
  <c r="H6" i="149"/>
  <c r="M7" i="149"/>
  <c r="F5" i="85"/>
  <c r="H9" i="110"/>
  <c r="J8" i="106"/>
  <c r="G5" i="110"/>
  <c r="L9" i="97"/>
  <c r="H20" i="178"/>
  <c r="J5" i="106"/>
  <c r="H7" i="147"/>
  <c r="F5" i="92"/>
  <c r="G7" i="97"/>
  <c r="M7" i="106"/>
  <c r="G12" i="141"/>
  <c r="L9" i="173"/>
  <c r="G5" i="93"/>
  <c r="F10" i="178"/>
  <c r="L6" i="87"/>
  <c r="K8" i="121"/>
  <c r="H5" i="177"/>
  <c r="L9" i="172"/>
  <c r="L6" i="130"/>
  <c r="K5" i="175"/>
  <c r="N9" i="107"/>
  <c r="G5" i="92"/>
  <c r="F6" i="131"/>
  <c r="G5" i="111"/>
  <c r="M5" i="97"/>
  <c r="H20" i="56"/>
  <c r="K10" i="172"/>
  <c r="L7" i="110"/>
  <c r="N10" i="161"/>
  <c r="H7" i="161"/>
  <c r="J7" i="111"/>
  <c r="K8" i="88"/>
  <c r="L16" i="56"/>
  <c r="M8" i="92"/>
  <c r="L9" i="106"/>
  <c r="H5" i="176"/>
  <c r="M6" i="92"/>
  <c r="H21" i="141"/>
  <c r="L9" i="67"/>
  <c r="K5" i="85"/>
  <c r="H5" i="148"/>
  <c r="L10" i="147"/>
  <c r="M12" i="146"/>
  <c r="F5" i="101"/>
  <c r="K6" i="92"/>
  <c r="H7" i="172"/>
  <c r="G8" i="106"/>
  <c r="M7" i="93"/>
  <c r="M5" i="93"/>
  <c r="M9" i="87"/>
  <c r="G13" i="177"/>
  <c r="K9" i="87"/>
  <c r="G6" i="92"/>
  <c r="F7" i="97"/>
  <c r="K8" i="97"/>
  <c r="M7" i="107"/>
  <c r="F6" i="100"/>
  <c r="L20" i="56"/>
  <c r="J9" i="87"/>
  <c r="M9" i="86"/>
  <c r="M5" i="158"/>
  <c r="H7" i="81"/>
  <c r="L6" i="152"/>
  <c r="N10" i="151"/>
  <c r="M7" i="152"/>
  <c r="F13" i="146"/>
  <c r="N5" i="161"/>
  <c r="N8" i="150"/>
  <c r="F13" i="148"/>
  <c r="F15" i="147"/>
  <c r="L6" i="125"/>
  <c r="J13" i="146"/>
  <c r="J11" i="99"/>
  <c r="N6" i="85"/>
  <c r="J7" i="146"/>
  <c r="J15" i="66"/>
  <c r="G9" i="173"/>
  <c r="L7" i="133"/>
  <c r="L6" i="175"/>
  <c r="M13" i="75"/>
  <c r="G5" i="62"/>
  <c r="K13" i="151"/>
  <c r="N5" i="97"/>
  <c r="N8" i="85"/>
  <c r="L5" i="151"/>
  <c r="H8" i="107"/>
  <c r="M5" i="146"/>
  <c r="H8" i="85"/>
  <c r="G12" i="146"/>
  <c r="K9" i="126"/>
  <c r="J8" i="161"/>
  <c r="N7" i="133"/>
  <c r="M10" i="147"/>
  <c r="K7" i="172"/>
  <c r="J10" i="146"/>
  <c r="J9" i="67"/>
  <c r="N13" i="75"/>
  <c r="M9" i="97"/>
  <c r="M7" i="153"/>
  <c r="J7" i="152"/>
  <c r="K7" i="133"/>
  <c r="F8" i="126"/>
  <c r="G8" i="126"/>
  <c r="F7" i="133"/>
  <c r="M9" i="131"/>
  <c r="F5" i="97"/>
  <c r="K14" i="146"/>
  <c r="G10" i="149"/>
  <c r="J9" i="176"/>
  <c r="H9" i="86"/>
  <c r="F7" i="81"/>
  <c r="M5" i="151"/>
  <c r="N7" i="110"/>
  <c r="G14" i="150"/>
  <c r="L9" i="176"/>
  <c r="F5" i="174"/>
  <c r="K8" i="123"/>
  <c r="K8" i="173"/>
  <c r="N6" i="146"/>
  <c r="M6" i="62"/>
  <c r="F5" i="160"/>
  <c r="M7" i="175"/>
  <c r="L6" i="111"/>
  <c r="G13" i="150"/>
  <c r="G7" i="125"/>
  <c r="F9" i="87"/>
  <c r="N19" i="177"/>
  <c r="G5" i="86"/>
  <c r="M5" i="170"/>
  <c r="J8" i="147"/>
  <c r="N8" i="87"/>
  <c r="M10" i="172"/>
  <c r="F19" i="147"/>
  <c r="K11" i="161"/>
  <c r="L10" i="149"/>
  <c r="N9" i="106"/>
  <c r="J11" i="149"/>
  <c r="F13" i="75"/>
  <c r="N5" i="126"/>
  <c r="N7" i="165"/>
  <c r="M19" i="141"/>
  <c r="G5" i="163"/>
  <c r="K5" i="179"/>
  <c r="K19" i="177"/>
  <c r="L13" i="141"/>
  <c r="M14" i="146"/>
  <c r="M5" i="107"/>
  <c r="K7" i="175"/>
  <c r="L8" i="123"/>
  <c r="K7" i="123"/>
  <c r="K5" i="156"/>
  <c r="F7" i="152"/>
  <c r="D7" i="124"/>
  <c r="D18" i="55"/>
  <c r="K6" i="123"/>
  <c r="M18" i="147"/>
  <c r="L5" i="174"/>
  <c r="M5" i="125"/>
  <c r="G5" i="58"/>
  <c r="K5" i="105"/>
  <c r="N12" i="148"/>
  <c r="J19" i="147"/>
  <c r="H11" i="67"/>
  <c r="L8" i="146"/>
  <c r="N8" i="175"/>
  <c r="F8" i="131"/>
  <c r="M9" i="179"/>
  <c r="F5" i="111"/>
  <c r="J20" i="147"/>
  <c r="K9" i="107"/>
  <c r="J7" i="176"/>
  <c r="F12" i="149"/>
  <c r="H8" i="126"/>
  <c r="J5" i="170"/>
  <c r="J11" i="147"/>
  <c r="F9" i="125"/>
  <c r="J8" i="92"/>
  <c r="J10" i="147"/>
  <c r="K9" i="99"/>
  <c r="K9" i="148"/>
  <c r="F5" i="151"/>
  <c r="N9" i="110"/>
  <c r="K9" i="176"/>
  <c r="N8" i="146"/>
  <c r="F8" i="100"/>
  <c r="G7" i="126"/>
  <c r="K9" i="172"/>
  <c r="G8" i="173"/>
  <c r="N5" i="74"/>
  <c r="K13" i="150"/>
  <c r="M19" i="147"/>
  <c r="G5" i="101"/>
  <c r="G15" i="149"/>
  <c r="M9" i="177"/>
  <c r="M13" i="178"/>
  <c r="H19" i="177"/>
  <c r="J13" i="177"/>
  <c r="L14" i="56"/>
  <c r="K9" i="110"/>
  <c r="M6" i="106"/>
  <c r="D6" i="74"/>
  <c r="K18" i="55"/>
  <c r="N5" i="156"/>
  <c r="M7" i="150"/>
  <c r="G6" i="152"/>
  <c r="L6" i="100"/>
  <c r="J5" i="74"/>
  <c r="G6" i="153"/>
  <c r="H14" i="66"/>
  <c r="H18" i="148"/>
  <c r="N6" i="93"/>
  <c r="H7" i="111"/>
  <c r="L13" i="67"/>
  <c r="J6" i="124"/>
  <c r="L7" i="107"/>
  <c r="H8" i="147"/>
  <c r="H9" i="107"/>
  <c r="M11" i="150"/>
  <c r="K6" i="147"/>
  <c r="H9" i="146"/>
  <c r="F5" i="127"/>
  <c r="L5" i="58"/>
  <c r="N6" i="148"/>
  <c r="G6" i="176"/>
  <c r="L5" i="175"/>
  <c r="J6" i="147"/>
  <c r="J12" i="146"/>
  <c r="K7" i="146"/>
  <c r="G9" i="99"/>
  <c r="F8" i="161"/>
  <c r="H7" i="148"/>
  <c r="J14" i="146"/>
  <c r="J13" i="150"/>
  <c r="G11" i="150"/>
  <c r="G10" i="148"/>
  <c r="F12" i="178"/>
  <c r="J11" i="150"/>
  <c r="L7" i="173"/>
  <c r="L8" i="100"/>
  <c r="N5" i="175"/>
  <c r="N6" i="123"/>
  <c r="G9" i="147"/>
  <c r="L17" i="56"/>
  <c r="G12" i="56"/>
  <c r="N6" i="177"/>
  <c r="L5" i="158"/>
  <c r="N12" i="150"/>
  <c r="G13" i="151"/>
  <c r="D6" i="153"/>
  <c r="G5" i="161"/>
  <c r="N7" i="152"/>
  <c r="D5" i="132"/>
  <c r="L6" i="97"/>
  <c r="G6" i="125"/>
  <c r="N8" i="123"/>
  <c r="F7" i="125"/>
  <c r="N13" i="147"/>
  <c r="M11" i="172"/>
  <c r="J11" i="67"/>
  <c r="J6" i="105"/>
  <c r="N5" i="107"/>
  <c r="G8" i="88"/>
  <c r="N8" i="93"/>
  <c r="M11" i="147"/>
  <c r="J11" i="172"/>
  <c r="F9" i="175"/>
  <c r="L6" i="146"/>
  <c r="K9" i="67"/>
  <c r="K15" i="147"/>
  <c r="H9" i="99"/>
  <c r="H9" i="149"/>
  <c r="K5" i="124"/>
  <c r="H5" i="174"/>
  <c r="H5" i="92"/>
  <c r="F7" i="121"/>
  <c r="L19" i="55"/>
  <c r="N6" i="181"/>
  <c r="H7" i="146"/>
  <c r="M10" i="161"/>
  <c r="M11" i="161"/>
  <c r="L6" i="161"/>
  <c r="J6" i="153"/>
  <c r="N12" i="146"/>
  <c r="J19" i="55"/>
  <c r="D7" i="123"/>
  <c r="K6" i="152"/>
  <c r="L9" i="110"/>
  <c r="L18" i="149"/>
  <c r="M6" i="149"/>
  <c r="F6" i="130"/>
  <c r="N7" i="125"/>
  <c r="J8" i="172"/>
  <c r="L11" i="149"/>
  <c r="M6" i="107"/>
  <c r="H10" i="148"/>
  <c r="F9" i="173"/>
  <c r="J5" i="160"/>
  <c r="L18" i="147"/>
  <c r="G9" i="100"/>
  <c r="J5" i="123"/>
  <c r="K5" i="125"/>
  <c r="N6" i="149"/>
  <c r="L11" i="151"/>
  <c r="N13" i="151"/>
  <c r="F9" i="67"/>
  <c r="L14" i="146"/>
  <c r="G14" i="147"/>
  <c r="L9" i="131"/>
  <c r="M8" i="161"/>
  <c r="L7" i="148"/>
  <c r="L9" i="151"/>
  <c r="M5" i="87"/>
  <c r="K6" i="107"/>
  <c r="F9" i="92"/>
  <c r="G8" i="161"/>
  <c r="L8" i="87"/>
  <c r="J12" i="67"/>
  <c r="N10" i="146"/>
  <c r="L5" i="125"/>
  <c r="K7" i="81"/>
  <c r="F5" i="172"/>
  <c r="G5" i="121"/>
  <c r="G8" i="148"/>
  <c r="L7" i="153"/>
  <c r="G5" i="170"/>
  <c r="F7" i="149"/>
  <c r="G5" i="127"/>
  <c r="D7" i="133"/>
  <c r="M5" i="131"/>
  <c r="K9" i="97"/>
  <c r="K15" i="66"/>
  <c r="G7" i="127"/>
  <c r="F8" i="88"/>
  <c r="H8" i="92"/>
  <c r="L10" i="67"/>
  <c r="H9" i="125"/>
  <c r="M5" i="148"/>
  <c r="H5" i="175"/>
  <c r="D5" i="158"/>
  <c r="G5" i="89"/>
  <c r="J9" i="146"/>
  <c r="G17" i="148"/>
  <c r="H6" i="176"/>
  <c r="M8" i="107"/>
  <c r="K12" i="150"/>
  <c r="L8" i="147"/>
  <c r="N18" i="149"/>
  <c r="N10" i="67"/>
  <c r="K15" i="149"/>
  <c r="K8" i="126"/>
  <c r="N5" i="89"/>
  <c r="K12" i="151"/>
  <c r="N8" i="67"/>
  <c r="F11" i="172"/>
  <c r="N12" i="147"/>
  <c r="M8" i="131"/>
  <c r="K8" i="176"/>
  <c r="J6" i="106"/>
  <c r="N7" i="85"/>
  <c r="L15" i="147"/>
  <c r="M17" i="148"/>
  <c r="M8" i="149"/>
  <c r="L8" i="131"/>
  <c r="G5" i="150"/>
  <c r="H9" i="175"/>
  <c r="D7" i="127"/>
  <c r="J13" i="75"/>
  <c r="J5" i="105"/>
  <c r="L14" i="150"/>
  <c r="M5" i="127"/>
  <c r="K7" i="152"/>
  <c r="G8" i="146"/>
  <c r="J12" i="149"/>
  <c r="M8" i="146"/>
  <c r="N5" i="151"/>
  <c r="H15" i="149"/>
  <c r="N5" i="146"/>
  <c r="F11" i="67"/>
  <c r="H11" i="148"/>
  <c r="K7" i="121"/>
  <c r="J5" i="146"/>
  <c r="H6" i="127"/>
  <c r="H5" i="89"/>
  <c r="N6" i="87"/>
  <c r="J14" i="149"/>
  <c r="H7" i="106"/>
  <c r="J7" i="161"/>
  <c r="J7" i="127"/>
  <c r="L11" i="161"/>
  <c r="G5" i="174"/>
  <c r="N7" i="92"/>
  <c r="N9" i="92"/>
  <c r="M6" i="105"/>
  <c r="N7" i="172"/>
  <c r="M6" i="146"/>
  <c r="H12" i="146"/>
  <c r="F5" i="150"/>
  <c r="H6" i="146"/>
  <c r="K13" i="67"/>
  <c r="G5" i="124"/>
  <c r="H6" i="92"/>
  <c r="H6" i="161"/>
  <c r="H6" i="121"/>
  <c r="G9" i="175"/>
  <c r="K13" i="75"/>
  <c r="D5" i="74"/>
  <c r="L5" i="132"/>
  <c r="J10" i="148"/>
  <c r="G7" i="81"/>
  <c r="H6" i="107"/>
  <c r="G8" i="100"/>
  <c r="H8" i="123"/>
  <c r="N5" i="131"/>
  <c r="N11" i="147"/>
  <c r="N7" i="123"/>
  <c r="G18" i="147"/>
  <c r="F8" i="149"/>
  <c r="F9" i="176"/>
  <c r="L6" i="176"/>
  <c r="M6" i="182"/>
  <c r="H11" i="99"/>
  <c r="N8" i="149"/>
  <c r="F10" i="149"/>
  <c r="J18" i="147"/>
  <c r="H6" i="86"/>
  <c r="L15" i="66"/>
  <c r="M5" i="58"/>
  <c r="J7" i="123"/>
  <c r="K5" i="100"/>
  <c r="M11" i="67"/>
  <c r="L11" i="172"/>
  <c r="M5" i="126"/>
  <c r="G8" i="172"/>
  <c r="G5" i="85"/>
  <c r="J7" i="148"/>
  <c r="M5" i="176"/>
  <c r="F7" i="150"/>
  <c r="H15" i="147"/>
  <c r="K19" i="55"/>
  <c r="L6" i="110"/>
  <c r="N9" i="149"/>
  <c r="H10" i="161"/>
  <c r="L12" i="151"/>
  <c r="K8" i="131"/>
  <c r="K7" i="126"/>
  <c r="G5" i="129"/>
  <c r="K5" i="147"/>
  <c r="H9" i="161"/>
  <c r="G11" i="151"/>
  <c r="J9" i="172"/>
  <c r="H14" i="147"/>
  <c r="K6" i="149"/>
  <c r="L5" i="74"/>
  <c r="H13" i="151"/>
  <c r="K7" i="153"/>
  <c r="J10" i="67"/>
  <c r="F5" i="124"/>
  <c r="K5" i="87"/>
  <c r="L13" i="150"/>
  <c r="F5" i="100"/>
  <c r="G5" i="178"/>
  <c r="F14" i="146"/>
  <c r="K9" i="125"/>
  <c r="F7" i="147"/>
  <c r="G9" i="92"/>
  <c r="N15" i="147"/>
  <c r="L5" i="121"/>
  <c r="H5" i="170"/>
  <c r="K9" i="149"/>
  <c r="G5" i="131"/>
  <c r="G9" i="123"/>
  <c r="F7" i="172"/>
  <c r="F18" i="55"/>
  <c r="M11" i="149"/>
  <c r="G7" i="161"/>
  <c r="M10" i="149"/>
  <c r="H9" i="92"/>
  <c r="H17" i="148"/>
  <c r="N6" i="106"/>
  <c r="N7" i="173"/>
  <c r="L5" i="161"/>
  <c r="H6" i="181"/>
  <c r="F5" i="107"/>
  <c r="J7" i="97"/>
  <c r="G5" i="148"/>
  <c r="F9" i="151"/>
  <c r="J7" i="85"/>
  <c r="H9" i="131"/>
  <c r="M5" i="62"/>
  <c r="J6" i="152"/>
  <c r="N6" i="147"/>
  <c r="D6" i="152"/>
  <c r="G10" i="161"/>
  <c r="K5" i="74"/>
  <c r="D5" i="123"/>
  <c r="H9" i="67"/>
  <c r="F6" i="146"/>
  <c r="J7" i="88"/>
  <c r="N6" i="124"/>
  <c r="H12" i="149"/>
  <c r="H10" i="67"/>
  <c r="H7" i="87"/>
  <c r="L8" i="125"/>
  <c r="G7" i="149"/>
  <c r="G19" i="147"/>
  <c r="F6" i="127"/>
  <c r="L11" i="146"/>
  <c r="J5" i="100"/>
  <c r="J12" i="150"/>
  <c r="H20" i="147"/>
  <c r="G7" i="148"/>
  <c r="N6" i="105"/>
  <c r="F9" i="149"/>
  <c r="F9" i="172"/>
  <c r="G5" i="160"/>
  <c r="L6" i="148"/>
  <c r="L5" i="126"/>
  <c r="M7" i="123"/>
  <c r="K12" i="67"/>
  <c r="H9" i="147"/>
  <c r="K10" i="149"/>
  <c r="F5" i="123"/>
  <c r="L7" i="92"/>
  <c r="F9" i="161"/>
  <c r="G6" i="126"/>
  <c r="K12" i="149"/>
  <c r="F8" i="86"/>
  <c r="L12" i="150"/>
  <c r="N5" i="62"/>
  <c r="H9" i="172"/>
  <c r="H14" i="149"/>
  <c r="H5" i="158"/>
  <c r="G13" i="75"/>
  <c r="J13" i="67"/>
  <c r="D19" i="55"/>
  <c r="D9" i="126"/>
  <c r="F6" i="153"/>
  <c r="F5" i="176"/>
  <c r="L6" i="74"/>
  <c r="N5" i="127"/>
  <c r="G9" i="172"/>
  <c r="K5" i="146"/>
  <c r="G18" i="149"/>
  <c r="M11" i="99"/>
  <c r="J9" i="131"/>
  <c r="L5" i="131"/>
  <c r="N7" i="121"/>
  <c r="K11" i="148"/>
  <c r="H9" i="123"/>
  <c r="J8" i="148"/>
  <c r="N7" i="97"/>
  <c r="K6" i="124"/>
  <c r="G6" i="130"/>
  <c r="L5" i="160"/>
  <c r="F5" i="58"/>
  <c r="F12" i="148"/>
  <c r="K6" i="125"/>
  <c r="K7" i="87"/>
  <c r="H11" i="150"/>
  <c r="F6" i="176"/>
  <c r="H11" i="161"/>
  <c r="G9" i="149"/>
  <c r="G7" i="146"/>
  <c r="L18" i="148"/>
  <c r="F7" i="110"/>
  <c r="L11" i="147"/>
  <c r="M5" i="86"/>
  <c r="L13" i="146"/>
  <c r="G12" i="149"/>
  <c r="G8" i="150"/>
  <c r="J7" i="93"/>
  <c r="H7" i="173"/>
  <c r="G9" i="146"/>
  <c r="H8" i="125"/>
  <c r="F18" i="56"/>
  <c r="L15" i="149"/>
  <c r="G14" i="149"/>
  <c r="N7" i="148"/>
  <c r="M14" i="56"/>
  <c r="K17" i="56"/>
  <c r="M9" i="151"/>
  <c r="D5" i="58"/>
  <c r="H7" i="133"/>
  <c r="D5" i="62"/>
  <c r="L5" i="176"/>
  <c r="G6" i="148"/>
  <c r="F5" i="132"/>
  <c r="G9" i="67"/>
  <c r="G7" i="87"/>
  <c r="H7" i="152"/>
  <c r="F7" i="161"/>
  <c r="H8" i="131"/>
  <c r="L8" i="107"/>
  <c r="G11" i="148"/>
  <c r="F12" i="151"/>
  <c r="N11" i="67"/>
  <c r="N6" i="62"/>
  <c r="M7" i="173"/>
  <c r="H12" i="148"/>
  <c r="G7" i="123"/>
  <c r="L9" i="146"/>
  <c r="G6" i="147"/>
  <c r="G10" i="176"/>
  <c r="J5" i="102"/>
  <c r="N7" i="146"/>
  <c r="H13" i="146"/>
  <c r="F5" i="175"/>
  <c r="L5" i="107"/>
  <c r="J8" i="86"/>
  <c r="H7" i="88"/>
  <c r="M10" i="148"/>
  <c r="K5" i="62"/>
  <c r="J5" i="148"/>
  <c r="J19" i="177"/>
  <c r="H6" i="147"/>
  <c r="M13" i="151"/>
  <c r="M5" i="174"/>
  <c r="H11" i="146"/>
  <c r="G6" i="161"/>
  <c r="J9" i="100"/>
  <c r="N9" i="126"/>
  <c r="H5" i="124"/>
  <c r="H15" i="66"/>
  <c r="N10" i="99"/>
  <c r="G9" i="151"/>
  <c r="L5" i="156"/>
  <c r="M8" i="173"/>
  <c r="K13" i="146"/>
  <c r="G9" i="131"/>
  <c r="K9" i="177"/>
  <c r="G7" i="124"/>
  <c r="G5" i="151"/>
  <c r="K9" i="146"/>
  <c r="M7" i="133"/>
  <c r="F5" i="156"/>
  <c r="N6" i="153"/>
  <c r="M9" i="123"/>
  <c r="G10" i="67"/>
  <c r="L12" i="147"/>
  <c r="F5" i="131"/>
  <c r="M18" i="149"/>
  <c r="F7" i="85"/>
  <c r="D9" i="125"/>
  <c r="N9" i="67"/>
  <c r="L12" i="149"/>
  <c r="K5" i="107"/>
  <c r="F5" i="146"/>
  <c r="N5" i="124"/>
  <c r="F13" i="151"/>
  <c r="F14" i="147"/>
  <c r="F9" i="148"/>
  <c r="N9" i="86"/>
  <c r="H12" i="151"/>
  <c r="H6" i="130"/>
  <c r="M7" i="146"/>
  <c r="G7" i="172"/>
  <c r="M8" i="148"/>
  <c r="N10" i="149"/>
  <c r="L5" i="100"/>
  <c r="J9" i="147"/>
  <c r="M12" i="151"/>
  <c r="G13" i="146"/>
  <c r="H11" i="147"/>
  <c r="N5" i="174"/>
  <c r="K7" i="149"/>
  <c r="N8" i="173"/>
  <c r="L7" i="149"/>
  <c r="N11" i="150"/>
  <c r="J6" i="125"/>
  <c r="G7" i="85"/>
  <c r="J5" i="161"/>
  <c r="K8" i="161"/>
  <c r="G6" i="149"/>
  <c r="H9" i="151"/>
  <c r="M9" i="149"/>
  <c r="L5" i="148"/>
  <c r="G9" i="125"/>
  <c r="N6" i="121"/>
  <c r="H5" i="102"/>
  <c r="G15" i="66"/>
  <c r="F11" i="147"/>
  <c r="K6" i="127"/>
  <c r="H9" i="148"/>
  <c r="F12" i="147"/>
  <c r="K5" i="132"/>
  <c r="M5" i="129"/>
  <c r="H10" i="149"/>
  <c r="M7" i="127"/>
  <c r="H5" i="107"/>
  <c r="J8" i="88"/>
  <c r="L5" i="105"/>
  <c r="M6" i="178"/>
  <c r="N15" i="56"/>
  <c r="M5" i="164"/>
  <c r="M17" i="56"/>
  <c r="G21" i="141"/>
  <c r="N14" i="177"/>
  <c r="D7" i="153"/>
  <c r="L7" i="123"/>
  <c r="D13" i="75"/>
  <c r="H5" i="151"/>
  <c r="D7" i="152"/>
  <c r="F11" i="146"/>
  <c r="L10" i="172"/>
  <c r="K18" i="147"/>
  <c r="J9" i="123"/>
  <c r="M6" i="131"/>
  <c r="K7" i="173"/>
  <c r="F5" i="129"/>
  <c r="K8" i="172"/>
  <c r="N12" i="149"/>
  <c r="J8" i="123"/>
  <c r="K9" i="123"/>
  <c r="M12" i="148"/>
  <c r="L11" i="150"/>
  <c r="G7" i="86"/>
  <c r="H11" i="151"/>
  <c r="L9" i="149"/>
  <c r="N8" i="86"/>
  <c r="M11" i="151"/>
  <c r="G9" i="176"/>
  <c r="N5" i="102"/>
  <c r="M8" i="150"/>
  <c r="M8" i="93"/>
  <c r="F8" i="106"/>
  <c r="L17" i="148"/>
  <c r="K5" i="127"/>
  <c r="J7" i="124"/>
  <c r="H6" i="125"/>
  <c r="J8" i="87"/>
  <c r="L5" i="146"/>
  <c r="J9" i="125"/>
  <c r="L10" i="161"/>
  <c r="J7" i="175"/>
  <c r="G8" i="176"/>
  <c r="F6" i="125"/>
  <c r="H12" i="147"/>
  <c r="M6" i="97"/>
  <c r="K13" i="148"/>
  <c r="K8" i="125"/>
  <c r="H8" i="97"/>
  <c r="J8" i="121"/>
  <c r="J8" i="131"/>
  <c r="K5" i="158"/>
  <c r="F7" i="173"/>
  <c r="J6" i="131"/>
  <c r="H18" i="149"/>
  <c r="M12" i="147"/>
  <c r="N9" i="100"/>
  <c r="G11" i="56"/>
  <c r="J6" i="74"/>
  <c r="L18" i="55"/>
  <c r="L6" i="153"/>
  <c r="H5" i="126"/>
  <c r="N6" i="74"/>
  <c r="J6" i="127"/>
  <c r="L5" i="147"/>
  <c r="N5" i="148"/>
  <c r="G11" i="67"/>
  <c r="M14" i="149"/>
  <c r="N9" i="151"/>
  <c r="L7" i="150"/>
  <c r="N7" i="86"/>
  <c r="N7" i="149"/>
  <c r="F18" i="149"/>
  <c r="J7" i="172"/>
  <c r="N7" i="126"/>
  <c r="J11" i="148"/>
  <c r="L19" i="147"/>
  <c r="M10" i="99"/>
  <c r="J6" i="87"/>
  <c r="H6" i="62"/>
  <c r="H14" i="146"/>
  <c r="H7" i="149"/>
  <c r="L7" i="126"/>
  <c r="L6" i="106"/>
  <c r="J7" i="153"/>
  <c r="H8" i="148"/>
  <c r="L5" i="86"/>
  <c r="H12" i="67"/>
  <c r="G11" i="172"/>
  <c r="K20" i="147"/>
  <c r="J5" i="151"/>
  <c r="G11" i="147"/>
  <c r="F6" i="149"/>
  <c r="N5" i="172"/>
  <c r="J5" i="87"/>
  <c r="F9" i="106"/>
  <c r="N14" i="66"/>
  <c r="M18" i="55"/>
  <c r="J5" i="174"/>
  <c r="G5" i="156"/>
  <c r="G5" i="125"/>
  <c r="H5" i="129"/>
  <c r="N5" i="132"/>
  <c r="G8" i="67"/>
  <c r="M9" i="146"/>
  <c r="H6" i="126"/>
  <c r="G5" i="107"/>
  <c r="N11" i="151"/>
  <c r="F10" i="172"/>
  <c r="F7" i="146"/>
  <c r="M7" i="126"/>
  <c r="K7" i="88"/>
  <c r="H18" i="147"/>
  <c r="G8" i="92"/>
  <c r="J5" i="124"/>
  <c r="K5" i="151"/>
  <c r="M7" i="81"/>
  <c r="J5" i="131"/>
  <c r="L13" i="151"/>
  <c r="G10" i="151"/>
  <c r="N5" i="176"/>
  <c r="J8" i="67"/>
  <c r="H10" i="146"/>
  <c r="G9" i="126"/>
  <c r="M18" i="177"/>
  <c r="J6" i="97"/>
  <c r="L14" i="147"/>
  <c r="L9" i="147"/>
  <c r="F13" i="147"/>
  <c r="M6" i="100"/>
  <c r="F7" i="123"/>
  <c r="F5" i="147"/>
  <c r="G11" i="161"/>
  <c r="G12" i="151"/>
  <c r="M5" i="106"/>
  <c r="N8" i="172"/>
  <c r="M6" i="161"/>
  <c r="J7" i="147"/>
  <c r="G7" i="93"/>
  <c r="N8" i="131"/>
  <c r="F6" i="74"/>
  <c r="G9" i="87"/>
  <c r="N14" i="146"/>
  <c r="H8" i="86"/>
  <c r="M15" i="149"/>
  <c r="L8" i="177"/>
  <c r="J11" i="56"/>
  <c r="G6" i="110"/>
  <c r="N7" i="147"/>
  <c r="L5" i="127"/>
  <c r="J15" i="149"/>
  <c r="M6" i="74"/>
  <c r="M5" i="156"/>
  <c r="L7" i="124"/>
  <c r="F9" i="126"/>
  <c r="H5" i="123"/>
  <c r="L6" i="149"/>
  <c r="L6" i="124"/>
  <c r="F6" i="62"/>
  <c r="F6" i="181"/>
  <c r="N17" i="148"/>
  <c r="H5" i="121"/>
  <c r="M5" i="172"/>
  <c r="G8" i="175"/>
  <c r="G6" i="124"/>
  <c r="N5" i="170"/>
  <c r="M8" i="123"/>
  <c r="H5" i="172"/>
  <c r="H5" i="131"/>
  <c r="F10" i="161"/>
  <c r="M8" i="126"/>
  <c r="K8" i="147"/>
  <c r="J7" i="121"/>
  <c r="M9" i="107"/>
  <c r="F5" i="87"/>
  <c r="M10" i="67"/>
  <c r="F8" i="146"/>
  <c r="L6" i="85"/>
  <c r="H6" i="93"/>
  <c r="N7" i="127"/>
  <c r="J9" i="175"/>
  <c r="L10" i="148"/>
  <c r="F6" i="123"/>
  <c r="H9" i="173"/>
  <c r="F6" i="161"/>
  <c r="L8" i="172"/>
  <c r="M5" i="160"/>
  <c r="L7" i="121"/>
  <c r="G7" i="175"/>
  <c r="K10" i="146"/>
  <c r="L10" i="146"/>
  <c r="H9" i="126"/>
  <c r="D5" i="156"/>
  <c r="H5" i="74"/>
  <c r="J14" i="66"/>
  <c r="L7" i="97"/>
  <c r="D5" i="124"/>
  <c r="H6" i="100"/>
  <c r="H8" i="67"/>
  <c r="N5" i="149"/>
  <c r="M8" i="87"/>
  <c r="H6" i="177"/>
  <c r="L6" i="147"/>
  <c r="K11" i="146"/>
  <c r="F12" i="146"/>
  <c r="H5" i="85"/>
  <c r="J10" i="151"/>
  <c r="H5" i="150"/>
  <c r="N7" i="81"/>
  <c r="F6" i="126"/>
  <c r="M5" i="123"/>
  <c r="M9" i="125"/>
  <c r="N18" i="55"/>
  <c r="M11" i="148"/>
  <c r="L6" i="131"/>
  <c r="J17" i="148"/>
  <c r="G7" i="121"/>
  <c r="J10" i="172"/>
  <c r="J6" i="100"/>
  <c r="G6" i="175"/>
  <c r="M5" i="124"/>
  <c r="F7" i="124"/>
  <c r="G5" i="175"/>
  <c r="G5" i="102"/>
  <c r="G7" i="92"/>
  <c r="J5" i="129"/>
  <c r="F10" i="151"/>
  <c r="J6" i="130"/>
  <c r="J6" i="146"/>
  <c r="L8" i="148"/>
  <c r="G18" i="178"/>
  <c r="N17" i="178"/>
  <c r="H12" i="141"/>
  <c r="F20" i="141"/>
  <c r="L14" i="66"/>
  <c r="F7" i="176"/>
  <c r="G6" i="74"/>
  <c r="F8" i="150"/>
  <c r="F12" i="67"/>
  <c r="K9" i="151"/>
  <c r="G7" i="152"/>
  <c r="M5" i="102"/>
  <c r="D6" i="62"/>
  <c r="K12" i="146"/>
  <c r="G5" i="74"/>
  <c r="J6" i="148"/>
  <c r="H6" i="152"/>
  <c r="N18" i="147"/>
  <c r="H5" i="87"/>
  <c r="L13" i="147"/>
  <c r="F5" i="149"/>
  <c r="H8" i="149"/>
  <c r="L5" i="172"/>
  <c r="M20" i="147"/>
  <c r="G11" i="149"/>
  <c r="F7" i="175"/>
  <c r="L5" i="124"/>
  <c r="G13" i="67"/>
  <c r="K6" i="62"/>
  <c r="N11" i="148"/>
  <c r="H5" i="146"/>
  <c r="F14" i="66"/>
  <c r="H7" i="123"/>
  <c r="J6" i="85"/>
  <c r="F6" i="92"/>
  <c r="N12" i="151"/>
  <c r="G6" i="93"/>
  <c r="L6" i="121"/>
  <c r="M9" i="176"/>
  <c r="L8" i="176"/>
  <c r="K5" i="102"/>
  <c r="J11" i="146"/>
  <c r="J7" i="150"/>
  <c r="M9" i="126"/>
  <c r="K5" i="93"/>
  <c r="F5" i="170"/>
  <c r="K11" i="67"/>
  <c r="N8" i="100"/>
  <c r="K7" i="148"/>
  <c r="J5" i="86"/>
  <c r="N6" i="131"/>
  <c r="L7" i="125"/>
  <c r="K5" i="172"/>
  <c r="M12" i="149"/>
  <c r="K7" i="127"/>
  <c r="K6" i="130"/>
  <c r="N8" i="125"/>
  <c r="G6" i="123"/>
  <c r="J6" i="111"/>
  <c r="L9" i="179"/>
  <c r="D9" i="123"/>
  <c r="L5" i="150"/>
  <c r="K18" i="149"/>
  <c r="F11" i="150"/>
  <c r="J7" i="125"/>
  <c r="L14" i="149"/>
  <c r="H10" i="172"/>
  <c r="N6" i="127"/>
  <c r="F7" i="153"/>
  <c r="M6" i="123"/>
  <c r="H6" i="74"/>
  <c r="L7" i="152"/>
  <c r="J9" i="99"/>
  <c r="N7" i="150"/>
  <c r="F11" i="151"/>
  <c r="H12" i="150"/>
  <c r="H7" i="153"/>
  <c r="H7" i="176"/>
  <c r="H9" i="97"/>
  <c r="J5" i="62"/>
  <c r="J6" i="182"/>
  <c r="N6" i="161"/>
  <c r="J9" i="106"/>
  <c r="M7" i="124"/>
  <c r="G5" i="123"/>
  <c r="N9" i="131"/>
  <c r="M9" i="148"/>
  <c r="K5" i="58"/>
  <c r="N8" i="92"/>
  <c r="N9" i="148"/>
  <c r="J8" i="146"/>
  <c r="G12" i="67"/>
  <c r="G10" i="172"/>
  <c r="L6" i="123"/>
  <c r="H13" i="150"/>
  <c r="J9" i="161"/>
  <c r="F10" i="146"/>
  <c r="L7" i="147"/>
  <c r="K5" i="129"/>
  <c r="M5" i="149"/>
  <c r="M5" i="147"/>
  <c r="L8" i="150"/>
  <c r="G15" i="178"/>
  <c r="M12" i="90"/>
  <c r="N9" i="147"/>
  <c r="L9" i="161"/>
  <c r="G13" i="148"/>
  <c r="K10" i="99"/>
  <c r="H14" i="150"/>
  <c r="N10" i="148"/>
  <c r="G6" i="85"/>
  <c r="L5" i="149"/>
  <c r="L14" i="178"/>
  <c r="F7" i="179"/>
  <c r="N11" i="172"/>
  <c r="H7" i="125"/>
  <c r="J5" i="125"/>
  <c r="M10" i="146"/>
  <c r="G6" i="62"/>
  <c r="K7" i="124"/>
  <c r="J5" i="156"/>
  <c r="H5" i="132"/>
  <c r="N18" i="148"/>
  <c r="N7" i="176"/>
  <c r="J5" i="132"/>
  <c r="N8" i="161"/>
  <c r="M13" i="148"/>
  <c r="J9" i="126"/>
  <c r="J5" i="121"/>
  <c r="N13" i="67"/>
  <c r="N5" i="101"/>
  <c r="M14" i="147"/>
  <c r="N9" i="172"/>
  <c r="M19" i="55"/>
  <c r="N14" i="147"/>
  <c r="M5" i="161"/>
  <c r="F6" i="93"/>
  <c r="F8" i="93"/>
  <c r="L9" i="107"/>
  <c r="N8" i="147"/>
  <c r="G5" i="176"/>
  <c r="N11" i="161"/>
  <c r="N8" i="88"/>
  <c r="F5" i="161"/>
  <c r="M6" i="127"/>
  <c r="N6" i="126"/>
  <c r="M8" i="88"/>
  <c r="N13" i="148"/>
  <c r="J5" i="126"/>
  <c r="H19" i="55"/>
  <c r="J8" i="150"/>
  <c r="J6" i="110"/>
  <c r="N7" i="161"/>
  <c r="G8" i="123"/>
  <c r="K5" i="86"/>
  <c r="J8" i="125"/>
  <c r="L11" i="99"/>
  <c r="F14" i="149"/>
  <c r="K9" i="175"/>
  <c r="M15" i="141"/>
  <c r="M8" i="162"/>
  <c r="F19" i="56"/>
  <c r="H13" i="67"/>
  <c r="K7" i="161"/>
  <c r="F10" i="67"/>
  <c r="F15" i="149"/>
  <c r="H8" i="150"/>
  <c r="K6" i="153"/>
  <c r="G5" i="158"/>
  <c r="L8" i="149"/>
  <c r="L9" i="123"/>
  <c r="H8" i="173"/>
  <c r="F5" i="106"/>
  <c r="M10" i="151"/>
  <c r="F11" i="161"/>
  <c r="N9" i="123"/>
  <c r="M7" i="88"/>
  <c r="H14" i="177"/>
  <c r="N5" i="123"/>
  <c r="N7" i="175"/>
  <c r="K5" i="170"/>
  <c r="L5" i="87"/>
  <c r="L7" i="161"/>
  <c r="F5" i="126"/>
  <c r="M9" i="173"/>
  <c r="F6" i="175"/>
  <c r="L12" i="146"/>
  <c r="F5" i="62"/>
  <c r="L13" i="148"/>
  <c r="K11" i="149"/>
  <c r="L10" i="151"/>
  <c r="M15" i="66"/>
  <c r="H8" i="179"/>
  <c r="G6" i="146"/>
  <c r="G9" i="86"/>
  <c r="J15" i="147"/>
  <c r="J9" i="151"/>
  <c r="L7" i="81"/>
  <c r="G18" i="55"/>
  <c r="N9" i="125"/>
  <c r="G7" i="176"/>
  <c r="M14" i="66"/>
  <c r="L5" i="159"/>
  <c r="L7" i="177"/>
  <c r="D6" i="123"/>
  <c r="L9" i="100"/>
  <c r="K10" i="67"/>
  <c r="G7" i="106"/>
  <c r="H5" i="58"/>
  <c r="K8" i="67"/>
  <c r="F9" i="97"/>
  <c r="N10" i="147"/>
  <c r="H8" i="146"/>
  <c r="K6" i="161"/>
  <c r="J9" i="86"/>
  <c r="J17" i="177"/>
  <c r="H5" i="179"/>
  <c r="L18" i="178"/>
  <c r="F11" i="141"/>
  <c r="L6" i="177"/>
  <c r="F10" i="177"/>
  <c r="M18" i="178"/>
  <c r="H7" i="178"/>
  <c r="F5" i="177"/>
  <c r="L20" i="178"/>
  <c r="J5" i="159"/>
  <c r="N16" i="178"/>
  <c r="K7" i="179"/>
  <c r="K21" i="141"/>
  <c r="N9" i="179"/>
  <c r="L7" i="127"/>
  <c r="N8" i="178"/>
  <c r="H14" i="56"/>
  <c r="M8" i="97"/>
  <c r="M9" i="99"/>
  <c r="G9" i="107"/>
  <c r="J8" i="105"/>
  <c r="H9" i="87"/>
  <c r="L8" i="105"/>
  <c r="M11" i="146"/>
  <c r="J5" i="58"/>
  <c r="G8" i="125"/>
  <c r="N14" i="149"/>
  <c r="L9" i="175"/>
  <c r="G6" i="131"/>
  <c r="L5" i="123"/>
  <c r="L21" i="141"/>
  <c r="F9" i="141"/>
  <c r="H19" i="56"/>
  <c r="K16" i="177"/>
  <c r="G5" i="167"/>
  <c r="F19" i="177"/>
  <c r="F18" i="141"/>
  <c r="H6" i="164"/>
  <c r="N5" i="162"/>
  <c r="L13" i="177"/>
  <c r="K8" i="178"/>
  <c r="L8" i="111"/>
  <c r="M20" i="141"/>
  <c r="K14" i="177"/>
  <c r="N20" i="178"/>
  <c r="F7" i="165"/>
  <c r="N7" i="178"/>
  <c r="M16" i="56"/>
  <c r="K5" i="178"/>
  <c r="L5" i="111"/>
  <c r="F15" i="178"/>
  <c r="F10" i="176"/>
  <c r="L10" i="176"/>
  <c r="N5" i="160"/>
  <c r="L7" i="106"/>
  <c r="M15" i="56"/>
  <c r="K8" i="86"/>
  <c r="F9" i="123"/>
  <c r="L8" i="161"/>
  <c r="J9" i="173"/>
  <c r="F15" i="66"/>
  <c r="H6" i="110"/>
  <c r="L8" i="162"/>
  <c r="M18" i="56"/>
  <c r="H11" i="56"/>
  <c r="L11" i="141"/>
  <c r="F5" i="159"/>
  <c r="G10" i="178"/>
  <c r="G19" i="178"/>
  <c r="G7" i="178"/>
  <c r="K16" i="56"/>
  <c r="J16" i="178"/>
  <c r="H9" i="141"/>
  <c r="L12" i="56"/>
  <c r="G9" i="141"/>
  <c r="J6" i="179"/>
  <c r="M14" i="177"/>
  <c r="H17" i="141"/>
  <c r="F8" i="87"/>
  <c r="L5" i="101"/>
  <c r="H13" i="148"/>
  <c r="M18" i="141"/>
  <c r="N5" i="150"/>
  <c r="G8" i="147"/>
  <c r="H7" i="121"/>
  <c r="N20" i="177"/>
  <c r="F8" i="179"/>
  <c r="L16" i="178"/>
  <c r="F16" i="141"/>
  <c r="J9" i="177"/>
  <c r="K5" i="177"/>
  <c r="H15" i="178"/>
  <c r="G12" i="178"/>
  <c r="N10" i="178"/>
  <c r="N6" i="165"/>
  <c r="F9" i="99"/>
  <c r="J20" i="177"/>
  <c r="G15" i="141"/>
  <c r="L20" i="177"/>
  <c r="J16" i="177"/>
  <c r="L8" i="175"/>
  <c r="G5" i="162"/>
  <c r="F7" i="126"/>
  <c r="F6" i="152"/>
  <c r="F11" i="149"/>
  <c r="K7" i="97"/>
  <c r="K9" i="161"/>
  <c r="H7" i="86"/>
  <c r="F14" i="178"/>
  <c r="J5" i="178"/>
  <c r="F12" i="177"/>
  <c r="N5" i="121"/>
  <c r="N17" i="56"/>
  <c r="H10" i="178"/>
  <c r="J6" i="165"/>
  <c r="K12" i="141"/>
  <c r="J11" i="178"/>
  <c r="J11" i="151"/>
  <c r="M5" i="74"/>
  <c r="H7" i="126"/>
  <c r="L13" i="75"/>
  <c r="N6" i="125"/>
  <c r="G12" i="150"/>
  <c r="F13" i="56"/>
  <c r="G14" i="56"/>
  <c r="H13" i="178"/>
  <c r="L5" i="179"/>
  <c r="N15" i="178"/>
  <c r="G7" i="165"/>
  <c r="K20" i="178"/>
  <c r="J19" i="141"/>
  <c r="M7" i="179"/>
  <c r="F15" i="56"/>
  <c r="G20" i="141"/>
  <c r="N6" i="178"/>
  <c r="F9" i="177"/>
  <c r="G16" i="178"/>
  <c r="F6" i="178"/>
  <c r="H11" i="141"/>
  <c r="M20" i="178"/>
  <c r="N20" i="56"/>
  <c r="G6" i="165"/>
  <c r="G9" i="179"/>
  <c r="L19" i="141"/>
  <c r="H8" i="162"/>
  <c r="M7" i="178"/>
  <c r="N8" i="162"/>
  <c r="J5" i="177"/>
  <c r="M7" i="162"/>
  <c r="M20" i="177"/>
  <c r="G8" i="131"/>
  <c r="M8" i="121"/>
  <c r="K5" i="126"/>
  <c r="H6" i="153"/>
  <c r="H7" i="150"/>
  <c r="L7" i="175"/>
  <c r="M5" i="110"/>
  <c r="F5" i="163"/>
  <c r="G7" i="111"/>
  <c r="M6" i="111"/>
  <c r="G5" i="164"/>
  <c r="M7" i="177"/>
  <c r="F7" i="177"/>
  <c r="H7" i="177"/>
  <c r="K8" i="177"/>
  <c r="G20" i="178"/>
  <c r="K7" i="162"/>
  <c r="N13" i="177"/>
  <c r="G6" i="121"/>
  <c r="N5" i="163"/>
  <c r="H8" i="178"/>
  <c r="N12" i="56"/>
  <c r="N11" i="178"/>
  <c r="M13" i="56"/>
  <c r="H6" i="179"/>
  <c r="N7" i="111"/>
  <c r="K9" i="141"/>
  <c r="J20" i="56"/>
  <c r="J18" i="56"/>
  <c r="H5" i="125"/>
  <c r="K6" i="74"/>
  <c r="L12" i="67"/>
  <c r="G12" i="147"/>
  <c r="N9" i="175"/>
  <c r="J7" i="81"/>
  <c r="F8" i="173"/>
  <c r="M6" i="175"/>
  <c r="L17" i="141"/>
  <c r="H17" i="178"/>
  <c r="G10" i="177"/>
  <c r="F5" i="167"/>
  <c r="J14" i="177"/>
  <c r="F18" i="178"/>
  <c r="F8" i="177"/>
  <c r="J5" i="164"/>
  <c r="J14" i="141"/>
  <c r="G6" i="178"/>
  <c r="N19" i="178"/>
  <c r="N5" i="167"/>
  <c r="M21" i="141"/>
  <c r="K11" i="178"/>
  <c r="K5" i="159"/>
  <c r="M14" i="178"/>
  <c r="H16" i="177"/>
  <c r="K14" i="141"/>
  <c r="G7" i="153"/>
  <c r="D8" i="123"/>
  <c r="N11" i="149"/>
  <c r="N9" i="177"/>
  <c r="J9" i="179"/>
  <c r="G7" i="177"/>
  <c r="G16" i="141"/>
  <c r="G18" i="56"/>
  <c r="L19" i="177"/>
  <c r="J17" i="178"/>
  <c r="L16" i="141"/>
  <c r="F16" i="177"/>
  <c r="G6" i="177"/>
  <c r="F20" i="178"/>
  <c r="J13" i="178"/>
  <c r="H14" i="178"/>
  <c r="K17" i="141"/>
  <c r="H18" i="177"/>
  <c r="J18" i="178"/>
  <c r="M8" i="125"/>
  <c r="M6" i="124"/>
  <c r="M18" i="148"/>
  <c r="N14" i="150"/>
  <c r="M5" i="85"/>
  <c r="N16" i="56"/>
  <c r="N5" i="159"/>
  <c r="L9" i="141"/>
  <c r="F18" i="177"/>
  <c r="L6" i="179"/>
  <c r="F12" i="141"/>
  <c r="H16" i="178"/>
  <c r="M6" i="165"/>
  <c r="J9" i="178"/>
  <c r="K8" i="162"/>
  <c r="J11" i="177"/>
  <c r="H5" i="178"/>
  <c r="M5" i="179"/>
  <c r="J7" i="106"/>
  <c r="L13" i="56"/>
  <c r="M16" i="177"/>
  <c r="F11" i="56"/>
  <c r="F5" i="162"/>
  <c r="J16" i="141"/>
  <c r="J12" i="178"/>
  <c r="N6" i="164"/>
  <c r="F8" i="107"/>
  <c r="H19" i="147"/>
  <c r="F12" i="150"/>
  <c r="L8" i="67"/>
  <c r="G7" i="173"/>
  <c r="K5" i="123"/>
  <c r="F6" i="121"/>
  <c r="M5" i="132"/>
  <c r="F17" i="56"/>
  <c r="F13" i="141"/>
  <c r="K17" i="178"/>
  <c r="F20" i="177"/>
  <c r="M16" i="141"/>
  <c r="H13" i="56"/>
  <c r="F7" i="178"/>
  <c r="L19" i="56"/>
  <c r="N5" i="164"/>
  <c r="J7" i="162"/>
  <c r="M12" i="56"/>
  <c r="F9" i="179"/>
  <c r="J12" i="177"/>
  <c r="K12" i="177"/>
  <c r="N13" i="178"/>
  <c r="F14" i="177"/>
  <c r="H19" i="141"/>
  <c r="G11" i="178"/>
  <c r="F17" i="141"/>
  <c r="L6" i="165"/>
  <c r="L6" i="181"/>
  <c r="J5" i="150"/>
  <c r="F7" i="93"/>
  <c r="M6" i="121"/>
  <c r="F8" i="110"/>
  <c r="K7" i="125"/>
  <c r="L8" i="173"/>
  <c r="N5" i="93"/>
  <c r="M6" i="126"/>
  <c r="J8" i="100"/>
  <c r="N5" i="158"/>
  <c r="M7" i="147"/>
  <c r="K13" i="178"/>
  <c r="H18" i="178"/>
  <c r="H17" i="177"/>
  <c r="L20" i="141"/>
  <c r="K6" i="177"/>
  <c r="M5" i="163"/>
  <c r="L12" i="177"/>
  <c r="K12" i="178"/>
  <c r="F6" i="97"/>
  <c r="L14" i="141"/>
  <c r="J5" i="179"/>
  <c r="G9" i="110"/>
  <c r="G17" i="178"/>
  <c r="H20" i="177"/>
  <c r="G17" i="177"/>
  <c r="L11" i="177"/>
  <c r="K19" i="141"/>
  <c r="M5" i="178"/>
  <c r="G7" i="162"/>
  <c r="M14" i="141"/>
  <c r="H6" i="111"/>
  <c r="J5" i="163"/>
  <c r="K6" i="148"/>
  <c r="H8" i="100"/>
  <c r="K12" i="148"/>
  <c r="H5" i="161"/>
  <c r="N9" i="146"/>
  <c r="N11" i="146"/>
  <c r="N5" i="87"/>
  <c r="J9" i="141"/>
  <c r="K5" i="106"/>
  <c r="N11" i="177"/>
  <c r="G8" i="162"/>
  <c r="H8" i="177"/>
  <c r="K11" i="177"/>
  <c r="F13" i="177"/>
  <c r="N12" i="177"/>
  <c r="H10" i="177"/>
  <c r="K15" i="177"/>
  <c r="L8" i="179"/>
  <c r="M8" i="179"/>
  <c r="J19" i="56"/>
  <c r="J10" i="178"/>
  <c r="J6" i="177"/>
  <c r="H19" i="178"/>
  <c r="F5" i="178"/>
  <c r="J14" i="178"/>
  <c r="K10" i="161"/>
  <c r="G6" i="105"/>
  <c r="M6" i="148"/>
  <c r="M17" i="177"/>
  <c r="N8" i="111"/>
  <c r="H8" i="106"/>
  <c r="F8" i="147"/>
  <c r="F7" i="92"/>
  <c r="M15" i="147"/>
  <c r="F20" i="147"/>
  <c r="G8" i="178"/>
  <c r="K6" i="164"/>
  <c r="M8" i="111"/>
  <c r="F6" i="177"/>
  <c r="L9" i="178"/>
  <c r="L18" i="56"/>
  <c r="H7" i="162"/>
  <c r="G19" i="56"/>
  <c r="J8" i="178"/>
  <c r="K14" i="56"/>
  <c r="F8" i="178"/>
  <c r="K18" i="178"/>
  <c r="H6" i="165"/>
  <c r="M20" i="56"/>
  <c r="J20" i="141"/>
  <c r="M12" i="177"/>
  <c r="J9" i="110"/>
  <c r="M6" i="164"/>
  <c r="L5" i="177"/>
  <c r="K20" i="56"/>
  <c r="N5" i="179"/>
  <c r="G8" i="179"/>
  <c r="F9" i="178"/>
  <c r="N9" i="178"/>
  <c r="M11" i="177"/>
  <c r="N10" i="172"/>
  <c r="K5" i="92"/>
  <c r="N8" i="105"/>
  <c r="G10" i="99"/>
  <c r="M13" i="146"/>
  <c r="J13" i="147"/>
  <c r="J6" i="123"/>
  <c r="J13" i="56"/>
  <c r="N18" i="177"/>
  <c r="L19" i="178"/>
  <c r="M17" i="141"/>
  <c r="J20" i="178"/>
  <c r="G14" i="141"/>
  <c r="J18" i="177"/>
  <c r="M11" i="56"/>
  <c r="M7" i="111"/>
  <c r="J18" i="141"/>
  <c r="F9" i="146"/>
  <c r="N6" i="92"/>
  <c r="M8" i="67"/>
  <c r="N9" i="161"/>
  <c r="L8" i="126"/>
  <c r="M7" i="172"/>
  <c r="H7" i="105"/>
  <c r="M13" i="67"/>
  <c r="K6" i="131"/>
  <c r="M7" i="92"/>
  <c r="H15" i="141"/>
  <c r="F6" i="164"/>
  <c r="G14" i="177"/>
  <c r="H5" i="111"/>
  <c r="F17" i="177"/>
  <c r="F8" i="111"/>
  <c r="J7" i="179"/>
  <c r="M5" i="167"/>
  <c r="J5" i="167"/>
  <c r="F6" i="165"/>
  <c r="J15" i="178"/>
  <c r="K5" i="163"/>
  <c r="K12" i="56"/>
  <c r="K14" i="178"/>
  <c r="L6" i="178"/>
  <c r="H10" i="147"/>
  <c r="H7" i="124"/>
  <c r="L18" i="177"/>
  <c r="G7" i="105"/>
  <c r="N9" i="173"/>
  <c r="L20" i="147"/>
  <c r="K5" i="176"/>
  <c r="G15" i="147"/>
  <c r="F19" i="178"/>
  <c r="H12" i="178"/>
  <c r="M7" i="110"/>
  <c r="H14" i="141"/>
  <c r="J7" i="177"/>
  <c r="L15" i="56"/>
  <c r="F5" i="179"/>
  <c r="K18" i="56"/>
  <c r="M17" i="178"/>
  <c r="H16" i="56"/>
  <c r="F17" i="178"/>
  <c r="N8" i="179"/>
  <c r="L5" i="167"/>
  <c r="L15" i="141"/>
  <c r="M7" i="165"/>
  <c r="L8" i="178"/>
  <c r="H15" i="56"/>
  <c r="J7" i="165"/>
  <c r="N7" i="179"/>
  <c r="L7" i="179"/>
  <c r="G19" i="55"/>
  <c r="J8" i="176"/>
  <c r="J14" i="150"/>
  <c r="J8" i="126"/>
  <c r="K14" i="150"/>
  <c r="G5" i="147"/>
  <c r="M19" i="56"/>
  <c r="L9" i="99"/>
  <c r="G13" i="141"/>
  <c r="N14" i="178"/>
  <c r="H20" i="141"/>
  <c r="N15" i="177"/>
  <c r="F16" i="56"/>
  <c r="H13" i="141"/>
  <c r="K19" i="178"/>
  <c r="K19" i="56"/>
  <c r="M13" i="177"/>
  <c r="L9" i="148"/>
  <c r="M11" i="178"/>
  <c r="M19" i="178"/>
  <c r="J7" i="178"/>
  <c r="F5" i="105"/>
  <c r="H5" i="105"/>
  <c r="K17" i="148"/>
  <c r="M6" i="87"/>
  <c r="M5" i="105"/>
  <c r="N10" i="177"/>
  <c r="K6" i="182"/>
  <c r="N5" i="111"/>
  <c r="G8" i="93"/>
  <c r="H5" i="127"/>
  <c r="N15" i="149"/>
  <c r="N8" i="106"/>
  <c r="F8" i="123"/>
  <c r="J17" i="141"/>
  <c r="K6" i="85"/>
  <c r="H5" i="163"/>
  <c r="J10" i="177"/>
  <c r="K11" i="56"/>
  <c r="K7" i="110"/>
  <c r="G12" i="177"/>
  <c r="J21" i="141"/>
  <c r="H13" i="177"/>
  <c r="K13" i="177"/>
  <c r="J5" i="110"/>
  <c r="F8" i="162"/>
  <c r="L6" i="164"/>
  <c r="M9" i="141"/>
  <c r="K11" i="141"/>
  <c r="G18" i="141"/>
  <c r="H9" i="178"/>
  <c r="H11" i="177"/>
  <c r="H18" i="141"/>
  <c r="K6" i="111"/>
  <c r="K13" i="56"/>
  <c r="J7" i="110"/>
  <c r="L13" i="178"/>
  <c r="F13" i="150"/>
  <c r="L9" i="125"/>
  <c r="J5" i="162"/>
  <c r="N7" i="105"/>
  <c r="F5" i="158"/>
  <c r="K5" i="131"/>
  <c r="F6" i="147"/>
  <c r="M12" i="150"/>
  <c r="N19" i="147"/>
  <c r="G15" i="177"/>
  <c r="K8" i="179"/>
  <c r="G8" i="177"/>
  <c r="G14" i="178"/>
  <c r="N9" i="99"/>
  <c r="F9" i="110"/>
  <c r="K16" i="141"/>
  <c r="J17" i="56"/>
  <c r="N5" i="178"/>
  <c r="G13" i="56"/>
  <c r="G13" i="178"/>
  <c r="M12" i="178"/>
  <c r="G8" i="86"/>
  <c r="M6" i="86"/>
  <c r="F15" i="141"/>
  <c r="N6" i="152"/>
  <c r="H10" i="151"/>
  <c r="F6" i="85"/>
  <c r="N7" i="124"/>
  <c r="G5" i="172"/>
  <c r="J7" i="133"/>
  <c r="K5" i="174"/>
  <c r="K10" i="151"/>
  <c r="J8" i="162"/>
  <c r="F20" i="56"/>
  <c r="L12" i="178"/>
  <c r="H16" i="141"/>
  <c r="L16" i="177"/>
  <c r="H10" i="100"/>
  <c r="N13" i="56"/>
  <c r="L14" i="177"/>
  <c r="F21" i="141"/>
  <c r="G17" i="141"/>
  <c r="F19" i="141"/>
  <c r="L11" i="178"/>
  <c r="N6" i="86"/>
  <c r="K8" i="111"/>
  <c r="M19" i="177"/>
  <c r="J6" i="178"/>
  <c r="J11" i="141"/>
  <c r="K5" i="167"/>
  <c r="J12" i="56"/>
  <c r="F7" i="87"/>
  <c r="M6" i="147"/>
  <c r="M10" i="178"/>
  <c r="J8" i="111"/>
  <c r="H7" i="175"/>
  <c r="K5" i="121"/>
  <c r="H6" i="123"/>
  <c r="F17" i="148"/>
  <c r="N8" i="176"/>
  <c r="K11" i="147"/>
  <c r="M8" i="86"/>
  <c r="F6" i="182"/>
  <c r="G19" i="141"/>
  <c r="F7" i="162"/>
  <c r="J14" i="56"/>
  <c r="L17" i="177"/>
  <c r="G6" i="181"/>
  <c r="F5" i="164"/>
  <c r="H5" i="159"/>
  <c r="J16" i="56"/>
  <c r="L7" i="162"/>
  <c r="N7" i="162"/>
  <c r="J15" i="56"/>
  <c r="M12" i="141"/>
  <c r="N19" i="56"/>
  <c r="G7" i="179"/>
  <c r="F15" i="177"/>
  <c r="N16" i="177"/>
  <c r="J5" i="101"/>
  <c r="J8" i="97"/>
  <c r="H8" i="172"/>
  <c r="L9" i="126"/>
  <c r="J5" i="172"/>
  <c r="N6" i="130"/>
  <c r="G6" i="107"/>
  <c r="N13" i="150"/>
  <c r="H6" i="178"/>
  <c r="L6" i="105"/>
  <c r="G10" i="100"/>
  <c r="H6" i="87"/>
  <c r="L7" i="178"/>
  <c r="H5" i="147"/>
  <c r="M6" i="181"/>
  <c r="H9" i="100"/>
  <c r="L8" i="121"/>
  <c r="G9" i="148"/>
  <c r="J8" i="93"/>
  <c r="F6" i="106"/>
  <c r="J9" i="149"/>
  <c r="K15" i="141"/>
  <c r="N8" i="107"/>
  <c r="F8" i="85"/>
  <c r="K6" i="181"/>
  <c r="K6" i="176"/>
  <c r="H13" i="147"/>
  <c r="L10" i="177"/>
  <c r="K15" i="178"/>
  <c r="L7" i="146"/>
  <c r="G8" i="107"/>
  <c r="J6" i="126"/>
  <c r="N8" i="177"/>
  <c r="H5" i="62"/>
  <c r="G6" i="182"/>
  <c r="F9" i="86"/>
  <c r="G8" i="97"/>
  <c r="G6" i="100"/>
  <c r="L7" i="105"/>
  <c r="G5" i="100"/>
  <c r="J6" i="86"/>
  <c r="J7" i="149"/>
  <c r="N7" i="88"/>
  <c r="M5" i="175"/>
  <c r="K7" i="93"/>
  <c r="M9" i="178"/>
  <c r="H12" i="56"/>
  <c r="F6" i="110"/>
  <c r="H5" i="164"/>
  <c r="K14" i="147"/>
  <c r="M7" i="125"/>
  <c r="M6" i="152"/>
  <c r="G7" i="133"/>
  <c r="H5" i="160"/>
  <c r="F16" i="178"/>
  <c r="J11" i="161"/>
  <c r="J18" i="149"/>
  <c r="F5" i="110"/>
  <c r="J8" i="177"/>
  <c r="N6" i="182"/>
  <c r="J9" i="92"/>
  <c r="K7" i="111"/>
  <c r="J8" i="107"/>
  <c r="G14" i="66"/>
  <c r="L15" i="177"/>
  <c r="H9" i="179"/>
  <c r="M6" i="179"/>
  <c r="M5" i="162"/>
  <c r="F5" i="74"/>
  <c r="F6" i="124"/>
  <c r="N5" i="100"/>
  <c r="L11" i="56"/>
  <c r="J12" i="90"/>
  <c r="J5" i="147"/>
  <c r="K8" i="87"/>
  <c r="N7" i="177"/>
  <c r="L7" i="87"/>
  <c r="N20" i="147"/>
  <c r="G12" i="148"/>
  <c r="K5" i="101"/>
  <c r="F7" i="86"/>
  <c r="L5" i="97"/>
  <c r="J10" i="99"/>
  <c r="K6" i="86"/>
  <c r="H7" i="93"/>
  <c r="N8" i="110"/>
  <c r="L5" i="162"/>
  <c r="H7" i="85"/>
  <c r="J10" i="161"/>
  <c r="K6" i="121"/>
  <c r="H6" i="175"/>
  <c r="K6" i="105"/>
  <c r="L5" i="106"/>
  <c r="K7" i="85"/>
  <c r="L8" i="106"/>
  <c r="K7" i="147"/>
  <c r="H7" i="179"/>
  <c r="N7" i="153"/>
  <c r="M6" i="153"/>
  <c r="L8" i="93"/>
  <c r="G12" i="90"/>
  <c r="K7" i="178"/>
  <c r="J13" i="151"/>
  <c r="J6" i="149"/>
  <c r="F14" i="150"/>
  <c r="F7" i="107"/>
  <c r="K5" i="97"/>
  <c r="G8" i="85"/>
  <c r="G20" i="177"/>
  <c r="K5" i="110"/>
  <c r="L12" i="90"/>
  <c r="L8" i="86"/>
  <c r="K20" i="141"/>
  <c r="F8" i="105"/>
  <c r="F11" i="148"/>
  <c r="F7" i="106"/>
  <c r="N7" i="107"/>
  <c r="J7" i="87"/>
  <c r="F8" i="125"/>
  <c r="J8" i="173"/>
  <c r="G6" i="86"/>
  <c r="K14" i="149"/>
  <c r="J6" i="107"/>
  <c r="H8" i="121"/>
  <c r="K8" i="93"/>
  <c r="L12" i="148"/>
  <c r="G9" i="177"/>
  <c r="H7" i="165"/>
  <c r="G20" i="56"/>
  <c r="K7" i="165"/>
  <c r="H11" i="178"/>
  <c r="J5" i="158"/>
  <c r="H5" i="156"/>
  <c r="H11" i="172"/>
  <c r="M9" i="175"/>
  <c r="K5" i="150"/>
  <c r="L5" i="110"/>
  <c r="K5" i="161"/>
  <c r="H18" i="55"/>
  <c r="J5" i="176"/>
  <c r="K6" i="106"/>
  <c r="K8" i="110"/>
  <c r="J7" i="86"/>
  <c r="L8" i="97"/>
  <c r="M12" i="67"/>
  <c r="N12" i="67"/>
  <c r="G20" i="147"/>
  <c r="K5" i="111"/>
  <c r="M7" i="86"/>
  <c r="M9" i="100"/>
  <c r="M8" i="105"/>
  <c r="G9" i="178"/>
  <c r="J10" i="176"/>
  <c r="M16" i="178"/>
  <c r="D15" i="77"/>
  <c r="H6" i="166"/>
  <c r="D20" i="177"/>
  <c r="H10" i="76"/>
  <c r="H5" i="152"/>
  <c r="J9" i="74"/>
  <c r="H11" i="79"/>
  <c r="F8" i="134"/>
  <c r="F9" i="135"/>
  <c r="M9" i="134"/>
  <c r="N6" i="137"/>
  <c r="D19" i="56"/>
  <c r="K5" i="137"/>
  <c r="G5" i="157"/>
  <c r="H6" i="154"/>
  <c r="H10" i="79"/>
  <c r="J7" i="157"/>
  <c r="D20" i="178"/>
  <c r="J10" i="75"/>
  <c r="G10" i="75"/>
  <c r="F14" i="77"/>
  <c r="J9" i="156"/>
  <c r="D6" i="179"/>
  <c r="K11" i="134"/>
  <c r="D13" i="143"/>
  <c r="F10" i="76"/>
  <c r="H8" i="136"/>
  <c r="K17" i="77"/>
  <c r="G6" i="139"/>
  <c r="N7" i="136"/>
  <c r="G17" i="77"/>
  <c r="J11" i="75"/>
  <c r="K5" i="139"/>
  <c r="H15" i="79"/>
  <c r="D7" i="115"/>
  <c r="H11" i="75"/>
  <c r="G9" i="76"/>
  <c r="N7" i="157"/>
  <c r="N10" i="75"/>
  <c r="G5" i="152"/>
  <c r="D16" i="177"/>
  <c r="J5" i="135"/>
  <c r="G9" i="74"/>
  <c r="G6" i="75"/>
  <c r="F10" i="77"/>
  <c r="D14" i="56"/>
  <c r="H8" i="135"/>
  <c r="F5" i="135"/>
  <c r="K12" i="136"/>
  <c r="G11" i="134"/>
  <c r="F6" i="139"/>
  <c r="D15" i="178"/>
  <c r="J6" i="184"/>
  <c r="D13" i="56"/>
  <c r="J6" i="75"/>
  <c r="N15" i="79"/>
  <c r="J6" i="166"/>
  <c r="J5" i="152"/>
  <c r="F10" i="79"/>
  <c r="D12" i="141"/>
  <c r="H13" i="77"/>
  <c r="H17" i="77"/>
  <c r="D11" i="141"/>
  <c r="H5" i="155"/>
  <c r="D20" i="141"/>
  <c r="F11" i="79"/>
  <c r="H5" i="139"/>
  <c r="K6" i="184"/>
  <c r="D12" i="142"/>
  <c r="H13" i="76"/>
  <c r="D15" i="56"/>
  <c r="D13" i="142"/>
  <c r="K7" i="134"/>
  <c r="D15" i="177"/>
  <c r="G6" i="154"/>
  <c r="N13" i="76"/>
  <c r="D8" i="177"/>
  <c r="J17" i="77"/>
  <c r="F5" i="152"/>
  <c r="D7" i="179"/>
  <c r="G5" i="166"/>
  <c r="G9" i="156"/>
  <c r="D21" i="141"/>
  <c r="K8" i="135"/>
  <c r="F12" i="136"/>
  <c r="H9" i="135"/>
  <c r="N10" i="79"/>
  <c r="F7" i="75"/>
  <c r="K7" i="157"/>
  <c r="L6" i="132"/>
  <c r="H10" i="77"/>
  <c r="N6" i="75"/>
  <c r="N5" i="166"/>
  <c r="G10" i="79"/>
  <c r="J7" i="75"/>
  <c r="G5" i="155"/>
  <c r="J12" i="136"/>
  <c r="K6" i="137"/>
  <c r="N5" i="139"/>
  <c r="D17" i="178"/>
  <c r="H11" i="134"/>
  <c r="M10" i="76"/>
  <c r="G8" i="134"/>
  <c r="J5" i="139"/>
  <c r="K5" i="155"/>
  <c r="N5" i="137"/>
  <c r="F5" i="139"/>
  <c r="J18" i="77"/>
  <c r="J14" i="79"/>
  <c r="G18" i="77"/>
  <c r="N17" i="77"/>
  <c r="D8" i="112"/>
  <c r="D12" i="56"/>
  <c r="H6" i="137"/>
  <c r="J9" i="76"/>
  <c r="J13" i="76"/>
  <c r="G8" i="136"/>
  <c r="M20" i="77"/>
  <c r="J10" i="76"/>
  <c r="H7" i="157"/>
  <c r="N9" i="137"/>
  <c r="K9" i="76"/>
  <c r="J9" i="135"/>
  <c r="G11" i="75"/>
  <c r="K14" i="79"/>
  <c r="J6" i="137"/>
  <c r="N13" i="77"/>
  <c r="K10" i="75"/>
  <c r="J15" i="79"/>
  <c r="G7" i="75"/>
  <c r="G10" i="76"/>
  <c r="D19" i="141"/>
  <c r="D14" i="178"/>
  <c r="H5" i="135"/>
  <c r="D7" i="177"/>
  <c r="J14" i="77"/>
  <c r="D7" i="111"/>
  <c r="L9" i="158"/>
  <c r="H8" i="134"/>
  <c r="H12" i="136"/>
  <c r="D14" i="177"/>
  <c r="J8" i="136"/>
  <c r="L8" i="158"/>
  <c r="D7" i="178"/>
  <c r="G5" i="135"/>
  <c r="G7" i="184"/>
  <c r="G8" i="157"/>
  <c r="G6" i="166"/>
  <c r="D8" i="111"/>
  <c r="F18" i="77"/>
  <c r="G13" i="76"/>
  <c r="D18" i="178"/>
  <c r="D12" i="143"/>
  <c r="D6" i="178"/>
  <c r="G12" i="136"/>
  <c r="D8" i="87"/>
  <c r="J7" i="136"/>
  <c r="D8" i="179"/>
  <c r="D18" i="56"/>
  <c r="G9" i="135"/>
  <c r="D5" i="111"/>
  <c r="D7" i="175"/>
  <c r="D5" i="107"/>
  <c r="G7" i="157"/>
  <c r="N9" i="74"/>
  <c r="D12" i="178"/>
  <c r="D14" i="142"/>
  <c r="K13" i="77"/>
  <c r="D5" i="177"/>
  <c r="D5" i="106"/>
  <c r="D16" i="56"/>
  <c r="D9" i="99"/>
  <c r="K6" i="75"/>
  <c r="G15" i="79"/>
  <c r="H14" i="77"/>
  <c r="D17" i="141"/>
  <c r="D15" i="141"/>
  <c r="D10" i="141"/>
  <c r="D9" i="177"/>
  <c r="J7" i="184"/>
  <c r="G7" i="156"/>
  <c r="D11" i="178"/>
  <c r="M11" i="136"/>
  <c r="J10" i="77"/>
  <c r="M9" i="135"/>
  <c r="K6" i="154"/>
  <c r="K11" i="136"/>
  <c r="K13" i="76"/>
  <c r="D18" i="177"/>
  <c r="D5" i="178"/>
  <c r="F8" i="136"/>
  <c r="N12" i="136"/>
  <c r="H7" i="134"/>
  <c r="J5" i="166"/>
  <c r="G7" i="134"/>
  <c r="H6" i="75"/>
  <c r="K10" i="79"/>
  <c r="D13" i="177"/>
  <c r="H7" i="136"/>
  <c r="J8" i="134"/>
  <c r="F7" i="184"/>
  <c r="H10" i="75"/>
  <c r="H9" i="76"/>
  <c r="N6" i="184"/>
  <c r="J6" i="157"/>
  <c r="N11" i="136"/>
  <c r="G10" i="77"/>
  <c r="D18" i="141"/>
  <c r="K7" i="136"/>
  <c r="G5" i="139"/>
  <c r="H7" i="75"/>
  <c r="N14" i="79"/>
  <c r="K8" i="136"/>
  <c r="M6" i="180"/>
  <c r="J6" i="154"/>
  <c r="F15" i="79"/>
  <c r="D10" i="178"/>
  <c r="J7" i="156"/>
  <c r="H9" i="74"/>
  <c r="N8" i="135"/>
  <c r="J11" i="136"/>
  <c r="D9" i="141"/>
  <c r="D9" i="179"/>
  <c r="F7" i="137"/>
  <c r="G6" i="137"/>
  <c r="N6" i="154"/>
  <c r="K9" i="74"/>
  <c r="H5" i="166"/>
  <c r="N9" i="76"/>
  <c r="D17" i="177"/>
  <c r="J10" i="79"/>
  <c r="J5" i="155"/>
  <c r="D9" i="178"/>
  <c r="D14" i="143"/>
  <c r="J8" i="135"/>
  <c r="F6" i="166"/>
  <c r="D13" i="141"/>
  <c r="D8" i="88"/>
  <c r="D9" i="87"/>
  <c r="J13" i="77"/>
  <c r="F8" i="157"/>
  <c r="D12" i="177"/>
  <c r="D6" i="110"/>
  <c r="D7" i="93"/>
  <c r="D19" i="178"/>
  <c r="D6" i="100"/>
  <c r="D6" i="88"/>
  <c r="F6" i="137"/>
  <c r="D10" i="177"/>
  <c r="D10" i="99"/>
  <c r="G13" i="77"/>
  <c r="D11" i="177"/>
  <c r="D6" i="107"/>
  <c r="D10" i="112"/>
  <c r="K8" i="156"/>
  <c r="D11" i="99"/>
  <c r="N11" i="134"/>
  <c r="D11" i="112"/>
  <c r="D6" i="87"/>
  <c r="D17" i="56"/>
  <c r="D13" i="178"/>
  <c r="J7" i="134"/>
  <c r="D16" i="141"/>
  <c r="H9" i="156"/>
  <c r="D14" i="141"/>
  <c r="D5" i="87"/>
  <c r="D9" i="97"/>
  <c r="D6" i="175"/>
  <c r="G8" i="135"/>
  <c r="F11" i="75"/>
  <c r="D7" i="86"/>
  <c r="D9" i="86"/>
  <c r="D8" i="175"/>
  <c r="L9" i="79"/>
  <c r="D16" i="178"/>
  <c r="D8" i="92"/>
  <c r="G5" i="183"/>
  <c r="H18" i="77"/>
  <c r="N5" i="155"/>
  <c r="D5" i="179"/>
  <c r="D6" i="177"/>
  <c r="D5" i="86"/>
  <c r="D11" i="56"/>
  <c r="D5" i="97"/>
  <c r="D7" i="87"/>
  <c r="D7" i="88"/>
  <c r="D8" i="178"/>
  <c r="G11" i="79"/>
  <c r="D5" i="92"/>
  <c r="D9" i="175"/>
  <c r="D19" i="177"/>
  <c r="D6" i="106"/>
  <c r="K15" i="79"/>
  <c r="D7" i="112"/>
  <c r="K5" i="166"/>
  <c r="D7" i="105"/>
  <c r="D12" i="96"/>
  <c r="D5" i="85"/>
  <c r="D7" i="176"/>
  <c r="D7" i="146"/>
  <c r="D12" i="148"/>
  <c r="D6" i="105"/>
  <c r="N7" i="134"/>
  <c r="D7" i="106"/>
  <c r="D8" i="85"/>
  <c r="D8" i="106"/>
  <c r="D7" i="92"/>
  <c r="G14" i="77"/>
  <c r="D9" i="149"/>
  <c r="D12" i="146"/>
  <c r="D8" i="100"/>
  <c r="D13" i="67"/>
  <c r="F6" i="184"/>
  <c r="D9" i="147"/>
  <c r="D10" i="75"/>
  <c r="D7" i="158"/>
  <c r="D14" i="146"/>
  <c r="L5" i="155"/>
  <c r="D11" i="67"/>
  <c r="H17" i="79"/>
  <c r="D5" i="93"/>
  <c r="D5" i="101"/>
  <c r="D6" i="165"/>
  <c r="D10" i="77"/>
  <c r="M6" i="139"/>
  <c r="F7" i="157"/>
  <c r="D5" i="166"/>
  <c r="D8" i="176"/>
  <c r="D5" i="183"/>
  <c r="L8" i="135"/>
  <c r="D6" i="97"/>
  <c r="L5" i="166"/>
  <c r="D10" i="151"/>
  <c r="D11" i="150"/>
  <c r="D20" i="77"/>
  <c r="M7" i="157"/>
  <c r="D13" i="147"/>
  <c r="M5" i="180"/>
  <c r="D8" i="105"/>
  <c r="L10" i="75"/>
  <c r="D5" i="126"/>
  <c r="D18" i="149"/>
  <c r="D10" i="147"/>
  <c r="D7" i="151"/>
  <c r="D19" i="148"/>
  <c r="M6" i="132"/>
  <c r="D6" i="173"/>
  <c r="D13" i="148"/>
  <c r="M15" i="79"/>
  <c r="D8" i="173"/>
  <c r="D8" i="93"/>
  <c r="D7" i="172"/>
  <c r="D9" i="146"/>
  <c r="D8" i="136"/>
  <c r="D7" i="107"/>
  <c r="D5" i="161"/>
  <c r="D9" i="106"/>
  <c r="K7" i="158"/>
  <c r="D9" i="137"/>
  <c r="D5" i="137"/>
  <c r="H6" i="157"/>
  <c r="D11" i="148"/>
  <c r="D9" i="92"/>
  <c r="D15" i="149"/>
  <c r="M7" i="134"/>
  <c r="D11" i="147"/>
  <c r="F6" i="132"/>
  <c r="J8" i="156"/>
  <c r="D8" i="97"/>
  <c r="D7" i="148"/>
  <c r="D6" i="181"/>
  <c r="D6" i="161"/>
  <c r="D5" i="165"/>
  <c r="D7" i="147"/>
  <c r="D6" i="75"/>
  <c r="D14" i="149"/>
  <c r="D5" i="160"/>
  <c r="D10" i="146"/>
  <c r="D12" i="66"/>
  <c r="D6" i="157"/>
  <c r="D5" i="131"/>
  <c r="L7" i="184"/>
  <c r="D5" i="75"/>
  <c r="L10" i="77"/>
  <c r="M5" i="157"/>
  <c r="L10" i="134"/>
  <c r="D6" i="86"/>
  <c r="D9" i="134"/>
  <c r="M6" i="135"/>
  <c r="D5" i="148"/>
  <c r="D11" i="76"/>
  <c r="D8" i="151"/>
  <c r="D13" i="150"/>
  <c r="D14" i="75"/>
  <c r="D6" i="93"/>
  <c r="M6" i="75"/>
  <c r="D5" i="121"/>
  <c r="D14" i="66"/>
  <c r="D5" i="184"/>
  <c r="D10" i="100"/>
  <c r="D5" i="89"/>
  <c r="D9" i="110"/>
  <c r="D6" i="147"/>
  <c r="D6" i="146"/>
  <c r="D9" i="173"/>
  <c r="D5" i="128"/>
  <c r="D6" i="182"/>
  <c r="D8" i="158"/>
  <c r="D12" i="112"/>
  <c r="D6" i="111"/>
  <c r="D12" i="149"/>
  <c r="D8" i="110"/>
  <c r="D15" i="148"/>
  <c r="D8" i="86"/>
  <c r="D9" i="107"/>
  <c r="D6" i="85"/>
  <c r="D9" i="158"/>
  <c r="D6" i="126"/>
  <c r="M7" i="139"/>
  <c r="J11" i="134"/>
  <c r="D6" i="164"/>
  <c r="F8" i="158"/>
  <c r="L6" i="139"/>
  <c r="D9" i="157"/>
  <c r="D9" i="112"/>
  <c r="M5" i="139"/>
  <c r="D7" i="85"/>
  <c r="D13" i="149"/>
  <c r="D5" i="136"/>
  <c r="D8" i="74"/>
  <c r="D11" i="77"/>
  <c r="D17" i="66"/>
  <c r="D11" i="161"/>
  <c r="D8" i="67"/>
  <c r="D12" i="150"/>
  <c r="L9" i="75"/>
  <c r="D12" i="172"/>
  <c r="N6" i="157"/>
  <c r="M11" i="134"/>
  <c r="D5" i="105"/>
  <c r="D9" i="100"/>
  <c r="D9" i="172"/>
  <c r="D7" i="110"/>
  <c r="D19" i="66"/>
  <c r="D9" i="148"/>
  <c r="L6" i="134"/>
  <c r="D13" i="172"/>
  <c r="D6" i="134"/>
  <c r="D8" i="131"/>
  <c r="L5" i="72"/>
  <c r="G9" i="136"/>
  <c r="J5" i="180"/>
  <c r="D6" i="166"/>
  <c r="N20" i="77"/>
  <c r="L7" i="156"/>
  <c r="D6" i="136"/>
  <c r="M14" i="77"/>
  <c r="K9" i="137"/>
  <c r="K9" i="158"/>
  <c r="D9" i="151"/>
  <c r="K10" i="77"/>
  <c r="D18" i="147"/>
  <c r="H9" i="79"/>
  <c r="N15" i="77"/>
  <c r="K6" i="134"/>
  <c r="K5" i="154"/>
  <c r="F6" i="180"/>
  <c r="J10" i="136"/>
  <c r="J11" i="79"/>
  <c r="D8" i="135"/>
  <c r="G6" i="132"/>
  <c r="F5" i="75"/>
  <c r="F7" i="158"/>
  <c r="F11" i="136"/>
  <c r="J12" i="77"/>
  <c r="H6" i="72"/>
  <c r="N14" i="77"/>
  <c r="M6" i="184"/>
  <c r="F7" i="134"/>
  <c r="M8" i="137"/>
  <c r="J16" i="77"/>
  <c r="L10" i="136"/>
  <c r="M9" i="137"/>
  <c r="L15" i="77"/>
  <c r="K6" i="135"/>
  <c r="M5" i="184"/>
  <c r="J10" i="134"/>
  <c r="H13" i="136"/>
  <c r="F14" i="136"/>
  <c r="D5" i="174"/>
  <c r="K5" i="152"/>
  <c r="G6" i="135"/>
  <c r="D13" i="136"/>
  <c r="K6" i="180"/>
  <c r="H16" i="79"/>
  <c r="L8" i="74"/>
  <c r="D5" i="153"/>
  <c r="D5" i="127"/>
  <c r="D14" i="148"/>
  <c r="F9" i="156"/>
  <c r="D6" i="130"/>
  <c r="K5" i="128"/>
  <c r="M9" i="75"/>
  <c r="M11" i="77"/>
  <c r="D5" i="180"/>
  <c r="N5" i="183"/>
  <c r="L5" i="183"/>
  <c r="D7" i="157"/>
  <c r="L16" i="79"/>
  <c r="H11" i="136"/>
  <c r="N6" i="132"/>
  <c r="F13" i="77"/>
  <c r="M6" i="72"/>
  <c r="N8" i="75"/>
  <c r="H5" i="72"/>
  <c r="L13" i="136"/>
  <c r="J6" i="139"/>
  <c r="F5" i="153"/>
  <c r="D17" i="147"/>
  <c r="M5" i="137"/>
  <c r="K6" i="157"/>
  <c r="H13" i="79"/>
  <c r="L13" i="79"/>
  <c r="H5" i="137"/>
  <c r="M6" i="157"/>
  <c r="D19" i="147"/>
  <c r="M7" i="135"/>
  <c r="L5" i="153"/>
  <c r="J9" i="79"/>
  <c r="M8" i="156"/>
  <c r="K11" i="75"/>
  <c r="F9" i="158"/>
  <c r="F9" i="136"/>
  <c r="N16" i="77"/>
  <c r="L14" i="136"/>
  <c r="F11" i="76"/>
  <c r="N10" i="134"/>
  <c r="J5" i="183"/>
  <c r="M7" i="75"/>
  <c r="D14" i="147"/>
  <c r="L14" i="75"/>
  <c r="F7" i="136"/>
  <c r="G6" i="180"/>
  <c r="N5" i="157"/>
  <c r="L7" i="136"/>
  <c r="F10" i="75"/>
  <c r="K16" i="77"/>
  <c r="L10" i="76"/>
  <c r="M6" i="137"/>
  <c r="D7" i="135"/>
  <c r="G7" i="139"/>
  <c r="N6" i="136"/>
  <c r="D13" i="76"/>
  <c r="L7" i="134"/>
  <c r="D6" i="154"/>
  <c r="D6" i="121"/>
  <c r="D9" i="75"/>
  <c r="N6" i="180"/>
  <c r="H9" i="75"/>
  <c r="J6" i="180"/>
  <c r="J12" i="79"/>
  <c r="M17" i="79"/>
  <c r="F6" i="134"/>
  <c r="F8" i="75"/>
  <c r="D8" i="134"/>
  <c r="J15" i="77"/>
  <c r="J13" i="136"/>
  <c r="D10" i="176"/>
  <c r="D6" i="150"/>
  <c r="L16" i="77"/>
  <c r="F9" i="74"/>
  <c r="H5" i="184"/>
  <c r="L9" i="76"/>
  <c r="H7" i="158"/>
  <c r="D6" i="127"/>
  <c r="K11" i="76"/>
  <c r="L5" i="75"/>
  <c r="D5" i="134"/>
  <c r="F7" i="135"/>
  <c r="F17" i="79"/>
  <c r="G5" i="137"/>
  <c r="G12" i="77"/>
  <c r="K9" i="79"/>
  <c r="K9" i="156"/>
  <c r="K12" i="79"/>
  <c r="D5" i="157"/>
  <c r="N9" i="75"/>
  <c r="K16" i="79"/>
  <c r="L13" i="76"/>
  <c r="D8" i="157"/>
  <c r="M5" i="166"/>
  <c r="D15" i="147"/>
  <c r="M11" i="79"/>
  <c r="L9" i="137"/>
  <c r="D9" i="176"/>
  <c r="L14" i="79"/>
  <c r="D7" i="161"/>
  <c r="N8" i="134"/>
  <c r="D6" i="148"/>
  <c r="D18" i="77"/>
  <c r="L9" i="157"/>
  <c r="G5" i="136"/>
  <c r="J9" i="158"/>
  <c r="H12" i="75"/>
  <c r="H10" i="134"/>
  <c r="G9" i="158"/>
  <c r="L6" i="184"/>
  <c r="K5" i="135"/>
  <c r="D7" i="173"/>
  <c r="H8" i="74"/>
  <c r="N7" i="75"/>
  <c r="J8" i="157"/>
  <c r="D5" i="72"/>
  <c r="D5" i="88"/>
  <c r="M8" i="135"/>
  <c r="D9" i="74"/>
  <c r="D6" i="132"/>
  <c r="D9" i="131"/>
  <c r="K5" i="157"/>
  <c r="L11" i="75"/>
  <c r="L6" i="137"/>
  <c r="N5" i="128"/>
  <c r="L6" i="166"/>
  <c r="D5" i="129"/>
  <c r="F11" i="134"/>
  <c r="G9" i="134"/>
  <c r="N12" i="76"/>
  <c r="F5" i="72"/>
  <c r="N9" i="158"/>
  <c r="N5" i="133"/>
  <c r="J13" i="79"/>
  <c r="G8" i="75"/>
  <c r="G5" i="134"/>
  <c r="G9" i="137"/>
  <c r="D6" i="135"/>
  <c r="F6" i="136"/>
  <c r="L10" i="79"/>
  <c r="H14" i="75"/>
  <c r="K14" i="77"/>
  <c r="H5" i="183"/>
  <c r="L5" i="135"/>
  <c r="G17" i="79"/>
  <c r="N7" i="156"/>
  <c r="F9" i="76"/>
  <c r="N6" i="135"/>
  <c r="H6" i="139"/>
  <c r="G8" i="74"/>
  <c r="D9" i="79"/>
  <c r="K5" i="153"/>
  <c r="K14" i="136"/>
  <c r="M9" i="76"/>
  <c r="D7" i="149"/>
  <c r="M14" i="136"/>
  <c r="D10" i="150"/>
  <c r="M6" i="166"/>
  <c r="D12" i="95"/>
  <c r="D10" i="172"/>
  <c r="G13" i="79"/>
  <c r="D16" i="66"/>
  <c r="K7" i="75"/>
  <c r="F8" i="135"/>
  <c r="H5" i="133"/>
  <c r="K6" i="166"/>
  <c r="H12" i="76"/>
  <c r="N6" i="72"/>
  <c r="L5" i="70"/>
  <c r="F5" i="137"/>
  <c r="J9" i="134"/>
  <c r="K5" i="183"/>
  <c r="D15" i="79"/>
  <c r="N8" i="158"/>
  <c r="D6" i="162"/>
  <c r="F8" i="74"/>
  <c r="F9" i="75"/>
  <c r="D6" i="131"/>
  <c r="L5" i="136"/>
  <c r="D9" i="150"/>
  <c r="F5" i="155"/>
  <c r="G5" i="180"/>
  <c r="L6" i="75"/>
  <c r="D6" i="71"/>
  <c r="D10" i="149"/>
  <c r="D8" i="125"/>
  <c r="D7" i="121"/>
  <c r="K9" i="157"/>
  <c r="L7" i="158"/>
  <c r="L11" i="79"/>
  <c r="L12" i="75"/>
  <c r="H5" i="128"/>
  <c r="L8" i="156"/>
  <c r="L11" i="134"/>
  <c r="J5" i="72"/>
  <c r="K8" i="137"/>
  <c r="G6" i="184"/>
  <c r="D7" i="126"/>
  <c r="G11" i="77"/>
  <c r="K10" i="134"/>
  <c r="F12" i="79"/>
  <c r="D7" i="136"/>
  <c r="J19" i="77"/>
  <c r="D8" i="147"/>
  <c r="K11" i="79"/>
  <c r="F5" i="136"/>
  <c r="K5" i="72"/>
  <c r="N9" i="156"/>
  <c r="D6" i="151"/>
  <c r="M5" i="70"/>
  <c r="F15" i="77"/>
  <c r="F5" i="128"/>
  <c r="G14" i="75"/>
  <c r="N8" i="136"/>
  <c r="J7" i="137"/>
  <c r="D17" i="79"/>
  <c r="G12" i="75"/>
  <c r="M14" i="75"/>
  <c r="K6" i="132"/>
  <c r="D9" i="156"/>
  <c r="F6" i="135"/>
  <c r="G5" i="154"/>
  <c r="K10" i="136"/>
  <c r="F5" i="134"/>
  <c r="D10" i="161"/>
  <c r="D11" i="146"/>
  <c r="D12" i="90"/>
  <c r="D12" i="98"/>
  <c r="D8" i="146"/>
  <c r="M5" i="128"/>
  <c r="D20" i="147"/>
  <c r="L7" i="135"/>
  <c r="N18" i="77"/>
  <c r="N11" i="76"/>
  <c r="D8" i="162"/>
  <c r="N5" i="135"/>
  <c r="K7" i="184"/>
  <c r="J7" i="135"/>
  <c r="L7" i="157"/>
  <c r="D5" i="170"/>
  <c r="L5" i="184"/>
  <c r="K9" i="135"/>
  <c r="H6" i="135"/>
  <c r="D16" i="148"/>
  <c r="D5" i="154"/>
  <c r="D7" i="164"/>
  <c r="F7" i="139"/>
  <c r="D17" i="148"/>
  <c r="H14" i="79"/>
  <c r="K6" i="72"/>
  <c r="L20" i="77"/>
  <c r="N8" i="137"/>
  <c r="D10" i="148"/>
  <c r="D13" i="79"/>
  <c r="N17" i="79"/>
  <c r="D8" i="126"/>
  <c r="J9" i="157"/>
  <c r="L6" i="136"/>
  <c r="D8" i="75"/>
  <c r="L6" i="135"/>
  <c r="G11" i="136"/>
  <c r="G12" i="79"/>
  <c r="D8" i="161"/>
  <c r="F19" i="77"/>
  <c r="D10" i="76"/>
  <c r="N10" i="77"/>
  <c r="L5" i="137"/>
  <c r="G6" i="72"/>
  <c r="N14" i="136"/>
  <c r="D12" i="67"/>
  <c r="D7" i="97"/>
  <c r="D7" i="81"/>
  <c r="N8" i="156"/>
  <c r="L5" i="180"/>
  <c r="J16" i="79"/>
  <c r="L12" i="136"/>
  <c r="M13" i="79"/>
  <c r="M8" i="74"/>
  <c r="J11" i="76"/>
  <c r="H12" i="77"/>
  <c r="J5" i="184"/>
  <c r="G8" i="137"/>
  <c r="H9" i="136"/>
  <c r="K7" i="137"/>
  <c r="N9" i="157"/>
  <c r="L6" i="154"/>
  <c r="F6" i="75"/>
  <c r="M6" i="71"/>
  <c r="M10" i="79"/>
  <c r="K9" i="75"/>
  <c r="D5" i="100"/>
  <c r="L13" i="77"/>
  <c r="D8" i="137"/>
  <c r="D7" i="150"/>
  <c r="D11" i="172"/>
  <c r="D15" i="66"/>
  <c r="G5" i="153"/>
  <c r="N7" i="137"/>
  <c r="K5" i="136"/>
  <c r="G15" i="77"/>
  <c r="N5" i="154"/>
  <c r="N12" i="75"/>
  <c r="G9" i="79"/>
  <c r="G10" i="136"/>
  <c r="H8" i="75"/>
  <c r="D12" i="79"/>
  <c r="J8" i="137"/>
  <c r="H8" i="157"/>
  <c r="H5" i="180"/>
  <c r="J12" i="76"/>
  <c r="H5" i="157"/>
  <c r="H5" i="153"/>
  <c r="D13" i="66"/>
  <c r="M13" i="77"/>
  <c r="J9" i="75"/>
  <c r="K6" i="139"/>
  <c r="N6" i="134"/>
  <c r="K8" i="75"/>
  <c r="K7" i="156"/>
  <c r="D5" i="149"/>
  <c r="D14" i="150"/>
  <c r="D6" i="176"/>
  <c r="H7" i="156"/>
  <c r="D5" i="110"/>
  <c r="D19" i="77"/>
  <c r="M6" i="134"/>
  <c r="D6" i="172"/>
  <c r="L5" i="139"/>
  <c r="D5" i="172"/>
  <c r="M12" i="75"/>
  <c r="F12" i="75"/>
  <c r="G16" i="79"/>
  <c r="G14" i="136"/>
  <c r="D10" i="136"/>
  <c r="H15" i="77"/>
  <c r="L14" i="77"/>
  <c r="F7" i="156"/>
  <c r="M9" i="74"/>
  <c r="G9" i="75"/>
  <c r="L12" i="79"/>
  <c r="K8" i="134"/>
  <c r="L11" i="77"/>
  <c r="K9" i="136"/>
  <c r="N13" i="136"/>
  <c r="M12" i="79"/>
  <c r="K12" i="75"/>
  <c r="D9" i="76"/>
  <c r="G11" i="76"/>
  <c r="L11" i="136"/>
  <c r="M12" i="136"/>
  <c r="K20" i="77"/>
  <c r="L6" i="180"/>
  <c r="G5" i="128"/>
  <c r="L8" i="137"/>
  <c r="H5" i="136"/>
  <c r="D5" i="102"/>
  <c r="L15" i="79"/>
  <c r="D8" i="150"/>
  <c r="D7" i="184"/>
  <c r="D13" i="151"/>
  <c r="N16" i="79"/>
  <c r="D5" i="70"/>
  <c r="D7" i="156"/>
  <c r="K13" i="136"/>
  <c r="N5" i="72"/>
  <c r="H6" i="132"/>
  <c r="G6" i="134"/>
  <c r="H12" i="79"/>
  <c r="D5" i="150"/>
  <c r="J5" i="137"/>
  <c r="F10" i="134"/>
  <c r="L7" i="139"/>
  <c r="D7" i="134"/>
  <c r="M9" i="136"/>
  <c r="N7" i="139"/>
  <c r="J5" i="134"/>
  <c r="D5" i="164"/>
  <c r="J6" i="135"/>
  <c r="N10" i="76"/>
  <c r="N10" i="136"/>
  <c r="D18" i="66"/>
  <c r="H5" i="134"/>
  <c r="K15" i="77"/>
  <c r="L5" i="71"/>
  <c r="D12" i="76"/>
  <c r="J14" i="75"/>
  <c r="D8" i="121"/>
  <c r="D12" i="84"/>
  <c r="D5" i="155"/>
  <c r="J5" i="128"/>
  <c r="D7" i="165"/>
  <c r="D16" i="149"/>
  <c r="M10" i="136"/>
  <c r="D10" i="67"/>
  <c r="D11" i="149"/>
  <c r="D12" i="151"/>
  <c r="J12" i="75"/>
  <c r="F12" i="77"/>
  <c r="N5" i="180"/>
  <c r="F16" i="77"/>
  <c r="K10" i="76"/>
  <c r="M18" i="77"/>
  <c r="L22" i="69"/>
  <c r="D14" i="136"/>
  <c r="H20" i="77"/>
  <c r="D20" i="66"/>
  <c r="G9" i="157"/>
  <c r="M9" i="158"/>
  <c r="N5" i="134"/>
  <c r="K7" i="135"/>
  <c r="L5" i="134"/>
  <c r="F9" i="137"/>
  <c r="D6" i="149"/>
  <c r="F8" i="156"/>
  <c r="M12" i="76"/>
  <c r="F9" i="157"/>
  <c r="D18" i="148"/>
  <c r="D5" i="125"/>
  <c r="J14" i="136"/>
  <c r="J8" i="158"/>
  <c r="M8" i="75"/>
  <c r="D7" i="162"/>
  <c r="G13" i="136"/>
  <c r="N8" i="157"/>
  <c r="D8" i="172"/>
  <c r="M6" i="154"/>
  <c r="J7" i="158"/>
  <c r="G7" i="158"/>
  <c r="D6" i="125"/>
  <c r="F11" i="77"/>
  <c r="K6" i="136"/>
  <c r="N19" i="77"/>
  <c r="H8" i="158"/>
  <c r="M13" i="136"/>
  <c r="H6" i="136"/>
  <c r="M10" i="134"/>
  <c r="F8" i="137"/>
  <c r="G14" i="79"/>
  <c r="M16" i="79"/>
  <c r="L6" i="157"/>
  <c r="J7" i="139"/>
  <c r="L5" i="154"/>
  <c r="D5" i="130"/>
  <c r="D20" i="56"/>
  <c r="D11" i="151"/>
  <c r="N5" i="184"/>
  <c r="D16" i="77"/>
  <c r="D8" i="149"/>
  <c r="D5" i="175"/>
  <c r="L8" i="157"/>
  <c r="K9" i="134"/>
  <c r="D11" i="66"/>
  <c r="F5" i="184"/>
  <c r="F5" i="183"/>
  <c r="N9" i="79"/>
  <c r="J6" i="134"/>
  <c r="D5" i="162"/>
  <c r="N9" i="136"/>
  <c r="G16" i="77"/>
  <c r="D6" i="124"/>
  <c r="N9" i="135"/>
  <c r="H7" i="139"/>
  <c r="M5" i="153"/>
  <c r="N5" i="153"/>
  <c r="N13" i="79"/>
  <c r="J6" i="132"/>
  <c r="N11" i="77"/>
  <c r="D17" i="77"/>
  <c r="J5" i="157"/>
  <c r="M8" i="158"/>
  <c r="L7" i="75"/>
  <c r="K5" i="180"/>
  <c r="N12" i="79"/>
  <c r="F13" i="76"/>
  <c r="F12" i="76"/>
  <c r="L8" i="134"/>
  <c r="M5" i="71"/>
  <c r="L5" i="157"/>
  <c r="D12" i="147"/>
  <c r="M6" i="136"/>
  <c r="L9" i="156"/>
  <c r="J20" i="77"/>
  <c r="D5" i="133"/>
  <c r="G5" i="133"/>
  <c r="K11" i="77"/>
  <c r="M19" i="77"/>
  <c r="N14" i="75"/>
  <c r="F14" i="75"/>
  <c r="M9" i="156"/>
  <c r="F6" i="154"/>
  <c r="L5" i="152"/>
  <c r="D6" i="139"/>
  <c r="D10" i="79"/>
  <c r="K12" i="76"/>
  <c r="D19" i="149"/>
  <c r="N6" i="139"/>
  <c r="J8" i="74"/>
  <c r="H9" i="158"/>
  <c r="D10" i="134"/>
  <c r="F6" i="157"/>
  <c r="L9" i="134"/>
  <c r="K19" i="77"/>
  <c r="D9" i="161"/>
  <c r="N11" i="79"/>
  <c r="D9" i="67"/>
  <c r="D8" i="107"/>
  <c r="M11" i="75"/>
  <c r="D11" i="75"/>
  <c r="D5" i="151"/>
  <c r="D22" i="69"/>
  <c r="D12" i="77"/>
  <c r="G5" i="184"/>
  <c r="K8" i="157"/>
  <c r="D5" i="146"/>
  <c r="M11" i="76"/>
  <c r="D17" i="149"/>
  <c r="L11" i="76"/>
  <c r="J11" i="77"/>
  <c r="M5" i="154"/>
  <c r="D5" i="159"/>
  <c r="D11" i="136"/>
  <c r="M16" i="77"/>
  <c r="L17" i="79"/>
  <c r="D5" i="167"/>
  <c r="M14" i="79"/>
  <c r="J5" i="136"/>
  <c r="D12" i="94"/>
  <c r="H7" i="135"/>
  <c r="L7" i="137"/>
  <c r="D6" i="92"/>
  <c r="F5" i="133"/>
  <c r="D9" i="135"/>
  <c r="M5" i="133"/>
  <c r="K8" i="158"/>
  <c r="L18" i="77"/>
  <c r="H19" i="77"/>
  <c r="M5" i="75"/>
  <c r="D6" i="137"/>
  <c r="M7" i="158"/>
  <c r="D6" i="180"/>
  <c r="M13" i="76"/>
  <c r="D5" i="176"/>
  <c r="L12" i="77"/>
  <c r="M9" i="157"/>
  <c r="D14" i="77"/>
  <c r="D7" i="75"/>
  <c r="N7" i="158"/>
  <c r="M7" i="137"/>
  <c r="K5" i="184"/>
  <c r="H10" i="136"/>
  <c r="D5" i="71"/>
  <c r="G7" i="137"/>
  <c r="M7" i="184"/>
  <c r="K5" i="75"/>
  <c r="N7" i="184"/>
  <c r="F9" i="79"/>
  <c r="M12" i="77"/>
  <c r="J17" i="79"/>
  <c r="N12" i="77"/>
  <c r="F16" i="79"/>
  <c r="H7" i="137"/>
  <c r="D5" i="163"/>
  <c r="H16" i="77"/>
  <c r="H6" i="184"/>
  <c r="D11" i="79"/>
  <c r="H6" i="134"/>
  <c r="K14" i="75"/>
  <c r="N6" i="166"/>
  <c r="J6" i="72"/>
  <c r="F9" i="134"/>
  <c r="L19" i="77"/>
  <c r="L17" i="77"/>
  <c r="M8" i="134"/>
  <c r="M10" i="77"/>
  <c r="D16" i="79"/>
  <c r="G7" i="136"/>
  <c r="L5" i="128"/>
  <c r="M5" i="136"/>
  <c r="D7" i="137"/>
  <c r="N5" i="136"/>
  <c r="M10" i="75"/>
  <c r="L6" i="72"/>
  <c r="H9" i="137"/>
  <c r="M8" i="157"/>
  <c r="M5" i="155"/>
  <c r="H9" i="134"/>
  <c r="G12" i="76"/>
  <c r="H8" i="156"/>
  <c r="N5" i="75"/>
  <c r="H7" i="184"/>
  <c r="J8" i="75"/>
  <c r="D7" i="67"/>
  <c r="M5" i="152"/>
  <c r="M17" i="77"/>
  <c r="H8" i="137"/>
  <c r="D8" i="148"/>
  <c r="H5" i="154"/>
  <c r="F5" i="180"/>
  <c r="G8" i="156"/>
  <c r="F14" i="79"/>
  <c r="G6" i="157"/>
  <c r="L8" i="75"/>
  <c r="D7" i="139"/>
  <c r="D5" i="139"/>
  <c r="L5" i="133"/>
  <c r="D12" i="75"/>
  <c r="D5" i="135"/>
  <c r="M5" i="135"/>
  <c r="L9" i="135"/>
  <c r="M5" i="134"/>
  <c r="M5" i="72"/>
  <c r="M5" i="183"/>
  <c r="K12" i="77"/>
  <c r="J9" i="137"/>
  <c r="D8" i="156"/>
  <c r="F5" i="166"/>
  <c r="K18" i="77"/>
  <c r="M22" i="69"/>
  <c r="D6" i="184"/>
  <c r="K5" i="133"/>
  <c r="M7" i="156"/>
  <c r="D14" i="79"/>
  <c r="H9" i="157"/>
  <c r="M8" i="136"/>
  <c r="N5" i="152"/>
  <c r="M9" i="79"/>
  <c r="N9" i="134"/>
  <c r="N8" i="74"/>
  <c r="D11" i="134"/>
  <c r="D6" i="72"/>
  <c r="K17" i="79"/>
  <c r="F5" i="157"/>
  <c r="D13" i="146"/>
  <c r="D7" i="125"/>
  <c r="G6" i="136"/>
  <c r="G20" i="77"/>
  <c r="N7" i="135"/>
  <c r="M7" i="136"/>
  <c r="F17" i="77"/>
  <c r="D13" i="77"/>
  <c r="F6" i="72"/>
  <c r="K13" i="79"/>
  <c r="L9" i="74"/>
  <c r="G8" i="158"/>
  <c r="F13" i="136"/>
  <c r="L12" i="76"/>
  <c r="D16" i="147"/>
  <c r="F5" i="154"/>
  <c r="L9" i="136"/>
  <c r="G19" i="77"/>
  <c r="K7" i="139"/>
  <c r="H11" i="76"/>
  <c r="N11" i="75"/>
  <c r="F13" i="79"/>
  <c r="J6" i="136"/>
  <c r="D5" i="152"/>
  <c r="H11" i="77"/>
  <c r="K8" i="74"/>
  <c r="H5" i="75"/>
  <c r="H14" i="136"/>
  <c r="G5" i="72"/>
  <c r="D12" i="136"/>
  <c r="D9" i="136"/>
  <c r="J5" i="153"/>
  <c r="G5" i="75"/>
  <c r="J5" i="75"/>
  <c r="G7" i="135"/>
  <c r="F20" i="77"/>
  <c r="J5" i="133"/>
  <c r="D10" i="66"/>
  <c r="J5" i="154"/>
  <c r="J9" i="136"/>
  <c r="L8" i="136"/>
  <c r="H6" i="180"/>
  <c r="L6" i="71"/>
  <c r="F10" i="136"/>
  <c r="M15" i="77"/>
  <c r="G10" i="134"/>
  <c r="K5" i="134"/>
  <c r="P11" i="161"/>
  <c r="Q11" i="161" s="1"/>
  <c r="P7" i="184"/>
  <c r="Q7" i="184" s="1"/>
  <c r="P5" i="184"/>
  <c r="Q5" i="184" s="1"/>
  <c r="P6" i="184"/>
  <c r="Q6" i="184" s="1"/>
  <c r="K5" i="70"/>
  <c r="F5" i="71"/>
  <c r="G6" i="71"/>
  <c r="H5" i="71"/>
  <c r="F22" i="69"/>
  <c r="J22" i="69"/>
  <c r="J5" i="71"/>
  <c r="H6" i="71"/>
  <c r="J6" i="71"/>
  <c r="H5" i="70"/>
  <c r="K5" i="71"/>
  <c r="N5" i="70"/>
  <c r="G5" i="71"/>
  <c r="F6" i="71"/>
  <c r="F5" i="70"/>
  <c r="G5" i="70"/>
  <c r="N6" i="71"/>
  <c r="K6" i="71"/>
  <c r="N22" i="69"/>
  <c r="K22" i="69"/>
  <c r="G22" i="69"/>
  <c r="N5" i="71"/>
  <c r="H22" i="69"/>
  <c r="J5" i="70"/>
  <c r="P5" i="183"/>
  <c r="Q5" i="183" s="1"/>
  <c r="P9" i="131"/>
  <c r="Q9" i="131" s="1"/>
  <c r="P5" i="138"/>
  <c r="Q5" i="138" s="1"/>
  <c r="Q10" i="138" s="1"/>
  <c r="P8" i="152"/>
  <c r="Q8" i="152" s="1"/>
  <c r="P7" i="152"/>
  <c r="Q7" i="152" s="1"/>
  <c r="P9" i="153"/>
  <c r="Q9" i="153" s="1"/>
  <c r="P21" i="141"/>
  <c r="Q21" i="141" s="1"/>
  <c r="P9" i="152"/>
  <c r="Q9" i="152" s="1"/>
  <c r="P7" i="153"/>
  <c r="Q7" i="153" s="1"/>
  <c r="P17" i="141"/>
  <c r="Q17" i="141" s="1"/>
  <c r="P7" i="62"/>
  <c r="Q7" i="62" s="1"/>
  <c r="P18" i="141"/>
  <c r="Q18" i="141" s="1"/>
  <c r="P8" i="153"/>
  <c r="Q8" i="153" s="1"/>
  <c r="P6" i="182"/>
  <c r="Q6" i="182" s="1"/>
  <c r="Q17" i="182" s="1"/>
  <c r="P6" i="181"/>
  <c r="Q6" i="181" s="1"/>
  <c r="Q17" i="181" s="1"/>
  <c r="P6" i="180"/>
  <c r="Q6" i="180" s="1"/>
  <c r="P5" i="180"/>
  <c r="Q5" i="180" s="1"/>
  <c r="P8" i="178"/>
  <c r="Q8" i="178" s="1"/>
  <c r="P12" i="178"/>
  <c r="Q12" i="178" s="1"/>
  <c r="P20" i="177"/>
  <c r="Q20" i="177" s="1"/>
  <c r="P7" i="177"/>
  <c r="Q7" i="177" s="1"/>
  <c r="P11" i="177"/>
  <c r="Q11" i="177" s="1"/>
  <c r="P5" i="178"/>
  <c r="Q5" i="178" s="1"/>
  <c r="P14" i="177"/>
  <c r="Q14" i="177" s="1"/>
  <c r="P18" i="177"/>
  <c r="Q18" i="177" s="1"/>
  <c r="P19" i="178"/>
  <c r="Q19" i="178" s="1"/>
  <c r="P12" i="177"/>
  <c r="Q12" i="177" s="1"/>
  <c r="P10" i="177"/>
  <c r="Q10" i="177" s="1"/>
  <c r="P5" i="177"/>
  <c r="Q5" i="177" s="1"/>
  <c r="P7" i="179"/>
  <c r="Q7" i="179" s="1"/>
  <c r="P20" i="178"/>
  <c r="Q20" i="178" s="1"/>
  <c r="P17" i="178"/>
  <c r="Q17" i="178" s="1"/>
  <c r="P5" i="179"/>
  <c r="Q5" i="179" s="1"/>
  <c r="P6" i="178"/>
  <c r="Q6" i="178" s="1"/>
  <c r="P18" i="178"/>
  <c r="Q18" i="178" s="1"/>
  <c r="P6" i="179"/>
  <c r="Q6" i="179" s="1"/>
  <c r="P9" i="177"/>
  <c r="Q9" i="177" s="1"/>
  <c r="P15" i="178"/>
  <c r="Q15" i="178" s="1"/>
  <c r="P16" i="177"/>
  <c r="Q16" i="177" s="1"/>
  <c r="P9" i="179"/>
  <c r="Q9" i="179" s="1"/>
  <c r="P10" i="178"/>
  <c r="Q10" i="178" s="1"/>
  <c r="P14" i="178"/>
  <c r="Q14" i="178" s="1"/>
  <c r="P6" i="177"/>
  <c r="Q6" i="177" s="1"/>
  <c r="P11" i="178"/>
  <c r="Q11" i="178" s="1"/>
  <c r="P9" i="178"/>
  <c r="Q9" i="178" s="1"/>
  <c r="P16" i="178"/>
  <c r="Q16" i="178" s="1"/>
  <c r="P13" i="177"/>
  <c r="Q13" i="177" s="1"/>
  <c r="P17" i="177"/>
  <c r="Q17" i="177" s="1"/>
  <c r="P15" i="177"/>
  <c r="Q15" i="177" s="1"/>
  <c r="P19" i="177"/>
  <c r="Q19" i="177" s="1"/>
  <c r="P7" i="178"/>
  <c r="Q7" i="178" s="1"/>
  <c r="P8" i="179"/>
  <c r="Q8" i="179" s="1"/>
  <c r="P13" i="178"/>
  <c r="Q13" i="178" s="1"/>
  <c r="P8" i="177"/>
  <c r="Q8" i="177" s="1"/>
  <c r="P9" i="176"/>
  <c r="Q9" i="176" s="1"/>
  <c r="P6" i="176"/>
  <c r="Q6" i="176" s="1"/>
  <c r="P8" i="175"/>
  <c r="Q8" i="175" s="1"/>
  <c r="P6" i="175"/>
  <c r="Q6" i="175" s="1"/>
  <c r="P9" i="175"/>
  <c r="Q9" i="175" s="1"/>
  <c r="P7" i="175"/>
  <c r="Q7" i="175" s="1"/>
  <c r="P5" i="175"/>
  <c r="Q5" i="175" s="1"/>
  <c r="P10" i="176"/>
  <c r="Q10" i="176" s="1"/>
  <c r="P7" i="176"/>
  <c r="Q7" i="176" s="1"/>
  <c r="P8" i="176"/>
  <c r="Q8" i="176" s="1"/>
  <c r="P5" i="176"/>
  <c r="Q5" i="176" s="1"/>
  <c r="P5" i="174"/>
  <c r="Q5" i="174" s="1"/>
  <c r="P6" i="172"/>
  <c r="Q6" i="172" s="1"/>
  <c r="P10" i="172"/>
  <c r="Q10" i="172" s="1"/>
  <c r="P7" i="172"/>
  <c r="Q7" i="172" s="1"/>
  <c r="P8" i="173"/>
  <c r="Q8" i="173" s="1"/>
  <c r="P6" i="173"/>
  <c r="Q6" i="173" s="1"/>
  <c r="P11" i="172"/>
  <c r="Q11" i="172" s="1"/>
  <c r="P7" i="173"/>
  <c r="Q7" i="173" s="1"/>
  <c r="P8" i="172"/>
  <c r="Q8" i="172" s="1"/>
  <c r="P9" i="173"/>
  <c r="Q9" i="173" s="1"/>
  <c r="P12" i="172"/>
  <c r="Q12" i="172" s="1"/>
  <c r="P5" i="172"/>
  <c r="Q5" i="172" s="1"/>
  <c r="P9" i="172"/>
  <c r="Q9" i="172" s="1"/>
  <c r="P13" i="172"/>
  <c r="Q13" i="172" s="1"/>
  <c r="P5" i="170"/>
  <c r="Q5" i="170" s="1"/>
  <c r="F69" i="30"/>
  <c r="P41" i="63" s="1"/>
  <c r="F25" i="30"/>
  <c r="P29" i="55" s="1"/>
  <c r="Q29" i="55" s="1"/>
  <c r="F43" i="30"/>
  <c r="P34" i="69" s="1"/>
  <c r="Q34" i="69" s="1"/>
  <c r="Q45" i="69"/>
  <c r="F45" i="30"/>
  <c r="P44" i="69" s="1"/>
  <c r="Q44" i="69" s="1"/>
  <c r="F59" i="30"/>
  <c r="F82" i="30"/>
  <c r="P38" i="69" s="1"/>
  <c r="F24" i="30"/>
  <c r="P36" i="63" s="1"/>
  <c r="Q36" i="63" s="1"/>
  <c r="F37" i="30"/>
  <c r="P39" i="63" s="1"/>
  <c r="Q39" i="63" s="1"/>
  <c r="F46" i="30"/>
  <c r="P45" i="63" s="1"/>
  <c r="Q45" i="63" s="1"/>
  <c r="F42" i="30"/>
  <c r="P28" i="55" s="1"/>
  <c r="Q28" i="55" s="1"/>
  <c r="F56" i="30"/>
  <c r="P42" i="69" s="1"/>
  <c r="Q42" i="69" s="1"/>
  <c r="F64" i="30"/>
  <c r="P36" i="69" s="1"/>
  <c r="Q36" i="69" s="1"/>
  <c r="F71" i="30"/>
  <c r="P41" i="69" s="1"/>
  <c r="Q41" i="69" s="1"/>
  <c r="F83" i="30"/>
  <c r="P39" i="69" s="1"/>
  <c r="F50" i="30"/>
  <c r="P50" i="67" s="1"/>
  <c r="Q50" i="67" s="1"/>
  <c r="F28" i="30"/>
  <c r="P38" i="63" s="1"/>
  <c r="Q38" i="63" s="1"/>
  <c r="Q47" i="99"/>
  <c r="F70" i="30"/>
  <c r="F38" i="30"/>
  <c r="P40" i="63" s="1"/>
  <c r="Q40" i="63" s="1"/>
  <c r="P5" i="167"/>
  <c r="Q5" i="167" s="1"/>
  <c r="Q29" i="167" s="1"/>
  <c r="P5" i="166"/>
  <c r="Q5" i="166" s="1"/>
  <c r="P6" i="166"/>
  <c r="Q6" i="166" s="1"/>
  <c r="P6" i="165"/>
  <c r="Q6" i="165" s="1"/>
  <c r="P7" i="165"/>
  <c r="Q7" i="165" s="1"/>
  <c r="P7" i="162"/>
  <c r="Q7" i="162" s="1"/>
  <c r="P5" i="164"/>
  <c r="Q5" i="164" s="1"/>
  <c r="P5" i="163"/>
  <c r="Q5" i="163" s="1"/>
  <c r="Q17" i="163" s="1"/>
  <c r="P8" i="162"/>
  <c r="Q8" i="162" s="1"/>
  <c r="P6" i="162"/>
  <c r="Q6" i="162" s="1"/>
  <c r="P5" i="165"/>
  <c r="Q5" i="165" s="1"/>
  <c r="P6" i="164"/>
  <c r="Q6" i="164" s="1"/>
  <c r="P5" i="162"/>
  <c r="Q5" i="162" s="1"/>
  <c r="P7" i="164"/>
  <c r="Q7" i="164" s="1"/>
  <c r="P12" i="90"/>
  <c r="Q12" i="90" s="1"/>
  <c r="P7" i="161"/>
  <c r="Q7" i="161" s="1"/>
  <c r="P10" i="161"/>
  <c r="Q10" i="161" s="1"/>
  <c r="P8" i="161"/>
  <c r="Q8" i="161" s="1"/>
  <c r="P5" i="159"/>
  <c r="Q5" i="159" s="1"/>
  <c r="Q13" i="159" s="1"/>
  <c r="P5" i="160"/>
  <c r="Q5" i="160" s="1"/>
  <c r="P9" i="161"/>
  <c r="Q9" i="161" s="1"/>
  <c r="P6" i="161"/>
  <c r="Q6" i="161" s="1"/>
  <c r="P5" i="161"/>
  <c r="Q5" i="161" s="1"/>
  <c r="P19" i="55"/>
  <c r="Q19" i="55" s="1"/>
  <c r="P6" i="153"/>
  <c r="Q6" i="153" s="1"/>
  <c r="P6" i="152"/>
  <c r="Q6" i="152" s="1"/>
  <c r="P8" i="158"/>
  <c r="Q8" i="158" s="1"/>
  <c r="P8" i="156"/>
  <c r="Q8" i="156" s="1"/>
  <c r="P5" i="152"/>
  <c r="Q5" i="152" s="1"/>
  <c r="P5" i="153"/>
  <c r="Q5" i="153" s="1"/>
  <c r="P5" i="157"/>
  <c r="Q5" i="157" s="1"/>
  <c r="P7" i="158"/>
  <c r="Q7" i="158" s="1"/>
  <c r="P7" i="156"/>
  <c r="Q7" i="156" s="1"/>
  <c r="P7" i="157"/>
  <c r="Q7" i="157" s="1"/>
  <c r="P6" i="154"/>
  <c r="Q6" i="154" s="1"/>
  <c r="P6" i="158"/>
  <c r="Q6" i="158" s="1"/>
  <c r="P6" i="156"/>
  <c r="Q6" i="156" s="1"/>
  <c r="P5" i="158"/>
  <c r="Q5" i="158" s="1"/>
  <c r="P5" i="156"/>
  <c r="Q5" i="156" s="1"/>
  <c r="P6" i="157"/>
  <c r="Q6" i="157" s="1"/>
  <c r="P9" i="156"/>
  <c r="Q9" i="156" s="1"/>
  <c r="P8" i="157"/>
  <c r="Q8" i="157" s="1"/>
  <c r="P9" i="157"/>
  <c r="Q9" i="157" s="1"/>
  <c r="P5" i="155"/>
  <c r="Q5" i="155" s="1"/>
  <c r="P9" i="158"/>
  <c r="Q9" i="158" s="1"/>
  <c r="P5" i="154"/>
  <c r="Q5" i="154" s="1"/>
  <c r="P5" i="151"/>
  <c r="Q5" i="151" s="1"/>
  <c r="P12" i="150"/>
  <c r="Q12" i="150" s="1"/>
  <c r="P6" i="150"/>
  <c r="Q6" i="150" s="1"/>
  <c r="P12" i="151"/>
  <c r="Q12" i="151" s="1"/>
  <c r="P8" i="150"/>
  <c r="Q8" i="150" s="1"/>
  <c r="P8" i="151"/>
  <c r="Q8" i="151" s="1"/>
  <c r="P10" i="151"/>
  <c r="Q10" i="151" s="1"/>
  <c r="P13" i="151"/>
  <c r="Q13" i="151" s="1"/>
  <c r="P7" i="150"/>
  <c r="Q7" i="150" s="1"/>
  <c r="P7" i="151"/>
  <c r="Q7" i="151" s="1"/>
  <c r="P14" i="150"/>
  <c r="Q14" i="150" s="1"/>
  <c r="P11" i="151"/>
  <c r="Q11" i="151" s="1"/>
  <c r="P9" i="151"/>
  <c r="Q9" i="151" s="1"/>
  <c r="P10" i="150"/>
  <c r="Q10" i="150" s="1"/>
  <c r="P13" i="150"/>
  <c r="Q13" i="150" s="1"/>
  <c r="P5" i="150"/>
  <c r="Q5" i="150" s="1"/>
  <c r="P6" i="151"/>
  <c r="Q6" i="151" s="1"/>
  <c r="P11" i="150"/>
  <c r="Q11" i="150" s="1"/>
  <c r="P9" i="150"/>
  <c r="Q9" i="150" s="1"/>
  <c r="C3" i="14"/>
  <c r="P7" i="148"/>
  <c r="Q7" i="148" s="1"/>
  <c r="P11" i="148"/>
  <c r="Q11" i="148" s="1"/>
  <c r="P11" i="146"/>
  <c r="Q11" i="146" s="1"/>
  <c r="P14" i="147"/>
  <c r="Q14" i="147" s="1"/>
  <c r="P19" i="148"/>
  <c r="Q19" i="148" s="1"/>
  <c r="P10" i="148"/>
  <c r="Q10" i="148" s="1"/>
  <c r="P16" i="147"/>
  <c r="Q16" i="147" s="1"/>
  <c r="P17" i="147"/>
  <c r="Q17" i="147" s="1"/>
  <c r="P6" i="148"/>
  <c r="Q6" i="148" s="1"/>
  <c r="P5" i="148"/>
  <c r="Q5" i="148" s="1"/>
  <c r="P14" i="148"/>
  <c r="Q14" i="148" s="1"/>
  <c r="P9" i="148"/>
  <c r="Q9" i="148" s="1"/>
  <c r="P8" i="147"/>
  <c r="Q8" i="147" s="1"/>
  <c r="P13" i="148"/>
  <c r="Q13" i="148" s="1"/>
  <c r="P15" i="148"/>
  <c r="Q15" i="148" s="1"/>
  <c r="P17" i="148"/>
  <c r="Q17" i="148" s="1"/>
  <c r="P16" i="148"/>
  <c r="Q16" i="148" s="1"/>
  <c r="P20" i="147"/>
  <c r="Q20" i="147" s="1"/>
  <c r="P6" i="149"/>
  <c r="Q6" i="149" s="1"/>
  <c r="P18" i="147"/>
  <c r="Q18" i="147" s="1"/>
  <c r="P8" i="148"/>
  <c r="Q8" i="148" s="1"/>
  <c r="P5" i="149"/>
  <c r="Q5" i="149" s="1"/>
  <c r="P12" i="148"/>
  <c r="Q12" i="148" s="1"/>
  <c r="P12" i="146"/>
  <c r="Q12" i="146" s="1"/>
  <c r="P8" i="146"/>
  <c r="Q8" i="146" s="1"/>
  <c r="P5" i="146"/>
  <c r="Q5" i="146" s="1"/>
  <c r="P7" i="146"/>
  <c r="Q7" i="146" s="1"/>
  <c r="P19" i="141"/>
  <c r="Q19" i="141" s="1"/>
  <c r="P20" i="141"/>
  <c r="Q20" i="141" s="1"/>
  <c r="P10" i="147"/>
  <c r="Q10" i="147" s="1"/>
  <c r="P11" i="147"/>
  <c r="Q11" i="147" s="1"/>
  <c r="P9" i="146"/>
  <c r="Q9" i="146" s="1"/>
  <c r="P10" i="146"/>
  <c r="Q10" i="146" s="1"/>
  <c r="P14" i="143"/>
  <c r="Q14" i="143" s="1"/>
  <c r="P6" i="146"/>
  <c r="Q6" i="146" s="1"/>
  <c r="P18" i="148"/>
  <c r="Q18" i="148" s="1"/>
  <c r="P12" i="147"/>
  <c r="Q12" i="147" s="1"/>
  <c r="P13" i="147"/>
  <c r="Q13" i="147" s="1"/>
  <c r="P13" i="143"/>
  <c r="Q13" i="143" s="1"/>
  <c r="P19" i="147"/>
  <c r="Q19" i="147" s="1"/>
  <c r="P9" i="147"/>
  <c r="Q9" i="147" s="1"/>
  <c r="P12" i="143"/>
  <c r="Q12" i="143" s="1"/>
  <c r="P14" i="142"/>
  <c r="Q14" i="142" s="1"/>
  <c r="P14" i="146"/>
  <c r="Q14" i="146" s="1"/>
  <c r="P15" i="147"/>
  <c r="Q15" i="147" s="1"/>
  <c r="P13" i="146"/>
  <c r="Q13" i="146" s="1"/>
  <c r="P5" i="147"/>
  <c r="Q5" i="147" s="1"/>
  <c r="P12" i="141"/>
  <c r="Q12" i="141" s="1"/>
  <c r="P12" i="142"/>
  <c r="Q12" i="142" s="1"/>
  <c r="P7" i="147"/>
  <c r="Q7" i="147" s="1"/>
  <c r="P16" i="141"/>
  <c r="Q16" i="141" s="1"/>
  <c r="P9" i="141"/>
  <c r="Q9" i="141" s="1"/>
  <c r="P11" i="141"/>
  <c r="Q11" i="141" s="1"/>
  <c r="P10" i="141"/>
  <c r="Q10" i="141" s="1"/>
  <c r="P6" i="147"/>
  <c r="Q6" i="147" s="1"/>
  <c r="P13" i="142"/>
  <c r="Q13" i="142" s="1"/>
  <c r="P13" i="141"/>
  <c r="Q13" i="141" s="1"/>
  <c r="P15" i="141"/>
  <c r="Q15" i="141" s="1"/>
  <c r="P14" i="141"/>
  <c r="Q14" i="141" s="1"/>
  <c r="P13" i="66"/>
  <c r="Q13" i="66" s="1"/>
  <c r="P15" i="66"/>
  <c r="Q15" i="66" s="1"/>
  <c r="P12" i="66"/>
  <c r="Q12" i="66" s="1"/>
  <c r="P14" i="66"/>
  <c r="Q14" i="66" s="1"/>
  <c r="P10" i="66"/>
  <c r="Q10" i="66" s="1"/>
  <c r="P11" i="66"/>
  <c r="Q11" i="66" s="1"/>
  <c r="P7" i="139"/>
  <c r="Q7" i="139" s="1"/>
  <c r="P6" i="139"/>
  <c r="Q6" i="139" s="1"/>
  <c r="P5" i="139"/>
  <c r="Q5" i="139" s="1"/>
  <c r="P8" i="135"/>
  <c r="Q8" i="135" s="1"/>
  <c r="P6" i="134"/>
  <c r="Q6" i="134" s="1"/>
  <c r="P5" i="135"/>
  <c r="Q5" i="135" s="1"/>
  <c r="P7" i="134"/>
  <c r="Q7" i="134" s="1"/>
  <c r="P6" i="137"/>
  <c r="Q6" i="137" s="1"/>
  <c r="P7" i="136"/>
  <c r="Q7" i="136" s="1"/>
  <c r="P8" i="136"/>
  <c r="Q8" i="136" s="1"/>
  <c r="P14" i="136"/>
  <c r="Q14" i="136" s="1"/>
  <c r="P12" i="136"/>
  <c r="Q12" i="136" s="1"/>
  <c r="P9" i="137"/>
  <c r="Q9" i="137" s="1"/>
  <c r="P8" i="134"/>
  <c r="Q8" i="134" s="1"/>
  <c r="P7" i="137"/>
  <c r="Q7" i="137" s="1"/>
  <c r="P7" i="135"/>
  <c r="Q7" i="135" s="1"/>
  <c r="P5" i="137"/>
  <c r="Q5" i="137" s="1"/>
  <c r="P10" i="136"/>
  <c r="Q10" i="136" s="1"/>
  <c r="P9" i="135"/>
  <c r="Q9" i="135" s="1"/>
  <c r="P8" i="137"/>
  <c r="Q8" i="137" s="1"/>
  <c r="P5" i="134"/>
  <c r="Q5" i="134" s="1"/>
  <c r="P11" i="134"/>
  <c r="Q11" i="134" s="1"/>
  <c r="P9" i="134"/>
  <c r="Q9" i="134" s="1"/>
  <c r="P11" i="136"/>
  <c r="Q11" i="136" s="1"/>
  <c r="P13" i="136"/>
  <c r="Q13" i="136" s="1"/>
  <c r="P6" i="136"/>
  <c r="Q6" i="136" s="1"/>
  <c r="P10" i="134"/>
  <c r="Q10" i="134" s="1"/>
  <c r="P9" i="136"/>
  <c r="Q9" i="136" s="1"/>
  <c r="P6" i="135"/>
  <c r="Q6" i="135" s="1"/>
  <c r="P5" i="136"/>
  <c r="Q5" i="136" s="1"/>
  <c r="P7" i="88"/>
  <c r="Q7" i="88" s="1"/>
  <c r="P7" i="127"/>
  <c r="Q7" i="127" s="1"/>
  <c r="P9" i="87"/>
  <c r="Q9" i="87" s="1"/>
  <c r="P8" i="87"/>
  <c r="Q8" i="87" s="1"/>
  <c r="P6" i="126"/>
  <c r="Q6" i="126" s="1"/>
  <c r="P6" i="130"/>
  <c r="Q6" i="130" s="1"/>
  <c r="P7" i="125"/>
  <c r="Q7" i="125" s="1"/>
  <c r="P5" i="127"/>
  <c r="Q5" i="127" s="1"/>
  <c r="P7" i="133"/>
  <c r="Q7" i="133" s="1"/>
  <c r="P5" i="87"/>
  <c r="Q5" i="87" s="1"/>
  <c r="P5" i="129"/>
  <c r="Q5" i="129" s="1"/>
  <c r="P6" i="132"/>
  <c r="Q6" i="132" s="1"/>
  <c r="P5" i="130"/>
  <c r="Q5" i="130" s="1"/>
  <c r="P5" i="128"/>
  <c r="Q5" i="128" s="1"/>
  <c r="P6" i="131"/>
  <c r="Q6" i="131" s="1"/>
  <c r="P5" i="126"/>
  <c r="Q5" i="126" s="1"/>
  <c r="P6" i="124"/>
  <c r="Q6" i="124" s="1"/>
  <c r="P8" i="126"/>
  <c r="Q8" i="126" s="1"/>
  <c r="P5" i="122"/>
  <c r="Q5" i="122" s="1"/>
  <c r="P9" i="125"/>
  <c r="Q9" i="125" s="1"/>
  <c r="Q5" i="132"/>
  <c r="P5" i="124"/>
  <c r="Q5" i="124" s="1"/>
  <c r="P8" i="125"/>
  <c r="Q8" i="125" s="1"/>
  <c r="P5" i="133"/>
  <c r="Q5" i="133" s="1"/>
  <c r="P8" i="131"/>
  <c r="Q8" i="131" s="1"/>
  <c r="P5" i="131"/>
  <c r="Q5" i="131" s="1"/>
  <c r="P6" i="123"/>
  <c r="Q6" i="123" s="1"/>
  <c r="P7" i="124"/>
  <c r="Q7" i="124" s="1"/>
  <c r="P6" i="87"/>
  <c r="Q6" i="87" s="1"/>
  <c r="P5" i="123"/>
  <c r="Q5" i="123" s="1"/>
  <c r="P8" i="123"/>
  <c r="Q8" i="123" s="1"/>
  <c r="P9" i="126"/>
  <c r="Q9" i="126" s="1"/>
  <c r="P7" i="126"/>
  <c r="Q7" i="126" s="1"/>
  <c r="P7" i="87"/>
  <c r="Q7" i="87" s="1"/>
  <c r="P6" i="125"/>
  <c r="Q6" i="125" s="1"/>
  <c r="P9" i="123"/>
  <c r="Q9" i="123" s="1"/>
  <c r="P6" i="127"/>
  <c r="Q6" i="127" s="1"/>
  <c r="P5" i="125"/>
  <c r="Q5" i="125" s="1"/>
  <c r="P7" i="123"/>
  <c r="Q7" i="123" s="1"/>
  <c r="P18" i="55"/>
  <c r="Q18" i="55" s="1"/>
  <c r="P13" i="56"/>
  <c r="Q13" i="56" s="1"/>
  <c r="P5" i="60"/>
  <c r="Q5" i="60" s="1"/>
  <c r="P8" i="111"/>
  <c r="Q8" i="111" s="1"/>
  <c r="P14" i="56"/>
  <c r="Q14" i="56" s="1"/>
  <c r="P5" i="121"/>
  <c r="Q5" i="121" s="1"/>
  <c r="P11" i="112"/>
  <c r="Q11" i="112" s="1"/>
  <c r="P17" i="56"/>
  <c r="Q17" i="56" s="1"/>
  <c r="P9" i="112"/>
  <c r="Q9" i="112" s="1"/>
  <c r="P19" i="66"/>
  <c r="Q19" i="66" s="1"/>
  <c r="P7" i="121"/>
  <c r="Q7" i="121" s="1"/>
  <c r="P6" i="121"/>
  <c r="Q6" i="121" s="1"/>
  <c r="P8" i="106"/>
  <c r="Q8" i="106" s="1"/>
  <c r="P8" i="107"/>
  <c r="Q8" i="107" s="1"/>
  <c r="P5" i="110"/>
  <c r="Q5" i="110" s="1"/>
  <c r="P8" i="121"/>
  <c r="Q8" i="121" s="1"/>
  <c r="P8" i="112"/>
  <c r="Q8" i="112" s="1"/>
  <c r="P7" i="115"/>
  <c r="Q7" i="115" s="1"/>
  <c r="P8" i="110"/>
  <c r="Q8" i="110" s="1"/>
  <c r="P5" i="111"/>
  <c r="Q5" i="111" s="1"/>
  <c r="P6" i="110"/>
  <c r="Q6" i="110" s="1"/>
  <c r="P6" i="111"/>
  <c r="Q6" i="111" s="1"/>
  <c r="P12" i="112"/>
  <c r="Q12" i="112" s="1"/>
  <c r="P7" i="106"/>
  <c r="Q7" i="106" s="1"/>
  <c r="P5" i="107"/>
  <c r="Q5" i="107" s="1"/>
  <c r="P10" i="112"/>
  <c r="Q10" i="112" s="1"/>
  <c r="P7" i="110"/>
  <c r="Q7" i="110" s="1"/>
  <c r="P5" i="106"/>
  <c r="Q5" i="106" s="1"/>
  <c r="P7" i="111"/>
  <c r="Q7" i="111" s="1"/>
  <c r="P7" i="112"/>
  <c r="Q7" i="112" s="1"/>
  <c r="P5" i="102"/>
  <c r="Q5" i="102" s="1"/>
  <c r="Q17" i="102" s="1"/>
  <c r="P5" i="105"/>
  <c r="Q5" i="105" s="1"/>
  <c r="P7" i="107"/>
  <c r="Q7" i="107" s="1"/>
  <c r="P9" i="107"/>
  <c r="Q9" i="107" s="1"/>
  <c r="P9" i="99"/>
  <c r="Q9" i="99" s="1"/>
  <c r="P8" i="105"/>
  <c r="Q8" i="105" s="1"/>
  <c r="P6" i="100"/>
  <c r="Q6" i="100" s="1"/>
  <c r="P9" i="106"/>
  <c r="Q9" i="106" s="1"/>
  <c r="P6" i="107"/>
  <c r="Q6" i="107" s="1"/>
  <c r="P5" i="100"/>
  <c r="Q5" i="100" s="1"/>
  <c r="P6" i="97"/>
  <c r="Q6" i="97" s="1"/>
  <c r="P7" i="105"/>
  <c r="Q7" i="105" s="1"/>
  <c r="P5" i="101"/>
  <c r="Q5" i="101" s="1"/>
  <c r="Q13" i="101" s="1"/>
  <c r="P6" i="105"/>
  <c r="Q6" i="105" s="1"/>
  <c r="P12" i="98"/>
  <c r="Q12" i="98" s="1"/>
  <c r="P10" i="100"/>
  <c r="Q10" i="100" s="1"/>
  <c r="P5" i="92"/>
  <c r="Q5" i="92" s="1"/>
  <c r="P6" i="106"/>
  <c r="Q6" i="106" s="1"/>
  <c r="P9" i="97"/>
  <c r="Q9" i="97" s="1"/>
  <c r="P8" i="88"/>
  <c r="Q8" i="88" s="1"/>
  <c r="P8" i="93"/>
  <c r="Q8" i="93" s="1"/>
  <c r="P5" i="89"/>
  <c r="Q5" i="89" s="1"/>
  <c r="Q14" i="89" s="1"/>
  <c r="P5" i="93"/>
  <c r="Q5" i="93" s="1"/>
  <c r="P12" i="94"/>
  <c r="Q12" i="94" s="1"/>
  <c r="P7" i="81"/>
  <c r="Q7" i="81" s="1"/>
  <c r="P12" i="96"/>
  <c r="Q12" i="96" s="1"/>
  <c r="P8" i="97"/>
  <c r="Q8" i="97" s="1"/>
  <c r="P7" i="97"/>
  <c r="Q7" i="97" s="1"/>
  <c r="P5" i="97"/>
  <c r="Q5" i="97" s="1"/>
  <c r="P9" i="110"/>
  <c r="Q9" i="110" s="1"/>
  <c r="P6" i="93"/>
  <c r="Q6" i="93" s="1"/>
  <c r="P10" i="99"/>
  <c r="Q10" i="99" s="1"/>
  <c r="P12" i="95"/>
  <c r="Q12" i="95" s="1"/>
  <c r="P6" i="86"/>
  <c r="Q6" i="86" s="1"/>
  <c r="P11" i="99"/>
  <c r="Q11" i="99" s="1"/>
  <c r="P5" i="88"/>
  <c r="Q5" i="88" s="1"/>
  <c r="P9" i="92"/>
  <c r="Q9" i="92" s="1"/>
  <c r="P7" i="93"/>
  <c r="Q7" i="93" s="1"/>
  <c r="P8" i="100"/>
  <c r="Q8" i="100" s="1"/>
  <c r="P6" i="92"/>
  <c r="Q6" i="92" s="1"/>
  <c r="P6" i="88"/>
  <c r="Q6" i="88" s="1"/>
  <c r="P9" i="100"/>
  <c r="Q9" i="100" s="1"/>
  <c r="P6" i="85"/>
  <c r="Q6" i="85" s="1"/>
  <c r="P14" i="79"/>
  <c r="Q14" i="79" s="1"/>
  <c r="P6" i="74"/>
  <c r="Q6" i="74" s="1"/>
  <c r="P13" i="75"/>
  <c r="Q13" i="75" s="1"/>
  <c r="P14" i="77"/>
  <c r="Q14" i="77" s="1"/>
  <c r="P9" i="79"/>
  <c r="Q9" i="79" s="1"/>
  <c r="P5" i="85"/>
  <c r="Q5" i="85" s="1"/>
  <c r="P8" i="86"/>
  <c r="Q8" i="86" s="1"/>
  <c r="P8" i="85"/>
  <c r="Q8" i="85" s="1"/>
  <c r="P12" i="84"/>
  <c r="Q12" i="84" s="1"/>
  <c r="P17" i="77"/>
  <c r="Q17" i="77" s="1"/>
  <c r="P11" i="79"/>
  <c r="Q11" i="79" s="1"/>
  <c r="P9" i="86"/>
  <c r="Q9" i="86" s="1"/>
  <c r="P8" i="92"/>
  <c r="Q8" i="92" s="1"/>
  <c r="P7" i="86"/>
  <c r="Q7" i="86" s="1"/>
  <c r="P7" i="85"/>
  <c r="Q7" i="85" s="1"/>
  <c r="P5" i="86"/>
  <c r="Q5" i="86" s="1"/>
  <c r="P6" i="75"/>
  <c r="Q6" i="75" s="1"/>
  <c r="P5" i="74"/>
  <c r="Q5" i="74" s="1"/>
  <c r="P12" i="76"/>
  <c r="Q12" i="76" s="1"/>
  <c r="P16" i="77"/>
  <c r="Q16" i="77" s="1"/>
  <c r="P10" i="77"/>
  <c r="Q10" i="77" s="1"/>
  <c r="P13" i="76"/>
  <c r="Q13" i="76" s="1"/>
  <c r="P9" i="75"/>
  <c r="Q9" i="75" s="1"/>
  <c r="P20" i="77"/>
  <c r="Q20" i="77" s="1"/>
  <c r="P7" i="92"/>
  <c r="Q7" i="92" s="1"/>
  <c r="P10" i="75"/>
  <c r="Q10" i="75" s="1"/>
  <c r="P15" i="79"/>
  <c r="Q15" i="79" s="1"/>
  <c r="P7" i="67"/>
  <c r="Q7" i="67" s="1"/>
  <c r="P10" i="79"/>
  <c r="Q10" i="79" s="1"/>
  <c r="P17" i="79"/>
  <c r="Q17" i="79" s="1"/>
  <c r="P6" i="72"/>
  <c r="Q6" i="72" s="1"/>
  <c r="P18" i="77"/>
  <c r="Q18" i="77" s="1"/>
  <c r="P10" i="67"/>
  <c r="Q10" i="67" s="1"/>
  <c r="P5" i="75"/>
  <c r="Q5" i="75" s="1"/>
  <c r="P16" i="79"/>
  <c r="Q16" i="79" s="1"/>
  <c r="P9" i="76"/>
  <c r="Q9" i="76" s="1"/>
  <c r="P7" i="74"/>
  <c r="Q7" i="74" s="1"/>
  <c r="P9" i="67"/>
  <c r="Q9" i="67" s="1"/>
  <c r="P10" i="76"/>
  <c r="Q10" i="76" s="1"/>
  <c r="P12" i="67"/>
  <c r="Q12" i="67" s="1"/>
  <c r="P12" i="77"/>
  <c r="Q12" i="77" s="1"/>
  <c r="P22" i="69"/>
  <c r="Q22" i="69" s="1"/>
  <c r="P12" i="79"/>
  <c r="Q12" i="79" s="1"/>
  <c r="P8" i="75"/>
  <c r="Q8" i="75" s="1"/>
  <c r="P11" i="75"/>
  <c r="Q11" i="75" s="1"/>
  <c r="P9" i="74"/>
  <c r="Q9" i="74" s="1"/>
  <c r="P8" i="74"/>
  <c r="Q8" i="74" s="1"/>
  <c r="P5" i="72"/>
  <c r="Q5" i="72" s="1"/>
  <c r="P15" i="77"/>
  <c r="Q15" i="77" s="1"/>
  <c r="P17" i="66"/>
  <c r="Q17" i="66" s="1"/>
  <c r="P13" i="79"/>
  <c r="Q13" i="79" s="1"/>
  <c r="P11" i="77"/>
  <c r="Q11" i="77" s="1"/>
  <c r="P14" i="75"/>
  <c r="Q14" i="75" s="1"/>
  <c r="P6" i="62"/>
  <c r="Q6" i="62" s="1"/>
  <c r="P12" i="75"/>
  <c r="Q12" i="75" s="1"/>
  <c r="P19" i="77"/>
  <c r="Q19" i="77" s="1"/>
  <c r="P18" i="66"/>
  <c r="Q18" i="66" s="1"/>
  <c r="P11" i="76"/>
  <c r="Q11" i="76" s="1"/>
  <c r="P18" i="56"/>
  <c r="Q18" i="56" s="1"/>
  <c r="P5" i="71"/>
  <c r="Q5" i="71" s="1"/>
  <c r="P13" i="77"/>
  <c r="Q13" i="77" s="1"/>
  <c r="P5" i="65"/>
  <c r="Q5" i="65" s="1"/>
  <c r="P9" i="62"/>
  <c r="Q9" i="62" s="1"/>
  <c r="P5" i="64"/>
  <c r="Q5" i="64" s="1"/>
  <c r="P16" i="66"/>
  <c r="Q16" i="66" s="1"/>
  <c r="P15" i="56"/>
  <c r="Q15" i="56" s="1"/>
  <c r="P6" i="71"/>
  <c r="Q6" i="71" s="1"/>
  <c r="P20" i="66"/>
  <c r="Q20" i="66" s="1"/>
  <c r="P13" i="67"/>
  <c r="Q13" i="67" s="1"/>
  <c r="P5" i="70"/>
  <c r="Q5" i="70" s="1"/>
  <c r="P11" i="67"/>
  <c r="Q11" i="67" s="1"/>
  <c r="P5" i="62"/>
  <c r="Q5" i="62" s="1"/>
  <c r="P5" i="58"/>
  <c r="Q5" i="58" s="1"/>
  <c r="Q10" i="58" s="1"/>
  <c r="P7" i="118" s="1"/>
  <c r="Q7" i="118" s="1"/>
  <c r="P11" i="56"/>
  <c r="Q11" i="56" s="1"/>
  <c r="P5" i="59"/>
  <c r="Q5" i="59" s="1"/>
  <c r="P5" i="61"/>
  <c r="Q5" i="61" s="1"/>
  <c r="P19" i="56"/>
  <c r="Q19" i="56" s="1"/>
  <c r="P7" i="75"/>
  <c r="Q7" i="75" s="1"/>
  <c r="P16" i="56"/>
  <c r="Q16" i="56" s="1"/>
  <c r="P12" i="56"/>
  <c r="Q12" i="56" s="1"/>
  <c r="P20" i="56"/>
  <c r="Q20" i="56" s="1"/>
  <c r="P5" i="57"/>
  <c r="Q5" i="57" s="1"/>
  <c r="P8" i="67"/>
  <c r="Q8" i="67" s="1"/>
  <c r="O81" i="30"/>
  <c r="Q23" i="196" l="1"/>
  <c r="Q15" i="200"/>
  <c r="P10" i="90" s="1"/>
  <c r="Q10" i="90" s="1"/>
  <c r="Q15" i="199"/>
  <c r="P11" i="109" s="1"/>
  <c r="Q11" i="109" s="1"/>
  <c r="Q24" i="162"/>
  <c r="Q24" i="198"/>
  <c r="Q20" i="165"/>
  <c r="P8" i="117" s="1"/>
  <c r="Q8" i="117" s="1"/>
  <c r="P9" i="103"/>
  <c r="Q9" i="103" s="1"/>
  <c r="Q18" i="164"/>
  <c r="P7" i="117" s="1"/>
  <c r="Q7" i="117" s="1"/>
  <c r="Q24" i="173"/>
  <c r="P8" i="144" s="1"/>
  <c r="Q8" i="144" s="1"/>
  <c r="Q41" i="150"/>
  <c r="Q38" i="151"/>
  <c r="Q38" i="172"/>
  <c r="P7" i="144" s="1"/>
  <c r="Q7" i="144" s="1"/>
  <c r="Q25" i="111"/>
  <c r="P7" i="109" s="1"/>
  <c r="Q7" i="109" s="1"/>
  <c r="Q19" i="88"/>
  <c r="Q25" i="87"/>
  <c r="Q19" i="85"/>
  <c r="Q27" i="92"/>
  <c r="Q26" i="110"/>
  <c r="P6" i="109" s="1"/>
  <c r="Q6" i="109" s="1"/>
  <c r="Q26" i="106"/>
  <c r="P6" i="104" s="1"/>
  <c r="Q6" i="104" s="1"/>
  <c r="Q25" i="97"/>
  <c r="P7" i="96" s="1"/>
  <c r="Q7" i="96" s="1"/>
  <c r="Q20" i="105"/>
  <c r="P13" i="63"/>
  <c r="Q13" i="63" s="1"/>
  <c r="P13" i="83"/>
  <c r="Q13" i="83" s="1"/>
  <c r="Q26" i="86"/>
  <c r="Q26" i="107"/>
  <c r="P7" i="104" s="1"/>
  <c r="Q7" i="104" s="1"/>
  <c r="Q23" i="100"/>
  <c r="P5" i="99" s="1"/>
  <c r="Q5" i="99" s="1"/>
  <c r="P9" i="109"/>
  <c r="Q9" i="109" s="1"/>
  <c r="P9" i="104"/>
  <c r="Q9" i="104" s="1"/>
  <c r="Q24" i="121"/>
  <c r="P7" i="98" s="1"/>
  <c r="Q7" i="98" s="1"/>
  <c r="Q24" i="93"/>
  <c r="P10" i="109"/>
  <c r="Q10" i="109" s="1"/>
  <c r="P10" i="104"/>
  <c r="Q10" i="104" s="1"/>
  <c r="P42" i="63"/>
  <c r="Q42" i="63" s="1"/>
  <c r="P40" i="69"/>
  <c r="Q40" i="69" s="1"/>
  <c r="P25" i="55"/>
  <c r="Q25" i="55" s="1"/>
  <c r="Q30" i="194"/>
  <c r="P8" i="143" s="1"/>
  <c r="Q8" i="143" s="1"/>
  <c r="Q25" i="195"/>
  <c r="P7" i="143" s="1"/>
  <c r="Q7" i="143" s="1"/>
  <c r="Q28" i="193"/>
  <c r="P9" i="143" s="1"/>
  <c r="Q9" i="143" s="1"/>
  <c r="Q74" i="148"/>
  <c r="P7" i="145" s="1"/>
  <c r="Q7" i="145" s="1"/>
  <c r="Q74" i="146"/>
  <c r="P5" i="145" s="1"/>
  <c r="Q5" i="145" s="1"/>
  <c r="Q74" i="149"/>
  <c r="P8" i="145" s="1"/>
  <c r="Q8" i="145" s="1"/>
  <c r="Q78" i="147"/>
  <c r="P6" i="145" s="1"/>
  <c r="Q6" i="145" s="1"/>
  <c r="Q41" i="186"/>
  <c r="P5" i="140" s="1"/>
  <c r="Q50" i="178"/>
  <c r="P7" i="140" s="1"/>
  <c r="Q7" i="140" s="1"/>
  <c r="Q28" i="191"/>
  <c r="P9" i="142" s="1"/>
  <c r="Q9" i="142" s="1"/>
  <c r="Q19" i="188"/>
  <c r="Q25" i="189"/>
  <c r="P7" i="142" s="1"/>
  <c r="Q7" i="142" s="1"/>
  <c r="Q19" i="187"/>
  <c r="Q30" i="190"/>
  <c r="P8" i="142" s="1"/>
  <c r="Q8" i="142" s="1"/>
  <c r="Q21" i="184"/>
  <c r="P14" i="68" s="1"/>
  <c r="Q14" i="68" s="1"/>
  <c r="P14" i="69"/>
  <c r="Q14" i="69" s="1"/>
  <c r="P10" i="78"/>
  <c r="Q10" i="78" s="1"/>
  <c r="P11" i="55"/>
  <c r="Q11" i="55" s="1"/>
  <c r="Q12" i="183"/>
  <c r="P15" i="68" s="1"/>
  <c r="Q23" i="180"/>
  <c r="Q26" i="179"/>
  <c r="P8" i="140" s="1"/>
  <c r="Q8" i="140" s="1"/>
  <c r="Q50" i="177"/>
  <c r="P6" i="140" s="1"/>
  <c r="Q34" i="176"/>
  <c r="Q20" i="175"/>
  <c r="P5" i="141" s="1"/>
  <c r="Q5" i="141" s="1"/>
  <c r="Q30" i="174"/>
  <c r="Q23" i="170"/>
  <c r="P10" i="14" s="1"/>
  <c r="Q10" i="14" s="1"/>
  <c r="Q20" i="169"/>
  <c r="P11" i="14" s="1"/>
  <c r="Q11" i="14" s="1"/>
  <c r="P9" i="90"/>
  <c r="Q9" i="90" s="1"/>
  <c r="Q45" i="56"/>
  <c r="P6" i="118"/>
  <c r="Q6" i="118" s="1"/>
  <c r="P6" i="99"/>
  <c r="Q6" i="99" s="1"/>
  <c r="Q13" i="116"/>
  <c r="P6" i="55"/>
  <c r="Q6" i="55" s="1"/>
  <c r="P14" i="63"/>
  <c r="Q14" i="63" s="1"/>
  <c r="P7" i="99"/>
  <c r="Q7" i="99" s="1"/>
  <c r="P5" i="119"/>
  <c r="Q5" i="119" s="1"/>
  <c r="Q10" i="160"/>
  <c r="Q36" i="166"/>
  <c r="Q38" i="69"/>
  <c r="Q39" i="69"/>
  <c r="Q41" i="63"/>
  <c r="F81" i="30"/>
  <c r="P26" i="55" s="1"/>
  <c r="Q26" i="55" s="1"/>
  <c r="P9" i="117"/>
  <c r="Q9" i="117" s="1"/>
  <c r="P6" i="117"/>
  <c r="Q6" i="117" s="1"/>
  <c r="Q17" i="161"/>
  <c r="P9" i="14" s="1"/>
  <c r="Q21" i="133"/>
  <c r="Q20" i="157"/>
  <c r="P7" i="79" s="1"/>
  <c r="Q7" i="79" s="1"/>
  <c r="Q16" i="158"/>
  <c r="P6" i="79" s="1"/>
  <c r="Q6" i="79" s="1"/>
  <c r="Q15" i="156"/>
  <c r="P5" i="79" s="1"/>
  <c r="Q5" i="79" s="1"/>
  <c r="Q13" i="139"/>
  <c r="P9" i="78" s="1"/>
  <c r="Q9" i="78" s="1"/>
  <c r="Q23" i="137"/>
  <c r="P8" i="78" s="1"/>
  <c r="Q8" i="78" s="1"/>
  <c r="Q42" i="136"/>
  <c r="P7" i="78" s="1"/>
  <c r="Q7" i="78" s="1"/>
  <c r="Q20" i="135"/>
  <c r="P6" i="78" s="1"/>
  <c r="Q6" i="78" s="1"/>
  <c r="Q39" i="134"/>
  <c r="P5" i="78" s="1"/>
  <c r="Q5" i="78" s="1"/>
  <c r="Q6" i="155"/>
  <c r="P5" i="77" s="1"/>
  <c r="Q5" i="77" s="1"/>
  <c r="Q15" i="154"/>
  <c r="P7" i="76" s="1"/>
  <c r="Q7" i="76" s="1"/>
  <c r="Q16" i="153"/>
  <c r="P6" i="76" s="1"/>
  <c r="Q6" i="76" s="1"/>
  <c r="Q16" i="152"/>
  <c r="P5" i="76" s="1"/>
  <c r="Q5" i="76" s="1"/>
  <c r="Q35" i="75"/>
  <c r="P13" i="69" s="1"/>
  <c r="Q13" i="69" s="1"/>
  <c r="Q17" i="74"/>
  <c r="P12" i="69" s="1"/>
  <c r="Q12" i="69" s="1"/>
  <c r="Q18" i="72"/>
  <c r="P10" i="69" s="1"/>
  <c r="Q10" i="69" s="1"/>
  <c r="Q15" i="71"/>
  <c r="P9" i="69" s="1"/>
  <c r="Q9" i="69" s="1"/>
  <c r="Q13" i="70"/>
  <c r="P8" i="69" s="1"/>
  <c r="Q8" i="69" s="1"/>
  <c r="Q19" i="132"/>
  <c r="P12" i="68" s="1"/>
  <c r="Q12" i="68" s="1"/>
  <c r="Q20" i="131"/>
  <c r="Q10" i="129"/>
  <c r="Q8" i="128"/>
  <c r="P5" i="66" s="1"/>
  <c r="Q5" i="66" s="1"/>
  <c r="Q19" i="130"/>
  <c r="Q25" i="126"/>
  <c r="P11" i="63" s="1"/>
  <c r="Q11" i="63" s="1"/>
  <c r="Q25" i="125"/>
  <c r="P10" i="63" s="1"/>
  <c r="Q10" i="63" s="1"/>
  <c r="Q21" i="127"/>
  <c r="P12" i="63" s="1"/>
  <c r="Q12" i="63" s="1"/>
  <c r="Q11" i="57"/>
  <c r="Q17" i="122"/>
  <c r="P7" i="63" s="1"/>
  <c r="Q7" i="63" s="1"/>
  <c r="Q15" i="62"/>
  <c r="Q13" i="61"/>
  <c r="P9" i="55" s="1"/>
  <c r="Q9" i="55" s="1"/>
  <c r="Q15" i="60"/>
  <c r="P8" i="55" s="1"/>
  <c r="Q8" i="55" s="1"/>
  <c r="Q15" i="59"/>
  <c r="P7" i="55" s="1"/>
  <c r="Q7" i="55" s="1"/>
  <c r="Q21" i="124"/>
  <c r="P9" i="63" s="1"/>
  <c r="Q9" i="63" s="1"/>
  <c r="Q25" i="123"/>
  <c r="P8" i="63" s="1"/>
  <c r="Q8" i="63" s="1"/>
  <c r="Q15" i="65"/>
  <c r="Q20" i="64"/>
  <c r="O8" i="2"/>
  <c r="O7" i="2"/>
  <c r="O6" i="2"/>
  <c r="P5" i="67" l="1"/>
  <c r="Q5" i="67" s="1"/>
  <c r="Q51" i="67" s="1"/>
  <c r="P8" i="14" s="1"/>
  <c r="Q8" i="14" s="1"/>
  <c r="Q34" i="202"/>
  <c r="P12" i="14" s="1"/>
  <c r="Q12" i="14" s="1"/>
  <c r="P10" i="84"/>
  <c r="Q10" i="84" s="1"/>
  <c r="P11" i="104"/>
  <c r="Q11" i="104" s="1"/>
  <c r="P10" i="98"/>
  <c r="Q10" i="98" s="1"/>
  <c r="P10" i="96"/>
  <c r="Q10" i="96" s="1"/>
  <c r="P10" i="95"/>
  <c r="Q10" i="95" s="1"/>
  <c r="P10" i="94"/>
  <c r="Q10" i="94" s="1"/>
  <c r="P10" i="143"/>
  <c r="Q10" i="143" s="1"/>
  <c r="P10" i="142"/>
  <c r="Q10" i="142" s="1"/>
  <c r="P7" i="141"/>
  <c r="Q7" i="141" s="1"/>
  <c r="P11" i="145"/>
  <c r="Q11" i="145" s="1"/>
  <c r="P6" i="143"/>
  <c r="Q6" i="143" s="1"/>
  <c r="P6" i="142"/>
  <c r="Q6" i="142" s="1"/>
  <c r="P10" i="145"/>
  <c r="Q10" i="145" s="1"/>
  <c r="P6" i="141"/>
  <c r="Q6" i="141" s="1"/>
  <c r="P5" i="143"/>
  <c r="Q5" i="143" s="1"/>
  <c r="P5" i="142"/>
  <c r="Q5" i="142" s="1"/>
  <c r="Q51" i="99"/>
  <c r="P11" i="83" s="1"/>
  <c r="Q11" i="83" s="1"/>
  <c r="P5" i="112"/>
  <c r="Q5" i="112" s="1"/>
  <c r="P9" i="145"/>
  <c r="Q9" i="145" s="1"/>
  <c r="Q15" i="68"/>
  <c r="P13" i="68"/>
  <c r="Q13" i="68" s="1"/>
  <c r="Q6" i="80"/>
  <c r="P8" i="80"/>
  <c r="Q6" i="114"/>
  <c r="P8" i="114"/>
  <c r="Q8" i="114" s="1"/>
  <c r="P9" i="98"/>
  <c r="Q9" i="98" s="1"/>
  <c r="P9" i="96"/>
  <c r="Q9" i="96" s="1"/>
  <c r="P9" i="95"/>
  <c r="Q9" i="95" s="1"/>
  <c r="P9" i="84"/>
  <c r="Q9" i="84" s="1"/>
  <c r="P9" i="94"/>
  <c r="Q9" i="94" s="1"/>
  <c r="P12" i="55"/>
  <c r="Q12" i="55" s="1"/>
  <c r="P7" i="84"/>
  <c r="Q7" i="84" s="1"/>
  <c r="P7" i="94"/>
  <c r="Q7" i="94" s="1"/>
  <c r="P8" i="104"/>
  <c r="Q8" i="104" s="1"/>
  <c r="P8" i="95"/>
  <c r="Q8" i="95" s="1"/>
  <c r="P8" i="109"/>
  <c r="Q8" i="109" s="1"/>
  <c r="P8" i="96"/>
  <c r="Q8" i="96" s="1"/>
  <c r="P8" i="90"/>
  <c r="Q8" i="90" s="1"/>
  <c r="P8" i="84"/>
  <c r="Q8" i="84" s="1"/>
  <c r="P8" i="94"/>
  <c r="Q8" i="94" s="1"/>
  <c r="P8" i="98"/>
  <c r="Q8" i="98" s="1"/>
  <c r="P6" i="90"/>
  <c r="Q6" i="90" s="1"/>
  <c r="P6" i="95"/>
  <c r="Q6" i="95" s="1"/>
  <c r="P6" i="98"/>
  <c r="Q6" i="98" s="1"/>
  <c r="P5" i="117"/>
  <c r="Q5" i="117" s="1"/>
  <c r="Q10" i="117" s="1"/>
  <c r="P11" i="2" s="1"/>
  <c r="Q31" i="76"/>
  <c r="P8" i="68" s="1"/>
  <c r="Q8" i="68" s="1"/>
  <c r="P6" i="84"/>
  <c r="Q6" i="84" s="1"/>
  <c r="P6" i="96"/>
  <c r="Q6" i="96" s="1"/>
  <c r="P6" i="94"/>
  <c r="Q6" i="94" s="1"/>
  <c r="P7" i="90"/>
  <c r="Q7" i="90" s="1"/>
  <c r="P7" i="95"/>
  <c r="Q7" i="95" s="1"/>
  <c r="P6" i="69"/>
  <c r="Q6" i="69" s="1"/>
  <c r="P10" i="55"/>
  <c r="Q10" i="55" s="1"/>
  <c r="P5" i="104"/>
  <c r="Q5" i="104" s="1"/>
  <c r="P5" i="109"/>
  <c r="Q5" i="109" s="1"/>
  <c r="P5" i="55"/>
  <c r="Q5" i="55" s="1"/>
  <c r="P5" i="69"/>
  <c r="Q5" i="69" s="1"/>
  <c r="P5" i="81"/>
  <c r="Q5" i="81" s="1"/>
  <c r="Q24" i="81" s="1"/>
  <c r="P6" i="119"/>
  <c r="Q6" i="119" s="1"/>
  <c r="P5" i="115"/>
  <c r="Q5" i="115" s="1"/>
  <c r="Q24" i="115" s="1"/>
  <c r="Q11" i="78"/>
  <c r="P10" i="68" s="1"/>
  <c r="Q10" i="68" s="1"/>
  <c r="P7" i="77"/>
  <c r="Q7" i="77" s="1"/>
  <c r="P7" i="66"/>
  <c r="Q7" i="66" s="1"/>
  <c r="P5" i="144"/>
  <c r="Q5" i="144" s="1"/>
  <c r="Q5" i="140"/>
  <c r="P6" i="144"/>
  <c r="Q6" i="144" s="1"/>
  <c r="Q6" i="140"/>
  <c r="P6" i="77"/>
  <c r="Q6" i="77" s="1"/>
  <c r="P6" i="66"/>
  <c r="Q6" i="66" s="1"/>
  <c r="P7" i="69"/>
  <c r="Q7" i="69" s="1"/>
  <c r="P5" i="63"/>
  <c r="Q5" i="63" s="1"/>
  <c r="Q34" i="79"/>
  <c r="P11" i="68" s="1"/>
  <c r="Q11" i="68" s="1"/>
  <c r="P6" i="63"/>
  <c r="Q6" i="63" s="1"/>
  <c r="P6" i="68"/>
  <c r="Q6" i="68" s="1"/>
  <c r="P5" i="84"/>
  <c r="Q5" i="84" s="1"/>
  <c r="P5" i="98"/>
  <c r="Q5" i="98" s="1"/>
  <c r="P5" i="96"/>
  <c r="Q5" i="96" s="1"/>
  <c r="P5" i="95"/>
  <c r="Q5" i="95" s="1"/>
  <c r="P5" i="94"/>
  <c r="Q5" i="94" s="1"/>
  <c r="P5" i="90"/>
  <c r="Q5" i="90" s="1"/>
  <c r="Q74" i="141" l="1"/>
  <c r="P10" i="114" s="1"/>
  <c r="Q10" i="114" s="1"/>
  <c r="Q12" i="145"/>
  <c r="P10" i="80" s="1"/>
  <c r="Q10" i="80" s="1"/>
  <c r="Q42" i="143"/>
  <c r="P12" i="114" s="1"/>
  <c r="Q12" i="114" s="1"/>
  <c r="Q42" i="142"/>
  <c r="P11" i="114" s="1"/>
  <c r="Q11" i="114" s="1"/>
  <c r="Q16" i="119"/>
  <c r="P5" i="118" s="1"/>
  <c r="Q5" i="118" s="1"/>
  <c r="Q8" i="118" s="1"/>
  <c r="P12" i="2" s="1"/>
  <c r="Q21" i="144"/>
  <c r="Q14" i="109"/>
  <c r="P6" i="103" s="1"/>
  <c r="Q6" i="103" s="1"/>
  <c r="Q14" i="104"/>
  <c r="P5" i="103" s="1"/>
  <c r="Q5" i="103" s="1"/>
  <c r="Q18" i="84"/>
  <c r="P5" i="83" s="1"/>
  <c r="Q5" i="83" s="1"/>
  <c r="Q39" i="112"/>
  <c r="P7" i="103" s="1"/>
  <c r="Q7" i="103" s="1"/>
  <c r="Q18" i="90"/>
  <c r="P6" i="83" s="1"/>
  <c r="Q6" i="83" s="1"/>
  <c r="Q18" i="96"/>
  <c r="P9" i="83" s="1"/>
  <c r="Q9" i="83" s="1"/>
  <c r="Q18" i="94"/>
  <c r="P7" i="83" s="1"/>
  <c r="Q7" i="83" s="1"/>
  <c r="Q18" i="98"/>
  <c r="P10" i="83" s="1"/>
  <c r="Q10" i="83" s="1"/>
  <c r="Q18" i="95"/>
  <c r="P8" i="83" s="1"/>
  <c r="Q8" i="83" s="1"/>
  <c r="Q5" i="114"/>
  <c r="P7" i="114"/>
  <c r="Q5" i="80"/>
  <c r="P7" i="80"/>
  <c r="Q8" i="80"/>
  <c r="Q33" i="55"/>
  <c r="Q64" i="66"/>
  <c r="P7" i="14" s="1"/>
  <c r="Q7" i="14" s="1"/>
  <c r="Q60" i="77"/>
  <c r="P9" i="68" s="1"/>
  <c r="Q9" i="68" s="1"/>
  <c r="Q46" i="69"/>
  <c r="P7" i="68" s="1"/>
  <c r="Q7" i="68" s="1"/>
  <c r="Q51" i="63"/>
  <c r="P6" i="14" s="1"/>
  <c r="Q21" i="140"/>
  <c r="Q9" i="14"/>
  <c r="Q10" i="103" l="1"/>
  <c r="P9" i="2" s="1"/>
  <c r="Q18" i="83"/>
  <c r="P8" i="2" s="1"/>
  <c r="P5" i="14"/>
  <c r="Q7" i="114"/>
  <c r="P9" i="114"/>
  <c r="Q9" i="114" s="1"/>
  <c r="Q7" i="80"/>
  <c r="P9" i="80"/>
  <c r="Q9" i="80" s="1"/>
  <c r="Q16" i="68"/>
  <c r="P6" i="2" s="1"/>
  <c r="E3" i="2"/>
  <c r="E2" i="13"/>
  <c r="R23" i="13"/>
  <c r="R24" i="13"/>
  <c r="R25" i="13"/>
  <c r="R26" i="13"/>
  <c r="R22" i="13"/>
  <c r="A53" i="31" l="1"/>
  <c r="E53" i="31" s="1"/>
  <c r="A48" i="31"/>
  <c r="E48" i="31" s="1"/>
  <c r="A22" i="31"/>
  <c r="E22" i="31" s="1"/>
  <c r="A21" i="31"/>
  <c r="E21" i="31" s="1"/>
  <c r="E2" i="205"/>
  <c r="E2" i="206"/>
  <c r="E2" i="203"/>
  <c r="E2" i="204"/>
  <c r="E2" i="202"/>
  <c r="A42" i="31"/>
  <c r="E42" i="31" s="1"/>
  <c r="E2" i="199"/>
  <c r="E2" i="200"/>
  <c r="A118" i="31"/>
  <c r="E118" i="31" s="1"/>
  <c r="E2" i="198"/>
  <c r="A97" i="31"/>
  <c r="E97" i="31" s="1"/>
  <c r="A139" i="31"/>
  <c r="E139" i="31" s="1"/>
  <c r="Q11" i="80"/>
  <c r="P7" i="2" s="1"/>
  <c r="A123" i="31"/>
  <c r="E123" i="31" s="1"/>
  <c r="C2" i="196" s="1"/>
  <c r="E2" i="196"/>
  <c r="E2" i="195"/>
  <c r="E2" i="193"/>
  <c r="E2" i="194"/>
  <c r="A141" i="31"/>
  <c r="E141" i="31" s="1"/>
  <c r="A143" i="31"/>
  <c r="E143" i="31" s="1"/>
  <c r="A142" i="31"/>
  <c r="E142" i="31" s="1"/>
  <c r="E2" i="191"/>
  <c r="E2" i="189"/>
  <c r="E2" i="190"/>
  <c r="E2" i="187"/>
  <c r="E2" i="188"/>
  <c r="E2" i="186"/>
  <c r="A134" i="31"/>
  <c r="E134" i="31" s="1"/>
  <c r="A135" i="31"/>
  <c r="E135" i="31" s="1"/>
  <c r="A136" i="31"/>
  <c r="E136" i="31" s="1"/>
  <c r="A137" i="31"/>
  <c r="E137" i="31" s="1"/>
  <c r="A138" i="31"/>
  <c r="E138" i="31" s="1"/>
  <c r="A72" i="31"/>
  <c r="E72" i="31" s="1"/>
  <c r="A128" i="31"/>
  <c r="E128" i="31" s="1"/>
  <c r="E2" i="184"/>
  <c r="E2" i="183"/>
  <c r="A73" i="31"/>
  <c r="E73" i="31" s="1"/>
  <c r="Q13" i="114"/>
  <c r="Q9" i="2"/>
  <c r="E2" i="181"/>
  <c r="E2" i="182"/>
  <c r="A116" i="31"/>
  <c r="E116" i="31" s="1"/>
  <c r="A117" i="31"/>
  <c r="E117" i="31" s="1"/>
  <c r="E2" i="180"/>
  <c r="A52" i="31"/>
  <c r="E52" i="31" s="1"/>
  <c r="E2" i="178"/>
  <c r="E2" i="179"/>
  <c r="A131" i="31"/>
  <c r="E131" i="31" s="1"/>
  <c r="A130" i="31"/>
  <c r="E130" i="31" s="1"/>
  <c r="A129" i="31"/>
  <c r="E129" i="31" s="1"/>
  <c r="A88" i="31"/>
  <c r="E88" i="31" s="1"/>
  <c r="E2" i="177"/>
  <c r="E2" i="176"/>
  <c r="A89" i="31"/>
  <c r="E89" i="31" s="1"/>
  <c r="E2" i="174"/>
  <c r="E2" i="175"/>
  <c r="E2" i="173"/>
  <c r="A36" i="31"/>
  <c r="E36" i="31" s="1"/>
  <c r="A83" i="31"/>
  <c r="E83" i="31" s="1"/>
  <c r="A82" i="31"/>
  <c r="E82" i="31" s="1"/>
  <c r="E2" i="172"/>
  <c r="A81" i="31"/>
  <c r="E81" i="31" s="1"/>
  <c r="E2" i="169"/>
  <c r="E2" i="170"/>
  <c r="A41" i="31"/>
  <c r="E41" i="31" s="1"/>
  <c r="A40" i="31"/>
  <c r="E40" i="31" s="1"/>
  <c r="A149" i="31"/>
  <c r="E149" i="31" s="1"/>
  <c r="E2" i="167"/>
  <c r="A51" i="31"/>
  <c r="E51" i="31" s="1"/>
  <c r="E2" i="166"/>
  <c r="E2" i="164"/>
  <c r="E2" i="165"/>
  <c r="E2" i="162"/>
  <c r="E2" i="163"/>
  <c r="A145" i="31"/>
  <c r="E145" i="31" s="1"/>
  <c r="A144" i="31"/>
  <c r="E144" i="31" s="1"/>
  <c r="A147" i="31"/>
  <c r="E147" i="31" s="1"/>
  <c r="A146" i="31"/>
  <c r="E146" i="31" s="1"/>
  <c r="A38" i="31"/>
  <c r="E38" i="31" s="1"/>
  <c r="E2" i="161"/>
  <c r="A76" i="31"/>
  <c r="E76" i="31" s="1"/>
  <c r="A152" i="31"/>
  <c r="E152" i="31" s="1"/>
  <c r="E2" i="160"/>
  <c r="E2" i="159"/>
  <c r="A67" i="31"/>
  <c r="E67" i="31" s="1"/>
  <c r="A68" i="31"/>
  <c r="E68" i="31" s="1"/>
  <c r="A69" i="31"/>
  <c r="E69" i="31" s="1"/>
  <c r="E2" i="157"/>
  <c r="E2" i="158"/>
  <c r="E2" i="155"/>
  <c r="E2" i="156"/>
  <c r="E2" i="154"/>
  <c r="A59" i="31"/>
  <c r="E59" i="31" s="1"/>
  <c r="A55" i="31"/>
  <c r="E55" i="31" s="1"/>
  <c r="A56" i="31"/>
  <c r="E56" i="31" s="1"/>
  <c r="A57" i="31"/>
  <c r="E57" i="31" s="1"/>
  <c r="E2" i="152"/>
  <c r="E2" i="153"/>
  <c r="A79" i="31"/>
  <c r="E79" i="31" s="1"/>
  <c r="A80" i="31"/>
  <c r="E80" i="31" s="1"/>
  <c r="E2" i="150"/>
  <c r="E2" i="151"/>
  <c r="A84" i="31"/>
  <c r="E84" i="31" s="1"/>
  <c r="A85" i="31"/>
  <c r="E85" i="31" s="1"/>
  <c r="A86" i="31"/>
  <c r="E86" i="31" s="1"/>
  <c r="A87" i="31"/>
  <c r="E87" i="31" s="1"/>
  <c r="E2" i="148"/>
  <c r="E2" i="149"/>
  <c r="E2" i="146"/>
  <c r="E2" i="147"/>
  <c r="A78" i="31"/>
  <c r="E78" i="31" s="1"/>
  <c r="E2" i="144"/>
  <c r="E2" i="145"/>
  <c r="E2" i="142"/>
  <c r="E2" i="143"/>
  <c r="A153" i="31"/>
  <c r="E153" i="31" s="1"/>
  <c r="A151" i="31"/>
  <c r="E151" i="31" s="1"/>
  <c r="A127" i="31"/>
  <c r="E127" i="31" s="1"/>
  <c r="A133" i="31"/>
  <c r="E133" i="31" s="1"/>
  <c r="A132" i="31"/>
  <c r="E132" i="31" s="1"/>
  <c r="E2" i="141"/>
  <c r="A140" i="31"/>
  <c r="E140" i="31" s="1"/>
  <c r="E2" i="139"/>
  <c r="E2" i="140"/>
  <c r="A20" i="31"/>
  <c r="E20" i="31" s="1"/>
  <c r="E2" i="138"/>
  <c r="E2" i="136"/>
  <c r="E2" i="137"/>
  <c r="E2" i="134"/>
  <c r="E2" i="135"/>
  <c r="A61" i="31"/>
  <c r="E61" i="31" s="1"/>
  <c r="A62" i="31"/>
  <c r="E62" i="31" s="1"/>
  <c r="A63" i="31"/>
  <c r="E63" i="31" s="1"/>
  <c r="A64" i="31"/>
  <c r="E64" i="31" s="1"/>
  <c r="A65" i="31"/>
  <c r="E65" i="31" s="1"/>
  <c r="E2" i="132"/>
  <c r="E2" i="133"/>
  <c r="A71" i="31"/>
  <c r="E71" i="31" s="1"/>
  <c r="A70" i="31"/>
  <c r="E70" i="31" s="1"/>
  <c r="E2" i="131"/>
  <c r="A39" i="31"/>
  <c r="E39" i="31" s="1"/>
  <c r="E2" i="129"/>
  <c r="E2" i="130"/>
  <c r="A33" i="31"/>
  <c r="E33" i="31" s="1"/>
  <c r="E2" i="128"/>
  <c r="A35" i="31"/>
  <c r="E35" i="31" s="1"/>
  <c r="A34" i="31"/>
  <c r="E34" i="31" s="1"/>
  <c r="E2" i="126"/>
  <c r="E2" i="127"/>
  <c r="E2" i="124"/>
  <c r="E2" i="125"/>
  <c r="E2" i="122"/>
  <c r="E2" i="123"/>
  <c r="A27" i="31"/>
  <c r="E27" i="31" s="1"/>
  <c r="A26" i="31"/>
  <c r="E26" i="31" s="1"/>
  <c r="A29" i="31"/>
  <c r="E29" i="31" s="1"/>
  <c r="A28" i="31"/>
  <c r="E28" i="31" s="1"/>
  <c r="A31" i="31"/>
  <c r="E31" i="31" s="1"/>
  <c r="A30" i="31"/>
  <c r="E30" i="31" s="1"/>
  <c r="E2" i="46"/>
  <c r="E2" i="121"/>
  <c r="E2" i="119"/>
  <c r="E2" i="120"/>
  <c r="E2" i="118"/>
  <c r="E2" i="116"/>
  <c r="E2" i="114"/>
  <c r="E2" i="117"/>
  <c r="E2" i="112"/>
  <c r="E2" i="115"/>
  <c r="E2" i="110"/>
  <c r="E2" i="111"/>
  <c r="E2" i="109"/>
  <c r="E2" i="107"/>
  <c r="E2" i="106"/>
  <c r="E2" i="105"/>
  <c r="E2" i="104"/>
  <c r="E2" i="102"/>
  <c r="E2" i="103"/>
  <c r="E2" i="101"/>
  <c r="E2" i="100"/>
  <c r="E2" i="98"/>
  <c r="E2" i="99"/>
  <c r="E2" i="97"/>
  <c r="E2" i="96"/>
  <c r="E2" i="95"/>
  <c r="E2" i="94"/>
  <c r="E2" i="93"/>
  <c r="E2" i="92"/>
  <c r="A98" i="31"/>
  <c r="E98" i="31" s="1"/>
  <c r="E2" i="90"/>
  <c r="E2" i="89"/>
  <c r="E2" i="84"/>
  <c r="E2" i="87"/>
  <c r="E2" i="83"/>
  <c r="E2" i="88"/>
  <c r="E2" i="86"/>
  <c r="E2" i="85"/>
  <c r="E2" i="80"/>
  <c r="E2" i="79"/>
  <c r="E2" i="82"/>
  <c r="E2" i="78"/>
  <c r="E2" i="75"/>
  <c r="E2" i="77"/>
  <c r="E2" i="81"/>
  <c r="E2" i="76"/>
  <c r="E2" i="72"/>
  <c r="E2" i="71"/>
  <c r="E2" i="74"/>
  <c r="E2" i="70"/>
  <c r="E2" i="69"/>
  <c r="E2" i="68"/>
  <c r="E2" i="67"/>
  <c r="E2" i="66"/>
  <c r="E2" i="64"/>
  <c r="E2" i="63"/>
  <c r="E2" i="65"/>
  <c r="E2" i="62"/>
  <c r="E2" i="61"/>
  <c r="E2" i="56"/>
  <c r="E2" i="59"/>
  <c r="E2" i="55"/>
  <c r="E2" i="58"/>
  <c r="E2" i="57"/>
  <c r="E2" i="60"/>
  <c r="E2" i="54"/>
  <c r="E2" i="50"/>
  <c r="E2" i="53"/>
  <c r="E2" i="52"/>
  <c r="E2" i="51"/>
  <c r="E2" i="47"/>
  <c r="E2" i="49"/>
  <c r="E2" i="48"/>
  <c r="A44" i="31"/>
  <c r="E44" i="31" s="1"/>
  <c r="A75" i="31"/>
  <c r="E75" i="31" s="1"/>
  <c r="A101" i="31"/>
  <c r="E101" i="31" s="1"/>
  <c r="A113" i="31"/>
  <c r="E113" i="31" s="1"/>
  <c r="A148" i="31"/>
  <c r="E148" i="31" s="1"/>
  <c r="A45" i="31"/>
  <c r="E45" i="31" s="1"/>
  <c r="A77" i="31"/>
  <c r="E77" i="31" s="1"/>
  <c r="A102" i="31"/>
  <c r="E102" i="31" s="1"/>
  <c r="A114" i="31"/>
  <c r="E114" i="31" s="1"/>
  <c r="A150" i="31"/>
  <c r="E150" i="31" s="1"/>
  <c r="A46" i="31"/>
  <c r="E46" i="31" s="1"/>
  <c r="A90" i="31"/>
  <c r="E90" i="31" s="1"/>
  <c r="A103" i="31"/>
  <c r="E103" i="31" s="1"/>
  <c r="A115" i="31"/>
  <c r="E115" i="31" s="1"/>
  <c r="A47" i="31"/>
  <c r="E47" i="31" s="1"/>
  <c r="A91" i="31"/>
  <c r="E91" i="31" s="1"/>
  <c r="A104" i="31"/>
  <c r="E104" i="31" s="1"/>
  <c r="A92" i="31"/>
  <c r="E92" i="31" s="1"/>
  <c r="A105" i="31"/>
  <c r="E105" i="31" s="1"/>
  <c r="A119" i="31"/>
  <c r="E119" i="31" s="1"/>
  <c r="A49" i="31"/>
  <c r="E49" i="31" s="1"/>
  <c r="A93" i="31"/>
  <c r="E93" i="31" s="1"/>
  <c r="A106" i="31"/>
  <c r="E106" i="31" s="1"/>
  <c r="A120" i="31"/>
  <c r="E120" i="31" s="1"/>
  <c r="A50" i="31"/>
  <c r="E50" i="31" s="1"/>
  <c r="A94" i="31"/>
  <c r="E94" i="31" s="1"/>
  <c r="A107" i="31"/>
  <c r="E107" i="31" s="1"/>
  <c r="A121" i="31"/>
  <c r="E121" i="31" s="1"/>
  <c r="A54" i="31"/>
  <c r="E54" i="31" s="1"/>
  <c r="A95" i="31"/>
  <c r="E95" i="31" s="1"/>
  <c r="A108" i="31"/>
  <c r="E108" i="31" s="1"/>
  <c r="A122" i="31"/>
  <c r="E122" i="31" s="1"/>
  <c r="A58" i="31"/>
  <c r="E58" i="31" s="1"/>
  <c r="A96" i="31"/>
  <c r="E96" i="31" s="1"/>
  <c r="A109" i="31"/>
  <c r="E109" i="31" s="1"/>
  <c r="A60" i="31"/>
  <c r="E60" i="31" s="1"/>
  <c r="A110" i="31"/>
  <c r="E110" i="31" s="1"/>
  <c r="A124" i="31"/>
  <c r="E124" i="31" s="1"/>
  <c r="A66" i="31"/>
  <c r="E66" i="31" s="1"/>
  <c r="A99" i="31"/>
  <c r="E99" i="31" s="1"/>
  <c r="A111" i="31"/>
  <c r="E111" i="31" s="1"/>
  <c r="A125" i="31"/>
  <c r="E125" i="31" s="1"/>
  <c r="A74" i="31"/>
  <c r="E74" i="31" s="1"/>
  <c r="A100" i="31"/>
  <c r="E100" i="31" s="1"/>
  <c r="A112" i="31"/>
  <c r="E112" i="31" s="1"/>
  <c r="A126" i="31"/>
  <c r="E126" i="31" s="1"/>
  <c r="A43" i="31"/>
  <c r="E43" i="31" s="1"/>
  <c r="A19" i="31"/>
  <c r="E19" i="31" s="1"/>
  <c r="A23" i="31"/>
  <c r="E23" i="31" s="1"/>
  <c r="A24" i="31"/>
  <c r="E24" i="31" s="1"/>
  <c r="A25" i="31"/>
  <c r="E25" i="31" s="1"/>
  <c r="A32" i="31"/>
  <c r="E32" i="31" s="1"/>
  <c r="A37" i="31"/>
  <c r="E37" i="31" s="1"/>
  <c r="C2" i="13"/>
  <c r="A7" i="31"/>
  <c r="E7" i="31" s="1"/>
  <c r="A2" i="31"/>
  <c r="E2" i="31" s="1"/>
  <c r="A13" i="31"/>
  <c r="E13" i="31" s="1"/>
  <c r="A12" i="31"/>
  <c r="E12" i="31" s="1"/>
  <c r="A11" i="31"/>
  <c r="E11" i="31" s="1"/>
  <c r="A10" i="31"/>
  <c r="E10" i="31" s="1"/>
  <c r="A9" i="31"/>
  <c r="E9" i="31" s="1"/>
  <c r="A8" i="31"/>
  <c r="E8" i="31" s="1"/>
  <c r="A4" i="31"/>
  <c r="E4" i="31" s="1"/>
  <c r="A3" i="31"/>
  <c r="E3" i="31" s="1"/>
  <c r="A5" i="31"/>
  <c r="E5" i="31" s="1"/>
  <c r="E2" i="14"/>
  <c r="A15" i="31"/>
  <c r="E15" i="31" s="1"/>
  <c r="A17" i="31"/>
  <c r="E17" i="31" s="1"/>
  <c r="A16" i="31"/>
  <c r="E16" i="31" s="1"/>
  <c r="A6" i="31"/>
  <c r="E6" i="31" s="1"/>
  <c r="A18" i="31"/>
  <c r="E18" i="31" s="1"/>
  <c r="A14" i="31"/>
  <c r="E14" i="31" s="1"/>
  <c r="H124" i="31" a="1"/>
  <c r="H150" i="31" a="1"/>
  <c r="H90" i="31" a="1"/>
  <c r="C2" i="206" l="1"/>
  <c r="C2" i="202"/>
  <c r="C2" i="203"/>
  <c r="C2" i="204"/>
  <c r="C2" i="205"/>
  <c r="D16" i="55"/>
  <c r="D15" i="55"/>
  <c r="D13" i="55"/>
  <c r="D14" i="55"/>
  <c r="D17" i="69"/>
  <c r="D11" i="69"/>
  <c r="Q11" i="2"/>
  <c r="P10" i="2"/>
  <c r="Q10" i="2" s="1"/>
  <c r="D13" i="14"/>
  <c r="D12" i="14"/>
  <c r="C2" i="199"/>
  <c r="C2" i="200"/>
  <c r="D11" i="109"/>
  <c r="D11" i="104"/>
  <c r="D10" i="98"/>
  <c r="D10" i="96"/>
  <c r="D10" i="95"/>
  <c r="D10" i="94"/>
  <c r="D10" i="90"/>
  <c r="D10" i="84"/>
  <c r="C2" i="183"/>
  <c r="C2" i="184"/>
  <c r="C2" i="198"/>
  <c r="D10" i="143"/>
  <c r="D10" i="142"/>
  <c r="D7" i="141"/>
  <c r="D11" i="145"/>
  <c r="D13" i="83"/>
  <c r="D15" i="63"/>
  <c r="D8" i="103"/>
  <c r="D11" i="14"/>
  <c r="H150" i="31"/>
  <c r="C2" i="191"/>
  <c r="C2" i="190"/>
  <c r="C2" i="189"/>
  <c r="C2" i="188"/>
  <c r="C2" i="187"/>
  <c r="C2" i="194"/>
  <c r="C2" i="193"/>
  <c r="C2" i="195"/>
  <c r="C2" i="186"/>
  <c r="D13" i="68"/>
  <c r="D14" i="68"/>
  <c r="H124" i="31"/>
  <c r="H90" i="31"/>
  <c r="D12" i="114"/>
  <c r="D12" i="83"/>
  <c r="C2" i="51"/>
  <c r="C2" i="50"/>
  <c r="C2" i="48"/>
  <c r="C2" i="49"/>
  <c r="C2" i="70"/>
  <c r="C2" i="165"/>
  <c r="C2" i="105"/>
  <c r="C2" i="75"/>
  <c r="C2" i="169"/>
  <c r="C2" i="59"/>
  <c r="C2" i="104"/>
  <c r="C2" i="74"/>
  <c r="C2" i="124"/>
  <c r="C2" i="136"/>
  <c r="C2" i="156"/>
  <c r="C2" i="60"/>
  <c r="C2" i="93"/>
  <c r="C2" i="109"/>
  <c r="C2" i="125"/>
  <c r="C2" i="135"/>
  <c r="C2" i="172"/>
  <c r="C2" i="58"/>
  <c r="C2" i="80"/>
  <c r="C2" i="98"/>
  <c r="C2" i="122"/>
  <c r="C2" i="134"/>
  <c r="C2" i="69"/>
  <c r="C2" i="85"/>
  <c r="C2" i="103"/>
  <c r="C2" i="97"/>
  <c r="C2" i="148"/>
  <c r="C2" i="160"/>
  <c r="C2" i="92"/>
  <c r="C2" i="84"/>
  <c r="C2" i="147"/>
  <c r="C2" i="174"/>
  <c r="C2" i="79"/>
  <c r="C2" i="72"/>
  <c r="C2" i="146"/>
  <c r="C2" i="152"/>
  <c r="C2" i="66"/>
  <c r="C2" i="76"/>
  <c r="C2" i="81"/>
  <c r="C2" i="149"/>
  <c r="C2" i="90"/>
  <c r="C2" i="133"/>
  <c r="C2" i="57"/>
  <c r="C2" i="123"/>
  <c r="C2" i="173"/>
  <c r="C2" i="114"/>
  <c r="C2" i="96"/>
  <c r="C2" i="138"/>
  <c r="C2" i="164"/>
  <c r="C2" i="53"/>
  <c r="C2" i="78"/>
  <c r="C2" i="83"/>
  <c r="C2" i="176"/>
  <c r="C2" i="54"/>
  <c r="C2" i="101"/>
  <c r="C2" i="71"/>
  <c r="C2" i="129"/>
  <c r="C2" i="162"/>
  <c r="C2" i="99"/>
  <c r="C2" i="155"/>
  <c r="C2" i="63"/>
  <c r="C2" i="120"/>
  <c r="C2" i="87"/>
  <c r="C2" i="110"/>
  <c r="C2" i="115"/>
  <c r="C2" i="159"/>
  <c r="C2" i="107"/>
  <c r="C2" i="163"/>
  <c r="C2" i="102"/>
  <c r="C2" i="118"/>
  <c r="C2" i="77"/>
  <c r="C2" i="154"/>
  <c r="C2" i="177"/>
  <c r="C2" i="52"/>
  <c r="C2" i="14"/>
  <c r="C2" i="89"/>
  <c r="C2" i="55"/>
  <c r="C2" i="106"/>
  <c r="C2" i="175"/>
  <c r="C2" i="112"/>
  <c r="C2" i="95"/>
  <c r="C2" i="128"/>
  <c r="C2" i="100"/>
  <c r="C2" i="82"/>
  <c r="C2" i="153"/>
  <c r="C2" i="88"/>
  <c r="C2" i="119"/>
  <c r="C2" i="132"/>
  <c r="C2" i="167"/>
  <c r="C2" i="180"/>
  <c r="C2" i="67"/>
  <c r="C2" i="65"/>
  <c r="C2" i="170"/>
  <c r="C2" i="182"/>
  <c r="C2" i="62"/>
  <c r="C2" i="181"/>
  <c r="C2" i="94"/>
  <c r="C2" i="111"/>
  <c r="C2" i="64"/>
  <c r="C2" i="61"/>
  <c r="C2" i="68"/>
  <c r="C2" i="121"/>
  <c r="C2" i="126"/>
  <c r="C2" i="139"/>
  <c r="C2" i="116"/>
  <c r="C2" i="86"/>
  <c r="C2" i="127"/>
  <c r="C2" i="137"/>
  <c r="C2" i="158"/>
  <c r="D16" i="69"/>
  <c r="D15" i="69"/>
  <c r="C2" i="178"/>
  <c r="C2" i="179"/>
  <c r="D8" i="77"/>
  <c r="D8" i="66"/>
  <c r="C2" i="157"/>
  <c r="C2" i="130"/>
  <c r="C2" i="46"/>
  <c r="D10" i="14"/>
  <c r="C2" i="47"/>
  <c r="C2" i="166"/>
  <c r="C2" i="117"/>
  <c r="D12" i="55"/>
  <c r="C2" i="131"/>
  <c r="C2" i="161"/>
  <c r="D8" i="14"/>
  <c r="D13" i="63"/>
  <c r="D8" i="69"/>
  <c r="D9" i="69"/>
  <c r="D10" i="69"/>
  <c r="D12" i="69"/>
  <c r="D13" i="69"/>
  <c r="D14" i="69"/>
  <c r="C2" i="143"/>
  <c r="C2" i="141"/>
  <c r="C2" i="142"/>
  <c r="C2" i="140"/>
  <c r="C2" i="144"/>
  <c r="C2" i="151"/>
  <c r="C2" i="145"/>
  <c r="C2" i="150"/>
  <c r="D8" i="145"/>
  <c r="D7" i="145"/>
  <c r="D10" i="145"/>
  <c r="D6" i="145"/>
  <c r="D9" i="145"/>
  <c r="D5" i="145"/>
  <c r="D7" i="144"/>
  <c r="D6" i="144"/>
  <c r="D5" i="144"/>
  <c r="D8" i="144"/>
  <c r="D8" i="143"/>
  <c r="D6" i="143"/>
  <c r="D9" i="143"/>
  <c r="D5" i="143"/>
  <c r="D7" i="143"/>
  <c r="D8" i="142"/>
  <c r="D7" i="142"/>
  <c r="D9" i="142"/>
  <c r="D6" i="142"/>
  <c r="D5" i="142"/>
  <c r="D6" i="141"/>
  <c r="D5" i="141"/>
  <c r="D6" i="140"/>
  <c r="D5" i="140"/>
  <c r="D8" i="140"/>
  <c r="D7" i="140"/>
  <c r="D12" i="63"/>
  <c r="D10" i="55"/>
  <c r="D11" i="68"/>
  <c r="D12" i="68"/>
  <c r="D11" i="63"/>
  <c r="D5" i="118"/>
  <c r="D5" i="119"/>
  <c r="D6" i="118"/>
  <c r="D5" i="117"/>
  <c r="D9" i="117"/>
  <c r="D6" i="119"/>
  <c r="D7" i="118"/>
  <c r="D6" i="117"/>
  <c r="D7" i="117"/>
  <c r="D8" i="117"/>
  <c r="D7" i="114"/>
  <c r="D11" i="114"/>
  <c r="D5" i="115"/>
  <c r="D8" i="114"/>
  <c r="D6" i="114"/>
  <c r="D9" i="114"/>
  <c r="D5" i="114"/>
  <c r="D10" i="114"/>
  <c r="D5" i="112"/>
  <c r="D7" i="109"/>
  <c r="D6" i="109"/>
  <c r="D8" i="109"/>
  <c r="D9" i="109"/>
  <c r="D5" i="109"/>
  <c r="D10" i="109"/>
  <c r="D6" i="104"/>
  <c r="D10" i="104"/>
  <c r="D9" i="103"/>
  <c r="D8" i="104"/>
  <c r="D9" i="104"/>
  <c r="D5" i="103"/>
  <c r="D5" i="104"/>
  <c r="D6" i="103"/>
  <c r="D7" i="103"/>
  <c r="D7" i="104"/>
  <c r="D7" i="98"/>
  <c r="D5" i="99"/>
  <c r="D8" i="98"/>
  <c r="D6" i="99"/>
  <c r="D5" i="98"/>
  <c r="D9" i="98"/>
  <c r="D7" i="99"/>
  <c r="D6" i="98"/>
  <c r="D5" i="96"/>
  <c r="D9" i="96"/>
  <c r="D6" i="96"/>
  <c r="D7" i="96"/>
  <c r="D6" i="95"/>
  <c r="D7" i="95"/>
  <c r="D6" i="94"/>
  <c r="D8" i="96"/>
  <c r="D7" i="94"/>
  <c r="D9" i="95"/>
  <c r="D5" i="95"/>
  <c r="D8" i="94"/>
  <c r="D5" i="90"/>
  <c r="D9" i="94"/>
  <c r="D8" i="95"/>
  <c r="D5" i="94"/>
  <c r="D6" i="90"/>
  <c r="D7" i="90"/>
  <c r="D8" i="90"/>
  <c r="D7" i="84"/>
  <c r="D6" i="83"/>
  <c r="D10" i="83"/>
  <c r="D8" i="84"/>
  <c r="D7" i="83"/>
  <c r="D11" i="83"/>
  <c r="D9" i="90"/>
  <c r="D5" i="84"/>
  <c r="D9" i="84"/>
  <c r="D6" i="84"/>
  <c r="D5" i="83"/>
  <c r="D9" i="83"/>
  <c r="D7" i="80"/>
  <c r="D6" i="79"/>
  <c r="D8" i="83"/>
  <c r="D5" i="81"/>
  <c r="D8" i="80"/>
  <c r="D7" i="79"/>
  <c r="D5" i="80"/>
  <c r="D9" i="80"/>
  <c r="D7" i="78"/>
  <c r="D5" i="77"/>
  <c r="D9" i="78"/>
  <c r="D10" i="80"/>
  <c r="D5" i="78"/>
  <c r="D10" i="78"/>
  <c r="D6" i="77"/>
  <c r="D5" i="76"/>
  <c r="D6" i="78"/>
  <c r="D5" i="79"/>
  <c r="D7" i="77"/>
  <c r="D6" i="76"/>
  <c r="D6" i="80"/>
  <c r="D8" i="78"/>
  <c r="D7" i="76"/>
  <c r="D7" i="69"/>
  <c r="D6" i="68"/>
  <c r="D10" i="68"/>
  <c r="D5" i="67"/>
  <c r="D7" i="68"/>
  <c r="D15" i="68"/>
  <c r="D5" i="66"/>
  <c r="D8" i="68"/>
  <c r="D6" i="66"/>
  <c r="D5" i="69"/>
  <c r="D5" i="68"/>
  <c r="D9" i="68"/>
  <c r="D7" i="66"/>
  <c r="D6" i="69"/>
  <c r="D6" i="63"/>
  <c r="D10" i="63"/>
  <c r="D7" i="63"/>
  <c r="D14" i="63"/>
  <c r="D8" i="63"/>
  <c r="D5" i="63"/>
  <c r="D9" i="63"/>
  <c r="D7" i="56"/>
  <c r="D6" i="55"/>
  <c r="D11" i="55"/>
  <c r="D8" i="56"/>
  <c r="D7" i="55"/>
  <c r="D5" i="56"/>
  <c r="D9" i="56"/>
  <c r="D6" i="56"/>
  <c r="D8" i="55"/>
  <c r="D9" i="55"/>
  <c r="D5" i="55"/>
  <c r="D12" i="2"/>
  <c r="D11" i="2"/>
  <c r="D10" i="2"/>
  <c r="D9" i="2"/>
  <c r="D20" i="13"/>
  <c r="D9" i="14"/>
  <c r="D6" i="14"/>
  <c r="D5" i="14"/>
  <c r="D7" i="14"/>
  <c r="D5" i="2"/>
  <c r="D6" i="2"/>
  <c r="D7" i="2"/>
  <c r="D8" i="2"/>
  <c r="C2" i="2"/>
  <c r="G144" i="31" a="1"/>
  <c r="G43" i="31" a="1"/>
  <c r="G12" i="31" a="1"/>
  <c r="H43" i="31" a="1"/>
  <c r="G74" i="31" a="1"/>
  <c r="H144" i="31" a="1"/>
  <c r="G111" i="31" a="1"/>
  <c r="H12" i="31" a="1"/>
  <c r="H111" i="31" a="1"/>
  <c r="G124" i="31" a="1"/>
  <c r="G150" i="31" a="1"/>
  <c r="G90" i="31" a="1"/>
  <c r="H74" i="31" a="1"/>
  <c r="G90" i="31" l="1"/>
  <c r="G150" i="31"/>
  <c r="G124" i="31"/>
  <c r="G74" i="31"/>
  <c r="H111" i="31"/>
  <c r="H12" i="31"/>
  <c r="G12" i="31"/>
  <c r="H144" i="31"/>
  <c r="G111" i="31"/>
  <c r="H74" i="31"/>
  <c r="G144" i="31"/>
  <c r="H43" i="31"/>
  <c r="G43" i="31"/>
  <c r="L2" i="80"/>
  <c r="L2" i="14"/>
  <c r="L2" i="114"/>
  <c r="L2" i="118"/>
  <c r="L2" i="68"/>
  <c r="L2" i="103"/>
  <c r="O8" i="103" s="1"/>
  <c r="L2" i="83"/>
  <c r="L2" i="117"/>
  <c r="O12" i="14" l="1"/>
  <c r="O13" i="14"/>
  <c r="O17" i="83"/>
  <c r="O15" i="83"/>
  <c r="O13" i="83"/>
  <c r="O8" i="14"/>
  <c r="O11" i="14"/>
  <c r="O13" i="68"/>
  <c r="O14" i="68"/>
  <c r="O12" i="114"/>
  <c r="O12" i="83"/>
  <c r="O10" i="14"/>
  <c r="O9" i="117"/>
  <c r="O6" i="117"/>
  <c r="O8" i="117"/>
  <c r="O5" i="117"/>
  <c r="O7" i="117"/>
  <c r="O12" i="68"/>
  <c r="O11" i="68"/>
  <c r="O6" i="68"/>
  <c r="O7" i="68"/>
  <c r="O10" i="68"/>
  <c r="O5" i="68"/>
  <c r="O9" i="68"/>
  <c r="O8" i="68"/>
  <c r="O15" i="68"/>
  <c r="O6" i="114"/>
  <c r="O7" i="114"/>
  <c r="O8" i="114"/>
  <c r="O9" i="114"/>
  <c r="O10" i="114"/>
  <c r="O11" i="114"/>
  <c r="O5" i="114"/>
  <c r="O5" i="83"/>
  <c r="O7" i="83"/>
  <c r="O7" i="118"/>
  <c r="O6" i="83"/>
  <c r="O8" i="83"/>
  <c r="O6" i="118"/>
  <c r="O11" i="83"/>
  <c r="O9" i="83"/>
  <c r="O10" i="83"/>
  <c r="O5" i="118"/>
  <c r="O7" i="103"/>
  <c r="O6" i="103"/>
  <c r="O9" i="103"/>
  <c r="O5" i="103"/>
  <c r="Q6" i="14"/>
  <c r="I3" i="2"/>
  <c r="G3" i="2"/>
  <c r="I2" i="2"/>
  <c r="G2" i="2"/>
  <c r="E2" i="2"/>
  <c r="G40" i="31" a="1"/>
  <c r="H127" i="31" a="1"/>
  <c r="H119" i="31" a="1"/>
  <c r="G37" i="31" a="1"/>
  <c r="H149" i="31" a="1"/>
  <c r="G70" i="31" a="1"/>
  <c r="G8" i="31" a="1"/>
  <c r="G153" i="31" a="1"/>
  <c r="H103" i="31" a="1"/>
  <c r="H8" i="31" a="1"/>
  <c r="H73" i="31" a="1"/>
  <c r="G148" i="31" a="1"/>
  <c r="H73" i="31" l="1"/>
  <c r="G37" i="31"/>
  <c r="H149" i="31"/>
  <c r="G148" i="31"/>
  <c r="L2" i="165" s="1"/>
  <c r="O15" i="165" s="1"/>
  <c r="G153" i="31"/>
  <c r="L2" i="120" s="1"/>
  <c r="O10" i="120" s="1"/>
  <c r="H103" i="31"/>
  <c r="H8" i="31"/>
  <c r="H127" i="31"/>
  <c r="H119" i="31"/>
  <c r="G8" i="31"/>
  <c r="L2" i="51" s="1"/>
  <c r="O32" i="51" s="1"/>
  <c r="G70" i="31"/>
  <c r="L2" i="132" s="1"/>
  <c r="O11" i="132" s="1"/>
  <c r="G40" i="31"/>
  <c r="Q5" i="14"/>
  <c r="Q8" i="2"/>
  <c r="R14" i="13"/>
  <c r="R13" i="13"/>
  <c r="R12" i="13"/>
  <c r="R6" i="13"/>
  <c r="H40" i="31" a="1"/>
  <c r="H72" i="31" a="1"/>
  <c r="H42" i="31" a="1"/>
  <c r="G122" i="31" a="1"/>
  <c r="H70" i="31" a="1"/>
  <c r="G101" i="31" a="1"/>
  <c r="H107" i="31" a="1"/>
  <c r="H126" i="31" a="1"/>
  <c r="H60" i="31" a="1"/>
  <c r="H91" i="31" a="1"/>
  <c r="G7" i="31" a="1"/>
  <c r="H3" i="31" a="1"/>
  <c r="H153" i="31" a="1"/>
  <c r="H54" i="31" a="1"/>
  <c r="H66" i="31" a="1"/>
  <c r="H148" i="31" a="1"/>
  <c r="G98" i="31" a="1"/>
  <c r="G127" i="31" a="1"/>
  <c r="G112" i="31" a="1"/>
  <c r="H151" i="31" a="1"/>
  <c r="G102" i="31" a="1"/>
  <c r="G125" i="31" a="1"/>
  <c r="G119" i="31" a="1"/>
  <c r="G140" i="31" a="1"/>
  <c r="W242" i="29" a="1"/>
  <c r="G71" i="31" a="1"/>
  <c r="G66" i="31" a="1"/>
  <c r="G133" i="31" a="1"/>
  <c r="H112" i="31" a="1"/>
  <c r="F242" i="29" a="1"/>
  <c r="G149" i="31" a="1"/>
  <c r="H98" i="31" a="1"/>
  <c r="H146" i="31" a="1"/>
  <c r="H147" i="31" a="1"/>
  <c r="G3" i="31" a="1"/>
  <c r="G132" i="31" a="1"/>
  <c r="H101" i="31" a="1"/>
  <c r="H71" i="31" a="1"/>
  <c r="G44" i="31" a="1"/>
  <c r="G6" i="31" a="1"/>
  <c r="H122" i="31" a="1"/>
  <c r="H7" i="31" a="1"/>
  <c r="G54" i="31" a="1"/>
  <c r="H125" i="31" a="1"/>
  <c r="H44" i="31" a="1"/>
  <c r="G72" i="31" a="1"/>
  <c r="G103" i="31" a="1"/>
  <c r="H133" i="31" a="1"/>
  <c r="G58" i="31" a="1"/>
  <c r="H58" i="31" a="1"/>
  <c r="G105" i="31" a="1"/>
  <c r="H41" i="31" a="1"/>
  <c r="H140" i="31" a="1"/>
  <c r="G91" i="31" a="1"/>
  <c r="G151" i="31" a="1"/>
  <c r="G145" i="31" a="1"/>
  <c r="H102" i="31" a="1"/>
  <c r="G10" i="31" a="1"/>
  <c r="G42" i="31" a="1"/>
  <c r="G4" i="31" a="1"/>
  <c r="H132" i="31" a="1"/>
  <c r="H6" i="31" a="1"/>
  <c r="H105" i="31" a="1"/>
  <c r="H37" i="31" a="1"/>
  <c r="G147" i="31" a="1"/>
  <c r="G146" i="31" a="1"/>
  <c r="H4" i="31" a="1"/>
  <c r="G60" i="31" a="1"/>
  <c r="G73" i="31" a="1"/>
  <c r="H10" i="31" a="1"/>
  <c r="G126" i="31" a="1"/>
  <c r="G107" i="31" a="1"/>
  <c r="H145" i="31" a="1"/>
  <c r="R588" i="28" a="1"/>
  <c r="H145" i="31" l="1"/>
  <c r="G107" i="31"/>
  <c r="G126" i="31"/>
  <c r="H10" i="31"/>
  <c r="G73" i="31"/>
  <c r="L2" i="183" s="1"/>
  <c r="G60" i="31"/>
  <c r="H4" i="31"/>
  <c r="G146" i="31"/>
  <c r="L2" i="163" s="1"/>
  <c r="G147" i="31"/>
  <c r="L2" i="164" s="1"/>
  <c r="O17" i="164" s="1"/>
  <c r="H37" i="31"/>
  <c r="H105" i="31"/>
  <c r="H6" i="31"/>
  <c r="H132" i="31"/>
  <c r="G4" i="31"/>
  <c r="L2" i="47" s="1"/>
  <c r="O17" i="47" s="1"/>
  <c r="G42" i="31"/>
  <c r="L2" i="202" s="1"/>
  <c r="G10" i="31"/>
  <c r="L2" i="53" s="1"/>
  <c r="H102" i="31"/>
  <c r="G145" i="31"/>
  <c r="L2" i="162" s="1"/>
  <c r="O14" i="162" s="1"/>
  <c r="G151" i="31"/>
  <c r="L2" i="119" s="1"/>
  <c r="G91" i="31"/>
  <c r="H140" i="31"/>
  <c r="H41" i="31"/>
  <c r="G105" i="31"/>
  <c r="H58" i="31"/>
  <c r="G58" i="31"/>
  <c r="H133" i="31"/>
  <c r="G103" i="31"/>
  <c r="G72" i="31"/>
  <c r="L2" i="184" s="1"/>
  <c r="H44" i="31"/>
  <c r="H125" i="31"/>
  <c r="G54" i="31"/>
  <c r="H7" i="31"/>
  <c r="H122" i="31"/>
  <c r="G6" i="31"/>
  <c r="L2" i="48" s="1"/>
  <c r="G44" i="31"/>
  <c r="H71" i="31"/>
  <c r="H101" i="31"/>
  <c r="G132" i="31"/>
  <c r="L2" i="141" s="1"/>
  <c r="O56" i="141" s="1"/>
  <c r="G3" i="31"/>
  <c r="L2" i="46" s="1"/>
  <c r="H147" i="31"/>
  <c r="H146" i="31"/>
  <c r="H98" i="31"/>
  <c r="G149" i="31"/>
  <c r="L2" i="167" s="1"/>
  <c r="O25" i="167" s="1"/>
  <c r="F242" i="29"/>
  <c r="H112" i="31"/>
  <c r="G133" i="31"/>
  <c r="L2" i="142" s="1"/>
  <c r="G66" i="31"/>
  <c r="G71" i="31"/>
  <c r="L2" i="133" s="1"/>
  <c r="O20" i="133" s="1"/>
  <c r="W242" i="29"/>
  <c r="G140" i="31"/>
  <c r="L2" i="143" s="1"/>
  <c r="O41" i="143" s="1"/>
  <c r="G119" i="31"/>
  <c r="G125" i="31"/>
  <c r="G102" i="31"/>
  <c r="H151" i="31"/>
  <c r="G112" i="31"/>
  <c r="G127" i="31"/>
  <c r="L2" i="140" s="1"/>
  <c r="G98" i="31"/>
  <c r="H148" i="31"/>
  <c r="H66" i="31"/>
  <c r="H54" i="31"/>
  <c r="H153" i="31"/>
  <c r="H3" i="31"/>
  <c r="G7" i="31"/>
  <c r="L2" i="50" s="1"/>
  <c r="H91" i="31"/>
  <c r="H60" i="31"/>
  <c r="H126" i="31"/>
  <c r="H107" i="31"/>
  <c r="G101" i="31"/>
  <c r="H70" i="31"/>
  <c r="G122" i="31"/>
  <c r="H42" i="31"/>
  <c r="H72" i="31"/>
  <c r="H40" i="31"/>
  <c r="O6" i="133"/>
  <c r="O24" i="167"/>
  <c r="O17" i="202"/>
  <c r="O18" i="202"/>
  <c r="O54" i="141"/>
  <c r="O55" i="141"/>
  <c r="O22" i="141"/>
  <c r="O23" i="141"/>
  <c r="O25" i="46"/>
  <c r="O54" i="46"/>
  <c r="O6" i="46"/>
  <c r="O42" i="46"/>
  <c r="O41" i="46"/>
  <c r="O73" i="46"/>
  <c r="O14" i="46"/>
  <c r="O24" i="46"/>
  <c r="O70" i="46"/>
  <c r="O102" i="46"/>
  <c r="O65" i="46"/>
  <c r="O45" i="46"/>
  <c r="O85" i="46"/>
  <c r="O50" i="46"/>
  <c r="O80" i="46"/>
  <c r="O58" i="46"/>
  <c r="O105" i="46"/>
  <c r="O8" i="46"/>
  <c r="O43" i="46"/>
  <c r="O88" i="46"/>
  <c r="O37" i="46"/>
  <c r="O90" i="46"/>
  <c r="O61" i="46"/>
  <c r="O76" i="46"/>
  <c r="O57" i="46"/>
  <c r="O81" i="46"/>
  <c r="O59" i="46"/>
  <c r="O89" i="46"/>
  <c r="O92" i="46"/>
  <c r="O72" i="46"/>
  <c r="O97" i="46"/>
  <c r="O74" i="46"/>
  <c r="O22" i="46"/>
  <c r="O11" i="46"/>
  <c r="O23" i="46"/>
  <c r="O13" i="46"/>
  <c r="O9" i="46"/>
  <c r="O84" i="46"/>
  <c r="O77" i="46"/>
  <c r="O19" i="46"/>
  <c r="O17" i="46"/>
  <c r="O48" i="46"/>
  <c r="O64" i="46"/>
  <c r="O44" i="46"/>
  <c r="O53" i="46"/>
  <c r="O46" i="46"/>
  <c r="O20" i="46"/>
  <c r="O75" i="46"/>
  <c r="O79" i="46"/>
  <c r="O60" i="46"/>
  <c r="O69" i="46"/>
  <c r="O62" i="46"/>
  <c r="O21" i="46"/>
  <c r="O95" i="46"/>
  <c r="O98" i="46"/>
  <c r="O91" i="46"/>
  <c r="O100" i="46"/>
  <c r="O93" i="46"/>
  <c r="O18" i="46"/>
  <c r="O101" i="46"/>
  <c r="O99" i="46"/>
  <c r="O87" i="46"/>
  <c r="O52" i="46"/>
  <c r="O15" i="46"/>
  <c r="O47" i="46"/>
  <c r="O40" i="46"/>
  <c r="O68" i="46"/>
  <c r="O63" i="46"/>
  <c r="O56" i="46"/>
  <c r="O83" i="46"/>
  <c r="O109" i="46"/>
  <c r="O7" i="46"/>
  <c r="O82" i="46"/>
  <c r="O78" i="46"/>
  <c r="O71" i="46"/>
  <c r="O39" i="46"/>
  <c r="O108" i="46"/>
  <c r="O66" i="46"/>
  <c r="O5" i="46"/>
  <c r="O26" i="46"/>
  <c r="O51" i="46"/>
  <c r="O10" i="46"/>
  <c r="O38" i="46"/>
  <c r="O94" i="46"/>
  <c r="O103" i="46"/>
  <c r="O55" i="46"/>
  <c r="O106" i="46"/>
  <c r="O49" i="46"/>
  <c r="O12" i="46"/>
  <c r="O67" i="46"/>
  <c r="O16" i="46"/>
  <c r="O96" i="46"/>
  <c r="O86" i="46"/>
  <c r="O107" i="46"/>
  <c r="O104" i="46"/>
  <c r="O32" i="202"/>
  <c r="O33" i="202"/>
  <c r="O30" i="202"/>
  <c r="O31" i="202"/>
  <c r="O29" i="202"/>
  <c r="O20" i="202"/>
  <c r="O19" i="202"/>
  <c r="O13" i="202"/>
  <c r="O9" i="202"/>
  <c r="O7" i="202"/>
  <c r="O10" i="202"/>
  <c r="O8" i="202"/>
  <c r="O28" i="202"/>
  <c r="O15" i="202"/>
  <c r="O6" i="202"/>
  <c r="O26" i="202"/>
  <c r="O14" i="202"/>
  <c r="O25" i="202"/>
  <c r="O24" i="202"/>
  <c r="O22" i="202"/>
  <c r="O23" i="202"/>
  <c r="O11" i="202"/>
  <c r="O16" i="202"/>
  <c r="R588" i="28"/>
  <c r="O9" i="120"/>
  <c r="O10" i="53"/>
  <c r="O14" i="53"/>
  <c r="O18" i="53"/>
  <c r="O22" i="53"/>
  <c r="O26" i="53"/>
  <c r="O30" i="53"/>
  <c r="O9" i="53"/>
  <c r="O13" i="53"/>
  <c r="O17" i="53"/>
  <c r="O21" i="53"/>
  <c r="O25" i="53"/>
  <c r="O29" i="53"/>
  <c r="O33" i="53"/>
  <c r="O8" i="53"/>
  <c r="O12" i="53"/>
  <c r="O16" i="53"/>
  <c r="O20" i="53"/>
  <c r="O24" i="53"/>
  <c r="O28" i="53"/>
  <c r="O32" i="53"/>
  <c r="O11" i="53"/>
  <c r="O15" i="53"/>
  <c r="O19" i="53"/>
  <c r="O23" i="53"/>
  <c r="O27" i="53"/>
  <c r="O31" i="53"/>
  <c r="O27" i="51"/>
  <c r="O31" i="51"/>
  <c r="O26" i="51"/>
  <c r="O30" i="51"/>
  <c r="O29" i="51"/>
  <c r="O28" i="51"/>
  <c r="O16" i="50"/>
  <c r="O20" i="50"/>
  <c r="O22" i="50"/>
  <c r="O23" i="50"/>
  <c r="O27" i="50"/>
  <c r="O34" i="50"/>
  <c r="O38" i="50"/>
  <c r="O37" i="50"/>
  <c r="O19" i="50"/>
  <c r="O26" i="50"/>
  <c r="O30" i="50"/>
  <c r="O33" i="50"/>
  <c r="O18" i="50"/>
  <c r="O25" i="50"/>
  <c r="O29" i="50"/>
  <c r="O32" i="50"/>
  <c r="O36" i="50"/>
  <c r="O17" i="50"/>
  <c r="O21" i="50"/>
  <c r="O24" i="50"/>
  <c r="O28" i="50"/>
  <c r="O31" i="50"/>
  <c r="O35" i="50"/>
  <c r="O18" i="48"/>
  <c r="O20" i="48"/>
  <c r="O21" i="48"/>
  <c r="O25" i="48"/>
  <c r="O34" i="48"/>
  <c r="O38" i="48"/>
  <c r="O37" i="48"/>
  <c r="O17" i="48"/>
  <c r="O24" i="48"/>
  <c r="O28" i="48"/>
  <c r="O30" i="48"/>
  <c r="O33" i="48"/>
  <c r="O41" i="48"/>
  <c r="O36" i="48"/>
  <c r="O40" i="48"/>
  <c r="O16" i="48"/>
  <c r="O23" i="48"/>
  <c r="O27" i="48"/>
  <c r="O29" i="48"/>
  <c r="O32" i="48"/>
  <c r="O19" i="48"/>
  <c r="O22" i="48"/>
  <c r="O26" i="48"/>
  <c r="O31" i="48"/>
  <c r="O35" i="48"/>
  <c r="O39" i="48"/>
  <c r="O22" i="47"/>
  <c r="O29" i="47"/>
  <c r="O39" i="47"/>
  <c r="O43" i="47"/>
  <c r="O47" i="47"/>
  <c r="O51" i="47"/>
  <c r="O55" i="47"/>
  <c r="O59" i="47"/>
  <c r="O61" i="47"/>
  <c r="O23" i="47"/>
  <c r="O25" i="47"/>
  <c r="O28" i="47"/>
  <c r="O32" i="47"/>
  <c r="O35" i="47"/>
  <c r="O38" i="47"/>
  <c r="O42" i="47"/>
  <c r="O46" i="47"/>
  <c r="O50" i="47"/>
  <c r="O54" i="47"/>
  <c r="O58" i="47"/>
  <c r="O60" i="47"/>
  <c r="O63" i="47"/>
  <c r="O24" i="47"/>
  <c r="O27" i="47"/>
  <c r="O31" i="47"/>
  <c r="O34" i="47"/>
  <c r="O37" i="47"/>
  <c r="O41" i="47"/>
  <c r="O45" i="47"/>
  <c r="O49" i="47"/>
  <c r="O53" i="47"/>
  <c r="O57" i="47"/>
  <c r="O26" i="47"/>
  <c r="O30" i="47"/>
  <c r="O33" i="47"/>
  <c r="O36" i="47"/>
  <c r="O40" i="47"/>
  <c r="O44" i="47"/>
  <c r="O48" i="47"/>
  <c r="O52" i="47"/>
  <c r="O56" i="47"/>
  <c r="O62" i="47"/>
  <c r="O66" i="141"/>
  <c r="O42" i="141"/>
  <c r="O53" i="141"/>
  <c r="O59" i="141"/>
  <c r="O7" i="141"/>
  <c r="O40" i="142"/>
  <c r="O41" i="142"/>
  <c r="O35" i="142"/>
  <c r="O34" i="143"/>
  <c r="O10" i="143"/>
  <c r="O10" i="142"/>
  <c r="O12" i="140"/>
  <c r="O16" i="140"/>
  <c r="O20" i="162"/>
  <c r="O13" i="162"/>
  <c r="O13" i="165"/>
  <c r="O19" i="165"/>
  <c r="O15" i="164"/>
  <c r="O15" i="163"/>
  <c r="O16" i="163"/>
  <c r="O21" i="167"/>
  <c r="O22" i="167"/>
  <c r="O19" i="167"/>
  <c r="O18" i="167"/>
  <c r="O23" i="167"/>
  <c r="O20" i="167"/>
  <c r="O20" i="143"/>
  <c r="O25" i="143"/>
  <c r="O19" i="143"/>
  <c r="O24" i="143"/>
  <c r="O18" i="143"/>
  <c r="O23" i="143"/>
  <c r="O17" i="143"/>
  <c r="O22" i="143"/>
  <c r="O21" i="143"/>
  <c r="O26" i="143"/>
  <c r="O31" i="143"/>
  <c r="O35" i="143"/>
  <c r="O36" i="143"/>
  <c r="O38" i="143"/>
  <c r="O33" i="143"/>
  <c r="O37" i="143"/>
  <c r="O39" i="143"/>
  <c r="O32" i="143"/>
  <c r="O40" i="143"/>
  <c r="O34" i="142"/>
  <c r="O33" i="142"/>
  <c r="O32" i="142"/>
  <c r="O18" i="142"/>
  <c r="O17" i="142"/>
  <c r="O20" i="142"/>
  <c r="O19" i="142"/>
  <c r="O21" i="141"/>
  <c r="O52" i="141"/>
  <c r="O64" i="141"/>
  <c r="O49" i="141"/>
  <c r="O63" i="141"/>
  <c r="O50" i="141"/>
  <c r="O62" i="141"/>
  <c r="O39" i="141"/>
  <c r="O33" i="141"/>
  <c r="O40" i="141"/>
  <c r="O34" i="141"/>
  <c r="O41" i="141"/>
  <c r="O35" i="141"/>
  <c r="O36" i="141"/>
  <c r="O70" i="141"/>
  <c r="O43" i="141"/>
  <c r="O37" i="141"/>
  <c r="O73" i="141"/>
  <c r="O44" i="141"/>
  <c r="O38" i="141"/>
  <c r="O45" i="141"/>
  <c r="O71" i="141"/>
  <c r="O72" i="141"/>
  <c r="O46" i="141"/>
  <c r="O65" i="141"/>
  <c r="O67" i="141"/>
  <c r="O47" i="141"/>
  <c r="O51" i="141"/>
  <c r="O48" i="141"/>
  <c r="O28" i="142"/>
  <c r="O29" i="142"/>
  <c r="O30" i="142"/>
  <c r="O27" i="142"/>
  <c r="O5" i="184"/>
  <c r="O20" i="184"/>
  <c r="O19" i="184"/>
  <c r="O6" i="184"/>
  <c r="O15" i="184"/>
  <c r="O7" i="184"/>
  <c r="O9" i="184"/>
  <c r="O10" i="184"/>
  <c r="O11" i="184"/>
  <c r="O12" i="184"/>
  <c r="O13" i="184"/>
  <c r="O14" i="184"/>
  <c r="O16" i="184"/>
  <c r="O17" i="184"/>
  <c r="O10" i="183"/>
  <c r="O5" i="183"/>
  <c r="O8" i="183"/>
  <c r="O7" i="183"/>
  <c r="O9" i="183"/>
  <c r="O11" i="183"/>
  <c r="O9" i="48"/>
  <c r="O12" i="48"/>
  <c r="O15" i="48"/>
  <c r="O13" i="48"/>
  <c r="O5" i="48"/>
  <c r="O6" i="48"/>
  <c r="O8" i="48"/>
  <c r="O14" i="48"/>
  <c r="O10" i="48"/>
  <c r="O7" i="48"/>
  <c r="O11" i="48"/>
  <c r="O17" i="141"/>
  <c r="O18" i="141"/>
  <c r="O11" i="165"/>
  <c r="O12" i="165"/>
  <c r="O12" i="167"/>
  <c r="O11" i="167"/>
  <c r="O10" i="167"/>
  <c r="O9" i="167"/>
  <c r="O8" i="167"/>
  <c r="O14" i="167"/>
  <c r="O13" i="167"/>
  <c r="O7" i="167"/>
  <c r="O28" i="167"/>
  <c r="O26" i="167"/>
  <c r="O16" i="167"/>
  <c r="O17" i="167"/>
  <c r="O27" i="167"/>
  <c r="O5" i="167"/>
  <c r="O15" i="167"/>
  <c r="O6" i="165"/>
  <c r="O9" i="165"/>
  <c r="O14" i="165"/>
  <c r="O18" i="165"/>
  <c r="O5" i="165"/>
  <c r="O17" i="165"/>
  <c r="O16" i="165"/>
  <c r="O10" i="165"/>
  <c r="O7" i="165"/>
  <c r="O7" i="164"/>
  <c r="O11" i="164"/>
  <c r="O14" i="164"/>
  <c r="O6" i="164"/>
  <c r="O13" i="164"/>
  <c r="O16" i="164"/>
  <c r="O10" i="164"/>
  <c r="O9" i="164"/>
  <c r="O5" i="164"/>
  <c r="O5" i="163"/>
  <c r="O9" i="163"/>
  <c r="O10" i="163"/>
  <c r="O11" i="163"/>
  <c r="O13" i="163"/>
  <c r="O7" i="163"/>
  <c r="O8" i="163"/>
  <c r="O14" i="163"/>
  <c r="O21" i="162"/>
  <c r="O15" i="162"/>
  <c r="O17" i="162"/>
  <c r="O16" i="162"/>
  <c r="O6" i="162"/>
  <c r="O7" i="162"/>
  <c r="O8" i="162"/>
  <c r="O5" i="162"/>
  <c r="O12" i="162"/>
  <c r="O11" i="162"/>
  <c r="O10" i="162"/>
  <c r="O19" i="162"/>
  <c r="O23" i="162"/>
  <c r="O18" i="162"/>
  <c r="O5" i="120"/>
  <c r="O8" i="120"/>
  <c r="O6" i="120"/>
  <c r="O7" i="120"/>
  <c r="O6" i="119"/>
  <c r="O5" i="119"/>
  <c r="O8" i="119"/>
  <c r="O9" i="119"/>
  <c r="O14" i="119"/>
  <c r="O12" i="119"/>
  <c r="O10" i="119"/>
  <c r="O15" i="119"/>
  <c r="O13" i="119"/>
  <c r="L2" i="79"/>
  <c r="O33" i="79" s="1"/>
  <c r="L2" i="69"/>
  <c r="L2" i="116"/>
  <c r="L2" i="115"/>
  <c r="L2" i="77"/>
  <c r="O58" i="77" s="1"/>
  <c r="L2" i="98"/>
  <c r="O10" i="98" s="1"/>
  <c r="L2" i="99"/>
  <c r="L2" i="90"/>
  <c r="O10" i="90" s="1"/>
  <c r="L2" i="95"/>
  <c r="O10" i="95" s="1"/>
  <c r="L2" i="94"/>
  <c r="O10" i="94" s="1"/>
  <c r="L2" i="104"/>
  <c r="O11" i="104" s="1"/>
  <c r="L2" i="84"/>
  <c r="O10" i="84" s="1"/>
  <c r="L2" i="109"/>
  <c r="O11" i="109" s="1"/>
  <c r="L2" i="76"/>
  <c r="O30" i="76" s="1"/>
  <c r="L2" i="112"/>
  <c r="O38" i="112" s="1"/>
  <c r="L2" i="78"/>
  <c r="L2" i="96"/>
  <c r="O10" i="96" s="1"/>
  <c r="O8" i="143"/>
  <c r="O5" i="143"/>
  <c r="O7" i="143"/>
  <c r="O13" i="143"/>
  <c r="O6" i="143"/>
  <c r="O12" i="143"/>
  <c r="O14" i="143"/>
  <c r="O27" i="143"/>
  <c r="O30" i="143"/>
  <c r="O9" i="143"/>
  <c r="O28" i="143"/>
  <c r="O29" i="143"/>
  <c r="O16" i="143"/>
  <c r="O31" i="142"/>
  <c r="O22" i="142"/>
  <c r="O7" i="142"/>
  <c r="O24" i="142"/>
  <c r="O37" i="142"/>
  <c r="O6" i="142"/>
  <c r="O9" i="142"/>
  <c r="O25" i="142"/>
  <c r="O38" i="142"/>
  <c r="O14" i="142"/>
  <c r="O36" i="142"/>
  <c r="O39" i="142"/>
  <c r="O12" i="142"/>
  <c r="O21" i="142"/>
  <c r="O26" i="142"/>
  <c r="O16" i="142"/>
  <c r="O8" i="142"/>
  <c r="O13" i="142"/>
  <c r="O23" i="142"/>
  <c r="O5" i="142"/>
  <c r="O57" i="141"/>
  <c r="O5" i="141"/>
  <c r="O25" i="141"/>
  <c r="O20" i="141"/>
  <c r="O58" i="141"/>
  <c r="O30" i="141"/>
  <c r="O11" i="141"/>
  <c r="O60" i="141"/>
  <c r="O26" i="141"/>
  <c r="O69" i="141"/>
  <c r="O14" i="141"/>
  <c r="O9" i="141"/>
  <c r="O28" i="141"/>
  <c r="O31" i="141"/>
  <c r="O13" i="141"/>
  <c r="O12" i="141"/>
  <c r="O19" i="141"/>
  <c r="O16" i="141"/>
  <c r="O10" i="141"/>
  <c r="O6" i="141"/>
  <c r="O32" i="141"/>
  <c r="O15" i="141"/>
  <c r="O61" i="141"/>
  <c r="O27" i="141"/>
  <c r="O29" i="141"/>
  <c r="O10" i="140"/>
  <c r="O19" i="140"/>
  <c r="O13" i="140"/>
  <c r="O11" i="140"/>
  <c r="O15" i="140"/>
  <c r="O8" i="140"/>
  <c r="O18" i="140"/>
  <c r="O14" i="140"/>
  <c r="O5" i="140"/>
  <c r="O7" i="140"/>
  <c r="O6" i="140"/>
  <c r="O20" i="140"/>
  <c r="O5" i="133"/>
  <c r="O9" i="133"/>
  <c r="O10" i="133"/>
  <c r="O18" i="133"/>
  <c r="O14" i="133"/>
  <c r="O15" i="133"/>
  <c r="O19" i="133"/>
  <c r="O13" i="133"/>
  <c r="O11" i="133"/>
  <c r="O12" i="133"/>
  <c r="O7" i="133"/>
  <c r="O16" i="133"/>
  <c r="O13" i="132"/>
  <c r="O10" i="132"/>
  <c r="O15" i="132"/>
  <c r="O12" i="132"/>
  <c r="O5" i="132"/>
  <c r="O14" i="132"/>
  <c r="O9" i="132"/>
  <c r="O8" i="132"/>
  <c r="O18" i="132"/>
  <c r="O6" i="132"/>
  <c r="O17" i="132"/>
  <c r="O7" i="80"/>
  <c r="O5" i="80"/>
  <c r="O9" i="80"/>
  <c r="O8" i="80"/>
  <c r="O6" i="80"/>
  <c r="O10" i="80"/>
  <c r="O11" i="47"/>
  <c r="O9" i="47"/>
  <c r="O10" i="47"/>
  <c r="O19" i="47"/>
  <c r="O18" i="47"/>
  <c r="O16" i="47"/>
  <c r="O8" i="47"/>
  <c r="O15" i="47"/>
  <c r="O6" i="47"/>
  <c r="O5" i="47"/>
  <c r="O7" i="47"/>
  <c r="O21" i="47"/>
  <c r="O13" i="47"/>
  <c r="O12" i="47"/>
  <c r="O14" i="47"/>
  <c r="O20" i="47"/>
  <c r="Q7" i="2"/>
  <c r="Q14" i="14"/>
  <c r="P5" i="2" s="1"/>
  <c r="R139" i="28" a="1"/>
  <c r="F334" i="29" a="1"/>
  <c r="R90" i="28" a="1"/>
  <c r="M86" i="27" a="1"/>
  <c r="R43" i="28" a="1"/>
  <c r="V6" i="30" a="1"/>
  <c r="R89" i="28" a="1"/>
  <c r="F372" i="29" a="1"/>
  <c r="G142" i="31" a="1"/>
  <c r="H78" i="31" a="1"/>
  <c r="G135" i="31" a="1"/>
  <c r="R144" i="28" a="1"/>
  <c r="R83" i="28" a="1"/>
  <c r="R479" i="28" a="1"/>
  <c r="C86" i="27" a="1"/>
  <c r="H139" i="31" a="1"/>
  <c r="R152" i="28" a="1"/>
  <c r="D8" i="30" a="1"/>
  <c r="R104" i="28" a="1"/>
  <c r="R426" i="28" a="1"/>
  <c r="F331" i="29" a="1"/>
  <c r="D47" i="30" a="1"/>
  <c r="R114" i="28" a="1"/>
  <c r="R50" i="28" a="1"/>
  <c r="R42" i="28" a="1"/>
  <c r="D48" i="30" a="1"/>
  <c r="R154" i="28" a="1"/>
  <c r="W373" i="29" a="1"/>
  <c r="G78" i="31" a="1"/>
  <c r="W333" i="29" a="1"/>
  <c r="F373" i="29" a="1"/>
  <c r="R130" i="28" a="1"/>
  <c r="F369" i="29" a="1"/>
  <c r="R442" i="28" a="1"/>
  <c r="F366" i="29" a="1"/>
  <c r="R476" i="28" a="1"/>
  <c r="H130" i="31" a="1"/>
  <c r="R29" i="28" a="1"/>
  <c r="W78" i="29" a="1"/>
  <c r="R243" i="28" a="1"/>
  <c r="R477" i="28" a="1"/>
  <c r="G83" i="31" a="1"/>
  <c r="F371" i="29" a="1"/>
  <c r="H143" i="31" a="1"/>
  <c r="D29" i="30" a="1"/>
  <c r="W372" i="29" a="1"/>
  <c r="R506" i="28" a="1"/>
  <c r="R128" i="28" a="1"/>
  <c r="R468" i="28" a="1"/>
  <c r="R195" i="28" a="1"/>
  <c r="W170" i="29" a="1"/>
  <c r="F332" i="29" a="1"/>
  <c r="F375" i="29" a="1"/>
  <c r="R160" i="28" a="1"/>
  <c r="W368" i="29" a="1"/>
  <c r="R273" i="28" a="1"/>
  <c r="F333" i="29" a="1"/>
  <c r="H152" i="31" a="1"/>
  <c r="H128" i="31" a="1"/>
  <c r="H138" i="31" a="1"/>
  <c r="R369" i="28" a="1"/>
  <c r="V61" i="30" a="1"/>
  <c r="D75" i="30" a="1"/>
  <c r="H75" i="31" a="1"/>
  <c r="R146" i="28" a="1"/>
  <c r="F338" i="29" a="1"/>
  <c r="G41" i="31" a="1"/>
  <c r="R97" i="28" a="1"/>
  <c r="G129" i="31" a="1"/>
  <c r="R192" i="28" a="1"/>
  <c r="V12" i="30" a="1"/>
  <c r="F336" i="29" a="1"/>
  <c r="D5" i="30" a="1"/>
  <c r="R416" i="28" a="1"/>
  <c r="V67" i="30" a="1"/>
  <c r="R82" i="28" a="1"/>
  <c r="V10" i="30" a="1"/>
  <c r="R125" i="28" a="1"/>
  <c r="G118" i="31" a="1"/>
  <c r="W171" i="29" a="1"/>
  <c r="H77" i="31" a="1"/>
  <c r="R103" i="28" a="1"/>
  <c r="W374" i="29" a="1"/>
  <c r="H5" i="31" a="1"/>
  <c r="F80" i="29" a="1"/>
  <c r="H141" i="31" a="1"/>
  <c r="R408" i="28" a="1"/>
  <c r="R431" i="28" a="1"/>
  <c r="G136" i="31" a="1"/>
  <c r="V26" i="30" a="1"/>
  <c r="H137" i="31" a="1"/>
  <c r="R145" i="28" a="1"/>
  <c r="V86" i="30" a="1"/>
  <c r="R27" i="28" a="1"/>
  <c r="G9" i="31" a="1"/>
  <c r="R459" i="28" a="1"/>
  <c r="R123" i="28" a="1"/>
  <c r="R28" i="28" a="1"/>
  <c r="G5" i="31" a="1"/>
  <c r="V91" i="30" a="1"/>
  <c r="W375" i="29" a="1"/>
  <c r="W331" i="29" a="1"/>
  <c r="R467" i="28" a="1"/>
  <c r="W366" i="29" a="1"/>
  <c r="R597" i="28" a="1"/>
  <c r="V47" i="30" a="1"/>
  <c r="W79" i="29" a="1"/>
  <c r="F367" i="29" a="1"/>
  <c r="W334" i="29" a="1"/>
  <c r="R126" i="28" a="1"/>
  <c r="D26" i="30" a="1"/>
  <c r="W77" i="29" a="1"/>
  <c r="R41" i="28" a="1"/>
  <c r="W367" i="29" a="1"/>
  <c r="R129" i="28" a="1"/>
  <c r="G75" i="31" a="1"/>
  <c r="F169" i="29" a="1"/>
  <c r="F374" i="29" a="1"/>
  <c r="F377" i="29" a="1"/>
  <c r="W376" i="29" a="1"/>
  <c r="D86" i="30" a="1"/>
  <c r="G130" i="31" a="1"/>
  <c r="W330" i="29" a="1"/>
  <c r="R430" i="28" a="1"/>
  <c r="V90" i="30" a="1"/>
  <c r="R542" i="28" a="1"/>
  <c r="R91" i="28" a="1"/>
  <c r="D51" i="30" a="1"/>
  <c r="H131" i="31" a="1"/>
  <c r="V51" i="30" a="1"/>
  <c r="R258" i="28" a="1"/>
  <c r="R295" i="28" a="1"/>
  <c r="R93" i="28" a="1"/>
  <c r="V48" i="30" a="1"/>
  <c r="D31" i="30" a="1"/>
  <c r="W377" i="29" a="1"/>
  <c r="R36" i="28" a="1"/>
  <c r="H134" i="31" a="1"/>
  <c r="W371" i="29" a="1"/>
  <c r="G134" i="31" a="1"/>
  <c r="R21" i="28" a="1"/>
  <c r="R78" i="28" a="1"/>
  <c r="V75" i="30" a="1"/>
  <c r="F78" i="29" a="1"/>
  <c r="G137" i="31" a="1"/>
  <c r="W369" i="29" a="1"/>
  <c r="G97" i="31" a="1"/>
  <c r="W336" i="29" a="1"/>
  <c r="M102" i="27" a="1"/>
  <c r="F368" i="29" a="1"/>
  <c r="H135" i="31" a="1"/>
  <c r="R423" i="28" a="1"/>
  <c r="R127" i="28" a="1"/>
  <c r="R191" i="28" a="1"/>
  <c r="R222" i="28" a="1"/>
  <c r="G138" i="31" a="1"/>
  <c r="R101" i="28" a="1"/>
  <c r="F81" i="29" a="1"/>
  <c r="F168" i="29" a="1"/>
  <c r="F335" i="29" a="1"/>
  <c r="R115" i="28" a="1"/>
  <c r="W81" i="29" a="1"/>
  <c r="W370" i="29" a="1"/>
  <c r="W168" i="29" a="1"/>
  <c r="D27" i="30" a="1"/>
  <c r="R462" i="28" a="1"/>
  <c r="W335" i="29" a="1"/>
  <c r="R94" i="28" a="1"/>
  <c r="V27" i="30" a="1"/>
  <c r="H142" i="31" a="1"/>
  <c r="R460" i="28" a="1"/>
  <c r="R141" i="28" a="1"/>
  <c r="M111" i="27" a="1"/>
  <c r="V16" i="30" a="1"/>
  <c r="R194" i="28" a="1"/>
  <c r="H129" i="31" a="1"/>
  <c r="H97" i="31" a="1"/>
  <c r="F79" i="29" a="1"/>
  <c r="R26" i="28" a="1"/>
  <c r="R11" i="28" a="1"/>
  <c r="W169" i="29" a="1"/>
  <c r="H9" i="31" a="1"/>
  <c r="V8" i="30" a="1"/>
  <c r="R172" i="28" a="1"/>
  <c r="H83" i="31" a="1"/>
  <c r="R190" i="28" a="1"/>
  <c r="R589" i="28" a="1"/>
  <c r="G139" i="31" a="1"/>
  <c r="M77" i="27" a="1"/>
  <c r="D67" i="30" a="1"/>
  <c r="G143" i="31" a="1"/>
  <c r="R511" i="28" a="1"/>
  <c r="D10" i="30" a="1"/>
  <c r="R415" i="28" a="1"/>
  <c r="R480" i="28" a="1"/>
  <c r="C102" i="27" a="1"/>
  <c r="R474" i="28" a="1"/>
  <c r="C111" i="27" a="1"/>
  <c r="D90" i="30" a="1"/>
  <c r="R482" i="28" a="1"/>
  <c r="R131" i="28" a="1"/>
  <c r="R411" i="28" a="1"/>
  <c r="R137" i="28" a="1"/>
  <c r="R543" i="28" a="1"/>
  <c r="R461" i="28" a="1"/>
  <c r="W82" i="29" a="1"/>
  <c r="F82" i="29" a="1"/>
  <c r="W80" i="29" a="1"/>
  <c r="D61" i="30" a="1"/>
  <c r="R96" i="28" a="1"/>
  <c r="W338" i="29" a="1"/>
  <c r="R361" i="28" a="1"/>
  <c r="W332" i="29" a="1"/>
  <c r="R122" i="28" a="1"/>
  <c r="R432" i="28" a="1"/>
  <c r="R203" i="28" a="1"/>
  <c r="F170" i="29" a="1"/>
  <c r="F77" i="29" a="1"/>
  <c r="R422" i="28" a="1"/>
  <c r="R39" i="28" a="1"/>
  <c r="R87" i="28" a="1"/>
  <c r="R308" i="28" a="1"/>
  <c r="V5" i="30" a="1"/>
  <c r="F376" i="29" a="1"/>
  <c r="D91" i="30" a="1"/>
  <c r="G131" i="31" a="1"/>
  <c r="R553" i="28" a="1"/>
  <c r="R586" i="28" a="1"/>
  <c r="R193" i="28" a="1"/>
  <c r="R79" i="28" a="1"/>
  <c r="R149" i="28" a="1"/>
  <c r="R414" i="28" a="1"/>
  <c r="D16" i="30" a="1"/>
  <c r="D6" i="30" a="1"/>
  <c r="R88" i="28" a="1"/>
  <c r="R25" i="28" a="1"/>
  <c r="R24" i="28" a="1"/>
  <c r="F330" i="29" a="1"/>
  <c r="V31" i="30" a="1"/>
  <c r="H118" i="31" a="1"/>
  <c r="R425" i="28" a="1"/>
  <c r="G152" i="31" a="1"/>
  <c r="G128" i="31" a="1"/>
  <c r="R483" i="28" a="1"/>
  <c r="G77" i="31" a="1"/>
  <c r="V29" i="30" a="1"/>
  <c r="G141" i="31" a="1"/>
  <c r="F171" i="29" a="1"/>
  <c r="R568" i="28" a="1"/>
  <c r="H136" i="31" a="1"/>
  <c r="R413" i="28" a="1"/>
  <c r="F370" i="29" a="1"/>
  <c r="R40" i="28" a="1"/>
  <c r="R562" i="28" a="1"/>
  <c r="C77" i="27" a="1"/>
  <c r="R102" i="28" a="1"/>
  <c r="R481" i="28" a="1"/>
  <c r="R353" i="28" a="1"/>
  <c r="R488" i="28" a="1"/>
  <c r="R466" i="28" a="1"/>
  <c r="D12" i="30" a="1"/>
  <c r="R194" i="28" l="1"/>
  <c r="V27" i="30"/>
  <c r="D27" i="30"/>
  <c r="F170" i="29"/>
  <c r="W170" i="29"/>
  <c r="O11" i="69"/>
  <c r="O17" i="69"/>
  <c r="O29" i="69"/>
  <c r="O30" i="69"/>
  <c r="O28" i="69"/>
  <c r="O43" i="69"/>
  <c r="O39" i="99"/>
  <c r="O40" i="99"/>
  <c r="O13" i="99"/>
  <c r="O35" i="99"/>
  <c r="O12" i="99"/>
  <c r="R468" i="28"/>
  <c r="R426" i="28"/>
  <c r="R39" i="28"/>
  <c r="R408" i="28"/>
  <c r="R144" i="28"/>
  <c r="R422" i="28"/>
  <c r="R483" i="28"/>
  <c r="R127" i="28"/>
  <c r="R89" i="28"/>
  <c r="R480" i="28"/>
  <c r="R476" i="28"/>
  <c r="R597" i="28"/>
  <c r="R481" i="28"/>
  <c r="R413" i="28"/>
  <c r="R414" i="28"/>
  <c r="R432" i="28"/>
  <c r="R125" i="28"/>
  <c r="R461" i="28"/>
  <c r="R477" i="28"/>
  <c r="R411" i="28"/>
  <c r="R28" i="28"/>
  <c r="R482" i="28"/>
  <c r="R11" i="28"/>
  <c r="R431" i="28"/>
  <c r="R467" i="28"/>
  <c r="R479" i="28"/>
  <c r="R423" i="28"/>
  <c r="R123" i="28"/>
  <c r="R40" i="28"/>
  <c r="R87" i="28"/>
  <c r="R353" i="28"/>
  <c r="R466" i="28"/>
  <c r="R93" i="28"/>
  <c r="R131" i="28"/>
  <c r="R26" i="28"/>
  <c r="R415" i="28"/>
  <c r="R416" i="28"/>
  <c r="R79" i="28"/>
  <c r="R126" i="28"/>
  <c r="R25" i="28"/>
  <c r="R27" i="28"/>
  <c r="R91" i="28"/>
  <c r="R462" i="28"/>
  <c r="R29" i="28"/>
  <c r="R130" i="28"/>
  <c r="R41" i="28"/>
  <c r="M111" i="27"/>
  <c r="C111" i="27"/>
  <c r="D5" i="30"/>
  <c r="V5" i="30"/>
  <c r="V31" i="30"/>
  <c r="D31" i="30"/>
  <c r="D29" i="30"/>
  <c r="V29" i="30"/>
  <c r="V6" i="30"/>
  <c r="D6" i="30"/>
  <c r="R160" i="28"/>
  <c r="V10" i="30"/>
  <c r="D10" i="30"/>
  <c r="V8" i="30"/>
  <c r="D8" i="30"/>
  <c r="R243" i="28"/>
  <c r="R258" i="28"/>
  <c r="R193" i="28"/>
  <c r="R190" i="28"/>
  <c r="R295" i="28"/>
  <c r="R191" i="28"/>
  <c r="R192" i="28"/>
  <c r="W81" i="29"/>
  <c r="F81" i="29"/>
  <c r="F78" i="29"/>
  <c r="W78" i="29"/>
  <c r="F80" i="29"/>
  <c r="W80" i="29"/>
  <c r="F82" i="29"/>
  <c r="W82" i="29"/>
  <c r="F77" i="29"/>
  <c r="W77" i="29"/>
  <c r="F79" i="29"/>
  <c r="W79" i="29"/>
  <c r="R97" i="28"/>
  <c r="R146" i="28"/>
  <c r="R102" i="28"/>
  <c r="R154" i="28"/>
  <c r="R149" i="28"/>
  <c r="R101" i="28"/>
  <c r="R122" i="28"/>
  <c r="R96" i="28"/>
  <c r="R78" i="28"/>
  <c r="R139" i="28"/>
  <c r="R442" i="28"/>
  <c r="R24" i="28"/>
  <c r="R425" i="28"/>
  <c r="R88" i="28"/>
  <c r="R474" i="28"/>
  <c r="R83" i="28"/>
  <c r="R94" i="28"/>
  <c r="R82" i="28"/>
  <c r="R430" i="28"/>
  <c r="R222" i="28"/>
  <c r="R152" i="28"/>
  <c r="R488" i="28"/>
  <c r="R129" i="28"/>
  <c r="R128" i="28"/>
  <c r="R21" i="28"/>
  <c r="R137" i="28"/>
  <c r="R90" i="28"/>
  <c r="R141" i="28"/>
  <c r="R145" i="28"/>
  <c r="H118" i="31"/>
  <c r="H97" i="31"/>
  <c r="G118" i="31"/>
  <c r="L2" i="199" s="1"/>
  <c r="O17" i="98"/>
  <c r="O17" i="96"/>
  <c r="O17" i="95"/>
  <c r="O17" i="94"/>
  <c r="O17" i="90"/>
  <c r="G97" i="31"/>
  <c r="L2" i="200" s="1"/>
  <c r="O17" i="84"/>
  <c r="V12" i="30"/>
  <c r="D12" i="30"/>
  <c r="V86" i="30"/>
  <c r="D86" i="30"/>
  <c r="D75" i="30"/>
  <c r="V75" i="30"/>
  <c r="D16" i="30"/>
  <c r="V16" i="30"/>
  <c r="V26" i="30"/>
  <c r="D26" i="30"/>
  <c r="V47" i="30"/>
  <c r="D47" i="30"/>
  <c r="V61" i="30"/>
  <c r="D61" i="30"/>
  <c r="D91" i="30"/>
  <c r="V91" i="30"/>
  <c r="V51" i="30"/>
  <c r="D51" i="30"/>
  <c r="V48" i="30"/>
  <c r="D48" i="30"/>
  <c r="D67" i="30"/>
  <c r="V67" i="30"/>
  <c r="V90" i="30"/>
  <c r="D90" i="30"/>
  <c r="R103" i="28"/>
  <c r="R195" i="28"/>
  <c r="R511" i="28"/>
  <c r="R104" i="28"/>
  <c r="R308" i="28"/>
  <c r="R506" i="28"/>
  <c r="R203" i="28"/>
  <c r="R543" i="28"/>
  <c r="R589" i="28"/>
  <c r="R369" i="28"/>
  <c r="R114" i="28"/>
  <c r="R273" i="28"/>
  <c r="R542" i="28"/>
  <c r="R115" i="28"/>
  <c r="R43" i="28"/>
  <c r="R553" i="28"/>
  <c r="R172" i="28"/>
  <c r="R568" i="28"/>
  <c r="R361" i="28"/>
  <c r="R586" i="28"/>
  <c r="R36" i="28"/>
  <c r="R562" i="28"/>
  <c r="R459" i="28"/>
  <c r="R42" i="28"/>
  <c r="R460" i="28"/>
  <c r="R50" i="28"/>
  <c r="O23" i="69"/>
  <c r="O24" i="69"/>
  <c r="H139" i="31"/>
  <c r="G139" i="31"/>
  <c r="L2" i="198" s="1"/>
  <c r="O33" i="99"/>
  <c r="O34" i="99"/>
  <c r="O31" i="99"/>
  <c r="O32" i="99"/>
  <c r="O24" i="99"/>
  <c r="O25" i="99"/>
  <c r="O20" i="99"/>
  <c r="O21" i="99"/>
  <c r="O44" i="99"/>
  <c r="O45" i="99"/>
  <c r="O38" i="99"/>
  <c r="O43" i="99"/>
  <c r="O41" i="99"/>
  <c r="O42" i="99"/>
  <c r="O50" i="99"/>
  <c r="O37" i="99"/>
  <c r="O12" i="109"/>
  <c r="O13" i="109"/>
  <c r="O12" i="104"/>
  <c r="O13" i="104"/>
  <c r="O35" i="112"/>
  <c r="O30" i="112"/>
  <c r="O43" i="77"/>
  <c r="O59" i="77"/>
  <c r="F171" i="29"/>
  <c r="W171" i="29"/>
  <c r="M86" i="27"/>
  <c r="C86" i="27"/>
  <c r="W338" i="29"/>
  <c r="F338" i="29"/>
  <c r="H135" i="31"/>
  <c r="H143" i="31"/>
  <c r="H141" i="31"/>
  <c r="H142" i="31"/>
  <c r="H134" i="31"/>
  <c r="H136" i="31"/>
  <c r="H152" i="31"/>
  <c r="H137" i="31"/>
  <c r="H138" i="31"/>
  <c r="G135" i="31"/>
  <c r="L2" i="188" s="1"/>
  <c r="G143" i="31"/>
  <c r="L2" i="193" s="1"/>
  <c r="G141" i="31"/>
  <c r="L2" i="195" s="1"/>
  <c r="O24" i="195" s="1"/>
  <c r="G142" i="31"/>
  <c r="L2" i="194" s="1"/>
  <c r="O29" i="194" s="1"/>
  <c r="G134" i="31"/>
  <c r="L2" i="187" s="1"/>
  <c r="G136" i="31"/>
  <c r="L2" i="189" s="1"/>
  <c r="G152" i="31"/>
  <c r="L2" i="159" s="1"/>
  <c r="G131" i="31"/>
  <c r="G137" i="31"/>
  <c r="L2" i="190" s="1"/>
  <c r="O29" i="190" s="1"/>
  <c r="G138" i="31"/>
  <c r="L2" i="191" s="1"/>
  <c r="O27" i="191" s="1"/>
  <c r="O31" i="69"/>
  <c r="O32" i="69"/>
  <c r="O26" i="69"/>
  <c r="O19" i="69"/>
  <c r="O27" i="69"/>
  <c r="O21" i="69"/>
  <c r="O20" i="69"/>
  <c r="O16" i="69"/>
  <c r="O44" i="69"/>
  <c r="W336" i="29"/>
  <c r="F336" i="29"/>
  <c r="H128" i="31"/>
  <c r="G128" i="31"/>
  <c r="L2" i="186" s="1"/>
  <c r="O28" i="186" s="1"/>
  <c r="F334" i="29"/>
  <c r="W334" i="29"/>
  <c r="F335" i="29"/>
  <c r="W335" i="29"/>
  <c r="F333" i="29"/>
  <c r="W333" i="29"/>
  <c r="O28" i="99"/>
  <c r="H131" i="31"/>
  <c r="H83" i="31"/>
  <c r="H5" i="31"/>
  <c r="H75" i="31"/>
  <c r="H9" i="31"/>
  <c r="H129" i="31"/>
  <c r="H130" i="31"/>
  <c r="H77" i="31"/>
  <c r="H78" i="31"/>
  <c r="L2" i="170"/>
  <c r="G5" i="31"/>
  <c r="L2" i="49" s="1"/>
  <c r="O9" i="49" s="1"/>
  <c r="G83" i="31"/>
  <c r="L2" i="145" s="1"/>
  <c r="O11" i="145" s="1"/>
  <c r="G75" i="31"/>
  <c r="L2" i="81" s="1"/>
  <c r="G9" i="31"/>
  <c r="L2" i="52" s="1"/>
  <c r="G129" i="31"/>
  <c r="G130" i="31"/>
  <c r="G77" i="31"/>
  <c r="L2" i="82" s="1"/>
  <c r="G78" i="31"/>
  <c r="L2" i="144" s="1"/>
  <c r="O12" i="144" s="1"/>
  <c r="G41" i="31"/>
  <c r="L2" i="169" s="1"/>
  <c r="O17" i="169" s="1"/>
  <c r="Q12" i="2"/>
  <c r="M77" i="27"/>
  <c r="M102" i="27"/>
  <c r="C77" i="27"/>
  <c r="C102" i="27"/>
  <c r="F169" i="29"/>
  <c r="F366" i="29"/>
  <c r="F372" i="29"/>
  <c r="F367" i="29"/>
  <c r="F331" i="29"/>
  <c r="F330" i="29"/>
  <c r="F375" i="29"/>
  <c r="F168" i="29"/>
  <c r="F332" i="29"/>
  <c r="F369" i="29"/>
  <c r="F368" i="29"/>
  <c r="F373" i="29"/>
  <c r="F377" i="29"/>
  <c r="F370" i="29"/>
  <c r="F376" i="29"/>
  <c r="F371" i="29"/>
  <c r="F374" i="29"/>
  <c r="W169" i="29"/>
  <c r="W366" i="29"/>
  <c r="W372" i="29"/>
  <c r="W367" i="29"/>
  <c r="W331" i="29"/>
  <c r="W330" i="29"/>
  <c r="W375" i="29"/>
  <c r="W168" i="29"/>
  <c r="W332" i="29"/>
  <c r="W369" i="29"/>
  <c r="W368" i="29"/>
  <c r="W373" i="29"/>
  <c r="W377" i="29"/>
  <c r="W370" i="29"/>
  <c r="W376" i="29"/>
  <c r="W371" i="29"/>
  <c r="W374" i="29"/>
  <c r="O12" i="69"/>
  <c r="O15" i="69"/>
  <c r="O8" i="77"/>
  <c r="O46" i="77"/>
  <c r="O45" i="77"/>
  <c r="O44" i="77"/>
  <c r="O12" i="90"/>
  <c r="O42" i="77"/>
  <c r="O40" i="77"/>
  <c r="O41" i="77"/>
  <c r="O38" i="77"/>
  <c r="O37" i="77"/>
  <c r="O36" i="77"/>
  <c r="O39" i="77"/>
  <c r="O30" i="79"/>
  <c r="O31" i="79"/>
  <c r="O55" i="77"/>
  <c r="O53" i="77"/>
  <c r="O54" i="77"/>
  <c r="O19" i="79"/>
  <c r="O20" i="79"/>
  <c r="O21" i="76"/>
  <c r="O19" i="76"/>
  <c r="O20" i="76"/>
  <c r="O32" i="79"/>
  <c r="O33" i="112"/>
  <c r="O29" i="112"/>
  <c r="O12" i="112"/>
  <c r="O27" i="112"/>
  <c r="O28" i="79"/>
  <c r="O21" i="79"/>
  <c r="O11" i="79"/>
  <c r="O5" i="79"/>
  <c r="O23" i="79"/>
  <c r="O15" i="99"/>
  <c r="O29" i="99"/>
  <c r="O6" i="79"/>
  <c r="O36" i="99"/>
  <c r="O22" i="99"/>
  <c r="O14" i="79"/>
  <c r="O25" i="79"/>
  <c r="O13" i="79"/>
  <c r="O17" i="79"/>
  <c r="O7" i="79"/>
  <c r="O5" i="112"/>
  <c r="O22" i="112"/>
  <c r="O16" i="99"/>
  <c r="O16" i="98"/>
  <c r="O48" i="99"/>
  <c r="O15" i="90"/>
  <c r="O17" i="99"/>
  <c r="O5" i="90"/>
  <c r="O6" i="90"/>
  <c r="O7" i="90"/>
  <c r="O49" i="99"/>
  <c r="O26" i="99"/>
  <c r="O5" i="99"/>
  <c r="O9" i="99"/>
  <c r="O14" i="98"/>
  <c r="O23" i="99"/>
  <c r="O9" i="98"/>
  <c r="O12" i="98"/>
  <c r="O28" i="112"/>
  <c r="O8" i="98"/>
  <c r="O14" i="115"/>
  <c r="O28" i="76"/>
  <c r="O7" i="76"/>
  <c r="O5" i="109"/>
  <c r="O32" i="112"/>
  <c r="O18" i="112"/>
  <c r="O24" i="112"/>
  <c r="O23" i="112"/>
  <c r="O15" i="112"/>
  <c r="O19" i="112"/>
  <c r="O31" i="112"/>
  <c r="O10" i="112"/>
  <c r="O8" i="112"/>
  <c r="O37" i="112"/>
  <c r="O25" i="112"/>
  <c r="O14" i="112"/>
  <c r="O17" i="112"/>
  <c r="O13" i="76"/>
  <c r="O20" i="112"/>
  <c r="O7" i="112"/>
  <c r="O26" i="112"/>
  <c r="O22" i="69"/>
  <c r="O14" i="84"/>
  <c r="O8" i="90"/>
  <c r="O9" i="112"/>
  <c r="O16" i="112"/>
  <c r="O34" i="112"/>
  <c r="O21" i="112"/>
  <c r="O11" i="112"/>
  <c r="O5" i="84"/>
  <c r="O15" i="98"/>
  <c r="O7" i="98"/>
  <c r="O6" i="98"/>
  <c r="O11" i="116"/>
  <c r="O6" i="69"/>
  <c r="O9" i="116"/>
  <c r="O12" i="116"/>
  <c r="O14" i="69"/>
  <c r="O27" i="79"/>
  <c r="O34" i="77"/>
  <c r="O18" i="77"/>
  <c r="O9" i="79"/>
  <c r="O27" i="99"/>
  <c r="O19" i="99"/>
  <c r="O16" i="84"/>
  <c r="O7" i="116"/>
  <c r="O29" i="79"/>
  <c r="O16" i="79"/>
  <c r="O47" i="99"/>
  <c r="O18" i="99"/>
  <c r="O5" i="69"/>
  <c r="O11" i="99"/>
  <c r="O16" i="90"/>
  <c r="O14" i="90"/>
  <c r="O9" i="95"/>
  <c r="O5" i="115"/>
  <c r="O15" i="79"/>
  <c r="O34" i="69"/>
  <c r="O7" i="99"/>
  <c r="O5" i="98"/>
  <c r="O13" i="69"/>
  <c r="O24" i="79"/>
  <c r="O22" i="79"/>
  <c r="O6" i="99"/>
  <c r="O10" i="79"/>
  <c r="O12" i="79"/>
  <c r="O9" i="90"/>
  <c r="O6" i="95"/>
  <c r="O9" i="96"/>
  <c r="O6" i="116"/>
  <c r="O6" i="78"/>
  <c r="O30" i="99"/>
  <c r="O15" i="115"/>
  <c r="O10" i="99"/>
  <c r="O5" i="116"/>
  <c r="O7" i="69"/>
  <c r="O10" i="76"/>
  <c r="O15" i="76"/>
  <c r="O50" i="77"/>
  <c r="O30" i="77"/>
  <c r="O10" i="116"/>
  <c r="O8" i="116"/>
  <c r="O26" i="79"/>
  <c r="O7" i="115"/>
  <c r="O17" i="115"/>
  <c r="O12" i="84"/>
  <c r="O16" i="95"/>
  <c r="O15" i="95"/>
  <c r="O5" i="95"/>
  <c r="O7" i="84"/>
  <c r="O12" i="95"/>
  <c r="O15" i="84"/>
  <c r="O7" i="95"/>
  <c r="O8" i="95"/>
  <c r="O14" i="95"/>
  <c r="O6" i="84"/>
  <c r="O9" i="84"/>
  <c r="O12" i="115"/>
  <c r="O6" i="77"/>
  <c r="O12" i="96"/>
  <c r="O5" i="76"/>
  <c r="O17" i="77"/>
  <c r="O5" i="78"/>
  <c r="O9" i="78"/>
  <c r="O22" i="115"/>
  <c r="O18" i="76"/>
  <c r="O10" i="78"/>
  <c r="O27" i="76"/>
  <c r="O7" i="78"/>
  <c r="O8" i="78"/>
  <c r="O23" i="76"/>
  <c r="O10" i="115"/>
  <c r="O8" i="109"/>
  <c r="O9" i="109"/>
  <c r="O6" i="109"/>
  <c r="O16" i="76"/>
  <c r="O10" i="109"/>
  <c r="O7" i="109"/>
  <c r="O25" i="76"/>
  <c r="O8" i="84"/>
  <c r="O6" i="76"/>
  <c r="O37" i="69"/>
  <c r="O38" i="69"/>
  <c r="O35" i="69"/>
  <c r="O45" i="69"/>
  <c r="O29" i="76"/>
  <c r="O16" i="115"/>
  <c r="O8" i="69"/>
  <c r="O21" i="115"/>
  <c r="O39" i="69"/>
  <c r="O12" i="76"/>
  <c r="O42" i="69"/>
  <c r="O24" i="76"/>
  <c r="O9" i="115"/>
  <c r="O17" i="76"/>
  <c r="O11" i="76"/>
  <c r="O9" i="76"/>
  <c r="O23" i="115"/>
  <c r="O19" i="115"/>
  <c r="O11" i="115"/>
  <c r="O22" i="76"/>
  <c r="O20" i="115"/>
  <c r="O9" i="69"/>
  <c r="O26" i="76"/>
  <c r="O41" i="69"/>
  <c r="O40" i="69"/>
  <c r="O36" i="69"/>
  <c r="O10" i="69"/>
  <c r="O13" i="115"/>
  <c r="O56" i="77"/>
  <c r="O7" i="96"/>
  <c r="O10" i="77"/>
  <c r="O22" i="77"/>
  <c r="O14" i="96"/>
  <c r="O35" i="77"/>
  <c r="O27" i="77"/>
  <c r="O33" i="77"/>
  <c r="O47" i="77"/>
  <c r="O24" i="77"/>
  <c r="O57" i="77"/>
  <c r="O20" i="77"/>
  <c r="O26" i="77"/>
  <c r="O5" i="77"/>
  <c r="O6" i="96"/>
  <c r="O51" i="77"/>
  <c r="O32" i="77"/>
  <c r="O52" i="77"/>
  <c r="O49" i="77"/>
  <c r="O14" i="77"/>
  <c r="O16" i="77"/>
  <c r="O8" i="96"/>
  <c r="O13" i="77"/>
  <c r="O19" i="77"/>
  <c r="O7" i="77"/>
  <c r="O31" i="77"/>
  <c r="O14" i="94"/>
  <c r="O15" i="96"/>
  <c r="O16" i="96"/>
  <c r="O29" i="77"/>
  <c r="O7" i="94"/>
  <c r="O48" i="77"/>
  <c r="O28" i="77"/>
  <c r="O15" i="77"/>
  <c r="O12" i="77"/>
  <c r="O5" i="96"/>
  <c r="O23" i="77"/>
  <c r="O11" i="77"/>
  <c r="O25" i="77"/>
  <c r="O8" i="94"/>
  <c r="O6" i="94"/>
  <c r="O15" i="94"/>
  <c r="O5" i="104"/>
  <c r="O9" i="94"/>
  <c r="O5" i="94"/>
  <c r="O16" i="94"/>
  <c r="O12" i="94"/>
  <c r="O6" i="104"/>
  <c r="O10" i="104"/>
  <c r="O8" i="104"/>
  <c r="O7" i="104"/>
  <c r="O9" i="104"/>
  <c r="Q5" i="2"/>
  <c r="Q6" i="2"/>
  <c r="G100" i="31" a="1"/>
  <c r="H55" i="31" a="1"/>
  <c r="W111" i="29" a="1"/>
  <c r="G120" i="31" a="1"/>
  <c r="G93" i="31" a="1"/>
  <c r="W291" i="29" a="1"/>
  <c r="G59" i="31" a="1"/>
  <c r="V43" i="30" a="1"/>
  <c r="H45" i="31" a="1"/>
  <c r="D80" i="30" a="1"/>
  <c r="H68" i="31" a="1"/>
  <c r="R283" i="28" a="1"/>
  <c r="H63" i="31" a="1"/>
  <c r="F156" i="29" a="1"/>
  <c r="D55" i="30" a="1"/>
  <c r="V89" i="30" a="1"/>
  <c r="G121" i="31" a="1"/>
  <c r="H93" i="31" a="1"/>
  <c r="R81" i="28" a="1"/>
  <c r="F87" i="29" a="1"/>
  <c r="R587" i="28" a="1"/>
  <c r="H115" i="31" a="1"/>
  <c r="D30" i="30" a="1"/>
  <c r="R270" i="28" a="1"/>
  <c r="G56" i="31" a="1"/>
  <c r="G69" i="31" a="1"/>
  <c r="W113" i="29" a="1"/>
  <c r="F150" i="29" a="1"/>
  <c r="D56" i="30" a="1"/>
  <c r="D82" i="30" a="1"/>
  <c r="W88" i="29" a="1"/>
  <c r="G47" i="31" a="1"/>
  <c r="F114" i="29" a="1"/>
  <c r="W151" i="29" a="1"/>
  <c r="G50" i="31" a="1"/>
  <c r="H62" i="31" a="1"/>
  <c r="W303" i="29" a="1"/>
  <c r="H117" i="31" a="1"/>
  <c r="R358" i="28" a="1"/>
  <c r="R35" i="28" a="1"/>
  <c r="R552" i="28" a="1"/>
  <c r="W270" i="29" a="1"/>
  <c r="V73" i="30" a="1"/>
  <c r="G55" i="31" a="1"/>
  <c r="G113" i="31" a="1"/>
  <c r="F111" i="29" a="1"/>
  <c r="R54" i="28" a="1"/>
  <c r="R240" i="28" a="1"/>
  <c r="F303" i="29" a="1"/>
  <c r="G95" i="31" a="1"/>
  <c r="R374" i="28" a="1"/>
  <c r="H96" i="31" a="1"/>
  <c r="R120" i="28" a="1"/>
  <c r="H106" i="31" a="1"/>
  <c r="H92" i="31" a="1"/>
  <c r="W112" i="29" a="1"/>
  <c r="D71" i="30" a="1"/>
  <c r="R271" i="28" a="1"/>
  <c r="H120" i="31" a="1"/>
  <c r="G64" i="31" a="1"/>
  <c r="G115" i="31" a="1"/>
  <c r="D45" i="30" a="1"/>
  <c r="F149" i="29" a="1"/>
  <c r="D64" i="30" a="1"/>
  <c r="H59" i="31" a="1"/>
  <c r="F152" i="29" a="1"/>
  <c r="W243" i="29" a="1"/>
  <c r="H95" i="31" a="1"/>
  <c r="F291" i="29" a="1"/>
  <c r="H49" i="31" a="1"/>
  <c r="G68" i="31" a="1"/>
  <c r="F155" i="29" a="1"/>
  <c r="W153" i="29" a="1"/>
  <c r="G63" i="31" a="1"/>
  <c r="R521" i="28" a="1"/>
  <c r="W149" i="29" a="1"/>
  <c r="R436" i="28" a="1"/>
  <c r="W156" i="29" a="1"/>
  <c r="R52" i="28" a="1"/>
  <c r="F119" i="29" a="1"/>
  <c r="R263" i="28" a="1"/>
  <c r="R118" i="28" a="1"/>
  <c r="V55" i="30" a="1"/>
  <c r="G117" i="31" a="1"/>
  <c r="F292" i="29" a="1"/>
  <c r="W271" i="29" a="1"/>
  <c r="G65" i="31" a="1"/>
  <c r="D84" i="30" a="1"/>
  <c r="F113" i="29" a="1"/>
  <c r="H123" i="31" a="1"/>
  <c r="H99" i="31" a="1"/>
  <c r="G49" i="31" a="1"/>
  <c r="G110" i="31" a="1"/>
  <c r="F110" i="29" a="1"/>
  <c r="R548" i="28" a="1"/>
  <c r="G57" i="31" a="1"/>
  <c r="F154" i="29" a="1"/>
  <c r="R75" i="28" a="1"/>
  <c r="H46" i="31" a="1"/>
  <c r="V65" i="30" a="1"/>
  <c r="W152" i="29" a="1"/>
  <c r="H67" i="31" a="1"/>
  <c r="G99" i="31" a="1"/>
  <c r="H113" i="31" a="1"/>
  <c r="R398" i="28" a="1"/>
  <c r="W119" i="29" a="1"/>
  <c r="V63" i="30" a="1"/>
  <c r="F269" i="29" a="1"/>
  <c r="R452" i="28" a="1"/>
  <c r="H114" i="31" a="1"/>
  <c r="R199" i="28" a="1"/>
  <c r="H121" i="31" a="1"/>
  <c r="D73" i="30" a="1"/>
  <c r="W120" i="29" a="1"/>
  <c r="F83" i="29" a="1"/>
  <c r="R119" i="28" a="1"/>
  <c r="H65" i="31" a="1"/>
  <c r="G51" i="31" a="1"/>
  <c r="W269" i="29" a="1"/>
  <c r="G104" i="31" a="1"/>
  <c r="V30" i="30" a="1"/>
  <c r="V82" i="30" a="1"/>
  <c r="G94" i="31" a="1"/>
  <c r="F112" i="29" a="1"/>
  <c r="H94" i="31" a="1"/>
  <c r="R206" i="28" a="1"/>
  <c r="R346" i="28" a="1"/>
  <c r="F120" i="29" a="1"/>
  <c r="R10" i="28" a="1"/>
  <c r="G96" i="31" a="1"/>
  <c r="W155" i="29" a="1"/>
  <c r="V84" i="30" a="1"/>
  <c r="R252" i="28" a="1"/>
  <c r="G123" i="31" a="1"/>
  <c r="H51" i="31" a="1"/>
  <c r="R200" i="28" a="1"/>
  <c r="W150" i="29" a="1"/>
  <c r="F153" i="29" a="1"/>
  <c r="R379" i="28" a="1"/>
  <c r="H61" i="31" a="1"/>
  <c r="H104" i="31" a="1"/>
  <c r="H69" i="31" a="1"/>
  <c r="F148" i="29" a="1"/>
  <c r="W148" i="29" a="1"/>
  <c r="R595" i="28" a="1"/>
  <c r="G52" i="31" a="1"/>
  <c r="V64" i="30" a="1"/>
  <c r="D89" i="30" a="1"/>
  <c r="F243" i="29" a="1"/>
  <c r="H52" i="31" a="1"/>
  <c r="H57" i="31" a="1"/>
  <c r="H64" i="31" a="1"/>
  <c r="W83" i="29" a="1"/>
  <c r="G67" i="31" a="1"/>
  <c r="R30" i="28" a="1"/>
  <c r="D65" i="30" a="1"/>
  <c r="W114" i="29" a="1"/>
  <c r="F151" i="29" a="1"/>
  <c r="G62" i="31" a="1"/>
  <c r="V80" i="30" a="1"/>
  <c r="V74" i="30" a="1"/>
  <c r="F270" i="29" a="1"/>
  <c r="V54" i="30" a="1"/>
  <c r="V83" i="30" a="1"/>
  <c r="G106" i="31" a="1"/>
  <c r="F88" i="29" a="1"/>
  <c r="D76" i="30" a="1"/>
  <c r="W154" i="29" a="1"/>
  <c r="R207" i="28" a="1"/>
  <c r="G114" i="31" a="1"/>
  <c r="W292" i="29" a="1"/>
  <c r="H50" i="31" a="1"/>
  <c r="V76" i="30" a="1"/>
  <c r="W110" i="29" a="1"/>
  <c r="V56" i="30" a="1"/>
  <c r="H56" i="31" a="1"/>
  <c r="D83" i="30" a="1"/>
  <c r="H100" i="31" a="1"/>
  <c r="D54" i="30" a="1"/>
  <c r="G46" i="31" a="1"/>
  <c r="W87" i="29" a="1"/>
  <c r="H110" i="31" a="1"/>
  <c r="V71" i="30" a="1"/>
  <c r="F271" i="29" a="1"/>
  <c r="H108" i="31" a="1"/>
  <c r="G108" i="31" a="1"/>
  <c r="D63" i="30" a="1"/>
  <c r="G116" i="31" a="1"/>
  <c r="G61" i="31" a="1"/>
  <c r="D74" i="30" a="1"/>
  <c r="H47" i="31" a="1"/>
  <c r="R377" i="28" a="1"/>
  <c r="V45" i="30" a="1"/>
  <c r="R381" i="28" a="1"/>
  <c r="D43" i="30" a="1"/>
  <c r="G45" i="31" a="1"/>
  <c r="G92" i="31" a="1"/>
  <c r="H116" i="31" a="1"/>
  <c r="H52" i="31" l="1"/>
  <c r="H47" i="31"/>
  <c r="H51" i="31"/>
  <c r="H49" i="31"/>
  <c r="H45" i="31"/>
  <c r="H46" i="31"/>
  <c r="H50" i="31"/>
  <c r="R452" i="28"/>
  <c r="R252" i="28"/>
  <c r="O22" i="170"/>
  <c r="O11" i="170"/>
  <c r="O21" i="170"/>
  <c r="O39" i="49"/>
  <c r="O37" i="49"/>
  <c r="O38" i="49"/>
  <c r="O36" i="49"/>
  <c r="R595" i="28"/>
  <c r="O35" i="49"/>
  <c r="O10" i="52"/>
  <c r="O13" i="52"/>
  <c r="O17" i="52"/>
  <c r="O21" i="52"/>
  <c r="O25" i="52"/>
  <c r="O29" i="52"/>
  <c r="O9" i="52"/>
  <c r="O12" i="52"/>
  <c r="O16" i="52"/>
  <c r="O20" i="52"/>
  <c r="O24" i="52"/>
  <c r="O28" i="52"/>
  <c r="O8" i="52"/>
  <c r="O11" i="52"/>
  <c r="O15" i="52"/>
  <c r="O19" i="52"/>
  <c r="O23" i="52"/>
  <c r="O27" i="52"/>
  <c r="O31" i="52"/>
  <c r="O33" i="52"/>
  <c r="O14" i="52"/>
  <c r="O18" i="52"/>
  <c r="O22" i="52"/>
  <c r="O26" i="52"/>
  <c r="O30" i="52"/>
  <c r="O32" i="52"/>
  <c r="O27" i="49"/>
  <c r="O26" i="49"/>
  <c r="O31" i="49"/>
  <c r="O34" i="49"/>
  <c r="O25" i="49"/>
  <c r="O29" i="49"/>
  <c r="O33" i="49"/>
  <c r="O28" i="49"/>
  <c r="O30" i="49"/>
  <c r="O32" i="49"/>
  <c r="R436" i="28"/>
  <c r="R587" i="28"/>
  <c r="R81" i="28"/>
  <c r="O7" i="199"/>
  <c r="O8" i="199"/>
  <c r="O7" i="200"/>
  <c r="O8" i="200"/>
  <c r="O6" i="200"/>
  <c r="O12" i="200"/>
  <c r="O11" i="200"/>
  <c r="O14" i="200"/>
  <c r="O10" i="200"/>
  <c r="O13" i="200"/>
  <c r="O14" i="199"/>
  <c r="O6" i="199"/>
  <c r="O13" i="199"/>
  <c r="O11" i="199"/>
  <c r="O12" i="199"/>
  <c r="O10" i="199"/>
  <c r="W120" i="29"/>
  <c r="F120" i="29"/>
  <c r="V43" i="30"/>
  <c r="D43" i="30"/>
  <c r="V45" i="30"/>
  <c r="D45" i="30"/>
  <c r="V73" i="30"/>
  <c r="D73" i="30"/>
  <c r="V64" i="30"/>
  <c r="D64" i="30"/>
  <c r="D83" i="30"/>
  <c r="V83" i="30"/>
  <c r="V89" i="30"/>
  <c r="D89" i="30"/>
  <c r="V56" i="30"/>
  <c r="D56" i="30"/>
  <c r="D71" i="30"/>
  <c r="V71" i="30"/>
  <c r="V74" i="30"/>
  <c r="D74" i="30"/>
  <c r="D54" i="30"/>
  <c r="V54" i="30"/>
  <c r="V80" i="30"/>
  <c r="D80" i="30"/>
  <c r="V76" i="30"/>
  <c r="D76" i="30"/>
  <c r="V84" i="30"/>
  <c r="D84" i="30"/>
  <c r="D30" i="30"/>
  <c r="V30" i="30"/>
  <c r="V55" i="30"/>
  <c r="D55" i="30"/>
  <c r="V82" i="30"/>
  <c r="D82" i="30"/>
  <c r="V63" i="30"/>
  <c r="D63" i="30"/>
  <c r="V65" i="30"/>
  <c r="D65" i="30"/>
  <c r="R271" i="28"/>
  <c r="R119" i="28"/>
  <c r="R75" i="28"/>
  <c r="R521" i="28"/>
  <c r="R206" i="28"/>
  <c r="R30" i="28"/>
  <c r="R54" i="28"/>
  <c r="R358" i="28"/>
  <c r="R120" i="28"/>
  <c r="R200" i="28"/>
  <c r="R118" i="28"/>
  <c r="R199" i="28"/>
  <c r="R548" i="28"/>
  <c r="R207" i="28"/>
  <c r="R552" i="28"/>
  <c r="R346" i="28"/>
  <c r="R398" i="28"/>
  <c r="R52" i="28"/>
  <c r="R263" i="28"/>
  <c r="R283" i="28"/>
  <c r="R377" i="28"/>
  <c r="R10" i="28"/>
  <c r="R374" i="28"/>
  <c r="R270" i="28"/>
  <c r="R379" i="28"/>
  <c r="R35" i="28"/>
  <c r="R381" i="28"/>
  <c r="R240" i="28"/>
  <c r="F88" i="29"/>
  <c r="W88" i="29"/>
  <c r="W87" i="29"/>
  <c r="F87" i="29"/>
  <c r="O8" i="198"/>
  <c r="O21" i="198"/>
  <c r="O7" i="198"/>
  <c r="O23" i="198"/>
  <c r="O15" i="198"/>
  <c r="O13" i="198"/>
  <c r="O22" i="198"/>
  <c r="O14" i="198"/>
  <c r="O11" i="198"/>
  <c r="O5" i="198"/>
  <c r="O16" i="198"/>
  <c r="O10" i="198"/>
  <c r="O17" i="198"/>
  <c r="O12" i="198"/>
  <c r="O20" i="198"/>
  <c r="O19" i="198"/>
  <c r="O6" i="198"/>
  <c r="O18" i="198"/>
  <c r="O27" i="193"/>
  <c r="O26" i="191"/>
  <c r="O25" i="191"/>
  <c r="O25" i="193"/>
  <c r="O26" i="193"/>
  <c r="O24" i="191"/>
  <c r="O27" i="194"/>
  <c r="O28" i="194"/>
  <c r="O27" i="190"/>
  <c r="O28" i="190"/>
  <c r="O22" i="195"/>
  <c r="O23" i="195"/>
  <c r="O23" i="189"/>
  <c r="O24" i="189"/>
  <c r="O22" i="189"/>
  <c r="G123" i="31"/>
  <c r="L2" i="196" s="1"/>
  <c r="H123" i="31"/>
  <c r="O40" i="186"/>
  <c r="O27" i="186"/>
  <c r="O39" i="186"/>
  <c r="O16" i="144"/>
  <c r="O13" i="144"/>
  <c r="O14" i="144"/>
  <c r="O15" i="144"/>
  <c r="O19" i="189"/>
  <c r="O16" i="193"/>
  <c r="O23" i="193"/>
  <c r="O15" i="193"/>
  <c r="O20" i="193"/>
  <c r="O17" i="193"/>
  <c r="O19" i="193"/>
  <c r="O13" i="193"/>
  <c r="O24" i="193"/>
  <c r="O18" i="193"/>
  <c r="O14" i="193"/>
  <c r="O22" i="191"/>
  <c r="O23" i="194"/>
  <c r="O17" i="194"/>
  <c r="O12" i="194"/>
  <c r="O16" i="194"/>
  <c r="O18" i="194"/>
  <c r="O24" i="194"/>
  <c r="O13" i="194"/>
  <c r="O19" i="194"/>
  <c r="O21" i="194"/>
  <c r="O14" i="194"/>
  <c r="O25" i="194"/>
  <c r="O22" i="194"/>
  <c r="O20" i="194"/>
  <c r="O15" i="194"/>
  <c r="O26" i="194"/>
  <c r="O19" i="195"/>
  <c r="O21" i="195"/>
  <c r="O15" i="195"/>
  <c r="O18" i="195"/>
  <c r="O16" i="195"/>
  <c r="O11" i="195"/>
  <c r="O17" i="195"/>
  <c r="O12" i="195"/>
  <c r="O13" i="195"/>
  <c r="O14" i="195"/>
  <c r="O20" i="195"/>
  <c r="O21" i="191"/>
  <c r="O20" i="191"/>
  <c r="O16" i="191"/>
  <c r="O15" i="191"/>
  <c r="O14" i="191"/>
  <c r="O13" i="191"/>
  <c r="O13" i="188"/>
  <c r="O12" i="188"/>
  <c r="O11" i="188"/>
  <c r="O10" i="188"/>
  <c r="O14" i="188"/>
  <c r="O18" i="188"/>
  <c r="O17" i="188"/>
  <c r="O16" i="188"/>
  <c r="O8" i="194"/>
  <c r="O9" i="194"/>
  <c r="O5" i="194"/>
  <c r="O10" i="194"/>
  <c r="O7" i="194"/>
  <c r="O6" i="194"/>
  <c r="O7" i="195"/>
  <c r="O8" i="195"/>
  <c r="O9" i="195"/>
  <c r="O5" i="195"/>
  <c r="O6" i="195"/>
  <c r="O10" i="193"/>
  <c r="O11" i="193"/>
  <c r="O9" i="193"/>
  <c r="O8" i="193"/>
  <c r="O5" i="193"/>
  <c r="O7" i="193"/>
  <c r="O6" i="193"/>
  <c r="G52" i="31"/>
  <c r="L2" i="180" s="1"/>
  <c r="O15" i="180" s="1"/>
  <c r="O37" i="186"/>
  <c r="O38" i="186"/>
  <c r="O36" i="186"/>
  <c r="O26" i="186"/>
  <c r="O23" i="191"/>
  <c r="O19" i="191"/>
  <c r="O17" i="191"/>
  <c r="O18" i="191"/>
  <c r="O11" i="191"/>
  <c r="O5" i="191"/>
  <c r="O9" i="191"/>
  <c r="O8" i="191"/>
  <c r="O7" i="191"/>
  <c r="O10" i="191"/>
  <c r="O6" i="191"/>
  <c r="O14" i="190"/>
  <c r="O5" i="190"/>
  <c r="O10" i="190"/>
  <c r="O22" i="190"/>
  <c r="O18" i="190"/>
  <c r="O26" i="190"/>
  <c r="O12" i="190"/>
  <c r="O8" i="190"/>
  <c r="O15" i="190"/>
  <c r="O6" i="190"/>
  <c r="O13" i="190"/>
  <c r="O9" i="190"/>
  <c r="O19" i="190"/>
  <c r="O7" i="190"/>
  <c r="O25" i="190"/>
  <c r="O21" i="190"/>
  <c r="O23" i="190"/>
  <c r="O20" i="190"/>
  <c r="O16" i="190"/>
  <c r="O24" i="190"/>
  <c r="O17" i="190"/>
  <c r="O16" i="189"/>
  <c r="O21" i="189"/>
  <c r="O14" i="189"/>
  <c r="O17" i="189"/>
  <c r="O9" i="189"/>
  <c r="O15" i="189"/>
  <c r="O5" i="189"/>
  <c r="O13" i="189"/>
  <c r="O18" i="189"/>
  <c r="O20" i="189"/>
  <c r="O8" i="189"/>
  <c r="O7" i="189"/>
  <c r="O11" i="189"/>
  <c r="O6" i="189"/>
  <c r="O12" i="189"/>
  <c r="O15" i="188"/>
  <c r="O6" i="188"/>
  <c r="O7" i="188"/>
  <c r="O5" i="188"/>
  <c r="O8" i="188"/>
  <c r="O11" i="187"/>
  <c r="O7" i="187"/>
  <c r="O18" i="187"/>
  <c r="O12" i="187"/>
  <c r="O13" i="187"/>
  <c r="O17" i="187"/>
  <c r="O10" i="187"/>
  <c r="O8" i="187"/>
  <c r="O5" i="187"/>
  <c r="O15" i="187"/>
  <c r="O14" i="187"/>
  <c r="O16" i="187"/>
  <c r="O6" i="187"/>
  <c r="O13" i="186"/>
  <c r="O18" i="186"/>
  <c r="O17" i="186"/>
  <c r="O23" i="186"/>
  <c r="O11" i="186"/>
  <c r="O19" i="186"/>
  <c r="O14" i="186"/>
  <c r="O29" i="186"/>
  <c r="O7" i="186"/>
  <c r="O12" i="186"/>
  <c r="O8" i="186"/>
  <c r="O5" i="186"/>
  <c r="O20" i="186"/>
  <c r="O6" i="186"/>
  <c r="O32" i="186"/>
  <c r="O31" i="186"/>
  <c r="O22" i="186"/>
  <c r="O10" i="186"/>
  <c r="O35" i="186"/>
  <c r="O33" i="186"/>
  <c r="O9" i="186"/>
  <c r="O16" i="186"/>
  <c r="O34" i="186"/>
  <c r="O30" i="186"/>
  <c r="O25" i="186"/>
  <c r="O24" i="186"/>
  <c r="O21" i="186"/>
  <c r="W243" i="29"/>
  <c r="F243" i="29"/>
  <c r="H115" i="31"/>
  <c r="H55" i="31"/>
  <c r="H93" i="31"/>
  <c r="H65" i="31"/>
  <c r="H117" i="31"/>
  <c r="H114" i="31"/>
  <c r="H110" i="31"/>
  <c r="H68" i="31"/>
  <c r="H56" i="31"/>
  <c r="H62" i="31"/>
  <c r="H57" i="31"/>
  <c r="H59" i="31"/>
  <c r="H94" i="31"/>
  <c r="H96" i="31"/>
  <c r="H106" i="31"/>
  <c r="H92" i="31"/>
  <c r="H100" i="31"/>
  <c r="H120" i="31"/>
  <c r="H99" i="31"/>
  <c r="H67" i="31"/>
  <c r="H64" i="31"/>
  <c r="H108" i="31"/>
  <c r="H69" i="31"/>
  <c r="H121" i="31"/>
  <c r="H113" i="31"/>
  <c r="H95" i="31"/>
  <c r="H63" i="31"/>
  <c r="H61" i="31"/>
  <c r="H116" i="31"/>
  <c r="H104" i="31"/>
  <c r="G100" i="31"/>
  <c r="L2" i="93" s="1"/>
  <c r="G120" i="31"/>
  <c r="L2" i="110" s="1"/>
  <c r="G99" i="31"/>
  <c r="L2" i="92" s="1"/>
  <c r="O25" i="92" s="1"/>
  <c r="G67" i="31"/>
  <c r="L2" i="156" s="1"/>
  <c r="G64" i="31"/>
  <c r="L2" i="137" s="1"/>
  <c r="G108" i="31"/>
  <c r="L2" i="100" s="1"/>
  <c r="G69" i="31"/>
  <c r="L2" i="157" s="1"/>
  <c r="G113" i="31"/>
  <c r="L2" i="105" s="1"/>
  <c r="O14" i="105" s="1"/>
  <c r="G95" i="31"/>
  <c r="L2" i="88" s="1"/>
  <c r="G63" i="31"/>
  <c r="L2" i="136" s="1"/>
  <c r="O29" i="136" s="1"/>
  <c r="G92" i="31"/>
  <c r="L2" i="85" s="1"/>
  <c r="G116" i="31"/>
  <c r="L2" i="181" s="1"/>
  <c r="G104" i="31"/>
  <c r="L2" i="97" s="1"/>
  <c r="G65" i="31"/>
  <c r="L2" i="139" s="1"/>
  <c r="G94" i="31"/>
  <c r="L2" i="87" s="1"/>
  <c r="O10" i="87" s="1"/>
  <c r="G115" i="31"/>
  <c r="L2" i="107" s="1"/>
  <c r="O10" i="107" s="1"/>
  <c r="G121" i="31"/>
  <c r="L2" i="111" s="1"/>
  <c r="O9" i="111" s="1"/>
  <c r="G61" i="31"/>
  <c r="L2" i="134" s="1"/>
  <c r="G55" i="31"/>
  <c r="L2" i="152" s="1"/>
  <c r="G93" i="31"/>
  <c r="L2" i="86" s="1"/>
  <c r="O22" i="86" s="1"/>
  <c r="G117" i="31"/>
  <c r="L2" i="182" s="1"/>
  <c r="G114" i="31"/>
  <c r="L2" i="106" s="1"/>
  <c r="O25" i="106" s="1"/>
  <c r="G51" i="31"/>
  <c r="L2" i="166" s="1"/>
  <c r="O27" i="166" s="1"/>
  <c r="G50" i="31"/>
  <c r="L2" i="75" s="1"/>
  <c r="G110" i="31"/>
  <c r="L2" i="102" s="1"/>
  <c r="G68" i="31"/>
  <c r="L2" i="158" s="1"/>
  <c r="O12" i="158" s="1"/>
  <c r="G49" i="31"/>
  <c r="L2" i="74" s="1"/>
  <c r="O16" i="74" s="1"/>
  <c r="G47" i="31"/>
  <c r="L2" i="72" s="1"/>
  <c r="O11" i="72" s="1"/>
  <c r="G46" i="31"/>
  <c r="L2" i="71" s="1"/>
  <c r="O14" i="71" s="1"/>
  <c r="G56" i="31"/>
  <c r="L2" i="153" s="1"/>
  <c r="G62" i="31"/>
  <c r="L2" i="135" s="1"/>
  <c r="O17" i="135" s="1"/>
  <c r="G57" i="31"/>
  <c r="L2" i="154" s="1"/>
  <c r="O9" i="154" s="1"/>
  <c r="G59" i="31"/>
  <c r="L2" i="155" s="1"/>
  <c r="G45" i="31"/>
  <c r="L2" i="70" s="1"/>
  <c r="G96" i="31"/>
  <c r="L2" i="89" s="1"/>
  <c r="O13" i="89" s="1"/>
  <c r="G106" i="31"/>
  <c r="L2" i="121" s="1"/>
  <c r="O21" i="49"/>
  <c r="O11" i="49"/>
  <c r="O8" i="49"/>
  <c r="O13" i="49"/>
  <c r="O24" i="49"/>
  <c r="O14" i="49"/>
  <c r="O5" i="49"/>
  <c r="O22" i="49"/>
  <c r="O18" i="49"/>
  <c r="O16" i="49"/>
  <c r="O19" i="49"/>
  <c r="O10" i="49"/>
  <c r="O20" i="49"/>
  <c r="O15" i="49"/>
  <c r="O12" i="49"/>
  <c r="O17" i="49"/>
  <c r="O6" i="49"/>
  <c r="O23" i="49"/>
  <c r="O7" i="49"/>
  <c r="F148" i="29"/>
  <c r="F119" i="29"/>
  <c r="F111" i="29"/>
  <c r="F83" i="29"/>
  <c r="W83" i="29"/>
  <c r="O13" i="170"/>
  <c r="O7" i="170"/>
  <c r="O12" i="170"/>
  <c r="O5" i="170"/>
  <c r="O8" i="170"/>
  <c r="O20" i="170"/>
  <c r="O16" i="170"/>
  <c r="O15" i="170"/>
  <c r="O18" i="170"/>
  <c r="O9" i="170"/>
  <c r="O9" i="169"/>
  <c r="O13" i="169"/>
  <c r="O19" i="169"/>
  <c r="O18" i="169"/>
  <c r="O17" i="170"/>
  <c r="O19" i="170"/>
  <c r="O14" i="170"/>
  <c r="O7" i="169"/>
  <c r="O12" i="169"/>
  <c r="O15" i="169"/>
  <c r="O14" i="169"/>
  <c r="O8" i="169"/>
  <c r="O11" i="169"/>
  <c r="O10" i="170"/>
  <c r="O10" i="169"/>
  <c r="O16" i="169"/>
  <c r="O5" i="169"/>
  <c r="O6" i="169"/>
  <c r="F112" i="29"/>
  <c r="F303" i="29"/>
  <c r="F149" i="29"/>
  <c r="F114" i="29"/>
  <c r="F269" i="29"/>
  <c r="F113" i="29"/>
  <c r="F270" i="29"/>
  <c r="F150" i="29"/>
  <c r="F156" i="29"/>
  <c r="F151" i="29"/>
  <c r="F154" i="29"/>
  <c r="F152" i="29"/>
  <c r="F153" i="29"/>
  <c r="F291" i="29"/>
  <c r="F271" i="29"/>
  <c r="F155" i="29"/>
  <c r="F292" i="29"/>
  <c r="F110" i="29"/>
  <c r="W112" i="29"/>
  <c r="W303" i="29"/>
  <c r="W149" i="29"/>
  <c r="W114" i="29"/>
  <c r="W269" i="29"/>
  <c r="W113" i="29"/>
  <c r="W270" i="29"/>
  <c r="W150" i="29"/>
  <c r="W156" i="29"/>
  <c r="W151" i="29"/>
  <c r="W154" i="29"/>
  <c r="W152" i="29"/>
  <c r="W153" i="29"/>
  <c r="W291" i="29"/>
  <c r="W271" i="29"/>
  <c r="W155" i="29"/>
  <c r="W148" i="29"/>
  <c r="W119" i="29"/>
  <c r="W292" i="29"/>
  <c r="W110" i="29"/>
  <c r="W111" i="29"/>
  <c r="O10" i="159"/>
  <c r="O9" i="159"/>
  <c r="O12" i="159"/>
  <c r="O8" i="159"/>
  <c r="O5" i="159"/>
  <c r="O7" i="159"/>
  <c r="O11" i="159"/>
  <c r="O6" i="145"/>
  <c r="O10" i="145"/>
  <c r="O8" i="145"/>
  <c r="O7" i="145"/>
  <c r="O9" i="145"/>
  <c r="O5" i="145"/>
  <c r="O20" i="144"/>
  <c r="O19" i="144"/>
  <c r="O5" i="144"/>
  <c r="O11" i="144"/>
  <c r="O6" i="144"/>
  <c r="O10" i="144"/>
  <c r="O7" i="144"/>
  <c r="O8" i="144"/>
  <c r="O18" i="144"/>
  <c r="O11" i="81"/>
  <c r="O16" i="81"/>
  <c r="O22" i="81"/>
  <c r="O5" i="81"/>
  <c r="O21" i="81"/>
  <c r="O9" i="81"/>
  <c r="O7" i="81"/>
  <c r="O13" i="81"/>
  <c r="O15" i="81"/>
  <c r="O20" i="81"/>
  <c r="O12" i="81"/>
  <c r="O14" i="81"/>
  <c r="O19" i="81"/>
  <c r="O10" i="81"/>
  <c r="O23" i="81"/>
  <c r="O17" i="81"/>
  <c r="O9" i="82"/>
  <c r="O6" i="82"/>
  <c r="O7" i="82"/>
  <c r="O11" i="82"/>
  <c r="O10" i="82"/>
  <c r="O12" i="82"/>
  <c r="O5" i="82"/>
  <c r="O8" i="82"/>
  <c r="Q13" i="2"/>
  <c r="W355" i="29" a="1"/>
  <c r="H79" i="31" a="1"/>
  <c r="V34" i="30" a="1"/>
  <c r="R489" i="28" a="1"/>
  <c r="G80" i="31" a="1"/>
  <c r="H86" i="31" a="1"/>
  <c r="V77" i="30" a="1"/>
  <c r="R424" i="28" a="1"/>
  <c r="R17" i="28" a="1"/>
  <c r="R224" i="28" a="1"/>
  <c r="F359" i="29" a="1"/>
  <c r="V32" i="30" a="1"/>
  <c r="R355" i="28" a="1"/>
  <c r="V79" i="30" a="1"/>
  <c r="M29" i="27" a="1"/>
  <c r="R585" i="28" a="1"/>
  <c r="F364" i="29" a="1"/>
  <c r="R501" i="28" a="1"/>
  <c r="G79" i="31" a="1"/>
  <c r="F339" i="29" a="1"/>
  <c r="D57" i="30" a="1"/>
  <c r="R584" i="28" a="1"/>
  <c r="R138" i="28" a="1"/>
  <c r="G84" i="31" a="1"/>
  <c r="H85" i="31" a="1"/>
  <c r="R55" i="28" a="1"/>
  <c r="R494" i="28" a="1"/>
  <c r="R555" i="28" a="1"/>
  <c r="R517" i="28" a="1"/>
  <c r="R421" i="28" a="1"/>
  <c r="H87" i="31" a="1"/>
  <c r="R80" i="28" a="1"/>
  <c r="G85" i="31" a="1"/>
  <c r="F265" i="29" a="1"/>
  <c r="C29" i="27" a="1"/>
  <c r="R448" i="28" a="1"/>
  <c r="R140" i="28" a="1"/>
  <c r="R544" i="28" a="1"/>
  <c r="R610" i="28" a="1"/>
  <c r="M122" i="27" a="1"/>
  <c r="F288" i="29" a="1"/>
  <c r="F172" i="29" a="1"/>
  <c r="R241" i="28" a="1"/>
  <c r="F345" i="29" a="1"/>
  <c r="F344" i="29" a="1"/>
  <c r="F340" i="29" a="1"/>
  <c r="R150" i="28" a="1"/>
  <c r="W339" i="29" a="1"/>
  <c r="R178" i="28" a="1"/>
  <c r="W346" i="29" a="1"/>
  <c r="R575" i="28" a="1"/>
  <c r="R256" i="28" a="1"/>
  <c r="H84" i="31" a="1"/>
  <c r="V57" i="30" a="1"/>
  <c r="F337" i="29" a="1"/>
  <c r="W354" i="29" a="1"/>
  <c r="R257" i="28" a="1"/>
  <c r="D79" i="30" a="1"/>
  <c r="R255" i="28" a="1"/>
  <c r="R412" i="28" a="1"/>
  <c r="R518" i="28" a="1"/>
  <c r="R303" i="28" a="1"/>
  <c r="R162" i="28" a="1"/>
  <c r="W358" i="29" a="1"/>
  <c r="F355" i="29" a="1"/>
  <c r="C110" i="27" a="1"/>
  <c r="R334" i="28" a="1"/>
  <c r="W304" i="29" a="1"/>
  <c r="H82" i="31" a="1"/>
  <c r="F349" i="29" a="1"/>
  <c r="R403" i="28" a="1"/>
  <c r="R528" i="28" a="1"/>
  <c r="W378" i="29" a="1"/>
  <c r="R354" i="28" a="1"/>
  <c r="R105" i="28" a="1"/>
  <c r="W362" i="29" a="1"/>
  <c r="G76" i="31" a="1"/>
  <c r="H76" i="31" a="1"/>
  <c r="W352" i="29" a="1"/>
  <c r="R99" i="28" a="1"/>
  <c r="R540" i="28" a="1"/>
  <c r="C106" i="27" a="1"/>
  <c r="R453" i="28" a="1"/>
  <c r="W347" i="29" a="1"/>
  <c r="R95" i="28" a="1"/>
  <c r="W349" i="29" a="1"/>
  <c r="R500" i="28" a="1"/>
  <c r="C108" i="27" a="1"/>
  <c r="H81" i="31" a="1"/>
  <c r="F343" i="29" a="1"/>
  <c r="R450" i="28" a="1"/>
  <c r="W351" i="29" a="1"/>
  <c r="F378" i="29" a="1"/>
  <c r="R329" i="28" a="1"/>
  <c r="R433" i="28" a="1"/>
  <c r="R449" i="28" a="1"/>
  <c r="W360" i="29" a="1"/>
  <c r="R220" i="28" a="1"/>
  <c r="F362" i="29" a="1"/>
  <c r="F304" i="29" a="1"/>
  <c r="R244" i="28" a="1"/>
  <c r="R371" i="28" a="1"/>
  <c r="R446" i="28" a="1"/>
  <c r="W337" i="29" a="1"/>
  <c r="R142" i="28" a="1"/>
  <c r="R356" i="28" a="1"/>
  <c r="F351" i="29" a="1"/>
  <c r="D88" i="30" a="1"/>
  <c r="D35" i="30" a="1"/>
  <c r="W359" i="29" a="1"/>
  <c r="G82" i="31" a="1"/>
  <c r="F361" i="29" a="1"/>
  <c r="D34" i="30" a="1"/>
  <c r="R420" i="28" a="1"/>
  <c r="F353" i="29" a="1"/>
  <c r="F341" i="29" a="1"/>
  <c r="R219" i="28" a="1"/>
  <c r="W172" i="29" a="1"/>
  <c r="F356" i="29" a="1"/>
  <c r="F365" i="29" a="1"/>
  <c r="F346" i="29" a="1"/>
  <c r="G88" i="31" a="1"/>
  <c r="R321" i="28" a="1"/>
  <c r="R609" i="28" a="1"/>
  <c r="M110" i="27" a="1"/>
  <c r="F357" i="29" a="1"/>
  <c r="R350" i="28" a="1"/>
  <c r="H88" i="31" a="1"/>
  <c r="R302" i="28" a="1"/>
  <c r="R410" i="28" a="1"/>
  <c r="F363" i="29" a="1"/>
  <c r="R583" i="28" a="1"/>
  <c r="F264" i="29" a="1"/>
  <c r="H89" i="31" a="1"/>
  <c r="R254" i="28" a="1"/>
  <c r="R508" i="28" a="1"/>
  <c r="R315" i="28" a="1"/>
  <c r="G86" i="31" a="1"/>
  <c r="F76" i="29" a="1"/>
  <c r="F348" i="29" a="1"/>
  <c r="F350" i="29" a="1"/>
  <c r="R502" i="28" a="1"/>
  <c r="M108" i="27" a="1"/>
  <c r="W345" i="29" a="1"/>
  <c r="D62" i="30" a="1"/>
  <c r="F354" i="29" a="1"/>
  <c r="R447" i="28" a="1"/>
  <c r="F266" i="29" a="1"/>
  <c r="W343" i="29" a="1"/>
  <c r="F360" i="29" a="1"/>
  <c r="R98" i="28" a="1"/>
  <c r="D32" i="30" a="1"/>
  <c r="G81" i="31" a="1"/>
  <c r="F358" i="29" a="1"/>
  <c r="R563" i="28" a="1"/>
  <c r="V62" i="30" a="1"/>
  <c r="R9" i="28" a="1"/>
  <c r="R612" i="28" a="1"/>
  <c r="R335" i="28" a="1"/>
  <c r="W76" i="29" a="1"/>
  <c r="F352" i="29" a="1"/>
  <c r="G87" i="31" a="1"/>
  <c r="D77" i="30" a="1"/>
  <c r="C122" i="27" a="1"/>
  <c r="V88" i="30" a="1"/>
  <c r="W365" i="29" a="1"/>
  <c r="G89" i="31" a="1"/>
  <c r="W353" i="29" a="1"/>
  <c r="W266" i="29" a="1"/>
  <c r="W356" i="29" a="1"/>
  <c r="M106" i="27" a="1"/>
  <c r="R451" i="28" a="1"/>
  <c r="R560" i="28" a="1"/>
  <c r="R427" i="28" a="1"/>
  <c r="M28" i="27" a="1"/>
  <c r="F347" i="29" a="1"/>
  <c r="W288" i="29" a="1"/>
  <c r="H80" i="31" a="1"/>
  <c r="R582" i="28" a="1"/>
  <c r="C28" i="27" a="1"/>
  <c r="R580" i="28" a="1"/>
  <c r="W348" i="29" a="1"/>
  <c r="W363" i="29" a="1"/>
  <c r="R147" i="28" a="1"/>
  <c r="W341" i="29" a="1"/>
  <c r="R435" i="28" a="1"/>
  <c r="W264" i="29" a="1"/>
  <c r="W265" i="29" a="1"/>
  <c r="W344" i="29" a="1"/>
  <c r="W364" i="29" a="1"/>
  <c r="R438" i="28" a="1"/>
  <c r="W340" i="29" a="1"/>
  <c r="W361" i="29" a="1"/>
  <c r="V35" i="30" a="1"/>
  <c r="R305" i="28" a="1"/>
  <c r="R490" i="28" a="1"/>
  <c r="W350" i="29" a="1"/>
  <c r="W357" i="29" a="1"/>
  <c r="O16" i="196" l="1"/>
  <c r="O14" i="196"/>
  <c r="R257" i="28"/>
  <c r="O20" i="134"/>
  <c r="R517" i="28"/>
  <c r="R584" i="28"/>
  <c r="R585" i="28"/>
  <c r="R575" i="28"/>
  <c r="O23" i="93"/>
  <c r="O9" i="93"/>
  <c r="O24" i="97"/>
  <c r="O10" i="97"/>
  <c r="O23" i="121"/>
  <c r="O9" i="121"/>
  <c r="O24" i="87"/>
  <c r="R610" i="28"/>
  <c r="O6" i="180"/>
  <c r="O27" i="136"/>
  <c r="O28" i="136"/>
  <c r="O41" i="136"/>
  <c r="O28" i="134"/>
  <c r="O36" i="134"/>
  <c r="O14" i="92"/>
  <c r="O33" i="166"/>
  <c r="R502" i="28"/>
  <c r="R99" i="28"/>
  <c r="R98" i="28"/>
  <c r="R433" i="28"/>
  <c r="R219" i="28"/>
  <c r="R80" i="28"/>
  <c r="R224" i="28"/>
  <c r="R147" i="28"/>
  <c r="R420" i="28"/>
  <c r="R424" i="28"/>
  <c r="R140" i="28"/>
  <c r="R220" i="28"/>
  <c r="R142" i="28"/>
  <c r="R138" i="28"/>
  <c r="R435" i="28"/>
  <c r="R438" i="28"/>
  <c r="R95" i="28"/>
  <c r="R412" i="28"/>
  <c r="R410" i="28"/>
  <c r="R427" i="28"/>
  <c r="R421" i="28"/>
  <c r="R17" i="28"/>
  <c r="R371" i="28"/>
  <c r="R150" i="28"/>
  <c r="W288" i="29"/>
  <c r="F288" i="29"/>
  <c r="R350" i="28"/>
  <c r="F266" i="29"/>
  <c r="W266" i="29"/>
  <c r="F265" i="29"/>
  <c r="W265" i="29"/>
  <c r="W264" i="29"/>
  <c r="F264" i="29"/>
  <c r="O30" i="75"/>
  <c r="O28" i="75"/>
  <c r="O29" i="75"/>
  <c r="O27" i="75"/>
  <c r="D34" i="30"/>
  <c r="V34" i="30"/>
  <c r="D62" i="30"/>
  <c r="V62" i="30"/>
  <c r="V88" i="30"/>
  <c r="D88" i="30"/>
  <c r="V32" i="30"/>
  <c r="D32" i="30"/>
  <c r="V77" i="30"/>
  <c r="D77" i="30"/>
  <c r="V35" i="30"/>
  <c r="D35" i="30"/>
  <c r="V57" i="30"/>
  <c r="D57" i="30"/>
  <c r="D79" i="30"/>
  <c r="V79" i="30"/>
  <c r="R508" i="28"/>
  <c r="R303" i="28"/>
  <c r="R256" i="28"/>
  <c r="R9" i="28"/>
  <c r="R446" i="28"/>
  <c r="R305" i="28"/>
  <c r="R315" i="28"/>
  <c r="R244" i="28"/>
  <c r="R329" i="28"/>
  <c r="R321" i="28"/>
  <c r="R528" i="28"/>
  <c r="R354" i="28"/>
  <c r="R501" i="28"/>
  <c r="R302" i="28"/>
  <c r="R162" i="28"/>
  <c r="R544" i="28"/>
  <c r="R518" i="28"/>
  <c r="R609" i="28"/>
  <c r="R450" i="28"/>
  <c r="R105" i="28"/>
  <c r="R583" i="28"/>
  <c r="R448" i="28"/>
  <c r="R241" i="28"/>
  <c r="R612" i="28"/>
  <c r="R451" i="28"/>
  <c r="R555" i="28"/>
  <c r="R178" i="28"/>
  <c r="R255" i="28"/>
  <c r="R489" i="28"/>
  <c r="R355" i="28"/>
  <c r="R560" i="28"/>
  <c r="R356" i="28"/>
  <c r="R254" i="28"/>
  <c r="R447" i="28"/>
  <c r="R449" i="28"/>
  <c r="R453" i="28"/>
  <c r="R582" i="28"/>
  <c r="R403" i="28"/>
  <c r="R335" i="28"/>
  <c r="R563" i="28"/>
  <c r="R540" i="28"/>
  <c r="R580" i="28"/>
  <c r="R490" i="28"/>
  <c r="R500" i="28"/>
  <c r="R334" i="28"/>
  <c r="R55" i="28"/>
  <c r="R494" i="28"/>
  <c r="F339" i="29"/>
  <c r="W339" i="29"/>
  <c r="W337" i="29"/>
  <c r="F337" i="29"/>
  <c r="W340" i="29"/>
  <c r="F340" i="29"/>
  <c r="W341" i="29"/>
  <c r="F341" i="29"/>
  <c r="O10" i="196"/>
  <c r="O7" i="196"/>
  <c r="O6" i="196"/>
  <c r="O12" i="196"/>
  <c r="O17" i="196"/>
  <c r="O13" i="196"/>
  <c r="O18" i="196"/>
  <c r="O19" i="196"/>
  <c r="O20" i="196"/>
  <c r="O22" i="196"/>
  <c r="O15" i="196"/>
  <c r="O5" i="196"/>
  <c r="O21" i="196"/>
  <c r="O8" i="196"/>
  <c r="O9" i="196"/>
  <c r="O13" i="71"/>
  <c r="M29" i="27"/>
  <c r="C29" i="27"/>
  <c r="C28" i="27"/>
  <c r="M28" i="27"/>
  <c r="O15" i="102"/>
  <c r="O16" i="102"/>
  <c r="O14" i="102"/>
  <c r="O15" i="181"/>
  <c r="O16" i="181"/>
  <c r="O10" i="181"/>
  <c r="O14" i="181"/>
  <c r="O14" i="182"/>
  <c r="O15" i="182"/>
  <c r="O16" i="182"/>
  <c r="O7" i="88"/>
  <c r="O18" i="88"/>
  <c r="O16" i="111"/>
  <c r="O17" i="111"/>
  <c r="O20" i="111"/>
  <c r="O24" i="111"/>
  <c r="O19" i="111"/>
  <c r="O21" i="111"/>
  <c r="O23" i="111"/>
  <c r="O18" i="111"/>
  <c r="O22" i="111"/>
  <c r="O25" i="107"/>
  <c r="O21" i="107"/>
  <c r="O20" i="107"/>
  <c r="O22" i="107"/>
  <c r="O19" i="107"/>
  <c r="O23" i="107"/>
  <c r="O24" i="107"/>
  <c r="O22" i="97"/>
  <c r="O23" i="97"/>
  <c r="O20" i="97"/>
  <c r="O21" i="97"/>
  <c r="O21" i="121"/>
  <c r="O22" i="121"/>
  <c r="O19" i="121"/>
  <c r="O20" i="121"/>
  <c r="O21" i="93"/>
  <c r="O22" i="93"/>
  <c r="O19" i="93"/>
  <c r="O20" i="93"/>
  <c r="O16" i="110"/>
  <c r="O25" i="110"/>
  <c r="O26" i="166"/>
  <c r="O21" i="137"/>
  <c r="O22" i="137"/>
  <c r="O39" i="136"/>
  <c r="O40" i="136"/>
  <c r="O13" i="154"/>
  <c r="O14" i="154"/>
  <c r="O15" i="153"/>
  <c r="O13" i="153"/>
  <c r="O14" i="153"/>
  <c r="O14" i="152"/>
  <c r="O15" i="152"/>
  <c r="O25" i="166"/>
  <c r="O32" i="166"/>
  <c r="O16" i="157"/>
  <c r="O17" i="157"/>
  <c r="O27" i="134"/>
  <c r="C108" i="27"/>
  <c r="M108" i="27"/>
  <c r="C106" i="27"/>
  <c r="M106" i="27"/>
  <c r="F378" i="29"/>
  <c r="W378" i="29"/>
  <c r="O12" i="180"/>
  <c r="W358" i="29"/>
  <c r="F358" i="29"/>
  <c r="F362" i="29"/>
  <c r="W362" i="29"/>
  <c r="W359" i="29"/>
  <c r="F359" i="29"/>
  <c r="F360" i="29"/>
  <c r="W360" i="29"/>
  <c r="W361" i="29"/>
  <c r="F361" i="29"/>
  <c r="W357" i="29"/>
  <c r="F357" i="29"/>
  <c r="F363" i="29"/>
  <c r="W363" i="29"/>
  <c r="F356" i="29"/>
  <c r="W356" i="29"/>
  <c r="W355" i="29"/>
  <c r="F355" i="29"/>
  <c r="F354" i="29"/>
  <c r="W354" i="29"/>
  <c r="F353" i="29"/>
  <c r="W353" i="29"/>
  <c r="F352" i="29"/>
  <c r="W352" i="29"/>
  <c r="F351" i="29"/>
  <c r="W351" i="29"/>
  <c r="O19" i="180"/>
  <c r="O10" i="180"/>
  <c r="O22" i="180"/>
  <c r="O9" i="180"/>
  <c r="O5" i="180"/>
  <c r="O11" i="180"/>
  <c r="O17" i="180"/>
  <c r="O16" i="180"/>
  <c r="F350" i="29"/>
  <c r="W350" i="29"/>
  <c r="W349" i="29"/>
  <c r="F349" i="29"/>
  <c r="O20" i="180"/>
  <c r="W365" i="29"/>
  <c r="F365" i="29"/>
  <c r="W364" i="29"/>
  <c r="F364" i="29"/>
  <c r="F348" i="29"/>
  <c r="W348" i="29"/>
  <c r="F347" i="29"/>
  <c r="W347" i="29"/>
  <c r="W346" i="29"/>
  <c r="F346" i="29"/>
  <c r="W345" i="29"/>
  <c r="F345" i="29"/>
  <c r="F344" i="29"/>
  <c r="W344" i="29"/>
  <c r="F343" i="29"/>
  <c r="W343" i="29"/>
  <c r="O8" i="180"/>
  <c r="O13" i="180"/>
  <c r="O14" i="180"/>
  <c r="O18" i="180"/>
  <c r="F304" i="29"/>
  <c r="W304" i="29"/>
  <c r="C122" i="27"/>
  <c r="M122" i="27"/>
  <c r="O25" i="136"/>
  <c r="O26" i="136"/>
  <c r="H76" i="31"/>
  <c r="H80" i="31"/>
  <c r="H86" i="31"/>
  <c r="H87" i="31"/>
  <c r="H84" i="31"/>
  <c r="H89" i="31"/>
  <c r="H82" i="31"/>
  <c r="H85" i="31"/>
  <c r="H88" i="31"/>
  <c r="H81" i="31"/>
  <c r="H79" i="31"/>
  <c r="G87" i="31"/>
  <c r="L2" i="149" s="1"/>
  <c r="G84" i="31"/>
  <c r="L2" i="146" s="1"/>
  <c r="O54" i="146" s="1"/>
  <c r="G89" i="31"/>
  <c r="L2" i="176" s="1"/>
  <c r="G85" i="31"/>
  <c r="L2" i="147" s="1"/>
  <c r="O77" i="147" s="1"/>
  <c r="G88" i="31"/>
  <c r="L2" i="175" s="1"/>
  <c r="G81" i="31"/>
  <c r="L2" i="172" s="1"/>
  <c r="O37" i="172" s="1"/>
  <c r="G79" i="31"/>
  <c r="L2" i="150" s="1"/>
  <c r="O28" i="150" s="1"/>
  <c r="G76" i="31"/>
  <c r="L2" i="160" s="1"/>
  <c r="G82" i="31"/>
  <c r="L2" i="173" s="1"/>
  <c r="G80" i="31"/>
  <c r="L2" i="151" s="1"/>
  <c r="O26" i="151" s="1"/>
  <c r="G86" i="31"/>
  <c r="L2" i="148" s="1"/>
  <c r="O73" i="148" s="1"/>
  <c r="F76" i="29"/>
  <c r="W76" i="29"/>
  <c r="C110" i="27"/>
  <c r="M110" i="27"/>
  <c r="O11" i="182"/>
  <c r="O9" i="182"/>
  <c r="O10" i="182"/>
  <c r="O8" i="182"/>
  <c r="O12" i="182"/>
  <c r="O13" i="182"/>
  <c r="O6" i="182"/>
  <c r="O12" i="181"/>
  <c r="O13" i="181"/>
  <c r="O8" i="181"/>
  <c r="O9" i="181"/>
  <c r="O11" i="181"/>
  <c r="O6" i="181"/>
  <c r="F172" i="29"/>
  <c r="W172" i="29"/>
  <c r="L2" i="179"/>
  <c r="L2" i="178"/>
  <c r="O39" i="178" s="1"/>
  <c r="L2" i="177"/>
  <c r="O39" i="177" s="1"/>
  <c r="Q20" i="13"/>
  <c r="R20" i="13" s="1"/>
  <c r="O22" i="136"/>
  <c r="O23" i="136"/>
  <c r="O9" i="89"/>
  <c r="O8" i="166"/>
  <c r="O31" i="166"/>
  <c r="O17" i="166"/>
  <c r="O20" i="166"/>
  <c r="O12" i="166"/>
  <c r="O23" i="166"/>
  <c r="O11" i="166"/>
  <c r="O18" i="166"/>
  <c r="O16" i="166"/>
  <c r="O10" i="166"/>
  <c r="O29" i="166"/>
  <c r="O30" i="166"/>
  <c r="O35" i="166"/>
  <c r="O21" i="166"/>
  <c r="O13" i="166"/>
  <c r="O5" i="166"/>
  <c r="O9" i="166"/>
  <c r="O6" i="166"/>
  <c r="O19" i="166"/>
  <c r="O24" i="166"/>
  <c r="O22" i="166"/>
  <c r="O15" i="134"/>
  <c r="O25" i="134"/>
  <c r="O35" i="134"/>
  <c r="O24" i="134"/>
  <c r="O33" i="134"/>
  <c r="O34" i="134"/>
  <c r="O26" i="134"/>
  <c r="O23" i="134"/>
  <c r="O14" i="75"/>
  <c r="O21" i="75"/>
  <c r="O19" i="157"/>
  <c r="O15" i="157"/>
  <c r="O9" i="157"/>
  <c r="O12" i="157"/>
  <c r="O8" i="157"/>
  <c r="O13" i="157"/>
  <c r="O5" i="157"/>
  <c r="O14" i="157"/>
  <c r="O11" i="157"/>
  <c r="O7" i="157"/>
  <c r="O6" i="157"/>
  <c r="O18" i="157"/>
  <c r="O6" i="158"/>
  <c r="O7" i="158"/>
  <c r="O9" i="158"/>
  <c r="O13" i="158"/>
  <c r="O8" i="158"/>
  <c r="O11" i="158"/>
  <c r="O14" i="158"/>
  <c r="O5" i="158"/>
  <c r="O15" i="158"/>
  <c r="O9" i="156"/>
  <c r="O13" i="156"/>
  <c r="O7" i="156"/>
  <c r="O12" i="156"/>
  <c r="O5" i="156"/>
  <c r="O8" i="156"/>
  <c r="O11" i="156"/>
  <c r="O14" i="156"/>
  <c r="O6" i="156"/>
  <c r="O5" i="155"/>
  <c r="O10" i="154"/>
  <c r="O5" i="154"/>
  <c r="O8" i="154"/>
  <c r="O11" i="154"/>
  <c r="O12" i="154"/>
  <c r="O6" i="154"/>
  <c r="O11" i="152"/>
  <c r="O7" i="152"/>
  <c r="O13" i="152"/>
  <c r="O5" i="152"/>
  <c r="O12" i="152"/>
  <c r="O8" i="152"/>
  <c r="O6" i="152"/>
  <c r="O9" i="152"/>
  <c r="O9" i="153"/>
  <c r="O12" i="153"/>
  <c r="O5" i="153"/>
  <c r="O11" i="153"/>
  <c r="O8" i="153"/>
  <c r="O6" i="153"/>
  <c r="O7" i="153"/>
  <c r="O7" i="135"/>
  <c r="O19" i="135"/>
  <c r="O9" i="135"/>
  <c r="O18" i="135"/>
  <c r="O13" i="135"/>
  <c r="O8" i="135"/>
  <c r="O5" i="135"/>
  <c r="O14" i="135"/>
  <c r="O15" i="135"/>
  <c r="O16" i="135"/>
  <c r="O11" i="135"/>
  <c r="O12" i="135"/>
  <c r="O6" i="135"/>
  <c r="O13" i="92"/>
  <c r="O31" i="134"/>
  <c r="O7" i="102"/>
  <c r="O8" i="134"/>
  <c r="O6" i="71"/>
  <c r="O5" i="102"/>
  <c r="O13" i="102"/>
  <c r="O8" i="102"/>
  <c r="O15" i="92"/>
  <c r="O19" i="92"/>
  <c r="O16" i="92"/>
  <c r="O9" i="102"/>
  <c r="O20" i="92"/>
  <c r="O11" i="92"/>
  <c r="O8" i="88"/>
  <c r="O6" i="92"/>
  <c r="O7" i="134"/>
  <c r="O5" i="92"/>
  <c r="O12" i="102"/>
  <c r="O10" i="88"/>
  <c r="O5" i="88"/>
  <c r="O15" i="88"/>
  <c r="O12" i="88"/>
  <c r="O14" i="134"/>
  <c r="O6" i="88"/>
  <c r="O13" i="88"/>
  <c r="O17" i="88"/>
  <c r="O14" i="88"/>
  <c r="O11" i="102"/>
  <c r="O17" i="92"/>
  <c r="O20" i="137"/>
  <c r="O18" i="75"/>
  <c r="O21" i="92"/>
  <c r="O22" i="134"/>
  <c r="O12" i="92"/>
  <c r="O6" i="134"/>
  <c r="O32" i="134"/>
  <c r="O9" i="134"/>
  <c r="O19" i="137"/>
  <c r="O29" i="134"/>
  <c r="O5" i="136"/>
  <c r="O5" i="139"/>
  <c r="O16" i="134"/>
  <c r="O9" i="139"/>
  <c r="O24" i="136"/>
  <c r="O10" i="136"/>
  <c r="O8" i="137"/>
  <c r="O10" i="134"/>
  <c r="O13" i="134"/>
  <c r="O12" i="72"/>
  <c r="O17" i="137"/>
  <c r="O32" i="136"/>
  <c r="O26" i="92"/>
  <c r="O33" i="136"/>
  <c r="O8" i="92"/>
  <c r="O19" i="134"/>
  <c r="O14" i="137"/>
  <c r="O12" i="136"/>
  <c r="O13" i="137"/>
  <c r="O24" i="92"/>
  <c r="O17" i="134"/>
  <c r="O12" i="137"/>
  <c r="O23" i="92"/>
  <c r="O11" i="134"/>
  <c r="O30" i="134"/>
  <c r="O9" i="92"/>
  <c r="O9" i="137"/>
  <c r="O18" i="136"/>
  <c r="O18" i="92"/>
  <c r="O8" i="136"/>
  <c r="O12" i="71"/>
  <c r="O5" i="134"/>
  <c r="O18" i="134"/>
  <c r="O35" i="136"/>
  <c r="O38" i="136"/>
  <c r="O14" i="136"/>
  <c r="O34" i="136"/>
  <c r="O22" i="92"/>
  <c r="O7" i="92"/>
  <c r="O17" i="136"/>
  <c r="O11" i="136"/>
  <c r="O17" i="110"/>
  <c r="O14" i="110"/>
  <c r="O19" i="110"/>
  <c r="O15" i="110"/>
  <c r="O20" i="110"/>
  <c r="O5" i="110"/>
  <c r="O21" i="110"/>
  <c r="O6" i="110"/>
  <c r="O23" i="110"/>
  <c r="O38" i="134"/>
  <c r="O7" i="137"/>
  <c r="O6" i="139"/>
  <c r="O10" i="139"/>
  <c r="O16" i="137"/>
  <c r="O12" i="139"/>
  <c r="O9" i="136"/>
  <c r="O30" i="136"/>
  <c r="O6" i="111"/>
  <c r="O16" i="72"/>
  <c r="O11" i="137"/>
  <c r="O20" i="136"/>
  <c r="O15" i="137"/>
  <c r="O19" i="136"/>
  <c r="O13" i="111"/>
  <c r="O5" i="111"/>
  <c r="O9" i="72"/>
  <c r="O12" i="70"/>
  <c r="O21" i="134"/>
  <c r="O18" i="137"/>
  <c r="O6" i="137"/>
  <c r="O7" i="139"/>
  <c r="O11" i="139"/>
  <c r="O13" i="72"/>
  <c r="O5" i="137"/>
  <c r="O7" i="136"/>
  <c r="O13" i="136"/>
  <c r="O16" i="88"/>
  <c r="O31" i="136"/>
  <c r="O36" i="136"/>
  <c r="O37" i="136"/>
  <c r="O6" i="136"/>
  <c r="O16" i="136"/>
  <c r="O21" i="136"/>
  <c r="O11" i="110"/>
  <c r="O15" i="111"/>
  <c r="O10" i="71"/>
  <c r="O8" i="111"/>
  <c r="O7" i="110"/>
  <c r="O22" i="75"/>
  <c r="O8" i="110"/>
  <c r="O17" i="75"/>
  <c r="O19" i="75"/>
  <c r="O9" i="110"/>
  <c r="O12" i="110"/>
  <c r="O22" i="110"/>
  <c r="O5" i="70"/>
  <c r="O24" i="110"/>
  <c r="O7" i="70"/>
  <c r="O9" i="70"/>
  <c r="O18" i="110"/>
  <c r="O13" i="110"/>
  <c r="O23" i="75"/>
  <c r="O17" i="93"/>
  <c r="O12" i="111"/>
  <c r="O5" i="93"/>
  <c r="O5" i="71"/>
  <c r="O12" i="75"/>
  <c r="O7" i="111"/>
  <c r="O14" i="111"/>
  <c r="O33" i="75"/>
  <c r="O14" i="72"/>
  <c r="O6" i="75"/>
  <c r="O15" i="72"/>
  <c r="O5" i="72"/>
  <c r="O17" i="72"/>
  <c r="O18" i="93"/>
  <c r="O6" i="93"/>
  <c r="O12" i="93"/>
  <c r="O11" i="75"/>
  <c r="O32" i="75"/>
  <c r="O16" i="93"/>
  <c r="O25" i="75"/>
  <c r="O8" i="93"/>
  <c r="O14" i="93"/>
  <c r="O7" i="93"/>
  <c r="O15" i="93"/>
  <c r="O13" i="93"/>
  <c r="O10" i="72"/>
  <c r="O8" i="72"/>
  <c r="O34" i="75"/>
  <c r="O20" i="75"/>
  <c r="O13" i="75"/>
  <c r="O9" i="75"/>
  <c r="O6" i="72"/>
  <c r="O7" i="75"/>
  <c r="O10" i="75"/>
  <c r="O31" i="75"/>
  <c r="O8" i="75"/>
  <c r="O5" i="75"/>
  <c r="O24" i="75"/>
  <c r="O8" i="71"/>
  <c r="O9" i="71"/>
  <c r="O11" i="71"/>
  <c r="O26" i="75"/>
  <c r="O16" i="75"/>
  <c r="O10" i="70"/>
  <c r="O11" i="70"/>
  <c r="O8" i="70"/>
  <c r="O20" i="100"/>
  <c r="O22" i="100"/>
  <c r="O17" i="100"/>
  <c r="O6" i="100"/>
  <c r="O5" i="100"/>
  <c r="O18" i="100"/>
  <c r="O19" i="100"/>
  <c r="O16" i="100"/>
  <c r="O10" i="100"/>
  <c r="O21" i="100"/>
  <c r="O12" i="100"/>
  <c r="O15" i="100"/>
  <c r="O9" i="100"/>
  <c r="O13" i="100"/>
  <c r="O8" i="100"/>
  <c r="O11" i="89"/>
  <c r="O5" i="89"/>
  <c r="O10" i="89"/>
  <c r="O12" i="89"/>
  <c r="O7" i="89"/>
  <c r="O8" i="89"/>
  <c r="O7" i="97"/>
  <c r="O17" i="97"/>
  <c r="O18" i="97"/>
  <c r="O5" i="97"/>
  <c r="O6" i="97"/>
  <c r="O19" i="97"/>
  <c r="O9" i="97"/>
  <c r="O14" i="97"/>
  <c r="O13" i="97"/>
  <c r="O16" i="97"/>
  <c r="O15" i="97"/>
  <c r="O8" i="97"/>
  <c r="O21" i="87"/>
  <c r="O19" i="87"/>
  <c r="O15" i="74"/>
  <c r="O6" i="74"/>
  <c r="O7" i="87"/>
  <c r="O9" i="74"/>
  <c r="O7" i="74"/>
  <c r="O5" i="74"/>
  <c r="O13" i="74"/>
  <c r="O13" i="87"/>
  <c r="O18" i="87"/>
  <c r="O9" i="87"/>
  <c r="O8" i="87"/>
  <c r="O22" i="87"/>
  <c r="O14" i="74"/>
  <c r="O20" i="87"/>
  <c r="O6" i="87"/>
  <c r="O11" i="74"/>
  <c r="O5" i="87"/>
  <c r="O17" i="87"/>
  <c r="O16" i="87"/>
  <c r="O8" i="74"/>
  <c r="O12" i="74"/>
  <c r="O15" i="87"/>
  <c r="O14" i="87"/>
  <c r="O23" i="87"/>
  <c r="O8" i="121"/>
  <c r="O12" i="121"/>
  <c r="O6" i="121"/>
  <c r="O7" i="121"/>
  <c r="O15" i="121"/>
  <c r="O14" i="121"/>
  <c r="O13" i="121"/>
  <c r="O17" i="121"/>
  <c r="O5" i="121"/>
  <c r="O18" i="121"/>
  <c r="O16" i="121"/>
  <c r="O12" i="105"/>
  <c r="O19" i="105"/>
  <c r="O10" i="105"/>
  <c r="O6" i="105"/>
  <c r="O5" i="105"/>
  <c r="O7" i="105"/>
  <c r="O8" i="105"/>
  <c r="O16" i="105"/>
  <c r="O13" i="105"/>
  <c r="O11" i="105"/>
  <c r="O18" i="105"/>
  <c r="O15" i="105"/>
  <c r="O14" i="107"/>
  <c r="O9" i="107"/>
  <c r="O16" i="107"/>
  <c r="O18" i="107"/>
  <c r="O8" i="107"/>
  <c r="O7" i="107"/>
  <c r="O15" i="107"/>
  <c r="O17" i="107"/>
  <c r="O6" i="107"/>
  <c r="O5" i="107"/>
  <c r="O13" i="107"/>
  <c r="O7" i="85"/>
  <c r="O8" i="85"/>
  <c r="O18" i="85"/>
  <c r="O14" i="85"/>
  <c r="O13" i="85"/>
  <c r="O15" i="85"/>
  <c r="O11" i="85"/>
  <c r="O12" i="85"/>
  <c r="O10" i="85"/>
  <c r="O5" i="85"/>
  <c r="O6" i="85"/>
  <c r="O16" i="85"/>
  <c r="O18" i="106"/>
  <c r="O15" i="106"/>
  <c r="O9" i="106"/>
  <c r="O21" i="106"/>
  <c r="O12" i="106"/>
  <c r="O22" i="106"/>
  <c r="O23" i="106"/>
  <c r="O6" i="106"/>
  <c r="O16" i="106"/>
  <c r="O11" i="106"/>
  <c r="O24" i="106"/>
  <c r="O7" i="106"/>
  <c r="O14" i="106"/>
  <c r="O17" i="106"/>
  <c r="O13" i="106"/>
  <c r="O8" i="106"/>
  <c r="O19" i="106"/>
  <c r="O5" i="106"/>
  <c r="O20" i="106"/>
  <c r="O25" i="86"/>
  <c r="O14" i="86"/>
  <c r="O21" i="86"/>
  <c r="O24" i="86"/>
  <c r="O11" i="86"/>
  <c r="O7" i="86"/>
  <c r="O16" i="86"/>
  <c r="O19" i="86"/>
  <c r="O8" i="86"/>
  <c r="O12" i="86"/>
  <c r="O20" i="86"/>
  <c r="O15" i="86"/>
  <c r="O6" i="86"/>
  <c r="O18" i="86"/>
  <c r="O23" i="86"/>
  <c r="O9" i="86"/>
  <c r="O17" i="86"/>
  <c r="O13" i="86"/>
  <c r="O5" i="86"/>
  <c r="C11" i="27" a="1"/>
  <c r="W255" i="29" a="1"/>
  <c r="F147" i="29" a="1"/>
  <c r="R385" i="28" a="1"/>
  <c r="W130" i="29" a="1"/>
  <c r="W93" i="29" a="1"/>
  <c r="W108" i="29" a="1"/>
  <c r="R320" i="28" a="1"/>
  <c r="C37" i="27" a="1"/>
  <c r="F127" i="29" a="1"/>
  <c r="C24" i="27" a="1"/>
  <c r="C100" i="27" a="1"/>
  <c r="R485" i="28" a="1"/>
  <c r="W90" i="29" a="1"/>
  <c r="R56" i="28" a="1"/>
  <c r="C22" i="27" a="1"/>
  <c r="W250" i="29" a="1"/>
  <c r="M93" i="27" a="1"/>
  <c r="W138" i="29" a="1"/>
  <c r="F263" i="29" a="1"/>
  <c r="R8" i="28" a="1"/>
  <c r="R596" i="28" a="1"/>
  <c r="F129" i="29" a="1"/>
  <c r="W117" i="29" a="1"/>
  <c r="C20" i="27" a="1"/>
  <c r="M24" i="27" a="1"/>
  <c r="W249" i="29" a="1"/>
  <c r="W115" i="29" a="1"/>
  <c r="W142" i="29" a="1"/>
  <c r="W101" i="29" a="1"/>
  <c r="F286" i="29" a="1"/>
  <c r="W98" i="29" a="1"/>
  <c r="C90" i="27" a="1"/>
  <c r="F279" i="29" a="1"/>
  <c r="F146" i="29" a="1"/>
  <c r="W158" i="29" a="1"/>
  <c r="F277" i="29" a="1"/>
  <c r="R536" i="28" a="1"/>
  <c r="F258" i="29" a="1"/>
  <c r="R32" i="28" a="1"/>
  <c r="M65" i="27" a="1"/>
  <c r="R278" i="28" a="1"/>
  <c r="F145" i="29" a="1"/>
  <c r="F260" i="29" a="1"/>
  <c r="W102" i="29" a="1"/>
  <c r="W161" i="29" a="1"/>
  <c r="R370" i="28" a="1"/>
  <c r="R418" i="28" a="1"/>
  <c r="F102" i="29" a="1"/>
  <c r="M90" i="27" a="1"/>
  <c r="R248" i="28" a="1"/>
  <c r="W261" i="29" a="1"/>
  <c r="W244" i="29" a="1"/>
  <c r="C70" i="27" a="1"/>
  <c r="W260" i="29" a="1"/>
  <c r="R428" i="28" a="1"/>
  <c r="F137" i="29" a="1"/>
  <c r="F267" i="29" a="1"/>
  <c r="W257" i="29" a="1"/>
  <c r="R4" i="28" a="1"/>
  <c r="R505" i="28" a="1"/>
  <c r="W256" i="29" a="1"/>
  <c r="W263" i="29" a="1"/>
  <c r="F287" i="29" a="1"/>
  <c r="W299" i="29" a="1"/>
  <c r="F253" i="29" a="1"/>
  <c r="F139" i="29" a="1"/>
  <c r="C75" i="27" a="1"/>
  <c r="D93" i="30" a="1"/>
  <c r="M126" i="27" a="1"/>
  <c r="F103" i="29" a="1"/>
  <c r="W131" i="29" a="1"/>
  <c r="F134" i="29" a="1"/>
  <c r="W159" i="29" a="1"/>
  <c r="F275" i="29" a="1"/>
  <c r="W147" i="29" a="1"/>
  <c r="C82" i="27" a="1"/>
  <c r="W163" i="29" a="1"/>
  <c r="M129" i="27" a="1"/>
  <c r="V93" i="30" a="1"/>
  <c r="C57" i="27" a="1"/>
  <c r="M75" i="27" a="1"/>
  <c r="W258" i="29" a="1"/>
  <c r="W259" i="29" a="1"/>
  <c r="W267" i="29" a="1"/>
  <c r="D87" i="30" a="1"/>
  <c r="F108" i="29" a="1"/>
  <c r="F101" i="29" a="1"/>
  <c r="F142" i="29" a="1"/>
  <c r="F100" i="29" a="1"/>
  <c r="F144" i="29" a="1"/>
  <c r="M22" i="27" a="1"/>
  <c r="F300" i="29" a="1"/>
  <c r="F249" i="29" a="1"/>
  <c r="F261" i="29" a="1"/>
  <c r="M82" i="27" a="1"/>
  <c r="F132" i="29" a="1"/>
  <c r="V92" i="30" a="1"/>
  <c r="W245" i="29" a="1"/>
  <c r="F115" i="29" a="1"/>
  <c r="F302" i="29" a="1"/>
  <c r="M23" i="27" a="1"/>
  <c r="C23" i="27" a="1"/>
  <c r="F143" i="29" a="1"/>
  <c r="W278" i="29" a="1"/>
  <c r="F131" i="29" a="1"/>
  <c r="M37" i="27" a="1"/>
  <c r="W279" i="29" a="1"/>
  <c r="W298" i="29" a="1"/>
  <c r="F90" i="29" a="1"/>
  <c r="M48" i="27" a="1"/>
  <c r="C25" i="27" a="1"/>
  <c r="W91" i="29" a="1"/>
  <c r="M2" i="27" a="1"/>
  <c r="R23" i="28" a="1"/>
  <c r="W301" i="29" a="1"/>
  <c r="R291" i="28" a="1"/>
  <c r="W280" i="29" a="1"/>
  <c r="M70" i="27" a="1"/>
  <c r="W139" i="29" a="1"/>
  <c r="M5" i="27" a="1"/>
  <c r="R316" i="28" a="1"/>
  <c r="R237" i="28" a="1"/>
  <c r="R245" i="28" a="1"/>
  <c r="F301" i="29" a="1"/>
  <c r="W129" i="29" a="1"/>
  <c r="C19" i="27" a="1"/>
  <c r="R402" i="28" a="1"/>
  <c r="V39" i="30" a="1"/>
  <c r="C126" i="27" a="1"/>
  <c r="C5" i="27" a="1"/>
  <c r="F157" i="29" a="1"/>
  <c r="W133" i="29" a="1"/>
  <c r="R520" i="28" a="1"/>
  <c r="F106" i="29" a="1"/>
  <c r="C71" i="27" a="1"/>
  <c r="F247" i="29" a="1"/>
  <c r="W282" i="29" a="1"/>
  <c r="F124" i="29" a="1"/>
  <c r="M25" i="27" a="1"/>
  <c r="R151" i="28" a="1"/>
  <c r="F161" i="29" a="1"/>
  <c r="F93" i="29" a="1"/>
  <c r="F122" i="29" a="1"/>
  <c r="R37" i="28" a="1"/>
  <c r="R168" i="28" a="1"/>
  <c r="R216" i="28" a="1"/>
  <c r="F138" i="29" a="1"/>
  <c r="W248" i="29" a="1"/>
  <c r="R65" i="28" a="1"/>
  <c r="M62" i="27" a="1"/>
  <c r="F158" i="29" a="1"/>
  <c r="F128" i="29" a="1"/>
  <c r="F105" i="29" a="1"/>
  <c r="R531" i="28" a="1"/>
  <c r="R314" i="28" a="1"/>
  <c r="R524" i="28" a="1"/>
  <c r="R533" i="28" a="1"/>
  <c r="W107" i="29" a="1"/>
  <c r="M71" i="27" a="1"/>
  <c r="R33" i="28" a="1"/>
  <c r="W97" i="29" a="1"/>
  <c r="M100" i="27" a="1"/>
  <c r="F121" i="29" a="1"/>
  <c r="R399" i="28" a="1"/>
  <c r="W284" i="29" a="1"/>
  <c r="C93" i="27" a="1"/>
  <c r="F118" i="29" a="1"/>
  <c r="R439" i="28" a="1"/>
  <c r="R387" i="28" a="1"/>
  <c r="M113" i="27" a="1"/>
  <c r="F281" i="29" a="1"/>
  <c r="W274" i="29" a="1"/>
  <c r="R564" i="28" a="1"/>
  <c r="R7" i="28" a="1"/>
  <c r="F99" i="29" a="1"/>
  <c r="M26" i="27" a="1"/>
  <c r="W122" i="29" a="1"/>
  <c r="F135" i="29" a="1"/>
  <c r="W104" i="29" a="1"/>
  <c r="F116" i="29" a="1"/>
  <c r="F289" i="29" a="1"/>
  <c r="M19" i="27" a="1"/>
  <c r="R61" i="28" a="1"/>
  <c r="D39" i="30" a="1"/>
  <c r="M57" i="27" a="1"/>
  <c r="F284" i="29" a="1"/>
  <c r="W135" i="29" a="1"/>
  <c r="R569" i="28" a="1"/>
  <c r="F299" i="29" a="1"/>
  <c r="F257" i="29" a="1"/>
  <c r="W268" i="29" a="1"/>
  <c r="W253" i="29" a="1"/>
  <c r="F104" i="29" a="1"/>
  <c r="W99" i="29" a="1"/>
  <c r="C26" i="27" a="1"/>
  <c r="F89" i="29" a="1"/>
  <c r="W124" i="29" a="1"/>
  <c r="F125" i="29" a="1"/>
  <c r="W123" i="29" a="1"/>
  <c r="R266" i="28" a="1"/>
  <c r="R282" i="28" a="1"/>
  <c r="R368" i="28" a="1"/>
  <c r="R292" i="28" a="1"/>
  <c r="W146" i="29" a="1"/>
  <c r="R287" i="28" a="1"/>
  <c r="F92" i="29" a="1"/>
  <c r="F254" i="29" a="1"/>
  <c r="W105" i="29" a="1"/>
  <c r="F123" i="29" a="1"/>
  <c r="W254" i="29" a="1"/>
  <c r="R341" i="28" a="1"/>
  <c r="D92" i="30" a="1"/>
  <c r="F248" i="29" a="1"/>
  <c r="R311" i="28" a="1"/>
  <c r="W132" i="29" a="1"/>
  <c r="F278" i="29" a="1"/>
  <c r="R250" i="28" a="1"/>
  <c r="R591" i="28" a="1"/>
  <c r="F297" i="29" a="1"/>
  <c r="V23" i="30" a="1"/>
  <c r="F290" i="29" a="1"/>
  <c r="W136" i="29" a="1"/>
  <c r="F95" i="29" a="1"/>
  <c r="W275" i="29" a="1"/>
  <c r="W286" i="29" a="1"/>
  <c r="R197" i="28" a="1"/>
  <c r="W287" i="29" a="1"/>
  <c r="W281" i="29" a="1"/>
  <c r="M131" i="27" a="1"/>
  <c r="M11" i="27" a="1"/>
  <c r="W118" i="29" a="1"/>
  <c r="W96" i="29" a="1"/>
  <c r="W277" i="29" a="1"/>
  <c r="F298" i="29" a="1"/>
  <c r="R509" i="28" a="1"/>
  <c r="R173" i="28" a="1"/>
  <c r="F268" i="29" a="1"/>
  <c r="F159" i="29" a="1"/>
  <c r="W92" i="29" a="1"/>
  <c r="F140" i="29" a="1"/>
  <c r="R5" i="28" a="1"/>
  <c r="W160" i="29" a="1"/>
  <c r="F160" i="29" a="1"/>
  <c r="W262" i="29" a="1"/>
  <c r="C113" i="27" a="1"/>
  <c r="R2" i="28" a="1"/>
  <c r="D23" i="30" a="1"/>
  <c r="R382" i="28" a="1"/>
  <c r="F246" i="29" a="1"/>
  <c r="F97" i="29" a="1"/>
  <c r="R344" i="28" a="1"/>
  <c r="M20" i="27" a="1"/>
  <c r="R388" i="28" a="1"/>
  <c r="R594" i="28" a="1"/>
  <c r="R6" i="28" a="1"/>
  <c r="D36" i="30" a="1"/>
  <c r="C62" i="27" a="1"/>
  <c r="F262" i="29" a="1"/>
  <c r="R486" i="28" a="1"/>
  <c r="F98" i="29" a="1"/>
  <c r="F162" i="29" a="1"/>
  <c r="F252" i="29" a="1"/>
  <c r="F117" i="29" a="1"/>
  <c r="W141" i="29" a="1"/>
  <c r="W137" i="29" a="1"/>
  <c r="R549" i="28" a="1"/>
  <c r="W251" i="29" a="1"/>
  <c r="C7" i="27" a="1"/>
  <c r="W246" i="29" a="1"/>
  <c r="F250" i="29" a="1"/>
  <c r="R170" i="28" a="1"/>
  <c r="C31" i="27" a="1"/>
  <c r="V87" i="30" a="1"/>
  <c r="C129" i="27" a="1"/>
  <c r="R386" i="28" a="1"/>
  <c r="W128" i="29" a="1"/>
  <c r="F259" i="29" a="1"/>
  <c r="W252" i="29" a="1"/>
  <c r="F274" i="29" a="1"/>
  <c r="W134" i="29" a="1"/>
  <c r="W126" i="29" a="1"/>
  <c r="F126" i="29" a="1"/>
  <c r="W89" i="29" a="1"/>
  <c r="M132" i="27" a="1"/>
  <c r="W140" i="29" a="1"/>
  <c r="R351" i="28" a="1"/>
  <c r="F136" i="29" a="1"/>
  <c r="F245" i="29" a="1"/>
  <c r="R404" i="28" a="1"/>
  <c r="F251" i="29" a="1"/>
  <c r="C2" i="27" a="1"/>
  <c r="W145" i="29" a="1"/>
  <c r="W300" i="29" a="1"/>
  <c r="F96" i="29" a="1"/>
  <c r="R44" i="28" a="1"/>
  <c r="R384" i="28" a="1"/>
  <c r="W95" i="29" a="1"/>
  <c r="W247" i="29" a="1"/>
  <c r="F130" i="29" a="1"/>
  <c r="R317" i="28" a="1"/>
  <c r="F91" i="29" a="1"/>
  <c r="R532" i="28" a="1"/>
  <c r="F255" i="29" a="1"/>
  <c r="C48" i="27" a="1"/>
  <c r="W289" i="29" a="1"/>
  <c r="W162" i="29" a="1"/>
  <c r="W106" i="29" a="1"/>
  <c r="W285" i="29" a="1"/>
  <c r="F244" i="29" a="1"/>
  <c r="F133" i="29" a="1"/>
  <c r="R519" i="28" a="1"/>
  <c r="M7" i="27" a="1"/>
  <c r="R592" i="28" a="1"/>
  <c r="F141" i="29" a="1"/>
  <c r="R407" i="28" a="1"/>
  <c r="R167" i="28" a="1"/>
  <c r="R3" i="28" a="1"/>
  <c r="R319" i="28" a="1"/>
  <c r="C132" i="27" a="1"/>
  <c r="C116" i="27" a="1"/>
  <c r="W127" i="29" a="1"/>
  <c r="F280" i="29" a="1"/>
  <c r="R507" i="28" a="1"/>
  <c r="F256" i="29" a="1"/>
  <c r="F163" i="29" a="1"/>
  <c r="R59" i="28" a="1"/>
  <c r="W125" i="29" a="1"/>
  <c r="W283" i="29" a="1"/>
  <c r="W143" i="29" a="1"/>
  <c r="M116" i="27" a="1"/>
  <c r="F107" i="29" a="1"/>
  <c r="R46" i="28" a="1"/>
  <c r="R277" i="28" a="1"/>
  <c r="R301" i="28" a="1"/>
  <c r="R556" i="28" a="1"/>
  <c r="W144" i="29" a="1"/>
  <c r="F282" i="29" a="1"/>
  <c r="F283" i="29" a="1"/>
  <c r="R174" i="28" a="1"/>
  <c r="C65" i="27" a="1"/>
  <c r="W121" i="29" a="1"/>
  <c r="R539" i="28" a="1"/>
  <c r="C131" i="27" a="1"/>
  <c r="W100" i="29" a="1"/>
  <c r="W116" i="29" a="1"/>
  <c r="F285" i="29" a="1"/>
  <c r="W103" i="29" a="1"/>
  <c r="R551" i="28" a="1"/>
  <c r="W290" i="29" a="1"/>
  <c r="M31" i="27" a="1"/>
  <c r="V36" i="30" a="1"/>
  <c r="W157" i="29" a="1"/>
  <c r="R593" i="28" a="1"/>
  <c r="R282" i="28" l="1"/>
  <c r="O53" i="146"/>
  <c r="R250" i="28"/>
  <c r="R556" i="28"/>
  <c r="O27" i="176"/>
  <c r="O28" i="176"/>
  <c r="O11" i="176"/>
  <c r="O12" i="176"/>
  <c r="O41" i="146"/>
  <c r="O15" i="146"/>
  <c r="O16" i="146"/>
  <c r="R402" i="28"/>
  <c r="F258" i="29"/>
  <c r="W258" i="29"/>
  <c r="R386" i="28"/>
  <c r="F108" i="29"/>
  <c r="W108" i="29"/>
  <c r="R505" i="28"/>
  <c r="C65" i="27"/>
  <c r="M65" i="27"/>
  <c r="R593" i="28"/>
  <c r="R341" i="28"/>
  <c r="O45" i="146"/>
  <c r="O63" i="146"/>
  <c r="R439" i="28"/>
  <c r="R428" i="28"/>
  <c r="R151" i="28"/>
  <c r="R486" i="28"/>
  <c r="R167" i="28"/>
  <c r="R168" i="28"/>
  <c r="V23" i="30"/>
  <c r="D23" i="30"/>
  <c r="D87" i="30"/>
  <c r="V87" i="30"/>
  <c r="V93" i="30"/>
  <c r="D93" i="30"/>
  <c r="V36" i="30"/>
  <c r="D36" i="30"/>
  <c r="D39" i="30"/>
  <c r="V39" i="30"/>
  <c r="V92" i="30"/>
  <c r="D92" i="30"/>
  <c r="R33" i="28"/>
  <c r="R8" i="28"/>
  <c r="R314" i="28"/>
  <c r="R596" i="28"/>
  <c r="R319" i="28"/>
  <c r="R399" i="28"/>
  <c r="R385" i="28"/>
  <c r="R539" i="28"/>
  <c r="R485" i="28"/>
  <c r="R291" i="28"/>
  <c r="R56" i="28"/>
  <c r="R388" i="28"/>
  <c r="R592" i="28"/>
  <c r="R509" i="28"/>
  <c r="R551" i="28"/>
  <c r="R524" i="28"/>
  <c r="R301" i="28"/>
  <c r="R519" i="28"/>
  <c r="R170" i="28"/>
  <c r="R384" i="28"/>
  <c r="R5" i="28"/>
  <c r="R594" i="28"/>
  <c r="R278" i="28"/>
  <c r="R351" i="28"/>
  <c r="R311" i="28"/>
  <c r="R37" i="28"/>
  <c r="R507" i="28"/>
  <c r="R44" i="28"/>
  <c r="R46" i="28"/>
  <c r="R344" i="28"/>
  <c r="R216" i="28"/>
  <c r="R237" i="28"/>
  <c r="R287" i="28"/>
  <c r="R266" i="28"/>
  <c r="R292" i="28"/>
  <c r="R569" i="28"/>
  <c r="R533" i="28"/>
  <c r="R370" i="28"/>
  <c r="R6" i="28"/>
  <c r="R59" i="28"/>
  <c r="R197" i="28"/>
  <c r="R32" i="28"/>
  <c r="R316" i="28"/>
  <c r="R564" i="28"/>
  <c r="R173" i="28"/>
  <c r="R23" i="28"/>
  <c r="R245" i="28"/>
  <c r="R2" i="28"/>
  <c r="R4" i="28"/>
  <c r="R317" i="28"/>
  <c r="R65" i="28"/>
  <c r="R536" i="28"/>
  <c r="R531" i="28"/>
  <c r="R532" i="28"/>
  <c r="R3" i="28"/>
  <c r="R61" i="28"/>
  <c r="R248" i="28"/>
  <c r="R591" i="28"/>
  <c r="R404" i="28"/>
  <c r="R320" i="28"/>
  <c r="R520" i="28"/>
  <c r="R387" i="28"/>
  <c r="R418" i="28"/>
  <c r="R549" i="28"/>
  <c r="R277" i="28"/>
  <c r="R7" i="28"/>
  <c r="R407" i="28"/>
  <c r="R382" i="28"/>
  <c r="R368" i="28"/>
  <c r="R174" i="28"/>
  <c r="W123" i="29"/>
  <c r="O21" i="177"/>
  <c r="F298" i="29"/>
  <c r="W298" i="29"/>
  <c r="F299" i="29"/>
  <c r="W299" i="29"/>
  <c r="F302" i="29"/>
  <c r="W300" i="29"/>
  <c r="F300" i="29"/>
  <c r="F297" i="29"/>
  <c r="C48" i="27"/>
  <c r="M48" i="27"/>
  <c r="F301" i="29"/>
  <c r="W301" i="29"/>
  <c r="O73" i="149"/>
  <c r="O7" i="149"/>
  <c r="O8" i="149"/>
  <c r="O9" i="149"/>
  <c r="O10" i="149"/>
  <c r="O17" i="149"/>
  <c r="O11" i="149"/>
  <c r="O12" i="149"/>
  <c r="O13" i="149"/>
  <c r="O14" i="149"/>
  <c r="O15" i="149"/>
  <c r="O16" i="149"/>
  <c r="O18" i="149"/>
  <c r="O19" i="149"/>
  <c r="O71" i="149"/>
  <c r="O72" i="149"/>
  <c r="O71" i="148"/>
  <c r="O72" i="148"/>
  <c r="O69" i="148"/>
  <c r="O70" i="148"/>
  <c r="C70" i="27"/>
  <c r="M70" i="27"/>
  <c r="O76" i="147"/>
  <c r="O74" i="147"/>
  <c r="O75" i="147"/>
  <c r="O72" i="147"/>
  <c r="O73" i="147"/>
  <c r="O52" i="146"/>
  <c r="O51" i="146"/>
  <c r="O72" i="146"/>
  <c r="O73" i="146"/>
  <c r="O50" i="146"/>
  <c r="O60" i="146"/>
  <c r="O62" i="146"/>
  <c r="O23" i="173"/>
  <c r="O17" i="173"/>
  <c r="C19" i="27"/>
  <c r="M19" i="27"/>
  <c r="O26" i="172"/>
  <c r="O36" i="172"/>
  <c r="O37" i="151"/>
  <c r="O36" i="151"/>
  <c r="O27" i="150"/>
  <c r="O40" i="150"/>
  <c r="O39" i="150"/>
  <c r="O26" i="150"/>
  <c r="C129" i="27"/>
  <c r="M129" i="27"/>
  <c r="M2" i="27"/>
  <c r="C2" i="27"/>
  <c r="W261" i="29"/>
  <c r="F261" i="29"/>
  <c r="C71" i="27"/>
  <c r="M71" i="27"/>
  <c r="C25" i="27"/>
  <c r="M25" i="27"/>
  <c r="C93" i="27"/>
  <c r="M93" i="27"/>
  <c r="M82" i="27"/>
  <c r="C82" i="27"/>
  <c r="O21" i="178"/>
  <c r="O25" i="150"/>
  <c r="W107" i="29"/>
  <c r="F107" i="29"/>
  <c r="C37" i="27"/>
  <c r="M37" i="27"/>
  <c r="O36" i="178"/>
  <c r="O38" i="178"/>
  <c r="O37" i="178"/>
  <c r="O35" i="178"/>
  <c r="O33" i="178"/>
  <c r="O31" i="178"/>
  <c r="O34" i="178"/>
  <c r="O32" i="178"/>
  <c r="O49" i="178"/>
  <c r="O48" i="178"/>
  <c r="O47" i="178"/>
  <c r="O45" i="178"/>
  <c r="O46" i="178"/>
  <c r="O70" i="149"/>
  <c r="O69" i="149"/>
  <c r="O51" i="147"/>
  <c r="F89" i="29"/>
  <c r="F105" i="29"/>
  <c r="F106" i="29"/>
  <c r="M132" i="27"/>
  <c r="C132" i="27"/>
  <c r="C26" i="27"/>
  <c r="M26" i="27"/>
  <c r="C22" i="27"/>
  <c r="M22" i="27"/>
  <c r="C24" i="27"/>
  <c r="M24" i="27"/>
  <c r="F287" i="29"/>
  <c r="W287" i="29"/>
  <c r="F286" i="29"/>
  <c r="W286" i="29"/>
  <c r="M57" i="27"/>
  <c r="M7" i="27"/>
  <c r="M75" i="27"/>
  <c r="M126" i="27"/>
  <c r="M131" i="27"/>
  <c r="M11" i="27"/>
  <c r="M100" i="27"/>
  <c r="M62" i="27"/>
  <c r="M116" i="27"/>
  <c r="M20" i="27"/>
  <c r="M5" i="27"/>
  <c r="M113" i="27"/>
  <c r="M23" i="27"/>
  <c r="M90" i="27"/>
  <c r="M31" i="27"/>
  <c r="C57" i="27"/>
  <c r="C7" i="27"/>
  <c r="C75" i="27"/>
  <c r="C126" i="27"/>
  <c r="C131" i="27"/>
  <c r="C11" i="27"/>
  <c r="C100" i="27"/>
  <c r="C62" i="27"/>
  <c r="C116" i="27"/>
  <c r="C20" i="27"/>
  <c r="C5" i="27"/>
  <c r="C113" i="27"/>
  <c r="C23" i="27"/>
  <c r="C90" i="27"/>
  <c r="C31" i="27"/>
  <c r="F248" i="29"/>
  <c r="F282" i="29"/>
  <c r="F255" i="29"/>
  <c r="F134" i="29"/>
  <c r="F131" i="29"/>
  <c r="F117" i="29"/>
  <c r="F285" i="29"/>
  <c r="F91" i="29"/>
  <c r="F99" i="29"/>
  <c r="F247" i="29"/>
  <c r="F254" i="29"/>
  <c r="F259" i="29"/>
  <c r="F262" i="29"/>
  <c r="F115" i="29"/>
  <c r="F157" i="29"/>
  <c r="F100" i="29"/>
  <c r="F137" i="29"/>
  <c r="F125" i="29"/>
  <c r="F121" i="29"/>
  <c r="F159" i="29"/>
  <c r="F250" i="29"/>
  <c r="F263" i="29"/>
  <c r="F245" i="29"/>
  <c r="F283" i="29"/>
  <c r="F256" i="29"/>
  <c r="F274" i="29"/>
  <c r="F102" i="29"/>
  <c r="F92" i="29"/>
  <c r="F132" i="29"/>
  <c r="F147" i="29"/>
  <c r="F146" i="29"/>
  <c r="F252" i="29"/>
  <c r="F249" i="29"/>
  <c r="F246" i="29"/>
  <c r="F281" i="29"/>
  <c r="F257" i="29"/>
  <c r="F90" i="29"/>
  <c r="F142" i="29"/>
  <c r="F143" i="29"/>
  <c r="F129" i="29"/>
  <c r="F116" i="29"/>
  <c r="F93" i="29"/>
  <c r="F267" i="29"/>
  <c r="F128" i="29"/>
  <c r="F163" i="29"/>
  <c r="F278" i="29"/>
  <c r="F275" i="29"/>
  <c r="F101" i="29"/>
  <c r="F139" i="29"/>
  <c r="F127" i="29"/>
  <c r="F126" i="29"/>
  <c r="F161" i="29"/>
  <c r="F97" i="29"/>
  <c r="F268" i="29"/>
  <c r="F98" i="29"/>
  <c r="F104" i="29"/>
  <c r="F144" i="29"/>
  <c r="F118" i="29"/>
  <c r="F251" i="29"/>
  <c r="F284" i="29"/>
  <c r="F95" i="29"/>
  <c r="F135" i="29"/>
  <c r="F136" i="29"/>
  <c r="F123" i="29"/>
  <c r="F124" i="29"/>
  <c r="F280" i="29"/>
  <c r="F103" i="29"/>
  <c r="F140" i="29"/>
  <c r="F290" i="29"/>
  <c r="F260" i="29"/>
  <c r="F162" i="29"/>
  <c r="F289" i="29"/>
  <c r="F279" i="29"/>
  <c r="F133" i="29"/>
  <c r="F160" i="29"/>
  <c r="F96" i="29"/>
  <c r="F141" i="29"/>
  <c r="F122" i="29"/>
  <c r="F138" i="29"/>
  <c r="F158" i="29"/>
  <c r="F244" i="29"/>
  <c r="F253" i="29"/>
  <c r="F145" i="29"/>
  <c r="F277" i="29"/>
  <c r="F130" i="29"/>
  <c r="W96" i="29"/>
  <c r="W141" i="29"/>
  <c r="W122" i="29"/>
  <c r="W138" i="29"/>
  <c r="W158" i="29"/>
  <c r="W244" i="29"/>
  <c r="W253" i="29"/>
  <c r="W145" i="29"/>
  <c r="W277" i="29"/>
  <c r="W130" i="29"/>
  <c r="W248" i="29"/>
  <c r="W282" i="29"/>
  <c r="W255" i="29"/>
  <c r="W134" i="29"/>
  <c r="W131" i="29"/>
  <c r="W117" i="29"/>
  <c r="W106" i="29"/>
  <c r="W285" i="29"/>
  <c r="W91" i="29"/>
  <c r="W99" i="29"/>
  <c r="W247" i="29"/>
  <c r="W254" i="29"/>
  <c r="W89" i="29"/>
  <c r="W259" i="29"/>
  <c r="W262" i="29"/>
  <c r="W115" i="29"/>
  <c r="W157" i="29"/>
  <c r="W97" i="29"/>
  <c r="W100" i="29"/>
  <c r="W137" i="29"/>
  <c r="W125" i="29"/>
  <c r="W121" i="29"/>
  <c r="W159" i="29"/>
  <c r="W250" i="29"/>
  <c r="W263" i="29"/>
  <c r="W245" i="29"/>
  <c r="W283" i="29"/>
  <c r="W256" i="29"/>
  <c r="W274" i="29"/>
  <c r="W102" i="29"/>
  <c r="W92" i="29"/>
  <c r="W132" i="29"/>
  <c r="W147" i="29"/>
  <c r="W146" i="29"/>
  <c r="W252" i="29"/>
  <c r="W249" i="29"/>
  <c r="W246" i="29"/>
  <c r="W281" i="29"/>
  <c r="W257" i="29"/>
  <c r="W90" i="29"/>
  <c r="W142" i="29"/>
  <c r="W143" i="29"/>
  <c r="W129" i="29"/>
  <c r="W116" i="29"/>
  <c r="W105" i="29"/>
  <c r="W93" i="29"/>
  <c r="W267" i="29"/>
  <c r="W128" i="29"/>
  <c r="W163" i="29"/>
  <c r="W278" i="29"/>
  <c r="W275" i="29"/>
  <c r="W101" i="29"/>
  <c r="W139" i="29"/>
  <c r="W127" i="29"/>
  <c r="W126" i="29"/>
  <c r="W161" i="29"/>
  <c r="W268" i="29"/>
  <c r="W98" i="29"/>
  <c r="W104" i="29"/>
  <c r="W144" i="29"/>
  <c r="W118" i="29"/>
  <c r="W251" i="29"/>
  <c r="W284" i="29"/>
  <c r="W95" i="29"/>
  <c r="W135" i="29"/>
  <c r="W136" i="29"/>
  <c r="W124" i="29"/>
  <c r="W280" i="29"/>
  <c r="W103" i="29"/>
  <c r="W140" i="29"/>
  <c r="W290" i="29"/>
  <c r="W260" i="29"/>
  <c r="W162" i="29"/>
  <c r="W289" i="29"/>
  <c r="W279" i="29"/>
  <c r="W133" i="29"/>
  <c r="W160" i="29"/>
  <c r="O17" i="179"/>
  <c r="O13" i="179"/>
  <c r="O11" i="179"/>
  <c r="O19" i="179"/>
  <c r="O20" i="179"/>
  <c r="O15" i="179"/>
  <c r="O24" i="179"/>
  <c r="O25" i="179"/>
  <c r="O21" i="179"/>
  <c r="O7" i="179"/>
  <c r="O18" i="179"/>
  <c r="O22" i="179"/>
  <c r="O14" i="179"/>
  <c r="O8" i="179"/>
  <c r="O16" i="179"/>
  <c r="O23" i="179"/>
  <c r="O9" i="179"/>
  <c r="O12" i="179"/>
  <c r="O6" i="179"/>
  <c r="O5" i="179"/>
  <c r="O29" i="178"/>
  <c r="O10" i="178"/>
  <c r="O6" i="178"/>
  <c r="O23" i="178"/>
  <c r="O43" i="178"/>
  <c r="O16" i="178"/>
  <c r="O42" i="178"/>
  <c r="O26" i="178"/>
  <c r="O44" i="178"/>
  <c r="O25" i="178"/>
  <c r="O41" i="178"/>
  <c r="O30" i="178"/>
  <c r="O13" i="178"/>
  <c r="O17" i="178"/>
  <c r="O28" i="178"/>
  <c r="O15" i="178"/>
  <c r="O12" i="178"/>
  <c r="O9" i="178"/>
  <c r="O40" i="178"/>
  <c r="O24" i="178"/>
  <c r="O8" i="178"/>
  <c r="O11" i="178"/>
  <c r="O20" i="178"/>
  <c r="O7" i="178"/>
  <c r="O5" i="178"/>
  <c r="O19" i="178"/>
  <c r="O18" i="178"/>
  <c r="O14" i="178"/>
  <c r="O27" i="178"/>
  <c r="O35" i="177"/>
  <c r="O27" i="177"/>
  <c r="O23" i="177"/>
  <c r="O16" i="177"/>
  <c r="O49" i="177"/>
  <c r="O9" i="177"/>
  <c r="O33" i="177"/>
  <c r="O45" i="177"/>
  <c r="O47" i="177"/>
  <c r="O5" i="177"/>
  <c r="O41" i="177"/>
  <c r="O46" i="177"/>
  <c r="O43" i="177"/>
  <c r="O14" i="177"/>
  <c r="O48" i="177"/>
  <c r="O30" i="177"/>
  <c r="O42" i="177"/>
  <c r="O26" i="177"/>
  <c r="O10" i="177"/>
  <c r="O44" i="177"/>
  <c r="O6" i="177"/>
  <c r="O32" i="177"/>
  <c r="O29" i="177"/>
  <c r="O34" i="177"/>
  <c r="O24" i="177"/>
  <c r="O36" i="177"/>
  <c r="O38" i="177"/>
  <c r="O11" i="177"/>
  <c r="O7" i="177"/>
  <c r="O28" i="177"/>
  <c r="O15" i="177"/>
  <c r="O17" i="177"/>
  <c r="O19" i="177"/>
  <c r="O40" i="177"/>
  <c r="O12" i="177"/>
  <c r="O25" i="177"/>
  <c r="O37" i="177"/>
  <c r="O8" i="177"/>
  <c r="O20" i="177"/>
  <c r="O13" i="177"/>
  <c r="O31" i="177"/>
  <c r="O18" i="177"/>
  <c r="O7" i="176"/>
  <c r="O30" i="176"/>
  <c r="O32" i="176"/>
  <c r="O10" i="176"/>
  <c r="O26" i="176"/>
  <c r="O29" i="176"/>
  <c r="O19" i="176"/>
  <c r="O20" i="176"/>
  <c r="O15" i="176"/>
  <c r="O18" i="176"/>
  <c r="O22" i="176"/>
  <c r="O21" i="176"/>
  <c r="O14" i="176"/>
  <c r="O17" i="176"/>
  <c r="O31" i="176"/>
  <c r="O16" i="176"/>
  <c r="O9" i="176"/>
  <c r="O23" i="176"/>
  <c r="O6" i="176"/>
  <c r="O33" i="176"/>
  <c r="O8" i="176"/>
  <c r="O25" i="176"/>
  <c r="O24" i="176"/>
  <c r="O5" i="176"/>
  <c r="O16" i="175"/>
  <c r="O17" i="175"/>
  <c r="O13" i="175"/>
  <c r="O12" i="175"/>
  <c r="O8" i="175"/>
  <c r="O11" i="175"/>
  <c r="O19" i="175"/>
  <c r="O6" i="175"/>
  <c r="O15" i="175"/>
  <c r="O14" i="175"/>
  <c r="O18" i="175"/>
  <c r="O7" i="175"/>
  <c r="O5" i="175"/>
  <c r="O9" i="175"/>
  <c r="O21" i="173"/>
  <c r="O12" i="173"/>
  <c r="O16" i="173"/>
  <c r="O14" i="173"/>
  <c r="O8" i="173"/>
  <c r="O11" i="173"/>
  <c r="O15" i="173"/>
  <c r="O7" i="173"/>
  <c r="O18" i="173"/>
  <c r="O20" i="173"/>
  <c r="O22" i="173"/>
  <c r="O9" i="173"/>
  <c r="O19" i="173"/>
  <c r="O13" i="173"/>
  <c r="O6" i="173"/>
  <c r="O33" i="172"/>
  <c r="O34" i="172"/>
  <c r="O20" i="172"/>
  <c r="O8" i="172"/>
  <c r="O28" i="172"/>
  <c r="O6" i="172"/>
  <c r="O5" i="172"/>
  <c r="O11" i="172"/>
  <c r="O35" i="172"/>
  <c r="O16" i="172"/>
  <c r="O18" i="172"/>
  <c r="O24" i="172"/>
  <c r="O10" i="172"/>
  <c r="O22" i="172"/>
  <c r="O29" i="172"/>
  <c r="O17" i="172"/>
  <c r="O21" i="172"/>
  <c r="O9" i="172"/>
  <c r="O12" i="172"/>
  <c r="O15" i="172"/>
  <c r="O31" i="172"/>
  <c r="O19" i="172"/>
  <c r="O32" i="172"/>
  <c r="O30" i="172"/>
  <c r="O23" i="172"/>
  <c r="O25" i="172"/>
  <c r="O7" i="172"/>
  <c r="O13" i="172"/>
  <c r="Q18" i="13"/>
  <c r="R18" i="13" s="1"/>
  <c r="R31" i="13" s="1"/>
  <c r="O8" i="160"/>
  <c r="O9" i="160"/>
  <c r="O7" i="160"/>
  <c r="O5" i="160"/>
  <c r="O8" i="151"/>
  <c r="O21" i="151"/>
  <c r="O34" i="151"/>
  <c r="O24" i="151"/>
  <c r="O23" i="151"/>
  <c r="O9" i="151"/>
  <c r="O22" i="151"/>
  <c r="O27" i="151"/>
  <c r="O20" i="151"/>
  <c r="O10" i="151"/>
  <c r="O15" i="151"/>
  <c r="O29" i="151"/>
  <c r="O11" i="151"/>
  <c r="O19" i="151"/>
  <c r="O12" i="151"/>
  <c r="O17" i="151"/>
  <c r="O28" i="151"/>
  <c r="O13" i="151"/>
  <c r="O25" i="151"/>
  <c r="O16" i="151"/>
  <c r="O30" i="151"/>
  <c r="O5" i="151"/>
  <c r="O31" i="151"/>
  <c r="O35" i="151"/>
  <c r="O6" i="151"/>
  <c r="O32" i="151"/>
  <c r="O7" i="151"/>
  <c r="O18" i="151"/>
  <c r="O33" i="151"/>
  <c r="O18" i="150"/>
  <c r="O8" i="150"/>
  <c r="O9" i="150"/>
  <c r="O16" i="150"/>
  <c r="O20" i="150"/>
  <c r="O30" i="150"/>
  <c r="O11" i="150"/>
  <c r="O31" i="150"/>
  <c r="O12" i="150"/>
  <c r="O7" i="150"/>
  <c r="O10" i="150"/>
  <c r="O24" i="150"/>
  <c r="O32" i="150"/>
  <c r="O13" i="150"/>
  <c r="O33" i="150"/>
  <c r="O14" i="150"/>
  <c r="O17" i="150"/>
  <c r="O19" i="150"/>
  <c r="O34" i="150"/>
  <c r="O23" i="150"/>
  <c r="O36" i="150"/>
  <c r="O5" i="150"/>
  <c r="O21" i="150"/>
  <c r="O6" i="150"/>
  <c r="O22" i="150"/>
  <c r="O35" i="150"/>
  <c r="O29" i="150"/>
  <c r="O37" i="150"/>
  <c r="O38" i="150"/>
  <c r="O40" i="149"/>
  <c r="O64" i="149"/>
  <c r="O25" i="149"/>
  <c r="O24" i="149"/>
  <c r="O41" i="149"/>
  <c r="O68" i="149"/>
  <c r="O28" i="149"/>
  <c r="O50" i="149"/>
  <c r="O48" i="149"/>
  <c r="O38" i="149"/>
  <c r="O58" i="149"/>
  <c r="O44" i="149"/>
  <c r="O54" i="149"/>
  <c r="O51" i="149"/>
  <c r="O65" i="149"/>
  <c r="O29" i="149"/>
  <c r="O42" i="149"/>
  <c r="O62" i="149"/>
  <c r="O63" i="149"/>
  <c r="O61" i="149"/>
  <c r="O47" i="149"/>
  <c r="O60" i="149"/>
  <c r="O59" i="149"/>
  <c r="O56" i="149"/>
  <c r="O23" i="149"/>
  <c r="O6" i="149"/>
  <c r="O32" i="149"/>
  <c r="O57" i="149"/>
  <c r="O27" i="149"/>
  <c r="O45" i="149"/>
  <c r="O35" i="149"/>
  <c r="O33" i="149"/>
  <c r="O52" i="149"/>
  <c r="O53" i="149"/>
  <c r="O55" i="149"/>
  <c r="O49" i="149"/>
  <c r="O30" i="149"/>
  <c r="O43" i="149"/>
  <c r="O34" i="149"/>
  <c r="O31" i="149"/>
  <c r="O5" i="149"/>
  <c r="O26" i="149"/>
  <c r="O39" i="149"/>
  <c r="O46" i="149"/>
  <c r="O21" i="149"/>
  <c r="O66" i="149"/>
  <c r="O22" i="149"/>
  <c r="O36" i="149"/>
  <c r="O37" i="149"/>
  <c r="O67" i="149"/>
  <c r="O25" i="148"/>
  <c r="O62" i="148"/>
  <c r="O40" i="148"/>
  <c r="O63" i="148"/>
  <c r="O50" i="148"/>
  <c r="O19" i="148"/>
  <c r="O53" i="148"/>
  <c r="O18" i="148"/>
  <c r="O13" i="148"/>
  <c r="O38" i="148"/>
  <c r="O27" i="148"/>
  <c r="O68" i="148"/>
  <c r="O55" i="148"/>
  <c r="O11" i="148"/>
  <c r="O21" i="148"/>
  <c r="O65" i="148"/>
  <c r="O54" i="148"/>
  <c r="O46" i="148"/>
  <c r="O10" i="148"/>
  <c r="O23" i="148"/>
  <c r="O36" i="148"/>
  <c r="O60" i="148"/>
  <c r="O7" i="148"/>
  <c r="O67" i="148"/>
  <c r="O16" i="148"/>
  <c r="O66" i="148"/>
  <c r="O49" i="148"/>
  <c r="O12" i="148"/>
  <c r="O41" i="148"/>
  <c r="O57" i="148"/>
  <c r="O32" i="148"/>
  <c r="O26" i="148"/>
  <c r="O8" i="148"/>
  <c r="O43" i="148"/>
  <c r="O29" i="148"/>
  <c r="O17" i="148"/>
  <c r="O31" i="148"/>
  <c r="O5" i="148"/>
  <c r="O47" i="148"/>
  <c r="O37" i="148"/>
  <c r="O24" i="148"/>
  <c r="O59" i="148"/>
  <c r="O39" i="148"/>
  <c r="O58" i="148"/>
  <c r="O14" i="148"/>
  <c r="O9" i="148"/>
  <c r="O28" i="148"/>
  <c r="O33" i="148"/>
  <c r="O22" i="148"/>
  <c r="O64" i="148"/>
  <c r="O51" i="148"/>
  <c r="O52" i="148"/>
  <c r="O45" i="148"/>
  <c r="O30" i="148"/>
  <c r="O6" i="148"/>
  <c r="O44" i="148"/>
  <c r="O15" i="148"/>
  <c r="O34" i="148"/>
  <c r="O61" i="148"/>
  <c r="O48" i="148"/>
  <c r="O56" i="148"/>
  <c r="O35" i="148"/>
  <c r="O42" i="148"/>
  <c r="O47" i="146"/>
  <c r="O55" i="146"/>
  <c r="O58" i="146"/>
  <c r="O31" i="146"/>
  <c r="O5" i="146"/>
  <c r="O23" i="146"/>
  <c r="O38" i="146"/>
  <c r="O13" i="146"/>
  <c r="O43" i="146"/>
  <c r="O30" i="146"/>
  <c r="O18" i="146"/>
  <c r="O67" i="146"/>
  <c r="O44" i="146"/>
  <c r="O36" i="146"/>
  <c r="O22" i="146"/>
  <c r="O68" i="146"/>
  <c r="O35" i="146"/>
  <c r="O27" i="146"/>
  <c r="O34" i="146"/>
  <c r="O66" i="146"/>
  <c r="O10" i="146"/>
  <c r="O69" i="146"/>
  <c r="O29" i="146"/>
  <c r="O42" i="146"/>
  <c r="O8" i="146"/>
  <c r="O71" i="146"/>
  <c r="O59" i="146"/>
  <c r="O32" i="146"/>
  <c r="O40" i="146"/>
  <c r="O56" i="146"/>
  <c r="O12" i="146"/>
  <c r="O61" i="146"/>
  <c r="O65" i="146"/>
  <c r="O21" i="146"/>
  <c r="O37" i="146"/>
  <c r="O39" i="146"/>
  <c r="O49" i="146"/>
  <c r="O48" i="146"/>
  <c r="O11" i="146"/>
  <c r="O46" i="146"/>
  <c r="O9" i="146"/>
  <c r="O6" i="146"/>
  <c r="O24" i="146"/>
  <c r="O33" i="146"/>
  <c r="O7" i="146"/>
  <c r="O20" i="146"/>
  <c r="O28" i="146"/>
  <c r="O25" i="146"/>
  <c r="O26" i="146"/>
  <c r="O19" i="146"/>
  <c r="O70" i="146"/>
  <c r="O57" i="146"/>
  <c r="O14" i="146"/>
  <c r="O71" i="147"/>
  <c r="O39" i="147"/>
  <c r="O66" i="147"/>
  <c r="O5" i="147"/>
  <c r="O34" i="147"/>
  <c r="O60" i="147"/>
  <c r="O43" i="147"/>
  <c r="O52" i="147"/>
  <c r="O62" i="147"/>
  <c r="O37" i="147"/>
  <c r="O56" i="147"/>
  <c r="O68" i="147"/>
  <c r="O18" i="147"/>
  <c r="O65" i="147"/>
  <c r="O63" i="147"/>
  <c r="O20" i="147"/>
  <c r="O50" i="147"/>
  <c r="O47" i="147"/>
  <c r="O22" i="147"/>
  <c r="O38" i="147"/>
  <c r="O29" i="147"/>
  <c r="O70" i="147"/>
  <c r="O45" i="147"/>
  <c r="O28" i="147"/>
  <c r="O67" i="147"/>
  <c r="O44" i="147"/>
  <c r="O59" i="147"/>
  <c r="O32" i="147"/>
  <c r="O17" i="147"/>
  <c r="O40" i="147"/>
  <c r="O12" i="147"/>
  <c r="O31" i="147"/>
  <c r="O64" i="147"/>
  <c r="O10" i="147"/>
  <c r="O57" i="147"/>
  <c r="O7" i="147"/>
  <c r="O26" i="147"/>
  <c r="O30" i="147"/>
  <c r="O48" i="147"/>
  <c r="O61" i="147"/>
  <c r="O54" i="147"/>
  <c r="O46" i="147"/>
  <c r="O11" i="147"/>
  <c r="O35" i="147"/>
  <c r="O9" i="147"/>
  <c r="O19" i="147"/>
  <c r="O15" i="147"/>
  <c r="O23" i="147"/>
  <c r="O53" i="147"/>
  <c r="O49" i="147"/>
  <c r="O16" i="147"/>
  <c r="O13" i="147"/>
  <c r="O58" i="147"/>
  <c r="O36" i="147"/>
  <c r="O24" i="147"/>
  <c r="O41" i="147"/>
  <c r="O33" i="147"/>
  <c r="O27" i="147"/>
  <c r="O69" i="147"/>
  <c r="O25" i="147"/>
  <c r="O42" i="147"/>
  <c r="O6" i="147"/>
  <c r="O8" i="147"/>
  <c r="O55" i="147"/>
  <c r="O14" i="147"/>
  <c r="F320" i="29" a="1"/>
  <c r="F293" i="29" a="1"/>
  <c r="F273" i="29" a="1"/>
  <c r="R325" i="28" a="1"/>
  <c r="C69" i="27" a="1"/>
  <c r="M3" i="27" a="1"/>
  <c r="W237" i="29" a="1"/>
  <c r="C120" i="27" a="1"/>
  <c r="R294" i="28" a="1"/>
  <c r="C85" i="27" a="1"/>
  <c r="R327" i="28" a="1"/>
  <c r="F294" i="29" a="1"/>
  <c r="W320" i="29" a="1"/>
  <c r="D85" i="30" a="1"/>
  <c r="C61" i="27" a="1"/>
  <c r="R406" i="28" a="1"/>
  <c r="F200" i="29" a="1"/>
  <c r="M136" i="27" a="1"/>
  <c r="F181" i="29" a="1"/>
  <c r="C10" i="27" a="1"/>
  <c r="R281" i="28" a="1"/>
  <c r="W231" i="29" a="1"/>
  <c r="W310" i="29" a="1"/>
  <c r="C87" i="27" a="1"/>
  <c r="W200" i="29" a="1"/>
  <c r="F313" i="29" a="1"/>
  <c r="M96" i="27" a="1"/>
  <c r="M98" i="27" a="1"/>
  <c r="W232" i="29" a="1"/>
  <c r="F186" i="29" a="1"/>
  <c r="R262" i="28" a="1"/>
  <c r="W173" i="29" a="1"/>
  <c r="F212" i="29" a="1"/>
  <c r="F197" i="29" a="1"/>
  <c r="C3" i="27" a="1"/>
  <c r="F194" i="29" a="1"/>
  <c r="F211" i="29" a="1"/>
  <c r="R239" i="28" a="1"/>
  <c r="R288" i="28" a="1"/>
  <c r="W223" i="29" a="1"/>
  <c r="C95" i="27" a="1"/>
  <c r="R48" i="28" a="1"/>
  <c r="C98" i="27" a="1"/>
  <c r="F206" i="29" a="1"/>
  <c r="W190" i="29" a="1"/>
  <c r="R324" i="28" a="1"/>
  <c r="M36" i="27" a="1"/>
  <c r="R364" i="28" a="1"/>
  <c r="C42" i="27" a="1"/>
  <c r="W319" i="29" a="1"/>
  <c r="W306" i="29" a="1"/>
  <c r="F196" i="29" a="1"/>
  <c r="R297" i="28" a="1"/>
  <c r="F311" i="29" a="1"/>
  <c r="M123" i="27" a="1"/>
  <c r="W217" i="29" a="1"/>
  <c r="R274" i="28" a="1"/>
  <c r="R336" i="28" a="1"/>
  <c r="R601" i="28" a="1"/>
  <c r="F192" i="29" a="1"/>
  <c r="R109" i="28" a="1"/>
  <c r="F173" i="29" a="1"/>
  <c r="F183" i="29" a="1"/>
  <c r="R529" i="28" a="1"/>
  <c r="R401" i="28" a="1"/>
  <c r="C38" i="27" a="1"/>
  <c r="W295" i="29" a="1"/>
  <c r="R205" i="28" a="1"/>
  <c r="R177" i="28" a="1"/>
  <c r="R156" i="28" a="1"/>
  <c r="R108" i="28" a="1"/>
  <c r="W296" i="29" a="1"/>
  <c r="W327" i="29" a="1"/>
  <c r="F218" i="29" a="1"/>
  <c r="W316" i="29" a="1"/>
  <c r="R117" i="28" a="1"/>
  <c r="C41" i="27" a="1"/>
  <c r="R235" i="28" a="1"/>
  <c r="M43" i="27" a="1"/>
  <c r="R113" i="28" a="1"/>
  <c r="R259" i="28" a="1"/>
  <c r="W178" i="29" a="1"/>
  <c r="V78" i="30" a="1"/>
  <c r="M32" i="27" a="1"/>
  <c r="R166" i="28" a="1"/>
  <c r="W206" i="29" a="1"/>
  <c r="R343" i="28" a="1"/>
  <c r="W198" i="29" a="1"/>
  <c r="R441" i="28" a="1"/>
  <c r="C88" i="27" a="1"/>
  <c r="M101" i="27" a="1"/>
  <c r="W195" i="29" a="1"/>
  <c r="C21" i="27" a="1"/>
  <c r="W317" i="29" a="1"/>
  <c r="F230" i="29" a="1"/>
  <c r="W321" i="29" a="1"/>
  <c r="W234" i="29" a="1"/>
  <c r="R561" i="28" a="1"/>
  <c r="C127" i="27" a="1"/>
  <c r="R312" i="28" a="1"/>
  <c r="M33" i="27" a="1"/>
  <c r="F235" i="29" a="1"/>
  <c r="R376" i="28" a="1"/>
  <c r="F191" i="29" a="1"/>
  <c r="F193" i="29" a="1"/>
  <c r="M45" i="27" a="1"/>
  <c r="C32" i="27" a="1"/>
  <c r="W175" i="29" a="1"/>
  <c r="W205" i="29" a="1"/>
  <c r="M69" i="27" a="1"/>
  <c r="W211" i="29" a="1"/>
  <c r="F225" i="29" a="1"/>
  <c r="C33" i="27" a="1"/>
  <c r="M42" i="27" a="1"/>
  <c r="R394" i="28" a="1"/>
  <c r="F321" i="29" a="1"/>
  <c r="F210" i="29" a="1"/>
  <c r="D78" i="30" a="1"/>
  <c r="W297" i="29" a="1"/>
  <c r="M117" i="27" a="1"/>
  <c r="R272" i="28" a="1"/>
  <c r="F198" i="29" a="1"/>
  <c r="V33" i="30" a="1"/>
  <c r="W180" i="29" a="1"/>
  <c r="R249" i="28" a="1"/>
  <c r="C59" i="27" a="1"/>
  <c r="R367" i="28" a="1"/>
  <c r="R440" i="28" a="1"/>
  <c r="F315" i="29" a="1"/>
  <c r="F326" i="29" a="1"/>
  <c r="M95" i="27" a="1"/>
  <c r="F188" i="29" a="1"/>
  <c r="R155" i="28" a="1"/>
  <c r="F237" i="29" a="1"/>
  <c r="W199" i="29" a="1"/>
  <c r="R112" i="28" a="1"/>
  <c r="R405" i="28" a="1"/>
  <c r="R546" i="28" a="1"/>
  <c r="W221" i="29" a="1"/>
  <c r="M8" i="27" a="1"/>
  <c r="F175" i="29" a="1"/>
  <c r="F325" i="29" a="1"/>
  <c r="F190" i="29" a="1"/>
  <c r="R554" i="28" a="1"/>
  <c r="F238" i="29" a="1"/>
  <c r="F182" i="29" a="1"/>
  <c r="R372" i="28" a="1"/>
  <c r="W220" i="29" a="1"/>
  <c r="R496" i="28" a="1"/>
  <c r="M38" i="27" a="1"/>
  <c r="C107" i="27" a="1"/>
  <c r="R339" i="28" a="1"/>
  <c r="F199" i="29" a="1"/>
  <c r="W272" i="29" a="1"/>
  <c r="R347" i="28" a="1"/>
  <c r="R392" i="28" a="1"/>
  <c r="D53" i="30" a="1"/>
  <c r="W218" i="29" a="1"/>
  <c r="C58" i="27" a="1"/>
  <c r="W308" i="29" a="1"/>
  <c r="W238" i="29" a="1"/>
  <c r="R279" i="28" a="1"/>
  <c r="W213" i="29" a="1"/>
  <c r="M74" i="27" a="1"/>
  <c r="F323" i="29" a="1"/>
  <c r="F233" i="29" a="1"/>
  <c r="W309" i="29" a="1"/>
  <c r="F219" i="29" a="1"/>
  <c r="F216" i="29" a="1"/>
  <c r="W241" i="29" a="1"/>
  <c r="F209" i="29" a="1"/>
  <c r="F305" i="29" a="1"/>
  <c r="C40" i="27" a="1"/>
  <c r="W235" i="29" a="1"/>
  <c r="W176" i="29" a="1"/>
  <c r="M120" i="27" a="1"/>
  <c r="R209" i="28" a="1"/>
  <c r="C39" i="27" a="1"/>
  <c r="F217" i="29" a="1"/>
  <c r="W184" i="29" a="1"/>
  <c r="R299" i="28" a="1"/>
  <c r="M10" i="27" a="1"/>
  <c r="M21" i="27" a="1"/>
  <c r="W314" i="29" a="1"/>
  <c r="V21" i="30" a="1"/>
  <c r="R106" i="28" a="1"/>
  <c r="W227" i="29" a="1"/>
  <c r="V72" i="30" a="1"/>
  <c r="R276" i="28" a="1"/>
  <c r="F202" i="29" a="1"/>
  <c r="C78" i="27" a="1"/>
  <c r="F318" i="29" a="1"/>
  <c r="R598" i="28" a="1"/>
  <c r="C36" i="27" a="1"/>
  <c r="F234" i="29" a="1"/>
  <c r="F239" i="29" a="1"/>
  <c r="M34" i="27" a="1"/>
  <c r="R357" i="28" a="1"/>
  <c r="W294" i="29" a="1"/>
  <c r="W216" i="29" a="1"/>
  <c r="C46" i="27" a="1"/>
  <c r="F327" i="29" a="1"/>
  <c r="F308" i="29" a="1"/>
  <c r="F231" i="29" a="1"/>
  <c r="W293" i="29" a="1"/>
  <c r="R522" i="28" a="1"/>
  <c r="C136" i="27" a="1"/>
  <c r="M127" i="27" a="1"/>
  <c r="R218" i="28" a="1"/>
  <c r="D2" i="30" a="1"/>
  <c r="M79" i="27" a="1"/>
  <c r="R246" i="28" a="1"/>
  <c r="R260" i="28" a="1"/>
  <c r="M39" i="27" a="1"/>
  <c r="F229" i="29" a="1"/>
  <c r="M124" i="27" a="1"/>
  <c r="C79" i="27" a="1"/>
  <c r="R176" i="28" a="1"/>
  <c r="F189" i="29" a="1"/>
  <c r="W202" i="29" a="1"/>
  <c r="C109" i="27" a="1"/>
  <c r="F328" i="29" a="1"/>
  <c r="R397" i="28" a="1"/>
  <c r="W329" i="29" a="1"/>
  <c r="C18" i="27" a="1"/>
  <c r="R296" i="28" a="1"/>
  <c r="W183" i="29" a="1"/>
  <c r="W203" i="29" a="1"/>
  <c r="R328" i="28" a="1"/>
  <c r="M88" i="27" a="1"/>
  <c r="R157" i="28" a="1"/>
  <c r="W201" i="29" a="1"/>
  <c r="R313" i="28" a="1"/>
  <c r="F296" i="29" a="1"/>
  <c r="W229" i="29" a="1"/>
  <c r="W323" i="29" a="1"/>
  <c r="M87" i="27" a="1"/>
  <c r="W312" i="29" a="1"/>
  <c r="F184" i="29" a="1"/>
  <c r="W204" i="29" a="1"/>
  <c r="R365" i="28" a="1"/>
  <c r="M61" i="27" a="1"/>
  <c r="D33" i="30" a="1"/>
  <c r="V85" i="30" a="1"/>
  <c r="M18" i="27" a="1"/>
  <c r="F204" i="29" a="1"/>
  <c r="F324" i="29" a="1"/>
  <c r="W222" i="29" a="1"/>
  <c r="W326" i="29" a="1"/>
  <c r="W328" i="29" a="1"/>
  <c r="W302" i="29" a="1"/>
  <c r="F220" i="29" a="1"/>
  <c r="W177" i="29" a="1"/>
  <c r="R290" i="28" a="1"/>
  <c r="W224" i="29" a="1"/>
  <c r="M137" i="27" a="1"/>
  <c r="R514" i="28" a="1"/>
  <c r="R389" i="28" a="1"/>
  <c r="W193" i="29" a="1"/>
  <c r="R545" i="28" a="1"/>
  <c r="R284" i="28" a="1"/>
  <c r="W210" i="29" a="1"/>
  <c r="R307" i="28" a="1"/>
  <c r="R360" i="28" a="1"/>
  <c r="C80" i="27" a="1"/>
  <c r="C101" i="27" a="1"/>
  <c r="F309" i="29" a="1"/>
  <c r="C123" i="27" a="1"/>
  <c r="F306" i="29" a="1"/>
  <c r="W313" i="29" a="1"/>
  <c r="F195" i="29" a="1"/>
  <c r="R217" i="28" a="1"/>
  <c r="R238" i="28" a="1"/>
  <c r="M107" i="27" a="1"/>
  <c r="F176" i="29" a="1"/>
  <c r="M80" i="27" a="1"/>
  <c r="R493" i="28" a="1"/>
  <c r="R57" i="28" a="1"/>
  <c r="F241" i="29" a="1"/>
  <c r="R116" i="28" a="1"/>
  <c r="F307" i="29" a="1"/>
  <c r="F317" i="29" a="1"/>
  <c r="F203" i="29" a="1"/>
  <c r="V68" i="30" a="1"/>
  <c r="M85" i="27" a="1"/>
  <c r="W212" i="29" a="1"/>
  <c r="R331" i="28" a="1"/>
  <c r="R289" i="28" a="1"/>
  <c r="R332" i="28" a="1"/>
  <c r="R269" i="28" a="1"/>
  <c r="R293" i="28" a="1"/>
  <c r="R251" i="28" a="1"/>
  <c r="F232" i="29" a="1"/>
  <c r="W305" i="29" a="1"/>
  <c r="R498" i="28" a="1"/>
  <c r="M78" i="27" a="1"/>
  <c r="W226" i="29" a="1"/>
  <c r="C74" i="27" a="1"/>
  <c r="R359" i="28" a="1"/>
  <c r="W189" i="29" a="1"/>
  <c r="R253" i="28" a="1"/>
  <c r="F221" i="29" a="1"/>
  <c r="C44" i="27" a="1"/>
  <c r="F228" i="29" a="1"/>
  <c r="F215" i="29" a="1"/>
  <c r="R492" i="28" a="1"/>
  <c r="F314" i="29" a="1"/>
  <c r="R499" i="28" a="1"/>
  <c r="F185" i="29" a="1"/>
  <c r="W214" i="29" a="1"/>
  <c r="W186" i="29" a="1"/>
  <c r="W197" i="29" a="1"/>
  <c r="C35" i="27" a="1"/>
  <c r="F187" i="29" a="1"/>
  <c r="R47" i="28" a="1"/>
  <c r="W192" i="29" a="1"/>
  <c r="M41" i="27" a="1"/>
  <c r="R395" i="28" a="1"/>
  <c r="M40" i="27" a="1"/>
  <c r="C43" i="27" a="1"/>
  <c r="F180" i="29" a="1"/>
  <c r="R599" i="28" a="1"/>
  <c r="R330" i="28" a="1"/>
  <c r="W324" i="29" a="1"/>
  <c r="F222" i="29" a="1"/>
  <c r="D72" i="30" a="1"/>
  <c r="R111" i="28" a="1"/>
  <c r="W315" i="29" a="1"/>
  <c r="F240" i="29" a="1"/>
  <c r="R537" i="28" a="1"/>
  <c r="W318" i="29" a="1"/>
  <c r="F226" i="29" a="1"/>
  <c r="W196" i="29" a="1"/>
  <c r="W273" i="29" a="1"/>
  <c r="W188" i="29" a="1"/>
  <c r="F312" i="29" a="1"/>
  <c r="W228" i="29" a="1"/>
  <c r="F214" i="29" a="1"/>
  <c r="F316" i="29" a="1"/>
  <c r="F329" i="29" a="1"/>
  <c r="W187" i="29" a="1"/>
  <c r="W230" i="29" a="1"/>
  <c r="R323" i="28" a="1"/>
  <c r="M35" i="27" a="1"/>
  <c r="F227" i="29" a="1"/>
  <c r="M104" i="27" a="1"/>
  <c r="F319" i="29" a="1"/>
  <c r="W307" i="29" a="1"/>
  <c r="F236" i="29" a="1"/>
  <c r="F310" i="29" a="1"/>
  <c r="M58" i="27" a="1"/>
  <c r="W322" i="29" a="1"/>
  <c r="R383" i="28" a="1"/>
  <c r="C124" i="27" a="1"/>
  <c r="F224" i="29" a="1"/>
  <c r="W240" i="29" a="1"/>
  <c r="V49" i="30" a="1"/>
  <c r="W236" i="29" a="1"/>
  <c r="F201" i="29" a="1"/>
  <c r="R559" i="28" a="1"/>
  <c r="F174" i="29" a="1"/>
  <c r="R340" i="28" a="1"/>
  <c r="R247" i="28" a="1"/>
  <c r="W194" i="29" a="1"/>
  <c r="R275" i="28" a="1"/>
  <c r="W219" i="29" a="1"/>
  <c r="W233" i="29" a="1"/>
  <c r="C104" i="27" a="1"/>
  <c r="W181" i="29" a="1"/>
  <c r="R153" i="28" a="1"/>
  <c r="W209" i="29" a="1"/>
  <c r="F177" i="29" a="1"/>
  <c r="R375" i="28" a="1"/>
  <c r="R201" i="28" a="1"/>
  <c r="F179" i="29" a="1"/>
  <c r="R611" i="28" a="1"/>
  <c r="R600" i="28" a="1"/>
  <c r="C34" i="27" a="1"/>
  <c r="F223" i="29" a="1"/>
  <c r="R64" i="28" a="1"/>
  <c r="R547" i="28" a="1"/>
  <c r="F208" i="29" a="1"/>
  <c r="R515" i="28" a="1"/>
  <c r="M139" i="27" a="1"/>
  <c r="R512" i="28" a="1"/>
  <c r="R510" i="28" a="1"/>
  <c r="M67" i="27" a="1"/>
  <c r="C139" i="27" a="1"/>
  <c r="R478" i="28" a="1"/>
  <c r="F295" i="29" a="1"/>
  <c r="C117" i="27" a="1"/>
  <c r="W225" i="29" a="1"/>
  <c r="W208" i="29" a="1"/>
  <c r="C96" i="27" a="1"/>
  <c r="R107" i="28" a="1"/>
  <c r="F322" i="29" a="1"/>
  <c r="D68" i="30" a="1"/>
  <c r="V2" i="30" a="1"/>
  <c r="W185" i="29" a="1"/>
  <c r="W182" i="29" a="1"/>
  <c r="W207" i="29" a="1"/>
  <c r="M46" i="27" a="1"/>
  <c r="V53" i="30" a="1"/>
  <c r="R110" i="28" a="1"/>
  <c r="R393" i="28" a="1"/>
  <c r="R535" i="28" a="1"/>
  <c r="W239" i="29" a="1"/>
  <c r="R280" i="28" a="1"/>
  <c r="F272" i="29" a="1"/>
  <c r="R298" i="28" a="1"/>
  <c r="F205" i="29" a="1"/>
  <c r="R366" i="28" a="1"/>
  <c r="W311" i="29" a="1"/>
  <c r="R163" i="28" a="1"/>
  <c r="C45" i="27" a="1"/>
  <c r="R338" i="28" a="1"/>
  <c r="F207" i="29" a="1"/>
  <c r="F178" i="29" a="1"/>
  <c r="W191" i="29" a="1"/>
  <c r="M109" i="27" a="1"/>
  <c r="R300" i="28" a="1"/>
  <c r="M59" i="27" a="1"/>
  <c r="F213" i="29" a="1"/>
  <c r="C67" i="27" a="1"/>
  <c r="M44" i="27" a="1"/>
  <c r="R208" i="28" a="1"/>
  <c r="R304" i="28" a="1"/>
  <c r="W174" i="29" a="1"/>
  <c r="W325" i="29" a="1"/>
  <c r="C8" i="27" a="1"/>
  <c r="D21" i="30" a="1"/>
  <c r="C137" i="27" a="1"/>
  <c r="W179" i="29" a="1"/>
  <c r="W215" i="29" a="1"/>
  <c r="D49" i="30" a="1"/>
  <c r="C32" i="27" l="1"/>
  <c r="M32" i="27"/>
  <c r="R251" i="28"/>
  <c r="R299" i="28"/>
  <c r="R298" i="28"/>
  <c r="R293" i="28"/>
  <c r="F273" i="29"/>
  <c r="W273" i="29"/>
  <c r="F272" i="29"/>
  <c r="W272" i="29"/>
  <c r="R275" i="28"/>
  <c r="R259" i="28"/>
  <c r="R440" i="28"/>
  <c r="R441" i="28"/>
  <c r="R153" i="28"/>
  <c r="R166" i="28"/>
  <c r="V2" i="30"/>
  <c r="D2" i="30"/>
  <c r="V53" i="30"/>
  <c r="D53" i="30"/>
  <c r="V72" i="30"/>
  <c r="D72" i="30"/>
  <c r="V68" i="30"/>
  <c r="D68" i="30"/>
  <c r="V78" i="30"/>
  <c r="D78" i="30"/>
  <c r="V85" i="30"/>
  <c r="D85" i="30"/>
  <c r="V33" i="30"/>
  <c r="D33" i="30"/>
  <c r="V49" i="30"/>
  <c r="D49" i="30"/>
  <c r="V21" i="30"/>
  <c r="D21" i="30"/>
  <c r="R535" i="28"/>
  <c r="R397" i="28"/>
  <c r="R109" i="28"/>
  <c r="R367" i="28"/>
  <c r="R512" i="28"/>
  <c r="R300" i="28"/>
  <c r="R546" i="28"/>
  <c r="R201" i="28"/>
  <c r="R545" i="28"/>
  <c r="R64" i="28"/>
  <c r="R514" i="28"/>
  <c r="R156" i="28"/>
  <c r="R117" i="28"/>
  <c r="R376" i="28"/>
  <c r="R249" i="28"/>
  <c r="R289" i="28"/>
  <c r="R260" i="28"/>
  <c r="R327" i="28"/>
  <c r="R537" i="28"/>
  <c r="R106" i="28"/>
  <c r="R561" i="28"/>
  <c r="R332" i="28"/>
  <c r="R155" i="28"/>
  <c r="R281" i="28"/>
  <c r="R274" i="28"/>
  <c r="R272" i="28"/>
  <c r="R113" i="28"/>
  <c r="R116" i="28"/>
  <c r="R366" i="28"/>
  <c r="R217" i="28"/>
  <c r="R218" i="28"/>
  <c r="R324" i="28"/>
  <c r="R599" i="28"/>
  <c r="R395" i="28"/>
  <c r="R288" i="28"/>
  <c r="R394" i="28"/>
  <c r="R498" i="28"/>
  <c r="R247" i="28"/>
  <c r="R611" i="28"/>
  <c r="R246" i="28"/>
  <c r="R364" i="28"/>
  <c r="R493" i="28"/>
  <c r="R157" i="28"/>
  <c r="R522" i="28"/>
  <c r="R294" i="28"/>
  <c r="R253" i="28"/>
  <c r="R284" i="28"/>
  <c r="R238" i="28"/>
  <c r="R492" i="28"/>
  <c r="R107" i="28"/>
  <c r="R393" i="28"/>
  <c r="R313" i="28"/>
  <c r="R359" i="28"/>
  <c r="R239" i="28"/>
  <c r="R392" i="28"/>
  <c r="R296" i="28"/>
  <c r="R297" i="28"/>
  <c r="R279" i="28"/>
  <c r="R554" i="28"/>
  <c r="R383" i="28"/>
  <c r="R177" i="28"/>
  <c r="R338" i="28"/>
  <c r="R112" i="28"/>
  <c r="R343" i="28"/>
  <c r="R529" i="28"/>
  <c r="R600" i="28"/>
  <c r="R312" i="28"/>
  <c r="R304" i="28"/>
  <c r="R307" i="28"/>
  <c r="R290" i="28"/>
  <c r="R401" i="28"/>
  <c r="R323" i="28"/>
  <c r="R340" i="28"/>
  <c r="R559" i="28"/>
  <c r="R339" i="28"/>
  <c r="R406" i="28"/>
  <c r="R357" i="28"/>
  <c r="R389" i="28"/>
  <c r="R510" i="28"/>
  <c r="R110" i="28"/>
  <c r="R330" i="28"/>
  <c r="R163" i="28"/>
  <c r="R375" i="28"/>
  <c r="R365" i="28"/>
  <c r="R328" i="28"/>
  <c r="R499" i="28"/>
  <c r="R111" i="28"/>
  <c r="R325" i="28"/>
  <c r="R547" i="28"/>
  <c r="R372" i="28"/>
  <c r="R176" i="28"/>
  <c r="R269" i="28"/>
  <c r="R336" i="28"/>
  <c r="R478" i="28"/>
  <c r="R601" i="28"/>
  <c r="R598" i="28"/>
  <c r="R280" i="28"/>
  <c r="R235" i="28"/>
  <c r="R48" i="28"/>
  <c r="R496" i="28"/>
  <c r="R331" i="28"/>
  <c r="R405" i="28"/>
  <c r="R276" i="28"/>
  <c r="R205" i="28"/>
  <c r="R57" i="28"/>
  <c r="R360" i="28"/>
  <c r="R262" i="28"/>
  <c r="R347" i="28"/>
  <c r="R47" i="28"/>
  <c r="R208" i="28"/>
  <c r="R209" i="28"/>
  <c r="R108" i="28"/>
  <c r="R515" i="28"/>
  <c r="C109" i="27"/>
  <c r="M109" i="27"/>
  <c r="M87" i="27"/>
  <c r="C87" i="27"/>
  <c r="C10" i="27"/>
  <c r="M10" i="27"/>
  <c r="M36" i="27"/>
  <c r="C36" i="27"/>
  <c r="C124" i="27"/>
  <c r="M124" i="27"/>
  <c r="C80" i="27"/>
  <c r="M80" i="27"/>
  <c r="M59" i="27"/>
  <c r="C59" i="27"/>
  <c r="M139" i="27"/>
  <c r="C139" i="27"/>
  <c r="M137" i="27"/>
  <c r="C137" i="27"/>
  <c r="C74" i="27"/>
  <c r="M74" i="27"/>
  <c r="W297" i="29"/>
  <c r="W296" i="29"/>
  <c r="F296" i="29"/>
  <c r="M34" i="27"/>
  <c r="C34" i="27"/>
  <c r="M39" i="27"/>
  <c r="C39" i="27"/>
  <c r="C33" i="27"/>
  <c r="M33" i="27"/>
  <c r="W329" i="29"/>
  <c r="F329" i="29"/>
  <c r="W328" i="29"/>
  <c r="F328" i="29"/>
  <c r="W327" i="29"/>
  <c r="F327" i="29"/>
  <c r="W325" i="29"/>
  <c r="F325" i="29"/>
  <c r="W324" i="29"/>
  <c r="F324" i="29"/>
  <c r="F321" i="29"/>
  <c r="W321" i="29"/>
  <c r="F319" i="29"/>
  <c r="W319" i="29"/>
  <c r="W322" i="29"/>
  <c r="F322" i="29"/>
  <c r="W323" i="29"/>
  <c r="F323" i="29"/>
  <c r="F320" i="29"/>
  <c r="W320" i="29"/>
  <c r="F326" i="29"/>
  <c r="W326" i="29"/>
  <c r="F318" i="29"/>
  <c r="W318" i="29"/>
  <c r="F313" i="29"/>
  <c r="W313" i="29"/>
  <c r="F308" i="29"/>
  <c r="W308" i="29"/>
  <c r="W312" i="29"/>
  <c r="F312" i="29"/>
  <c r="F317" i="29"/>
  <c r="W317" i="29"/>
  <c r="F315" i="29"/>
  <c r="W315" i="29"/>
  <c r="W307" i="29"/>
  <c r="F307" i="29"/>
  <c r="F311" i="29"/>
  <c r="W311" i="29"/>
  <c r="F310" i="29"/>
  <c r="W310" i="29"/>
  <c r="F314" i="29"/>
  <c r="W314" i="29"/>
  <c r="F309" i="29"/>
  <c r="W309" i="29"/>
  <c r="F316" i="29"/>
  <c r="W316" i="29"/>
  <c r="F306" i="29"/>
  <c r="W306" i="29"/>
  <c r="W305" i="29"/>
  <c r="F305" i="29"/>
  <c r="C46" i="27"/>
  <c r="M46" i="27"/>
  <c r="C104" i="27"/>
  <c r="M104" i="27"/>
  <c r="M18" i="27"/>
  <c r="C18" i="27"/>
  <c r="C123" i="27"/>
  <c r="M123" i="27"/>
  <c r="C8" i="27"/>
  <c r="M8" i="27"/>
  <c r="C96" i="27"/>
  <c r="M96" i="27"/>
  <c r="C101" i="27"/>
  <c r="M101" i="27"/>
  <c r="C136" i="27"/>
  <c r="M136" i="27"/>
  <c r="C79" i="27"/>
  <c r="M79" i="27"/>
  <c r="C69" i="27"/>
  <c r="M69" i="27"/>
  <c r="C61" i="27"/>
  <c r="M61" i="27"/>
  <c r="C3" i="27"/>
  <c r="M3" i="27"/>
  <c r="C35" i="27"/>
  <c r="M35" i="27"/>
  <c r="M41" i="27"/>
  <c r="C41" i="27"/>
  <c r="C38" i="27"/>
  <c r="M38" i="27"/>
  <c r="M85" i="27"/>
  <c r="C85" i="27"/>
  <c r="M95" i="27"/>
  <c r="C95" i="27"/>
  <c r="M78" i="27"/>
  <c r="C78" i="27"/>
  <c r="M44" i="27"/>
  <c r="C44" i="27"/>
  <c r="C45" i="27"/>
  <c r="M45" i="27"/>
  <c r="M107" i="27"/>
  <c r="C107" i="27"/>
  <c r="M67" i="27"/>
  <c r="C67" i="27"/>
  <c r="M58" i="27"/>
  <c r="C58" i="27"/>
  <c r="C117" i="27"/>
  <c r="M117" i="27"/>
  <c r="M88" i="27"/>
  <c r="C88" i="27"/>
  <c r="M40" i="27"/>
  <c r="C40" i="27"/>
  <c r="C42" i="27"/>
  <c r="M42" i="27"/>
  <c r="M120" i="27"/>
  <c r="C120" i="27"/>
  <c r="M127" i="27"/>
  <c r="C127" i="27"/>
  <c r="C43" i="27"/>
  <c r="M43" i="27"/>
  <c r="M98" i="27"/>
  <c r="C98" i="27"/>
  <c r="M21" i="27"/>
  <c r="C21" i="27"/>
  <c r="F234" i="29"/>
  <c r="W234" i="29"/>
  <c r="W233" i="29"/>
  <c r="F233" i="29"/>
  <c r="F232" i="29"/>
  <c r="W232" i="29"/>
  <c r="F231" i="29"/>
  <c r="W231" i="29"/>
  <c r="W230" i="29"/>
  <c r="F230" i="29"/>
  <c r="W226" i="29"/>
  <c r="F226" i="29"/>
  <c r="F219" i="29"/>
  <c r="W219" i="29"/>
  <c r="F220" i="29"/>
  <c r="W220" i="29"/>
  <c r="F227" i="29"/>
  <c r="W227" i="29"/>
  <c r="W222" i="29"/>
  <c r="F222" i="29"/>
  <c r="F223" i="29"/>
  <c r="W223" i="29"/>
  <c r="W228" i="29"/>
  <c r="F228" i="29"/>
  <c r="F218" i="29"/>
  <c r="W218" i="29"/>
  <c r="W221" i="29"/>
  <c r="F221" i="29"/>
  <c r="W229" i="29"/>
  <c r="F229" i="29"/>
  <c r="W225" i="29"/>
  <c r="F225" i="29"/>
  <c r="W224" i="29"/>
  <c r="F224" i="29"/>
  <c r="F214" i="29"/>
  <c r="W214" i="29"/>
  <c r="F210" i="29"/>
  <c r="W210" i="29"/>
  <c r="F213" i="29"/>
  <c r="W213" i="29"/>
  <c r="W206" i="29"/>
  <c r="F206" i="29"/>
  <c r="F215" i="29"/>
  <c r="W215" i="29"/>
  <c r="W205" i="29"/>
  <c r="F205" i="29"/>
  <c r="W209" i="29"/>
  <c r="F209" i="29"/>
  <c r="F212" i="29"/>
  <c r="W212" i="29"/>
  <c r="F207" i="29"/>
  <c r="W207" i="29"/>
  <c r="W216" i="29"/>
  <c r="F216" i="29"/>
  <c r="W208" i="29"/>
  <c r="F208" i="29"/>
  <c r="F211" i="29"/>
  <c r="W211" i="29"/>
  <c r="W204" i="29"/>
  <c r="F204" i="29"/>
  <c r="F203" i="29"/>
  <c r="W203" i="29"/>
  <c r="W202" i="29"/>
  <c r="F202" i="29"/>
  <c r="F201" i="29"/>
  <c r="W201" i="29"/>
  <c r="W195" i="29"/>
  <c r="F195" i="29"/>
  <c r="F217" i="29"/>
  <c r="W217" i="29"/>
  <c r="F194" i="29"/>
  <c r="W194" i="29"/>
  <c r="F193" i="29"/>
  <c r="W193" i="29"/>
  <c r="W199" i="29"/>
  <c r="F199" i="29"/>
  <c r="W238" i="29"/>
  <c r="F238" i="29"/>
  <c r="F240" i="29"/>
  <c r="W240" i="29"/>
  <c r="W235" i="29"/>
  <c r="F235" i="29"/>
  <c r="F241" i="29"/>
  <c r="W241" i="29"/>
  <c r="F192" i="29"/>
  <c r="W192" i="29"/>
  <c r="W191" i="29"/>
  <c r="F191" i="29"/>
  <c r="W189" i="29"/>
  <c r="F189" i="29"/>
  <c r="W188" i="29"/>
  <c r="F188" i="29"/>
  <c r="W187" i="29"/>
  <c r="F187" i="29"/>
  <c r="F186" i="29"/>
  <c r="W186" i="29"/>
  <c r="F190" i="29"/>
  <c r="W190" i="29"/>
  <c r="F184" i="29"/>
  <c r="W184" i="29"/>
  <c r="F183" i="29"/>
  <c r="W183" i="29"/>
  <c r="F182" i="29"/>
  <c r="W182" i="29"/>
  <c r="F181" i="29"/>
  <c r="W181" i="29"/>
  <c r="F180" i="29"/>
  <c r="W180" i="29"/>
  <c r="W179" i="29"/>
  <c r="F179" i="29"/>
  <c r="W178" i="29"/>
  <c r="F178" i="29"/>
  <c r="W177" i="29"/>
  <c r="F177" i="29"/>
  <c r="W176" i="29"/>
  <c r="F176" i="29"/>
  <c r="F174" i="29"/>
  <c r="W174" i="29"/>
  <c r="W175" i="29"/>
  <c r="F175" i="29"/>
  <c r="F185" i="29"/>
  <c r="W185" i="29"/>
  <c r="F173" i="29"/>
  <c r="W173" i="29"/>
  <c r="F295" i="29"/>
  <c r="F200" i="29"/>
  <c r="F293" i="29"/>
  <c r="F294" i="29"/>
  <c r="F198" i="29"/>
  <c r="F236" i="29"/>
  <c r="F196" i="29"/>
  <c r="F237" i="29"/>
  <c r="F239" i="29"/>
  <c r="F197" i="29"/>
  <c r="W198" i="29"/>
  <c r="W294" i="29"/>
  <c r="W236" i="29"/>
  <c r="W237" i="29"/>
  <c r="W196" i="29"/>
  <c r="W239" i="29"/>
  <c r="W197" i="29"/>
  <c r="W295" i="29"/>
  <c r="W200" i="29"/>
  <c r="W293" i="29"/>
  <c r="W302" i="29"/>
  <c r="O42" i="13"/>
  <c r="Q42" i="13" s="1"/>
  <c r="R42" i="13" s="1"/>
  <c r="O40" i="13"/>
  <c r="Q40" i="13" s="1"/>
  <c r="R40" i="13" s="1"/>
  <c r="O39" i="13"/>
  <c r="Q39" i="13" s="1"/>
  <c r="R39" i="13" s="1"/>
  <c r="O38" i="13"/>
  <c r="Q38" i="13" s="1"/>
  <c r="R38" i="13" s="1"/>
  <c r="O37" i="13"/>
  <c r="Q37" i="13" s="1"/>
  <c r="R37" i="13" s="1"/>
  <c r="O35" i="13"/>
  <c r="Q35" i="13" s="1"/>
  <c r="R35" i="13" s="1"/>
  <c r="O43" i="13"/>
  <c r="Q43" i="13" s="1"/>
  <c r="R43" i="13" s="1"/>
  <c r="O36" i="13"/>
  <c r="Q36" i="13" s="1"/>
  <c r="R36" i="13" s="1"/>
  <c r="O41" i="13"/>
  <c r="Q41" i="13" s="1"/>
  <c r="R41" i="13" s="1"/>
  <c r="O34" i="13"/>
  <c r="Q34" i="13" s="1"/>
  <c r="R34" i="13" s="1"/>
  <c r="R419" i="28" a="1"/>
  <c r="R443" i="28" a="1"/>
  <c r="R189" i="28" a="1"/>
  <c r="R443" i="28" l="1"/>
  <c r="R419" i="28"/>
  <c r="R189" i="28"/>
  <c r="O9" i="14"/>
  <c r="O6" i="14"/>
  <c r="O5" i="14"/>
  <c r="O7" i="14"/>
  <c r="H39" i="31" a="1"/>
  <c r="G39" i="31" a="1"/>
  <c r="R429" i="28" a="1"/>
  <c r="G23" i="31" a="1"/>
  <c r="H23" i="31" a="1"/>
  <c r="H32" i="31" a="1"/>
  <c r="G32" i="31" a="1"/>
  <c r="H13" i="31" a="1"/>
  <c r="R221" i="28" a="1"/>
  <c r="G13" i="31" a="1"/>
  <c r="H39" i="31" l="1"/>
  <c r="H23" i="31"/>
  <c r="H32" i="31"/>
  <c r="R429" i="28"/>
  <c r="R221" i="28"/>
  <c r="H13" i="31"/>
  <c r="G13" i="31"/>
  <c r="L2" i="55" s="1"/>
  <c r="G23" i="31"/>
  <c r="L2" i="63" s="1"/>
  <c r="O50" i="63" s="1"/>
  <c r="G39" i="31"/>
  <c r="G32" i="31"/>
  <c r="L2" i="66" s="1"/>
  <c r="O50" i="66" s="1"/>
  <c r="L2" i="67"/>
  <c r="R409" i="28" a="1"/>
  <c r="R223" i="28" a="1"/>
  <c r="O16" i="55" l="1"/>
  <c r="O15" i="55"/>
  <c r="O13" i="55"/>
  <c r="O14" i="55"/>
  <c r="O31" i="63"/>
  <c r="O23" i="55"/>
  <c r="O32" i="55"/>
  <c r="O30" i="63"/>
  <c r="O29" i="63"/>
  <c r="O12" i="55"/>
  <c r="O35" i="67"/>
  <c r="O34" i="67"/>
  <c r="R409" i="28"/>
  <c r="R223" i="28"/>
  <c r="O63" i="66"/>
  <c r="O47" i="67"/>
  <c r="O48" i="67"/>
  <c r="O45" i="67"/>
  <c r="O46" i="67"/>
  <c r="O33" i="67"/>
  <c r="O14" i="67"/>
  <c r="O49" i="63"/>
  <c r="O23" i="63"/>
  <c r="O22" i="63"/>
  <c r="O21" i="63"/>
  <c r="O28" i="63"/>
  <c r="O34" i="63"/>
  <c r="O20" i="63"/>
  <c r="O26" i="63"/>
  <c r="O27" i="63"/>
  <c r="O15" i="63"/>
  <c r="O33" i="63"/>
  <c r="O32" i="63"/>
  <c r="O47" i="63"/>
  <c r="O32" i="67"/>
  <c r="O59" i="66"/>
  <c r="O62" i="66"/>
  <c r="O43" i="67"/>
  <c r="O30" i="67"/>
  <c r="O48" i="66"/>
  <c r="O17" i="63"/>
  <c r="O18" i="63"/>
  <c r="O48" i="63"/>
  <c r="O19" i="63"/>
  <c r="O8" i="66"/>
  <c r="O47" i="66"/>
  <c r="O49" i="66"/>
  <c r="O46" i="66"/>
  <c r="O13" i="63"/>
  <c r="O46" i="63"/>
  <c r="O58" i="66"/>
  <c r="O43" i="66"/>
  <c r="O44" i="66"/>
  <c r="O19" i="55"/>
  <c r="O10" i="55"/>
  <c r="O22" i="55"/>
  <c r="O26" i="67"/>
  <c r="O24" i="67"/>
  <c r="O23" i="67"/>
  <c r="O28" i="67"/>
  <c r="O27" i="67"/>
  <c r="O56" i="66"/>
  <c r="O55" i="66"/>
  <c r="O54" i="66"/>
  <c r="O53" i="66"/>
  <c r="O52" i="66"/>
  <c r="O41" i="66"/>
  <c r="O40" i="66"/>
  <c r="O45" i="66"/>
  <c r="O42" i="66"/>
  <c r="O38" i="66"/>
  <c r="O37" i="66"/>
  <c r="O36" i="66"/>
  <c r="O32" i="66"/>
  <c r="O31" i="66"/>
  <c r="O30" i="66"/>
  <c r="O35" i="66"/>
  <c r="O34" i="66"/>
  <c r="O33" i="66"/>
  <c r="O15" i="66"/>
  <c r="O14" i="66"/>
  <c r="O13" i="66"/>
  <c r="O12" i="66"/>
  <c r="O11" i="66"/>
  <c r="O10" i="66"/>
  <c r="O11" i="63"/>
  <c r="O12" i="63"/>
  <c r="O21" i="55"/>
  <c r="O14" i="51"/>
  <c r="O19" i="51"/>
  <c r="O9" i="51"/>
  <c r="O24" i="51"/>
  <c r="O13" i="51"/>
  <c r="O18" i="51"/>
  <c r="O8" i="51"/>
  <c r="O23" i="51"/>
  <c r="O12" i="51"/>
  <c r="O17" i="51"/>
  <c r="O7" i="51"/>
  <c r="O22" i="51"/>
  <c r="O16" i="51"/>
  <c r="O6" i="51"/>
  <c r="O21" i="51"/>
  <c r="O5" i="51"/>
  <c r="O20" i="51"/>
  <c r="O25" i="51"/>
  <c r="O15" i="51"/>
  <c r="O11" i="51"/>
  <c r="O26" i="66"/>
  <c r="O51" i="66"/>
  <c r="O60" i="66"/>
  <c r="O16" i="66"/>
  <c r="O20" i="66"/>
  <c r="O25" i="66"/>
  <c r="O39" i="66"/>
  <c r="O19" i="66"/>
  <c r="O24" i="66"/>
  <c r="O5" i="66"/>
  <c r="O29" i="66"/>
  <c r="O23" i="66"/>
  <c r="O57" i="66"/>
  <c r="O18" i="66"/>
  <c r="O28" i="66"/>
  <c r="O22" i="66"/>
  <c r="O27" i="66"/>
  <c r="O61" i="66"/>
  <c r="O17" i="66"/>
  <c r="O7" i="66"/>
  <c r="O6" i="66"/>
  <c r="O19" i="67"/>
  <c r="O31" i="67"/>
  <c r="O38" i="67"/>
  <c r="O42" i="67"/>
  <c r="O10" i="67"/>
  <c r="O50" i="67"/>
  <c r="O18" i="67"/>
  <c r="O5" i="67"/>
  <c r="O29" i="67"/>
  <c r="O17" i="67"/>
  <c r="O37" i="67"/>
  <c r="O41" i="67"/>
  <c r="O9" i="67"/>
  <c r="O13" i="67"/>
  <c r="O40" i="67"/>
  <c r="O8" i="67"/>
  <c r="O12" i="67"/>
  <c r="O20" i="67"/>
  <c r="O36" i="67"/>
  <c r="O39" i="67"/>
  <c r="O44" i="67"/>
  <c r="O7" i="67"/>
  <c r="O11" i="67"/>
  <c r="O16" i="67"/>
  <c r="O5" i="50"/>
  <c r="O10" i="50"/>
  <c r="O9" i="50"/>
  <c r="O14" i="50"/>
  <c r="O13" i="50"/>
  <c r="O6" i="50"/>
  <c r="O11" i="50"/>
  <c r="O7" i="50"/>
  <c r="O12" i="50"/>
  <c r="O8" i="50"/>
  <c r="O15" i="50"/>
  <c r="O36" i="63"/>
  <c r="O5" i="63"/>
  <c r="O9" i="63"/>
  <c r="O41" i="63"/>
  <c r="O40" i="63"/>
  <c r="O6" i="63"/>
  <c r="O10" i="63"/>
  <c r="O45" i="63"/>
  <c r="O39" i="63"/>
  <c r="O44" i="63"/>
  <c r="O7" i="63"/>
  <c r="O14" i="63"/>
  <c r="O38" i="63"/>
  <c r="O43" i="63"/>
  <c r="O8" i="63"/>
  <c r="O37" i="63"/>
  <c r="O42" i="63"/>
  <c r="O25" i="63"/>
  <c r="O7" i="53"/>
  <c r="O6" i="53"/>
  <c r="O5" i="53"/>
  <c r="O7" i="52"/>
  <c r="O6" i="52"/>
  <c r="O5" i="52"/>
  <c r="O29" i="55"/>
  <c r="O28" i="55"/>
  <c r="O27" i="55"/>
  <c r="O8" i="55"/>
  <c r="O31" i="55"/>
  <c r="O25" i="55"/>
  <c r="O30" i="55"/>
  <c r="O18" i="55"/>
  <c r="O26" i="55"/>
  <c r="O9" i="55"/>
  <c r="O11" i="55"/>
  <c r="O6" i="55"/>
  <c r="O7" i="55"/>
  <c r="O5" i="55"/>
  <c r="F3" i="29" a="1"/>
  <c r="V69" i="30" a="1"/>
  <c r="H109" i="31" a="1"/>
  <c r="W47" i="29" a="1"/>
  <c r="W20" i="29" a="1"/>
  <c r="M103" i="27" a="1"/>
  <c r="M115" i="27" a="1"/>
  <c r="W48" i="29" a="1"/>
  <c r="W59" i="29" a="1"/>
  <c r="V50" i="30" a="1"/>
  <c r="W60" i="29" a="1"/>
  <c r="V22" i="30" a="1"/>
  <c r="G53" i="31" a="1"/>
  <c r="H53" i="31" a="1"/>
  <c r="D22" i="30" a="1"/>
  <c r="H21" i="31" a="1"/>
  <c r="W63" i="29" a="1"/>
  <c r="D28" i="30" a="1"/>
  <c r="D40" i="30" a="1"/>
  <c r="W65" i="29" a="1"/>
  <c r="R445" i="28" a="1"/>
  <c r="R437" i="28" a="1"/>
  <c r="G29" i="31" a="1"/>
  <c r="M9" i="27" a="1"/>
  <c r="H20" i="31" a="1"/>
  <c r="W16" i="29" a="1"/>
  <c r="W21" i="29" a="1"/>
  <c r="F46" i="29" a="1"/>
  <c r="C66" i="27" a="1"/>
  <c r="V60" i="30" a="1"/>
  <c r="H31" i="31" a="1"/>
  <c r="F64" i="29" a="1"/>
  <c r="H33" i="31" a="1"/>
  <c r="V70" i="30" a="1"/>
  <c r="F61" i="29" a="1"/>
  <c r="R31" i="28" a="1"/>
  <c r="C64" i="27" a="1"/>
  <c r="R265" i="28" a="1"/>
  <c r="C16" i="27" a="1"/>
  <c r="R76" i="28" a="1"/>
  <c r="R14" i="28" a="1"/>
  <c r="M6" i="27" a="1"/>
  <c r="H14" i="31" a="1"/>
  <c r="H28" i="31" a="1"/>
  <c r="M30" i="27" a="1"/>
  <c r="H15" i="31" a="1"/>
  <c r="R19" i="28" a="1"/>
  <c r="G25" i="31" a="1"/>
  <c r="R391" i="28" a="1"/>
  <c r="R417" i="28" a="1"/>
  <c r="G34" i="31" a="1"/>
  <c r="H27" i="31" a="1"/>
  <c r="R268" i="28" a="1"/>
  <c r="D25" i="30" a="1"/>
  <c r="R143" i="28" a="1"/>
  <c r="F45" i="29" a="1"/>
  <c r="R396" i="28" a="1"/>
  <c r="W44" i="29" a="1"/>
  <c r="F51" i="29" a="1"/>
  <c r="F58" i="29" a="1"/>
  <c r="W50" i="29" a="1"/>
  <c r="V41" i="30" a="1"/>
  <c r="G14" i="31" a="1"/>
  <c r="W49" i="29" a="1"/>
  <c r="R579" i="28" a="1"/>
  <c r="R516" i="28" a="1"/>
  <c r="G30" i="31" a="1"/>
  <c r="W51" i="29" a="1"/>
  <c r="R318" i="28" a="1"/>
  <c r="W42" i="29" a="1"/>
  <c r="R225" i="28" a="1"/>
  <c r="G17" i="31" a="1"/>
  <c r="R15" i="28" a="1"/>
  <c r="G16" i="31" a="1"/>
  <c r="D44" i="30" a="1"/>
  <c r="M105" i="27" a="1"/>
  <c r="R326" i="28" a="1"/>
  <c r="D24" i="30" a="1"/>
  <c r="F48" i="29" a="1"/>
  <c r="G28" i="31" a="1"/>
  <c r="G24" i="31" a="1"/>
  <c r="R236" i="28" a="1"/>
  <c r="R322" i="28" a="1"/>
  <c r="D58" i="30" a="1"/>
  <c r="G15" i="31" a="1"/>
  <c r="R333" i="28" a="1"/>
  <c r="D37" i="30" a="1"/>
  <c r="W62" i="29" a="1"/>
  <c r="V58" i="30" a="1"/>
  <c r="M99" i="27" a="1"/>
  <c r="R16" i="28" a="1"/>
  <c r="M53" i="27" a="1"/>
  <c r="W61" i="29" a="1"/>
  <c r="H22" i="31" a="1"/>
  <c r="F62" i="29" a="1"/>
  <c r="F16" i="29" a="1"/>
  <c r="F50" i="29" a="1"/>
  <c r="R342" i="28" a="1"/>
  <c r="C105" i="27" a="1"/>
  <c r="G11" i="31" a="1"/>
  <c r="H11" i="31" a="1"/>
  <c r="R74" i="28" a="1"/>
  <c r="W43" i="29" a="1"/>
  <c r="V66" i="30" a="1"/>
  <c r="H36" i="31" a="1"/>
  <c r="M17" i="27" a="1"/>
  <c r="F59" i="29" a="1"/>
  <c r="F60" i="29" a="1"/>
  <c r="C30" i="27" a="1"/>
  <c r="F44" i="29" a="1"/>
  <c r="H19" i="31" a="1"/>
  <c r="R513" i="28" a="1"/>
  <c r="R124" i="28" a="1"/>
  <c r="H25" i="31" a="1"/>
  <c r="F17" i="29" a="1"/>
  <c r="D7" i="30" a="1"/>
  <c r="H18" i="31" a="1"/>
  <c r="C121" i="27" a="1"/>
  <c r="F65" i="29" a="1"/>
  <c r="M16" i="27" a="1"/>
  <c r="R58" i="28" a="1"/>
  <c r="R530" i="28" a="1"/>
  <c r="G35" i="31" a="1"/>
  <c r="W58" i="29" a="1"/>
  <c r="R565" i="28" a="1"/>
  <c r="M27" i="27" a="1"/>
  <c r="W75" i="29" a="1"/>
  <c r="R66" i="28" a="1"/>
  <c r="D41" i="30" a="1"/>
  <c r="C53" i="27" a="1"/>
  <c r="H26" i="31" a="1"/>
  <c r="F2" i="29" a="1"/>
  <c r="V28" i="30" a="1"/>
  <c r="F43" i="29" a="1"/>
  <c r="D50" i="30" a="1"/>
  <c r="R20" i="28" a="1"/>
  <c r="G22" i="31" a="1"/>
  <c r="R566" i="28" a="1"/>
  <c r="R457" i="28" a="1"/>
  <c r="V42" i="30" a="1"/>
  <c r="F75" i="29" a="1"/>
  <c r="R400" i="28" a="1"/>
  <c r="R72" i="28" a="1"/>
  <c r="G31" i="31" a="1"/>
  <c r="R558" i="28" a="1"/>
  <c r="C115" i="27" a="1"/>
  <c r="G19" i="31" a="1"/>
  <c r="C15" i="27" a="1"/>
  <c r="G27" i="31" a="1"/>
  <c r="W52" i="29" a="1"/>
  <c r="W64" i="29" a="1"/>
  <c r="R286" i="28" a="1"/>
  <c r="W46" i="29" a="1"/>
  <c r="R576" i="28" a="1"/>
  <c r="R18" i="28" a="1"/>
  <c r="V37" i="30" a="1"/>
  <c r="V24" i="30" a="1"/>
  <c r="R180" i="28" a="1"/>
  <c r="G38" i="31" a="1"/>
  <c r="H34" i="31" a="1"/>
  <c r="R310" i="28" a="1"/>
  <c r="H16" i="31" a="1"/>
  <c r="M64" i="27" a="1"/>
  <c r="R550" i="28" a="1"/>
  <c r="V81" i="30" a="1"/>
  <c r="R179" i="28" a="1"/>
  <c r="C103" i="27" a="1"/>
  <c r="F42" i="29" a="1"/>
  <c r="H24" i="31" a="1"/>
  <c r="C6" i="27" a="1"/>
  <c r="F20" i="29" a="1"/>
  <c r="F19" i="29" a="1"/>
  <c r="D42" i="30" a="1"/>
  <c r="G109" i="31" a="1"/>
  <c r="V25" i="30" a="1"/>
  <c r="G26" i="31" a="1"/>
  <c r="M14" i="27" a="1"/>
  <c r="C14" i="27" a="1"/>
  <c r="C27" i="27" a="1"/>
  <c r="R538" i="28" a="1"/>
  <c r="R12" i="28" a="1"/>
  <c r="H35" i="31" a="1"/>
  <c r="R465" i="28" a="1"/>
  <c r="M66" i="27" a="1"/>
  <c r="R22" i="28" a="1"/>
  <c r="R434" i="28" a="1"/>
  <c r="D38" i="30" a="1"/>
  <c r="R202" i="28" a="1"/>
  <c r="V52" i="30" a="1"/>
  <c r="R204" i="28" a="1"/>
  <c r="D60" i="30" a="1"/>
  <c r="G36" i="31" a="1"/>
  <c r="R574" i="28" a="1"/>
  <c r="D66" i="30" a="1"/>
  <c r="M47" i="27" a="1"/>
  <c r="D81" i="30" a="1"/>
  <c r="V38" i="30" a="1"/>
  <c r="G20" i="31" a="1"/>
  <c r="H48" i="31" a="1"/>
  <c r="D69" i="30" a="1"/>
  <c r="D70" i="30" a="1"/>
  <c r="R458" i="28" a="1"/>
  <c r="R45" i="28" a="1"/>
  <c r="W17" i="29" a="1"/>
  <c r="V44" i="30" a="1"/>
  <c r="F47" i="29" a="1"/>
  <c r="W342" i="29" a="1"/>
  <c r="H17" i="31" a="1"/>
  <c r="G21" i="31" a="1"/>
  <c r="C47" i="27" a="1"/>
  <c r="R34" i="28" a="1"/>
  <c r="W3" i="29" a="1"/>
  <c r="F21" i="29" a="1"/>
  <c r="G48" i="31" a="1"/>
  <c r="R148" i="28" a="1"/>
  <c r="M121" i="27" a="1"/>
  <c r="G33" i="31" a="1"/>
  <c r="R196" i="28" a="1"/>
  <c r="F342" i="29" a="1"/>
  <c r="R444" i="28" a="1"/>
  <c r="R198" i="28" a="1"/>
  <c r="W2" i="29" a="1"/>
  <c r="R285" i="28" a="1"/>
  <c r="R463" i="28" a="1"/>
  <c r="C99" i="27" a="1"/>
  <c r="V46" i="30" a="1"/>
  <c r="F52" i="29" a="1"/>
  <c r="R455" i="28" a="1"/>
  <c r="H29" i="31" a="1"/>
  <c r="V40" i="30" a="1"/>
  <c r="M15" i="27" a="1"/>
  <c r="G18" i="31" a="1"/>
  <c r="D52" i="30" a="1"/>
  <c r="C17" i="27" a="1"/>
  <c r="H30" i="31" a="1"/>
  <c r="C9" i="27" a="1"/>
  <c r="H38" i="31" a="1"/>
  <c r="W45" i="29" a="1"/>
  <c r="V7" i="30" a="1"/>
  <c r="R264" i="28" a="1"/>
  <c r="R484" i="28" a="1"/>
  <c r="F49" i="29" a="1"/>
  <c r="R13" i="28" a="1"/>
  <c r="F63" i="29" a="1"/>
  <c r="W19" i="29" a="1"/>
  <c r="D46" i="30" a="1"/>
  <c r="F75" i="29" l="1"/>
  <c r="W75" i="29"/>
  <c r="H26" i="31"/>
  <c r="H34" i="31"/>
  <c r="H35" i="31"/>
  <c r="H27" i="31"/>
  <c r="H36" i="31"/>
  <c r="H25" i="31"/>
  <c r="H21" i="31"/>
  <c r="H29" i="31"/>
  <c r="H38" i="31"/>
  <c r="H31" i="31"/>
  <c r="H28" i="31"/>
  <c r="H24" i="31"/>
  <c r="H33" i="31"/>
  <c r="H30" i="31"/>
  <c r="H48" i="31"/>
  <c r="H22" i="31"/>
  <c r="H53" i="31"/>
  <c r="G53" i="31"/>
  <c r="L2" i="206" s="1"/>
  <c r="G48" i="31"/>
  <c r="L2" i="205" s="1"/>
  <c r="O11" i="205" s="1"/>
  <c r="G22" i="31"/>
  <c r="L2" i="204" s="1"/>
  <c r="O10" i="204" s="1"/>
  <c r="G21" i="31"/>
  <c r="L2" i="203" s="1"/>
  <c r="R74" i="28"/>
  <c r="D66" i="30"/>
  <c r="V66" i="30"/>
  <c r="R76" i="28"/>
  <c r="V22" i="30"/>
  <c r="D22" i="30"/>
  <c r="H109" i="31"/>
  <c r="G109" i="31"/>
  <c r="L2" i="101" s="1"/>
  <c r="O8" i="101" s="1"/>
  <c r="R400" i="28"/>
  <c r="R516" i="28"/>
  <c r="R437" i="28"/>
  <c r="R434" i="28"/>
  <c r="R444" i="28"/>
  <c r="R445" i="28"/>
  <c r="R484" i="28"/>
  <c r="R148" i="28"/>
  <c r="R143" i="28"/>
  <c r="R124" i="28"/>
  <c r="R455" i="28"/>
  <c r="R225" i="28"/>
  <c r="R558" i="28"/>
  <c r="M121" i="27"/>
  <c r="C121" i="27"/>
  <c r="C66" i="27"/>
  <c r="M66" i="27"/>
  <c r="C99" i="27"/>
  <c r="M99" i="27"/>
  <c r="R66" i="28"/>
  <c r="W65" i="29"/>
  <c r="F65" i="29"/>
  <c r="F385" i="29" s="1"/>
  <c r="D50" i="30"/>
  <c r="V50" i="30"/>
  <c r="V44" i="30"/>
  <c r="D44" i="30"/>
  <c r="D25" i="30"/>
  <c r="V25" i="30"/>
  <c r="V37" i="30"/>
  <c r="D37" i="30"/>
  <c r="V38" i="30"/>
  <c r="D38" i="30"/>
  <c r="V69" i="30"/>
  <c r="D69" i="30"/>
  <c r="V41" i="30"/>
  <c r="D41" i="30"/>
  <c r="V58" i="30"/>
  <c r="D58" i="30"/>
  <c r="V81" i="30"/>
  <c r="D81" i="30"/>
  <c r="V24" i="30"/>
  <c r="D24" i="30"/>
  <c r="V7" i="30"/>
  <c r="D7" i="30"/>
  <c r="V28" i="30"/>
  <c r="D28" i="30"/>
  <c r="V42" i="30"/>
  <c r="D42" i="30"/>
  <c r="V70" i="30"/>
  <c r="D70" i="30"/>
  <c r="V52" i="30"/>
  <c r="D52" i="30"/>
  <c r="V60" i="30"/>
  <c r="D60" i="30"/>
  <c r="D46" i="30"/>
  <c r="V46" i="30"/>
  <c r="V40" i="30"/>
  <c r="D40" i="30"/>
  <c r="R457" i="28"/>
  <c r="R566" i="28"/>
  <c r="R574" i="28"/>
  <c r="R285" i="28"/>
  <c r="R264" i="28"/>
  <c r="R396" i="28"/>
  <c r="R565" i="28"/>
  <c r="R13" i="28"/>
  <c r="R45" i="28"/>
  <c r="R391" i="28"/>
  <c r="R14" i="28"/>
  <c r="R513" i="28"/>
  <c r="R265" i="28"/>
  <c r="R58" i="28"/>
  <c r="R196" i="28"/>
  <c r="R576" i="28"/>
  <c r="R179" i="28"/>
  <c r="R286" i="28"/>
  <c r="R12" i="28"/>
  <c r="R204" i="28"/>
  <c r="R18" i="28"/>
  <c r="R19" i="28"/>
  <c r="R342" i="28"/>
  <c r="R463" i="28"/>
  <c r="R72" i="28"/>
  <c r="R322" i="28"/>
  <c r="R22" i="28"/>
  <c r="R198" i="28"/>
  <c r="R180" i="28"/>
  <c r="R31" i="28"/>
  <c r="R550" i="28"/>
  <c r="R16" i="28"/>
  <c r="R530" i="28"/>
  <c r="R310" i="28"/>
  <c r="R318" i="28"/>
  <c r="R34" i="28"/>
  <c r="R202" i="28"/>
  <c r="R333" i="28"/>
  <c r="R579" i="28"/>
  <c r="R326" i="28"/>
  <c r="R15" i="28"/>
  <c r="R268" i="28"/>
  <c r="R20" i="28"/>
  <c r="R458" i="28"/>
  <c r="R538" i="28"/>
  <c r="R417" i="28"/>
  <c r="R465" i="28"/>
  <c r="R236" i="28"/>
  <c r="F21" i="29"/>
  <c r="W21" i="29"/>
  <c r="F20" i="29"/>
  <c r="W20" i="29"/>
  <c r="W19" i="29"/>
  <c r="F19" i="29"/>
  <c r="M9" i="27"/>
  <c r="C9" i="27"/>
  <c r="G11" i="31"/>
  <c r="L2" i="54" s="1"/>
  <c r="O24" i="54" s="1"/>
  <c r="H11" i="31"/>
  <c r="C27" i="27"/>
  <c r="M27" i="27"/>
  <c r="C64" i="27"/>
  <c r="M64" i="27"/>
  <c r="M17" i="27"/>
  <c r="C17" i="27"/>
  <c r="C47" i="27"/>
  <c r="M47" i="27"/>
  <c r="M115" i="27"/>
  <c r="C115" i="27"/>
  <c r="W17" i="29"/>
  <c r="F17" i="29"/>
  <c r="W16" i="29"/>
  <c r="F16" i="29"/>
  <c r="W342" i="29"/>
  <c r="F342" i="29"/>
  <c r="F64" i="29"/>
  <c r="W64" i="29"/>
  <c r="H15" i="31"/>
  <c r="H20" i="31"/>
  <c r="H18" i="31"/>
  <c r="H14" i="31"/>
  <c r="H17" i="31"/>
  <c r="H19" i="31"/>
  <c r="H16" i="31"/>
  <c r="G29" i="31"/>
  <c r="L2" i="125" s="1"/>
  <c r="G20" i="31"/>
  <c r="L2" i="138" s="1"/>
  <c r="G18" i="31"/>
  <c r="L2" i="61" s="1"/>
  <c r="G28" i="31"/>
  <c r="L2" i="124" s="1"/>
  <c r="G25" i="31"/>
  <c r="L2" i="65" s="1"/>
  <c r="O10" i="65" s="1"/>
  <c r="G27" i="31"/>
  <c r="L2" i="123" s="1"/>
  <c r="G24" i="31"/>
  <c r="L2" i="64" s="1"/>
  <c r="G33" i="31"/>
  <c r="L2" i="128" s="1"/>
  <c r="G17" i="31"/>
  <c r="L2" i="60" s="1"/>
  <c r="G26" i="31"/>
  <c r="L2" i="122" s="1"/>
  <c r="G34" i="31"/>
  <c r="L2" i="129" s="1"/>
  <c r="O9" i="129" s="1"/>
  <c r="G31" i="31"/>
  <c r="L2" i="127" s="1"/>
  <c r="G35" i="31"/>
  <c r="L2" i="130" s="1"/>
  <c r="G30" i="31"/>
  <c r="L2" i="126" s="1"/>
  <c r="G36" i="31"/>
  <c r="L2" i="174" s="1"/>
  <c r="O29" i="174" s="1"/>
  <c r="G19" i="31"/>
  <c r="L2" i="62" s="1"/>
  <c r="O14" i="62" s="1"/>
  <c r="G14" i="31"/>
  <c r="L2" i="57" s="1"/>
  <c r="G16" i="31"/>
  <c r="L2" i="59" s="1"/>
  <c r="G15" i="31"/>
  <c r="L2" i="58" s="1"/>
  <c r="G38" i="31"/>
  <c r="F50" i="29"/>
  <c r="F47" i="29"/>
  <c r="F51" i="29"/>
  <c r="F59" i="29"/>
  <c r="F52" i="29"/>
  <c r="F49" i="29"/>
  <c r="F48" i="29"/>
  <c r="F42" i="29"/>
  <c r="F43" i="29"/>
  <c r="F44" i="29"/>
  <c r="F45" i="29"/>
  <c r="F46" i="29"/>
  <c r="M30" i="27"/>
  <c r="M105" i="27"/>
  <c r="M14" i="27"/>
  <c r="M53" i="27"/>
  <c r="M15" i="27"/>
  <c r="M16" i="27"/>
  <c r="M6" i="27"/>
  <c r="M103" i="27"/>
  <c r="C6" i="27"/>
  <c r="C103" i="27"/>
  <c r="C30" i="27"/>
  <c r="C105" i="27"/>
  <c r="C14" i="27"/>
  <c r="C53" i="27"/>
  <c r="C15" i="27"/>
  <c r="C16" i="27"/>
  <c r="F62" i="29"/>
  <c r="F58" i="29"/>
  <c r="F61" i="29"/>
  <c r="F2" i="29"/>
  <c r="F63" i="29"/>
  <c r="F60" i="29"/>
  <c r="F3" i="29"/>
  <c r="W44" i="29"/>
  <c r="W46" i="29"/>
  <c r="W62" i="29"/>
  <c r="W50" i="29"/>
  <c r="W47" i="29"/>
  <c r="W58" i="29"/>
  <c r="W61" i="29"/>
  <c r="W2" i="29"/>
  <c r="W63" i="29"/>
  <c r="W51" i="29"/>
  <c r="W59" i="29"/>
  <c r="W52" i="29"/>
  <c r="W49" i="29"/>
  <c r="W48" i="29"/>
  <c r="W42" i="29"/>
  <c r="W60" i="29"/>
  <c r="W43" i="29"/>
  <c r="W45" i="29"/>
  <c r="W3" i="29"/>
  <c r="L2" i="161"/>
  <c r="O11" i="161" s="1"/>
  <c r="R92" i="28" a="1"/>
  <c r="R557" i="28" a="1"/>
  <c r="R184" i="28" a="1"/>
  <c r="R226" i="28" a="1"/>
  <c r="R187" i="28" a="1"/>
  <c r="R557" i="28" l="1"/>
  <c r="O9" i="206"/>
  <c r="O14" i="206"/>
  <c r="O11" i="206"/>
  <c r="O13" i="206"/>
  <c r="O10" i="206"/>
  <c r="O5" i="206"/>
  <c r="O12" i="206"/>
  <c r="O7" i="206"/>
  <c r="O8" i="206"/>
  <c r="O9" i="205"/>
  <c r="O13" i="205"/>
  <c r="O10" i="205"/>
  <c r="O15" i="205"/>
  <c r="O12" i="205"/>
  <c r="O5" i="205"/>
  <c r="O8" i="205"/>
  <c r="O14" i="205"/>
  <c r="O7" i="205"/>
  <c r="O8" i="204"/>
  <c r="O15" i="204"/>
  <c r="O12" i="204"/>
  <c r="O9" i="204"/>
  <c r="O11" i="204"/>
  <c r="O5" i="204"/>
  <c r="O13" i="204"/>
  <c r="O7" i="204"/>
  <c r="O14" i="204"/>
  <c r="O13" i="203"/>
  <c r="O14" i="203"/>
  <c r="O9" i="203"/>
  <c r="O10" i="203"/>
  <c r="O12" i="203"/>
  <c r="O8" i="203"/>
  <c r="O5" i="203"/>
  <c r="O7" i="203"/>
  <c r="O11" i="203"/>
  <c r="O11" i="101"/>
  <c r="O5" i="101"/>
  <c r="O7" i="101"/>
  <c r="O9" i="101"/>
  <c r="O10" i="101"/>
  <c r="O12" i="101"/>
  <c r="O14" i="54"/>
  <c r="R92" i="28"/>
  <c r="R226" i="28"/>
  <c r="R184" i="28"/>
  <c r="R187" i="28"/>
  <c r="O16" i="54"/>
  <c r="O17" i="54"/>
  <c r="O6" i="54"/>
  <c r="O19" i="54"/>
  <c r="O21" i="54"/>
  <c r="O23" i="54"/>
  <c r="O7" i="54"/>
  <c r="O13" i="54"/>
  <c r="O15" i="54"/>
  <c r="O18" i="54"/>
  <c r="O5" i="54"/>
  <c r="O20" i="54"/>
  <c r="O10" i="54"/>
  <c r="O11" i="54"/>
  <c r="O9" i="54"/>
  <c r="O22" i="54"/>
  <c r="O8" i="54"/>
  <c r="O12" i="54"/>
  <c r="O20" i="174"/>
  <c r="O21" i="174"/>
  <c r="O17" i="130"/>
  <c r="O18" i="130"/>
  <c r="O7" i="129"/>
  <c r="O8" i="129"/>
  <c r="O15" i="122"/>
  <c r="O16" i="122"/>
  <c r="O12" i="122"/>
  <c r="O8" i="174"/>
  <c r="O12" i="174"/>
  <c r="O27" i="174"/>
  <c r="O10" i="174"/>
  <c r="O23" i="174"/>
  <c r="O9" i="174"/>
  <c r="O15" i="174"/>
  <c r="O17" i="174"/>
  <c r="O5" i="174"/>
  <c r="O14" i="174"/>
  <c r="O24" i="174"/>
  <c r="O19" i="174"/>
  <c r="O18" i="174"/>
  <c r="O28" i="174"/>
  <c r="O25" i="174"/>
  <c r="O7" i="174"/>
  <c r="O13" i="174"/>
  <c r="O26" i="174"/>
  <c r="O16" i="174"/>
  <c r="O22" i="174"/>
  <c r="O11" i="174"/>
  <c r="O9" i="65"/>
  <c r="O14" i="161"/>
  <c r="O13" i="161"/>
  <c r="O5" i="161"/>
  <c r="O9" i="161"/>
  <c r="O16" i="161"/>
  <c r="O15" i="161"/>
  <c r="O6" i="161"/>
  <c r="O7" i="161"/>
  <c r="O8" i="161"/>
  <c r="O10" i="161"/>
  <c r="O11" i="130"/>
  <c r="O11" i="64"/>
  <c r="O12" i="64"/>
  <c r="O13" i="64"/>
  <c r="O14" i="64"/>
  <c r="O10" i="122"/>
  <c r="O11" i="122"/>
  <c r="O9" i="122"/>
  <c r="O8" i="138"/>
  <c r="O5" i="138"/>
  <c r="O7" i="138"/>
  <c r="O9" i="138"/>
  <c r="O8" i="62"/>
  <c r="O7" i="62"/>
  <c r="O24" i="123"/>
  <c r="O21" i="123"/>
  <c r="O22" i="123"/>
  <c r="O23" i="123"/>
  <c r="O16" i="130"/>
  <c r="O10" i="130"/>
  <c r="O12" i="130"/>
  <c r="O9" i="130"/>
  <c r="O13" i="130"/>
  <c r="O8" i="130"/>
  <c r="O14" i="130"/>
  <c r="O6" i="130"/>
  <c r="O5" i="130"/>
  <c r="O15" i="130"/>
  <c r="O5" i="129"/>
  <c r="O7" i="128"/>
  <c r="O5" i="128"/>
  <c r="O7" i="127"/>
  <c r="O11" i="127"/>
  <c r="O20" i="127"/>
  <c r="O13" i="127"/>
  <c r="O18" i="127"/>
  <c r="O19" i="127"/>
  <c r="O10" i="127"/>
  <c r="O16" i="127"/>
  <c r="O15" i="127"/>
  <c r="O12" i="127"/>
  <c r="O9" i="127"/>
  <c r="O6" i="127"/>
  <c r="O5" i="127"/>
  <c r="O14" i="127"/>
  <c r="O22" i="126"/>
  <c r="O24" i="126"/>
  <c r="O19" i="126"/>
  <c r="O11" i="126"/>
  <c r="O17" i="126"/>
  <c r="O23" i="126"/>
  <c r="O8" i="126"/>
  <c r="O16" i="126"/>
  <c r="O7" i="126"/>
  <c r="O6" i="126"/>
  <c r="O14" i="126"/>
  <c r="O21" i="126"/>
  <c r="O15" i="126"/>
  <c r="O18" i="126"/>
  <c r="O12" i="126"/>
  <c r="O5" i="126"/>
  <c r="O13" i="126"/>
  <c r="O9" i="126"/>
  <c r="O24" i="125"/>
  <c r="O18" i="125"/>
  <c r="O5" i="125"/>
  <c r="O17" i="125"/>
  <c r="O16" i="125"/>
  <c r="O13" i="125"/>
  <c r="O14" i="125"/>
  <c r="O8" i="125"/>
  <c r="O9" i="125"/>
  <c r="O11" i="125"/>
  <c r="O21" i="125"/>
  <c r="O7" i="125"/>
  <c r="O12" i="125"/>
  <c r="O23" i="125"/>
  <c r="O15" i="125"/>
  <c r="O6" i="125"/>
  <c r="O22" i="125"/>
  <c r="O19" i="125"/>
  <c r="O15" i="124"/>
  <c r="O16" i="124"/>
  <c r="O20" i="124"/>
  <c r="O10" i="124"/>
  <c r="O14" i="124"/>
  <c r="O11" i="124"/>
  <c r="O7" i="124"/>
  <c r="O12" i="124"/>
  <c r="O18" i="124"/>
  <c r="O13" i="124"/>
  <c r="O5" i="124"/>
  <c r="O6" i="124"/>
  <c r="O19" i="124"/>
  <c r="O9" i="124"/>
  <c r="O7" i="123"/>
  <c r="O12" i="123"/>
  <c r="O13" i="123"/>
  <c r="O16" i="123"/>
  <c r="O14" i="123"/>
  <c r="O11" i="123"/>
  <c r="O18" i="123"/>
  <c r="O5" i="123"/>
  <c r="O8" i="123"/>
  <c r="O15" i="123"/>
  <c r="O19" i="123"/>
  <c r="O6" i="123"/>
  <c r="O9" i="123"/>
  <c r="O17" i="123"/>
  <c r="O7" i="122"/>
  <c r="O14" i="122"/>
  <c r="O13" i="122"/>
  <c r="O8" i="122"/>
  <c r="O5" i="122"/>
  <c r="O10" i="61"/>
  <c r="O12" i="61"/>
  <c r="O9" i="61"/>
  <c r="O8" i="61"/>
  <c r="O11" i="61"/>
  <c r="O7" i="61"/>
  <c r="O5" i="61"/>
  <c r="O7" i="65"/>
  <c r="O11" i="65"/>
  <c r="O14" i="65"/>
  <c r="O5" i="65"/>
  <c r="O13" i="65"/>
  <c r="O8" i="65"/>
  <c r="O12" i="65"/>
  <c r="O9" i="59"/>
  <c r="O5" i="59"/>
  <c r="O10" i="59"/>
  <c r="O13" i="59"/>
  <c r="O12" i="59"/>
  <c r="O14" i="59"/>
  <c r="O7" i="59"/>
  <c r="O11" i="59"/>
  <c r="O8" i="59"/>
  <c r="O5" i="57"/>
  <c r="O8" i="57"/>
  <c r="O10" i="57"/>
  <c r="O7" i="57"/>
  <c r="O9" i="57"/>
  <c r="O10" i="64"/>
  <c r="O7" i="64"/>
  <c r="O16" i="64"/>
  <c r="O5" i="64"/>
  <c r="O9" i="64"/>
  <c r="O15" i="64"/>
  <c r="O18" i="64"/>
  <c r="O8" i="64"/>
  <c r="O17" i="64"/>
  <c r="O19" i="64"/>
  <c r="O14" i="60"/>
  <c r="O5" i="60"/>
  <c r="O13" i="60"/>
  <c r="O9" i="60"/>
  <c r="O8" i="60"/>
  <c r="O12" i="60"/>
  <c r="O7" i="60"/>
  <c r="O10" i="60"/>
  <c r="O11" i="60"/>
  <c r="O9" i="58"/>
  <c r="O7" i="58"/>
  <c r="O8" i="58"/>
  <c r="O5" i="58"/>
  <c r="O12" i="62"/>
  <c r="O9" i="62"/>
  <c r="O11" i="62"/>
  <c r="O6" i="62"/>
  <c r="O13" i="62"/>
  <c r="O5" i="62"/>
  <c r="M56" i="27" a="1"/>
  <c r="D20" i="30" a="1"/>
  <c r="W8" i="29" a="1"/>
  <c r="R573" i="28" a="1"/>
  <c r="R503" i="28" a="1"/>
  <c r="R567" i="28" a="1"/>
  <c r="R233" i="28" a="1"/>
  <c r="F29" i="29" a="1"/>
  <c r="C51" i="27" a="1"/>
  <c r="R603" i="28" a="1"/>
  <c r="F23" i="29" a="1"/>
  <c r="F25" i="29" a="1"/>
  <c r="C56" i="27" a="1"/>
  <c r="R607" i="28" a="1"/>
  <c r="W69" i="29" a="1"/>
  <c r="R606" i="28" a="1"/>
  <c r="M138" i="27" a="1"/>
  <c r="W18" i="29" a="1"/>
  <c r="R471" i="28" a="1"/>
  <c r="R215" i="28" a="1"/>
  <c r="W11" i="29" a="1"/>
  <c r="M49" i="27" a="1"/>
  <c r="W25" i="29" a="1"/>
  <c r="F11" i="29" a="1"/>
  <c r="M68" i="27" a="1"/>
  <c r="R63" i="28" a="1"/>
  <c r="F6" i="29" a="1"/>
  <c r="R60" i="28" a="1"/>
  <c r="C140" i="27" a="1"/>
  <c r="C54" i="27" a="1"/>
  <c r="C13" i="27" a="1"/>
  <c r="M12" i="27" a="1"/>
  <c r="R473" i="28" a="1"/>
  <c r="W33" i="29" a="1"/>
  <c r="R136" i="28" a="1"/>
  <c r="W73" i="29" a="1"/>
  <c r="M119" i="27" a="1"/>
  <c r="V3" i="30" a="1"/>
  <c r="R68" i="28" a="1"/>
  <c r="F32" i="29" a="1"/>
  <c r="R62" i="28" a="1"/>
  <c r="R181" i="28" a="1"/>
  <c r="W85" i="29" a="1"/>
  <c r="C135" i="27" a="1"/>
  <c r="W70" i="29" a="1"/>
  <c r="F4" i="29" a="1"/>
  <c r="V13" i="30" a="1"/>
  <c r="R84" i="28" a="1"/>
  <c r="R158" i="28" a="1"/>
  <c r="W54" i="29" a="1"/>
  <c r="F12" i="29" a="1"/>
  <c r="W32" i="29" a="1"/>
  <c r="M130" i="27" a="1"/>
  <c r="R134" i="28" a="1"/>
  <c r="C130" i="27" a="1"/>
  <c r="F14" i="29" a="1"/>
  <c r="C12" i="27" a="1"/>
  <c r="R232" i="28" a="1"/>
  <c r="M73" i="27" a="1"/>
  <c r="F24" i="29" a="1"/>
  <c r="F9" i="29" a="1"/>
  <c r="W29" i="29" a="1"/>
  <c r="F27" i="29" a="1"/>
  <c r="W56" i="29" a="1"/>
  <c r="C81" i="27" a="1"/>
  <c r="F68" i="29" a="1"/>
  <c r="R77" i="28" a="1"/>
  <c r="M81" i="27" a="1"/>
  <c r="W22" i="29" a="1"/>
  <c r="F69" i="29" a="1"/>
  <c r="F7" i="29" a="1"/>
  <c r="M91" i="27" a="1"/>
  <c r="R491" i="28" a="1"/>
  <c r="R133" i="28" a="1"/>
  <c r="M51" i="27" a="1"/>
  <c r="M13" i="27" a="1"/>
  <c r="R73" i="28" a="1"/>
  <c r="C49" i="27" a="1"/>
  <c r="R602" i="28" a="1"/>
  <c r="F33" i="29" a="1"/>
  <c r="V11" i="30" a="1"/>
  <c r="R53" i="28" a="1"/>
  <c r="W5" i="29" a="1"/>
  <c r="W34" i="29" a="1"/>
  <c r="V20" i="30" a="1"/>
  <c r="V18" i="30" a="1"/>
  <c r="W10" i="29" a="1"/>
  <c r="F10" i="29" a="1"/>
  <c r="R349" i="28" a="1"/>
  <c r="W94" i="29" a="1"/>
  <c r="M52" i="27" a="1"/>
  <c r="W35" i="29" a="1"/>
  <c r="V15" i="30" a="1"/>
  <c r="W109" i="29" a="1"/>
  <c r="W72" i="29" a="1"/>
  <c r="C114" i="27" a="1"/>
  <c r="R487" i="28" a="1"/>
  <c r="W15" i="29" a="1"/>
  <c r="R211" i="28" a="1"/>
  <c r="W68" i="29" a="1"/>
  <c r="R363" i="28" a="1"/>
  <c r="R504" i="28" a="1"/>
  <c r="R71" i="28" a="1"/>
  <c r="W74" i="29" a="1"/>
  <c r="R210" i="28" a="1"/>
  <c r="M112" i="27" a="1"/>
  <c r="W24" i="29" a="1"/>
  <c r="W37" i="29" a="1"/>
  <c r="W40" i="29" a="1"/>
  <c r="W36" i="29" a="1"/>
  <c r="R183" i="28" a="1"/>
  <c r="C50" i="27" a="1"/>
  <c r="M63" i="27" a="1"/>
  <c r="F72" i="29" a="1"/>
  <c r="R590" i="28" a="1"/>
  <c r="M83" i="27" a="1"/>
  <c r="V14" i="30" a="1"/>
  <c r="W28" i="29" a="1"/>
  <c r="R348" i="28" a="1"/>
  <c r="F38" i="29" a="1"/>
  <c r="V4" i="30" a="1"/>
  <c r="R604" i="28" a="1"/>
  <c r="D3" i="30" a="1"/>
  <c r="R523" i="28" a="1"/>
  <c r="M60" i="27" a="1"/>
  <c r="F84" i="29" a="1"/>
  <c r="R86" i="28" a="1"/>
  <c r="R526" i="28" a="1"/>
  <c r="W13" i="29" a="1"/>
  <c r="F74" i="29" a="1"/>
  <c r="R212" i="28" a="1"/>
  <c r="F31" i="29" a="1"/>
  <c r="W41" i="29" a="1"/>
  <c r="W53" i="29" a="1"/>
  <c r="F15" i="29" a="1"/>
  <c r="F8" i="29" a="1"/>
  <c r="C119" i="27" a="1"/>
  <c r="R100" i="28" a="1"/>
  <c r="R161" i="28" a="1"/>
  <c r="C72" i="27" a="1"/>
  <c r="F86" i="29" a="1"/>
  <c r="D14" i="30" a="1"/>
  <c r="R362" i="28" a="1"/>
  <c r="F71" i="29" a="1"/>
  <c r="F55" i="29" a="1"/>
  <c r="F56" i="29" a="1"/>
  <c r="V17" i="30" a="1"/>
  <c r="R464" i="28" a="1"/>
  <c r="W9" i="29" a="1"/>
  <c r="F26" i="29" a="1"/>
  <c r="W4" i="29" a="1"/>
  <c r="W26" i="29" a="1"/>
  <c r="C63" i="27" a="1"/>
  <c r="W14" i="29" a="1"/>
  <c r="R182" i="28" a="1"/>
  <c r="R525" i="28" a="1"/>
  <c r="W57" i="29" a="1"/>
  <c r="M135" i="27" a="1"/>
  <c r="C91" i="27" a="1"/>
  <c r="R38" i="28" a="1"/>
  <c r="R456" i="28" a="1"/>
  <c r="R85" i="28" a="1"/>
  <c r="R213" i="28" a="1"/>
  <c r="R572" i="28" a="1"/>
  <c r="M114" i="27" a="1"/>
  <c r="C125" i="27" a="1"/>
  <c r="C76" i="27" a="1"/>
  <c r="F35" i="29" a="1"/>
  <c r="R227" i="28" a="1"/>
  <c r="C89" i="27" a="1"/>
  <c r="R470" i="28" a="1"/>
  <c r="F53" i="29" a="1"/>
  <c r="R571" i="28" a="1"/>
  <c r="F34" i="29" a="1"/>
  <c r="C4" i="27" a="1"/>
  <c r="W12" i="29" a="1"/>
  <c r="F94" i="29" a="1"/>
  <c r="R605" i="28" a="1"/>
  <c r="W276" i="29" a="1"/>
  <c r="C138" i="27" a="1"/>
  <c r="W71" i="29" a="1"/>
  <c r="F41" i="29" a="1"/>
  <c r="C52" i="27" a="1"/>
  <c r="F28" i="29" a="1"/>
  <c r="M133" i="27" a="1"/>
  <c r="M76" i="27" a="1"/>
  <c r="D13" i="30" a="1"/>
  <c r="W7" i="29" a="1"/>
  <c r="M54" i="27" a="1"/>
  <c r="R608" i="28" a="1"/>
  <c r="F39" i="29" a="1"/>
  <c r="D9" i="30" a="1"/>
  <c r="M89" i="27" a="1"/>
  <c r="M50" i="27" a="1"/>
  <c r="F70" i="29" a="1"/>
  <c r="R578" i="28" a="1"/>
  <c r="F73" i="29" a="1"/>
  <c r="C134" i="27" a="1"/>
  <c r="W38" i="29" a="1"/>
  <c r="C92" i="27" a="1"/>
  <c r="V9" i="30" a="1"/>
  <c r="W31" i="29" a="1"/>
  <c r="W27" i="29" a="1"/>
  <c r="R70" i="28" a="1"/>
  <c r="D11" i="30" a="1"/>
  <c r="R67" i="28" a="1"/>
  <c r="R135" i="28" a="1"/>
  <c r="C112" i="27" a="1"/>
  <c r="F36" i="29" a="1"/>
  <c r="M92" i="27" a="1"/>
  <c r="F18" i="29" a="1"/>
  <c r="D18" i="30" a="1"/>
  <c r="M118" i="27" a="1"/>
  <c r="D19" i="30" a="1"/>
  <c r="R581" i="28" a="1"/>
  <c r="D4" i="30" a="1"/>
  <c r="M72" i="27" a="1"/>
  <c r="R577" i="28" a="1"/>
  <c r="R497" i="28" a="1"/>
  <c r="R69" i="28" a="1"/>
  <c r="M4" i="27" a="1"/>
  <c r="C68" i="27" a="1"/>
  <c r="R51" i="28" a="1"/>
  <c r="W6" i="29" a="1"/>
  <c r="W86" i="29" a="1"/>
  <c r="C133" i="27" a="1"/>
  <c r="F67" i="29" a="1"/>
  <c r="R186" i="28" a="1"/>
  <c r="F85" i="29" a="1"/>
  <c r="R121" i="28" a="1"/>
  <c r="F30" i="29" a="1"/>
  <c r="V19" i="30" a="1"/>
  <c r="M84" i="27" a="1"/>
  <c r="M125" i="27" a="1"/>
  <c r="W67" i="29" a="1"/>
  <c r="F57" i="29" a="1"/>
  <c r="M134" i="27" a="1"/>
  <c r="R337" i="28" a="1"/>
  <c r="R188" i="28" a="1"/>
  <c r="F109" i="29" a="1"/>
  <c r="M140" i="27" a="1"/>
  <c r="W55" i="29" a="1"/>
  <c r="C83" i="27" a="1"/>
  <c r="F37" i="29" a="1"/>
  <c r="R132" i="28" a="1"/>
  <c r="W84" i="29" a="1"/>
  <c r="C60" i="27" a="1"/>
  <c r="R234" i="28" a="1"/>
  <c r="C118" i="27" a="1"/>
  <c r="R49" i="28" a="1"/>
  <c r="F54" i="29" a="1"/>
  <c r="R185" i="28" a="1"/>
  <c r="W23" i="29" a="1"/>
  <c r="F13" i="29" a="1"/>
  <c r="R214" i="28" a="1"/>
  <c r="R527" i="28" a="1"/>
  <c r="D15" i="30" a="1"/>
  <c r="F5" i="29" a="1"/>
  <c r="R454" i="28" a="1"/>
  <c r="D17" i="30" a="1"/>
  <c r="C128" i="27" a="1"/>
  <c r="R309" i="28" a="1"/>
  <c r="R570" i="28" a="1"/>
  <c r="C73" i="27" a="1"/>
  <c r="F40" i="29" a="1"/>
  <c r="C84" i="27" a="1"/>
  <c r="F22" i="29" a="1"/>
  <c r="M128" i="27" a="1"/>
  <c r="W30" i="29" a="1"/>
  <c r="R472" i="28" a="1"/>
  <c r="F276" i="29" a="1"/>
  <c r="R469" i="28" a="1"/>
  <c r="R534" i="28" a="1"/>
  <c r="R495" i="28" a="1"/>
  <c r="W39" i="29" a="1"/>
  <c r="R234" i="28" l="1"/>
  <c r="F109" i="29"/>
  <c r="W109" i="29"/>
  <c r="M81" i="27"/>
  <c r="C81" i="27"/>
  <c r="R232" i="28"/>
  <c r="R348" i="28"/>
  <c r="R523" i="28"/>
  <c r="R525" i="28"/>
  <c r="W94" i="29"/>
  <c r="F94" i="29"/>
  <c r="C83" i="27"/>
  <c r="M83" i="27"/>
  <c r="C73" i="27"/>
  <c r="M73" i="27"/>
  <c r="R349" i="28"/>
  <c r="R527" i="28"/>
  <c r="F15" i="29"/>
  <c r="W15" i="29"/>
  <c r="R233" i="28"/>
  <c r="F276" i="29"/>
  <c r="W276" i="29"/>
  <c r="R51" i="28"/>
  <c r="R100" i="28"/>
  <c r="R606" i="28"/>
  <c r="R227" i="28"/>
  <c r="C56" i="27"/>
  <c r="M56" i="27"/>
  <c r="R158" i="28"/>
  <c r="V20" i="30"/>
  <c r="D20" i="30"/>
  <c r="V17" i="30"/>
  <c r="D17" i="30"/>
  <c r="V3" i="30"/>
  <c r="D3" i="30"/>
  <c r="V9" i="30"/>
  <c r="D9" i="30"/>
  <c r="V4" i="30"/>
  <c r="D4" i="30"/>
  <c r="V13" i="30"/>
  <c r="D13" i="30"/>
  <c r="V19" i="30"/>
  <c r="D19" i="30"/>
  <c r="V18" i="30"/>
  <c r="D18" i="30"/>
  <c r="V11" i="30"/>
  <c r="D11" i="30"/>
  <c r="V15" i="30"/>
  <c r="D15" i="30"/>
  <c r="V14" i="30"/>
  <c r="D14" i="30"/>
  <c r="R454" i="28"/>
  <c r="R186" i="28"/>
  <c r="R71" i="28"/>
  <c r="R53" i="28"/>
  <c r="R211" i="28"/>
  <c r="R608" i="28"/>
  <c r="R121" i="28"/>
  <c r="R473" i="28"/>
  <c r="R456" i="28"/>
  <c r="R491" i="28"/>
  <c r="R605" i="28"/>
  <c r="R526" i="28"/>
  <c r="R602" i="28"/>
  <c r="R63" i="28"/>
  <c r="R185" i="28"/>
  <c r="R136" i="28"/>
  <c r="R70" i="28"/>
  <c r="R183" i="28"/>
  <c r="R581" i="28"/>
  <c r="R188" i="28"/>
  <c r="R464" i="28"/>
  <c r="R69" i="28"/>
  <c r="R73" i="28"/>
  <c r="R86" i="28"/>
  <c r="R161" i="28"/>
  <c r="R470" i="28"/>
  <c r="R77" i="28"/>
  <c r="R534" i="28"/>
  <c r="R84" i="28"/>
  <c r="R471" i="28"/>
  <c r="R337" i="28"/>
  <c r="R497" i="28"/>
  <c r="R503" i="28"/>
  <c r="R607" i="28"/>
  <c r="R472" i="28"/>
  <c r="R182" i="28"/>
  <c r="R578" i="28"/>
  <c r="R504" i="28"/>
  <c r="R181" i="28"/>
  <c r="R213" i="28"/>
  <c r="R572" i="28"/>
  <c r="R135" i="28"/>
  <c r="R604" i="28"/>
  <c r="R214" i="28"/>
  <c r="R577" i="28"/>
  <c r="R487" i="28"/>
  <c r="R603" i="28"/>
  <c r="R67" i="28"/>
  <c r="R85" i="28"/>
  <c r="R62" i="28"/>
  <c r="R590" i="28"/>
  <c r="R210" i="28"/>
  <c r="R363" i="28"/>
  <c r="R60" i="28"/>
  <c r="R212" i="28"/>
  <c r="R495" i="28"/>
  <c r="R68" i="28"/>
  <c r="R215" i="28"/>
  <c r="R573" i="28"/>
  <c r="R132" i="28"/>
  <c r="R571" i="28"/>
  <c r="R134" i="28"/>
  <c r="R49" i="28"/>
  <c r="R309" i="28"/>
  <c r="R469" i="28"/>
  <c r="R38" i="28"/>
  <c r="R567" i="28"/>
  <c r="R362" i="28"/>
  <c r="R570" i="28"/>
  <c r="R133" i="28"/>
  <c r="C133" i="27"/>
  <c r="M133" i="27"/>
  <c r="M125" i="27"/>
  <c r="C125" i="27"/>
  <c r="M140" i="27"/>
  <c r="C140" i="27"/>
  <c r="W18" i="29"/>
  <c r="F18" i="29"/>
  <c r="W84" i="29"/>
  <c r="F84" i="29"/>
  <c r="W85" i="29"/>
  <c r="F85" i="29"/>
  <c r="W86" i="29"/>
  <c r="F86" i="29"/>
  <c r="F74" i="29"/>
  <c r="W74" i="29"/>
  <c r="W73" i="29"/>
  <c r="F73" i="29"/>
  <c r="W72" i="29"/>
  <c r="F72" i="29"/>
  <c r="W71" i="29"/>
  <c r="F71" i="29"/>
  <c r="W70" i="29"/>
  <c r="F70" i="29"/>
  <c r="W69" i="29"/>
  <c r="F69" i="29"/>
  <c r="W68" i="29"/>
  <c r="F68" i="29"/>
  <c r="F67" i="29"/>
  <c r="W67" i="29"/>
  <c r="M91" i="27"/>
  <c r="C91" i="27"/>
  <c r="C52" i="27"/>
  <c r="M52" i="27"/>
  <c r="W4" i="29"/>
  <c r="F57" i="29"/>
  <c r="F7" i="29"/>
  <c r="F13" i="29"/>
  <c r="F8" i="29"/>
  <c r="F12" i="29"/>
  <c r="F55" i="29"/>
  <c r="F56" i="29"/>
  <c r="M134" i="27"/>
  <c r="M72" i="27"/>
  <c r="M128" i="27"/>
  <c r="M63" i="27"/>
  <c r="M49" i="27"/>
  <c r="M76" i="27"/>
  <c r="M89" i="27"/>
  <c r="M51" i="27"/>
  <c r="M12" i="27"/>
  <c r="M50" i="27"/>
  <c r="M114" i="27"/>
  <c r="M119" i="27"/>
  <c r="M54" i="27"/>
  <c r="M60" i="27"/>
  <c r="M130" i="27"/>
  <c r="M92" i="27"/>
  <c r="M84" i="27"/>
  <c r="M118" i="27"/>
  <c r="M135" i="27"/>
  <c r="M112" i="27"/>
  <c r="M138" i="27"/>
  <c r="M4" i="27"/>
  <c r="M13" i="27"/>
  <c r="M68" i="27"/>
  <c r="C72" i="27"/>
  <c r="C89" i="27"/>
  <c r="C51" i="27"/>
  <c r="C12" i="27"/>
  <c r="C138" i="27"/>
  <c r="C50" i="27"/>
  <c r="C49" i="27"/>
  <c r="C114" i="27"/>
  <c r="C119" i="27"/>
  <c r="C54" i="27"/>
  <c r="C92" i="27"/>
  <c r="C60" i="27"/>
  <c r="C130" i="27"/>
  <c r="C84" i="27"/>
  <c r="C118" i="27"/>
  <c r="C135" i="27"/>
  <c r="C112" i="27"/>
  <c r="C134" i="27"/>
  <c r="C4" i="27"/>
  <c r="C13" i="27"/>
  <c r="C128" i="27"/>
  <c r="C63" i="27"/>
  <c r="C76" i="27"/>
  <c r="C68" i="27"/>
  <c r="F28" i="29"/>
  <c r="F38" i="29"/>
  <c r="F22" i="29"/>
  <c r="F6" i="29"/>
  <c r="F39" i="29"/>
  <c r="F24" i="29"/>
  <c r="F32" i="29"/>
  <c r="F27" i="29"/>
  <c r="F33" i="29"/>
  <c r="F53" i="29"/>
  <c r="F23" i="29"/>
  <c r="F31" i="29"/>
  <c r="F36" i="29"/>
  <c r="F29" i="29"/>
  <c r="F30" i="29"/>
  <c r="F40" i="29"/>
  <c r="F26" i="29"/>
  <c r="F34" i="29"/>
  <c r="F41" i="29"/>
  <c r="F11" i="29"/>
  <c r="F54" i="29"/>
  <c r="F9" i="29"/>
  <c r="F10" i="29"/>
  <c r="F5" i="29"/>
  <c r="F25" i="29"/>
  <c r="F35" i="29"/>
  <c r="F37" i="29"/>
  <c r="F14" i="29"/>
  <c r="F4" i="29"/>
  <c r="W36" i="29"/>
  <c r="W28" i="29"/>
  <c r="W55" i="29"/>
  <c r="W5" i="29"/>
  <c r="W25" i="29"/>
  <c r="W35" i="29"/>
  <c r="W37" i="29"/>
  <c r="W56" i="29"/>
  <c r="W14" i="29"/>
  <c r="W38" i="29"/>
  <c r="W31" i="29"/>
  <c r="W22" i="29"/>
  <c r="W6" i="29"/>
  <c r="W39" i="29"/>
  <c r="W24" i="29"/>
  <c r="W32" i="29"/>
  <c r="W27" i="29"/>
  <c r="W57" i="29"/>
  <c r="W33" i="29"/>
  <c r="W53" i="29"/>
  <c r="W10" i="29"/>
  <c r="W7" i="29"/>
  <c r="W29" i="29"/>
  <c r="W30" i="29"/>
  <c r="W40" i="29"/>
  <c r="W26" i="29"/>
  <c r="W34" i="29"/>
  <c r="W41" i="29"/>
  <c r="W11" i="29"/>
  <c r="W8" i="29"/>
  <c r="W54" i="29"/>
  <c r="W12" i="29"/>
  <c r="W23" i="29"/>
  <c r="W9" i="29"/>
  <c r="W13" i="29"/>
  <c r="L2" i="131"/>
  <c r="R228" i="28" a="1"/>
  <c r="R228" i="28" l="1"/>
  <c r="O13" i="131"/>
  <c r="O9" i="131"/>
  <c r="O17" i="131"/>
  <c r="O6" i="131"/>
  <c r="O5" i="131"/>
  <c r="O18" i="131"/>
  <c r="O14" i="131"/>
  <c r="O15" i="131"/>
  <c r="O19" i="131"/>
  <c r="O8" i="131"/>
  <c r="O16" i="131"/>
  <c r="O12" i="131"/>
  <c r="O11" i="131"/>
  <c r="W167" i="29" a="1"/>
  <c r="R169" i="28" a="1"/>
  <c r="R261" i="28" a="1"/>
  <c r="W164" i="29" a="1"/>
  <c r="F167" i="29" a="1"/>
  <c r="C97" i="27" a="1"/>
  <c r="M94" i="27" a="1"/>
  <c r="R171" i="28" a="1"/>
  <c r="W66" i="29" a="1"/>
  <c r="R175" i="28" a="1"/>
  <c r="W166" i="29" a="1"/>
  <c r="R229" i="28" a="1"/>
  <c r="M55" i="27" a="1"/>
  <c r="C55" i="27" a="1"/>
  <c r="C94" i="27" a="1"/>
  <c r="F166" i="29" a="1"/>
  <c r="F164" i="29" a="1"/>
  <c r="R165" i="28" a="1"/>
  <c r="F165" i="29" a="1"/>
  <c r="R164" i="28" a="1"/>
  <c r="M97" i="27" a="1"/>
  <c r="F66" i="29" a="1"/>
  <c r="W165" i="29" a="1"/>
  <c r="R229" i="28" l="1"/>
  <c r="R165" i="28"/>
  <c r="R169" i="28"/>
  <c r="R175" i="28"/>
  <c r="R164" i="28"/>
  <c r="R261" i="28"/>
  <c r="R171" i="28"/>
  <c r="W66" i="29"/>
  <c r="F167" i="29"/>
  <c r="W167" i="29"/>
  <c r="M55" i="27"/>
  <c r="M97" i="27"/>
  <c r="M94" i="27"/>
  <c r="C55" i="27"/>
  <c r="C97" i="27"/>
  <c r="C94" i="27"/>
  <c r="F166" i="29"/>
  <c r="F164" i="29"/>
  <c r="F165" i="29"/>
  <c r="F66" i="29"/>
  <c r="W165" i="29"/>
  <c r="W166" i="29"/>
  <c r="W164" i="29"/>
  <c r="R230" i="28" a="1"/>
  <c r="R230" i="28" l="1"/>
  <c r="F383" i="29"/>
  <c r="F384" i="29" s="1"/>
  <c r="R231" i="28" a="1"/>
  <c r="R231" i="28" l="1"/>
  <c r="F386" i="29"/>
  <c r="AA2" i="29" s="1"/>
  <c r="R352" i="28" a="1"/>
  <c r="E3" i="28" a="1"/>
  <c r="E24" i="28" a="1"/>
  <c r="R352" i="28" l="1"/>
  <c r="E24" i="28"/>
  <c r="F24" i="28" s="1"/>
  <c r="E3" i="28"/>
  <c r="F3" i="28" s="1"/>
  <c r="E169" i="28" a="1"/>
  <c r="E19" i="28" a="1"/>
  <c r="E164" i="28" a="1"/>
  <c r="E525" i="28" a="1"/>
  <c r="E518" i="28" a="1"/>
  <c r="E68" i="28" a="1"/>
  <c r="E120" i="28" a="1"/>
  <c r="E535" i="28" a="1"/>
  <c r="E460" i="28" a="1"/>
  <c r="E454" i="28" a="1"/>
  <c r="E567" i="28" a="1"/>
  <c r="E4" i="28" a="1"/>
  <c r="E605" i="28" a="1"/>
  <c r="E30" i="28" a="1"/>
  <c r="E342" i="28" a="1"/>
  <c r="E50" i="28" a="1"/>
  <c r="E576" i="28" a="1"/>
  <c r="E277" i="28" a="1"/>
  <c r="E510" i="28" a="1"/>
  <c r="E25" i="28" a="1"/>
  <c r="E389" i="28" a="1"/>
  <c r="E49" i="28" a="1"/>
  <c r="E203" i="28" a="1"/>
  <c r="E477" i="28" a="1"/>
  <c r="E57" i="28" a="1"/>
  <c r="E514" i="28" a="1"/>
  <c r="E121" i="28" a="1"/>
  <c r="E467" i="28" a="1"/>
  <c r="E184" i="28" a="1"/>
  <c r="E596" i="28" a="1"/>
  <c r="E67" i="28" a="1"/>
  <c r="E470" i="28" a="1"/>
  <c r="E306" i="28" a="1"/>
  <c r="E364" i="28" a="1"/>
  <c r="E577" i="28" a="1"/>
  <c r="E548" i="28" a="1"/>
  <c r="E446" i="28" a="1"/>
  <c r="E14" i="28" a="1"/>
  <c r="E110" i="28" a="1"/>
  <c r="E466" i="28" a="1"/>
  <c r="E324" i="28" a="1"/>
  <c r="E468" i="28" a="1"/>
  <c r="E247" i="28" a="1"/>
  <c r="E469" i="28" a="1"/>
  <c r="E111" i="28" a="1"/>
  <c r="E247" i="28" l="1"/>
  <c r="F247" i="28" s="1"/>
  <c r="E49" i="28"/>
  <c r="F49" i="28" s="1"/>
  <c r="E110" i="28"/>
  <c r="F110" i="28" s="1"/>
  <c r="E342" i="28"/>
  <c r="F342" i="28" s="1"/>
  <c r="E525" i="28"/>
  <c r="F525" i="28" s="1"/>
  <c r="E121" i="28"/>
  <c r="F121" i="28" s="1"/>
  <c r="E306" i="28"/>
  <c r="F306" i="28" s="1"/>
  <c r="E169" i="28"/>
  <c r="F169" i="28" s="1"/>
  <c r="E605" i="28"/>
  <c r="F605" i="28" s="1"/>
  <c r="E470" i="28"/>
  <c r="F470" i="28" s="1"/>
  <c r="E596" i="28"/>
  <c r="F596" i="28" s="1"/>
  <c r="E4" i="28"/>
  <c r="F4" i="28" s="1"/>
  <c r="E514" i="28"/>
  <c r="F514" i="28" s="1"/>
  <c r="E68" i="28"/>
  <c r="F68" i="28" s="1"/>
  <c r="E468" i="28"/>
  <c r="F468" i="28" s="1"/>
  <c r="E364" i="28"/>
  <c r="F364" i="28" s="1"/>
  <c r="E164" i="28"/>
  <c r="F164" i="28" s="1"/>
  <c r="E467" i="28"/>
  <c r="F467" i="28" s="1"/>
  <c r="E446" i="28"/>
  <c r="F446" i="28" s="1"/>
  <c r="E50" i="28"/>
  <c r="F50" i="28" s="1"/>
  <c r="E120" i="28"/>
  <c r="F120" i="28" s="1"/>
  <c r="E30" i="28"/>
  <c r="F30" i="28" s="1"/>
  <c r="E460" i="28"/>
  <c r="F460" i="28" s="1"/>
  <c r="E518" i="28"/>
  <c r="F518" i="28" s="1"/>
  <c r="E184" i="28"/>
  <c r="F184" i="28" s="1"/>
  <c r="E535" i="28"/>
  <c r="F535" i="28" s="1"/>
  <c r="E454" i="28"/>
  <c r="F454" i="28" s="1"/>
  <c r="E469" i="28"/>
  <c r="F469" i="28" s="1"/>
  <c r="E25" i="28"/>
  <c r="F25" i="28" s="1"/>
  <c r="E466" i="28"/>
  <c r="F466" i="28" s="1"/>
  <c r="E477" i="28"/>
  <c r="F477" i="28" s="1"/>
  <c r="E510" i="28"/>
  <c r="F510" i="28" s="1"/>
  <c r="E67" i="28"/>
  <c r="F67" i="28" s="1"/>
  <c r="E14" i="28"/>
  <c r="F14" i="28" s="1"/>
  <c r="E324" i="28"/>
  <c r="F324" i="28" s="1"/>
  <c r="E577" i="28"/>
  <c r="F577" i="28" s="1"/>
  <c r="E576" i="28"/>
  <c r="F576" i="28" s="1"/>
  <c r="E203" i="28"/>
  <c r="F203" i="28" s="1"/>
  <c r="E548" i="28"/>
  <c r="F548" i="28" s="1"/>
  <c r="E57" i="28"/>
  <c r="F57" i="28" s="1"/>
  <c r="E389" i="28"/>
  <c r="F389" i="28" s="1"/>
  <c r="E277" i="28"/>
  <c r="F277" i="28" s="1"/>
  <c r="E111" i="28"/>
  <c r="F111" i="28" s="1"/>
  <c r="E567" i="28"/>
  <c r="F567" i="28" s="1"/>
  <c r="E19" i="28"/>
  <c r="F19" i="28" s="1"/>
  <c r="E378" i="28" a="1"/>
  <c r="E235" i="28" a="1"/>
  <c r="E598" i="28" a="1"/>
  <c r="E398" i="28" a="1"/>
  <c r="E187" i="28" a="1"/>
  <c r="E195" i="28" a="1"/>
  <c r="E218" i="28" a="1"/>
  <c r="E580" i="28" a="1"/>
  <c r="E520" i="28" a="1"/>
  <c r="E606" i="28" a="1"/>
  <c r="E568" i="28" a="1"/>
  <c r="E492" i="28" a="1"/>
  <c r="E406" i="28" a="1"/>
  <c r="E536" i="28" a="1"/>
  <c r="E495" i="28" a="1"/>
  <c r="E23" i="28" a="1"/>
  <c r="E15" i="28" a="1"/>
  <c r="E263" i="28" a="1"/>
  <c r="E589" i="28" a="1"/>
  <c r="E58" i="28" a="1"/>
  <c r="E465" i="28" a="1"/>
  <c r="E378" i="28" l="1"/>
  <c r="F378" i="28" s="1"/>
  <c r="E598" i="28"/>
  <c r="F598" i="28" s="1"/>
  <c r="E465" i="28"/>
  <c r="F465" i="28" s="1"/>
  <c r="E218" i="28"/>
  <c r="F218" i="28" s="1"/>
  <c r="E58" i="28"/>
  <c r="F58" i="28" s="1"/>
  <c r="E195" i="28"/>
  <c r="F195" i="28" s="1"/>
  <c r="E606" i="28"/>
  <c r="F606" i="28" s="1"/>
  <c r="E406" i="28"/>
  <c r="F406" i="28" s="1"/>
  <c r="E492" i="28"/>
  <c r="F492" i="28" s="1"/>
  <c r="E589" i="28"/>
  <c r="F589" i="28" s="1"/>
  <c r="E235" i="28"/>
  <c r="F235" i="28" s="1"/>
  <c r="E187" i="28"/>
  <c r="F187" i="28" s="1"/>
  <c r="E15" i="28"/>
  <c r="F15" i="28" s="1"/>
  <c r="E568" i="28"/>
  <c r="F568" i="28" s="1"/>
  <c r="E536" i="28"/>
  <c r="F536" i="28" s="1"/>
  <c r="E23" i="28"/>
  <c r="F23" i="28" s="1"/>
  <c r="E495" i="28"/>
  <c r="F495" i="28" s="1"/>
  <c r="E580" i="28"/>
  <c r="F580" i="28" s="1"/>
  <c r="E398" i="28"/>
  <c r="F398" i="28" s="1"/>
  <c r="E520" i="28"/>
  <c r="F520" i="28" s="1"/>
  <c r="E263" i="28"/>
  <c r="F263" i="28" s="1"/>
  <c r="E497" i="28" a="1"/>
  <c r="E155" i="28" a="1"/>
  <c r="E255" i="28" a="1"/>
  <c r="E542" i="28" a="1"/>
  <c r="E170" i="28" a="1"/>
  <c r="E493" i="28" a="1"/>
  <c r="E179" i="28" a="1"/>
  <c r="E332" i="28" a="1"/>
  <c r="E578" i="28" a="1"/>
  <c r="E196" i="28" a="1"/>
  <c r="E314" i="28" a="1"/>
  <c r="E236" i="28" a="1"/>
  <c r="E59" i="28" a="1"/>
  <c r="E538" i="28" a="1"/>
  <c r="E354" i="28" a="1"/>
  <c r="E418" i="28" a="1"/>
  <c r="E607" i="28" a="1"/>
  <c r="E210" i="28" a="1"/>
  <c r="E599" i="28" a="1"/>
  <c r="E380" i="28" a="1"/>
  <c r="E559" i="28" a="1"/>
  <c r="E112" i="28" a="1"/>
  <c r="E296" i="28" a="1"/>
  <c r="E399" i="28" a="1"/>
  <c r="E286" i="28" a="1"/>
  <c r="E6" i="28" a="1"/>
  <c r="E248" i="28" a="1"/>
  <c r="E471" i="28" a="1"/>
  <c r="E31" i="28" a="1"/>
  <c r="E31" i="28" l="1"/>
  <c r="F31" i="28" s="1"/>
  <c r="E210" i="28"/>
  <c r="F210" i="28" s="1"/>
  <c r="E542" i="28"/>
  <c r="F542" i="28" s="1"/>
  <c r="E179" i="28"/>
  <c r="F179" i="28" s="1"/>
  <c r="E236" i="28"/>
  <c r="F236" i="28" s="1"/>
  <c r="E578" i="28"/>
  <c r="F578" i="28" s="1"/>
  <c r="E332" i="28"/>
  <c r="F332" i="28" s="1"/>
  <c r="E538" i="28"/>
  <c r="F538" i="28" s="1"/>
  <c r="E314" i="28"/>
  <c r="F314" i="28" s="1"/>
  <c r="E399" i="28"/>
  <c r="F399" i="28" s="1"/>
  <c r="E112" i="28"/>
  <c r="F112" i="28" s="1"/>
  <c r="E170" i="28"/>
  <c r="F170" i="28" s="1"/>
  <c r="E296" i="28"/>
  <c r="F296" i="28" s="1"/>
  <c r="E559" i="28"/>
  <c r="F559" i="28" s="1"/>
  <c r="E354" i="28"/>
  <c r="F354" i="28" s="1"/>
  <c r="E418" i="28"/>
  <c r="F418" i="28" s="1"/>
  <c r="E286" i="28"/>
  <c r="F286" i="28" s="1"/>
  <c r="E497" i="28"/>
  <c r="F497" i="28" s="1"/>
  <c r="E599" i="28"/>
  <c r="F599" i="28" s="1"/>
  <c r="E196" i="28"/>
  <c r="F196" i="28" s="1"/>
  <c r="E471" i="28"/>
  <c r="F471" i="28" s="1"/>
  <c r="E380" i="28"/>
  <c r="F380" i="28" s="1"/>
  <c r="E59" i="28"/>
  <c r="F59" i="28" s="1"/>
  <c r="E155" i="28"/>
  <c r="F155" i="28" s="1"/>
  <c r="E607" i="28"/>
  <c r="F607" i="28" s="1"/>
  <c r="E6" i="28"/>
  <c r="F6" i="28" s="1"/>
  <c r="E493" i="28"/>
  <c r="F493" i="28" s="1"/>
  <c r="E255" i="28"/>
  <c r="F255" i="28" s="1"/>
  <c r="E248" i="28"/>
  <c r="F248" i="28" s="1"/>
  <c r="E315" i="28" a="1"/>
  <c r="E343" i="28" a="1"/>
  <c r="E297" i="28" a="1"/>
  <c r="E450" i="28" a="1"/>
  <c r="E20" i="28" a="1"/>
  <c r="E36" i="28" a="1"/>
  <c r="E325" i="28" a="1"/>
  <c r="E278" i="28" a="1"/>
  <c r="E325" i="28" l="1"/>
  <c r="F325" i="28" s="1"/>
  <c r="E297" i="28"/>
  <c r="F297" i="28" s="1"/>
  <c r="E278" i="28"/>
  <c r="F278" i="28" s="1"/>
  <c r="E36" i="28"/>
  <c r="F36" i="28" s="1"/>
  <c r="E450" i="28"/>
  <c r="F450" i="28" s="1"/>
  <c r="E343" i="28"/>
  <c r="F343" i="28" s="1"/>
  <c r="E315" i="28"/>
  <c r="F315" i="28" s="1"/>
  <c r="E20" i="28"/>
  <c r="F20" i="28" s="1"/>
  <c r="E307" i="28" a="1"/>
  <c r="E472" i="28" a="1"/>
  <c r="E189" i="28" a="1"/>
  <c r="E287" i="28" a="1"/>
  <c r="E582" i="28" a="1"/>
  <c r="E334" i="28" a="1"/>
  <c r="E264" i="28" a="1"/>
  <c r="E554" i="28" a="1"/>
  <c r="E579" i="28" a="1"/>
  <c r="E545" i="28" a="1"/>
  <c r="E390" i="28" a="1"/>
  <c r="E569" i="28" a="1"/>
  <c r="E530" i="28" a="1"/>
  <c r="E22" i="28" a="1"/>
  <c r="E550" i="28" a="1"/>
  <c r="E355" i="28" a="1"/>
  <c r="E37" i="28" a="1"/>
  <c r="E549" i="28" a="1"/>
  <c r="E52" i="28" a="1"/>
  <c r="E70" i="28" a="1"/>
  <c r="E204" i="28" a="1"/>
  <c r="E2" i="28" a="1"/>
  <c r="E583" i="28" a="1"/>
  <c r="E171" i="28" a="1"/>
  <c r="E590" i="28" a="1"/>
  <c r="E526" i="28" a="1"/>
  <c r="E365" i="28" a="1"/>
  <c r="E181" i="28" a="1"/>
  <c r="E34" i="28" a="1"/>
  <c r="E211" i="28" a="1"/>
  <c r="E13" i="28" a="1"/>
  <c r="E114" i="28" a="1"/>
  <c r="E197" i="28" a="1"/>
  <c r="E113" i="28" a="1"/>
  <c r="E105" i="28" a="1"/>
  <c r="E51" i="28" a="1"/>
  <c r="E391" i="28" a="1"/>
  <c r="E528" i="28" a="1"/>
  <c r="E382" i="28" a="1"/>
  <c r="E407" i="28" a="1"/>
  <c r="E507" i="28" a="1"/>
  <c r="E69" i="28" a="1"/>
  <c r="E355" i="28" l="1"/>
  <c r="F355" i="28" s="1"/>
  <c r="E113" i="28"/>
  <c r="F113" i="28" s="1"/>
  <c r="E334" i="28"/>
  <c r="F334" i="28" s="1"/>
  <c r="E181" i="28"/>
  <c r="F181" i="28" s="1"/>
  <c r="E197" i="28"/>
  <c r="F197" i="28" s="1"/>
  <c r="E211" i="28"/>
  <c r="F211" i="28" s="1"/>
  <c r="E545" i="28"/>
  <c r="F545" i="28" s="1"/>
  <c r="E37" i="28"/>
  <c r="F37" i="28" s="1"/>
  <c r="E579" i="28"/>
  <c r="F579" i="28" s="1"/>
  <c r="E569" i="28"/>
  <c r="F569" i="28" s="1"/>
  <c r="E550" i="28"/>
  <c r="F550" i="28" s="1"/>
  <c r="E307" i="28"/>
  <c r="F307" i="28" s="1"/>
  <c r="E105" i="28"/>
  <c r="F105" i="28" s="1"/>
  <c r="E287" i="28"/>
  <c r="F287" i="28" s="1"/>
  <c r="E407" i="28"/>
  <c r="F407" i="28" s="1"/>
  <c r="E114" i="28"/>
  <c r="F114" i="28" s="1"/>
  <c r="E549" i="28"/>
  <c r="F549" i="28" s="1"/>
  <c r="E391" i="28"/>
  <c r="F391" i="28" s="1"/>
  <c r="E13" i="28"/>
  <c r="F13" i="28" s="1"/>
  <c r="E526" i="28"/>
  <c r="F526" i="28" s="1"/>
  <c r="E171" i="28"/>
  <c r="F171" i="28" s="1"/>
  <c r="E264" i="28"/>
  <c r="F264" i="28" s="1"/>
  <c r="E22" i="28"/>
  <c r="F22" i="28" s="1"/>
  <c r="E583" i="28"/>
  <c r="F583" i="28" s="1"/>
  <c r="E582" i="28"/>
  <c r="F582" i="28" s="1"/>
  <c r="E507" i="28"/>
  <c r="F507" i="28" s="1"/>
  <c r="E382" i="28"/>
  <c r="F382" i="28" s="1"/>
  <c r="E472" i="28"/>
  <c r="F472" i="28" s="1"/>
  <c r="E69" i="28"/>
  <c r="F69" i="28" s="1"/>
  <c r="E70" i="28"/>
  <c r="F70" i="28" s="1"/>
  <c r="E390" i="28"/>
  <c r="F390" i="28" s="1"/>
  <c r="E2" i="28"/>
  <c r="F2" i="28" s="1"/>
  <c r="E51" i="28"/>
  <c r="F51" i="28" s="1"/>
  <c r="E528" i="28"/>
  <c r="F528" i="28" s="1"/>
  <c r="E52" i="28"/>
  <c r="F52" i="28" s="1"/>
  <c r="E365" i="28"/>
  <c r="F365" i="28" s="1"/>
  <c r="E34" i="28"/>
  <c r="F34" i="28" s="1"/>
  <c r="E204" i="28"/>
  <c r="F204" i="28" s="1"/>
  <c r="E554" i="28"/>
  <c r="F554" i="28" s="1"/>
  <c r="E530" i="28"/>
  <c r="F530" i="28" s="1"/>
  <c r="E590" i="28"/>
  <c r="F590" i="28" s="1"/>
  <c r="E189" i="28"/>
  <c r="F189" i="28" s="1"/>
  <c r="E561" i="28" a="1"/>
  <c r="E498" i="28" a="1"/>
  <c r="E591" i="28" a="1"/>
  <c r="E44" i="28" a="1"/>
  <c r="E597" i="28" a="1"/>
  <c r="E237" i="28" a="1"/>
  <c r="E600" i="28" a="1"/>
  <c r="E205" i="28" a="1"/>
  <c r="E180" i="28" a="1"/>
  <c r="E366" i="28" a="1"/>
  <c r="E570" i="28" a="1"/>
  <c r="E494" i="28" a="1"/>
  <c r="E463" i="28" a="1"/>
  <c r="E156" i="28" a="1"/>
  <c r="E400" i="28" a="1"/>
  <c r="E18" i="28" a="1"/>
  <c r="E539" i="28" a="1"/>
  <c r="E8" i="28" a="1"/>
  <c r="E539" i="28" l="1"/>
  <c r="F539" i="28" s="1"/>
  <c r="E561" i="28"/>
  <c r="F561" i="28" s="1"/>
  <c r="E463" i="28"/>
  <c r="F463" i="28" s="1"/>
  <c r="E498" i="28"/>
  <c r="F498" i="28" s="1"/>
  <c r="E400" i="28"/>
  <c r="F400" i="28" s="1"/>
  <c r="E600" i="28"/>
  <c r="F600" i="28" s="1"/>
  <c r="E18" i="28"/>
  <c r="F18" i="28" s="1"/>
  <c r="E366" i="28"/>
  <c r="F366" i="28" s="1"/>
  <c r="E205" i="28"/>
  <c r="F205" i="28" s="1"/>
  <c r="E44" i="28"/>
  <c r="F44" i="28" s="1"/>
  <c r="E237" i="28"/>
  <c r="F237" i="28" s="1"/>
  <c r="E591" i="28"/>
  <c r="F591" i="28" s="1"/>
  <c r="E156" i="28"/>
  <c r="F156" i="28" s="1"/>
  <c r="E494" i="28"/>
  <c r="F494" i="28" s="1"/>
  <c r="E597" i="28"/>
  <c r="F597" i="28" s="1"/>
  <c r="E570" i="28"/>
  <c r="F570" i="28" s="1"/>
  <c r="E180" i="28"/>
  <c r="F180" i="28" s="1"/>
  <c r="E8" i="28"/>
  <c r="F8" i="28" s="1"/>
  <c r="E28" i="28" a="1"/>
  <c r="E206" i="28" a="1"/>
  <c r="E489" i="28" a="1"/>
  <c r="E289" i="28" a="1"/>
  <c r="E383" i="28" a="1"/>
  <c r="E555" i="28" a="1"/>
  <c r="E35" i="28" a="1"/>
  <c r="E253" i="28" a="1"/>
  <c r="E38" i="28" a="1"/>
  <c r="E571" i="28" a="1"/>
  <c r="E562" i="28" a="1"/>
  <c r="E60" i="28" a="1"/>
  <c r="E519" i="28" a="1"/>
  <c r="E540" i="28" a="1"/>
  <c r="E212" i="28" a="1"/>
  <c r="E457" i="28" a="1"/>
  <c r="E511" i="28" a="1"/>
  <c r="E253" i="28" l="1"/>
  <c r="F253" i="28" s="1"/>
  <c r="E489" i="28"/>
  <c r="F489" i="28" s="1"/>
  <c r="E519" i="28"/>
  <c r="F519" i="28" s="1"/>
  <c r="E540" i="28"/>
  <c r="F540" i="28" s="1"/>
  <c r="E35" i="28"/>
  <c r="F35" i="28" s="1"/>
  <c r="E383" i="28"/>
  <c r="F383" i="28" s="1"/>
  <c r="E206" i="28"/>
  <c r="F206" i="28" s="1"/>
  <c r="E212" i="28"/>
  <c r="F212" i="28" s="1"/>
  <c r="E555" i="28"/>
  <c r="F555" i="28" s="1"/>
  <c r="E571" i="28"/>
  <c r="F571" i="28" s="1"/>
  <c r="E562" i="28"/>
  <c r="F562" i="28" s="1"/>
  <c r="E60" i="28"/>
  <c r="F60" i="28" s="1"/>
  <c r="E457" i="28"/>
  <c r="F457" i="28" s="1"/>
  <c r="E38" i="28"/>
  <c r="F38" i="28" s="1"/>
  <c r="E289" i="28"/>
  <c r="F289" i="28" s="1"/>
  <c r="E511" i="28"/>
  <c r="F511" i="28" s="1"/>
  <c r="E28" i="28"/>
  <c r="F28" i="28" s="1"/>
  <c r="E157" i="28" a="1"/>
  <c r="E115" i="28" a="1"/>
  <c r="E367" i="28" a="1"/>
  <c r="E529" i="28" a="1"/>
  <c r="E172" i="28" a="1"/>
  <c r="E159" i="28" a="1"/>
  <c r="E581" i="28" a="1"/>
  <c r="E241" i="28" a="1"/>
  <c r="E592" i="28" a="1"/>
  <c r="E356" i="28" a="1"/>
  <c r="E198" i="28" a="1"/>
  <c r="E188" i="28" a="1"/>
  <c r="E45" i="28" a="1"/>
  <c r="E417" i="28" a="1"/>
  <c r="E551" i="28" a="1"/>
  <c r="E473" i="28" a="1"/>
  <c r="E401" i="28" a="1"/>
  <c r="E360" i="28" a="1"/>
  <c r="E77" i="28" a="1"/>
  <c r="E508" i="28" a="1"/>
  <c r="E53" i="28" a="1"/>
  <c r="E392" i="28" a="1"/>
  <c r="E496" i="28" a="1"/>
  <c r="E266" i="28" a="1"/>
  <c r="E188" i="28" l="1"/>
  <c r="F188" i="28" s="1"/>
  <c r="E592" i="28"/>
  <c r="F592" i="28" s="1"/>
  <c r="E241" i="28"/>
  <c r="F241" i="28" s="1"/>
  <c r="E417" i="28"/>
  <c r="F417" i="28" s="1"/>
  <c r="E401" i="28"/>
  <c r="F401" i="28" s="1"/>
  <c r="E551" i="28"/>
  <c r="F551" i="28" s="1"/>
  <c r="E581" i="28"/>
  <c r="F581" i="28" s="1"/>
  <c r="E529" i="28"/>
  <c r="F529" i="28" s="1"/>
  <c r="E198" i="28"/>
  <c r="F198" i="28" s="1"/>
  <c r="E172" i="28"/>
  <c r="F172" i="28" s="1"/>
  <c r="E392" i="28"/>
  <c r="F392" i="28" s="1"/>
  <c r="E115" i="28"/>
  <c r="F115" i="28" s="1"/>
  <c r="E367" i="28"/>
  <c r="F367" i="28" s="1"/>
  <c r="E360" i="28"/>
  <c r="F360" i="28" s="1"/>
  <c r="E159" i="28"/>
  <c r="F159" i="28" s="1"/>
  <c r="E356" i="28"/>
  <c r="F356" i="28" s="1"/>
  <c r="E508" i="28"/>
  <c r="F508" i="28" s="1"/>
  <c r="E77" i="28"/>
  <c r="F77" i="28" s="1"/>
  <c r="E473" i="28"/>
  <c r="F473" i="28" s="1"/>
  <c r="E53" i="28"/>
  <c r="F53" i="28" s="1"/>
  <c r="E496" i="28"/>
  <c r="F496" i="28" s="1"/>
  <c r="E157" i="28"/>
  <c r="F157" i="28" s="1"/>
  <c r="E45" i="28"/>
  <c r="F45" i="28" s="1"/>
  <c r="E266" i="28"/>
  <c r="F266" i="28" s="1"/>
  <c r="E242" i="28" a="1"/>
  <c r="E516" i="28" a="1"/>
  <c r="E280" i="28" a="1"/>
  <c r="E7" i="28" a="1"/>
  <c r="E267" i="28" a="1"/>
  <c r="E71" i="28" a="1"/>
  <c r="E557" i="28" a="1"/>
  <c r="E458" i="28" a="1"/>
  <c r="E564" i="28" a="1"/>
  <c r="E461" i="28" a="1"/>
  <c r="E54" i="28" a="1"/>
  <c r="E552" i="28" a="1"/>
  <c r="E609" i="28" a="1"/>
  <c r="E357" i="28" a="1"/>
  <c r="E362" i="28" a="1"/>
  <c r="E531" i="28" a="1"/>
  <c r="E602" i="28" a="1"/>
  <c r="E213" i="28" a="1"/>
  <c r="E301" i="28" a="1"/>
  <c r="E478" i="28" a="1"/>
  <c r="E61" i="28" a="1"/>
  <c r="E199" i="28" a="1"/>
  <c r="E384" i="28" a="1"/>
  <c r="E116" i="28" a="1"/>
  <c r="E478" i="28" l="1"/>
  <c r="F478" i="28" s="1"/>
  <c r="E609" i="28"/>
  <c r="F609" i="28" s="1"/>
  <c r="E461" i="28"/>
  <c r="F461" i="28" s="1"/>
  <c r="E357" i="28"/>
  <c r="F357" i="28" s="1"/>
  <c r="E7" i="28"/>
  <c r="F7" i="28" s="1"/>
  <c r="E199" i="28"/>
  <c r="F199" i="28" s="1"/>
  <c r="E54" i="28"/>
  <c r="F54" i="28" s="1"/>
  <c r="E301" i="28"/>
  <c r="F301" i="28" s="1"/>
  <c r="E602" i="28"/>
  <c r="F602" i="28" s="1"/>
  <c r="E242" i="28"/>
  <c r="F242" i="28" s="1"/>
  <c r="E213" i="28"/>
  <c r="F213" i="28" s="1"/>
  <c r="E557" i="28"/>
  <c r="F557" i="28" s="1"/>
  <c r="E280" i="28"/>
  <c r="F280" i="28" s="1"/>
  <c r="E61" i="28"/>
  <c r="F61" i="28" s="1"/>
  <c r="E552" i="28"/>
  <c r="F552" i="28" s="1"/>
  <c r="E71" i="28"/>
  <c r="F71" i="28" s="1"/>
  <c r="E116" i="28"/>
  <c r="F116" i="28" s="1"/>
  <c r="E531" i="28"/>
  <c r="F531" i="28" s="1"/>
  <c r="E564" i="28"/>
  <c r="F564" i="28" s="1"/>
  <c r="E516" i="28"/>
  <c r="F516" i="28" s="1"/>
  <c r="E362" i="28"/>
  <c r="F362" i="28" s="1"/>
  <c r="E384" i="28"/>
  <c r="F384" i="28" s="1"/>
  <c r="E458" i="28"/>
  <c r="F458" i="28" s="1"/>
  <c r="E267" i="28"/>
  <c r="F267" i="28" s="1"/>
  <c r="E593" i="28" a="1"/>
  <c r="E192" i="28" a="1"/>
  <c r="E249" i="28" a="1"/>
  <c r="E260" i="28" a="1"/>
  <c r="E404" i="28" a="1"/>
  <c r="E328" i="28" a="1"/>
  <c r="E387" i="28" a="1"/>
  <c r="E246" i="28" a="1"/>
  <c r="E572" i="28" a="1"/>
  <c r="E310" i="28" a="1"/>
  <c r="E546" i="28" a="1"/>
  <c r="E47" i="28" a="1"/>
  <c r="E396" i="28" a="1"/>
  <c r="E338" i="28" a="1"/>
  <c r="E63" i="28" a="1"/>
  <c r="E133" i="28" a="1"/>
  <c r="E281" i="28" a="1"/>
  <c r="E521" i="28" a="1"/>
  <c r="E216" i="28" a="1"/>
  <c r="E573" i="28" a="1"/>
  <c r="E537" i="28" a="1"/>
  <c r="E363" i="28" a="1"/>
  <c r="E16" i="28" a="1"/>
  <c r="E215" i="28" a="1"/>
  <c r="E55" i="28" a="1"/>
  <c r="E244" i="28" a="1"/>
  <c r="E505" i="28" a="1"/>
  <c r="E302" i="28" a="1"/>
  <c r="E339" i="28" a="1"/>
  <c r="E175" i="28" a="1"/>
  <c r="E103" i="28" a="1"/>
  <c r="E42" i="28" a="1"/>
  <c r="E245" i="28" a="1"/>
  <c r="E62" i="28" a="1"/>
  <c r="E330" i="28" a="1"/>
  <c r="E603" i="28" a="1"/>
  <c r="E304" i="28" a="1"/>
  <c r="E566" i="28" a="1"/>
  <c r="E283" i="28" a="1"/>
  <c r="E506" i="28" a="1"/>
  <c r="E56" i="28" a="1"/>
  <c r="E191" i="28" a="1"/>
  <c r="E10" i="28" a="1"/>
  <c r="E532" i="28" a="1"/>
  <c r="E490" i="28" a="1"/>
  <c r="E405" i="28" a="1"/>
  <c r="E177" i="28" a="1"/>
  <c r="E200" i="28" a="1"/>
  <c r="E499" i="28" a="1"/>
  <c r="E351" i="28" a="1"/>
  <c r="E73" i="28" a="1"/>
  <c r="E303" i="28" a="1"/>
  <c r="E12" i="28" a="1"/>
  <c r="E119" i="28" a="1"/>
  <c r="E403" i="28" a="1"/>
  <c r="E64" i="28" a="1"/>
  <c r="E214" i="28" a="1"/>
  <c r="E373" i="28" a="1"/>
  <c r="E207" i="28" a="1"/>
  <c r="E347" i="28" a="1"/>
  <c r="E118" i="28" a="1"/>
  <c r="E393" i="28" a="1"/>
  <c r="E291" i="28" a="1"/>
  <c r="E487" i="28" a="1"/>
  <c r="E448" i="28" a="1"/>
  <c r="E359" i="28" a="1"/>
  <c r="E48" i="28" a="1"/>
  <c r="E608" i="28" a="1"/>
  <c r="E161" i="28" a="1"/>
  <c r="E311" i="28" a="1"/>
  <c r="E185" i="28" a="1"/>
  <c r="E261" i="28" a="1"/>
  <c r="E543" i="28" a="1"/>
  <c r="E29" i="28" a="1"/>
  <c r="E385" i="28" a="1"/>
  <c r="E268" i="28" a="1"/>
  <c r="E108" i="28" a="1"/>
  <c r="E601" i="28" a="1"/>
  <c r="E134" i="28" a="1"/>
  <c r="E202" i="28" a="1"/>
  <c r="E163" i="28" a="1"/>
  <c r="E27" i="28" a="1"/>
  <c r="E309" i="28" a="1"/>
  <c r="E256" i="28" a="1"/>
  <c r="E209" i="28" a="1"/>
  <c r="E594" i="28" a="1"/>
  <c r="E43" i="28" a="1"/>
  <c r="E117" i="28" a="1"/>
  <c r="E563" i="28" a="1"/>
  <c r="E173" i="28" a="1"/>
  <c r="E449" i="28" a="1"/>
  <c r="E612" i="28" a="1"/>
  <c r="E574" i="28" a="1"/>
  <c r="E522" i="28" a="1"/>
  <c r="E107" i="28" a="1"/>
  <c r="E284" i="28" a="1"/>
  <c r="E329" i="28" a="1"/>
  <c r="E358" i="28" a="1"/>
  <c r="E65" i="28" a="1"/>
  <c r="E132" i="28" a="1"/>
  <c r="E84" i="28" a="1"/>
  <c r="E217" i="28" a="1"/>
  <c r="E547" i="28" a="1"/>
  <c r="E193" i="28" a="1"/>
  <c r="E26" i="28" a="1"/>
  <c r="E565" i="28" a="1"/>
  <c r="E604" i="28" a="1"/>
  <c r="E46" i="28" a="1"/>
  <c r="E476" i="28" a="1"/>
  <c r="E183" i="28" a="1"/>
  <c r="E456" i="28" a="1"/>
  <c r="E509" i="28" a="1"/>
  <c r="E109" i="28" a="1"/>
  <c r="E346" i="28" a="1"/>
  <c r="E464" i="28" a="1"/>
  <c r="E462" i="28" a="1"/>
  <c r="E104" i="28" a="1"/>
  <c r="E318" i="28" a="1"/>
  <c r="E182" i="28" a="1"/>
  <c r="E201" i="28" a="1"/>
  <c r="E162" i="28" a="1"/>
  <c r="E9" i="28" a="1"/>
  <c r="E453" i="28" a="1"/>
  <c r="E595" i="28" a="1"/>
  <c r="E501" i="28" a="1"/>
  <c r="E321" i="28" a="1"/>
  <c r="E322" i="28" a="1"/>
  <c r="E395" i="28" a="1"/>
  <c r="E544" i="28" a="1"/>
  <c r="E513" i="28" a="1"/>
  <c r="E5" i="28" a="1"/>
  <c r="E345" i="28" a="1"/>
  <c r="E290" i="28" a="1"/>
  <c r="E72" i="28" a="1"/>
  <c r="E176" i="28" a="1"/>
  <c r="E368" i="28" a="1"/>
  <c r="E375" i="28" a="1"/>
  <c r="E136" i="28" a="1"/>
  <c r="E533" i="28" a="1"/>
  <c r="E320" i="28" a="1"/>
  <c r="E512" i="28" a="1"/>
  <c r="E534" i="28" a="1"/>
  <c r="E611" i="28" a="1"/>
  <c r="E337" i="28" a="1"/>
  <c r="E459" i="28" a="1"/>
  <c r="E269" i="28" a="1"/>
  <c r="E500" i="28" a="1"/>
  <c r="E369" i="28" a="1"/>
  <c r="E560" i="28" a="1"/>
  <c r="E292" i="28" a="1"/>
  <c r="E208" i="28" a="1"/>
  <c r="E312" i="28" a="1"/>
  <c r="E246" i="28" l="1"/>
  <c r="F246" i="28" s="1"/>
  <c r="E185" i="28"/>
  <c r="F185" i="28" s="1"/>
  <c r="E312" i="28"/>
  <c r="F312" i="28" s="1"/>
  <c r="E42" i="28"/>
  <c r="F42" i="28" s="1"/>
  <c r="E505" i="28"/>
  <c r="F505" i="28" s="1"/>
  <c r="E608" i="28"/>
  <c r="F608" i="28" s="1"/>
  <c r="E175" i="28"/>
  <c r="F175" i="28" s="1"/>
  <c r="E281" i="28"/>
  <c r="F281" i="28" s="1"/>
  <c r="E572" i="28"/>
  <c r="F572" i="28" s="1"/>
  <c r="E337" i="28"/>
  <c r="F337" i="28" s="1"/>
  <c r="E284" i="28"/>
  <c r="F284" i="28" s="1"/>
  <c r="E566" i="28"/>
  <c r="F566" i="28" s="1"/>
  <c r="E177" i="28"/>
  <c r="F177" i="28" s="1"/>
  <c r="E48" i="28"/>
  <c r="F48" i="28" s="1"/>
  <c r="E291" i="28"/>
  <c r="F291" i="28" s="1"/>
  <c r="E214" i="28"/>
  <c r="F214" i="28" s="1"/>
  <c r="E512" i="28"/>
  <c r="F512" i="28" s="1"/>
  <c r="E216" i="28"/>
  <c r="F216" i="28" s="1"/>
  <c r="E202" i="28"/>
  <c r="F202" i="28" s="1"/>
  <c r="E533" i="28"/>
  <c r="F533" i="28" s="1"/>
  <c r="E292" i="28"/>
  <c r="F292" i="28" s="1"/>
  <c r="E595" i="28"/>
  <c r="F595" i="28" s="1"/>
  <c r="E103" i="28"/>
  <c r="F103" i="28" s="1"/>
  <c r="E537" i="28"/>
  <c r="F537" i="28" s="1"/>
  <c r="E500" i="28"/>
  <c r="F500" i="28" s="1"/>
  <c r="E256" i="28"/>
  <c r="F256" i="28" s="1"/>
  <c r="E318" i="28"/>
  <c r="F318" i="28" s="1"/>
  <c r="E217" i="28"/>
  <c r="F217" i="28" s="1"/>
  <c r="E261" i="28"/>
  <c r="F261" i="28" s="1"/>
  <c r="E29" i="28"/>
  <c r="F29" i="28" s="1"/>
  <c r="E506" i="28"/>
  <c r="F506" i="28" s="1"/>
  <c r="E84" i="28"/>
  <c r="F84" i="28" s="1"/>
  <c r="E268" i="28"/>
  <c r="F268" i="28" s="1"/>
  <c r="E72" i="28"/>
  <c r="F72" i="28" s="1"/>
  <c r="E385" i="28"/>
  <c r="F385" i="28" s="1"/>
  <c r="E16" i="28"/>
  <c r="F16" i="28" s="1"/>
  <c r="E543" i="28"/>
  <c r="F543" i="28" s="1"/>
  <c r="E107" i="28"/>
  <c r="F107" i="28" s="1"/>
  <c r="E269" i="28"/>
  <c r="F269" i="28" s="1"/>
  <c r="E183" i="28"/>
  <c r="F183" i="28" s="1"/>
  <c r="E244" i="28"/>
  <c r="F244" i="28" s="1"/>
  <c r="E117" i="28"/>
  <c r="F117" i="28" s="1"/>
  <c r="E358" i="28"/>
  <c r="F358" i="28" s="1"/>
  <c r="E5" i="28"/>
  <c r="F5" i="28" s="1"/>
  <c r="E173" i="28"/>
  <c r="F173" i="28" s="1"/>
  <c r="E310" i="28"/>
  <c r="F310" i="28" s="1"/>
  <c r="E104" i="28"/>
  <c r="F104" i="28" s="1"/>
  <c r="E320" i="28"/>
  <c r="F320" i="28" s="1"/>
  <c r="E544" i="28"/>
  <c r="F544" i="28" s="1"/>
  <c r="E193" i="28"/>
  <c r="F193" i="28" s="1"/>
  <c r="E64" i="28"/>
  <c r="F64" i="28" s="1"/>
  <c r="E509" i="28"/>
  <c r="F509" i="28" s="1"/>
  <c r="E27" i="28"/>
  <c r="F27" i="28" s="1"/>
  <c r="E403" i="28"/>
  <c r="F403" i="28" s="1"/>
  <c r="E501" i="28"/>
  <c r="F501" i="28" s="1"/>
  <c r="E245" i="28"/>
  <c r="F245" i="28" s="1"/>
  <c r="E574" i="28"/>
  <c r="F574" i="28" s="1"/>
  <c r="E601" i="28"/>
  <c r="F601" i="28" s="1"/>
  <c r="E521" i="28"/>
  <c r="F521" i="28" s="1"/>
  <c r="E338" i="28"/>
  <c r="F338" i="28" s="1"/>
  <c r="E47" i="28"/>
  <c r="F47" i="28" s="1"/>
  <c r="E393" i="28"/>
  <c r="F393" i="28" s="1"/>
  <c r="E456" i="28"/>
  <c r="F456" i="28" s="1"/>
  <c r="E396" i="28"/>
  <c r="F396" i="28" s="1"/>
  <c r="E12" i="28"/>
  <c r="F12" i="28" s="1"/>
  <c r="E546" i="28"/>
  <c r="F546" i="28" s="1"/>
  <c r="E133" i="28"/>
  <c r="F133" i="28" s="1"/>
  <c r="E565" i="28"/>
  <c r="F565" i="28" s="1"/>
  <c r="E200" i="28"/>
  <c r="F200" i="28" s="1"/>
  <c r="E132" i="28"/>
  <c r="F132" i="28" s="1"/>
  <c r="E490" i="28"/>
  <c r="F490" i="28" s="1"/>
  <c r="E290" i="28"/>
  <c r="F290" i="28" s="1"/>
  <c r="E176" i="28"/>
  <c r="F176" i="28" s="1"/>
  <c r="E65" i="28"/>
  <c r="F65" i="28" s="1"/>
  <c r="E109" i="28"/>
  <c r="F109" i="28" s="1"/>
  <c r="E395" i="28"/>
  <c r="F395" i="28" s="1"/>
  <c r="E118" i="28"/>
  <c r="F118" i="28" s="1"/>
  <c r="E560" i="28"/>
  <c r="F560" i="28" s="1"/>
  <c r="E453" i="28"/>
  <c r="F453" i="28" s="1"/>
  <c r="E63" i="28"/>
  <c r="F63" i="28" s="1"/>
  <c r="E9" i="28"/>
  <c r="F9" i="28" s="1"/>
  <c r="E119" i="28"/>
  <c r="F119" i="28" s="1"/>
  <c r="E359" i="28"/>
  <c r="F359" i="28" s="1"/>
  <c r="E134" i="28"/>
  <c r="F134" i="28" s="1"/>
  <c r="E522" i="28"/>
  <c r="F522" i="28" s="1"/>
  <c r="E449" i="28"/>
  <c r="F449" i="28" s="1"/>
  <c r="E363" i="28"/>
  <c r="F363" i="28" s="1"/>
  <c r="E321" i="28"/>
  <c r="F321" i="28" s="1"/>
  <c r="E594" i="28"/>
  <c r="F594" i="28" s="1"/>
  <c r="E369" i="28"/>
  <c r="F369" i="28" s="1"/>
  <c r="E339" i="28"/>
  <c r="F339" i="28" s="1"/>
  <c r="E448" i="28"/>
  <c r="F448" i="28" s="1"/>
  <c r="E387" i="28"/>
  <c r="F387" i="28" s="1"/>
  <c r="E513" i="28"/>
  <c r="F513" i="28" s="1"/>
  <c r="E373" i="28"/>
  <c r="F373" i="28" s="1"/>
  <c r="E462" i="28"/>
  <c r="F462" i="28" s="1"/>
  <c r="E303" i="28"/>
  <c r="F303" i="28" s="1"/>
  <c r="E182" i="28"/>
  <c r="F182" i="28" s="1"/>
  <c r="E207" i="28"/>
  <c r="F207" i="28" s="1"/>
  <c r="E136" i="28"/>
  <c r="F136" i="28" s="1"/>
  <c r="E534" i="28"/>
  <c r="F534" i="28" s="1"/>
  <c r="E604" i="28"/>
  <c r="F604" i="28" s="1"/>
  <c r="E368" i="28"/>
  <c r="F368" i="28" s="1"/>
  <c r="E347" i="28"/>
  <c r="F347" i="28" s="1"/>
  <c r="E611" i="28"/>
  <c r="F611" i="28" s="1"/>
  <c r="E62" i="28"/>
  <c r="F62" i="28" s="1"/>
  <c r="E346" i="28"/>
  <c r="F346" i="28" s="1"/>
  <c r="E46" i="28"/>
  <c r="F46" i="28" s="1"/>
  <c r="E547" i="28"/>
  <c r="F547" i="28" s="1"/>
  <c r="E201" i="28"/>
  <c r="F201" i="28" s="1"/>
  <c r="E322" i="28"/>
  <c r="F322" i="28" s="1"/>
  <c r="E215" i="28"/>
  <c r="F215" i="28" s="1"/>
  <c r="E612" i="28"/>
  <c r="F612" i="28" s="1"/>
  <c r="E329" i="28"/>
  <c r="F329" i="28" s="1"/>
  <c r="E55" i="28"/>
  <c r="F55" i="28" s="1"/>
  <c r="E283" i="28"/>
  <c r="F283" i="28" s="1"/>
  <c r="E573" i="28"/>
  <c r="F573" i="28" s="1"/>
  <c r="E162" i="28"/>
  <c r="F162" i="28" s="1"/>
  <c r="E405" i="28"/>
  <c r="F405" i="28" s="1"/>
  <c r="E192" i="28"/>
  <c r="F192" i="28" s="1"/>
  <c r="E309" i="28"/>
  <c r="F309" i="28" s="1"/>
  <c r="E43" i="28"/>
  <c r="F43" i="28" s="1"/>
  <c r="E351" i="28"/>
  <c r="F351" i="28" s="1"/>
  <c r="E375" i="28"/>
  <c r="F375" i="28" s="1"/>
  <c r="E459" i="28"/>
  <c r="F459" i="28" s="1"/>
  <c r="E208" i="28"/>
  <c r="F208" i="28" s="1"/>
  <c r="E10" i="28"/>
  <c r="F10" i="28" s="1"/>
  <c r="E563" i="28"/>
  <c r="F563" i="28" s="1"/>
  <c r="E328" i="28"/>
  <c r="F328" i="28" s="1"/>
  <c r="E593" i="28"/>
  <c r="F593" i="28" s="1"/>
  <c r="E161" i="28"/>
  <c r="F161" i="28" s="1"/>
  <c r="E304" i="28"/>
  <c r="F304" i="28" s="1"/>
  <c r="E330" i="28"/>
  <c r="F330" i="28" s="1"/>
  <c r="E56" i="28"/>
  <c r="F56" i="28" s="1"/>
  <c r="E311" i="28"/>
  <c r="F311" i="28" s="1"/>
  <c r="E404" i="28"/>
  <c r="F404" i="28" s="1"/>
  <c r="E532" i="28"/>
  <c r="F532" i="28" s="1"/>
  <c r="E302" i="28"/>
  <c r="F302" i="28" s="1"/>
  <c r="E26" i="28"/>
  <c r="F26" i="28" s="1"/>
  <c r="E345" i="28"/>
  <c r="F345" i="28" s="1"/>
  <c r="E249" i="28"/>
  <c r="F249" i="28" s="1"/>
  <c r="E73" i="28"/>
  <c r="F73" i="28" s="1"/>
  <c r="E476" i="28"/>
  <c r="F476" i="28" s="1"/>
  <c r="E209" i="28"/>
  <c r="F209" i="28" s="1"/>
  <c r="E464" i="28"/>
  <c r="F464" i="28" s="1"/>
  <c r="E163" i="28"/>
  <c r="F163" i="28" s="1"/>
  <c r="E603" i="28"/>
  <c r="F603" i="28" s="1"/>
  <c r="E260" i="28"/>
  <c r="F260" i="28" s="1"/>
  <c r="E108" i="28"/>
  <c r="F108" i="28" s="1"/>
  <c r="E499" i="28"/>
  <c r="F499" i="28" s="1"/>
  <c r="E191" i="28"/>
  <c r="F191" i="28" s="1"/>
  <c r="E487" i="28"/>
  <c r="F487" i="28" s="1"/>
  <c r="E262" i="28" a="1"/>
  <c r="E313" i="28" a="1"/>
  <c r="E262" i="28" l="1"/>
  <c r="F262" i="28" s="1"/>
  <c r="E313" i="28"/>
  <c r="F313" i="28" s="1"/>
  <c r="E361" i="28" a="1"/>
  <c r="E553" i="28" a="1"/>
  <c r="E32" i="28" a="1"/>
  <c r="E265" i="28" a="1"/>
  <c r="E394" i="28" a="1"/>
  <c r="E316" i="28" a="1"/>
  <c r="E186" i="28" a="1"/>
  <c r="E553" i="28" l="1"/>
  <c r="F553" i="28" s="1"/>
  <c r="E32" i="28"/>
  <c r="F32" i="28" s="1"/>
  <c r="E265" i="28"/>
  <c r="F265" i="28" s="1"/>
  <c r="E361" i="28"/>
  <c r="F361" i="28" s="1"/>
  <c r="E186" i="28"/>
  <c r="F186" i="28" s="1"/>
  <c r="E394" i="28"/>
  <c r="F394" i="28" s="1"/>
  <c r="E316" i="28"/>
  <c r="F316" i="28" s="1"/>
  <c r="E305" i="28" a="1"/>
  <c r="E317" i="28" a="1"/>
  <c r="E376" i="28" a="1"/>
  <c r="E340" i="28" a="1"/>
  <c r="E319" i="28" a="1"/>
  <c r="E160" i="28" a="1"/>
  <c r="E485" i="28" a="1"/>
  <c r="E276" i="28" a="1"/>
  <c r="E344" i="28" a="1"/>
  <c r="E485" i="28" l="1"/>
  <c r="F485" i="28" s="1"/>
  <c r="E340" i="28"/>
  <c r="F340" i="28" s="1"/>
  <c r="E319" i="28"/>
  <c r="F319" i="28" s="1"/>
  <c r="E160" i="28"/>
  <c r="F160" i="28" s="1"/>
  <c r="E317" i="28"/>
  <c r="F317" i="28" s="1"/>
  <c r="E344" i="28"/>
  <c r="F344" i="28" s="1"/>
  <c r="E276" i="28"/>
  <c r="F276" i="28" s="1"/>
  <c r="E376" i="28"/>
  <c r="F376" i="28" s="1"/>
  <c r="E305" i="28"/>
  <c r="F305" i="28" s="1"/>
  <c r="E323" i="28" a="1"/>
  <c r="E279" i="28" a="1"/>
  <c r="E279" i="28" l="1"/>
  <c r="F279" i="28" s="1"/>
  <c r="E323" i="28"/>
  <c r="F323" i="28" s="1"/>
  <c r="E76" i="28" a="1"/>
  <c r="E451" i="28" a="1"/>
  <c r="E388" i="28" a="1"/>
  <c r="E504" i="28" a="1"/>
  <c r="E190" i="28" a="1"/>
  <c r="E174" i="28" a="1"/>
  <c r="E326" i="28" a="1"/>
  <c r="E285" i="28" a="1"/>
  <c r="E370" i="28" a="1"/>
  <c r="E190" i="28" l="1"/>
  <c r="F190" i="28" s="1"/>
  <c r="E174" i="28"/>
  <c r="F174" i="28" s="1"/>
  <c r="E504" i="28"/>
  <c r="F504" i="28" s="1"/>
  <c r="E451" i="28"/>
  <c r="F451" i="28" s="1"/>
  <c r="E388" i="28"/>
  <c r="F388" i="28" s="1"/>
  <c r="E326" i="28"/>
  <c r="F326" i="28" s="1"/>
  <c r="E76" i="28"/>
  <c r="F76" i="28" s="1"/>
  <c r="E370" i="28"/>
  <c r="F370" i="28" s="1"/>
  <c r="E285" i="28"/>
  <c r="F285" i="28" s="1"/>
  <c r="E308" i="28" a="1"/>
  <c r="E135" i="28" a="1"/>
  <c r="E288" i="28" a="1"/>
  <c r="E397" i="28" a="1"/>
  <c r="E178" i="28" a="1"/>
  <c r="E327" i="28" a="1"/>
  <c r="E447" i="28" a="1"/>
  <c r="E515" i="28" a="1"/>
  <c r="E294" i="28" a="1"/>
  <c r="E282" i="28" a="1"/>
  <c r="E308" i="28" l="1"/>
  <c r="F308" i="28" s="1"/>
  <c r="E178" i="28"/>
  <c r="F178" i="28" s="1"/>
  <c r="E282" i="28"/>
  <c r="F282" i="28" s="1"/>
  <c r="E447" i="28"/>
  <c r="F447" i="28" s="1"/>
  <c r="E397" i="28"/>
  <c r="F397" i="28" s="1"/>
  <c r="E288" i="28"/>
  <c r="F288" i="28" s="1"/>
  <c r="E327" i="28"/>
  <c r="F327" i="28" s="1"/>
  <c r="E515" i="28"/>
  <c r="F515" i="28" s="1"/>
  <c r="E294" i="28"/>
  <c r="F294" i="28" s="1"/>
  <c r="E135" i="28"/>
  <c r="F135" i="28" s="1"/>
  <c r="E586" i="28" a="1"/>
  <c r="E254" i="28" a="1"/>
  <c r="E85" i="28" a="1"/>
  <c r="E491" i="28" a="1"/>
  <c r="E331" i="28" a="1"/>
  <c r="E33" i="28" a="1"/>
  <c r="E254" i="28" l="1"/>
  <c r="F254" i="28" s="1"/>
  <c r="E331" i="28"/>
  <c r="F331" i="28" s="1"/>
  <c r="E33" i="28"/>
  <c r="F33" i="28" s="1"/>
  <c r="E85" i="28"/>
  <c r="F85" i="28" s="1"/>
  <c r="E491" i="28"/>
  <c r="F491" i="28" s="1"/>
  <c r="E586" i="28"/>
  <c r="F586" i="28" s="1"/>
  <c r="E243" i="28" a="1"/>
  <c r="E335" i="28" a="1"/>
  <c r="E502" i="28" a="1"/>
  <c r="E336" i="28" a="1"/>
  <c r="E300" i="28" a="1"/>
  <c r="E295" i="28" a="1"/>
  <c r="E300" i="28" l="1"/>
  <c r="F300" i="28" s="1"/>
  <c r="E502" i="28"/>
  <c r="E295" i="28"/>
  <c r="F295" i="28" s="1"/>
  <c r="E243" i="28"/>
  <c r="F243" i="28" s="1"/>
  <c r="E335" i="28"/>
  <c r="F335" i="28" s="1"/>
  <c r="E336" i="28"/>
  <c r="F336" i="28" s="1"/>
  <c r="E258" i="28" a="1"/>
  <c r="E86" i="28" a="1"/>
  <c r="E258" i="28" l="1"/>
  <c r="F258" i="28" s="1"/>
  <c r="E86" i="28"/>
  <c r="F86" i="28" s="1"/>
  <c r="E524" i="28" a="1"/>
  <c r="E503" i="28" a="1"/>
  <c r="E524" i="28" l="1"/>
  <c r="F524" i="28" s="1"/>
  <c r="E503" i="28"/>
  <c r="F503" i="28" s="1"/>
  <c r="F502" i="28"/>
  <c r="E333" i="28" a="1"/>
  <c r="E333" i="28" l="1"/>
  <c r="F333" i="28" s="1"/>
  <c r="E106" i="28" a="1"/>
  <c r="E106" i="28" l="1"/>
  <c r="F106" i="28" l="1"/>
  <c r="E74" i="28" a="1"/>
  <c r="E75" i="28" a="1"/>
  <c r="E74" i="28" l="1"/>
  <c r="F74" i="28" s="1"/>
  <c r="E75" i="28"/>
  <c r="F75" i="28" s="1"/>
  <c r="E238" i="28" a="1"/>
  <c r="E272" i="28" a="1"/>
  <c r="E272" i="28" l="1"/>
  <c r="F272" i="28" s="1"/>
  <c r="E238" i="28"/>
  <c r="F238" i="28" s="1"/>
  <c r="E274" i="28" a="1"/>
  <c r="E239" i="28" a="1"/>
  <c r="E274" i="28" l="1"/>
  <c r="F274" i="28" s="1"/>
  <c r="E239" i="28"/>
  <c r="F239" i="28" s="1"/>
  <c r="E240" i="28" a="1"/>
  <c r="E372" i="28" a="1"/>
  <c r="E270" i="28" a="1"/>
  <c r="E240" i="28" l="1"/>
  <c r="F240" i="28" s="1"/>
  <c r="E372" i="28"/>
  <c r="F372" i="28" s="1"/>
  <c r="E270" i="28"/>
  <c r="F270" i="28" s="1"/>
  <c r="E381" i="28" a="1"/>
  <c r="E379" i="28" a="1"/>
  <c r="E273" i="28" a="1"/>
  <c r="E374" i="28" a="1"/>
  <c r="E271" i="28" a="1"/>
  <c r="E377" i="28" a="1"/>
  <c r="E273" i="28" l="1"/>
  <c r="E377" i="28"/>
  <c r="F377" i="28" s="1"/>
  <c r="E374" i="28"/>
  <c r="F374" i="28" s="1"/>
  <c r="E381" i="28"/>
  <c r="F381" i="28" s="1"/>
  <c r="E379" i="28"/>
  <c r="F379" i="28" s="1"/>
  <c r="E271" i="28"/>
  <c r="F271" i="28" l="1"/>
  <c r="F273" i="28"/>
  <c r="E166" i="28" a="1"/>
  <c r="E165" i="28" a="1"/>
  <c r="E167" i="28" a="1"/>
  <c r="E168" i="28" a="1"/>
  <c r="E165" i="28" l="1"/>
  <c r="E168" i="28"/>
  <c r="F168" i="28" s="1"/>
  <c r="E167" i="28"/>
  <c r="F167" i="28" s="1"/>
  <c r="E166" i="28"/>
  <c r="F166" i="28" s="1"/>
  <c r="F165" i="28" l="1"/>
  <c r="E194" i="28" a="1"/>
  <c r="E486" i="28" a="1"/>
  <c r="E194" i="28" l="1"/>
  <c r="F194" i="28" s="1"/>
  <c r="E486" i="28"/>
  <c r="F486" i="28" s="1"/>
  <c r="E158" i="28" a="1"/>
  <c r="E158" i="28" l="1"/>
  <c r="F158" i="28" l="1"/>
  <c r="E350" i="28" a="1"/>
  <c r="E350" i="28" l="1"/>
  <c r="F350" i="28" s="1"/>
  <c r="E66" i="28" a="1"/>
  <c r="E66" i="28" l="1"/>
  <c r="F66" i="28" l="1"/>
  <c r="E128" i="28" a="1"/>
  <c r="E80" i="28" a="1"/>
  <c r="E438" i="28" a="1"/>
  <c r="E428" i="28" a="1"/>
  <c r="E140" i="28" a="1"/>
  <c r="E558" i="28" a="1"/>
  <c r="E425" i="28" a="1"/>
  <c r="E94" i="28" a="1"/>
  <c r="E17" i="28" a="1"/>
  <c r="E143" i="28" a="1"/>
  <c r="E455" i="28" a="1"/>
  <c r="E102" i="28" a="1"/>
  <c r="E445" i="28" a="1"/>
  <c r="E145" i="28" a="1"/>
  <c r="E123" i="28" a="1"/>
  <c r="E475" i="28" a="1"/>
  <c r="E435" i="28" a="1"/>
  <c r="E444" i="28" a="1"/>
  <c r="E129" i="28" a="1"/>
  <c r="E83" i="28" a="1"/>
  <c r="E154" i="28" a="1"/>
  <c r="E436" i="28" a="1"/>
  <c r="E432" i="28" a="1"/>
  <c r="E426" i="28" a="1"/>
  <c r="E442" i="28" a="1"/>
  <c r="E479" i="28" a="1"/>
  <c r="E484" i="28" a="1"/>
  <c r="E434" i="28" a="1"/>
  <c r="E11" i="28" a="1"/>
  <c r="E91" i="28" a="1"/>
  <c r="E410" i="28" a="1"/>
  <c r="E125" i="28" a="1"/>
  <c r="E142" i="28" a="1"/>
  <c r="E139" i="28" a="1"/>
  <c r="E40" i="28" a="1"/>
  <c r="E152" i="28" a="1"/>
  <c r="E126" i="28" a="1"/>
  <c r="E147" i="28" a="1"/>
  <c r="E431" i="28" a="1"/>
  <c r="E474" i="28" a="1"/>
  <c r="E415" i="28" a="1"/>
  <c r="E412" i="28" a="1"/>
  <c r="E480" i="28" a="1"/>
  <c r="E231" i="28" a="1"/>
  <c r="E353" i="28" a="1"/>
  <c r="E89" i="28" a="1"/>
  <c r="E226" i="28" a="1"/>
  <c r="E96" i="28" a="1"/>
  <c r="E439" i="28" a="1"/>
  <c r="E149" i="28" a="1"/>
  <c r="E101" i="28" a="1"/>
  <c r="E422" i="28" a="1"/>
  <c r="E138" i="28" a="1"/>
  <c r="E481" i="28" a="1"/>
  <c r="E79" i="28" a="1"/>
  <c r="E137" i="28" a="1"/>
  <c r="E437" i="28" a="1"/>
  <c r="E413" i="28" a="1"/>
  <c r="E488" i="28" a="1"/>
  <c r="E131" i="28" a="1"/>
  <c r="E443" i="28" a="1"/>
  <c r="E223" i="28" a="1"/>
  <c r="E122" i="28" a="1"/>
  <c r="E371" i="28" a="1"/>
  <c r="E153" i="28" a="1"/>
  <c r="E411" i="28" a="1"/>
  <c r="E124" i="28" a="1"/>
  <c r="E21" i="28" a="1"/>
  <c r="E225" i="28" a="1"/>
  <c r="E414" i="28" a="1"/>
  <c r="E433" i="28" a="1"/>
  <c r="E82" i="28" a="1"/>
  <c r="E81" i="28" a="1"/>
  <c r="E587" i="28" a="1"/>
  <c r="E429" i="28" a="1"/>
  <c r="E87" i="28" a="1"/>
  <c r="E151" i="28" a="1"/>
  <c r="E78" i="28" a="1"/>
  <c r="E421" i="28" a="1"/>
  <c r="E482" i="28" a="1"/>
  <c r="E441" i="28" a="1"/>
  <c r="E483" i="28" a="1"/>
  <c r="E430" i="28" a="1"/>
  <c r="E88" i="28" a="1"/>
  <c r="E427" i="28" a="1"/>
  <c r="E141" i="28" a="1"/>
  <c r="E146" i="28" a="1"/>
  <c r="E416" i="28" a="1"/>
  <c r="E92" i="28" a="1"/>
  <c r="E230" i="28" a="1"/>
  <c r="E148" i="28" a="1"/>
  <c r="E222" i="28" a="1"/>
  <c r="E228" i="28" a="1"/>
  <c r="E440" i="28" a="1"/>
  <c r="E93" i="28" a="1"/>
  <c r="E229" i="28" a="1"/>
  <c r="E419" i="28" a="1"/>
  <c r="E420" i="28" a="1"/>
  <c r="E408" i="28" a="1"/>
  <c r="E150" i="28" a="1"/>
  <c r="E41" i="28" a="1"/>
  <c r="E352" i="28" a="1"/>
  <c r="E144" i="28" a="1"/>
  <c r="E409" i="28" a="1"/>
  <c r="E221" i="28" a="1"/>
  <c r="E227" i="28" a="1"/>
  <c r="E130" i="28" a="1"/>
  <c r="E127" i="28" a="1"/>
  <c r="E39" i="28" a="1"/>
  <c r="E90" i="28" a="1"/>
  <c r="E95" i="28" a="1"/>
  <c r="E423" i="28" a="1"/>
  <c r="E587" i="28" l="1"/>
  <c r="F587" i="28" s="1"/>
  <c r="E222" i="28"/>
  <c r="F222" i="28" s="1"/>
  <c r="E94" i="28"/>
  <c r="F94" i="28" s="1"/>
  <c r="E124" i="28"/>
  <c r="F124" i="28" s="1"/>
  <c r="E125" i="28"/>
  <c r="F125" i="28" s="1"/>
  <c r="E149" i="28"/>
  <c r="F149" i="28" s="1"/>
  <c r="E229" i="28"/>
  <c r="F229" i="28" s="1"/>
  <c r="E230" i="28"/>
  <c r="F230" i="28" s="1"/>
  <c r="E426" i="28"/>
  <c r="F426" i="28" s="1"/>
  <c r="E474" i="28"/>
  <c r="F474" i="28" s="1"/>
  <c r="E371" i="28"/>
  <c r="F371" i="28" s="1"/>
  <c r="E412" i="28"/>
  <c r="F412" i="28" s="1"/>
  <c r="E488" i="28"/>
  <c r="F488" i="28" s="1"/>
  <c r="E438" i="28"/>
  <c r="F438" i="28" s="1"/>
  <c r="E79" i="28"/>
  <c r="F79" i="28" s="1"/>
  <c r="E137" i="28"/>
  <c r="F137" i="28" s="1"/>
  <c r="E414" i="28"/>
  <c r="F414" i="28" s="1"/>
  <c r="E439" i="28"/>
  <c r="F439" i="28" s="1"/>
  <c r="E87" i="28"/>
  <c r="F87" i="28" s="1"/>
  <c r="E127" i="28"/>
  <c r="F127" i="28" s="1"/>
  <c r="E142" i="28"/>
  <c r="F142" i="28" s="1"/>
  <c r="E154" i="28"/>
  <c r="F154" i="28" s="1"/>
  <c r="E126" i="28"/>
  <c r="F126" i="28" s="1"/>
  <c r="E153" i="28"/>
  <c r="F153" i="28" s="1"/>
  <c r="E231" i="28"/>
  <c r="F231" i="28" s="1"/>
  <c r="E427" i="28"/>
  <c r="F427" i="28" s="1"/>
  <c r="E475" i="28"/>
  <c r="F475" i="28" s="1"/>
  <c r="E428" i="28"/>
  <c r="F428" i="28" s="1"/>
  <c r="E410" i="28"/>
  <c r="F410" i="28" s="1"/>
  <c r="E420" i="28"/>
  <c r="F420" i="28" s="1"/>
  <c r="E95" i="28"/>
  <c r="F95" i="28" s="1"/>
  <c r="E228" i="28"/>
  <c r="F228" i="28" s="1"/>
  <c r="E425" i="28"/>
  <c r="F425" i="28" s="1"/>
  <c r="E221" i="28"/>
  <c r="F221" i="28" s="1"/>
  <c r="E415" i="28"/>
  <c r="F415" i="28" s="1"/>
  <c r="E440" i="28"/>
  <c r="F440" i="28" s="1"/>
  <c r="E558" i="28"/>
  <c r="F558" i="28" s="1"/>
  <c r="E88" i="28"/>
  <c r="F88" i="28" s="1"/>
  <c r="E144" i="28"/>
  <c r="F144" i="28" s="1"/>
  <c r="E442" i="28"/>
  <c r="F442" i="28" s="1"/>
  <c r="E431" i="28"/>
  <c r="F431" i="28" s="1"/>
  <c r="E480" i="28"/>
  <c r="F480" i="28" s="1"/>
  <c r="E441" i="28"/>
  <c r="F441" i="28" s="1"/>
  <c r="E17" i="28"/>
  <c r="F17" i="28" s="1"/>
  <c r="E147" i="28"/>
  <c r="F147" i="28" s="1"/>
  <c r="E430" i="28"/>
  <c r="F430" i="28" s="1"/>
  <c r="E150" i="28"/>
  <c r="F150" i="28" s="1"/>
  <c r="E437" i="28"/>
  <c r="F437" i="28" s="1"/>
  <c r="E416" i="28"/>
  <c r="F416" i="28" s="1"/>
  <c r="E443" i="28"/>
  <c r="F443" i="28" s="1"/>
  <c r="E11" i="28"/>
  <c r="F11" i="28" s="1"/>
  <c r="E89" i="28"/>
  <c r="F89" i="28" s="1"/>
  <c r="E352" i="28"/>
  <c r="F352" i="28" s="1"/>
  <c r="E78" i="28"/>
  <c r="F78" i="28" s="1"/>
  <c r="E102" i="28"/>
  <c r="F102" i="28" s="1"/>
  <c r="E227" i="28"/>
  <c r="F227" i="28" s="1"/>
  <c r="E408" i="28"/>
  <c r="F408" i="28" s="1"/>
  <c r="E225" i="28"/>
  <c r="F225" i="28" s="1"/>
  <c r="E411" i="28"/>
  <c r="F411" i="28" s="1"/>
  <c r="E444" i="28"/>
  <c r="F444" i="28" s="1"/>
  <c r="E479" i="28"/>
  <c r="F479" i="28" s="1"/>
  <c r="E419" i="28"/>
  <c r="F419" i="28" s="1"/>
  <c r="E90" i="28"/>
  <c r="F90" i="28" s="1"/>
  <c r="E138" i="28"/>
  <c r="F138" i="28" s="1"/>
  <c r="E433" i="28"/>
  <c r="F433" i="28" s="1"/>
  <c r="E139" i="28"/>
  <c r="F139" i="28" s="1"/>
  <c r="E130" i="28"/>
  <c r="F130" i="28" s="1"/>
  <c r="E432" i="28"/>
  <c r="F432" i="28" s="1"/>
  <c r="E39" i="28"/>
  <c r="F39" i="28" s="1"/>
  <c r="E91" i="28"/>
  <c r="F91" i="28" s="1"/>
  <c r="E143" i="28"/>
  <c r="F143" i="28" s="1"/>
  <c r="E148" i="28"/>
  <c r="F148" i="28" s="1"/>
  <c r="E81" i="28"/>
  <c r="F81" i="28" s="1"/>
  <c r="E151" i="28"/>
  <c r="F151" i="28" s="1"/>
  <c r="E223" i="28"/>
  <c r="F223" i="28" s="1"/>
  <c r="E226" i="28"/>
  <c r="F226" i="28" s="1"/>
  <c r="E353" i="28"/>
  <c r="F353" i="28" s="1"/>
  <c r="E434" i="28"/>
  <c r="F434" i="28" s="1"/>
  <c r="E445" i="28"/>
  <c r="F445" i="28" s="1"/>
  <c r="E482" i="28"/>
  <c r="F482" i="28" s="1"/>
  <c r="E429" i="28"/>
  <c r="F429" i="28" s="1"/>
  <c r="E129" i="28"/>
  <c r="F129" i="28" s="1"/>
  <c r="E80" i="28"/>
  <c r="F80" i="28" s="1"/>
  <c r="E82" i="28"/>
  <c r="F82" i="28" s="1"/>
  <c r="E413" i="28"/>
  <c r="F413" i="28" s="1"/>
  <c r="E92" i="28"/>
  <c r="F92" i="28" s="1"/>
  <c r="E145" i="28"/>
  <c r="F145" i="28" s="1"/>
  <c r="E421" i="28"/>
  <c r="F421" i="28" s="1"/>
  <c r="E40" i="28"/>
  <c r="F40" i="28" s="1"/>
  <c r="E123" i="28"/>
  <c r="F123" i="28" s="1"/>
  <c r="E146" i="28"/>
  <c r="F146" i="28" s="1"/>
  <c r="E101" i="28"/>
  <c r="F101" i="28" s="1"/>
  <c r="E422" i="28"/>
  <c r="F422" i="28" s="1"/>
  <c r="E483" i="28"/>
  <c r="F483" i="28" s="1"/>
  <c r="E409" i="28"/>
  <c r="F409" i="28" s="1"/>
  <c r="E128" i="28"/>
  <c r="F128" i="28" s="1"/>
  <c r="E140" i="28"/>
  <c r="F140" i="28" s="1"/>
  <c r="E83" i="28"/>
  <c r="F83" i="28" s="1"/>
  <c r="E481" i="28"/>
  <c r="F481" i="28" s="1"/>
  <c r="E435" i="28"/>
  <c r="F435" i="28" s="1"/>
  <c r="E41" i="28"/>
  <c r="F41" i="28" s="1"/>
  <c r="E131" i="28"/>
  <c r="F131" i="28" s="1"/>
  <c r="E122" i="28"/>
  <c r="F122" i="28" s="1"/>
  <c r="E96" i="28"/>
  <c r="F96" i="28" s="1"/>
  <c r="E423" i="28"/>
  <c r="F423" i="28" s="1"/>
  <c r="E436" i="28"/>
  <c r="F436" i="28" s="1"/>
  <c r="E93" i="28"/>
  <c r="F93" i="28" s="1"/>
  <c r="E484" i="28"/>
  <c r="F484" i="28" s="1"/>
  <c r="E455" i="28"/>
  <c r="F455" i="28" s="1"/>
  <c r="E141" i="28"/>
  <c r="F141" i="28" s="1"/>
  <c r="E152" i="28"/>
  <c r="F152" i="28" s="1"/>
  <c r="E21" i="28"/>
  <c r="F21" i="28" s="1"/>
  <c r="E99" i="28" a="1"/>
  <c r="E98" i="28" a="1"/>
  <c r="E224" i="28" a="1"/>
  <c r="E100" i="28" a="1"/>
  <c r="E220" i="28" a="1"/>
  <c r="E424" i="28" a="1"/>
  <c r="E219" i="28" a="1"/>
  <c r="E97" i="28" a="1"/>
  <c r="E424" i="28" l="1"/>
  <c r="F424" i="28" s="1"/>
  <c r="E219" i="28"/>
  <c r="F219" i="28" s="1"/>
  <c r="E100" i="28"/>
  <c r="F100" i="28" s="1"/>
  <c r="E99" i="28"/>
  <c r="F99" i="28" s="1"/>
  <c r="E220" i="28"/>
  <c r="F220" i="28" s="1"/>
  <c r="E224" i="28"/>
  <c r="F224" i="28" s="1"/>
  <c r="E98" i="28"/>
  <c r="F98" i="28" s="1"/>
  <c r="E97" i="28"/>
  <c r="F97" i="28" l="1"/>
  <c r="E275" i="28" a="1"/>
  <c r="E341" i="28" a="1"/>
  <c r="E259" i="28" a="1"/>
  <c r="E341" i="28" l="1"/>
  <c r="F341" i="28" s="1"/>
  <c r="E259" i="28"/>
  <c r="F259" i="28" s="1"/>
  <c r="E275" i="28"/>
  <c r="F275" i="28" s="1"/>
  <c r="E588" i="28" a="1"/>
  <c r="E588" i="28" l="1"/>
  <c r="F588" i="28" l="1"/>
  <c r="E610" i="28" a="1"/>
  <c r="E610" i="28" l="1"/>
  <c r="F610" i="28" s="1"/>
  <c r="E386" i="28" a="1"/>
  <c r="E386" i="28" l="1"/>
  <c r="F386" i="28" s="1"/>
  <c r="E402" i="28" a="1"/>
  <c r="E402" i="28" l="1"/>
  <c r="F402" i="28" s="1"/>
  <c r="E293" i="28" a="1"/>
  <c r="E298" i="28" a="1"/>
  <c r="E299" i="28" a="1"/>
  <c r="E299" i="28" l="1"/>
  <c r="F299" i="28" s="1"/>
  <c r="E293" i="28"/>
  <c r="F293" i="28" s="1"/>
  <c r="E298" i="28"/>
  <c r="F298" i="28" s="1"/>
  <c r="E575" i="28" a="1"/>
  <c r="E575" i="28" l="1"/>
  <c r="F575" i="28" l="1"/>
  <c r="E584" i="28" a="1"/>
  <c r="E517" i="28" a="1"/>
  <c r="E585" i="28" a="1"/>
  <c r="E584" i="28" l="1"/>
  <c r="F584" i="28" s="1"/>
  <c r="E585" i="28"/>
  <c r="F585" i="28" s="1"/>
  <c r="E517" i="28"/>
  <c r="F517" i="28" s="1"/>
  <c r="E556" i="28" a="1"/>
  <c r="E250" i="28" a="1"/>
  <c r="E556" i="28" l="1"/>
  <c r="F556" i="28" s="1"/>
  <c r="E250" i="28"/>
  <c r="E252" i="28" a="1"/>
  <c r="F250" i="28" l="1"/>
  <c r="E252" i="28"/>
  <c r="F252" i="28" s="1"/>
  <c r="E251" i="28" a="1"/>
  <c r="E251" i="28" l="1"/>
  <c r="F251" i="28" s="1"/>
  <c r="E452" i="28" a="1"/>
  <c r="E452" i="28" l="1"/>
  <c r="F452" i="28" l="1"/>
  <c r="E232" i="28" a="1"/>
  <c r="E348" i="28" a="1"/>
  <c r="E527" i="28" a="1"/>
  <c r="E234" i="28" a="1"/>
  <c r="E349" i="28" a="1"/>
  <c r="E233" i="28" a="1"/>
  <c r="E349" i="28" l="1"/>
  <c r="F349" i="28" s="1"/>
  <c r="E232" i="28"/>
  <c r="F232" i="28" s="1"/>
  <c r="E234" i="28"/>
  <c r="F234" i="28" s="1"/>
  <c r="E348" i="28"/>
  <c r="F348" i="28" s="1"/>
  <c r="E233" i="28"/>
  <c r="F233" i="28" s="1"/>
  <c r="E527" i="28"/>
  <c r="F527" i="28" s="1"/>
  <c r="E523" i="28" a="1"/>
  <c r="E523" i="28" l="1"/>
  <c r="F523" i="28" s="1"/>
  <c r="E257" i="28" a="1"/>
  <c r="E541" i="28" a="1"/>
  <c r="E541" i="28" l="1"/>
  <c r="F541" i="28" s="1"/>
  <c r="E257" i="28"/>
  <c r="V3" i="28" s="1"/>
  <c r="U3" i="28" l="1"/>
  <c r="F257" i="2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<sst xmlns="http://schemas.openxmlformats.org/spreadsheetml/2006/main" count="21198" uniqueCount="3391">
  <si>
    <t>NuLine Manufacturing Inc.</t>
  </si>
  <si>
    <t>BILL OF MATERIALS</t>
  </si>
  <si>
    <t>Assy DWG No.</t>
  </si>
  <si>
    <t>Job Number</t>
  </si>
  <si>
    <t>Drawn By:</t>
  </si>
  <si>
    <t>GH</t>
  </si>
  <si>
    <t>Date:</t>
  </si>
  <si>
    <t>DWG Tile</t>
  </si>
  <si>
    <t>2-UP BAG MACHINE</t>
  </si>
  <si>
    <t>Customer</t>
  </si>
  <si>
    <t>ENTEGRIS</t>
  </si>
  <si>
    <t>Checked By:</t>
  </si>
  <si>
    <t>Item</t>
  </si>
  <si>
    <t>Qty</t>
  </si>
  <si>
    <t>Part Number/Rev</t>
  </si>
  <si>
    <t>Description</t>
  </si>
  <si>
    <t>Mfg/Matl</t>
  </si>
  <si>
    <t>Vendor</t>
  </si>
  <si>
    <t>Notes</t>
  </si>
  <si>
    <t>Out for Quote</t>
  </si>
  <si>
    <t>Order Date</t>
  </si>
  <si>
    <t>Req Date</t>
  </si>
  <si>
    <t>PO No.</t>
  </si>
  <si>
    <t>Material Cost</t>
  </si>
  <si>
    <t>Machining Cost</t>
  </si>
  <si>
    <t>Coating Cost</t>
  </si>
  <si>
    <t>Price Ea</t>
  </si>
  <si>
    <t>Price Total</t>
  </si>
  <si>
    <t>Overhead</t>
  </si>
  <si>
    <t>NuLine Shop Assembly Labor</t>
  </si>
  <si>
    <t>NuLine Machining Labor</t>
  </si>
  <si>
    <t>NuLine Engineering Labor</t>
  </si>
  <si>
    <t>Contract Electrical Engineering Labor (CRAVE)</t>
  </si>
  <si>
    <t>Contract Safety Audit Labor (CRAVE)</t>
  </si>
  <si>
    <t>Contract User Manual Writing Labor (CRAVE)</t>
  </si>
  <si>
    <t>Contract Local Programming Labor (CRAVE)</t>
  </si>
  <si>
    <t>Contract Local Programming Labor (AAP)</t>
  </si>
  <si>
    <t>Contract Field Programming Labor (Crave)</t>
  </si>
  <si>
    <t>Contract Field Programming Labor (AAP)</t>
  </si>
  <si>
    <t>CE Certification</t>
  </si>
  <si>
    <t>Freight, 2.2% of total parts received</t>
  </si>
  <si>
    <t>GF12.000.00.A</t>
  </si>
  <si>
    <t>Misc</t>
  </si>
  <si>
    <t>Total Cost</t>
  </si>
  <si>
    <t>Cost</t>
  </si>
  <si>
    <t>Margin</t>
  </si>
  <si>
    <t>Sale Price</t>
  </si>
  <si>
    <t>Profit</t>
  </si>
  <si>
    <t>Assy DWG No</t>
  </si>
  <si>
    <t xml:space="preserve">Quantity to Build: </t>
  </si>
  <si>
    <t>Assembly</t>
  </si>
  <si>
    <t>Out to Quote</t>
  </si>
  <si>
    <t>Conf Date</t>
  </si>
  <si>
    <t>Total Qty</t>
  </si>
  <si>
    <t>A</t>
  </si>
  <si>
    <t>GF12.100.00.A</t>
  </si>
  <si>
    <t>B</t>
  </si>
  <si>
    <t>GF12.200.00.A</t>
  </si>
  <si>
    <t>C</t>
  </si>
  <si>
    <t>GF12.300.00.A</t>
  </si>
  <si>
    <t>D</t>
  </si>
  <si>
    <t>GF12.400.00.A</t>
  </si>
  <si>
    <t>E</t>
  </si>
  <si>
    <t>GF12.500.00.A</t>
  </si>
  <si>
    <t>F</t>
  </si>
  <si>
    <t>GF12.600.00.A</t>
  </si>
  <si>
    <t>G</t>
  </si>
  <si>
    <t>GF12.700.00.A</t>
  </si>
  <si>
    <t>H</t>
  </si>
  <si>
    <t>GF12.800.00.A</t>
  </si>
  <si>
    <t>001283</t>
  </si>
  <si>
    <t>001526</t>
  </si>
  <si>
    <t>R911306775</t>
  </si>
  <si>
    <t>R911370638</t>
  </si>
  <si>
    <t>R911172543</t>
  </si>
  <si>
    <t>R911173397</t>
  </si>
  <si>
    <t>SCE-60XEL6124LP</t>
  </si>
  <si>
    <t>SCE-60P60GALV</t>
  </si>
  <si>
    <t>SCE-LF24NO</t>
  </si>
  <si>
    <t>SCE-N12FA10HF-230</t>
  </si>
  <si>
    <t>SCE-N12FGA1010</t>
  </si>
  <si>
    <t>FN3025 HL-10-71</t>
  </si>
  <si>
    <t>FN3025 HL-30-71</t>
  </si>
  <si>
    <t>TBL5ICPS</t>
  </si>
  <si>
    <t>ZP-PGA-32-201</t>
  </si>
  <si>
    <t>S-20-DI-16/1</t>
  </si>
  <si>
    <t>S-20-DO-16/1</t>
  </si>
  <si>
    <t>XFE01.1-FB-03</t>
  </si>
  <si>
    <t>LP-CC-30</t>
  </si>
  <si>
    <t>C383FHCC</t>
  </si>
  <si>
    <t>SG3A0015KB</t>
  </si>
  <si>
    <t>VS-AVT-C08-L10</t>
  </si>
  <si>
    <t>QY-1-(13)-DM-U2-02-B0</t>
  </si>
  <si>
    <t>QY-1-(13)-DM-U2-04-B0</t>
  </si>
  <si>
    <t>QY-1-(13)-DM-U2-07-B0</t>
  </si>
  <si>
    <t>QY-1-(13)-DM-U2-10-B0</t>
  </si>
  <si>
    <t>C0500E3A</t>
  </si>
  <si>
    <t>FSK6</t>
  </si>
  <si>
    <t>CHDB3213</t>
  </si>
  <si>
    <t>CHCPDB-3</t>
  </si>
  <si>
    <t>CHDB330F</t>
  </si>
  <si>
    <t>R9K3100FJ</t>
  </si>
  <si>
    <t>FHS</t>
  </si>
  <si>
    <t>RFM1</t>
  </si>
  <si>
    <t>LPJ-80SP</t>
  </si>
  <si>
    <t>XRU2D24</t>
  </si>
  <si>
    <t>XTCE009B01TD</t>
  </si>
  <si>
    <t>XTCE018C01TD</t>
  </si>
  <si>
    <t>0626042463</t>
  </si>
  <si>
    <t>0627050163</t>
  </si>
  <si>
    <t>0628038163</t>
  </si>
  <si>
    <t>0628039463</t>
  </si>
  <si>
    <t>0628039763</t>
  </si>
  <si>
    <t>0628039863</t>
  </si>
  <si>
    <t>0628040763</t>
  </si>
  <si>
    <t>0628046963</t>
  </si>
  <si>
    <t>0628047263</t>
  </si>
  <si>
    <t>AJT20</t>
  </si>
  <si>
    <t>US3J3</t>
  </si>
  <si>
    <t>F2X4LG6</t>
  </si>
  <si>
    <t xml:space="preserve">	C2LG6</t>
  </si>
  <si>
    <t>F3X4LG6 A</t>
  </si>
  <si>
    <t>F3X4LG6 B</t>
  </si>
  <si>
    <t>F3X4WH6</t>
  </si>
  <si>
    <t>C3LG6</t>
  </si>
  <si>
    <t>GF12.001.00.9</t>
  </si>
  <si>
    <t>111010-02</t>
  </si>
  <si>
    <t>6045315</t>
  </si>
  <si>
    <t>TRDT3.2-B-5-L10</t>
  </si>
  <si>
    <t>AVT-INDICATOR MODULE</t>
  </si>
  <si>
    <t>E3447-JF</t>
  </si>
  <si>
    <t>GF12.001.00.11</t>
  </si>
  <si>
    <t>SCE-30EL2416LPPL</t>
  </si>
  <si>
    <t>SCE-30P24GALV</t>
  </si>
  <si>
    <t>64580075</t>
  </si>
  <si>
    <t>64080000</t>
  </si>
  <si>
    <t>64110000</t>
  </si>
  <si>
    <t>64120000</t>
  </si>
  <si>
    <t>64130000</t>
  </si>
  <si>
    <t>95584035</t>
  </si>
  <si>
    <t>ARIO-C-EI</t>
  </si>
  <si>
    <t>ARIO-S-DI08P</t>
  </si>
  <si>
    <t>ARIO-S-DO08P</t>
  </si>
  <si>
    <t>ARIO-P-F1</t>
  </si>
  <si>
    <t>ARIO-S-AI04V1</t>
  </si>
  <si>
    <t>ARIO-S-AO02VS</t>
  </si>
  <si>
    <t>F1X3WH6</t>
  </si>
  <si>
    <t>C1LG6</t>
  </si>
  <si>
    <t>FN 3025 HL-10-71</t>
  </si>
  <si>
    <t>GF12.002.00.8</t>
  </si>
  <si>
    <t>QY-1-(13)-DM-U2-08-B0</t>
  </si>
  <si>
    <t>D3RF3T1</t>
  </si>
  <si>
    <t>D3PA7</t>
  </si>
  <si>
    <t>PQC-1351</t>
  </si>
  <si>
    <t>MOD-AD250</t>
  </si>
  <si>
    <t>M22-DL-G-K10-G</t>
  </si>
  <si>
    <t>M22-DL-R-K01-R</t>
  </si>
  <si>
    <t>R4H3030FCC</t>
  </si>
  <si>
    <t>SF400PH5X5</t>
  </si>
  <si>
    <t>NFPA79H</t>
  </si>
  <si>
    <t>LP-CC-6</t>
  </si>
  <si>
    <t>PHB1N12F</t>
  </si>
  <si>
    <t>XTCE015B01TD</t>
  </si>
  <si>
    <t>EX715U5P1</t>
  </si>
  <si>
    <t>0626050563</t>
  </si>
  <si>
    <t>ECINSGB14</t>
  </si>
  <si>
    <t>1594 CYCLE START</t>
  </si>
  <si>
    <t>1594 CYCLE STOP</t>
  </si>
  <si>
    <t>END_MODULE</t>
  </si>
  <si>
    <t>SY50M-1-11A1-C10</t>
  </si>
  <si>
    <t>SY50M-2-1DA-C8</t>
  </si>
  <si>
    <t>SY5400-5U1-NA</t>
  </si>
  <si>
    <t>SY5300-5U1</t>
  </si>
  <si>
    <t>SY50M-38-1A-C8</t>
  </si>
  <si>
    <t>SV2000-55-1-11</t>
  </si>
  <si>
    <t>VVQ2000-51A-C10</t>
  </si>
  <si>
    <t>SY50M-3-1AS-N11-D0</t>
  </si>
  <si>
    <t>SY50M-4-1A</t>
  </si>
  <si>
    <t>SCE-L9308ELJW</t>
  </si>
  <si>
    <t>SCE-9P30LGALV</t>
  </si>
  <si>
    <t>ARIO-S-AI04TC</t>
  </si>
  <si>
    <t>GF12.003.00.3</t>
  </si>
  <si>
    <t>ITV2050-312N4</t>
  </si>
  <si>
    <t>AXT100-DS25-030</t>
  </si>
  <si>
    <t>7000-12221-6340500</t>
  </si>
  <si>
    <t>KQ2L08-U02A</t>
  </si>
  <si>
    <t>KQ2L04-M5A</t>
  </si>
  <si>
    <t>SRH1-1410-N</t>
  </si>
  <si>
    <t>R5A3030U</t>
  </si>
  <si>
    <t>SF200SH5X5</t>
  </si>
  <si>
    <t>KTK-R-10</t>
  </si>
  <si>
    <t>AC1NONC</t>
  </si>
  <si>
    <t>PEMR5A</t>
  </si>
  <si>
    <t>TS3R5A</t>
  </si>
  <si>
    <t>614NHH</t>
  </si>
  <si>
    <t>ME000220</t>
  </si>
  <si>
    <t>SHR00N12</t>
  </si>
  <si>
    <t>GF12.004.00.5</t>
  </si>
  <si>
    <t>GF12.004.00.6</t>
  </si>
  <si>
    <t>GF12.005.00.5</t>
  </si>
  <si>
    <t>SY5100-5U1</t>
  </si>
  <si>
    <t>SCE-24EL2412LPPL</t>
  </si>
  <si>
    <t>SCE-24P24GALV</t>
  </si>
  <si>
    <t>0627056863</t>
  </si>
  <si>
    <t>GF12.007.00.4</t>
  </si>
  <si>
    <t>GF12.008.00.4</t>
  </si>
  <si>
    <t>SCE-16HMI2006LP</t>
  </si>
  <si>
    <t>SCE-AUHK</t>
  </si>
  <si>
    <t>M22-DL-B</t>
  </si>
  <si>
    <t>M22-K10</t>
  </si>
  <si>
    <t>M22-LED-B</t>
  </si>
  <si>
    <t>97584085</t>
  </si>
  <si>
    <t>1594-CYCLE START</t>
  </si>
  <si>
    <t>1594-CYCLE STOP</t>
  </si>
  <si>
    <t>1594-RESET</t>
  </si>
  <si>
    <t>GF12.009.00.2</t>
  </si>
  <si>
    <t>GF12.110.00.A</t>
  </si>
  <si>
    <t>GF12.120.00.A</t>
  </si>
  <si>
    <t>GF12.130.00.A</t>
  </si>
  <si>
    <t>GF12.140.00.A</t>
  </si>
  <si>
    <t>GF12.150.00.A</t>
  </si>
  <si>
    <t>GF12.160.00.A</t>
  </si>
  <si>
    <t>GF12.170.00.A</t>
  </si>
  <si>
    <t>GF12.180.00.A</t>
  </si>
  <si>
    <t>I</t>
  </si>
  <si>
    <t>GF12.001.00.A</t>
  </si>
  <si>
    <t>GF12.111.00.A</t>
  </si>
  <si>
    <t>GF12.112.00.A</t>
  </si>
  <si>
    <t>GF12.113.00.A</t>
  </si>
  <si>
    <t>GF12.114.00.A</t>
  </si>
  <si>
    <t>GF12.115.00.A</t>
  </si>
  <si>
    <t>GF12.116.00.A</t>
  </si>
  <si>
    <t>GF12.117.00.A</t>
  </si>
  <si>
    <t>GF12.118.00.A</t>
  </si>
  <si>
    <t>GF12.119.00.A</t>
  </si>
  <si>
    <t>J</t>
  </si>
  <si>
    <t>GF12.214.00.A</t>
  </si>
  <si>
    <t>K</t>
  </si>
  <si>
    <t>GF12.219.00.A</t>
  </si>
  <si>
    <t>L</t>
  </si>
  <si>
    <t>GF12.472.00.A</t>
  </si>
  <si>
    <t>GF12.110.01.A</t>
  </si>
  <si>
    <t>GF12.110.02.A</t>
  </si>
  <si>
    <t>3842535466</t>
  </si>
  <si>
    <t>3842535458</t>
  </si>
  <si>
    <t>3842548758</t>
  </si>
  <si>
    <t>90X90, D17|D17, 1680MM</t>
  </si>
  <si>
    <t>90X90, D17|D17, 735MM</t>
  </si>
  <si>
    <t>45X90, D17|D17, 616MM</t>
  </si>
  <si>
    <t>45X90, D17|D17, 370MM</t>
  </si>
  <si>
    <t>45X45, D17|D17, 1752.06MM</t>
  </si>
  <si>
    <t>90X90, -|-, 3936MM</t>
  </si>
  <si>
    <t>90X90, -|-, 3282.92MM</t>
  </si>
  <si>
    <t>90X90, D17|-, 197.5MM</t>
  </si>
  <si>
    <t>GF12.111.01.A</t>
  </si>
  <si>
    <t>406936</t>
  </si>
  <si>
    <t>3842530287</t>
  </si>
  <si>
    <t xml:space="preserve">M8 X 1.25 X 20 HEX SHCS, </t>
  </si>
  <si>
    <t>GF12.112.01.A</t>
  </si>
  <si>
    <t xml:space="preserve">M8 X 1.25 X 20 SOCKET FCHS, </t>
  </si>
  <si>
    <t>GF12.113.01.A</t>
  </si>
  <si>
    <t>R164510341 L-1740mm T-30mm</t>
  </si>
  <si>
    <t>3842530285</t>
  </si>
  <si>
    <t>91595A640</t>
  </si>
  <si>
    <t>LRGEA2.0Z-860-K7-B120</t>
  </si>
  <si>
    <t xml:space="preserve">M4 X 0.7 X 20 HEX SHCS, </t>
  </si>
  <si>
    <t xml:space="preserve">M6 X 1.0 X 12 HEX SHCS, </t>
  </si>
  <si>
    <t xml:space="preserve">M6 X 1.0 X 20 HEX SHCS, </t>
  </si>
  <si>
    <t>GF12.114.01.A</t>
  </si>
  <si>
    <t>R164510341 L-680mm T-10mm</t>
  </si>
  <si>
    <t>LRGEA2.0Z-500-K4-B120</t>
  </si>
  <si>
    <t>GF12.115.01.B</t>
  </si>
  <si>
    <t>GF12.116.01.A</t>
  </si>
  <si>
    <t>GF12.116.02.A</t>
  </si>
  <si>
    <t>GF12.116.03.A</t>
  </si>
  <si>
    <t>GF12.116.04.A</t>
  </si>
  <si>
    <t>GF12.116.05.A</t>
  </si>
  <si>
    <t>7612DLG</t>
  </si>
  <si>
    <t xml:space="preserve">M6 X 1.0 X 16 HEX SHCS, </t>
  </si>
  <si>
    <t>GF12.117.01.A</t>
  </si>
  <si>
    <t>3842528718</t>
  </si>
  <si>
    <t>M8 X 1.25, Hex Flange Nut</t>
  </si>
  <si>
    <t>GF12.118.01.A</t>
  </si>
  <si>
    <t>1023N17</t>
  </si>
  <si>
    <t>9835K43</t>
  </si>
  <si>
    <t>KQ2H10-U02A</t>
  </si>
  <si>
    <t>3842530283</t>
  </si>
  <si>
    <t xml:space="preserve">M5 X 0.8 X 16 SBHCS, </t>
  </si>
  <si>
    <t xml:space="preserve">M5 X 0.8 X 40 HEX SHCS, </t>
  </si>
  <si>
    <t xml:space="preserve">PLAIN WASHER, 5 mm, NARROW, </t>
  </si>
  <si>
    <t>KQ2H08-U02A</t>
  </si>
  <si>
    <t>GF12.121.00.A</t>
  </si>
  <si>
    <t>GF12.122.00.A</t>
  </si>
  <si>
    <t>GF12.123.00.A</t>
  </si>
  <si>
    <t>GF12.124.00.A</t>
  </si>
  <si>
    <t>GF12.125.00.A</t>
  </si>
  <si>
    <t>GF12.126.00.A</t>
  </si>
  <si>
    <t>GF12.127.00.A</t>
  </si>
  <si>
    <t>GF12.128.00.A</t>
  </si>
  <si>
    <t>GF12.009.00.A</t>
  </si>
  <si>
    <t>GF12.120.01.B</t>
  </si>
  <si>
    <t>GF12.120.02.C</t>
  </si>
  <si>
    <t>GF12.120.03.B</t>
  </si>
  <si>
    <t>GF12.120.04.A</t>
  </si>
  <si>
    <t>GF12.120.05.A</t>
  </si>
  <si>
    <t>GF12.120.06.A</t>
  </si>
  <si>
    <t>GF12.150.08.A</t>
  </si>
  <si>
    <t xml:space="preserve">94708A213 </t>
  </si>
  <si>
    <t>94669A177</t>
  </si>
  <si>
    <t>3842548840</t>
  </si>
  <si>
    <t>3842548752</t>
  </si>
  <si>
    <t xml:space="preserve">M5 X 0.8 X 20 SBHCS, </t>
  </si>
  <si>
    <t xml:space="preserve">M5 X 0.8 X 30 SBHCS, </t>
  </si>
  <si>
    <t>45X45, D17|D17, 1730MM</t>
  </si>
  <si>
    <t>45X45, D17|D17, 2212.06MM</t>
  </si>
  <si>
    <t>45X90, D17|D17, 1230MM</t>
  </si>
  <si>
    <t>45X90, D17|D17, 1294MM</t>
  </si>
  <si>
    <t>90X90, D17|D17, 1294MM</t>
  </si>
  <si>
    <t>45X90, D17|D17, 801.46MM</t>
  </si>
  <si>
    <t>45X90,D17|D17, 1730MM</t>
  </si>
  <si>
    <t>45X90, D17|D17, 2212.06MM</t>
  </si>
  <si>
    <t>45x45 D17ID17,1679.0MM</t>
  </si>
  <si>
    <t>45X90, D17|D17, 1679.0MM</t>
  </si>
  <si>
    <t>45x45 D17|- 108.0MM</t>
  </si>
  <si>
    <t>GF12.121.01.A</t>
  </si>
  <si>
    <t>3842530281</t>
  </si>
  <si>
    <t>GS-M51P</t>
  </si>
  <si>
    <t>GS-MA5M</t>
  </si>
  <si>
    <t>GS-P8LC1</t>
  </si>
  <si>
    <t>GS-P8C10</t>
  </si>
  <si>
    <t>1 assy doesnt get 307/308</t>
  </si>
  <si>
    <t>GS-P8CC5</t>
  </si>
  <si>
    <t>9 assys get 307, not 308</t>
  </si>
  <si>
    <t>GS-P8CC1</t>
  </si>
  <si>
    <t>4 assys get 308, not 307</t>
  </si>
  <si>
    <t>M4 X 0.7 X 20 SOCKET FCHS</t>
  </si>
  <si>
    <t xml:space="preserve">M4 X 0.7 X 16 SBHCS, </t>
  </si>
  <si>
    <t xml:space="preserve">PLAIN WASHER, 4 mm, NARROW, </t>
  </si>
  <si>
    <t>GF12.122.01.A</t>
  </si>
  <si>
    <t>THCSNSNSSELEBP1PGEMQ9</t>
  </si>
  <si>
    <t>CABLE-20M-TQ9</t>
  </si>
  <si>
    <t>TKS</t>
  </si>
  <si>
    <t xml:space="preserve">M6 X 1.0 X 16 SBHCS, </t>
  </si>
  <si>
    <t xml:space="preserve">M5 X 0.8 X 45 HEX SHCS, </t>
  </si>
  <si>
    <t xml:space="preserve">PLAIN WASHER, 6 mm, REGULAR, </t>
  </si>
  <si>
    <t>GF12.123.01.A</t>
  </si>
  <si>
    <t>SCE-SA20TC</t>
  </si>
  <si>
    <t>SCE-SA30TC</t>
  </si>
  <si>
    <t>SCE-SA360C</t>
  </si>
  <si>
    <t>SCE-SA310TMJ</t>
  </si>
  <si>
    <t>SCE-SA90A</t>
  </si>
  <si>
    <t xml:space="preserve">M8 X 1.25 X 25 SOCKET FCHS, </t>
  </si>
  <si>
    <t xml:space="preserve">PLAIN WASHER, 10 mm, NARROW, </t>
  </si>
  <si>
    <t xml:space="preserve">M10 X 1.5 X 30 HEX SHCS, </t>
  </si>
  <si>
    <t>GF12.124.01.A</t>
  </si>
  <si>
    <t>GF12.124.02.A</t>
  </si>
  <si>
    <t>GF12.124.03.A</t>
  </si>
  <si>
    <t>GF12.124.04.A</t>
  </si>
  <si>
    <t>GF12.124.05.A</t>
  </si>
  <si>
    <t>260411-C1</t>
  </si>
  <si>
    <t>3842516715</t>
  </si>
  <si>
    <t>M4 X 0.7 X 16 SOCKET FCHS</t>
  </si>
  <si>
    <t xml:space="preserve">M8 X 1.25 X 30 HEX SHCS, </t>
  </si>
  <si>
    <t>45x45 D17ID17,924MM</t>
  </si>
  <si>
    <t>45x45 -I-,1076MM</t>
  </si>
  <si>
    <t>45x45 -I-,1121MM</t>
  </si>
  <si>
    <t>45x45 D17ID17,1192MM</t>
  </si>
  <si>
    <t>GF12.125.02.A</t>
  </si>
  <si>
    <t>GF12.125.03.A</t>
  </si>
  <si>
    <t>45x45 D17ID17,1075MM</t>
  </si>
  <si>
    <t>45x45 -I- ,792MM</t>
  </si>
  <si>
    <t>GF12.126.02.A</t>
  </si>
  <si>
    <t>GF12.126.03.A</t>
  </si>
  <si>
    <t>GF12.126.04.A</t>
  </si>
  <si>
    <t>GF12.126.05.A</t>
  </si>
  <si>
    <t>45x45 -I-,585MM</t>
  </si>
  <si>
    <t>45x45 -I-,630MM</t>
  </si>
  <si>
    <t>GF12.127.02.A</t>
  </si>
  <si>
    <t>GF12.127.03.A</t>
  </si>
  <si>
    <t>GF12.127.04.A</t>
  </si>
  <si>
    <t>GF12.127.05.A</t>
  </si>
  <si>
    <t>45x45 -I-,835MM</t>
  </si>
  <si>
    <t>45x45 -I-,880MM</t>
  </si>
  <si>
    <t>GF12.128.02.A</t>
  </si>
  <si>
    <t>GF12.128.03.A</t>
  </si>
  <si>
    <t>45x45 -I- ,606MM</t>
  </si>
  <si>
    <t>GF12.131.00.A</t>
  </si>
  <si>
    <t>GF12.132.00.A</t>
  </si>
  <si>
    <t>GF12.133.00.A</t>
  </si>
  <si>
    <t>GF12.134.00.A</t>
  </si>
  <si>
    <t>GF12.130.01.B</t>
  </si>
  <si>
    <t>GF12.130.02.B</t>
  </si>
  <si>
    <t>GF12.130.03.A</t>
  </si>
  <si>
    <t>GF12.130.04.A</t>
  </si>
  <si>
    <t>GF12.130.05.B</t>
  </si>
  <si>
    <t>GF12.130.06.A</t>
  </si>
  <si>
    <t>GF12.130.07.B</t>
  </si>
  <si>
    <t>GF12.130.08.A</t>
  </si>
  <si>
    <t>GF12.130.09.A</t>
  </si>
  <si>
    <t>GF12.130.10.A</t>
  </si>
  <si>
    <t>GF12.130.11.A</t>
  </si>
  <si>
    <t>Manifold 5/6/7</t>
  </si>
  <si>
    <t>SY50M-26-1A</t>
  </si>
  <si>
    <t>SY50M-3-1A-N11</t>
  </si>
  <si>
    <t>SV2000-55-1-3</t>
  </si>
  <si>
    <t>R160520131 L-176mm  T-28mm</t>
  </si>
  <si>
    <t>R165129420</t>
  </si>
  <si>
    <t>P35-8MGT-30</t>
  </si>
  <si>
    <t>1610 1.50</t>
  </si>
  <si>
    <t>640-8MGT-30</t>
  </si>
  <si>
    <t>ER16</t>
  </si>
  <si>
    <t>93245A440</t>
  </si>
  <si>
    <t>96505A118</t>
  </si>
  <si>
    <t>91595A649</t>
  </si>
  <si>
    <t>92981A405</t>
  </si>
  <si>
    <t>93680A532</t>
  </si>
  <si>
    <t>ER24</t>
  </si>
  <si>
    <t>NCQ2B80-25DM</t>
  </si>
  <si>
    <t>R911380257</t>
  </si>
  <si>
    <t>R911371997</t>
  </si>
  <si>
    <t>KQ2L08-U03</t>
  </si>
  <si>
    <t>AS-25L</t>
  </si>
  <si>
    <t>KQ2T08-00A</t>
  </si>
  <si>
    <t>1095K23</t>
  </si>
  <si>
    <t>KXL06-02S</t>
  </si>
  <si>
    <t xml:space="preserve">M6 X 1.0 X 35 HEX SHCS, </t>
  </si>
  <si>
    <t xml:space="preserve">M6 X 1.0 X 40 HEX SHCS, </t>
  </si>
  <si>
    <t xml:space="preserve">M8 X 1.25 X 50 HEX SHCS, </t>
  </si>
  <si>
    <t xml:space="preserve">M10 X 1.5 X 45 HEX SHCS, </t>
  </si>
  <si>
    <t xml:space="preserve">M10 X 1.5 X 55 HEX SHCS, </t>
  </si>
  <si>
    <t xml:space="preserve">M10 X 1.5 X 70 HEX SHCS, </t>
  </si>
  <si>
    <t xml:space="preserve">HEX NUT, STYLE 1,  M8 X 1.25, </t>
  </si>
  <si>
    <t xml:space="preserve">PLAIN WASHER, 8 mm, REGULAR, </t>
  </si>
  <si>
    <t>M4 X 0.7 X 30 SBHCS</t>
  </si>
  <si>
    <t xml:space="preserve">M8 X 1.25 X 35 HEX SHCS, </t>
  </si>
  <si>
    <t>GF12.131.03.A</t>
  </si>
  <si>
    <t>STSR-2000</t>
  </si>
  <si>
    <t>GF12.132.01.A</t>
  </si>
  <si>
    <t>GF12.133.01.A</t>
  </si>
  <si>
    <t>GF12.133.02.A</t>
  </si>
  <si>
    <t>1610 40MM</t>
  </si>
  <si>
    <t>MV0000190342</t>
  </si>
  <si>
    <t>R911390100</t>
  </si>
  <si>
    <t xml:space="preserve">M10 X 1.5 X 35 HEX SHCS, </t>
  </si>
  <si>
    <t>GF12.134.01.A</t>
  </si>
  <si>
    <t>AS2052F-08A</t>
  </si>
  <si>
    <t>KQ2L08-00A</t>
  </si>
  <si>
    <t>AR20-02BE-B</t>
  </si>
  <si>
    <t>AXT100-DS25-150</t>
  </si>
  <si>
    <t>AXT100-DS25-080</t>
  </si>
  <si>
    <t>M4 X 0.7 X 8 SBHCS,</t>
  </si>
  <si>
    <t>M4 X 0.7 X 40 SBHCS,</t>
  </si>
  <si>
    <t>HEX NUT, STYLE 1,  M4 X 0.7, SS</t>
  </si>
  <si>
    <t xml:space="preserve">M5 X 0.8 X 12 SBHCS, </t>
  </si>
  <si>
    <t xml:space="preserve">M4 X 0.7 X 16 HEX SHCS, </t>
  </si>
  <si>
    <t>GF12.141.00.A</t>
  </si>
  <si>
    <t>GF12.140.01.B</t>
  </si>
  <si>
    <t>GF12.140.02.B</t>
  </si>
  <si>
    <t>GF12.140.03.A</t>
  </si>
  <si>
    <t>GF12.140.04.B</t>
  </si>
  <si>
    <t>GF12.140.05.A</t>
  </si>
  <si>
    <t>GF12.140.06.A</t>
  </si>
  <si>
    <t>GF12.140.07.A</t>
  </si>
  <si>
    <t>GF12.140.08.A</t>
  </si>
  <si>
    <t>AWM-12x1372</t>
  </si>
  <si>
    <t>JFRM-252525TR10X2</t>
  </si>
  <si>
    <t>DSK-00060094</t>
  </si>
  <si>
    <t>5LM008008F</t>
  </si>
  <si>
    <t>6056N21</t>
  </si>
  <si>
    <t>90214A418</t>
  </si>
  <si>
    <t>MC-08</t>
  </si>
  <si>
    <t>CDQMA32-25</t>
  </si>
  <si>
    <t>FJUMT-01-12</t>
  </si>
  <si>
    <t>KQ2L04-U01</t>
  </si>
  <si>
    <t>5972K91</t>
  </si>
  <si>
    <t>3842529323</t>
  </si>
  <si>
    <t>D-M9PSAPC</t>
  </si>
  <si>
    <t>7000-08041-6101000</t>
  </si>
  <si>
    <t xml:space="preserve">M12 X 1.75 X 40 SOCKET FCHS, </t>
  </si>
  <si>
    <t xml:space="preserve">M6 X 1.0 X 25 HEX SHCS, </t>
  </si>
  <si>
    <t xml:space="preserve">M4 X 0.7 X 12 SOCKET FCHS, </t>
  </si>
  <si>
    <t xml:space="preserve">M6 X 1.0 X 25 SOCKET FCHS, </t>
  </si>
  <si>
    <t xml:space="preserve">M5 X 0.8 X 10 SOCKET FCHS, </t>
  </si>
  <si>
    <t>45X90, M12|M12, 1641MM</t>
  </si>
  <si>
    <t>GF12.141.01.B</t>
  </si>
  <si>
    <t>GF12.253.02.B</t>
  </si>
  <si>
    <t>GF12.253.04.A</t>
  </si>
  <si>
    <t>GF12.253.05.A</t>
  </si>
  <si>
    <t>CE.84183-C1</t>
  </si>
  <si>
    <t>CE.85919</t>
  </si>
  <si>
    <t>GN.26205</t>
  </si>
  <si>
    <t>CE.85960</t>
  </si>
  <si>
    <t>5972K165</t>
  </si>
  <si>
    <t xml:space="preserve">M4 X 0.7 X 25 HEX SHCS, </t>
  </si>
  <si>
    <t>GF12.150.01.A</t>
  </si>
  <si>
    <t>GF12.150.02.A</t>
  </si>
  <si>
    <t>GF12.150.03.A</t>
  </si>
  <si>
    <t>GF12.150.04.A</t>
  </si>
  <si>
    <t>GF12.150.05.A</t>
  </si>
  <si>
    <t>GF12.150.06.A</t>
  </si>
  <si>
    <t>GF12.150.07.A</t>
  </si>
  <si>
    <t>GF12.160.01.C</t>
  </si>
  <si>
    <t>VHS40-N06-Z-D</t>
  </si>
  <si>
    <t>AN30-N03</t>
  </si>
  <si>
    <t>Y500T-D</t>
  </si>
  <si>
    <t>AW40-N06-Z-D</t>
  </si>
  <si>
    <t>G36-P7-N01-X30</t>
  </si>
  <si>
    <t>5485K34</t>
  </si>
  <si>
    <t>AV4000-N04-5DZ-Z-A</t>
  </si>
  <si>
    <t>AN40-N04</t>
  </si>
  <si>
    <t>Y400T-D</t>
  </si>
  <si>
    <t>IS10E-40N06-6LP-A</t>
  </si>
  <si>
    <t>TWSSM20-10-7</t>
  </si>
  <si>
    <t xml:space="preserve">M8 X 1.25 X 20 SBHCS, </t>
  </si>
  <si>
    <t xml:space="preserve">M8 X 1.25 X 16 HEX SHCS, </t>
  </si>
  <si>
    <t xml:space="preserve">PLAIN WASHER, 8 mm, NARROW, </t>
  </si>
  <si>
    <t>PC7PPS1TE50</t>
  </si>
  <si>
    <t>PC7PPS19C50</t>
  </si>
  <si>
    <t>PC7PPSTUB50L6</t>
  </si>
  <si>
    <t>PC7PPS1BT50203</t>
  </si>
  <si>
    <t>PC7PPS1BO50</t>
  </si>
  <si>
    <t>KQ2H10-U04A</t>
  </si>
  <si>
    <t>KQ2R06-10A</t>
  </si>
  <si>
    <t>PC7PPS1CI50UNC</t>
  </si>
  <si>
    <t>PC7PPS1MF50207</t>
  </si>
  <si>
    <t>4464K43</t>
  </si>
  <si>
    <t>4464K862</t>
  </si>
  <si>
    <t>PC7PPS1UN50</t>
  </si>
  <si>
    <t>GF12.180.01.A</t>
  </si>
  <si>
    <t>GF12.180.02.A</t>
  </si>
  <si>
    <t>GF12.180.03.A</t>
  </si>
  <si>
    <t>GF12.180.04.A</t>
  </si>
  <si>
    <t>GF12.180.05.A</t>
  </si>
  <si>
    <t>GF12.180.06.A</t>
  </si>
  <si>
    <t>F66G72</t>
  </si>
  <si>
    <t>F66GUC</t>
  </si>
  <si>
    <t>F66GCP</t>
  </si>
  <si>
    <t>F66BK60</t>
  </si>
  <si>
    <t>1575A42</t>
  </si>
  <si>
    <t>406821</t>
  </si>
  <si>
    <t>M5 X 0.8 X 12 SOCKET FCHS,</t>
  </si>
  <si>
    <t xml:space="preserve">M5 X 0.8 X 20 SOCKET FCHS, </t>
  </si>
  <si>
    <t>M8 X 1.25 X 12 SBHCS,</t>
  </si>
  <si>
    <t>45x45 D17ID17,513.2MM</t>
  </si>
  <si>
    <t>45x45 D17ID17,1453.0MM</t>
  </si>
  <si>
    <t>45x45 D17ID17,936.0MM</t>
  </si>
  <si>
    <t>45x45 D17ID17,120.0MM</t>
  </si>
  <si>
    <t>45X45, M12|-, 891.0MM</t>
  </si>
  <si>
    <t>45X45, M12|-, 290.0MM</t>
  </si>
  <si>
    <t>GF12.002.00.A</t>
  </si>
  <si>
    <t>GF12.210.00.A</t>
  </si>
  <si>
    <t>GF12.220.00.A</t>
  </si>
  <si>
    <t>GF12.230.00.A</t>
  </si>
  <si>
    <t>GF12.240.00.A</t>
  </si>
  <si>
    <t>GF12.250.00.A</t>
  </si>
  <si>
    <t>GF12.260.00.A</t>
  </si>
  <si>
    <t xml:space="preserve">I </t>
  </si>
  <si>
    <t>GF12.270.00.A</t>
  </si>
  <si>
    <t>GF12.280.00.A</t>
  </si>
  <si>
    <t>GF12.290.00.A</t>
  </si>
  <si>
    <t>GF12.211.00.A</t>
  </si>
  <si>
    <t>GF12.212.00.A</t>
  </si>
  <si>
    <t>GF12.213.00.A</t>
  </si>
  <si>
    <t>GF12.215.00.A</t>
  </si>
  <si>
    <t>GF12.216.00.A</t>
  </si>
  <si>
    <t>GF12.217.00.A</t>
  </si>
  <si>
    <t>GF12.218.00.A</t>
  </si>
  <si>
    <t>M</t>
  </si>
  <si>
    <t>GF12.210.01.A</t>
  </si>
  <si>
    <t>GF12.210.02.B</t>
  </si>
  <si>
    <t>GF12.210.03.B</t>
  </si>
  <si>
    <t>GF12.210.04.B</t>
  </si>
  <si>
    <t>GF12.210.05.A</t>
  </si>
  <si>
    <t>GF12.210.06.A</t>
  </si>
  <si>
    <t>45X90, D17|D17, 400MM</t>
  </si>
  <si>
    <t>45X90, D17|D17, 1680MM</t>
  </si>
  <si>
    <t>90X90, D17|-, 725MM</t>
  </si>
  <si>
    <t>90X90, D17|-, 920MM</t>
  </si>
  <si>
    <t>90X90, D17|D17, 750MM</t>
  </si>
  <si>
    <t>90X90, D17|D17, 756.4MM</t>
  </si>
  <si>
    <t>90X90, D17|D17, 2119MM</t>
  </si>
  <si>
    <t>90X90, -|-, 1946MM</t>
  </si>
  <si>
    <t>45X90, D17|D17, 735MM</t>
  </si>
  <si>
    <t>GF12.211.01.B</t>
  </si>
  <si>
    <t>R160520131 L-236mm  T-28mm</t>
  </si>
  <si>
    <t>GF12.212.01.A</t>
  </si>
  <si>
    <t>GF12.212.02.A</t>
  </si>
  <si>
    <t>ND8-24-20-B-102-LT-IP65 DC 24V</t>
  </si>
  <si>
    <t>92981A809</t>
  </si>
  <si>
    <t xml:space="preserve">PLAIN WASHER, 10 mm, REGULAR, </t>
  </si>
  <si>
    <t>GF12.213.01.A</t>
  </si>
  <si>
    <t>GF12.213.02.A</t>
  </si>
  <si>
    <t>GN.16211</t>
  </si>
  <si>
    <t>BGL0033</t>
  </si>
  <si>
    <t>3842528738</t>
  </si>
  <si>
    <t xml:space="preserve">PLAIN WASHER, 6 mm, NARROW, </t>
  </si>
  <si>
    <t xml:space="preserve">HEX NUT, STYLE 1,  M5 X 0.8, </t>
  </si>
  <si>
    <t>GF12.214.01.A</t>
  </si>
  <si>
    <t>1023N13</t>
  </si>
  <si>
    <t>9835K42</t>
  </si>
  <si>
    <t>KQ2H08-U01A</t>
  </si>
  <si>
    <t>KQ2H04-U01A</t>
  </si>
  <si>
    <t>KQ2W08-U03A</t>
  </si>
  <si>
    <t>ONLY .214 ON ASSY .210 GETS THIS</t>
  </si>
  <si>
    <t>GF12.215.01.A</t>
  </si>
  <si>
    <t>GF12.215.02.A</t>
  </si>
  <si>
    <t>M8 X 1.25 X 25 Hex SHCS</t>
  </si>
  <si>
    <t>GF12.216.01.C</t>
  </si>
  <si>
    <t>GF12.216.02.A</t>
  </si>
  <si>
    <t>GF12.216.03.A</t>
  </si>
  <si>
    <t>GF12.216.04.A</t>
  </si>
  <si>
    <t>GF12.216.05.A</t>
  </si>
  <si>
    <t>GF12.216.06.A</t>
  </si>
  <si>
    <t>GF12.216.07.A</t>
  </si>
  <si>
    <t>GF12.216.08.A</t>
  </si>
  <si>
    <t>NCDMC125-1000</t>
  </si>
  <si>
    <t>1059450</t>
  </si>
  <si>
    <t>97713A116</t>
  </si>
  <si>
    <t>92510A829</t>
  </si>
  <si>
    <t>60645K351</t>
  </si>
  <si>
    <t>92661A751</t>
  </si>
  <si>
    <t>33409-01-300</t>
  </si>
  <si>
    <t>92981A106</t>
  </si>
  <si>
    <t>KQ2L06-U01A</t>
  </si>
  <si>
    <t>90245A175</t>
  </si>
  <si>
    <t>7000-08761-6411000</t>
  </si>
  <si>
    <t>2066626</t>
  </si>
  <si>
    <t xml:space="preserve">M8 X 1.25 X 60 HEX SHCS, </t>
  </si>
  <si>
    <t>GF12.217.01.A</t>
  </si>
  <si>
    <t>GF12.217.02.A</t>
  </si>
  <si>
    <t>SV2000-55-1-8-A</t>
  </si>
  <si>
    <t>KQ2H06-08A</t>
  </si>
  <si>
    <t>KQ2L10-00A</t>
  </si>
  <si>
    <t>KQ2T10-00A</t>
  </si>
  <si>
    <t>90024A050</t>
  </si>
  <si>
    <t>4x 75mm Lengths</t>
  </si>
  <si>
    <t xml:space="preserve">M4 X 0.7 X 12 HEX SHCS, </t>
  </si>
  <si>
    <t>M4 X 0.7 X 6 SBHCS,</t>
  </si>
  <si>
    <t xml:space="preserve">M5 X 0.8 X 12 HEX SHCS, </t>
  </si>
  <si>
    <t>GF12.218.01.A</t>
  </si>
  <si>
    <t>GF12.218.02.A</t>
  </si>
  <si>
    <t>KQ2T06-08A</t>
  </si>
  <si>
    <t xml:space="preserve">M3 X 0.5 X 30 SBHCS,  </t>
  </si>
  <si>
    <t>45X45, D17|D17, 1680MM</t>
  </si>
  <si>
    <t>GF12.219.01.A</t>
  </si>
  <si>
    <t>1023N249</t>
  </si>
  <si>
    <t>GF12.221.00.A</t>
  </si>
  <si>
    <t>GF12.222.00.A</t>
  </si>
  <si>
    <t>GF12.223.00.A</t>
  </si>
  <si>
    <t>GF12.220.01.B</t>
  </si>
  <si>
    <t>GF12.220.02.A</t>
  </si>
  <si>
    <t>GF12.220.03.A</t>
  </si>
  <si>
    <t>GF12.220.04.A</t>
  </si>
  <si>
    <t>GF12.220.05.A</t>
  </si>
  <si>
    <t>9P936</t>
  </si>
  <si>
    <t>999-806-C241</t>
  </si>
  <si>
    <t>999-806-B472</t>
  </si>
  <si>
    <t>MV0000194957</t>
  </si>
  <si>
    <t xml:space="preserve">M12 X 1.75 X 30 HEX SHCS, </t>
  </si>
  <si>
    <t xml:space="preserve">M12 X 1.75 X 35 HEX SHCS, </t>
  </si>
  <si>
    <t xml:space="preserve">M12 X 1.75 X 40 HEX SHCS, </t>
  </si>
  <si>
    <t>M12 X 1.75 X 150 HEX SHCS</t>
  </si>
  <si>
    <t>GF12.221.01.A</t>
  </si>
  <si>
    <t>GF12.222.01.A</t>
  </si>
  <si>
    <t>GF12.223.01.A</t>
  </si>
  <si>
    <t>GF12.223.02.A</t>
  </si>
  <si>
    <t>LR-TB5000C</t>
  </si>
  <si>
    <t xml:space="preserve">M4 X 0.7 X 10 HEX SHCS, </t>
  </si>
  <si>
    <t xml:space="preserve">M4 X 0.7 X 40 HEX SHCS, </t>
  </si>
  <si>
    <t xml:space="preserve">M6 X 1.0 X 16 SOCKET FCHS, </t>
  </si>
  <si>
    <t>GF12.231.00.A</t>
  </si>
  <si>
    <t>GF12.230.01.A</t>
  </si>
  <si>
    <t>GF12.230.05.A</t>
  </si>
  <si>
    <t>R911371236</t>
  </si>
  <si>
    <t>R911380258</t>
  </si>
  <si>
    <t>M4 X 0.7 X 30 SBHCS,</t>
  </si>
  <si>
    <t>GF12.231.01.A</t>
  </si>
  <si>
    <t>GF12.241.00.A</t>
  </si>
  <si>
    <t>GF12.242.00.A</t>
  </si>
  <si>
    <t>GF12.243.00.A</t>
  </si>
  <si>
    <t>GF12.244.00.A</t>
  </si>
  <si>
    <t>GF12.245.00.A</t>
  </si>
  <si>
    <t>GF12.241.01.A</t>
  </si>
  <si>
    <t>GF12.241.02.A</t>
  </si>
  <si>
    <t>GF12.241.03.A</t>
  </si>
  <si>
    <t>GF12.241.04.A</t>
  </si>
  <si>
    <t>GF12.241.05.A</t>
  </si>
  <si>
    <t>GF12.241.06.A</t>
  </si>
  <si>
    <t>GF12.241.07.A</t>
  </si>
  <si>
    <t>R160510331 L-1200mm T-30mm</t>
  </si>
  <si>
    <t>3842528735</t>
  </si>
  <si>
    <t>3842523578</t>
  </si>
  <si>
    <t>DSK-00060047</t>
  </si>
  <si>
    <t>100XL037</t>
  </si>
  <si>
    <t>180XL037</t>
  </si>
  <si>
    <t>3388N16</t>
  </si>
  <si>
    <t>1277N714</t>
  </si>
  <si>
    <t>CFA10-26</t>
  </si>
  <si>
    <t>91455A613</t>
  </si>
  <si>
    <t xml:space="preserve">M6 X 1.0 X 20 SBHCS, </t>
  </si>
  <si>
    <t>HEX NUT, STYLE 1, M10 X 1.5, CZ</t>
  </si>
  <si>
    <t>45X90, -|-, 1679MM</t>
  </si>
  <si>
    <t>GF12.242.01.A</t>
  </si>
  <si>
    <t>GF12.242.02.B</t>
  </si>
  <si>
    <t>GF12.253.03.A</t>
  </si>
  <si>
    <t>GF12.243.01.A</t>
  </si>
  <si>
    <t>GF12.243.02.A</t>
  </si>
  <si>
    <t>GF12.243.04.A</t>
  </si>
  <si>
    <t>GF12.243.05.A</t>
  </si>
  <si>
    <t>GF12.243.06.A</t>
  </si>
  <si>
    <t>GF12.243.07.A</t>
  </si>
  <si>
    <t>GF12.243.08.A</t>
  </si>
  <si>
    <t>GF12.243.09.A</t>
  </si>
  <si>
    <t>GF12.243.13.A</t>
  </si>
  <si>
    <t>GF12.243.10.A</t>
  </si>
  <si>
    <t>R166619420</t>
  </si>
  <si>
    <t>CDM2WF32-50AZ-XC38</t>
  </si>
  <si>
    <t>CDQ2A20-25DMZ</t>
  </si>
  <si>
    <t>JT20</t>
  </si>
  <si>
    <t>KQ2VS06-M5A</t>
  </si>
  <si>
    <t>KQ2L08-U01A</t>
  </si>
  <si>
    <t>SCR-1.65P/1-CX</t>
  </si>
  <si>
    <t>KQ2L06-M5A</t>
  </si>
  <si>
    <t>BM5-032</t>
  </si>
  <si>
    <t xml:space="preserve">M4 X 0.7 X 30 SOCKET FCHS, </t>
  </si>
  <si>
    <t>M5 X 0.8 X 10 SBHCS,</t>
  </si>
  <si>
    <t xml:space="preserve">M6 X 1.0 X 12 SBHCS, </t>
  </si>
  <si>
    <t>GF12.244.01.A</t>
  </si>
  <si>
    <t>GF12.244.02.A</t>
  </si>
  <si>
    <t>GF12.244.03.A</t>
  </si>
  <si>
    <t>GF12.244.04.A</t>
  </si>
  <si>
    <t>9056K85</t>
  </si>
  <si>
    <t xml:space="preserve">M3 X 0.5 X 8 HEX SHCS, </t>
  </si>
  <si>
    <t>M5 X 0.8 X 6 SOCKET SSCP</t>
  </si>
  <si>
    <t xml:space="preserve">M5 X 0.8 X 10 SBHCS, </t>
  </si>
  <si>
    <t>GF12.245.01.A</t>
  </si>
  <si>
    <t>GF12.245.02.A</t>
  </si>
  <si>
    <t>GF12.245.03.A</t>
  </si>
  <si>
    <t xml:space="preserve">M5 X 0.8 X 16 HEX SHCS, </t>
  </si>
  <si>
    <t>GF12.251.00.A</t>
  </si>
  <si>
    <t>GF12.252.00.A</t>
  </si>
  <si>
    <t>GF12.253.00.A</t>
  </si>
  <si>
    <t>GF12.250.01.B</t>
  </si>
  <si>
    <t>GF12.250.03.A</t>
  </si>
  <si>
    <t>GF12.250.04.A</t>
  </si>
  <si>
    <t>GF12.250.05.A</t>
  </si>
  <si>
    <t>GF12.250.06.A</t>
  </si>
  <si>
    <t>GF12.250.07.A</t>
  </si>
  <si>
    <t>GF12.250.08.A</t>
  </si>
  <si>
    <t>GF12.250.09.A</t>
  </si>
  <si>
    <t>GF12.250.10.A</t>
  </si>
  <si>
    <t>JFRM-3244TR24X5</t>
  </si>
  <si>
    <t>DSK-00061202</t>
  </si>
  <si>
    <t>90154A397</t>
  </si>
  <si>
    <t>5972K84</t>
  </si>
  <si>
    <t>5LM012012F</t>
  </si>
  <si>
    <t>0120-0410</t>
  </si>
  <si>
    <t>R164510341 L-615mm T-37.5mm</t>
  </si>
  <si>
    <t xml:space="preserve">M8 X 1.25 X 25 HEX CAP SCREW, </t>
  </si>
  <si>
    <t>GF12.251.01.A</t>
  </si>
  <si>
    <t>GF12.251.02.A</t>
  </si>
  <si>
    <t>GF12.251.03.A</t>
  </si>
  <si>
    <t>GF12.252.01.A</t>
  </si>
  <si>
    <t>GF12.252.02.A</t>
  </si>
  <si>
    <t>GF12.252.03.A</t>
  </si>
  <si>
    <t>GF12.253.01.B</t>
  </si>
  <si>
    <t>CE.84253-C1</t>
  </si>
  <si>
    <t>GF12.260.01.A</t>
  </si>
  <si>
    <t>45x45 -I- ,746MM</t>
  </si>
  <si>
    <t>GF12.270.01.B</t>
  </si>
  <si>
    <t>GF12.270.02.A</t>
  </si>
  <si>
    <t>3842544531</t>
  </si>
  <si>
    <t>45x45 -I-,390MM</t>
  </si>
  <si>
    <t>45X45, D17|D17, 2018MM</t>
  </si>
  <si>
    <t>45X45, D17|D17, 1853MM</t>
  </si>
  <si>
    <t>GF12.290.01.A</t>
  </si>
  <si>
    <t>GF12.003.00.A</t>
  </si>
  <si>
    <t>GF12.007.00.A</t>
  </si>
  <si>
    <t>GF12.310.00.A</t>
  </si>
  <si>
    <t>GF12.320.00.A</t>
  </si>
  <si>
    <t>GF12.330.00.A</t>
  </si>
  <si>
    <t>GF12.340.00.A</t>
  </si>
  <si>
    <t>GF12.311.00.A</t>
  </si>
  <si>
    <t>GF12.310.01.A</t>
  </si>
  <si>
    <t>R164520341 L-2120mm T-10mm</t>
  </si>
  <si>
    <t>90X90, -|-, 2120MM</t>
  </si>
  <si>
    <t>90X90, D17|D17, 722.8MM</t>
  </si>
  <si>
    <t>90X90, D17|D17, 586.67MM</t>
  </si>
  <si>
    <t>90X90, M12|D17, 144.3MM</t>
  </si>
  <si>
    <t>90X90, D17|-, 380MM</t>
  </si>
  <si>
    <t>GF12.311.01.A</t>
  </si>
  <si>
    <t>MKS2505AK</t>
  </si>
  <si>
    <t>2301-136Rev.3</t>
  </si>
  <si>
    <t>KQ2H04-M5A</t>
  </si>
  <si>
    <t>KQ2UD04-06A</t>
  </si>
  <si>
    <t xml:space="preserve">M8 X 1.25 X 40 HEX SHCS, </t>
  </si>
  <si>
    <t>GF12.331.00.A</t>
  </si>
  <si>
    <t>GF12.332.00.A</t>
  </si>
  <si>
    <t>GF12.333.00.A</t>
  </si>
  <si>
    <t>GF12.334.00.A</t>
  </si>
  <si>
    <t>3842548756</t>
  </si>
  <si>
    <t xml:space="preserve">M12 X 1.75 X 45 SOCKET FCHS, </t>
  </si>
  <si>
    <t>M12 X 1.75 X 50 HEX SHCS,</t>
  </si>
  <si>
    <t>PLAIN WASHER, 12mm, NARROW,</t>
  </si>
  <si>
    <t>45X90 M12|D17, 414.5MM</t>
  </si>
  <si>
    <t>45X90 M12|-, 1094.85MM</t>
  </si>
  <si>
    <t>45X90 D17|D17, 130MM</t>
  </si>
  <si>
    <t>GF12.331.01.A</t>
  </si>
  <si>
    <t>GF12.331.02.A</t>
  </si>
  <si>
    <t>GF12.331.03.A</t>
  </si>
  <si>
    <t>GF12.331.04.A</t>
  </si>
  <si>
    <t>GF12.331.05.A</t>
  </si>
  <si>
    <t>GF12.331.06.A</t>
  </si>
  <si>
    <t>GF12.331.07.A</t>
  </si>
  <si>
    <t>GF12.331.08.A</t>
  </si>
  <si>
    <t>GF12.331.09.A</t>
  </si>
  <si>
    <t>GF12.331.10.A</t>
  </si>
  <si>
    <t>CY1L40L-250B</t>
  </si>
  <si>
    <t>PR-G41CP</t>
  </si>
  <si>
    <t>93600A822</t>
  </si>
  <si>
    <t>AS3002F-08A</t>
  </si>
  <si>
    <t>AS-30L</t>
  </si>
  <si>
    <t>94595A238</t>
  </si>
  <si>
    <t>8751</t>
  </si>
  <si>
    <t>96016A477</t>
  </si>
  <si>
    <t>D-F7PSAPC</t>
  </si>
  <si>
    <t xml:space="preserve">M3 X 0.5 X 10 HEX SHCS, </t>
  </si>
  <si>
    <t xml:space="preserve">M3 X 0.5 X 8 SOCKET FCHS, </t>
  </si>
  <si>
    <t xml:space="preserve">M6 X 1.0 X 25 SBHCS, </t>
  </si>
  <si>
    <t xml:space="preserve">M8 X 1.25 X 30 SOCKET FCHS, </t>
  </si>
  <si>
    <t xml:space="preserve">M8 X 1.25 X 80 HEX SHCS, </t>
  </si>
  <si>
    <t>M8 X 1.25 X 25 SBHCS,</t>
  </si>
  <si>
    <t>GF12.332.01.A</t>
  </si>
  <si>
    <t>GF12.332.02.A</t>
  </si>
  <si>
    <t>GF12.332.03.A</t>
  </si>
  <si>
    <t>GF12.332.04.A</t>
  </si>
  <si>
    <t>GF12.332.05.A</t>
  </si>
  <si>
    <t>GF12.332.06.C</t>
  </si>
  <si>
    <t>GF12.332.07.A</t>
  </si>
  <si>
    <t>GF12.332.08.A</t>
  </si>
  <si>
    <t>GF12.332.09.A</t>
  </si>
  <si>
    <t>22EDM03-050460B010101</t>
  </si>
  <si>
    <t>22MFES03B-2816</t>
  </si>
  <si>
    <t>62M060ES423EN</t>
  </si>
  <si>
    <t>300150M</t>
  </si>
  <si>
    <t>95610A019</t>
  </si>
  <si>
    <t>91223A418</t>
  </si>
  <si>
    <t>93580A716</t>
  </si>
  <si>
    <t>95610A160</t>
  </si>
  <si>
    <t>93625A200</t>
  </si>
  <si>
    <t>FU-E40</t>
  </si>
  <si>
    <t>206685</t>
  </si>
  <si>
    <t>M3 X 0.5 X 8 SBHCS,</t>
  </si>
  <si>
    <t>M6 X 1 HEX JAM NUT</t>
  </si>
  <si>
    <t>GF12.333.02.A</t>
  </si>
  <si>
    <t>GF12.333.03.A</t>
  </si>
  <si>
    <t>22EDM03-068360C010101</t>
  </si>
  <si>
    <t>22MFES03C-2816</t>
  </si>
  <si>
    <t>GF12.334.01.A</t>
  </si>
  <si>
    <t>22MDM03-0252400D010101</t>
  </si>
  <si>
    <t>22M6BESD-2828</t>
  </si>
  <si>
    <t>62M040ES423EN</t>
  </si>
  <si>
    <t>GF12.341.00.A</t>
  </si>
  <si>
    <t>GF12.342.00.A</t>
  </si>
  <si>
    <t>GF12.343.00.A</t>
  </si>
  <si>
    <t>GF12.344.00.A</t>
  </si>
  <si>
    <t>GF12.345.00.A</t>
  </si>
  <si>
    <t>GF12.346.00.A</t>
  </si>
  <si>
    <t>GF12.540.00.A</t>
  </si>
  <si>
    <t>GF12.341.01.A</t>
  </si>
  <si>
    <t>GF12.341.02.A</t>
  </si>
  <si>
    <t>GF12.341.03.A</t>
  </si>
  <si>
    <t>GF12.341.04.A</t>
  </si>
  <si>
    <t>GF12.341.05.B</t>
  </si>
  <si>
    <t>GF12.530.03.A</t>
  </si>
  <si>
    <t>GF12.530.05.A</t>
  </si>
  <si>
    <t>GF12.530.06.A</t>
  </si>
  <si>
    <t>GF12.530.07.A</t>
  </si>
  <si>
    <t>GF12.346.04.A</t>
  </si>
  <si>
    <t>GF12.470.04.A</t>
  </si>
  <si>
    <t>GF12.470.05.A</t>
  </si>
  <si>
    <t>R164510341 L-1140mm T-30mm</t>
  </si>
  <si>
    <t>6484K453</t>
  </si>
  <si>
    <t>1277N724</t>
  </si>
  <si>
    <t>6484K449</t>
  </si>
  <si>
    <t>1277N717</t>
  </si>
  <si>
    <t>DSK-00061757</t>
  </si>
  <si>
    <t>R162219320</t>
  </si>
  <si>
    <t>57445K442</t>
  </si>
  <si>
    <t>91595A579</t>
  </si>
  <si>
    <t>90326A115</t>
  </si>
  <si>
    <t>MCL-20-F</t>
  </si>
  <si>
    <t>3088A07</t>
  </si>
  <si>
    <t>16004-A-2Z</t>
  </si>
  <si>
    <t>90695A041</t>
  </si>
  <si>
    <t>5972K323</t>
  </si>
  <si>
    <t>TWSSM20-10-4.5</t>
  </si>
  <si>
    <t>TWSSM13-8-3</t>
  </si>
  <si>
    <t>6508T54</t>
  </si>
  <si>
    <t>GEABB2.0-26-20-B-20</t>
  </si>
  <si>
    <t>MKS1505AK</t>
  </si>
  <si>
    <t>KQ2T04-00A</t>
  </si>
  <si>
    <t>57445K26</t>
  </si>
  <si>
    <t>90214A428</t>
  </si>
  <si>
    <t>91306A788</t>
  </si>
  <si>
    <t>3388N17</t>
  </si>
  <si>
    <t>M4 X 0.7 X 35 Hex SHCS,</t>
  </si>
  <si>
    <t xml:space="preserve">M6 X 1.0 X 70 HEX SHCS, </t>
  </si>
  <si>
    <t xml:space="preserve">M12 X 1.75 X 50 SOCKET FCHS, </t>
  </si>
  <si>
    <t>90X90, D17|D17, 221.4MM</t>
  </si>
  <si>
    <t>90X90, D17|D17, 1272.1MM</t>
  </si>
  <si>
    <t>90X90, D17|D17, 855.0MM</t>
  </si>
  <si>
    <t>90X90, D17|D17, 590MM</t>
  </si>
  <si>
    <t>45X90, M12|M12, 1539.51MM</t>
  </si>
  <si>
    <t>90X90, -|-, 1453.4MM</t>
  </si>
  <si>
    <t>45X90 D17|D17, 80.0MM</t>
  </si>
  <si>
    <t>45X45 D17|D17, 1273.4MM</t>
  </si>
  <si>
    <t>45x45 -I- 1453.0MM</t>
  </si>
  <si>
    <t>GF12.342.01.A</t>
  </si>
  <si>
    <t>GF12.342.02.A</t>
  </si>
  <si>
    <t>GF12.342.03.A</t>
  </si>
  <si>
    <t>GF12.342.04.A</t>
  </si>
  <si>
    <t>GF12.342.05.A</t>
  </si>
  <si>
    <t>GF12.342.06.A</t>
  </si>
  <si>
    <t>GF12.342.07.A</t>
  </si>
  <si>
    <t>GF12.342.08.A</t>
  </si>
  <si>
    <t>GF12.342.09.A</t>
  </si>
  <si>
    <t>GF12.342.10.A</t>
  </si>
  <si>
    <t>GF12.342.11.A</t>
  </si>
  <si>
    <t>GF12.342.12.A</t>
  </si>
  <si>
    <t>GF12.342.13.A</t>
  </si>
  <si>
    <t>GF12.342.14.A</t>
  </si>
  <si>
    <t>GF12.342.15.A</t>
  </si>
  <si>
    <t>GF12.342.16.B</t>
  </si>
  <si>
    <t>R165119370</t>
  </si>
  <si>
    <t>CDQ2WB50-75DZ</t>
  </si>
  <si>
    <t>TBH-1066</t>
  </si>
  <si>
    <t>SKP-J-WAT</t>
  </si>
  <si>
    <t>30DJKGD012D</t>
  </si>
  <si>
    <t>4322K153</t>
  </si>
  <si>
    <t>8903T11</t>
  </si>
  <si>
    <t>8903T41</t>
  </si>
  <si>
    <t>94669A304</t>
  </si>
  <si>
    <t>91390A133</t>
  </si>
  <si>
    <t>90278A541</t>
  </si>
  <si>
    <t>92168A103</t>
  </si>
  <si>
    <t>1079N511</t>
  </si>
  <si>
    <t>FMC12</t>
  </si>
  <si>
    <t>62645K38</t>
  </si>
  <si>
    <t>90154A499</t>
  </si>
  <si>
    <t>6767N113</t>
  </si>
  <si>
    <t>98320A143</t>
  </si>
  <si>
    <t>3185K64</t>
  </si>
  <si>
    <t>91292A425</t>
  </si>
  <si>
    <t>2x 100mm lengths</t>
  </si>
  <si>
    <t>92095A185</t>
  </si>
  <si>
    <t>CDQ2A25-15DZ</t>
  </si>
  <si>
    <t>KQ2T04-06A</t>
  </si>
  <si>
    <t>KQ2U06-08A</t>
  </si>
  <si>
    <t>KQ2L08-99A</t>
  </si>
  <si>
    <t>FJUC6</t>
  </si>
  <si>
    <t>PETS25-212-SC50-M8-N8</t>
  </si>
  <si>
    <t>PETS10-98-SC50-M6-N4</t>
  </si>
  <si>
    <t>JFRM-282835TRX12X3</t>
  </si>
  <si>
    <t>TH-298-1</t>
  </si>
  <si>
    <t>AM-2012-BR</t>
  </si>
  <si>
    <t xml:space="preserve">M3 X 0.5 X 16 HEX SHCS, </t>
  </si>
  <si>
    <t>M4 X 0.7 X 10 SBHCS,</t>
  </si>
  <si>
    <t xml:space="preserve">M5 X 0.8 X 30 HEX SHCS, </t>
  </si>
  <si>
    <t xml:space="preserve">M8 X 1.25 X 40 SOCKET FCHS, </t>
  </si>
  <si>
    <t xml:space="preserve">M3 X 0.5 X 12 SBHCS, </t>
  </si>
  <si>
    <t>HEX NUT, STYLE 1,  M3 X 0.5, CZ</t>
  </si>
  <si>
    <t>M10 X 1.5 X 20 SOCKET FCHS,</t>
  </si>
  <si>
    <t>M5 X 0.8 X 12 SOCKET SSCP</t>
  </si>
  <si>
    <t>GF12.343.01.A</t>
  </si>
  <si>
    <t>GF12.344.02.A</t>
  </si>
  <si>
    <t>GF12.343.03.A</t>
  </si>
  <si>
    <t>GF12.343.04.B</t>
  </si>
  <si>
    <t>GF12.343.05.A</t>
  </si>
  <si>
    <t>GF12.343.06.A</t>
  </si>
  <si>
    <t>GF12.343.07.C</t>
  </si>
  <si>
    <t>GF12.344.08.B</t>
  </si>
  <si>
    <t>GF12.343.09.A</t>
  </si>
  <si>
    <t>GF12.344.10.A</t>
  </si>
  <si>
    <t>GF12.344.11.A</t>
  </si>
  <si>
    <t>GF12.343.12.B</t>
  </si>
  <si>
    <t>GF12.344.13.B</t>
  </si>
  <si>
    <t>MY1C20-300L</t>
  </si>
  <si>
    <t>MIW25-25D</t>
  </si>
  <si>
    <t>KQ2S06-M5A</t>
  </si>
  <si>
    <t>AS2002F-04A</t>
  </si>
  <si>
    <t>AS2002F-06A</t>
  </si>
  <si>
    <t>AS-20L</t>
  </si>
  <si>
    <t>91292A314</t>
  </si>
  <si>
    <t>2x 50mm lengths</t>
  </si>
  <si>
    <t>94500A266</t>
  </si>
  <si>
    <t>90327A157</t>
  </si>
  <si>
    <t>93849A101</t>
  </si>
  <si>
    <t>GN.30052</t>
  </si>
  <si>
    <t>PETS25-195.9-SC50-M8-N8</t>
  </si>
  <si>
    <t>PETS15-214.4-SC50-M6-N6</t>
  </si>
  <si>
    <t>OP-88245</t>
  </si>
  <si>
    <t>FS-N41C</t>
  </si>
  <si>
    <t>7000-08061-6110750</t>
  </si>
  <si>
    <t xml:space="preserve">M3 X 0.5 X 6 SBHCS, </t>
  </si>
  <si>
    <t>PLAIN WASHER, 5mm, REGULAR</t>
  </si>
  <si>
    <t xml:space="preserve">M6 X 1.0 X 30 SBHCS, </t>
  </si>
  <si>
    <t>M6 X 1.0 X 35 SOCKET FCHS,</t>
  </si>
  <si>
    <t>HEX NUT, STYLE 1, M6 X 1.0</t>
  </si>
  <si>
    <t>M10 X 1.5 X 80 SOCKET FCHS,</t>
  </si>
  <si>
    <t>GF12.343.02.A</t>
  </si>
  <si>
    <t>GF12.343.08.B</t>
  </si>
  <si>
    <t>GF12.343.10.A</t>
  </si>
  <si>
    <t>GF12.343.11.A</t>
  </si>
  <si>
    <t>GF12.343.13.B</t>
  </si>
  <si>
    <t>GF12.345.01.A</t>
  </si>
  <si>
    <t>GF12.345.02.A</t>
  </si>
  <si>
    <t>GF12.345.03.A</t>
  </si>
  <si>
    <t>GN.26225</t>
  </si>
  <si>
    <t>ECP3112</t>
  </si>
  <si>
    <t>EVP-CS-PL</t>
  </si>
  <si>
    <t>CE.83943-C1</t>
  </si>
  <si>
    <t>6804 2RS</t>
  </si>
  <si>
    <t>GF12.346.01.A</t>
  </si>
  <si>
    <t>GF12.346.02.A</t>
  </si>
  <si>
    <t>GF12.346.03.A</t>
  </si>
  <si>
    <t>CE.84213-C1</t>
  </si>
  <si>
    <t>3088A064</t>
  </si>
  <si>
    <t>91306A789</t>
  </si>
  <si>
    <t>GF12.410.00.A</t>
  </si>
  <si>
    <t>GF12.420.00.A</t>
  </si>
  <si>
    <t>GF12.430.00.A</t>
  </si>
  <si>
    <t>GF12.440.00.A</t>
  </si>
  <si>
    <t>GF12.450.00.A</t>
  </si>
  <si>
    <t>GF12.460.00.A</t>
  </si>
  <si>
    <t>GF12.470.00.A</t>
  </si>
  <si>
    <t>GF12.004.00.A</t>
  </si>
  <si>
    <t>GF12.400.01.A</t>
  </si>
  <si>
    <t>GF12.411.00.A</t>
  </si>
  <si>
    <t>GF12.412.00.A</t>
  </si>
  <si>
    <t>GF12.413.00.A</t>
  </si>
  <si>
    <t>GF12.414.00.A</t>
  </si>
  <si>
    <t>GF12.415.00.A</t>
  </si>
  <si>
    <t>GF12.416.00.A</t>
  </si>
  <si>
    <t>GF12.410.05.A</t>
  </si>
  <si>
    <t>JFRM-2835TR16X4</t>
  </si>
  <si>
    <t>GF12.411.01.A</t>
  </si>
  <si>
    <t>GF12.411.02.A</t>
  </si>
  <si>
    <t>GF12.411.03.A</t>
  </si>
  <si>
    <t>GF12.411.04.A</t>
  </si>
  <si>
    <t>KB30GUU</t>
  </si>
  <si>
    <t>9968K36</t>
  </si>
  <si>
    <t xml:space="preserve">M10 X 1.5 X 20 HEX SHCS, </t>
  </si>
  <si>
    <t>M12 X 1.75 X 25 SBHCS</t>
  </si>
  <si>
    <t>90X90, M12 | M12, 689.0MM</t>
  </si>
  <si>
    <t>GF12.412.01.A</t>
  </si>
  <si>
    <t>GF12.412.02.A</t>
  </si>
  <si>
    <t>GF12.412.03.A</t>
  </si>
  <si>
    <t>GF12.412.04.B</t>
  </si>
  <si>
    <t>GF12.412.05.B</t>
  </si>
  <si>
    <t>UCP207 35MM</t>
  </si>
  <si>
    <t>R911384572</t>
  </si>
  <si>
    <t>MV0000190350</t>
  </si>
  <si>
    <t>2977N119</t>
  </si>
  <si>
    <t>R911372064</t>
  </si>
  <si>
    <t xml:space="preserve">M10 X 1.5 X 25 HEX SHCS, </t>
  </si>
  <si>
    <t>GF12.413.01.A</t>
  </si>
  <si>
    <t>GF12.413.02.A</t>
  </si>
  <si>
    <t>GF12.413.03.A</t>
  </si>
  <si>
    <t>GF12.413.04.A</t>
  </si>
  <si>
    <t>GF12.413.05.A</t>
  </si>
  <si>
    <t>GF12.413.06.A</t>
  </si>
  <si>
    <t>MI-ADAPT-BAY-A01</t>
  </si>
  <si>
    <t>ISO-1/2X26</t>
  </si>
  <si>
    <t>HCA-0.5X26-277-2000W-O11203</t>
  </si>
  <si>
    <t>91390A552</t>
  </si>
  <si>
    <t>SPTC-A100J-3-60-1-AA-O11203</t>
  </si>
  <si>
    <t>M5 X 0.8 X 12 SOCKET SSFP</t>
  </si>
  <si>
    <t>M4 X 0.7 X 6 SBHCS</t>
  </si>
  <si>
    <t>GF12.414.01.B</t>
  </si>
  <si>
    <t>GF12.414.02.B</t>
  </si>
  <si>
    <t>GF12.414.04.A</t>
  </si>
  <si>
    <t>GF12.414.05.A</t>
  </si>
  <si>
    <t>91611A410</t>
  </si>
  <si>
    <t>90373A136</t>
  </si>
  <si>
    <t>PSFJ30-610</t>
  </si>
  <si>
    <t>3088A302</t>
  </si>
  <si>
    <t>M12 X 1.75 X 60 HEX SHCS</t>
  </si>
  <si>
    <t>GF12.415.01.B</t>
  </si>
  <si>
    <t>R165111320</t>
  </si>
  <si>
    <t>half have a brake, half don’t</t>
  </si>
  <si>
    <t>fittings on all breaks</t>
  </si>
  <si>
    <t>GF12.416.01.A</t>
  </si>
  <si>
    <t>GF12.416.02.A</t>
  </si>
  <si>
    <t>GF12.416.03.A</t>
  </si>
  <si>
    <t>9961K22</t>
  </si>
  <si>
    <t>GF12.422.00.A</t>
  </si>
  <si>
    <t>GF12.423.00.A</t>
  </si>
  <si>
    <t>MV0000190349</t>
  </si>
  <si>
    <t>R911372053</t>
  </si>
  <si>
    <t>GF12.423.01.A</t>
  </si>
  <si>
    <t>GF12.453.00.A</t>
  </si>
  <si>
    <t>GF12.463.00.A</t>
  </si>
  <si>
    <t>GF12.463.01.A</t>
  </si>
  <si>
    <t>GF12.471.00.A</t>
  </si>
  <si>
    <t>GF12.473.00.A</t>
  </si>
  <si>
    <t>GF12.470.01.B</t>
  </si>
  <si>
    <t>GF12.470.02.B</t>
  </si>
  <si>
    <t>GF12.470.03.B</t>
  </si>
  <si>
    <t>NART10VUUR</t>
  </si>
  <si>
    <t>34LM012P5</t>
  </si>
  <si>
    <t>CIMRS10-12-1.0</t>
  </si>
  <si>
    <t>TWSSM20-12-7.5</t>
  </si>
  <si>
    <t>TWSSM20-10-10</t>
  </si>
  <si>
    <t>TWSSM20-10-8.5</t>
  </si>
  <si>
    <t>KQ2T06-04A</t>
  </si>
  <si>
    <t>KQ2H04-06A</t>
  </si>
  <si>
    <t>1277N725</t>
  </si>
  <si>
    <t>6484K239</t>
  </si>
  <si>
    <t>6484K445</t>
  </si>
  <si>
    <t>TWSSM20-10-9.5</t>
  </si>
  <si>
    <t>DSK-00061748</t>
  </si>
  <si>
    <t>3388N21</t>
  </si>
  <si>
    <t>90X90, -|-, 1679MM</t>
  </si>
  <si>
    <t>90X90, D17|D17, 732.57MM</t>
  </si>
  <si>
    <t>90X90, D17|D17, 318.92MM</t>
  </si>
  <si>
    <t>90X90, D17|D17, 800.86MM</t>
  </si>
  <si>
    <t>GF12.471.01.B</t>
  </si>
  <si>
    <t>GF12.471.02.A</t>
  </si>
  <si>
    <t>CE.84233-C1</t>
  </si>
  <si>
    <t>CE.85921</t>
  </si>
  <si>
    <t>inside pushbUtton box/position indicator</t>
  </si>
  <si>
    <t>GF12.472.01.A</t>
  </si>
  <si>
    <t>R164510341 L-400mm T-20mm</t>
  </si>
  <si>
    <t>GF12.473.01.A</t>
  </si>
  <si>
    <t>7162K64</t>
  </si>
  <si>
    <t>7162K62</t>
  </si>
  <si>
    <t>6-32 X 0.25IN SBHCS</t>
  </si>
  <si>
    <t xml:space="preserve">PLAIN WASHER, #6, NARROW, </t>
  </si>
  <si>
    <t>GF12.510.00.A</t>
  </si>
  <si>
    <t>GF12.520.00.A</t>
  </si>
  <si>
    <t>GF12.530.00.A</t>
  </si>
  <si>
    <t>GF12.005.00.A</t>
  </si>
  <si>
    <t>GF12.511.00.A</t>
  </si>
  <si>
    <t>GF12.512.00.A</t>
  </si>
  <si>
    <t>GF12.513.00.A</t>
  </si>
  <si>
    <t>GF12.514.00.A</t>
  </si>
  <si>
    <t>GF12.515.00.A</t>
  </si>
  <si>
    <t>GF12.516.00.A</t>
  </si>
  <si>
    <t>GF12.511.01.A</t>
  </si>
  <si>
    <t>GF12.511.02.A</t>
  </si>
  <si>
    <t>GF12.511.03.A</t>
  </si>
  <si>
    <t>M12 X 1.75 X 35 SOCKET FCHS,</t>
  </si>
  <si>
    <t>M12 X 1.75 X 30 SBHCS,</t>
  </si>
  <si>
    <t>90X90, M12|M12, 842MM</t>
  </si>
  <si>
    <t>90X90, M12|M12, 336.05MM</t>
  </si>
  <si>
    <t>GF12.522.01.B</t>
  </si>
  <si>
    <t>MV0000190347</t>
  </si>
  <si>
    <t>GF12.513.01.A</t>
  </si>
  <si>
    <t>GF12.513.02.A</t>
  </si>
  <si>
    <t>GF12.513.03.A</t>
  </si>
  <si>
    <t>GF12.513.04.A</t>
  </si>
  <si>
    <t>GF12.513.05.A</t>
  </si>
  <si>
    <t>ISO-1/2X49</t>
  </si>
  <si>
    <t>HCA-0.5X24.5-277-1850W-O11203</t>
  </si>
  <si>
    <t>SPTC-A100J-3-24-1-AA-O11203</t>
  </si>
  <si>
    <t>GF12.514.01.A</t>
  </si>
  <si>
    <t>GF12.515.01.A</t>
  </si>
  <si>
    <t>GF12.516.01.A</t>
  </si>
  <si>
    <t>GF12.522.00.A</t>
  </si>
  <si>
    <t>GF12.523.00.A</t>
  </si>
  <si>
    <t>MV0000190348</t>
  </si>
  <si>
    <t>GF12.523.01.A</t>
  </si>
  <si>
    <t>GF12.530.01.C</t>
  </si>
  <si>
    <t>GF12.530.02.B</t>
  </si>
  <si>
    <t>KQ2U04-00A</t>
  </si>
  <si>
    <t>98089A356</t>
  </si>
  <si>
    <t>**THESE NEED TO BE GROUND DOWN TO 37-38MM**</t>
  </si>
  <si>
    <t>45X45, M12|M12, 1539.5MM</t>
  </si>
  <si>
    <t>GF12.540.01.A</t>
  </si>
  <si>
    <t>GF12.540.02.A</t>
  </si>
  <si>
    <t>GF12.540.03.A</t>
  </si>
  <si>
    <t>GF12.540.04.A</t>
  </si>
  <si>
    <t>GF12.540.05.A</t>
  </si>
  <si>
    <t>GF12.540.06.A</t>
  </si>
  <si>
    <t>GN.16291</t>
  </si>
  <si>
    <t>92981A746</t>
  </si>
  <si>
    <t>ROCRHS50A-25</t>
  </si>
  <si>
    <t>90154A273</t>
  </si>
  <si>
    <t>M4 x 0.7 x 8 SOCKET SET SCREW</t>
  </si>
  <si>
    <t>GF12.006.00.A</t>
  </si>
  <si>
    <t>GF12.008.00.A</t>
  </si>
  <si>
    <t>GF12.610.00.A</t>
  </si>
  <si>
    <t>GF12.620.00.A</t>
  </si>
  <si>
    <t>GF12.630.00.A</t>
  </si>
  <si>
    <t>GF12.640.00.A</t>
  </si>
  <si>
    <t>GF12.650.00.A</t>
  </si>
  <si>
    <t>GF12.660.00.A</t>
  </si>
  <si>
    <t>GF12.610.01.A</t>
  </si>
  <si>
    <t>R164520341 L-1926mm  T-33mm</t>
  </si>
  <si>
    <t>90X90, -|-, 1926MM</t>
  </si>
  <si>
    <t>90X90, D17|D17, 570.4MM</t>
  </si>
  <si>
    <t>90X90, D17|D17, 522MM</t>
  </si>
  <si>
    <t>90X90, M12|D17, 351.6MM</t>
  </si>
  <si>
    <t>90X90, D17|-, 400MM</t>
  </si>
  <si>
    <t>2301-137Rev.3</t>
  </si>
  <si>
    <t>GF12.631.00.A</t>
  </si>
  <si>
    <t>GF12.632.00.A</t>
  </si>
  <si>
    <t>GF12.633.00.A</t>
  </si>
  <si>
    <t>GF12.634.00.A</t>
  </si>
  <si>
    <t>45X90, M12|D17, 382.81MM</t>
  </si>
  <si>
    <t>45X90, M12|-, 1088.45MM</t>
  </si>
  <si>
    <t>GF12.631.10.A</t>
  </si>
  <si>
    <t>GF12.632.01.A</t>
  </si>
  <si>
    <t>GF12.632.02.A</t>
  </si>
  <si>
    <t>GF12.632.03.A</t>
  </si>
  <si>
    <t>GF12.632.04.A</t>
  </si>
  <si>
    <t>GF12.632.05.A</t>
  </si>
  <si>
    <t>GF12.632.06.A</t>
  </si>
  <si>
    <t>GF12.632.07.A</t>
  </si>
  <si>
    <t>GF12.632.08.A</t>
  </si>
  <si>
    <t>GF12.632.09.A</t>
  </si>
  <si>
    <t>GF12.632.10.A</t>
  </si>
  <si>
    <t>GF12.632.11.B</t>
  </si>
  <si>
    <t>GF12.632.12.B</t>
  </si>
  <si>
    <t>GF12.632.13.A</t>
  </si>
  <si>
    <t>GF12.632.14.A</t>
  </si>
  <si>
    <t xml:space="preserve">94669A171 </t>
  </si>
  <si>
    <t>97310A113</t>
  </si>
  <si>
    <t>94510A250</t>
  </si>
  <si>
    <t>238137-C1</t>
  </si>
  <si>
    <t>238141-C1</t>
  </si>
  <si>
    <t>AMSC6-13-12.7</t>
  </si>
  <si>
    <t>GF12.633.02.A</t>
  </si>
  <si>
    <t>GF12.633.03.A</t>
  </si>
  <si>
    <t>GF12.633.04.A</t>
  </si>
  <si>
    <t>GF12.633.05.A</t>
  </si>
  <si>
    <t>GF12.633.06.A</t>
  </si>
  <si>
    <t>GF12.633.07.A</t>
  </si>
  <si>
    <t>GF12.633.08.A</t>
  </si>
  <si>
    <t>GF12.633.09.A</t>
  </si>
  <si>
    <t>GF12.633.14.A</t>
  </si>
  <si>
    <t>GF12.634.01.A</t>
  </si>
  <si>
    <t>GF12.634.02.A</t>
  </si>
  <si>
    <t>234011-C1</t>
  </si>
  <si>
    <t>GF12.640.01.B</t>
  </si>
  <si>
    <t>GF12.640.02.A</t>
  </si>
  <si>
    <t>GF12.640.03.A</t>
  </si>
  <si>
    <t>GF12.640.04.A</t>
  </si>
  <si>
    <t>GF12.640.05.B</t>
  </si>
  <si>
    <t>GF12.640.06.A</t>
  </si>
  <si>
    <t>GFM-2023-11</t>
  </si>
  <si>
    <t>PSFU20-1270</t>
  </si>
  <si>
    <t>6484K452</t>
  </si>
  <si>
    <t>M5 X 0.8 X 5 SBHCS,</t>
  </si>
  <si>
    <t>90X90, D17|D17, 679.0MM</t>
  </si>
  <si>
    <t>90X90, M12|M12, 1539.51MM</t>
  </si>
  <si>
    <t>GF12.651.00.A</t>
  </si>
  <si>
    <t>GF12.652.00.A</t>
  </si>
  <si>
    <t>GF12.653.00.A</t>
  </si>
  <si>
    <t>GF12.654.00.A</t>
  </si>
  <si>
    <t>GF12.655.00.A</t>
  </si>
  <si>
    <t>GF12.656.00.A</t>
  </si>
  <si>
    <t>GF12.650.01.B</t>
  </si>
  <si>
    <t>GF12.650.03.A</t>
  </si>
  <si>
    <t>R164510341 L-356mm T-28mm</t>
  </si>
  <si>
    <t>AS2052F-06A</t>
  </si>
  <si>
    <t>BMY3-016</t>
  </si>
  <si>
    <t>MY3B25-300H</t>
  </si>
  <si>
    <t>ZH10DSA-06-06-08</t>
  </si>
  <si>
    <t>LHFCMF20</t>
  </si>
  <si>
    <t>M3 X 0.5 X 12 HEX SHCS,</t>
  </si>
  <si>
    <t xml:space="preserve">M6 X 1.0 X 30 HEX SHCS, </t>
  </si>
  <si>
    <t>GF12.651.01.B</t>
  </si>
  <si>
    <t>GF12.651.02.A</t>
  </si>
  <si>
    <t>GF12.651.03.A</t>
  </si>
  <si>
    <t>GF12.651.04.A</t>
  </si>
  <si>
    <t>AJKTNM8-50</t>
  </si>
  <si>
    <t>GN.67101</t>
  </si>
  <si>
    <t>1909A59</t>
  </si>
  <si>
    <t xml:space="preserve">M5 X 0.8 X 25 HEX SHCS, </t>
  </si>
  <si>
    <t>GF12.653.01.A</t>
  </si>
  <si>
    <t>GF12.653.02.A</t>
  </si>
  <si>
    <t>GF12.653.03.A</t>
  </si>
  <si>
    <t>GF12.653.04.A</t>
  </si>
  <si>
    <t>GF12.653.05.A</t>
  </si>
  <si>
    <t>91455A612</t>
  </si>
  <si>
    <t>94669A196</t>
  </si>
  <si>
    <t xml:space="preserve">M6 X 1.0 X 60 HEX SHCS, </t>
  </si>
  <si>
    <t>GF12.654.01.A</t>
  </si>
  <si>
    <t>GF12.654.02.A</t>
  </si>
  <si>
    <t>GF12.654.03.A</t>
  </si>
  <si>
    <t>GF12.654.04.A</t>
  </si>
  <si>
    <t>GF12.654.05.A</t>
  </si>
  <si>
    <t>GF12.654.06.A</t>
  </si>
  <si>
    <t>MFS02-S-KHC-P1-PNP</t>
  </si>
  <si>
    <t>91455A611</t>
  </si>
  <si>
    <t>91595A452</t>
  </si>
  <si>
    <t>92625A135</t>
  </si>
  <si>
    <t>AJSCM4-20</t>
  </si>
  <si>
    <t>AJKTN4-20</t>
  </si>
  <si>
    <t>GK35N-B</t>
  </si>
  <si>
    <t xml:space="preserve">PLAIN WASHER, 3 mm, NARROW, </t>
  </si>
  <si>
    <t>GF12.655.01.A</t>
  </si>
  <si>
    <t>GF12.655.02.B</t>
  </si>
  <si>
    <t>GF12.655.03.A</t>
  </si>
  <si>
    <t>GF12.655.04.A</t>
  </si>
  <si>
    <t>GF12.655.05.A</t>
  </si>
  <si>
    <t>GF12.655.06.A</t>
  </si>
  <si>
    <t>GF12.655.07.A</t>
  </si>
  <si>
    <t>94510A045</t>
  </si>
  <si>
    <t>69823-C9</t>
  </si>
  <si>
    <t>GF12.650.02.A</t>
  </si>
  <si>
    <t>GF12.650.04.A</t>
  </si>
  <si>
    <t>GF12.650.05.A</t>
  </si>
  <si>
    <t>GF12.650.06.A</t>
  </si>
  <si>
    <t>CDM2WL32-125Z-XC38</t>
  </si>
  <si>
    <t>93245A435</t>
  </si>
  <si>
    <t>5233T699</t>
  </si>
  <si>
    <t>MYAJ25</t>
  </si>
  <si>
    <t>GF12.663.00.A</t>
  </si>
  <si>
    <t>GF12.664.00.A</t>
  </si>
  <si>
    <t>GF12.665.00.A</t>
  </si>
  <si>
    <t>GF12.663.04.A</t>
  </si>
  <si>
    <t>GF12.663.05.A</t>
  </si>
  <si>
    <t>94669A208</t>
  </si>
  <si>
    <t xml:space="preserve">M6 X 1.0 X 80 HEX SHCS, </t>
  </si>
  <si>
    <t>GF12.710.00.A</t>
  </si>
  <si>
    <t>GF12.720.00.A</t>
  </si>
  <si>
    <t>GF12.730.00.A</t>
  </si>
  <si>
    <t>GF12.740.00.A</t>
  </si>
  <si>
    <t>GF12.750.00.A</t>
  </si>
  <si>
    <t>GF12.710.01.A</t>
  </si>
  <si>
    <t>GF12.710.02.A</t>
  </si>
  <si>
    <t>GF12.710.03.A</t>
  </si>
  <si>
    <t>GF12.710.04.A</t>
  </si>
  <si>
    <t>06-16-038-0 (4.72')</t>
  </si>
  <si>
    <t>060‐16‐12‐A2</t>
  </si>
  <si>
    <t>M5 X 0.8 X 16 SOCKET FCHS,</t>
  </si>
  <si>
    <t>45X90, M12|M12, 1653.5MM</t>
  </si>
  <si>
    <t>GF12.720.01.A</t>
  </si>
  <si>
    <t>R037551023</t>
  </si>
  <si>
    <t>CKR-090-NN-1-1496mm</t>
  </si>
  <si>
    <t>R911383478</t>
  </si>
  <si>
    <t xml:space="preserve">M6 X 1.0 X 30 SOCKET FCHS, </t>
  </si>
  <si>
    <t>GF12.730.01.A</t>
  </si>
  <si>
    <t>GF12.730.02.A</t>
  </si>
  <si>
    <t>GF12.730.03.B</t>
  </si>
  <si>
    <t>02023-01</t>
  </si>
  <si>
    <t>022198</t>
  </si>
  <si>
    <t>GF12.740.01.A</t>
  </si>
  <si>
    <t>GF12.740.02.A</t>
  </si>
  <si>
    <t>GF12.740.03.A</t>
  </si>
  <si>
    <t>GN.15956</t>
  </si>
  <si>
    <t>91595A636</t>
  </si>
  <si>
    <t>CDQ2A25-20DZ</t>
  </si>
  <si>
    <t xml:space="preserve">M6 X 1.0 X 20 SOCKET FCHS, </t>
  </si>
  <si>
    <t>GF12.750.01.A</t>
  </si>
  <si>
    <t>SV2000-55-1-5</t>
  </si>
  <si>
    <t>KQ2R06-08A</t>
  </si>
  <si>
    <t>KQ2U06-00A</t>
  </si>
  <si>
    <t>KQ2R04-08A</t>
  </si>
  <si>
    <t>GF12.810.00.A</t>
  </si>
  <si>
    <t>GF12.820.00.A</t>
  </si>
  <si>
    <t>GF12.811.00.A</t>
  </si>
  <si>
    <t>90X90, -|-, 730MM</t>
  </si>
  <si>
    <t>90X90, D17|D17, 1234MM</t>
  </si>
  <si>
    <t>90X90, D17|D17, 550MM</t>
  </si>
  <si>
    <t>90X90, M12|D17, 620MM</t>
  </si>
  <si>
    <t>GF12.811.01.A</t>
  </si>
  <si>
    <t>201558</t>
  </si>
  <si>
    <t>MV0000187992</t>
  </si>
  <si>
    <t>32EDM48-0300202A010102</t>
  </si>
  <si>
    <t>32MBPSA-2016</t>
  </si>
  <si>
    <t>98635</t>
  </si>
  <si>
    <t>Job #</t>
  </si>
  <si>
    <t>Assy</t>
  </si>
  <si>
    <t>Rev</t>
  </si>
  <si>
    <t>Locations</t>
  </si>
  <si>
    <t>Drawing?</t>
  </si>
  <si>
    <t>HARDWARE FIXED IN MODEL ?</t>
  </si>
  <si>
    <t>ALL PARTS CHECKED IN?</t>
  </si>
  <si>
    <t xml:space="preserve"> </t>
  </si>
  <si>
    <t>000</t>
  </si>
  <si>
    <t>00</t>
  </si>
  <si>
    <t>2-Up Bag Machine</t>
  </si>
  <si>
    <t>001</t>
  </si>
  <si>
    <t>Main Controls Enclosure Assembly</t>
  </si>
  <si>
    <t>002</t>
  </si>
  <si>
    <t>Unwind Controls Enclosure</t>
  </si>
  <si>
    <t>003</t>
  </si>
  <si>
    <t>Spout I/O Enclosure</t>
  </si>
  <si>
    <t>004</t>
  </si>
  <si>
    <t>Side Seal I/O Enclosure</t>
  </si>
  <si>
    <t>005</t>
  </si>
  <si>
    <t>Cross Seal I/O Enclosure</t>
  </si>
  <si>
    <t>006</t>
  </si>
  <si>
    <t>Cap I/O Enclosure</t>
  </si>
  <si>
    <t>007</t>
  </si>
  <si>
    <t>Spout Bowl Enclosure</t>
  </si>
  <si>
    <t>008</t>
  </si>
  <si>
    <t>Cap Bowl Enclosure</t>
  </si>
  <si>
    <t>009</t>
  </si>
  <si>
    <t>HMI Enclosure</t>
  </si>
  <si>
    <t>100</t>
  </si>
  <si>
    <t>Frame Assembly</t>
  </si>
  <si>
    <t>EL 9/8/23</t>
  </si>
  <si>
    <t>110</t>
  </si>
  <si>
    <t>Lower Main Frame Assembly</t>
  </si>
  <si>
    <t>EL 9/7/23</t>
  </si>
  <si>
    <t>EL 10/4/23</t>
  </si>
  <si>
    <t>111</t>
  </si>
  <si>
    <t>M8 Leveling Foot Assembly</t>
  </si>
  <si>
    <t>112</t>
  </si>
  <si>
    <t>Extrusion Joining Assembly</t>
  </si>
  <si>
    <t>113</t>
  </si>
  <si>
    <t>.300, .600 Rail Assembly</t>
  </si>
  <si>
    <t>EL 8/29/23</t>
  </si>
  <si>
    <t>114</t>
  </si>
  <si>
    <t>.500 Upper Rail Assembly</t>
  </si>
  <si>
    <t>115</t>
  </si>
  <si>
    <t>.500 Lower Rail Assembly</t>
  </si>
  <si>
    <t>116</t>
  </si>
  <si>
    <t>Single Web Roller Assembly</t>
  </si>
  <si>
    <t>117</t>
  </si>
  <si>
    <t>Frame Gusset</t>
  </si>
  <si>
    <t>118</t>
  </si>
  <si>
    <t>Exh Manifold, 4x 10mm to 1-4</t>
  </si>
  <si>
    <t>119</t>
  </si>
  <si>
    <t>Exh Manifold, 2x 10mm 1-4, 2x 8mm to 1-4</t>
  </si>
  <si>
    <t>120</t>
  </si>
  <si>
    <t>Guard Frame Assembly</t>
  </si>
  <si>
    <t>NEED EXTRUSION 120.714; PLASTIC PARTS 120.01 - 120.07</t>
  </si>
  <si>
    <t>121</t>
  </si>
  <si>
    <t>Door Mag Lock Assembly</t>
  </si>
  <si>
    <t>122</t>
  </si>
  <si>
    <t>Key Station No Reset Assembly</t>
  </si>
  <si>
    <t>123</t>
  </si>
  <si>
    <t>HMI Pendant Assembly</t>
  </si>
  <si>
    <t>124</t>
  </si>
  <si>
    <t>Doors 5-6</t>
  </si>
  <si>
    <t>125</t>
  </si>
  <si>
    <t>Doors 7-8</t>
  </si>
  <si>
    <t>126</t>
  </si>
  <si>
    <t>Doors 9-10</t>
  </si>
  <si>
    <t>127</t>
  </si>
  <si>
    <t>Doors 11-12</t>
  </si>
  <si>
    <t>128</t>
  </si>
  <si>
    <t>Doors 13-14</t>
  </si>
  <si>
    <t>130</t>
  </si>
  <si>
    <t>Segmented Nip Assembly</t>
  </si>
  <si>
    <t>EL 8/28/23</t>
  </si>
  <si>
    <t>131</t>
  </si>
  <si>
    <t>Segmented Idler Nip Assy</t>
  </si>
  <si>
    <t>132</t>
  </si>
  <si>
    <t>Solid Driven Nip Assy</t>
  </si>
  <si>
    <t>EL 10/17/23</t>
  </si>
  <si>
    <t>133</t>
  </si>
  <si>
    <t>Servo Assembly</t>
  </si>
  <si>
    <t>134</t>
  </si>
  <si>
    <t>Nip Manifold Assy</t>
  </si>
  <si>
    <t>EL 10/5/23</t>
  </si>
  <si>
    <t>140</t>
  </si>
  <si>
    <t>Center Knife Assembly</t>
  </si>
  <si>
    <t>141</t>
  </si>
  <si>
    <t>Center Slit Knife Handwheel Assy</t>
  </si>
  <si>
    <t>NEED TO ORDER ELESA CE.84183-C1</t>
  </si>
  <si>
    <t>150</t>
  </si>
  <si>
    <t>Lower Polycarb Panels</t>
  </si>
  <si>
    <t>NEED PLASTIC PARTS 150.01 - 150.07</t>
  </si>
  <si>
    <t>160</t>
  </si>
  <si>
    <t>Air Prep Assy</t>
  </si>
  <si>
    <t>NEED TO MACHINE PLATE 160.01.A</t>
  </si>
  <si>
    <t>170</t>
  </si>
  <si>
    <t>Main Overhead Air Supply</t>
  </si>
  <si>
    <t>NEED PREVOST AIR COMPONENTS, PO 55123</t>
  </si>
  <si>
    <t>180</t>
  </si>
  <si>
    <t>Plinth and Wireway Assy</t>
  </si>
  <si>
    <t>200</t>
  </si>
  <si>
    <t>Unwind and Punch Assembly</t>
  </si>
  <si>
    <t>EL 9/11/23</t>
  </si>
  <si>
    <t>210</t>
  </si>
  <si>
    <t>Unwind Frame</t>
  </si>
  <si>
    <t>NEED EXTRUSION 210.712; PLASTIC PARTS 210.05 - 210.06</t>
  </si>
  <si>
    <t>211</t>
  </si>
  <si>
    <t>Unwind Rail Assembly</t>
  </si>
  <si>
    <t>212</t>
  </si>
  <si>
    <t>Edge Guide Actuator Assembly</t>
  </si>
  <si>
    <t>EL 8/30/23</t>
  </si>
  <si>
    <t>213</t>
  </si>
  <si>
    <t>Edge Guide Eye Assembly</t>
  </si>
  <si>
    <t>NEED TO ORDER MURR 7000-12221-6340500</t>
  </si>
  <si>
    <t>214</t>
  </si>
  <si>
    <t>Exh Manifold, 2x 8mm 1-8, 2x 4mm to 1-8</t>
  </si>
  <si>
    <t>215</t>
  </si>
  <si>
    <t>Static Dancer Roller Assembly</t>
  </si>
  <si>
    <t>216</t>
  </si>
  <si>
    <t>Actuated Dancer Roller Assembly</t>
  </si>
  <si>
    <t>NEED TO ORDER MURR 7000-08061-6110750, NEED SICK 2066626 PO 55182</t>
  </si>
  <si>
    <t>217</t>
  </si>
  <si>
    <t>Manifold 1 Punch Assy</t>
  </si>
  <si>
    <t>218</t>
  </si>
  <si>
    <t>ITV Assy</t>
  </si>
  <si>
    <t>219</t>
  </si>
  <si>
    <t>Exh Manifold, 2x 10mm to 1-4</t>
  </si>
  <si>
    <t>220</t>
  </si>
  <si>
    <t>Unwind Roll Assembly</t>
  </si>
  <si>
    <t>221</t>
  </si>
  <si>
    <t>Unwind Short Roller Assembly</t>
  </si>
  <si>
    <t>222</t>
  </si>
  <si>
    <t>Unwind Long Roller Assembly</t>
  </si>
  <si>
    <t>223</t>
  </si>
  <si>
    <t>Unwind Laser Assembly</t>
  </si>
  <si>
    <t>230</t>
  </si>
  <si>
    <t>Solid Nip Assembly</t>
  </si>
  <si>
    <t>231</t>
  </si>
  <si>
    <t>Solid Idler Nip Assy</t>
  </si>
  <si>
    <t>240</t>
  </si>
  <si>
    <t>Punch Assembly</t>
  </si>
  <si>
    <t>EL 9/6/23</t>
  </si>
  <si>
    <t>241</t>
  </si>
  <si>
    <t>242</t>
  </si>
  <si>
    <t>Punch Handwheel Assembly</t>
  </si>
  <si>
    <t>EL 9/5/23</t>
  </si>
  <si>
    <t>243</t>
  </si>
  <si>
    <t>244</t>
  </si>
  <si>
    <t>Anvil Assembly</t>
  </si>
  <si>
    <t>245</t>
  </si>
  <si>
    <t>Punch Lead Screw Offset Assembly</t>
  </si>
  <si>
    <t>250</t>
  </si>
  <si>
    <t>Punch Compensator Assembly</t>
  </si>
  <si>
    <t>251</t>
  </si>
  <si>
    <t>2 Roll Compensator Assembly</t>
  </si>
  <si>
    <t>252</t>
  </si>
  <si>
    <t>Single Compensator Roll Assembly</t>
  </si>
  <si>
    <t>253</t>
  </si>
  <si>
    <t>Compensator HandWheel Assembly</t>
  </si>
  <si>
    <t>NEED TO ORDER ELESA CE.84253-C1</t>
  </si>
  <si>
    <t>260</t>
  </si>
  <si>
    <t>Doors 3-4</t>
  </si>
  <si>
    <t>NEED PLASTIC PART 260.01, HANDLE BRX 3842525766</t>
  </si>
  <si>
    <t>270</t>
  </si>
  <si>
    <t>Doors 1-2</t>
  </si>
  <si>
    <t>NEED PLASTIC PART 270.01, HANDLE BRX 3842525766</t>
  </si>
  <si>
    <t>280</t>
  </si>
  <si>
    <t>Unwind Overhead Guard</t>
  </si>
  <si>
    <t>290</t>
  </si>
  <si>
    <t>Unwind Clear Guarding</t>
  </si>
  <si>
    <t>NEED PLASTIC PART 290.01</t>
  </si>
  <si>
    <t>300</t>
  </si>
  <si>
    <t>Spout Seal Assembly</t>
  </si>
  <si>
    <t>EL 9/19/23</t>
  </si>
  <si>
    <t>310</t>
  </si>
  <si>
    <t>Spout Bowl Frame</t>
  </si>
  <si>
    <t>311</t>
  </si>
  <si>
    <t>M12 Leveling Foot Assy</t>
  </si>
  <si>
    <t>320</t>
  </si>
  <si>
    <t>Spout Bowl Feeder Assembly</t>
  </si>
  <si>
    <t>330</t>
  </si>
  <si>
    <t>Spout Conveyor Assembly</t>
  </si>
  <si>
    <t>NEED EXTRUSIONS 330.701, 702, 703</t>
  </si>
  <si>
    <t>331</t>
  </si>
  <si>
    <t>Spout Diverter Assembly</t>
  </si>
  <si>
    <t>NEED PARTS 331.01, 331.08, 331.09 FROM PLATING, PART 331.07 FROM PO 55101 + PLATING, PLASTIC PART 331.10 FROM PO 55166</t>
  </si>
  <si>
    <t>332</t>
  </si>
  <si>
    <t>Spout Conveyor Assy A</t>
  </si>
  <si>
    <t>333</t>
  </si>
  <si>
    <t>Spout Conveyor Assy B</t>
  </si>
  <si>
    <t>334</t>
  </si>
  <si>
    <t>Spout Pre-Diverter Conveyor Assy</t>
  </si>
  <si>
    <t>340</t>
  </si>
  <si>
    <t>Spout Insert Module</t>
  </si>
  <si>
    <t>341</t>
  </si>
  <si>
    <t>Spout Module Frame Assembly</t>
  </si>
  <si>
    <t>EL 9/20/23</t>
  </si>
  <si>
    <t>SHAFT COLLAR, SHAFT COUPLING FROM MOTION PO 55171, NEED EXTRUSIONS 341.701, 702, 703, 704, 705, 706, 707, 708, 709</t>
  </si>
  <si>
    <t>342</t>
  </si>
  <si>
    <t>NEED NULINE-MADE PARTS 343.09, 343.10, 342.16</t>
  </si>
  <si>
    <t>343</t>
  </si>
  <si>
    <t>Spout Lift A-Side Assembly</t>
  </si>
  <si>
    <t>EL 9/21/23</t>
  </si>
  <si>
    <t>NEED PART 343.01, 343.02, 343.03, 343.05 BACK FROM PLATING, NEED NULINE-MADE PART 343.06</t>
  </si>
  <si>
    <t>344</t>
  </si>
  <si>
    <t>Spout Lift B-Side Assembly</t>
  </si>
  <si>
    <t>NEED PART 343.01, 344.02, 343.03, 343.05 BACK FROM PLATING, NEED NULINE-MADE PART 343.06</t>
  </si>
  <si>
    <t>345</t>
  </si>
  <si>
    <t>Geared Handwheel Assy</t>
  </si>
  <si>
    <t>NEED PART 345.01 BACK FROM PLATING, NEED NULINE-MADE PART 345.02</t>
  </si>
  <si>
    <t>346</t>
  </si>
  <si>
    <t>Crossweb Dual Handwheel Assy</t>
  </si>
  <si>
    <t>NEED PART 346.01, 346.04 BACK FROM PLATING, PART 346.03 FROM PO 55101 + PLATING, NEED TO ORDER ELESA CE.84213-C1</t>
  </si>
  <si>
    <t>400</t>
  </si>
  <si>
    <t>Side Seal Assembly</t>
  </si>
  <si>
    <t>EL 9/13/23</t>
  </si>
  <si>
    <t>410</t>
  </si>
  <si>
    <t>Lower Wall-Side Side Seal Cassette</t>
  </si>
  <si>
    <t>411</t>
  </si>
  <si>
    <t>Side Seal Cassette Frame</t>
  </si>
  <si>
    <t>EL 9/12/23</t>
  </si>
  <si>
    <t>412</t>
  </si>
  <si>
    <t>Lower Side Seal Servo Assembly</t>
  </si>
  <si>
    <t>413</t>
  </si>
  <si>
    <t>Lower Side Seal Head</t>
  </si>
  <si>
    <t>NEED TO CUT SILICONE RUBBER, NULINE-MADE PART 413.05</t>
  </si>
  <si>
    <t>414</t>
  </si>
  <si>
    <t>Side Seal Bar Rod End Assembly</t>
  </si>
  <si>
    <t>NEED PARTS 414.01.B AND 414.02.B BACK FROM PLATING</t>
  </si>
  <si>
    <t>415</t>
  </si>
  <si>
    <t>Side Seal Runner Block Assembly</t>
  </si>
  <si>
    <t>416</t>
  </si>
  <si>
    <t>Side Seal Teflon Roll Assy</t>
  </si>
  <si>
    <t>420</t>
  </si>
  <si>
    <t>Upper Wall-Side Side Seal Cassette</t>
  </si>
  <si>
    <t>422</t>
  </si>
  <si>
    <t>Upper Side Seal Servo Assembly</t>
  </si>
  <si>
    <t>423</t>
  </si>
  <si>
    <t>Upper Side Seal Head</t>
  </si>
  <si>
    <t>430</t>
  </si>
  <si>
    <t>Lower HMI-Side Side Seal Cassette</t>
  </si>
  <si>
    <t>440</t>
  </si>
  <si>
    <t>Upper HMI-Side Side Seal Cassette</t>
  </si>
  <si>
    <t>450</t>
  </si>
  <si>
    <t>Lower Center Side Seal Cassette</t>
  </si>
  <si>
    <t>453</t>
  </si>
  <si>
    <t>Lower Center Side Seal Head</t>
  </si>
  <si>
    <t>460</t>
  </si>
  <si>
    <t>Upper Center Side Seal Cassette</t>
  </si>
  <si>
    <t>463</t>
  </si>
  <si>
    <t>Upper Center Side Seal Head</t>
  </si>
  <si>
    <t>470</t>
  </si>
  <si>
    <t>Side Seal Frame</t>
  </si>
  <si>
    <t>EL 9/14/23</t>
  </si>
  <si>
    <t>NEED MISUMI SPACERS FROM PO 55168</t>
  </si>
  <si>
    <t>471</t>
  </si>
  <si>
    <t>Handwheel Assembly, Side Seal</t>
  </si>
  <si>
    <t>NEED NULINE-MADE PART 345.02, NEED TO ORDER ELESA CE.84233-C1</t>
  </si>
  <si>
    <t>472</t>
  </si>
  <si>
    <t>Side Seal Cassette Rail Assembly</t>
  </si>
  <si>
    <t>473</t>
  </si>
  <si>
    <t>Heater Plug Enclosure, Side Seal</t>
  </si>
  <si>
    <t>NEED NULINE-MADE PARTS 473.01</t>
  </si>
  <si>
    <t>500</t>
  </si>
  <si>
    <t>Cross Seal Assembly</t>
  </si>
  <si>
    <t>510</t>
  </si>
  <si>
    <t>Lower Cross Seal Cassette</t>
  </si>
  <si>
    <t>511</t>
  </si>
  <si>
    <t>Cross Seal Cassette Frame</t>
  </si>
  <si>
    <t>512</t>
  </si>
  <si>
    <t>Lower Cross Seal Servo Assembly</t>
  </si>
  <si>
    <t xml:space="preserve">NEED KEYS MCM 2977N119 ? </t>
  </si>
  <si>
    <t>513</t>
  </si>
  <si>
    <t>Lower Cross Seal Head</t>
  </si>
  <si>
    <t>NEED TO CUT SILICONE RUBBER, NULINE-MADE PART 513.05</t>
  </si>
  <si>
    <t>514</t>
  </si>
  <si>
    <t>Cross Seal 2-Plug Box</t>
  </si>
  <si>
    <t>NEED NULINE-MADE PART 514.01</t>
  </si>
  <si>
    <t>515</t>
  </si>
  <si>
    <t>Cross Seal 1-Plug Box</t>
  </si>
  <si>
    <t>NEED NULINE-MADE PART 515.01</t>
  </si>
  <si>
    <t>516</t>
  </si>
  <si>
    <t>Cross Seal Teflon Roll Assy</t>
  </si>
  <si>
    <t>520</t>
  </si>
  <si>
    <t>Upper Cross Seal Cassette</t>
  </si>
  <si>
    <t>522</t>
  </si>
  <si>
    <t>Upper Cross Seal Servo Assembly</t>
  </si>
  <si>
    <t>523</t>
  </si>
  <si>
    <t>Upper Cross Seal Head</t>
  </si>
  <si>
    <t>NEED 1AM030AFXK FROM MOTION PO 55171</t>
  </si>
  <si>
    <t>530</t>
  </si>
  <si>
    <t>Cross Seal Frame</t>
  </si>
  <si>
    <t>540</t>
  </si>
  <si>
    <t>Toe Rollers</t>
  </si>
  <si>
    <t>NEED PARTS 540.01, 540.02, 540.03, 540.04 + PLATING, PARTS 540.05, 540.06, NEED MISUMI ROCRHS50A-25 FROM PO 55168</t>
  </si>
  <si>
    <t>600</t>
  </si>
  <si>
    <t>Cap Inserter Assy</t>
  </si>
  <si>
    <t>EL 9/23/23</t>
  </si>
  <si>
    <t>610</t>
  </si>
  <si>
    <t>Cap Bowl Frame</t>
  </si>
  <si>
    <t>EL 9/22/23</t>
  </si>
  <si>
    <t>620</t>
  </si>
  <si>
    <t>Cap Bowl Feeder Assembly</t>
  </si>
  <si>
    <t>630</t>
  </si>
  <si>
    <t>Cap Conveyor Assembly</t>
  </si>
  <si>
    <t>NEED EXTRUSIONS 630.701, 702, 703</t>
  </si>
  <si>
    <t>631</t>
  </si>
  <si>
    <t>Cap Diverter Assembly</t>
  </si>
  <si>
    <t>NEED PARTS 331.01, 331.08, 331.09 FROM PLATING, PART 331.07 FROM PO 55101 + PLATING, PLASTIC PART 631.10 FROM PO 55166</t>
  </si>
  <si>
    <t>632</t>
  </si>
  <si>
    <t>Cap Conveyor Assy A</t>
  </si>
  <si>
    <t>633</t>
  </si>
  <si>
    <t>Cap Conveyor Assy B</t>
  </si>
  <si>
    <t>634</t>
  </si>
  <si>
    <t>Cap Pre-Diverter Conveyor Assy</t>
  </si>
  <si>
    <t>640</t>
  </si>
  <si>
    <t>Cap Module Frame</t>
  </si>
  <si>
    <t>NEED PARTS 640.01, 640.03, 640.04, 640.05, 640.06, 341.04 FROM PLATING, PART 341.02, 341.03 FROM PO 55101 + PLATING, MISUMI SPACERS FROM PO 55168, NEED EXTRUSIONS 640.701, 702, 703, 704, 705</t>
  </si>
  <si>
    <t>650</t>
  </si>
  <si>
    <t>Cap Pick N Place A Side Assy</t>
  </si>
  <si>
    <t>NEED PARTS 650.03 FROM PLATING, PART 650.01 FROM PO 55101 + PLATING</t>
  </si>
  <si>
    <t>651</t>
  </si>
  <si>
    <t>Pick Cylinder Stop Assembly</t>
  </si>
  <si>
    <t>NEED PARTS 651.01, 651.02, 651.03, 651.04 FROM PLATING, NEED TO ORDER MURR 7000-08061-6110750</t>
  </si>
  <si>
    <t>652</t>
  </si>
  <si>
    <t>Place Cylinder Stop Assembly</t>
  </si>
  <si>
    <t>653</t>
  </si>
  <si>
    <t>Cap Escapement Assembly-A Side</t>
  </si>
  <si>
    <t>NEED PARTS 653.01, 653.02 FROM PLATING</t>
  </si>
  <si>
    <t>654</t>
  </si>
  <si>
    <t>Cap Gripper A Side Assembly-A Side</t>
  </si>
  <si>
    <t>NEED PARTS 654.01, 654.02, 654.03, 654.04, 654.05, 654.06 FROM PLATING</t>
  </si>
  <si>
    <t>655</t>
  </si>
  <si>
    <t>Dead Nest A Side Assembly-A Side</t>
  </si>
  <si>
    <t>NEED PARTS 655.01, 655.02, 655.03, 655.04 FROM PLATING, NEED TO ORDER MURR 7000-08061-6110750</t>
  </si>
  <si>
    <t>656</t>
  </si>
  <si>
    <t>Pick N Place Actuator Assy</t>
  </si>
  <si>
    <t>NEED PARTS 650.02, 650.04, 650.05, 650.06 FROM PLATING, NEED SMC BM5-032 FROM PO 55073</t>
  </si>
  <si>
    <t>660</t>
  </si>
  <si>
    <t>Cap Pick N Place B Side Assy</t>
  </si>
  <si>
    <t>663</t>
  </si>
  <si>
    <t>Cap Escapement Assembly-B Side</t>
  </si>
  <si>
    <t>664</t>
  </si>
  <si>
    <t>Cap Gripper A Side Assembly-B Side</t>
  </si>
  <si>
    <t>665</t>
  </si>
  <si>
    <t>Dead Nest A side Assembly-B Side</t>
  </si>
  <si>
    <t>700</t>
  </si>
  <si>
    <t>Flying Knife Assembly</t>
  </si>
  <si>
    <t>EL 9/18/23</t>
  </si>
  <si>
    <t>710</t>
  </si>
  <si>
    <t>Knife Frame Assembly</t>
  </si>
  <si>
    <t>NEED PART 710.02 FROM PO 55101</t>
  </si>
  <si>
    <t>720</t>
  </si>
  <si>
    <t>Actuator Assembly</t>
  </si>
  <si>
    <t>730</t>
  </si>
  <si>
    <t>Dienes Knife Assembly</t>
  </si>
  <si>
    <t>740</t>
  </si>
  <si>
    <t>Knife Web Clamp Assembly</t>
  </si>
  <si>
    <t>750</t>
  </si>
  <si>
    <t>Knife Manifold</t>
  </si>
  <si>
    <t>800</t>
  </si>
  <si>
    <t>Delivery Assembly</t>
  </si>
  <si>
    <t>810</t>
  </si>
  <si>
    <t>Delivery Frame</t>
  </si>
  <si>
    <t>811</t>
  </si>
  <si>
    <t>Conveyor L Bracket Assy</t>
  </si>
  <si>
    <t>820</t>
  </si>
  <si>
    <t>Delivery Conveyor Assembly</t>
  </si>
  <si>
    <t>Part #</t>
  </si>
  <si>
    <t>Machined</t>
  </si>
  <si>
    <t>PO QTY</t>
  </si>
  <si>
    <t>Rec QTY</t>
  </si>
  <si>
    <t>Finish</t>
  </si>
  <si>
    <t>FINISHED BY VENDOR?</t>
  </si>
  <si>
    <t>PO</t>
  </si>
  <si>
    <t>Misc Cost</t>
  </si>
  <si>
    <t>Labor Hours</t>
  </si>
  <si>
    <t>Drawing</t>
  </si>
  <si>
    <t>XOMETRY QUOTE #</t>
  </si>
  <si>
    <t xml:space="preserve">XOMETRY ORDER #
</t>
  </si>
  <si>
    <t>GF12.110.01</t>
  </si>
  <si>
    <t>MODIFIED BRX 90x90 -I- 
3936MM</t>
  </si>
  <si>
    <t>BRX</t>
  </si>
  <si>
    <t>None</t>
  </si>
  <si>
    <t>N/A</t>
  </si>
  <si>
    <t>BRX, NULINE</t>
  </si>
  <si>
    <t>GF12.110.02</t>
  </si>
  <si>
    <t>MODIFIED BRX 90X90 -I- 3282.92MM</t>
  </si>
  <si>
    <t>GF12.111.01</t>
  </si>
  <si>
    <t>M8 Leveling Foot Plate</t>
  </si>
  <si>
    <t>Big Sky</t>
  </si>
  <si>
    <t>Clear Anodize</t>
  </si>
  <si>
    <t>NO</t>
  </si>
  <si>
    <t>$68 ea for Qty 4x on PO 55032; $37.5 ea for 14x on PO 54923</t>
  </si>
  <si>
    <t>54923, 55032</t>
  </si>
  <si>
    <t>X</t>
  </si>
  <si>
    <t>GF12.112.01</t>
  </si>
  <si>
    <t>Joining Plate</t>
  </si>
  <si>
    <t>1018 CRS</t>
  </si>
  <si>
    <t>Clear Zinc</t>
  </si>
  <si>
    <t>BIG SKY</t>
  </si>
  <si>
    <t xml:space="preserve">  </t>
  </si>
  <si>
    <t>GF12.113.01</t>
  </si>
  <si>
    <t>.300, .600 RAIL PLATE</t>
  </si>
  <si>
    <t>MIC 6</t>
  </si>
  <si>
    <t>BEMOX</t>
  </si>
  <si>
    <t>GF12.114.01</t>
  </si>
  <si>
    <t>.500 UPPER RAIL PLATE</t>
  </si>
  <si>
    <t>FRONTIER</t>
  </si>
  <si>
    <t>GF12.115.01</t>
  </si>
  <si>
    <t>.500 LOWER RAIL PLATE</t>
  </si>
  <si>
    <t>GF12.116.01</t>
  </si>
  <si>
    <t>EXTRUDED ROLLER</t>
  </si>
  <si>
    <t>6061-T6 Alum</t>
  </si>
  <si>
    <t>Hard Clear Anodize</t>
  </si>
  <si>
    <t>BONNELL, RON GROB, 3J, Fin. Pros</t>
  </si>
  <si>
    <t xml:space="preserve">54809, 54970, 54989 </t>
  </si>
  <si>
    <t>GF12.116.02</t>
  </si>
  <si>
    <t>ROLLER SHAFT</t>
  </si>
  <si>
    <t>303 SS - TG&amp;P</t>
  </si>
  <si>
    <t>ALEXANDRIA, Nuline</t>
  </si>
  <si>
    <t>GF12.116.03</t>
  </si>
  <si>
    <t>ROLLER CAP</t>
  </si>
  <si>
    <t>304 SS</t>
  </si>
  <si>
    <t>2B</t>
  </si>
  <si>
    <t>XOMETRY</t>
  </si>
  <si>
    <t>275A2-1504B</t>
  </si>
  <si>
    <t>GF12.116.04</t>
  </si>
  <si>
    <t>SINGLE ROLLER BRACKET</t>
  </si>
  <si>
    <t>GF12.116.05</t>
  </si>
  <si>
    <t>SINGLE ROLLER BRACKET 
CLAMP</t>
  </si>
  <si>
    <t>GF12.117.01</t>
  </si>
  <si>
    <t>GF12.118.01</t>
  </si>
  <si>
    <t>Exh Manifold Plate, 4x 1-4 Port</t>
  </si>
  <si>
    <t>NULINE</t>
  </si>
  <si>
    <t>GF12.120.01</t>
  </si>
  <si>
    <t>Thin Wall Top Guard 3</t>
  </si>
  <si>
    <t>Thin Wall Polycarb</t>
  </si>
  <si>
    <t>PRO PLASTICS</t>
  </si>
  <si>
    <t>Quote XXXXXX; 2 weeks; $50 crate fee each, NO DRILLED HOLES</t>
  </si>
  <si>
    <t>GF12.120.02</t>
  </si>
  <si>
    <t>Thin Wall Top Guard 4</t>
  </si>
  <si>
    <t>GF12.120.03</t>
  </si>
  <si>
    <t>Thin Wall Top Guard 5</t>
  </si>
  <si>
    <t>GF12.120.04</t>
  </si>
  <si>
    <t>Flying Knife Guard</t>
  </si>
  <si>
    <t>Polycarb</t>
  </si>
  <si>
    <t>Quote 671549; 4 weeks; OLD P/N WAS 700.01</t>
  </si>
  <si>
    <t>GF12.120.05</t>
  </si>
  <si>
    <t>Thin Wall Top Guard 6</t>
  </si>
  <si>
    <t>GF12.120.06</t>
  </si>
  <si>
    <t>Thin Wall Top Guard 7</t>
  </si>
  <si>
    <t>GF12.121.01</t>
  </si>
  <si>
    <t>MAG LOCK PLATE</t>
  </si>
  <si>
    <t>GF12.122.01</t>
  </si>
  <si>
    <t>KEY STATION MOUNTING 
PLATE</t>
  </si>
  <si>
    <t>GF12.123.01</t>
  </si>
  <si>
    <t>HMI Arm Mount</t>
  </si>
  <si>
    <t>GF12.124.01</t>
  </si>
  <si>
    <t>Door Support</t>
  </si>
  <si>
    <t>Delrin - White</t>
  </si>
  <si>
    <t>GF12.124.02</t>
  </si>
  <si>
    <t>Clear Polycarb Panel Door  5  1006x944</t>
  </si>
  <si>
    <t>Quote 668778; &lt;2 weeks; Drawings/Step are under Polycarbonate Door NuLine</t>
  </si>
  <si>
    <t xml:space="preserve"> 9/19/2023</t>
  </si>
  <si>
    <t>GF12.124.03</t>
  </si>
  <si>
    <t>Clear Polycarb Panel Door  5  1051x944</t>
  </si>
  <si>
    <t>GF12.124.04</t>
  </si>
  <si>
    <t>Clear Polycarb Panel Door  6  1006x1212</t>
  </si>
  <si>
    <t>GF12.124.05</t>
  </si>
  <si>
    <t>Clear Polycarb Panel Door  6  1051x1212</t>
  </si>
  <si>
    <t>GF12.125.02</t>
  </si>
  <si>
    <t>Clear Polycarb Panel Door  7  722x1097</t>
  </si>
  <si>
    <t>GF12.125.03</t>
  </si>
  <si>
    <t>Clear Polycarb Panel Door  8  722x1214</t>
  </si>
  <si>
    <t>GF12.126.02</t>
  </si>
  <si>
    <t>Clear Polycarb Panel Door  9  515x1097</t>
  </si>
  <si>
    <t>GF12.126.03</t>
  </si>
  <si>
    <t>Clear Polycarb Panel Door  9  560 x1097</t>
  </si>
  <si>
    <t>GF12.126.04</t>
  </si>
  <si>
    <t>Clear Polycarb Panel Door  10  515x1214</t>
  </si>
  <si>
    <t>GF12.126.05</t>
  </si>
  <si>
    <t>Clear Polycarb Panel Door  10  560x1214</t>
  </si>
  <si>
    <t>GF12.127.02</t>
  </si>
  <si>
    <t>Clear Polycarb Panel Door  11  765x947</t>
  </si>
  <si>
    <t>GF12.127.03</t>
  </si>
  <si>
    <t>Clear Polycarb Panel Door  11  810x947</t>
  </si>
  <si>
    <t>GF12.127.04</t>
  </si>
  <si>
    <t>Clear Polycarb Panel Door  12  765x1214</t>
  </si>
  <si>
    <t>GF12.127.05</t>
  </si>
  <si>
    <t>Clear Polycarb Panel Door  12  810x1214</t>
  </si>
  <si>
    <t>GF12.128.02</t>
  </si>
  <si>
    <t>Clear Polycarb Panel Door  13  536x1097</t>
  </si>
  <si>
    <t>GF12.128.03</t>
  </si>
  <si>
    <t>Clear Polycarb Panel Door  14  536x1214</t>
  </si>
  <si>
    <t>GF12.130.01</t>
  </si>
  <si>
    <t>Nip Side Plate</t>
  </si>
  <si>
    <t>GF12.130.02</t>
  </si>
  <si>
    <t>Nip Support Bar</t>
  </si>
  <si>
    <t>GF12.130.03</t>
  </si>
  <si>
    <t>Drive Bearing Base</t>
  </si>
  <si>
    <t>GF12.130.04</t>
  </si>
  <si>
    <t>Drive Bearing Cap</t>
  </si>
  <si>
    <t>GF12.130.05</t>
  </si>
  <si>
    <t>Idler Bearing Mount</t>
  </si>
  <si>
    <t>GF12.130.06</t>
  </si>
  <si>
    <t>Cylinder Mount Plate</t>
  </si>
  <si>
    <t>GF12.130.07</t>
  </si>
  <si>
    <t>Lower Nip Support Strut</t>
  </si>
  <si>
    <t>GF12.130.08</t>
  </si>
  <si>
    <t>Nip Adjustment Block</t>
  </si>
  <si>
    <t>GF12.130.09</t>
  </si>
  <si>
    <t>Nip Pivot Block</t>
  </si>
  <si>
    <t>GF12.130.10</t>
  </si>
  <si>
    <t>Adj Side Frame Mount</t>
  </si>
  <si>
    <t>GF12.130.11</t>
  </si>
  <si>
    <t>Pivot Side Frame Mount</t>
  </si>
  <si>
    <t>GF12.131.03</t>
  </si>
  <si>
    <t>Nip Segment Core</t>
  </si>
  <si>
    <t>YES</t>
  </si>
  <si>
    <t>Covering by H&amp;S - P.O. 55048</t>
  </si>
  <si>
    <t>275A2-15046</t>
  </si>
  <si>
    <t>GF12.132.01</t>
  </si>
  <si>
    <t>Solid Driven Nip Roller</t>
  </si>
  <si>
    <t>1026 DOM Tube</t>
  </si>
  <si>
    <t>Drawing and step files are under 132.00</t>
  </si>
  <si>
    <t>275A2-15045</t>
  </si>
  <si>
    <t>GF12.133.01</t>
  </si>
  <si>
    <t>Gear Box Mounting Plate</t>
  </si>
  <si>
    <t>GF12.133.02</t>
  </si>
  <si>
    <t>Gear Box Stand Off</t>
  </si>
  <si>
    <t>GF12.134.01</t>
  </si>
  <si>
    <t>Manifold Mount Plate</t>
  </si>
  <si>
    <t>GF12.140.01</t>
  </si>
  <si>
    <t>Slit Knife Side Plate</t>
  </si>
  <si>
    <t>GF12.140.02</t>
  </si>
  <si>
    <t>Slit Knife Linear Rod Bracket</t>
  </si>
  <si>
    <t>GF12.140.03</t>
  </si>
  <si>
    <t>Slit Knife Cylinder Mount 
Plate</t>
  </si>
  <si>
    <t>GF12.140.04</t>
  </si>
  <si>
    <t>Slit Knife Cylinder 
Adjustment Plate</t>
  </si>
  <si>
    <t>GF12.140.05</t>
  </si>
  <si>
    <t>Slit Knife Holder</t>
  </si>
  <si>
    <t>GF12.140.06</t>
  </si>
  <si>
    <t>Slit Knife Support Rod</t>
  </si>
  <si>
    <t>GF12.140.07</t>
  </si>
  <si>
    <t>Slit Knife Base</t>
  </si>
  <si>
    <t>GF12.140.08</t>
  </si>
  <si>
    <t>PPH</t>
  </si>
  <si>
    <t>GF12.141.01</t>
  </si>
  <si>
    <t>Slit Knife Handwheel Shaft</t>
  </si>
  <si>
    <t>ALEXANDRIA, Big Sky</t>
  </si>
  <si>
    <t>55018, 55091</t>
  </si>
  <si>
    <t>GF12.150.01</t>
  </si>
  <si>
    <t>Lower Panel 1 (1748x584)</t>
  </si>
  <si>
    <t>Quote 665542, 4 weeks 10/24</t>
  </si>
  <si>
    <t>GF12.150.02</t>
  </si>
  <si>
    <t>Lower Panel 2 (1748x731)</t>
  </si>
  <si>
    <t>Quote 671549; 4 weeks 10/24</t>
  </si>
  <si>
    <t>GF12.150.03</t>
  </si>
  <si>
    <t>Lower Panel 3 (366x731)</t>
  </si>
  <si>
    <t>GF12.150.04</t>
  </si>
  <si>
    <t>Lower Panel 4 (797x731)</t>
  </si>
  <si>
    <t>GF12.150.05</t>
  </si>
  <si>
    <t>Lower Panel 5 (766x731)</t>
  </si>
  <si>
    <t>GF12.150.06</t>
  </si>
  <si>
    <t>Lower Panel 6 (1726x731)</t>
  </si>
  <si>
    <t>GF12.150.07</t>
  </si>
  <si>
    <t>Lower Panel 7 (612x731)</t>
  </si>
  <si>
    <t>GF12.150.08</t>
  </si>
  <si>
    <t>End Clear Panel Guard</t>
  </si>
  <si>
    <t>GF12.150.09</t>
  </si>
  <si>
    <t>Lower End Panel</t>
  </si>
  <si>
    <t>CURBELL PLASTICS</t>
  </si>
  <si>
    <t>GF12.160.01</t>
  </si>
  <si>
    <t>Air Prep Mount Plate</t>
  </si>
  <si>
    <t>GF12.180.01</t>
  </si>
  <si>
    <t>Plinth Panel 1</t>
  </si>
  <si>
    <t>HDPE, BLUE, ROUGH TEXTURE</t>
  </si>
  <si>
    <t>GF12.180.02</t>
  </si>
  <si>
    <t>Plinth Panel 2</t>
  </si>
  <si>
    <t>GF12.180.03</t>
  </si>
  <si>
    <t>Plinth Panel 3</t>
  </si>
  <si>
    <t>TIVAR, BLACK</t>
  </si>
  <si>
    <t>GF12.180.04</t>
  </si>
  <si>
    <t>Plinth Panel 4</t>
  </si>
  <si>
    <t>GF12.180.05</t>
  </si>
  <si>
    <t>FIXED DIAMOND PLATE</t>
  </si>
  <si>
    <t>6061 AL TREAD PLATE</t>
  </si>
  <si>
    <t>ALRECO, NULINE</t>
  </si>
  <si>
    <t>GF12.180.06</t>
  </si>
  <si>
    <t>DIAMOND PLATE HATCH DOOR</t>
  </si>
  <si>
    <t>GF12.210.01</t>
  </si>
  <si>
    <t>MODIFIED BRX 90X90 -I- 3684.4MM</t>
  </si>
  <si>
    <t>GF12.210.02</t>
  </si>
  <si>
    <t>Lower Dancer-Nip Guard</t>
  </si>
  <si>
    <t>3 WEEKS FROM 9/27</t>
  </si>
  <si>
    <t>GF12.210.03</t>
  </si>
  <si>
    <t>Center Dancer-Nip Guard</t>
  </si>
  <si>
    <t>GF12.210.04</t>
  </si>
  <si>
    <t>Upper Dancer-Nip Guard</t>
  </si>
  <si>
    <t>GF12.210.05</t>
  </si>
  <si>
    <t>Thin Wall Top Guard 1</t>
  </si>
  <si>
    <t>GF12.210.06</t>
  </si>
  <si>
    <t>Thin Wall Top Guard 2</t>
  </si>
  <si>
    <t>GF12.211.01</t>
  </si>
  <si>
    <t>Unwind Rail Plate</t>
  </si>
  <si>
    <t>GF12.212.01</t>
  </si>
  <si>
    <t>Edge Guide Actuator Mount</t>
  </si>
  <si>
    <t>x</t>
  </si>
  <si>
    <t>GF12.212.02</t>
  </si>
  <si>
    <t>Edge Guide Actuator Spacer</t>
  </si>
  <si>
    <t>GF12.213.01</t>
  </si>
  <si>
    <t>Sensor Mount</t>
  </si>
  <si>
    <t>GF12.213.02</t>
  </si>
  <si>
    <t>Sensor Mount Plate</t>
  </si>
  <si>
    <t>GF12.214.01</t>
  </si>
  <si>
    <t>Exh Manifold Plate, 4x 1-8 Port</t>
  </si>
  <si>
    <t>GF12.215.01</t>
  </si>
  <si>
    <t>Unwind Roller Upper Bracket</t>
  </si>
  <si>
    <t>GF12.215.02</t>
  </si>
  <si>
    <t>Unwind Roller Clamp</t>
  </si>
  <si>
    <t>GF12.216.01</t>
  </si>
  <si>
    <t>Dancer Arm</t>
  </si>
  <si>
    <t>GF12.216.02</t>
  </si>
  <si>
    <t>Dancer Arm Clamp</t>
  </si>
  <si>
    <t>GF12.216.03</t>
  </si>
  <si>
    <t>Clevis Mount</t>
  </si>
  <si>
    <t>GF12.216.04</t>
  </si>
  <si>
    <t>Dancer Shaft</t>
  </si>
  <si>
    <t>GF12.216.05</t>
  </si>
  <si>
    <t>Tension Cylinder Spacer</t>
  </si>
  <si>
    <t>GF12.216.06</t>
  </si>
  <si>
    <t>Dancer Roller Bracket</t>
  </si>
  <si>
    <t>GF12.216.07</t>
  </si>
  <si>
    <t>Single Roller Bracket Clamp</t>
  </si>
  <si>
    <t>GF12.216.08</t>
  </si>
  <si>
    <t>Dancer Roller Shaft</t>
  </si>
  <si>
    <t>ALEXANDRIA, NULINE</t>
  </si>
  <si>
    <t>GF12.217.01</t>
  </si>
  <si>
    <t>Manifold 1 Mounting Plate</t>
  </si>
  <si>
    <t>GF12.217.02</t>
  </si>
  <si>
    <t>Flow Controller Mount Plate</t>
  </si>
  <si>
    <t>GF12.218.01</t>
  </si>
  <si>
    <t>ITV Mount Actuated Dancer</t>
  </si>
  <si>
    <t>GF12.218.02</t>
  </si>
  <si>
    <t>Actuated Dancer Fittings Plate</t>
  </si>
  <si>
    <t>GF12.219.01</t>
  </si>
  <si>
    <t>Exh Manifold Plate, 2x 1-4 Port</t>
  </si>
  <si>
    <t>GF12.220.01</t>
  </si>
  <si>
    <t>Unwind Base Plate</t>
  </si>
  <si>
    <t>GF12.220.02</t>
  </si>
  <si>
    <t>Unwind Side</t>
  </si>
  <si>
    <t>GF12.220.03</t>
  </si>
  <si>
    <t>Unwind Gusset</t>
  </si>
  <si>
    <t>GF12.220.04</t>
  </si>
  <si>
    <t>Gearbox Spacer Flange</t>
  </si>
  <si>
    <t>GF12.220.05</t>
  </si>
  <si>
    <t>Gearbox Spacer Block</t>
  </si>
  <si>
    <t>GF12.221.01</t>
  </si>
  <si>
    <t>Roller Bracket</t>
  </si>
  <si>
    <t>GF12.222.01</t>
  </si>
  <si>
    <t>Roller Bracket Long</t>
  </si>
  <si>
    <t>GF12.223.01</t>
  </si>
  <si>
    <t>LASER SENSOR MOUNT PLATE</t>
  </si>
  <si>
    <t>GF12.223.02</t>
  </si>
  <si>
    <t>LASER SENSOR MOUNT BLOCK</t>
  </si>
  <si>
    <t>GF12.230.01</t>
  </si>
  <si>
    <t>NIP SIDE PLATE</t>
  </si>
  <si>
    <t>GF12.230.05</t>
  </si>
  <si>
    <t xml:space="preserve">NMODIFIED BY NULINE FROM 130.05.A BY FRONTIER </t>
  </si>
  <si>
    <t>GF12.231.01</t>
  </si>
  <si>
    <t>Solid Idler Nip Roller</t>
  </si>
  <si>
    <t>Drawing and step files are under 231.00</t>
  </si>
  <si>
    <t>GF12.241.01</t>
  </si>
  <si>
    <t>Mounting Plate</t>
  </si>
  <si>
    <t>GF12.241.02</t>
  </si>
  <si>
    <t>Dual Lead Screw Mount</t>
  </si>
  <si>
    <t>GF12.241.03</t>
  </si>
  <si>
    <t>Bearing End Plate</t>
  </si>
  <si>
    <t>GF12.241.04</t>
  </si>
  <si>
    <t>Cam Mount</t>
  </si>
  <si>
    <t>GF12.241.05</t>
  </si>
  <si>
    <t>Linear Rail Mount</t>
  </si>
  <si>
    <t>GF12.241.06</t>
  </si>
  <si>
    <t>Handwheel Bearing End Plate</t>
  </si>
  <si>
    <t>GF12.241.07</t>
  </si>
  <si>
    <t>Connecting Shaft Upper</t>
  </si>
  <si>
    <t>GF12.242.01</t>
  </si>
  <si>
    <t>Punch Handwheel Shaft</t>
  </si>
  <si>
    <t>GF12.242.02</t>
  </si>
  <si>
    <t>Punch Handwheel Plate</t>
  </si>
  <si>
    <t>GF12.243.01</t>
  </si>
  <si>
    <t>Bearing Plate Punch</t>
  </si>
  <si>
    <t>GF12.243.02</t>
  </si>
  <si>
    <t>Cylinder Mount</t>
  </si>
  <si>
    <t>GF12.243.04</t>
  </si>
  <si>
    <t>Punch Support Gusset</t>
  </si>
  <si>
    <t>GF12.243.05</t>
  </si>
  <si>
    <t>Thread Adaptor</t>
  </si>
  <si>
    <t>GF12.243.06</t>
  </si>
  <si>
    <t>Punch Clamp Thread Adaptor</t>
  </si>
  <si>
    <t>GF12.243.07</t>
  </si>
  <si>
    <t>Hold Down Plate</t>
  </si>
  <si>
    <t>GF12.243.08</t>
  </si>
  <si>
    <t>Hold Down Plate Mount</t>
  </si>
  <si>
    <t>GF12.243.09</t>
  </si>
  <si>
    <t>Bearing Plate Lead Screw Mount</t>
  </si>
  <si>
    <t>GF12.243.10</t>
  </si>
  <si>
    <t>MODIFIED MCM 92240A399 7/16 - 20 Hex Head w/ Thru Hole</t>
  </si>
  <si>
    <t>PURCHASED</t>
  </si>
  <si>
    <t>MCM, NULINE</t>
  </si>
  <si>
    <t>NuLine Add center hole</t>
  </si>
  <si>
    <t>GF12.243.13</t>
  </si>
  <si>
    <t>PUNCH CLAMP RUBBER</t>
  </si>
  <si>
    <t>Silicone</t>
  </si>
  <si>
    <t>GF12.244.01</t>
  </si>
  <si>
    <t>Bearing Plate-Anvil</t>
  </si>
  <si>
    <t>GF12.244.02</t>
  </si>
  <si>
    <t>Anvil Base</t>
  </si>
  <si>
    <t>GF12.244.03</t>
  </si>
  <si>
    <t>Insert - 1.65 Inch</t>
  </si>
  <si>
    <t>GF12.244.04</t>
  </si>
  <si>
    <t>Anvil Suport Gusset</t>
  </si>
  <si>
    <t>GF12.245.01</t>
  </si>
  <si>
    <t>Offset Plate</t>
  </si>
  <si>
    <t>GF12.245.02</t>
  </si>
  <si>
    <t>Offset Lead Screw Bearing Plate</t>
  </si>
  <si>
    <t>GF12.245.03</t>
  </si>
  <si>
    <t>Punch Slider</t>
  </si>
  <si>
    <t>White Delrin</t>
  </si>
  <si>
    <t>GF12.250.01</t>
  </si>
  <si>
    <t>Compensator Side Plate</t>
  </si>
  <si>
    <t xml:space="preserve">MIC 6 </t>
  </si>
  <si>
    <t>GF12.250.03</t>
  </si>
  <si>
    <t>Ball Screw Nut Mount</t>
  </si>
  <si>
    <t>GF12.250.04</t>
  </si>
  <si>
    <t>Gearbox Mount Plate R</t>
  </si>
  <si>
    <t>GF12.250.05</t>
  </si>
  <si>
    <t>Gearbox Mount Plate L</t>
  </si>
  <si>
    <t>GF12.250.06</t>
  </si>
  <si>
    <t>Lower Bearing Mount</t>
  </si>
  <si>
    <t>GF12.250.07</t>
  </si>
  <si>
    <t>Upper Bearing Mount</t>
  </si>
  <si>
    <t>GF12.250.08</t>
  </si>
  <si>
    <t>Adjustment Shaft Stub</t>
  </si>
  <si>
    <t>GF12.250.09</t>
  </si>
  <si>
    <t>Compensator Upper Bearing Mount Plate L</t>
  </si>
  <si>
    <t>GF12.250.10</t>
  </si>
  <si>
    <t>Compensator Upper Bearing Mount Plate R</t>
  </si>
  <si>
    <t>GF12.251.01</t>
  </si>
  <si>
    <t>GF12.251.02</t>
  </si>
  <si>
    <t>GF12.251.03</t>
  </si>
  <si>
    <t>Roller Shaft</t>
  </si>
  <si>
    <t>GF12.252.01</t>
  </si>
  <si>
    <t>Compensator Arm</t>
  </si>
  <si>
    <t>GF12.252.02</t>
  </si>
  <si>
    <t>Dancer Clamp</t>
  </si>
  <si>
    <t>GF12.252.03</t>
  </si>
  <si>
    <t>GF12.253.01</t>
  </si>
  <si>
    <t>Compensator Handwheel Shaft</t>
  </si>
  <si>
    <t>GF12.253.02</t>
  </si>
  <si>
    <t>Handwheel Plate</t>
  </si>
  <si>
    <t>GF12.253.03</t>
  </si>
  <si>
    <t>Guard Slide</t>
  </si>
  <si>
    <t>GF12.253.04</t>
  </si>
  <si>
    <t>Friction Pad</t>
  </si>
  <si>
    <t>GF12.253.05</t>
  </si>
  <si>
    <t>Unguided Guard Slide</t>
  </si>
  <si>
    <t>GF12.260.01</t>
  </si>
  <si>
    <t>Clear Polycarb Panel Door 3/4 676x1098</t>
  </si>
  <si>
    <t>GF12.270.01</t>
  </si>
  <si>
    <t>Clear Polycarb Panel Door 1 320x1873</t>
  </si>
  <si>
    <t>GF12.270.02</t>
  </si>
  <si>
    <t>Clear Polycarb Panel Door 2 320x2038</t>
  </si>
  <si>
    <t>ORDERED FROM CURBELL IN NOVEMBER 2023</t>
  </si>
  <si>
    <t>GF12.290.01</t>
  </si>
  <si>
    <t>Unwind Clear Panel</t>
  </si>
  <si>
    <t>GF12.310.01</t>
  </si>
  <si>
    <t>Spout Bowl Rail Plate</t>
  </si>
  <si>
    <t>GF12.311.01</t>
  </si>
  <si>
    <t>BRX 3842511352 90X90L M12 Foot Mount Plate</t>
  </si>
  <si>
    <t>GF12.331.01</t>
  </si>
  <si>
    <t>Diverter Actuator Plate</t>
  </si>
  <si>
    <t>DETAILED MACH</t>
  </si>
  <si>
    <t>shipped 9/25/23</t>
  </si>
  <si>
    <t>GF12.331.02</t>
  </si>
  <si>
    <t>Diverter Housing</t>
  </si>
  <si>
    <t>AISI 304, 11 Gauge</t>
  </si>
  <si>
    <t>WESCO BHT</t>
  </si>
  <si>
    <t>GF12.331.03</t>
  </si>
  <si>
    <t>Spout Diverter Deadnest</t>
  </si>
  <si>
    <t>shipped 9/29/23</t>
  </si>
  <si>
    <t>GF12.331.04</t>
  </si>
  <si>
    <t>Diverter Stop</t>
  </si>
  <si>
    <t>shipped 9/28/23</t>
  </si>
  <si>
    <t>GF12.331.05</t>
  </si>
  <si>
    <t>Diverter Tray A-Side</t>
  </si>
  <si>
    <t>AISI 304, 1/16 in</t>
  </si>
  <si>
    <t>GF12.331.06</t>
  </si>
  <si>
    <t>Diverter Tray B-Side</t>
  </si>
  <si>
    <t>GF12.331.07</t>
  </si>
  <si>
    <t>Diverter Base</t>
  </si>
  <si>
    <t>GF12.331.08</t>
  </si>
  <si>
    <t>Diverter Back</t>
  </si>
  <si>
    <t>GF12.331.09</t>
  </si>
  <si>
    <t>Diverter Housing Mount</t>
  </si>
  <si>
    <t>GF12.331.10</t>
  </si>
  <si>
    <t>Diverter Guard</t>
  </si>
  <si>
    <t>GF12.332.01</t>
  </si>
  <si>
    <t>Spout Rail Bracket</t>
  </si>
  <si>
    <t>GF12.332.02</t>
  </si>
  <si>
    <t>Spout A-Side Rail 1</t>
  </si>
  <si>
    <t>GF12.332.03</t>
  </si>
  <si>
    <t>Spout A-Side Rail 2</t>
  </si>
  <si>
    <t>GF12.332.04</t>
  </si>
  <si>
    <t>Spout Rail-Center</t>
  </si>
  <si>
    <t>GF12.332.05</t>
  </si>
  <si>
    <t>Spout Rail Slide Bracket</t>
  </si>
  <si>
    <t>GF12.332.06</t>
  </si>
  <si>
    <t>Spout Rail Tie</t>
  </si>
  <si>
    <t>GF12.332.07</t>
  </si>
  <si>
    <t>Extrusion Bracket</t>
  </si>
  <si>
    <t>GF12.332.08</t>
  </si>
  <si>
    <t>Conveyor Bracket</t>
  </si>
  <si>
    <t>GF12.332.09</t>
  </si>
  <si>
    <t>Fiber Optic Bracket</t>
  </si>
  <si>
    <t>GF12.333.02</t>
  </si>
  <si>
    <t>Spout B-Side Rail 1</t>
  </si>
  <si>
    <t>GF12.333.03</t>
  </si>
  <si>
    <t>Spout B-Side Rail 2</t>
  </si>
  <si>
    <t>GF12.334.01</t>
  </si>
  <si>
    <t>Spout Pre-Diverter Rail</t>
  </si>
  <si>
    <t>GF12.341.01</t>
  </si>
  <si>
    <t>SPOUT CROSSWEB RAIL PLATE</t>
  </si>
  <si>
    <t>CLEAR ANODIZE</t>
  </si>
  <si>
    <t>Q12-3338-4269</t>
  </si>
  <si>
    <t>GF12.341.02</t>
  </si>
  <si>
    <t>CAP, SPOUT LEAD SCREW PLATE</t>
  </si>
  <si>
    <t>GF12.341.03</t>
  </si>
  <si>
    <t>CAP, SPOUT LEAD SCREW END PLATE</t>
  </si>
  <si>
    <t>GF12.341.04</t>
  </si>
  <si>
    <t>GEARSHAFT SUPPORT 
BLOCK</t>
  </si>
  <si>
    <t>GF12.341.05</t>
  </si>
  <si>
    <t>SPOUT STATION SIDE PLATE</t>
  </si>
  <si>
    <t>GF12.342.01</t>
  </si>
  <si>
    <t>CYLINDER MOUNT PLATE - 
UPPER</t>
  </si>
  <si>
    <t>GF12.342.02</t>
  </si>
  <si>
    <t>Spout Seal Head</t>
  </si>
  <si>
    <t>Q48-7667-5481</t>
  </si>
  <si>
    <t>GF12.342.03</t>
  </si>
  <si>
    <t>P1B Spout Pilot</t>
  </si>
  <si>
    <t>GLASS FILLED PTFE</t>
  </si>
  <si>
    <t>GF12.342.04</t>
  </si>
  <si>
    <t>P1L Spout Pilot</t>
  </si>
  <si>
    <t>GF12.342.05</t>
  </si>
  <si>
    <t>SEAL MOUNT PLATE UPPER</t>
  </si>
  <si>
    <t>GF12.342.06</t>
  </si>
  <si>
    <t>SEAL MOUNT PLATE LOWER</t>
  </si>
  <si>
    <t>GF12.342.07</t>
  </si>
  <si>
    <t>WEB CLAMP CYLINDER PLATE</t>
  </si>
  <si>
    <t>GF12.342.08</t>
  </si>
  <si>
    <t>WEB CLAMP BAR</t>
  </si>
  <si>
    <t>GF12.342.09</t>
  </si>
  <si>
    <t>SPOUT WEB CLAMP RUBBER</t>
  </si>
  <si>
    <t>GF12.342.10</t>
  </si>
  <si>
    <t>MODIFIED MCM 4322K183 
TUBE FITTING</t>
  </si>
  <si>
    <t>GF12.342.11</t>
  </si>
  <si>
    <t>TEFLON PLATE</t>
  </si>
  <si>
    <t>GF12.342.12</t>
  </si>
  <si>
    <t>TEFLON HOLDER - SHORT</t>
  </si>
  <si>
    <t>AISI 304, 25 Gauge?</t>
  </si>
  <si>
    <t>GF12.342.13</t>
  </si>
  <si>
    <t>TEFLON HOLDER - LONG</t>
  </si>
  <si>
    <t>GF12.342.14</t>
  </si>
  <si>
    <t>SPOUT LEAD NUT BLOCK</t>
  </si>
  <si>
    <t>GF12.342.15</t>
  </si>
  <si>
    <t>MODIFIED IGUS JFRM-282835TR12X3 TRAP LEAD NUT</t>
  </si>
  <si>
    <t>IGUS, NULINE</t>
  </si>
  <si>
    <t>GF12.342.16</t>
  </si>
  <si>
    <t>MODIFIED MCM 69945K139 
POLYCARBONATE 
ENCLOSURE</t>
  </si>
  <si>
    <t>GF12.343.01</t>
  </si>
  <si>
    <t>CYLINDER MOUNT PLATE - 
LOWER</t>
  </si>
  <si>
    <t>GF12.343.02</t>
  </si>
  <si>
    <t>LIFTER BASE - A SIDE</t>
  </si>
  <si>
    <t>GF12.343.03</t>
  </si>
  <si>
    <t>SHUTTLE BLOCK MOUNT</t>
  </si>
  <si>
    <t>GF12.343.04</t>
  </si>
  <si>
    <t>LIFT ANVIL</t>
  </si>
  <si>
    <t>GF12.343.05</t>
  </si>
  <si>
    <t>SHUTTLE BLOCK</t>
  </si>
  <si>
    <t>GF12.343.06</t>
  </si>
  <si>
    <t>SPOUT LIFT RUBBER</t>
  </si>
  <si>
    <t>GF12.343.07</t>
  </si>
  <si>
    <t>SHUTTLE MOUNT PLATE</t>
  </si>
  <si>
    <t>GF12.343.08</t>
  </si>
  <si>
    <t>SHUTTLE WEB GUARD - A 
SIDE</t>
  </si>
  <si>
    <t>GF12.343.09</t>
  </si>
  <si>
    <t>SPOUT ESCAPEMENT FINGER 
1</t>
  </si>
  <si>
    <t>GF12.343.10</t>
  </si>
  <si>
    <t>SPOUT A SIDE ESCAPEMENT 
FINGER 2</t>
  </si>
  <si>
    <t>GF12.343.11</t>
  </si>
  <si>
    <t>ESCAPEMENT ADJUSTMENT 
PLATE - A SIDE</t>
  </si>
  <si>
    <t>GF12.343.12</t>
  </si>
  <si>
    <t>GUIDE BRACKET</t>
  </si>
  <si>
    <t>GF12.343.13</t>
  </si>
  <si>
    <t>GRIPPER RAIL - A SIDE</t>
  </si>
  <si>
    <t>GF12.344.02</t>
  </si>
  <si>
    <t>LIFTER BASE - B SIDE</t>
  </si>
  <si>
    <t>GF12.344.08</t>
  </si>
  <si>
    <t>SHUTTLE WEB GUARD - B 
SIDE</t>
  </si>
  <si>
    <t>GF12.344.10</t>
  </si>
  <si>
    <t>SPOUT B SIDE ESCAPEMENT 
FINGER 2</t>
  </si>
  <si>
    <t>GF12.344.11</t>
  </si>
  <si>
    <t>ESCAPEMENT ADJUSTMENT 
PLATE - B SIDE</t>
  </si>
  <si>
    <t>GF12.344.13</t>
  </si>
  <si>
    <t>GRIPPER RAIL - B SIDE</t>
  </si>
  <si>
    <t>GF12.345.01</t>
  </si>
  <si>
    <t>GEARED HANDWHEEL 
PLATE</t>
  </si>
  <si>
    <t>GF12.345.02</t>
  </si>
  <si>
    <t>MODIFIED MCM 7758K31 Pushbutton Enclosure</t>
  </si>
  <si>
    <t>GF12.345.03</t>
  </si>
  <si>
    <t>Driven Gearshaft</t>
  </si>
  <si>
    <t>GF12.346.01</t>
  </si>
  <si>
    <t>CROSSWEB DUAL 
HANDWHEEL PLATE</t>
  </si>
  <si>
    <t>GF12.346.02</t>
  </si>
  <si>
    <t>Crossweb Handwheel Shaft</t>
  </si>
  <si>
    <t>GF12.346.03</t>
  </si>
  <si>
    <t>CROSSWEB EXTENSION 
PLATE</t>
  </si>
  <si>
    <t>GF12.346.04</t>
  </si>
  <si>
    <t>EXTENSION PLATE SPACER</t>
  </si>
  <si>
    <t>GF12.400.01</t>
  </si>
  <si>
    <t>MODIFIED BRX 3842523578 90X90 GUSSET SET</t>
  </si>
  <si>
    <t>AAP, NULINE</t>
  </si>
  <si>
    <t>STOCK PART RECEIVED. NULINE TO MODIFY</t>
  </si>
  <si>
    <t>GF12.410.05</t>
  </si>
  <si>
    <t>MODIFIED IGUS JFRM 2835TR16X4 LEAD NUT</t>
  </si>
  <si>
    <t>Nuline add center clearance hole</t>
  </si>
  <si>
    <t>GF12.411.01</t>
  </si>
  <si>
    <t>LINEAR BEARING BLOCK</t>
  </si>
  <si>
    <t>GF12.411.02</t>
  </si>
  <si>
    <t>SIDE SEAL SIDE PLATE L</t>
  </si>
  <si>
    <t>GF12.411.03</t>
  </si>
  <si>
    <t>SIDE SEAL SIDE PLATE R</t>
  </si>
  <si>
    <t>GF12.411.04</t>
  </si>
  <si>
    <t>SIDE SEAL CASSETTE STRUT</t>
  </si>
  <si>
    <t>GF12.412.01</t>
  </si>
  <si>
    <t>SIDE SEAL CRANK SHAFT</t>
  </si>
  <si>
    <t>GF12.412.02</t>
  </si>
  <si>
    <t>SEAL BAR GEARBOX PLATE</t>
  </si>
  <si>
    <t>GF12.412.03</t>
  </si>
  <si>
    <t>SMALL GEARBOX OFFSET BLOCK</t>
  </si>
  <si>
    <t>GF12.412.04</t>
  </si>
  <si>
    <t>LARGE GEARBOX OFFSET BLOCK</t>
  </si>
  <si>
    <t>GF12.412.05</t>
  </si>
  <si>
    <t>CRANKSHAFT BEARING MOUNT PLATE</t>
  </si>
  <si>
    <t>GF12.413.01</t>
  </si>
  <si>
    <t>LOWER SIDE SEAL BAR</t>
  </si>
  <si>
    <t>Q09-7657-7043</t>
  </si>
  <si>
    <t>GF12.413.02</t>
  </si>
  <si>
    <t xml:space="preserve">SIDE SEAL MID BAR </t>
  </si>
  <si>
    <t>Nuline add 2x M4 Taps</t>
  </si>
  <si>
    <t>GF12.413.03</t>
  </si>
  <si>
    <t>SIDE SEAL DIE CAP</t>
  </si>
  <si>
    <t>GF12.413.04</t>
  </si>
  <si>
    <t xml:space="preserve">SIDE SEAL MOUNTING TUBE </t>
  </si>
  <si>
    <t>3"x3" 1018 Rec Tube</t>
  </si>
  <si>
    <t>Q57-7109-9309</t>
  </si>
  <si>
    <t>275A2-1504C</t>
  </si>
  <si>
    <t>GF12.413.05</t>
  </si>
  <si>
    <t>LOWER SIDE SEAL SILICONE</t>
  </si>
  <si>
    <t>GF12.413.06</t>
  </si>
  <si>
    <t>MODIFIED MCM 9604T190 STEEL FLANGED SHAFT COLLAR, 30MM DIA</t>
  </si>
  <si>
    <t>GF12.414.01</t>
  </si>
  <si>
    <t>CRANKSHAFT BLOCK</t>
  </si>
  <si>
    <t>GF12.414.02</t>
  </si>
  <si>
    <t>LINEAR SHAFT CLAMP</t>
  </si>
  <si>
    <t>GF12.414.04</t>
  </si>
  <si>
    <t>MODIFIED MCM 6536N71 M20 X 1.5 ROD END</t>
  </si>
  <si>
    <t>GF12.414.05</t>
  </si>
  <si>
    <t>MODIFIED MCM 95245A155 STEEL ROD</t>
  </si>
  <si>
    <t>GF12.415.01</t>
  </si>
  <si>
    <t>RUNNER BLOCK PLATE</t>
  </si>
  <si>
    <t>GF12.416.01</t>
  </si>
  <si>
    <t>SIDE SEAL TEFLON ROLL SHAFT</t>
  </si>
  <si>
    <t>GF12.416.02</t>
  </si>
  <si>
    <t>TEFLON ROLL CLAMP</t>
  </si>
  <si>
    <t>GF12.416.03</t>
  </si>
  <si>
    <t>TEFLON ROLL BRACKET</t>
  </si>
  <si>
    <t>GF12.423.01</t>
  </si>
  <si>
    <t>UPPER SIDE SEAL BAR</t>
  </si>
  <si>
    <t>GF12.463.01</t>
  </si>
  <si>
    <t>UPPER CENTER SIDE SEAL BAR</t>
  </si>
  <si>
    <t>GF12.470.01</t>
  </si>
  <si>
    <t>LEAD SCREW PLATE, SIDE SEAL</t>
  </si>
  <si>
    <t>GF12.470.02</t>
  </si>
  <si>
    <t>HANDWHEEL GEAR PLATE</t>
  </si>
  <si>
    <t>GF12.470.03</t>
  </si>
  <si>
    <t>LEAD SCREW END PLATE, SIDE SEAL</t>
  </si>
  <si>
    <t>GF12.470.04</t>
  </si>
  <si>
    <t>TENSIONER CAP WASHER</t>
  </si>
  <si>
    <t>GF12.470.05</t>
  </si>
  <si>
    <t>TENSIONER CAP BRACKET</t>
  </si>
  <si>
    <t>GF12.471.01</t>
  </si>
  <si>
    <t>HANDWHEEL PLATE, 12mm to 14mm, SIDE SEAL</t>
  </si>
  <si>
    <t>GF12.471.02</t>
  </si>
  <si>
    <t>SIDE SEAL HANDWHEEL SHAFT</t>
  </si>
  <si>
    <t>ALEXANDRIA, BIG Sky</t>
  </si>
  <si>
    <t>GF12.472.01</t>
  </si>
  <si>
    <t>SIDE SEAL RAIL PLATE</t>
  </si>
  <si>
    <t>GF12.473.01</t>
  </si>
  <si>
    <t>MODIFIED Hammond C3RWT436 4x4x36in Wiring Trough</t>
  </si>
  <si>
    <t>AUTODIR, NULINE</t>
  </si>
  <si>
    <t>GF12.511.01</t>
  </si>
  <si>
    <t>CROSS SEAL SIDE PLATE L</t>
  </si>
  <si>
    <t>GF12.511.02</t>
  </si>
  <si>
    <t>CROSS SEAL SIDE PLATE R</t>
  </si>
  <si>
    <t>GF12.511.03</t>
  </si>
  <si>
    <t>CROSS SEAL CASSETTE STRUT</t>
  </si>
  <si>
    <t>GF12.513.01</t>
  </si>
  <si>
    <t>LOWER CROSS SEAL BAR</t>
  </si>
  <si>
    <t>GF12.513.02</t>
  </si>
  <si>
    <t>CROSS SEAL MID BAR</t>
  </si>
  <si>
    <t>GF12.513.03</t>
  </si>
  <si>
    <t>CROSS SEAL DIE CAP</t>
  </si>
  <si>
    <t>GF12.513.04</t>
  </si>
  <si>
    <t>CROSS SEAL MOUNTING TUBE</t>
  </si>
  <si>
    <t>GF12.513.05</t>
  </si>
  <si>
    <t>LOWER CROSS SEAL SILICONE</t>
  </si>
  <si>
    <t>GF12.514.01</t>
  </si>
  <si>
    <t>MODIFIED Hammond C3RWT412 Wiring Trough 1 Plug</t>
  </si>
  <si>
    <t>GF12.515.01</t>
  </si>
  <si>
    <t>MODIFIED Hammond C3RWT412 Wiring Trough 2 Plugs</t>
  </si>
  <si>
    <t>GF12.516.01</t>
  </si>
  <si>
    <t>CROSS SEAL TEFLON ROLL SHAFT</t>
  </si>
  <si>
    <t>GF12.522.01</t>
  </si>
  <si>
    <t>CROSS SEAL CRANKSHAFT</t>
  </si>
  <si>
    <t>GF12.523.01</t>
  </si>
  <si>
    <t>UPPER CROSS SEAL BAR</t>
  </si>
  <si>
    <t>GF12.530.01</t>
  </si>
  <si>
    <t>CROSS SEAL SIDE PLATE</t>
  </si>
  <si>
    <t>GF12.530.02</t>
  </si>
  <si>
    <t>GEARSHAFT SUPPORT BLOCK</t>
  </si>
  <si>
    <t>GF12.530.03</t>
  </si>
  <si>
    <t>JOINING GEARSHAFT, 12MM</t>
  </si>
  <si>
    <t>GF12.530.05</t>
  </si>
  <si>
    <t>IDLER GEARSHAFT, CROSS SEAL</t>
  </si>
  <si>
    <t>GF12.530.06</t>
  </si>
  <si>
    <t>BRL 15mm RUNNER BLOCK SPACER</t>
  </si>
  <si>
    <t>GF12.530.07</t>
  </si>
  <si>
    <t>ZIMMER 15mm BRAKE SPACER</t>
  </si>
  <si>
    <t>GF12.540.01</t>
  </si>
  <si>
    <t>Toe Roller Post RH</t>
  </si>
  <si>
    <t>GF12.540.02</t>
  </si>
  <si>
    <t>Toe Roller Post LH</t>
  </si>
  <si>
    <t>GF12.540.03</t>
  </si>
  <si>
    <t>Toe Roller Post Mount</t>
  </si>
  <si>
    <t>GF12.540.04</t>
  </si>
  <si>
    <t>Toe Roller Weight</t>
  </si>
  <si>
    <t>GF12.540.05</t>
  </si>
  <si>
    <t>Pivot Shaft</t>
  </si>
  <si>
    <t>NONE</t>
  </si>
  <si>
    <t>material supplied by NuLine</t>
  </si>
  <si>
    <t>GF12.540.06</t>
  </si>
  <si>
    <t>Stationary Shaft</t>
  </si>
  <si>
    <t>GF12.610.01</t>
  </si>
  <si>
    <t>Cap Bowl Rail Plate</t>
  </si>
  <si>
    <t>GF12.631.10</t>
  </si>
  <si>
    <t>GF12.632.01</t>
  </si>
  <si>
    <t>Cap Rail Bracket</t>
  </si>
  <si>
    <t>GF12.632.02</t>
  </si>
  <si>
    <t>Cap Rail 1-A Side</t>
  </si>
  <si>
    <t>GF12.632.03</t>
  </si>
  <si>
    <t>Cap Rail 2-A Side</t>
  </si>
  <si>
    <t>GF12.632.04</t>
  </si>
  <si>
    <t>Cap Rail 3-A Side</t>
  </si>
  <si>
    <t>GF12.632.05</t>
  </si>
  <si>
    <t>Cap Rail 4-A Side</t>
  </si>
  <si>
    <t>GF12.632.06</t>
  </si>
  <si>
    <t>Cap Rail Top 1 A-Side</t>
  </si>
  <si>
    <t>GF12.632.07</t>
  </si>
  <si>
    <t>Cap Rail Top 2 A-Side</t>
  </si>
  <si>
    <t>GF12.632.08</t>
  </si>
  <si>
    <t>Cap Rail Top 3 A-Side</t>
  </si>
  <si>
    <t>GF12.632.09</t>
  </si>
  <si>
    <t>Cap Rail Top 4 A-Side</t>
  </si>
  <si>
    <t>GF12.632.10</t>
  </si>
  <si>
    <t>Cap Rail Top 5</t>
  </si>
  <si>
    <t>GF12.632.11</t>
  </si>
  <si>
    <t>Cap Rail Slide Bracket 1</t>
  </si>
  <si>
    <t>GF12.632.12</t>
  </si>
  <si>
    <t>Cap Rail Slide Bracket 2</t>
  </si>
  <si>
    <t>GF12.632.13</t>
  </si>
  <si>
    <t>Cap Rail-Center</t>
  </si>
  <si>
    <t>GF12.632.14</t>
  </si>
  <si>
    <t>Cap Rail Tie-Side A</t>
  </si>
  <si>
    <t>GF12.633.02</t>
  </si>
  <si>
    <t>Cap Rail 1-B Side</t>
  </si>
  <si>
    <t>GF12.633.03</t>
  </si>
  <si>
    <t>Cap Rail 2-B Side</t>
  </si>
  <si>
    <t>GF12.633.04</t>
  </si>
  <si>
    <t>Cap Rail 3-B Side</t>
  </si>
  <si>
    <t>GF12.633.05</t>
  </si>
  <si>
    <t>Cap Rail 4-B Side</t>
  </si>
  <si>
    <t>GF12.633.06</t>
  </si>
  <si>
    <t>Cap Rail Top 1 B-Side</t>
  </si>
  <si>
    <t>GF12.633.07</t>
  </si>
  <si>
    <t>Cap Rail Top 2 B-Side</t>
  </si>
  <si>
    <t>GF12.633.08</t>
  </si>
  <si>
    <t>Cap Rail Top 3 B-Side</t>
  </si>
  <si>
    <t>GF12.633.09</t>
  </si>
  <si>
    <t>Cap Rail Top 4 B-Side</t>
  </si>
  <si>
    <t>GF12.633.14</t>
  </si>
  <si>
    <t>Cap Rail Tie-Side B</t>
  </si>
  <si>
    <t>GF12.634.01</t>
  </si>
  <si>
    <t>Cap Pre-Diverter Rail</t>
  </si>
  <si>
    <t>AISI 304</t>
  </si>
  <si>
    <t>GF12.634.02</t>
  </si>
  <si>
    <t>Cap Pre-Diverter Top Rail</t>
  </si>
  <si>
    <t>GF12.640.01</t>
  </si>
  <si>
    <t>CAP STATION SIDE PLATE</t>
  </si>
  <si>
    <t>GF12.640.02</t>
  </si>
  <si>
    <t>WEB ANVIL</t>
  </si>
  <si>
    <t>GF12.640.03</t>
  </si>
  <si>
    <t>LINEAR SHAFT MOUNT</t>
  </si>
  <si>
    <t>GF12.640.04</t>
  </si>
  <si>
    <t>LINEAR SHAFT CAP</t>
  </si>
  <si>
    <t>1018 COLD ROLLED STEEL</t>
  </si>
  <si>
    <t>GF12.640.05</t>
  </si>
  <si>
    <t>LINEAR SHAFT SUPPORT</t>
  </si>
  <si>
    <t>GF12.640.06</t>
  </si>
  <si>
    <t>LINEAR SHAFT BRACKET</t>
  </si>
  <si>
    <t>GF12.650.01</t>
  </si>
  <si>
    <t>PnP Plate</t>
  </si>
  <si>
    <t>GF12.650.02</t>
  </si>
  <si>
    <t>Vertical Cylinder Block</t>
  </si>
  <si>
    <t>GF12.650.03</t>
  </si>
  <si>
    <t>Misumi Bearing Spacer</t>
  </si>
  <si>
    <t>GF12.650.04</t>
  </si>
  <si>
    <t>Vacuum Plug-P2L Cap</t>
  </si>
  <si>
    <t>GF12.650.05</t>
  </si>
  <si>
    <t>Vacuum Plug-P2B Cap</t>
  </si>
  <si>
    <t>GF12.650.06</t>
  </si>
  <si>
    <t>Cylinder Stop</t>
  </si>
  <si>
    <t>GF12.651.01</t>
  </si>
  <si>
    <t>Cylinder Stop Base</t>
  </si>
  <si>
    <t>GF12.651.02</t>
  </si>
  <si>
    <t>Stop Adjustment Block</t>
  </si>
  <si>
    <t>GF12.651.03</t>
  </si>
  <si>
    <t>GF12.651.04</t>
  </si>
  <si>
    <t>Cylinder Stop Clamp</t>
  </si>
  <si>
    <t>GF12.653.01</t>
  </si>
  <si>
    <t>ESCAPEMENT OFFSET PLATE A SIDE</t>
  </si>
  <si>
    <t>GF12.653.02</t>
  </si>
  <si>
    <t>ESCAPEMENT ADJUSTMENT PLATE</t>
  </si>
  <si>
    <t>GF12.653.03</t>
  </si>
  <si>
    <t>Cap Escapement Finger-1</t>
  </si>
  <si>
    <t>GF12.653.04</t>
  </si>
  <si>
    <t>P2L Escapement Finger-2 A-Side</t>
  </si>
  <si>
    <t>GF12.653.05</t>
  </si>
  <si>
    <t>P2B Escapement Finger-2 A Side</t>
  </si>
  <si>
    <t>GF12.654.01</t>
  </si>
  <si>
    <t>Gripper Mount Block</t>
  </si>
  <si>
    <t>GF12.654.02</t>
  </si>
  <si>
    <t>Gripper Adjustment Plate</t>
  </si>
  <si>
    <t>GF12.654.03</t>
  </si>
  <si>
    <t>P1B Spout Gripper LH</t>
  </si>
  <si>
    <t>GF12.654.04</t>
  </si>
  <si>
    <t>P1B Spout Gripper RH</t>
  </si>
  <si>
    <t>GF12.654.05</t>
  </si>
  <si>
    <t>P1L Spout Gripper LH</t>
  </si>
  <si>
    <t>GF12.654.06</t>
  </si>
  <si>
    <t>P1L Spout Gripper RH</t>
  </si>
  <si>
    <t>GF12.655.01</t>
  </si>
  <si>
    <t>Dead Nest Mount Block</t>
  </si>
  <si>
    <t>GF12.655.02</t>
  </si>
  <si>
    <t>Dead Nest Adjustment Block</t>
  </si>
  <si>
    <t>GF12.655.03</t>
  </si>
  <si>
    <t>Dead Nest Bracket</t>
  </si>
  <si>
    <t>GF12.655.04</t>
  </si>
  <si>
    <t>Dead Nest Plate</t>
  </si>
  <si>
    <t>GF12.655.05</t>
  </si>
  <si>
    <t>P2B Dead Nest</t>
  </si>
  <si>
    <t>GF12.655.06</t>
  </si>
  <si>
    <t>P2L Dead Nest</t>
  </si>
  <si>
    <t>GF12.655.07</t>
  </si>
  <si>
    <t>Dead Nest Sensor Bracket</t>
  </si>
  <si>
    <t>GF12.663.04</t>
  </si>
  <si>
    <t>P2L Escapement Finger-2 B-Side</t>
  </si>
  <si>
    <t>GF12.663.05</t>
  </si>
  <si>
    <t>P2B Escapement Finger-2 B-Side</t>
  </si>
  <si>
    <t>GF12.710.01</t>
  </si>
  <si>
    <t>SIDE PLATE</t>
  </si>
  <si>
    <t>GF12.710.02</t>
  </si>
  <si>
    <t>KNIFE ANVIL</t>
  </si>
  <si>
    <t>A2 Tool Steel</t>
  </si>
  <si>
    <t>Heat Treat 60RC; Blanchard Ground</t>
  </si>
  <si>
    <t>GF12.710.03</t>
  </si>
  <si>
    <t>E-CHAIN TRAY</t>
  </si>
  <si>
    <t>GF12.710.04</t>
  </si>
  <si>
    <t>KNIFE ANVIL HOLDER</t>
  </si>
  <si>
    <t>GF12.720.01</t>
  </si>
  <si>
    <t>ACTUATOR MOUNT PLATE</t>
  </si>
  <si>
    <t>AISI 1020 Steel, Cold Rolled</t>
  </si>
  <si>
    <t>GF12.730.01</t>
  </si>
  <si>
    <t>KNIFE MOUNT PLATE</t>
  </si>
  <si>
    <t>GF12.730.02</t>
  </si>
  <si>
    <t>KNIFE MOUNT WEDGE</t>
  </si>
  <si>
    <t>GF12.730.03</t>
  </si>
  <si>
    <t>E-CHAIN SUPPORT</t>
  </si>
  <si>
    <t>AISI 304, 12 Gauge #2 Brushed</t>
  </si>
  <si>
    <t>GF12.740.01</t>
  </si>
  <si>
    <t>HOLD DOWN MOUNT</t>
  </si>
  <si>
    <t xml:space="preserve">AISI 304, 6? Gauge </t>
  </si>
  <si>
    <t>GF12.740.02</t>
  </si>
  <si>
    <t>HOLD DOWN</t>
  </si>
  <si>
    <t>GF12.740.03</t>
  </si>
  <si>
    <t>KNIFE CLAMP RUBBER</t>
  </si>
  <si>
    <t>GF12.750.01</t>
  </si>
  <si>
    <t>KNIFE MANIFOLD MOUNTING PLATE</t>
  </si>
  <si>
    <t>GF12.811.01</t>
  </si>
  <si>
    <t>DELIV CONVEYOR MOUNT PLATE</t>
  </si>
  <si>
    <t>Total Parts</t>
  </si>
  <si>
    <t>On Order</t>
  </si>
  <si>
    <t>Need to be Ordered</t>
  </si>
  <si>
    <t>% to be Ordered</t>
  </si>
  <si>
    <t>Purchased</t>
  </si>
  <si>
    <t>PK QTY</t>
  </si>
  <si>
    <t>BOM QTY</t>
  </si>
  <si>
    <t>Order QTY</t>
  </si>
  <si>
    <t>RecQTY</t>
  </si>
  <si>
    <t>Assy (temp)</t>
  </si>
  <si>
    <t>PO #</t>
  </si>
  <si>
    <t>Drop Dead Date</t>
  </si>
  <si>
    <t>CUSTOM CARTRIDGE HEATER 24.5" LONG</t>
  </si>
  <si>
    <t>ACROLAB</t>
  </si>
  <si>
    <t>CUSTOM CARTRIDGE HEATER 26.0" LONG</t>
  </si>
  <si>
    <t xml:space="preserve">0.5” OD Isobar, 26” Long </t>
  </si>
  <si>
    <t xml:space="preserve">0.5” OD Isobar, 49” Long </t>
  </si>
  <si>
    <t>1/8in Bayonet Adapter</t>
  </si>
  <si>
    <t>CUSTOM A100 THERMOCOUPLE 24" LONG LEADS</t>
  </si>
  <si>
    <t>CUSTOM A100 THERMOCOUPLE 60" LONG LEADS</t>
  </si>
  <si>
    <t>Bowl Feeder Assembly per AFS Quote 2301-136Rev.3</t>
  </si>
  <si>
    <t>AmFeed</t>
  </si>
  <si>
    <t xml:space="preserve">Bowl Feeder Assembly per AFS Quote 2301-137Rev.3 </t>
  </si>
  <si>
    <t>ZIPport panel interface connector, GFCI duplex 120 VAC outlet, (1) RJ45 Ethernet port with female exterior/female interior, 3A circuit breaker</t>
  </si>
  <si>
    <t>AUTOMATION DIRECT</t>
  </si>
  <si>
    <t>Autonics E/IP Bus Coupler</t>
  </si>
  <si>
    <t>Autonics</t>
  </si>
  <si>
    <t>ProAuto</t>
  </si>
  <si>
    <t>Autonics I/O Power Module</t>
  </si>
  <si>
    <t>Autonics 4-channel thermocouple input</t>
  </si>
  <si>
    <t>Autonics 4-CHANNEL ANALOG INPUT MODULE, 0..10V</t>
  </si>
  <si>
    <t>ARIO-S-AI04V2</t>
  </si>
  <si>
    <t>Autonics 4-channel analog input, 0-10vdc</t>
  </si>
  <si>
    <t>ANALOG OUTPUT MODULE, -10..10VDC, 12BIT, 2CHANNEL</t>
  </si>
  <si>
    <t>AUTONICS</t>
  </si>
  <si>
    <t>CRAVE</t>
  </si>
  <si>
    <t>ARIO-S-AO04V2</t>
  </si>
  <si>
    <t>Autonics 4-channel analog output, 0-10vdc</t>
  </si>
  <si>
    <t>Autonics 8-channel digital input</t>
  </si>
  <si>
    <t>Autonics 8-channel digital output</t>
  </si>
  <si>
    <t>INCLUDED WITH BUS COUPLER</t>
  </si>
  <si>
    <t>Autonics SSR, Integrated Heatsink, Single phase, Input 4-30VDC, Load 48-480VAC, 10A, Zero cross.</t>
  </si>
  <si>
    <t>Fork Sensor for web</t>
  </si>
  <si>
    <t>BALLUFF</t>
  </si>
  <si>
    <t>Fiero</t>
  </si>
  <si>
    <t>Drive package consisting of: R911331611 (HCS01.1E-W0028-A-03-B-ET-EC-NN-L4-NN-FW) and R911347141 (FWA-INDRV*-MPB-20VRS-D5-1-NNN-NN)</t>
  </si>
  <si>
    <t>BRC</t>
  </si>
  <si>
    <t>AAP</t>
  </si>
  <si>
    <t>Drive package consisting of: R911397897(BRC, HCS01.1E-W0005-A-03-B-ET-EC-EP-L4-N),  R911347141 (FWA-INDRV*-MPB-20VRS-D5-1-NNN-NN)</t>
  </si>
  <si>
    <t>BRC S20-DI-16/1 IO Block, 16 Point-Digital Input</t>
  </si>
  <si>
    <t>BuyRex</t>
  </si>
  <si>
    <t>BRC XFE01.1-FB-03 BUS ADAPTOR</t>
  </si>
  <si>
    <t>DUPLICATED</t>
  </si>
  <si>
    <t>54930, 54893</t>
  </si>
  <si>
    <t>BRC HNL01.1E-1000-N0012-A-500-NNNN CHOKE</t>
  </si>
  <si>
    <t>Radwell</t>
  </si>
  <si>
    <t>BRC PLC, XM2200.01-01-31-31-301-NN-101NNNN</t>
  </si>
  <si>
    <t>BRC RG2-002ABB-NN-015,0 - 15m Encoder Servo cable</t>
  </si>
  <si>
    <t>2x unwind nips</t>
  </si>
  <si>
    <t>BRC RG2-002ABB-NN-010,0 - 10m Encoder Servo cable</t>
  </si>
  <si>
    <t>2x unwind rolls 3x seg nips</t>
  </si>
  <si>
    <t>BRC RH2-021DBB-NN-015,0 - 15m Hybrid Servo Cable</t>
  </si>
  <si>
    <t>conveyor, flying knife and side Seals (4 in stock)</t>
  </si>
  <si>
    <t>IN STOCK</t>
  </si>
  <si>
    <t>BRC RH2-023DBB-NN-010,0 - 10m Hybrid Servo Cable</t>
  </si>
  <si>
    <t>Side Seals (4 in stock)</t>
  </si>
  <si>
    <t>2x54940, 4xSTOCK</t>
  </si>
  <si>
    <t>BRC RL2-043DBB-NN-010,0 - 10m Power Servo Cable</t>
  </si>
  <si>
    <t>BRC RL2-043DBB-NN-015,0 - 15m Power Servo Cable</t>
  </si>
  <si>
    <t>BRC MS2N03-B0BYN-CMSH0-NNNNN-NN Servomotor</t>
  </si>
  <si>
    <t>BRC MS2N06-D0BNN-CMSK2-NNNNN-NN Servo Motor</t>
  </si>
  <si>
    <t>BRC MS2N07-EXXXN-BXVG2-XNNNN-NN Servomotor</t>
  </si>
  <si>
    <t>DIGITAL INPUT MODULE, 16 CHANNEL S20-DI-16/1</t>
  </si>
  <si>
    <t>DIGITAL OUTPUT MODULE, 16 CHANNEL, S20-DO-16/1</t>
  </si>
  <si>
    <t>XFE extension module for XM control</t>
  </si>
  <si>
    <t>BRL CKR-090-NN-1-1496mm-MG10-01-08-02-15-00 Belt Driven Linear Actuator</t>
  </si>
  <si>
    <t>BRL</t>
  </si>
  <si>
    <t>BRL Clamping Fixture - CKx-110, -145</t>
  </si>
  <si>
    <t>BRL 15mm Ball Rail, hole punch frame</t>
  </si>
  <si>
    <t>BRL 25mm Ball Rail, Nips</t>
  </si>
  <si>
    <t>BRL 25mm Ball Rail, Unwind Rolls</t>
  </si>
  <si>
    <t>BRL 15mm runner block</t>
  </si>
  <si>
    <t xml:space="preserve">BRL 15mm Ball Rail, assy 340, spout lift and spout seal </t>
  </si>
  <si>
    <t>BRL 15mm Ball Rail, assy 113, spout adjustment</t>
  </si>
  <si>
    <t>BRL 15mm Ball Rail, assy 640, pick n place</t>
  </si>
  <si>
    <t>BRL .400 Side Rail THREE SHORT option</t>
  </si>
  <si>
    <t>BRL 15mm Ball Rail, assy 250, compensator</t>
  </si>
  <si>
    <t>BRL 15mm Ball Rail, assy 114, cross seal adjustment</t>
  </si>
  <si>
    <t>BRL 25mm Ball Rail, Cap Bowl</t>
  </si>
  <si>
    <t>BRL 25mm Ball Rail, Spout Bowl</t>
  </si>
  <si>
    <t>BRL 15mm runner block, C1 Preload, flanged</t>
  </si>
  <si>
    <t>BRL 15mm runner block, flanged</t>
  </si>
  <si>
    <t>BRL 25mm runner block, flanged</t>
  </si>
  <si>
    <t>BRL 15mm runner block, short</t>
  </si>
  <si>
    <t>BRX GUIDE COMPONENT NUT 8/10</t>
  </si>
  <si>
    <t>BRX GOTO GUSSET 90X90 SET</t>
  </si>
  <si>
    <t>4x55073, 3x55169</t>
  </si>
  <si>
    <t>3842525766</t>
  </si>
  <si>
    <t>BRX GOTO STR.-SHAPED HANDLE 26X195X58</t>
  </si>
  <si>
    <t>BRX GOTO T-HEAD BOLT HS10-M8X25</t>
  </si>
  <si>
    <t>BRX GOTO T-SLOT STONE 10 M8</t>
  </si>
  <si>
    <t>BRX GOTO T-SLOT STONE 10 M6</t>
  </si>
  <si>
    <t>Swivel-in M6 sliding block T-Slot N10</t>
  </si>
  <si>
    <t>1+ IN STOCK</t>
  </si>
  <si>
    <t>BRX GOTO T-NUT 10 M4</t>
  </si>
  <si>
    <t>14 NuLine Stock</t>
  </si>
  <si>
    <t>BRX GOTO T-NUT 10 M5</t>
  </si>
  <si>
    <t>50x54968, 200x55147, 150x55169</t>
  </si>
  <si>
    <t>BRX GOTO T-NUT 10 M6</t>
  </si>
  <si>
    <t>54968, 55147, 55270</t>
  </si>
  <si>
    <t>BRX GOTO T-NUT 10 M8</t>
  </si>
  <si>
    <t>54968, 55147</t>
  </si>
  <si>
    <t>BRX GOTO QUICK CONNECTOR N10 0°</t>
  </si>
  <si>
    <t>17 in stock</t>
  </si>
  <si>
    <t>500x54927, 500x55060</t>
  </si>
  <si>
    <t>BRX GOTO QUICK CONNECTOR N10 90°</t>
  </si>
  <si>
    <t>BRX GOTO HINGE AL 45/45, 2PK</t>
  </si>
  <si>
    <t>BRX 45X45 GREY END CAP</t>
  </si>
  <si>
    <t>BRX 45X90 GREY END CAP</t>
  </si>
  <si>
    <t>BRX 3842548758 Cover Cap 90x90 Grey</t>
  </si>
  <si>
    <t>BRX GOTO VARIOFIX BLOCK S,N10,40/45,GREY</t>
  </si>
  <si>
    <t>FUSE, TYPE CC, FAST-ACTING, 10A, ONE POLE</t>
  </si>
  <si>
    <t>BUSSMAN</t>
  </si>
  <si>
    <t>CLASS CC LOW-PEAK TIME-DELAY, REJECTION TYPE FUSE, 30A, 3-POLE</t>
  </si>
  <si>
    <t>FUSE, TYPE CC, TIME DELAY, 6A</t>
  </si>
  <si>
    <t>BUSSMANN</t>
  </si>
  <si>
    <t>FUSE, UL CLASS J, TIME DELAY, 600V, 80A, 300KA INTERRUPT RATING</t>
  </si>
  <si>
    <t>LEGEND PLATE FOR 22MM PUSH BUTTON, NOTCHED, CYCLE START TEXT</t>
  </si>
  <si>
    <t>CAROLINA LASER</t>
  </si>
  <si>
    <t>LEGEND PLATE FOR 22MM PUSH BUTTON, NOTCHED, CYCLE STOP TEXT</t>
  </si>
  <si>
    <t>LEGEND PLATE FOR 22MM PUSH BUTTON, NOTCHED, SS,CYCLE START</t>
  </si>
  <si>
    <t>Provided by CRAVE</t>
  </si>
  <si>
    <t>LEGEND PLATE FOR 22MM PUSH BUTTON, NOTCHED, SS, CYCLE STOP</t>
  </si>
  <si>
    <t>LEGEND PLATE FOR 22MM PUSH BUTTON, NOTCHED, SS, RESET</t>
  </si>
  <si>
    <t>CIRCUIT BREAKER, 80VDC RATED, U2 TRIP CURVE, 1POLE, 2A</t>
  </si>
  <si>
    <t>CBI</t>
  </si>
  <si>
    <t>CIRCUIT BREAKER, 80VDC RATED, U2 TRIP CURVE, 1POLE, 4A</t>
  </si>
  <si>
    <t>CIRCUIT BREAKER, 80VDC RATED, U2 TRIP CURVE, 1POLE, 7A</t>
  </si>
  <si>
    <t>CIRCUIT BREAKER, 80VDC RATED, U2 TRIP CURVE, 1POLE, 8A</t>
  </si>
  <si>
    <t>CIRCUIT BREAKER, 80VDC RATED, U2 TRIP CURVE, 1POLE, 10A</t>
  </si>
  <si>
    <t>LEGEND PLATE</t>
  </si>
  <si>
    <t>UL508A Nameplate</t>
  </si>
  <si>
    <t>MODIFIED AND ASSEMBLED BACKPLANE</t>
  </si>
  <si>
    <t>BACKPLANE ASSEMBLY</t>
  </si>
  <si>
    <t>CRAVE TECHNICAL</t>
  </si>
  <si>
    <t>FAN BRACKET, ANODIZED ALUMINUM</t>
  </si>
  <si>
    <t>Dienes 02023-01 PQAS 1/2″ SCORE CUT KNIFE HOLDER WITH SET SCREW</t>
  </si>
  <si>
    <t>DIENES</t>
  </si>
  <si>
    <t>Dienes 022198 MALE/FEMALE ADAPTER</t>
  </si>
  <si>
    <t>Dorner Conveyor L Bracket</t>
  </si>
  <si>
    <t>DORNER</t>
  </si>
  <si>
    <t>DORNER M6 TWIST-IN T-NUT</t>
  </si>
  <si>
    <t>50 IN NULINE STOCK</t>
  </si>
  <si>
    <t>Dorner End Drive Conveyor (A Side)
2200 Series end drive conveyor with V-guide belt
tracking, 2.75in (70mm) wide x 5.04ft (1536mm)
long, drive shaft in position B with type 01 - low
side profile on both sides and belt type 01, FDA
Accumulation with fused finger splice.</t>
  </si>
  <si>
    <t>Dorner</t>
  </si>
  <si>
    <t>Dorner End Drive Conveyor (B Side)
2200 Series end drive conveyor with V-guide belt
tracking, 2.75in (70mm) wide x 6.83ft (2082mm)
long, drive shaft in position C with type 01 - low
side profile on both sides and belt type 01, FDA
Accumulation with fused finger splice.</t>
  </si>
  <si>
    <t>Dorner Bottom Mount Pkg (Pre-Diverter)
2200 Series Standard Load 90 Degree bottom
mount package for a mid drive conveyor,
mounted in the D position, 28:28 pulley ratio.
Uncrated weight = 5lb (2kg).</t>
  </si>
  <si>
    <t>2200 Series mid drive conveyor (Pre-Diverter)
V-guide belt tracking, 2.75in (70mm) wide x
2.52ft (768mm) long, drive shaft in position D
with type 01 - low side profile on both sides and
belt type 01, FDA Accumulation with fused
finger splice. Configuration includes standard
drive and idler tail.</t>
  </si>
  <si>
    <t>Dorner Bottom Mount Pkg (A Side)
2200 Series Standard Load 90 Degree flush
Bottom mount package for a end drive conveyor,
mounted in the B position, 28:16 pulley ratio.
Uncrated weight = 6lb (3kg).</t>
  </si>
  <si>
    <t>Dorner Bottom Mount Pkg (B Side)
2200 Series Standard Load 90 Degree flush
Bottom mount package for a end drive conveyor,
mounted in the C position, 28:16 pulley ratio.
Uncrated weight = 6lb (3kg).</t>
  </si>
  <si>
    <t>DORNER 300150M M6x1.0 T-Bar</t>
  </si>
  <si>
    <t>Dorner Belted End Drive Conveyor (Delivery)
3200 Series Belted end drive conveyor with
V-guide belt tracking, standard 3" pulley drive
tail, output shaft A side idler tail , 48" (1219mm)
wide belt x 3' (914mm) long, output shaft in
position A with low side profile and type 02
standard general purpo</t>
  </si>
  <si>
    <t>3200 &amp; LPZ Series standard load bottom mounting package for end drive conveyor, mounted in the A position, 20:16 pulley ratio.</t>
  </si>
  <si>
    <t>Dorner Gear Motor (Pre-Diverter)
Standard load 90 Degree VFD Variable Speed
gearmotor, .38 Hp (.28kw), 230/460 volt, 43
RPM. Order variable speed controller separately.
Uncrated weight = 15lb (7kg).</t>
  </si>
  <si>
    <t>Dorner 2200 Series standard load 90 Degree (A and B Side)</t>
  </si>
  <si>
    <t>SP100-F0-IU38 Idler Safety Chuck</t>
  </si>
  <si>
    <t>Double E</t>
  </si>
  <si>
    <t>SP100-F1-IU38 Driven Safety Chuck</t>
  </si>
  <si>
    <t>SRL-2500 Strip Shaft 6in</t>
  </si>
  <si>
    <t xml:space="preserve">82SR049S1214XA-001_EE expandable shaft </t>
  </si>
  <si>
    <t>AUXILIARY CONTACT 1-NO, 1-NC FOR R5A DS</t>
  </si>
  <si>
    <t>EATON</t>
  </si>
  <si>
    <t>INDUSTRIAL CONTROL TRANSFORMER, 500VA, 208/277VAC X 120V, 2.8FLA PRIMARY, 4FLA SECONDARY</t>
  </si>
  <si>
    <t>TYPE CC FUSEHOLDER, THREE POLE, NON-INDICATING, 30A MAX, 600V</t>
  </si>
  <si>
    <t>3 POLE COVER FOR CHDB PDB'S</t>
  </si>
  <si>
    <t>Power Distribution Blocks, Open, 175A, Three-pole, 2/0-#8AWG line, (6)#4-#14AWG load. Panel mount</t>
  </si>
  <si>
    <t>Power Distribution Blocks, Enclosed, 380A, Single-pole, 500kcmil-#6AWG line, (6)#2-#14AWG load. Panel mount</t>
  </si>
  <si>
    <t>PLUG-IN RELAY SOCKET, 3PDT</t>
  </si>
  <si>
    <t>RELAY, 3PDT, B300 CONTACT RATING, 300V, 24VDC COIL, 10A SWITCH CURRENT</t>
  </si>
  <si>
    <t>Flange Handle for side-operated rotary disconnect switch. NEMA Type 1, 3, 3R, 4, 12, 30 - 400A</t>
  </si>
  <si>
    <t>FINGER-SAFE TERMINAL COVERS, SIX TERMINAL TRANSFORMERS</t>
  </si>
  <si>
    <t>MOMENTARY PUSH BUTTON, ILLUMINATED, BLUE LED, 2NO CONTACT, 24VDC, TYPE 4</t>
  </si>
  <si>
    <t>MOMENTARY PUSH BUTTON, ILLUMINATED, GREEN LED, lNO CONTACT, 24VDC, NEMA 4</t>
  </si>
  <si>
    <t>MOMENTARY PUSH BUTTON, ILLUMINATED, RED LED, lNO CONTACT, 24VDC, NEMA 4</t>
  </si>
  <si>
    <t>CONTACT BLOCK, NO, 24VDC</t>
  </si>
  <si>
    <t>LED LAMP BLOCK, BLUE, 24VDC</t>
  </si>
  <si>
    <t>PLUG-IN RELAY PROTECTION DIODE, 6..250VDC</t>
  </si>
  <si>
    <t>DOOR KIT, FOR R9, H-FRAME DISCONNECTS</t>
  </si>
  <si>
    <t>PROTECTIVE EARTH MODULE</t>
  </si>
  <si>
    <t>Disconnect switch Pistol Handle, Black, Padlockable and Defeatable, TYPE 1, 3R, and 12</t>
  </si>
  <si>
    <t>PLUG-IN RELAY CLIP</t>
  </si>
  <si>
    <t>DISCONNECT SWITCH, FUSIBLE, 3-POLE, TYPE CC FUSES, 30A MAXIMUM RATING, 100KA SCCR</t>
  </si>
  <si>
    <t>DISCONNECT SWITCH, NON-FUSIBLE, 30A, 10KA SCCR W/TYPE J FUSE</t>
  </si>
  <si>
    <t>Disconnect Switch, Rotary, 100A, Class J fuses, 3 pole, 600V, K frame</t>
  </si>
  <si>
    <t>ROD OPERATOR, LINK BETWEEN FLANGE HANDLE AND SIDE OPERATED DISCONNECT SWITCH</t>
  </si>
  <si>
    <t>DISCONNECT SHAFT, 5X5MM, 200MM LONG, SIZE SH00</t>
  </si>
  <si>
    <t>SHAFT EXTENSTION, FOR PISTOL HANDLE, 400MM, FOR USE WITH PH1 HANDLES</t>
  </si>
  <si>
    <t>PISTOL HANDLE DISCONNECT SWITCH, ROTARY, NEMA 1, 3R, 12, RED/YELLOW</t>
  </si>
  <si>
    <t>TERMINAL SHROUDS</t>
  </si>
  <si>
    <t>TERMINAL BLOCK RELAY, 2PDT, 24VDC COIL, 250VAC/DC, 6A CONTACTS</t>
  </si>
  <si>
    <t>MAGNETIC CONTACTOR, 3-POLE, 20A, 1NC AUX , POSITIVELY DRIVEN, INTEGRATED SUPPRESSOR</t>
  </si>
  <si>
    <t>MAGNETIC CONTACTOR, 3-POLE, 20A, 1NC AUX , POSITIVELY DRIVEN, INTEGRATED SUPPRESSOR, 24VDC COIL</t>
  </si>
  <si>
    <t>MAGNETIC CONTACTOR, 3-POLE, 40A, 1NC AUX , POSITIVELY DRIVEN, INTEGRATED SUPPRESSOR, 24VDC COIL</t>
  </si>
  <si>
    <t>DC Fans DC Tubeaxial Fan, 60x60x25mm, 24VDC, 33CFM, 3W, 6850RPM, 41dBA, Ball Bearing</t>
  </si>
  <si>
    <t>EBM PAPST</t>
  </si>
  <si>
    <t>ELESA ERX.30 p-M5x20-C1</t>
  </si>
  <si>
    <t>ELESA</t>
  </si>
  <si>
    <t xml:space="preserve">ELESA ERZ.44p-M5x20-C1 Adjustable Handle for M5 Screw, 20mm Screw L </t>
  </si>
  <si>
    <t xml:space="preserve">ELESA ERZ.44p-M5x32-C1 Adjustable Handle for M5 Screw, 32mm Screw L </t>
  </si>
  <si>
    <t>ELESA 260411-C1 Black Bridge Handle EBP.200-8-C1</t>
  </si>
  <si>
    <t>406421</t>
  </si>
  <si>
    <t>ELESA LMR.60-AS-M12x60</t>
  </si>
  <si>
    <t>Elesa LMR-60-AS-M12x60</t>
  </si>
  <si>
    <t>Elesa</t>
  </si>
  <si>
    <t>ELESA LMR.F-80-AS-M16x125</t>
  </si>
  <si>
    <t>42x54922, 8x55056</t>
  </si>
  <si>
    <t>ELesa VCT.25 p-M5x20-C9 Lobe knob</t>
  </si>
  <si>
    <t xml:space="preserve">ELESA Wing Nut 8751 CTL.476/40 p-M8x16 </t>
  </si>
  <si>
    <t>ELESA DD51-AN-000.4-D-C1NO Digital Position Indicator</t>
  </si>
  <si>
    <t>ELESA DD51-AN-002.0-D-C1 Digital Position Indicator</t>
  </si>
  <si>
    <t>ELESA DD51-AN-003.0-D-C1 Digital Position Indicator</t>
  </si>
  <si>
    <t>ELESA DD51-AN-004.0-D-C1 Digital Position Indicator</t>
  </si>
  <si>
    <t>ELESA DD51-AN-005.0-D-C1 Digital Position Indicator</t>
  </si>
  <si>
    <t>ELESA CE.85919 Base for Spindle Locking BSA-N51-12</t>
  </si>
  <si>
    <t>ELESA Base Spindle Locking BSA-N51-14</t>
  </si>
  <si>
    <t>ELESA Reduction sleeves RB51-12</t>
  </si>
  <si>
    <t>ELESA GN 300-30-M6-16-SW (GN.15956) twist lock handle</t>
  </si>
  <si>
    <t>ELESA 300-45-M6-16-SW Threaded Adjustable Handle</t>
  </si>
  <si>
    <t>Adjustable handles with threaded screw GN 300-63-M8-25-SW</t>
  </si>
  <si>
    <t>ELESA GN 322.3-125-B12-R Foldaway Aluminum Handwheel</t>
  </si>
  <si>
    <t>ELESA GN 322.3-160-B14-R Foldaway Aluminum Handwheel</t>
  </si>
  <si>
    <t>ELESA GN 30052 Burled Knob for M5</t>
  </si>
  <si>
    <t>ELESA GN.67101 GN 927.2-63-M6-16-A-Z - Clamping Levers with Eccentrical Cam</t>
  </si>
  <si>
    <t>EMERSON ER16 Insert Bearing</t>
  </si>
  <si>
    <t>EMERSON</t>
  </si>
  <si>
    <t>MOTION</t>
  </si>
  <si>
    <t>EMERSON ER24 Insert Bearing</t>
  </si>
  <si>
    <t>EXOR EX715U5P1 15in HMI</t>
  </si>
  <si>
    <t>EXOR</t>
  </si>
  <si>
    <t>Fortress M23 19 Pin Cable 20 Meter</t>
  </si>
  <si>
    <t>FORTRESS</t>
  </si>
  <si>
    <t>TMMI</t>
  </si>
  <si>
    <t>Fortress Key pad</t>
  </si>
  <si>
    <t>Fortress tGard Key Std</t>
  </si>
  <si>
    <t>XL, Hub, 2 Flanges, 9.5mm Maximum Width, 57mm OD, 12mm Shaft</t>
  </si>
  <si>
    <t>Gates</t>
  </si>
  <si>
    <t>Gates 1610 40MM - 78581640 Taper-Lock Bushings</t>
  </si>
  <si>
    <t>Gates 640-8MGT-30 Toothed belt</t>
  </si>
  <si>
    <t>Gates P35-8MGT-30 Pully</t>
  </si>
  <si>
    <t>Hammond general purpose transformer, open core, 15 kVA, 3-phase, 480 VAC Delta primary, 208Y/120 VAC secondary, 60 Hz, NEMA 3R, floor, wall or ceiling mount.</t>
  </si>
  <si>
    <t>Hammond</t>
  </si>
  <si>
    <t>AutoDir</t>
  </si>
  <si>
    <t>Hoffman  Barrier Kit Bolt-On</t>
  </si>
  <si>
    <t>Hoffman</t>
  </si>
  <si>
    <t>Rexel</t>
  </si>
  <si>
    <t>Hoffman Straight Section Lay-in Hinged-Cover Type 1, 72"</t>
  </si>
  <si>
    <t>Hoffman Closure Plate</t>
  </si>
  <si>
    <t>Hoffman Universal U-Connector</t>
  </si>
  <si>
    <t xml:space="preserve">Mounting bracket, full set, Plastic, one-piece, locking, without tiewrap plates	</t>
  </si>
  <si>
    <t>IGUS</t>
  </si>
  <si>
    <t>IGUS  Series 09 Energy Chain, 1" Wide</t>
  </si>
  <si>
    <t>IGUS 12mm Dia x 1372mm Hard Anod Alum Shaft</t>
  </si>
  <si>
    <t>IGUS Custom Machined Lead Screw</t>
  </si>
  <si>
    <t>IGUS DryLin Flange Bearing</t>
  </si>
  <si>
    <t>IGUS Iglide Metric Bushing</t>
  </si>
  <si>
    <t>IGUS Drylin Lead Screw Nut</t>
  </si>
  <si>
    <t>IGUS  Trap Lead Nut</t>
  </si>
  <si>
    <t>IGUS Drylin Trapezoidal Nut w/ Flange</t>
  </si>
  <si>
    <t>KEYENCE FS-41NC Main Unit M8 Connector Type</t>
  </si>
  <si>
    <t>KEYENCE</t>
  </si>
  <si>
    <t>KEYENCE FU-E40 Digital Fiber Optic Distance Sensor</t>
  </si>
  <si>
    <t>Keyence GS-M51P Mag Lock Unit</t>
  </si>
  <si>
    <t>Keyence GS-MA5M Actuator</t>
  </si>
  <si>
    <t>Safety Interlock Switch Cable Standard, 8-pin, M12, 10m</t>
  </si>
  <si>
    <t>Safety Interlock Switch Cable Standard Extension, 8-pin, M12, 1m</t>
  </si>
  <si>
    <t>Safety Interlock Switch Cable Standard Extension, 8-pin, M12, 5m</t>
  </si>
  <si>
    <t>Safety Interlock Switch Cable Std.Extension,L-shaped,8-pin,M12,1m</t>
  </si>
  <si>
    <t>KEYENCE ALL PURPOSE LASER DISTANCE SENSOR, ANALOG</t>
  </si>
  <si>
    <t>KEYENCE OP-88245 Amplifier Securing Bracket</t>
  </si>
  <si>
    <t xml:space="preserve">KEYENCE PR-G4ACP Diffuse reflective long distance </t>
  </si>
  <si>
    <t>NETWORK FIELDBUS CARD, ETHERNET/IP</t>
  </si>
  <si>
    <t>LS ELECTRIC</t>
  </si>
  <si>
    <t>VFD, TYPE LSLV0008S100-2EONNS, 200V, 3PHASE, 1HP OUTPUT</t>
  </si>
  <si>
    <t>CIRCUIT BREAKER, BK63HU 1P B4A 10kA 277VAC, 60VDC UL489</t>
  </si>
  <si>
    <t>CIRCUIT BREAKER, C-TRIP CURVE, 277VAC, 60VDC UL489, 1-POLE, 15A</t>
  </si>
  <si>
    <t>CIRCUIT BREAKER, BK63HU 2P D1A 10KA, 480Y/277VAC, UL489</t>
  </si>
  <si>
    <t>CIRCUIT BREAKER, BK63HU 2P D15A 10kA 480Y/277VAC UL489</t>
  </si>
  <si>
    <t>CIRCUIT BREAKER, 3P D40A 10KA, 240VAC MAX, UL489</t>
  </si>
  <si>
    <t>CIRCUIT BREAKER, BK63HU 3P C2A 10KA, 480Y/277VAC, 60VDC UL489</t>
  </si>
  <si>
    <t>CIRCUIT BREAKER, BK63HU 3P C6A 10KA, 480Y/277VAC, 60VDC UL489</t>
  </si>
  <si>
    <t>CIRCUIT BREAKER 3P C10A 10kA 480Y/277VAC, 60VDC UL489</t>
  </si>
  <si>
    <t>CIRCUIT BREAKER 3P D10A 10kA 480Y/277VAC, 60VDC UL489</t>
  </si>
  <si>
    <t>CIRCUIT BREAKER, BK63HU 3P C15A 10kA 480Y/277VAC UL489</t>
  </si>
  <si>
    <t>CIRCUIT BREAKER, BK63HU 3P D15A 10KA 480Y/277VAC</t>
  </si>
  <si>
    <t>Straight-Flow Rectangular Manifold, Anodized Aluminum, Standard, 4 Outlets, 1/4 NPT x 1/8 NPT</t>
  </si>
  <si>
    <t>MCM</t>
  </si>
  <si>
    <t>Straight-Flow Rectangular Manifold, Anodized Aluminum, Standard, 4 Outlets, 3/8 NPT x 1/4 NPT</t>
  </si>
  <si>
    <t>Straight-Flow Rectangular Manifold, Anodized Aluminum, Extra Wd, 2 Outlets, 3/8 NPT x 1/4 NPT</t>
  </si>
  <si>
    <t>Encased Neodymium Magnet with Threaded Stud 5 mm Thick, 10 mm OD</t>
  </si>
  <si>
    <t>1095K23_Zinc-Plated Steel Grease Fitting 1/8 NPT</t>
  </si>
  <si>
    <t>Corrosion-Resistant Timing Belt Pulley XL Series, Hub, 2 Flanges, 9.5mm Maximum Belt Width, 28mm OD</t>
  </si>
  <si>
    <t>Corrosion-Resistant Timing Belt Pulley XL Series, Hub, 2 Flanges, 9.5mm Maximum Belt Width, 35mm OD</t>
  </si>
  <si>
    <t>Corrosion-Resistant Timing Belt Pulley XL, Hub, 2 Flanges, 9.5mm Maximum Width, 57mm OD, 8mm Shaft</t>
  </si>
  <si>
    <t>Corrosion-Resistant Timing Belt Pulley XL, Hub, 2 Flanges, 9.5mm Maximum Width, 57mm OD, 12mm Shaft</t>
  </si>
  <si>
    <t>1432N51</t>
  </si>
  <si>
    <t>Low-Pressure Threaded Pipe Fitting with Sealant 304 Stainless Steel Bushing Adapter, 3/4 NPT Male x 1/2 NPT Female</t>
  </si>
  <si>
    <t>1432N65</t>
  </si>
  <si>
    <t>Low-Pressure Threaded Pipe Fitting with Sealant 304 Stainless Steel Bushing Adapter, 1-1/2 Male x 1/2 Female</t>
  </si>
  <si>
    <t>Piano Hinge with Holes Anodized Aluminum, 3" Overall Width, 0.430" Knuckle Diameter, 3' Long</t>
  </si>
  <si>
    <t>Adhesive-Back Ruler Reads Left to Right, Yellow Steel, 3 M Length, 1/4" Width</t>
  </si>
  <si>
    <t>Rounded Machine Key 316 Stainless Steel, 7 mm x 8 mm, 35 mm Long</t>
  </si>
  <si>
    <t>1008-1010 Carbon Steel Ring Shims 0.5 mm Thick, 8 mm ID, 100pk</t>
  </si>
  <si>
    <t>1008-1010 Carbon Steel Ring Shims 0.5 mm Thick, 20 mm ID, 50k</t>
  </si>
  <si>
    <t>1008-1010 Carbon Steel Ring Shims, 2 mm Thick, 20 mm ID, 25pk</t>
  </si>
  <si>
    <t>4x55087, 1x55215</t>
  </si>
  <si>
    <t>Continuous-Flex Plastic Conduit Fitting Straight, for 0.84" OD Snap-in Female x 1/2 NPT Male</t>
  </si>
  <si>
    <t>Clamping Two-Piece Shaft Collar for 10mm Diameter, Chrome Plated 1215 Carbon Steel</t>
  </si>
  <si>
    <t>Clamping Two-Piece Shaft Collar for 12mm Diameter, Chrome Plated 1215 Carbon Steel</t>
  </si>
  <si>
    <t>Clamping Two-Piece Shaft Collar for 16mm Diameter, Chrome Plated 1215 Carbon Steel</t>
  </si>
  <si>
    <t>High-Polish Quick-Clamp Sanitary Tube Fitting 304 Stainless Steel Clamp with Wing Nut for 2" Tube OD</t>
  </si>
  <si>
    <t>304 Stainless Steel Threaded Pipe Fitting, Low-Pressure, 90 Degree Adapter, 1-1/2 NPT Female x Male</t>
  </si>
  <si>
    <t>304 Stainless Steel Threaded Pipe Fitting, Low Pressure, Straight Reducer, 1-1/2 x 3/4 NPT Male</t>
  </si>
  <si>
    <t>High-Temperature Silicone O-Ring 2.5 mm Wide, 30 mm ID</t>
  </si>
  <si>
    <t>High-Pressure Brass Pipe Fitting, Straight Reducer, 3/4 x 1/2 NPT Male</t>
  </si>
  <si>
    <t>5537T938</t>
  </si>
  <si>
    <t>T-Slotted Framing Silver Corner Bracket for 45 mm High Rail, 1-3/4" Long</t>
  </si>
  <si>
    <t>Clamping Shaft Collar for 12 mm Diameter, Black-Oxide 1215 Carbon Steel</t>
  </si>
  <si>
    <t>Clamping Shaft Collar for 8 mm Shaft Diameter, Zinc Plated 1215 Carbon Steel</t>
  </si>
  <si>
    <t>5x55087, 1x55167</t>
  </si>
  <si>
    <t>Ball Bearing Shielded, Trade No. 6901-2Z, for 12 mm Shaft Diameter</t>
  </si>
  <si>
    <t>Ball Bearing Shielded, Trade No. 6001-2Z, for 12 mm Shaft Diameter</t>
  </si>
  <si>
    <t xml:space="preserve">Ball Bearing Sealed, Trade No. 6003-2RS, for 17 mm Shaft Diameter </t>
  </si>
  <si>
    <t>Ball Bearing Open, Trade Number 608, for 8 mm Shaft Diameter</t>
  </si>
  <si>
    <t>55087, 55152</t>
  </si>
  <si>
    <t>Carbon Steel Set Screw Collar for 12 mm Shaft Diameter, DIN 705</t>
  </si>
  <si>
    <t>Ball Joint Rod End 7/16"-20 Thread, Right Hand</t>
  </si>
  <si>
    <t>60845K330</t>
  </si>
  <si>
    <t>Two Piece Shaft Coupling for 0.5in Shaft</t>
  </si>
  <si>
    <t>6153K22</t>
  </si>
  <si>
    <t>Stainless Steel Ball Bearing Shielded, Trade No. 698-2Z, for 8 mm Shaft Diameter</t>
  </si>
  <si>
    <t>Flange-Mounted Shaft Support for 12 mm Shaft Diameter, 1060 Aluminum</t>
  </si>
  <si>
    <t>XL Series Timing Belt Trade No. 300xL037</t>
  </si>
  <si>
    <t>XL Series Timing Belt Trade No. 400xL037</t>
  </si>
  <si>
    <t>XL Series Timing Belt Trade No. 480xL037</t>
  </si>
  <si>
    <t>XL Series Timing Belt Trade No. 570xL037</t>
  </si>
  <si>
    <t>XL Series Timing Belt Trade No. 630xL037</t>
  </si>
  <si>
    <t>Two-Piece Shaft Coupling, Steel, for 12 mm x 12 mm Diameter Round Shaft</t>
  </si>
  <si>
    <t>Linear Motion Shaft 1566 Carbon Steel, 12 mm Diameter, 250 mm Long</t>
  </si>
  <si>
    <t>Turn-Lock Connector, Three-Blade Straight Plug, Grounded, NEMA L7-30</t>
  </si>
  <si>
    <t>Turn-Lock Connector 3-Slot Single Female Receptacle, Grounded, NEMA L7-30</t>
  </si>
  <si>
    <t>Mil. Spec. Signal/Power Connector Plug, Internal Thread, 2 Poles, MS3106F10SL-4P</t>
  </si>
  <si>
    <t>Mil. Spec. Signal/Power Connector Receptacle, External Thread, 2 Poles, MS3102R10SL-4S</t>
  </si>
  <si>
    <t>18-8 Stainless Steel Threaded Rod, M4 x 0.7 mm Thread Size, 1 M Long</t>
  </si>
  <si>
    <t>PK QTY represents 1meter length</t>
  </si>
  <si>
    <t>External Retaining Ring for 12 mm OD, Zinc-Chromate-Plated Spring Steel, 100pk</t>
  </si>
  <si>
    <t>External Retaining Ring for 17 mm OD, Zinc-Chromate-Plated Spring Steel, 50pk</t>
  </si>
  <si>
    <t>External Retaining Ring for 21 mm OD, Zinc-Chromate-Plated Spring Steel, 25pk</t>
  </si>
  <si>
    <t>316 Stainless Steel Ring Shim 0.5mm Thick, 8mm ID, 10pk</t>
  </si>
  <si>
    <t>Pack of 10</t>
  </si>
  <si>
    <t>316 Stainless Steel Ring Shim 0.5mm Thick, 12mm ID, 10pk</t>
  </si>
  <si>
    <t>Black-Phosphate Steel Key-Locking Inserts with Thin Wall, M10 x 1.5 mm Thread Size</t>
  </si>
  <si>
    <t>18-8 Stainless Steel Precision Shoulder Screw 4 mm Shoulder Diameter, 2 mm Shoulder Length, M3 x 0.5 mm Thread</t>
  </si>
  <si>
    <t>Medium-Strength Steel Thin Hex Nut, Fine-Thread, Zinc-Plated, M10 x 1.25 mm Thread, 100pk</t>
  </si>
  <si>
    <t>Alloy Steel Low-Profile Socket Head Screws Hex Drive, Zinc Plated, M8 x 1.25 mm Thread, 20 mm Long, 25pk</t>
  </si>
  <si>
    <t>Extreme-Strength Hex Head Screw Class 12.9 Steel, M20 x 2.5 mm Thread, 50 mm Long</t>
  </si>
  <si>
    <t>Multipurpose 6061 Aluminum Round Tube 0.065" Wall Thickness, 3" OD x 6"</t>
  </si>
  <si>
    <t>6" Length</t>
  </si>
  <si>
    <t>Medium-Strength Zinc-Plated Steel Thin Hex Nut, Class 04, M10 x 1.5 mm Thread</t>
  </si>
  <si>
    <t>100+ in NuLine Stock</t>
  </si>
  <si>
    <t>316 Stainless Steel Ultra-Low-Profile Socket Head Screw M4 x 0.70 mm Thread, 8 mm Long</t>
  </si>
  <si>
    <t>91263A826</t>
  </si>
  <si>
    <t>Zinc-Plated Alloy Steel Hex Drive Flat Head Screw M4 x 0.7 mm Thread, 6 mm Long, 100pk</t>
  </si>
  <si>
    <t>18-8 Stainless Steel Socket Head Screw M3 x 0.50 mm Thread, 55 mm Long, 25pk</t>
  </si>
  <si>
    <t>18-8 Stainless Steel Socket Head Screw M6 x 1 mm Thread, 140 mm Long</t>
  </si>
  <si>
    <t>Button Head Hex Drive Screws, Zinc-Plated Alloy Steel, M10 x 1.5 mm Thread, 40 mm Long</t>
  </si>
  <si>
    <t>Button Head Hex Drive Screws, Zinc-Plated Alloy Steel, M10 x 1.5 mm Thread, 45 mm Long</t>
  </si>
  <si>
    <t>Alloy Steel Cup-Point Set Screw M6 x 1 mm Thread, 20 mm Long, 50pk</t>
  </si>
  <si>
    <t>Alloy Steel Cup-Point Set Screw M6 x 1 mm Thread, 50 mm Long, 25pk</t>
  </si>
  <si>
    <t>Pack of 25</t>
  </si>
  <si>
    <t>55088, 55152</t>
  </si>
  <si>
    <t>Zinc-Plated Class 10.9 Steel Washer, M6 Screw Size</t>
  </si>
  <si>
    <t>91455A612_Zinc-Plated Class 10.9 Steel Washer for M8</t>
  </si>
  <si>
    <t>Zinc-Plated Class 10.9 Steel Washer, M10 Screw Size, 50pk</t>
  </si>
  <si>
    <t>Dowel Pin 52100 Alloy Steel, 6 mm Diameter, 20 mm Long</t>
  </si>
  <si>
    <t>91595A479</t>
  </si>
  <si>
    <t>Dowel Pin 52100 Alloy Steel, 6 mm Diameter, 45 mm Long, 10pk</t>
  </si>
  <si>
    <t>Dowel Pin 52100 Alloy Steel, 8 mm Diameter, 50 mm Long, 10pk</t>
  </si>
  <si>
    <t>Dowel Pin 52100 Alloy Steel, 10 mm Diameter, 16 mm Long, 10pk</t>
  </si>
  <si>
    <t>Dowel Pin 52100 Alloy Steel, 10 mm Diameter, 20 mm Long, 10pk</t>
  </si>
  <si>
    <t>Dowel Pin 52100 Alloy Steel, 10 mm Diameter, 30 mm Long, 10pk</t>
  </si>
  <si>
    <t>Slotted Spring Pins Spring Steel, 6mm Diameter, 30mm Long, for 6-6.2mm Hole, 50pk</t>
  </si>
  <si>
    <t>Pack of 50</t>
  </si>
  <si>
    <t>Button Head Hex Drive Screw Passivated 18-8 Stainless Steel, M3 x 0.50 mm Thread, 20mm Long, 50pk</t>
  </si>
  <si>
    <t>18-8 Stainless Steel Single-Wave Washer for M4 Screw Size, 4.3 mm ID, 9 mm OD, 100pk</t>
  </si>
  <si>
    <t>Aluminum Unthreaded Spacer 1" OD, 1-1/2" Long, for 1/2" Screw Size</t>
  </si>
  <si>
    <t>Stainless Steel Wing-Head Thumb Screw M6 x 1 mm Thread Size, 50 mm Long</t>
  </si>
  <si>
    <t>Ring Shims 5052 Aluminum, 0.0630" Thick, 1" ID, 10pk</t>
  </si>
  <si>
    <t>Alloy Steel Shoulder Screws 6 mm Shoulder Diameter, 40 mm Shoulder Length, M5 x 0.8 mm Thread</t>
  </si>
  <si>
    <t>Alloy Steel Shoulder Screws 12 mm Shoulder Diameter, 30 mm Shoulder Length, M10 x 1.5 mm Thread</t>
  </si>
  <si>
    <t>Alloy Steel Shoulder Screws 4 mm Shoulder Diameter, 30 mm Shoulder Length, M3 x 0.5 mm Thread</t>
  </si>
  <si>
    <t>Alloy Steel Shoulder Screws, 13 mm Shoulder Diameter, 30 mm Shoulder Length, M10 x 1.5 mm Thread</t>
  </si>
  <si>
    <t>Alloy Steel Flat-Tip Set Screws M8 x 1.25 mm Thread, 6 mm Long</t>
  </si>
  <si>
    <t>Alloy Steel Flat-Tip Set Screws M8 x 1.25 mm Thread, 80 mm Long, 5pk</t>
  </si>
  <si>
    <t>Pack of 5</t>
  </si>
  <si>
    <t>Press-Fit Studs 18-8 Stainless Steel, M5 x 0.8 mm Thread, 15 mm Long, PEM Fhs-M5-15, 25pk</t>
  </si>
  <si>
    <t>316 Stainless Steel Dowel Pin 10mm Diameter, 20mm Long</t>
  </si>
  <si>
    <t>18-8 Stainless Steel Nylon-Insert Locknut M5 x 0.8 mm Thread, 8 mm Wide, 5 mm High, 100pk</t>
  </si>
  <si>
    <t>T-Handle Locking Quick-Release Pin with Lanyard, 10 mm Diameter, 100 mm Usable Length</t>
  </si>
  <si>
    <t>18-8 Stainless Steel Oversized Washer for M3 Screw Size, 3.2 mm ID, 8 mm OD</t>
  </si>
  <si>
    <t>316 Stainless Steel Button Head Hex Drive Screws M3 x 0.5mm Thread, 20mm Long, 100pk</t>
  </si>
  <si>
    <t>Brass Screw-to-Expand Inserts for Plastic, M5 x 0.80 mm Thread Size</t>
  </si>
  <si>
    <t>MCM 94510A250 Brass Screw to Expand Insert for Plastic, M5x0.8</t>
  </si>
  <si>
    <t>MCM 94595A238 All Threaded Rod M4x0.7 50mm L</t>
  </si>
  <si>
    <t>MCM 94669A171 Al Unthreaded Spacer, M5, 13mm OD, 8mm L</t>
  </si>
  <si>
    <t>Aluminum Unthreaded Spacer, 13 mm OD, 13 mm Long, for M5 Screw Size</t>
  </si>
  <si>
    <t>Aluminum Unthreaded Spacer, 13 mm OD, 30 mm Long, for M6 Screw Size</t>
  </si>
  <si>
    <t>Aluminum Unthreaded Spacer, 13 mm OD, 51 mm Long, for M6 Screw Size</t>
  </si>
  <si>
    <t>Aluminum Unthreaded Spacer 4.500 mm OD, 7 mm Long, for M3 Screw Size</t>
  </si>
  <si>
    <t>Hot-Dipped Galvanized Steel with Neoprene Sealing Washer for Number 12 Screw Size, 0.24" ID, 0.5" OD, 100pk</t>
  </si>
  <si>
    <t>Pack of 100</t>
  </si>
  <si>
    <t>4x55089, 1x55152, 1x55167</t>
  </si>
  <si>
    <t>Nylon Plastic Washer for M6 Screw Size, 6.5 mm ID, 17.8 mm OD, Off-White, 25pk</t>
  </si>
  <si>
    <t>Nylon Plastic Washer for M5 Screw Size, 5.3 mm ID, 11 mm OD, Off-White, 100pk</t>
  </si>
  <si>
    <t>Plastic-Head Thumb Screws, Knurled, M8 x 1.25 mm Thread, 16 mm Long</t>
  </si>
  <si>
    <t>9604T19</t>
  </si>
  <si>
    <t>Flange-Mount Shaft Collar for 30 mm Diameter, Black-Oxide 1117 Carbon Steel</t>
  </si>
  <si>
    <t>USED FOR GF12.413.06.A MACHINED PART</t>
  </si>
  <si>
    <t>Steel Oversized Washer for M12 Screw Size, 12 mm ID, 25 mm OD, 25pk</t>
  </si>
  <si>
    <t>MCM 97310A113 Oversized Washer, M5, 15mm OD</t>
  </si>
  <si>
    <t>Steel Hex Head Shoulder Screw 11mm Shoulder Diameter, 48mm Shoulder Length, M10 x 1.5mm Thread</t>
  </si>
  <si>
    <t>97763A428</t>
  </si>
  <si>
    <t>18-8 Stainless Steel Button Head Hex Drive Screws, Black Oxide, M4 x 0.70 mm Thread Size, 35mm Long, 10pk</t>
  </si>
  <si>
    <t>18-8 Stainless Steel Round Shim, 0.5mm Thick, 20mm ID, 25pk</t>
  </si>
  <si>
    <t>Zinc-Plated Steel Ring-Grip Quick-Release Pin 1/4" Diameter, 2-5/16" Usable Length</t>
  </si>
  <si>
    <t>Compact High-Flow Muffler with 1/4 NPT Male Zinc-Plated Steel Fitting</t>
  </si>
  <si>
    <t>Compact High-Flow Muffler with 3/8 NPT Male Zinc-Plated Steel Fitting</t>
  </si>
  <si>
    <t>Clamping Shaft Collar for 3/4" Diameter, Zinc-Plated 1215 Carbon Steel</t>
  </si>
  <si>
    <t>External Retaining Ring Black-Phosphate Steel, for 47mm OD</t>
  </si>
  <si>
    <t>TYPE J FUSE, 20A, TIME DELAY, 600V, CURRENT LIMITING</t>
  </si>
  <si>
    <t>MERSEN</t>
  </si>
  <si>
    <t>TYPE J FUSEHOLDER, 3POLE, UP TO 30A FUSES</t>
  </si>
  <si>
    <t>MISUMI Adjusting Bolts - Knurled Head, Hex Socket</t>
  </si>
  <si>
    <t>MISUMI</t>
  </si>
  <si>
    <t>MISUMI Blocks for Adjusting Bolts - Side Mount</t>
  </si>
  <si>
    <t>MISUMI Steel Spacer, 6mm ID, 13mm OD, 12.7mm L</t>
  </si>
  <si>
    <t>MISUMI 304 SS RING SHIM 10MM ID, 12MM OD, 1MM THICK</t>
  </si>
  <si>
    <t xml:space="preserve">MISUMI Mounting Flange </t>
  </si>
  <si>
    <t>MISUMI Spur Gear Pressure Angle 20, Module 2.0, 20mm Shaft</t>
  </si>
  <si>
    <t>MISUMI 20mm Flanged Linear Bearing</t>
  </si>
  <si>
    <t>Misumi Rack Gears - Pressure Angle 20, 500mm</t>
  </si>
  <si>
    <t>Misumi Rack Gears - Pressure Angle 20, 860mm</t>
  </si>
  <si>
    <t>MISUMI Circular Post 10mm OD 98mm L</t>
  </si>
  <si>
    <t>MISUMI Circular Post 15mm OD 214.4mm L</t>
  </si>
  <si>
    <t>MISUMI Circular Post 25mm OD 195.9mm L</t>
  </si>
  <si>
    <t xml:space="preserve">MISUMI Circular Post 25mm OD 212mm L </t>
  </si>
  <si>
    <t>Misumi Linear Shaft - Straight, Precision 610mm</t>
  </si>
  <si>
    <t>MISUMI Hardened Steel Linear Shaft, 20mm OD 1270mm L</t>
  </si>
  <si>
    <t>Roller, Crowned 50mm OD, 25mm Thick</t>
  </si>
  <si>
    <t>Edge Trim</t>
  </si>
  <si>
    <t>Flat Spacers - Configurable Length</t>
  </si>
  <si>
    <t>TWSSM13-8-4.5</t>
  </si>
  <si>
    <t>MISUMI Flat Spacers - NICKEL PLATED STEEL, 13MM OD, 8MM ID, 4.5MM THICK</t>
  </si>
  <si>
    <t>MISUMI Flat Spacers - NICKEL PLATED STEEL, 20MM OD, 10MM ID, 4.5MM THICK</t>
  </si>
  <si>
    <t>7x55078, 2x55168</t>
  </si>
  <si>
    <t>MISUMI Flat Spacers - NICKEL PLATED STEEL, 20MM OD, 10MM ID, 7MM THICK</t>
  </si>
  <si>
    <t>TWSSM20-10-9</t>
  </si>
  <si>
    <t>MISUMI Flat Spacers - NICKEL PLATED STEEL, 20MM OD, 10MM ID, 9MM THICK</t>
  </si>
  <si>
    <t>TWSSM20-12-7</t>
  </si>
  <si>
    <t>MISUMI Flat Spacers - NICKEL PLATED STEEL, 20MM OD, 12MM ID, 7MM THICK</t>
  </si>
  <si>
    <t>XL Series Timing Belt Trade No. 100xL037</t>
  </si>
  <si>
    <t>MCM=6484K22</t>
  </si>
  <si>
    <t>Ball Bearing, Shielded, Trade No. 16004-2Z, for 20 mm Shaft Diameter</t>
  </si>
  <si>
    <t>MCM=5972K266</t>
  </si>
  <si>
    <t>XL Series Timing Belt Trade No. 180xL037</t>
  </si>
  <si>
    <t>MCM=6484K228</t>
  </si>
  <si>
    <t>1AM030AFXK</t>
  </si>
  <si>
    <t>Flange-Mount Shaft Collar for 30 mm Diameter, ALUMINUM</t>
  </si>
  <si>
    <t>Wrong Part received from Motion, to be returned</t>
  </si>
  <si>
    <t>14x55079</t>
  </si>
  <si>
    <t>1LM030AFXK</t>
  </si>
  <si>
    <t>250XL037</t>
  </si>
  <si>
    <t>XL Series Timing Belt Trade No. 250xL037</t>
  </si>
  <si>
    <t>MCM=6484K235</t>
  </si>
  <si>
    <t>Ball Bearing Sealed with Extended Inner Ring, for 1" Shaft Diameter</t>
  </si>
  <si>
    <t>MCM=6384K373</t>
  </si>
  <si>
    <t>Clamping Shaft Collarfor 12 mm Diameter, Black-Oxide 1215 Carbon Steel</t>
  </si>
  <si>
    <t>MCM=57445K26</t>
  </si>
  <si>
    <t>11x55079</t>
  </si>
  <si>
    <t>34LM014P5</t>
  </si>
  <si>
    <t>Carbon Steel Set Screw Collar for 14 mm Shaft Diameter, DIN 705</t>
  </si>
  <si>
    <t>MCM=6056N22</t>
  </si>
  <si>
    <t>Two-Piece Shaft Coupling Steel, for 8 mm x 8 mm Diameter Round Shaft</t>
  </si>
  <si>
    <t>MCM=6508T52</t>
  </si>
  <si>
    <t>Two-Piece Shaft Coupling Steel, for 12 mm x 12 mm Diameter Round Shaft</t>
  </si>
  <si>
    <t>MCM=6508T54</t>
  </si>
  <si>
    <t>7x55079</t>
  </si>
  <si>
    <t>Ball Bearing, Shielded, Trade No. 6804-2Z, for 20 mm Shaft Diameter</t>
  </si>
  <si>
    <t>MCM=5972K157</t>
  </si>
  <si>
    <t>Threaded Steel Track Roller, Flat without Seal, 26mm Roller Diameter, 12mm Roller Width</t>
  </si>
  <si>
    <t>MCM=6314K320</t>
  </si>
  <si>
    <t>Fixed Alignment Linear Ball Bearing Steel, for 12 mm Shaft Diameter, 30 mm Overall Length</t>
  </si>
  <si>
    <t>MCM=3766N98</t>
  </si>
  <si>
    <t>Set Screw Shaft Collarfor 8 mm Diameter, Black-Oxide 1215 Carbon Steel</t>
  </si>
  <si>
    <t>MCM=57485K67</t>
  </si>
  <si>
    <t>Clamping Shaft Collar for 20 mm Diameter, Black-Oxide 1215 Carbon Steel</t>
  </si>
  <si>
    <t>MCM=57445K73</t>
  </si>
  <si>
    <t>Shaft-Mount Track Roller, Steel Crowned, with Seal, 30 mm Diameter, 14 mm Wide</t>
  </si>
  <si>
    <t>MCM=8031N14</t>
  </si>
  <si>
    <t>Mounted Steel Ball Bearing with Cast Iron Housing for 35 mm Shaft Diameter, with Set Screw</t>
  </si>
  <si>
    <t>MCM=7835T54</t>
  </si>
  <si>
    <t>MURR M8 Female, 0deg A-Coded, 3-Pin, w/ Cable</t>
  </si>
  <si>
    <t>MURR</t>
  </si>
  <si>
    <t>MURR M8 Female, 0deg A-Coded, 4-Pin, w/ Cable, 7.5m, black</t>
  </si>
  <si>
    <t>MURR M8 Female, 0deg A-Coded, 4-Pin, w/ Cable, 10m, black</t>
  </si>
  <si>
    <t>M12 female 0° A-cod. 4-Pin with cable 5M</t>
  </si>
  <si>
    <t>Nippon Linear Bearing, 30mm</t>
  </si>
  <si>
    <t>Nippon</t>
  </si>
  <si>
    <t>NITRA pneumatic pushbutton, IP65, 22mm, momentary, operator only, plastic base, plastic bezel, black, Operator: green, extended, 30mm, round, plastic</t>
  </si>
  <si>
    <t>Nitra</t>
  </si>
  <si>
    <t>NITRA manual valve, 2-port (3-way), 2-position, N.C., metal plunger, spring return, side ports, (1) 5/32in (4mm) PTC tubing inlet(s), (1) 5/32in (4mm) PTC tubing outlet(s), (1) vent hole exhaust(s), Cv=0.13</t>
  </si>
  <si>
    <t xml:space="preserve">Ball Screw Acutator Travel Length 102mm  </t>
  </si>
  <si>
    <t>NOOK</t>
  </si>
  <si>
    <t>Duct cover, 50.8mm</t>
  </si>
  <si>
    <t>PANDUIT</t>
  </si>
  <si>
    <t>VeriSafe Absence of Voltage Tester, indicator module</t>
  </si>
  <si>
    <t>Duct cover, 25mm</t>
  </si>
  <si>
    <t>Duct cover, 75mm</t>
  </si>
  <si>
    <t>Narrow Slot Wiring Duct, 25mm x 75mm</t>
  </si>
  <si>
    <t>Narrow Slot Wiring Duct, 50.8mm x 101.6mm</t>
  </si>
  <si>
    <t>Narrow Slot Wiring Duct, 75mm x 101.6mm</t>
  </si>
  <si>
    <t>Panduit VeriSafe 1.0 AVT, 8' (2.4m) system cable, 10' (3m) sensor leads</t>
  </si>
  <si>
    <t>Panduit</t>
  </si>
  <si>
    <t>OnlineComp</t>
  </si>
  <si>
    <t>Custom Punch, Round, 1.65" OD Max, Piranha, 1" OAL 7/16-20 Mount Thread with (4) .250" Vent Holes</t>
  </si>
  <si>
    <t>Pearl</t>
  </si>
  <si>
    <t>NS 35/ 7,5 PERF 2000MM - DIN rail perforated</t>
  </si>
  <si>
    <t>Phoenix Contact</t>
  </si>
  <si>
    <t>End cover - D-PT 1,5/S-0,8 OG</t>
  </si>
  <si>
    <t>PHOENIX CONTACT</t>
  </si>
  <si>
    <t>D-PT 1,5/S-QUATTRO-0,8 OG, END-COVER, OG</t>
  </si>
  <si>
    <t>VAL-US-277/80/3+0-FM - Type 1 surge protection device</t>
  </si>
  <si>
    <t>FL SWITCH 1005N - Industrial Ethernet Switch</t>
  </si>
  <si>
    <t>1105N, 5-Port 10/100/1000Tx Port Industrial Ethernet Switch</t>
  </si>
  <si>
    <t>TRIO-PS-2G/3AC/24DC/20 - Power supply unit</t>
  </si>
  <si>
    <t>ELECTRONIC CIRCUIT PROTECTOR, NEC CLASS 2, STATUS CONTACT, PTCB E1 24DC/1-3A NO</t>
  </si>
  <si>
    <t>CLIPFIX 35-5 - End clamp</t>
  </si>
  <si>
    <t>Plug-in bridge - FBS 2-5</t>
  </si>
  <si>
    <t>FBS 2-6; PLUG-IN BRIDGE, 2-POSITION, 6.2MM PITCH, RED</t>
  </si>
  <si>
    <t>End cover - D-ST 2,5-QUATTRO-0,8 OG</t>
  </si>
  <si>
    <t>RB ST 10-(2,5/4) - Reducing bridge</t>
  </si>
  <si>
    <t>End cover for PT 1,5/S-3L, Gray, D-PT 1,5/S-3L</t>
  </si>
  <si>
    <t>Feed-through terminal block - PT 1,5/S BU</t>
  </si>
  <si>
    <t>Four-conductor terminal block, PT 1,5/S-QUATTRO BU</t>
  </si>
  <si>
    <t>D-PT 4-QUATTRO; END COVER, GY</t>
  </si>
  <si>
    <t>Feed-through terminal block - PT 2,5-QUATTRO BU</t>
  </si>
  <si>
    <t>PT 4-QUATTRO; Feed-through terminal block, 32A, 24..10AWG, GY</t>
  </si>
  <si>
    <t>Ground modular terminal block, PT 4-QUATTRO-PE, 24..10AWG, GNYE</t>
  </si>
  <si>
    <t>D-PT 10 - End cover</t>
  </si>
  <si>
    <t>Feed-through terminal block, 57A, 20..6AWG, GY, PT 10</t>
  </si>
  <si>
    <t>Plug-in bridge - FBS 2-3,5, 17.5A</t>
  </si>
  <si>
    <t>Plug-in bridge, RD, FBS 3-3,5</t>
  </si>
  <si>
    <t>Multi-level terminal block - PT 1,5/S-3L BU</t>
  </si>
  <si>
    <t>Potential distributors - PTRV 8-PV /BU, 32 POSITION, 26-14AWG, 10A</t>
  </si>
  <si>
    <t>D-PTRV 8 WH 1-8, SEPARATING PLATE FOR 32 POS MARSHALLING TERMINAL BLOCK</t>
  </si>
  <si>
    <t>PREVOST 2in ID L Junction</t>
  </si>
  <si>
    <t>PREVOST</t>
  </si>
  <si>
    <t>PREVOST 2in ID End Cap</t>
  </si>
  <si>
    <t>PREVOST 2in ID to 1/2 NPT Fitting</t>
  </si>
  <si>
    <t>PREVOST 2in ID Pipe Mounting M8 Thread, 5pk</t>
  </si>
  <si>
    <t>3x55123 7x55263</t>
  </si>
  <si>
    <t>PREVOST 2in ID to 1 1/2 NPT</t>
  </si>
  <si>
    <t>PREVOST 2in ID T Junction</t>
  </si>
  <si>
    <t>PREVOST ALUMINUM PIPE UNION, 2IN / 50MM</t>
  </si>
  <si>
    <t>PREVOST 2in OD Aluminum Pipe</t>
  </si>
  <si>
    <t>19.7ft L per pipe</t>
  </si>
  <si>
    <t>7612 DLG Deep groove ball bearing, 3/4" Bore, 1-3/4" O.D - Outside seal, no inner, with light oil lube- no grease.</t>
  </si>
  <si>
    <t>QualBear</t>
  </si>
  <si>
    <t>MCM part 4768K6</t>
  </si>
  <si>
    <t>CAUTION STICKER</t>
  </si>
  <si>
    <t>SAFETYSIGN.COM</t>
  </si>
  <si>
    <t>Saginaw SCE-16HMI2006LP</t>
  </si>
  <si>
    <t>SAGINAW</t>
  </si>
  <si>
    <t>Saginaw EL LPPL Enclosure, 24H X 24W X 12D, RAL5005 Blue</t>
  </si>
  <si>
    <t>Saginaw Subpanel, Bent Galvanized, 21H X 21W X 0.88D</t>
  </si>
  <si>
    <t>Saginaw EL LPPL Enclosure, 30H X 24W X 16D, RAL5005 Blue</t>
  </si>
  <si>
    <t>Saginaw Subpanel, Bent Galvanized, 27H X 21W X 0.88D</t>
  </si>
  <si>
    <t>Saginaw Subpanel, Bent Galvanized, 56H X 56W X 0.88D</t>
  </si>
  <si>
    <t>Saginaw 2DR XEL Enclosure, 60H X 61W X 24D, RAL5005 Blue</t>
  </si>
  <si>
    <t>Saginaw Subpanel, ELJ Trough Galvanized, 8H X 29W X 0.08D</t>
  </si>
  <si>
    <t>Saginaw SCE-AUHK</t>
  </si>
  <si>
    <t>Saginaw ELJ Trough Window Enclosure, 9H X 30W X 8D, RAL5005 Blue</t>
  </si>
  <si>
    <t>LED light fixture w/o outlet, 24"x2.75"x4" (LxHxD), 100..277VAC 50/60Hz, door activated switch</t>
  </si>
  <si>
    <t>Saginaw FILTER FAN, 550CFM, 230VAC 50/60HZ, 0.35FLA</t>
  </si>
  <si>
    <t>Saginaw Filter &amp; Grille Assy. (Black)</t>
  </si>
  <si>
    <t>Saginaw SCE-SA20TC</t>
  </si>
  <si>
    <t>Saginaw SCE-SA30TC</t>
  </si>
  <si>
    <t>Saginaw SCE-SA310TMJ</t>
  </si>
  <si>
    <t>Saginaw SCE-SA360C</t>
  </si>
  <si>
    <t>Saginaw SCE-SA90A</t>
  </si>
  <si>
    <t>EMC/RFI FILTER, 3-PHASE, 10A LINE FILTER, PANEL MOUNT</t>
  </si>
  <si>
    <t>SCHAFFNER</t>
  </si>
  <si>
    <t>FN 3025 HL-30-71</t>
  </si>
  <si>
    <t>EMC/RFI FILTER, 3-PHASE, 30A LINE FILTER, PANEL MOUNT</t>
  </si>
  <si>
    <t>Schaffner</t>
  </si>
  <si>
    <t>Mouser</t>
  </si>
  <si>
    <t>Sealcon Thread Adaptor M20 to 1/2 NPT</t>
  </si>
  <si>
    <t>Sealcon</t>
  </si>
  <si>
    <t>MEMORY PLUG FOR FLEXISOFT FX3-CPU, FX3-MPL000001</t>
  </si>
  <si>
    <t>SICK</t>
  </si>
  <si>
    <t>SAFETY PLC, FLEXISOFT, FX3-CPU130002, EFI CAPABLE</t>
  </si>
  <si>
    <t>GATEWAY, ETHERNET/IP, FLEXISOFT, FOR FX3-CPU, FX0-GENT00000</t>
  </si>
  <si>
    <t>SAFE DIGITAL INPUTS, FLEXISOFT, 8-CHANNEL, FX3-XIDI80002</t>
  </si>
  <si>
    <t>SAFE DIGITAL COMBI, FLEXISOFT, 8-CHANNEL IN, 4-CHANNEL OUT, FX3-XIIO84002</t>
  </si>
  <si>
    <t>SAFETY RELAY, RLY3-OSSD1, 2 CHANNEL INPUTS W/EDM</t>
  </si>
  <si>
    <t>SICK Position Sensor on Actuated Dancer Roller</t>
  </si>
  <si>
    <t>Sick</t>
  </si>
  <si>
    <t>SICK BEF-KHZR085MPA Mounting Bracket for MPA Cylinder Sensor</t>
  </si>
  <si>
    <t>Sick panel mount E-Stop</t>
  </si>
  <si>
    <t>Insulated Ground Bar with 14 Terminal Positions</t>
  </si>
  <si>
    <t>SIEMENS</t>
  </si>
  <si>
    <t>SMC SILENCER WITH 3/8 NPT THREAD</t>
  </si>
  <si>
    <t>SMC</t>
  </si>
  <si>
    <t>SMC SILENCER WITH 1/2 NPT THREAD</t>
  </si>
  <si>
    <t>SMC AR20-02BE-B Air Regulator 1/4 NPT port</t>
  </si>
  <si>
    <t>SMC SPEED CONTROLLER</t>
  </si>
  <si>
    <t>SMC AS2052F-06A speed control w/fitting, FLOW CONTROL W/FITTING 6mm tubing</t>
  </si>
  <si>
    <t>SMC KIT, L-BRACKET, AS20F</t>
  </si>
  <si>
    <t>SMC KIT, L-BRACKET, AS2052F</t>
  </si>
  <si>
    <t>SMC Flange Fitting For Speed Controller</t>
  </si>
  <si>
    <t>SMC SOFT START-UP VALVE</t>
  </si>
  <si>
    <t>SMC AW FILTER REGULATOR</t>
  </si>
  <si>
    <t>SMC F TYPE CONNECTOR, 3M LENGTH</t>
  </si>
  <si>
    <t>SMC F TYPE CONNECTOR, 8M LENGTH</t>
  </si>
  <si>
    <t>SMC F TYPE CONNECTOR, 15M LENGTH</t>
  </si>
  <si>
    <t>SMC SWITCH MOUNTING BAND</t>
  </si>
  <si>
    <t>AAP, OC PNEUMATICS</t>
  </si>
  <si>
    <t>2x55073, 2x55223</t>
  </si>
  <si>
    <t>SMC SWITCH BRACKET</t>
  </si>
  <si>
    <t>SMC Air Cylinder</t>
  </si>
  <si>
    <t>SMC Compact Cylinder, CQ2-Z</t>
  </si>
  <si>
    <t>Knife hold down cylinders</t>
  </si>
  <si>
    <t>SMC Compact Guide Rod Cylinder, CQM</t>
  </si>
  <si>
    <t>SMC Magnet Coupled Rodless Cylinder</t>
  </si>
  <si>
    <t>SMC ACTUATOR SENSOR</t>
  </si>
  <si>
    <t>2x55073, 2x55169</t>
  </si>
  <si>
    <t>SMC Inline Solid PNP Direct</t>
  </si>
  <si>
    <t>SMC PRESSURE GAUGE, 1/8 NPT, BACKSIDE THREAD</t>
  </si>
  <si>
    <t>SMC PRESSURE SWITCH W/ ADAPTER REED TYPE</t>
  </si>
  <si>
    <t>SMC 2000 Size Electro-Pneumatic Regulato</t>
  </si>
  <si>
    <t>SMC FLOATING JOINT (M8 X 1.25)</t>
  </si>
  <si>
    <t>SMC FITTING, DIFF DIA STR UNION</t>
  </si>
  <si>
    <t>SMC FITTING, MALE CONNECTOR</t>
  </si>
  <si>
    <t>SMC 1/8NPT to 4mm Fitting</t>
  </si>
  <si>
    <t>7 IN STOCK</t>
  </si>
  <si>
    <t>SMC FITTING, UNIFIT</t>
  </si>
  <si>
    <t>20x55037, 10x55270</t>
  </si>
  <si>
    <t>SMC 1/4NPT to 10mm Fitting</t>
  </si>
  <si>
    <t>SMC 1/2NPT to 10mm Fitting</t>
  </si>
  <si>
    <t>SMC FITTING, MALE ELBOW</t>
  </si>
  <si>
    <t>KQ2L06-M6A</t>
  </si>
  <si>
    <t xml:space="preserve">AAP </t>
  </si>
  <si>
    <t>SMC FITTING PLUG IN ELBOW</t>
  </si>
  <si>
    <t>10x55037, 20x55073, 10x55270</t>
  </si>
  <si>
    <t>KQ2L16-U04A</t>
  </si>
  <si>
    <t xml:space="preserve">SMC 16mm to 1/2 NPT </t>
  </si>
  <si>
    <t>KQ2P-08</t>
  </si>
  <si>
    <t>SMC PLUG, 8MM</t>
  </si>
  <si>
    <t>SMC Plug in reducer 8mm to 4mm</t>
  </si>
  <si>
    <t>SMC FITTING, PLUG-IN REDUCER</t>
  </si>
  <si>
    <t>10x55037, 20x 55270</t>
  </si>
  <si>
    <t>SMC FITTING, UNION TEE</t>
  </si>
  <si>
    <t>SMC FITTING ,DIFF DIA UNION TEE</t>
  </si>
  <si>
    <t>SMC FITTING, BRANCH</t>
  </si>
  <si>
    <t>SMC KQ2U06-00A fitting, union y, KQ2 FITTING</t>
  </si>
  <si>
    <t>SMC FITTING DIFF DIA Y UNION</t>
  </si>
  <si>
    <t>SMS KQ2UD04-06A Straight 4 Way Union</t>
  </si>
  <si>
    <t>SMC FITTING, LOW PROFILE MALE ELBOW</t>
  </si>
  <si>
    <t>SMC FITTING, EXT MALE ELBOW</t>
  </si>
  <si>
    <t>Male High Speed Rotary Elbow Push to Connect Fitting, 6mm, 1/4 Rc thread</t>
  </si>
  <si>
    <t>OC PNEUMATICS</t>
  </si>
  <si>
    <t>SMC ESCAPEMENT, DBL FINGER</t>
  </si>
  <si>
    <t>MIW25-25DA</t>
  </si>
  <si>
    <t>SMC MIW25-25DA 2-Finger Escapement</t>
  </si>
  <si>
    <t>RMA requested</t>
  </si>
  <si>
    <t>SMC Cylinder, Rodless, Mechanically Join</t>
  </si>
  <si>
    <t>SMC Cyl, Rodless, Mechanicaly Jointed</t>
  </si>
  <si>
    <t>SMC FLOATING BRACKET</t>
  </si>
  <si>
    <t>SMC NCM, Air Cylinder</t>
  </si>
  <si>
    <t>SMC CYL, COMPACT</t>
  </si>
  <si>
    <t>SMC TIE ROD</t>
  </si>
  <si>
    <t>SMC TIE ROD KIT</t>
  </si>
  <si>
    <t>SMC SS5Y5 D SIDE END PLATE</t>
  </si>
  <si>
    <t>SMC BLOCK ASSY</t>
  </si>
  <si>
    <t>SMC BLANKING PLATE ASSY</t>
  </si>
  <si>
    <t>SMC SS5Y5 U SIDE END PLATE</t>
  </si>
  <si>
    <t>SMC SUPPLY SPACER, 8MM ONE-TOUCH</t>
  </si>
  <si>
    <t>SMC COVER ASSY</t>
  </si>
  <si>
    <t>4x54926, 5x55260</t>
  </si>
  <si>
    <t>SMC Valve, 5 Port Solenoid</t>
  </si>
  <si>
    <t>SMC VALVE, 5 PORT SOLENOID</t>
  </si>
  <si>
    <t>10x54926, 4x55223</t>
  </si>
  <si>
    <t>SMC VHS LOCKOUT VALVE</t>
  </si>
  <si>
    <t>SMC FITTING ASSY</t>
  </si>
  <si>
    <t>Y400-D</t>
  </si>
  <si>
    <t>SMC SPACER, WITHOUT BRACKET, 4000 SIZE</t>
  </si>
  <si>
    <t>SMC SPACER WITH BRACKET, 4000 SIZE</t>
  </si>
  <si>
    <t>Y500-D</t>
  </si>
  <si>
    <t>SMC SPACER, WITHOUT BRACKET, 5000 SIZE</t>
  </si>
  <si>
    <t>SMC SPACER WITH BRACKET, 5000 SIZE</t>
  </si>
  <si>
    <t>ZH, Vacuum Generator, Body Ported Sup-6mm, Vac-6mm, Exh-8mm</t>
  </si>
  <si>
    <t>thermostat, adjustable, N.O. (close on rise) 20 to 80 deg C, 7K switching differential, 35mm DIN rail mount, for electrical enclosure climate control.</t>
  </si>
  <si>
    <t>STEGO</t>
  </si>
  <si>
    <t>STOBER BUSHING ADAPTER 9MM TO 11MM</t>
  </si>
  <si>
    <t>STOBER</t>
  </si>
  <si>
    <t>STOBER P231SPSS0100ME GEARBOX</t>
  </si>
  <si>
    <t>STOBER P731SPSS0100ME GEARBOX</t>
  </si>
  <si>
    <t>STOBER K302SG0200ME20 GEARBOX</t>
  </si>
  <si>
    <t>STOBER K713WG0590ME30 GEARBOX</t>
  </si>
  <si>
    <t>Tolomatic 0120-0410 Gearbox 12mm D Shaft</t>
  </si>
  <si>
    <t>Tolomatic</t>
  </si>
  <si>
    <t>Tosibox Lock 500i</t>
  </si>
  <si>
    <t>TosiBox</t>
  </si>
  <si>
    <t>WATLOW THERMAL COUPLE</t>
  </si>
  <si>
    <t>WATLOW</t>
  </si>
  <si>
    <t>VALIN</t>
  </si>
  <si>
    <t>WATLOW THERMAL COUPLE JACK</t>
  </si>
  <si>
    <t>Nozzle Band Heater 2.25" ID x 1-1/2" Wide, 240V x 500W 12" Type A Leads</t>
  </si>
  <si>
    <t>WATLOW BAYONET ADAPTER, 3/8-24 x 7/8</t>
  </si>
  <si>
    <t>WERMA terminal element, 70mm diameter, cage clamp, base or bracket mount, IP65. Cap and seal included.</t>
  </si>
  <si>
    <t>Werma</t>
  </si>
  <si>
    <t>WERMA incandescent light element, 70mm diameter, red, permanent light function, 12-240 VAC/VDC, colored lens, IP65. Purchase bulb separately.</t>
  </si>
  <si>
    <t>WERMA incandescent light element, 70mm diameter, green, permanent light function, 12-240 VAC/VDC, colored lens, IP65. Purchase bulb separately.</t>
  </si>
  <si>
    <t>WERMA incandescent light element, 70mm diameter, yellow, permanent light function, 12-240 VAC/VDC, colored lens, IP65. Purchase bulb separately.</t>
  </si>
  <si>
    <t>WERMA stack light 70mm buzzer element, 85 dB at 1m, continuous or pulse tone(s), 24 VAC/VDC, IP65.</t>
  </si>
  <si>
    <t>WERMA bulb, incandescent, replacement, 24 VDC, BA15d bayonet, clear/white, 5W.</t>
  </si>
  <si>
    <t>WERMA mounting bracket, 1-sided mount, black, polyamide.</t>
  </si>
  <si>
    <t>WERMA</t>
  </si>
  <si>
    <t>CRAVE BOUGHT THIS</t>
  </si>
  <si>
    <t>ANGULAR GRIPPER</t>
  </si>
  <si>
    <t>ZIMMER</t>
  </si>
  <si>
    <t>MAGNETIC FIELD SENSORS, SERIES MFS, FOR ZIMMER GRIPPERS, M8 3 PIN CONNECTOR</t>
  </si>
  <si>
    <t>MKS Series Pneumatic clamp for 25mm bosch profile rail</t>
  </si>
  <si>
    <t>MKS Series Pneumatic clamp for 15mm bosch profile rail</t>
  </si>
  <si>
    <t>Length</t>
  </si>
  <si>
    <t>Extrusion</t>
  </si>
  <si>
    <t>Qty Cut</t>
  </si>
  <si>
    <t>M/Stick</t>
  </si>
  <si>
    <t>$/stick</t>
  </si>
  <si>
    <t>$/mm</t>
  </si>
  <si>
    <t>READY TO CUT?</t>
  </si>
  <si>
    <t>Assy. 341</t>
  </si>
  <si>
    <t>BOSCH</t>
  </si>
  <si>
    <t>Doors</t>
  </si>
  <si>
    <t>Assy .180</t>
  </si>
  <si>
    <t>Assy 120</t>
  </si>
  <si>
    <t>Assy .341</t>
  </si>
  <si>
    <t>Assy .120</t>
  </si>
  <si>
    <t>Assy .218</t>
  </si>
  <si>
    <t>Assy .110</t>
  </si>
  <si>
    <t>Assy .530</t>
  </si>
  <si>
    <t>Assy .330</t>
  </si>
  <si>
    <t>Assy .210</t>
  </si>
  <si>
    <t>Assy .630</t>
  </si>
  <si>
    <t>Assy .140</t>
  </si>
  <si>
    <t>Assy .700</t>
  </si>
  <si>
    <t>Assy .470</t>
  </si>
  <si>
    <t>use 6x 90X90, D17|D17, 1680MM</t>
  </si>
  <si>
    <t>Assy .610</t>
  </si>
  <si>
    <t>Assy .310</t>
  </si>
  <si>
    <t>90X90, -|-, 3684.4MM</t>
  </si>
  <si>
    <t>Assy .810</t>
  </si>
  <si>
    <t>Assy .640</t>
  </si>
  <si>
    <t>Assy .411</t>
  </si>
  <si>
    <t>Assy .511</t>
  </si>
  <si>
    <t>Bolt</t>
  </si>
  <si>
    <t>Qty Rec</t>
  </si>
  <si>
    <t>Monroe Fasteners</t>
  </si>
  <si>
    <t xml:space="preserve">M10 X 1.5 X 65 HEX SHCS, </t>
  </si>
  <si>
    <t>M12 X 1.75 X 40 SBHCS,</t>
  </si>
  <si>
    <t>M3 X 0.5 X 6 SOCKET FCHS</t>
  </si>
  <si>
    <t>M3 X 0.5 X 8 Hex SHCH,</t>
  </si>
  <si>
    <t>M4 X 0.7 X 12 SBHCS,</t>
  </si>
  <si>
    <t>in NuLine stock</t>
  </si>
  <si>
    <t>M4 X 0.7 X 20 SBHCS</t>
  </si>
  <si>
    <t xml:space="preserve">M4 X 0.8 X 30 HEX SBHCS, </t>
  </si>
  <si>
    <t xml:space="preserve">M5 X 0.8 X 20 HEX SHCS, </t>
  </si>
  <si>
    <t xml:space="preserve">M5 X 0.8 X 25 SBHCS, </t>
  </si>
  <si>
    <t xml:space="preserve">M5 X 0.8 X 35 HEX SHCS, </t>
  </si>
  <si>
    <t xml:space="preserve">M5 X 0.8 X 5 HEX SOCKET CUP PT, </t>
  </si>
  <si>
    <t xml:space="preserve">M8 X 1.25 X 16 SBHCS, </t>
  </si>
  <si>
    <t>M8 X 1.25 X 40 SBHCS,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</si>
</sst>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0">
    <numFmt numFmtId="44" formatCode="_(&quot;$&quot;* #,##0.00_);_(&quot;$&quot;* \(#,##0.00\);_(&quot;$&quot;* &quot;-&quot;??_);_(@_)"/>
    <numFmt numFmtId="164" formatCode="&quot;$&quot;#,##0.00"/>
    <numFmt numFmtId="165" formatCode="mm/dd/yy;@"/>
    <numFmt numFmtId="166" formatCode="&quot;$&quot;#,##0.0000"/>
    <numFmt numFmtId="167" formatCode="[$-409]mmmm\ d\,\ yyyy;@"/>
    <numFmt numFmtId="168" formatCode="h:mm;@"/>
    <numFmt numFmtId="169" formatCode="#,##0.0000"/>
    <numFmt numFmtId="170" formatCode="0.0"/>
    <numFmt numFmtId="171" formatCode="m/d/yy;@"/>
    <numFmt numFmtId="172" formatCode="0.0000"/>
  </numFmts>
  <fonts count="2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6" tint="-0.499984740745262"/>
      <name val="Calibri"/>
      <family val="2"/>
      <scheme val="minor"/>
    </font>
    <font>
      <sz val="11"/>
      <color theme="6" tint="-0.499984740745262"/>
      <name val="Calibri"/>
      <family val="2"/>
      <scheme val="minor"/>
    </font>
    <font>
      <sz val="10"/>
      <color theme="3"/>
      <name val="Calibri"/>
      <family val="2"/>
      <scheme val="minor"/>
    </font>
    <font>
      <sz val="11"/>
      <color theme="3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0"/>
      <color rgb="FF333333"/>
      <name val="Calibri"/>
      <family val="2"/>
      <scheme val="minor"/>
    </font>
    <font>
      <sz val="10"/>
      <name val="Calibri"/>
      <family val="2"/>
      <scheme val="minor"/>
    </font>
    <font>
      <sz val="12"/>
      <color rgb="FF22445F"/>
      <name val="Open Sans"/>
      <family val="2"/>
    </font>
    <font>
      <u/>
      <sz val="11"/>
      <color theme="10"/>
      <name val="Calibri"/>
      <family val="2"/>
      <scheme val="minor"/>
    </font>
    <font>
      <sz val="9"/>
      <color rgb="FF333333"/>
      <name val="Arial"/>
      <family val="2"/>
    </font>
    <font>
      <sz val="10"/>
      <color rgb="FF333333"/>
      <name val="Calibri"/>
      <family val="2"/>
    </font>
    <font>
      <sz val="10"/>
      <name val="Calibri"/>
      <family val="2"/>
    </font>
    <font>
      <sz val="12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rgb="FF92D05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0000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</borders>
  <cellStyleXfs count="4">
    <xf numFmtId="0" fontId="0" fillId="0" borderId="0"/>
    <xf numFmtId="44" fontId="9" fillId="0" borderId="0" applyFont="0" applyFill="0" applyBorder="0" applyAlignment="0" applyProtection="0"/>
    <xf numFmtId="0" fontId="15" fillId="0" borderId="0" applyNumberFormat="0" applyFill="0" applyBorder="0" applyAlignment="0" applyProtection="0"/>
    <xf numFmtId="9" fontId="9" fillId="0" borderId="0" applyFont="0" applyFill="0" applyBorder="0" applyAlignment="0" applyProtection="0"/>
  </cellStyleXfs>
  <cellXfs count="300">
    <xf numFmtId="0" fontId="0" fillId="0" borderId="0" xfId="0"/>
    <xf numFmtId="0" fontId="4" fillId="0" borderId="0" xfId="0" applyFont="1"/>
    <xf numFmtId="0" fontId="2" fillId="0" borderId="0" xfId="0" applyFont="1"/>
    <xf numFmtId="164" fontId="2" fillId="0" borderId="2" xfId="0" applyNumberFormat="1" applyFont="1" applyBorder="1"/>
    <xf numFmtId="0" fontId="2" fillId="0" borderId="14" xfId="0" applyFont="1" applyBorder="1"/>
    <xf numFmtId="0" fontId="2" fillId="0" borderId="0" xfId="0" applyFont="1" applyAlignment="1">
      <alignment horizontal="center"/>
    </xf>
    <xf numFmtId="164" fontId="2" fillId="0" borderId="3" xfId="0" applyNumberFormat="1" applyFont="1" applyBorder="1"/>
    <xf numFmtId="164" fontId="2" fillId="0" borderId="0" xfId="0" applyNumberFormat="1" applyFont="1"/>
    <xf numFmtId="165" fontId="2" fillId="0" borderId="0" xfId="0" applyNumberFormat="1" applyFont="1" applyAlignment="1">
      <alignment horizontal="center"/>
    </xf>
    <xf numFmtId="166" fontId="2" fillId="0" borderId="1" xfId="0" applyNumberFormat="1" applyFont="1" applyBorder="1" applyAlignment="1">
      <alignment horizontal="center"/>
    </xf>
    <xf numFmtId="164" fontId="2" fillId="0" borderId="8" xfId="0" applyNumberFormat="1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164" fontId="2" fillId="0" borderId="8" xfId="0" applyNumberFormat="1" applyFont="1" applyBorder="1"/>
    <xf numFmtId="9" fontId="2" fillId="0" borderId="2" xfId="0" applyNumberFormat="1" applyFont="1" applyBorder="1" applyAlignment="1">
      <alignment horizontal="center"/>
    </xf>
    <xf numFmtId="164" fontId="2" fillId="0" borderId="9" xfId="0" applyNumberFormat="1" applyFont="1" applyBorder="1"/>
    <xf numFmtId="9" fontId="2" fillId="0" borderId="3" xfId="0" applyNumberFormat="1" applyFont="1" applyBorder="1" applyAlignment="1">
      <alignment horizontal="center"/>
    </xf>
    <xf numFmtId="164" fontId="2" fillId="0" borderId="10" xfId="0" applyNumberFormat="1" applyFont="1" applyBorder="1"/>
    <xf numFmtId="9" fontId="2" fillId="0" borderId="4" xfId="0" applyNumberFormat="1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168" fontId="6" fillId="0" borderId="0" xfId="0" applyNumberFormat="1" applyFont="1"/>
    <xf numFmtId="0" fontId="6" fillId="0" borderId="0" xfId="0" applyFont="1"/>
    <xf numFmtId="0" fontId="2" fillId="0" borderId="0" xfId="0" applyFont="1" applyAlignment="1">
      <alignment wrapText="1"/>
    </xf>
    <xf numFmtId="0" fontId="0" fillId="0" borderId="0" xfId="0" applyAlignment="1">
      <alignment wrapText="1"/>
    </xf>
    <xf numFmtId="0" fontId="2" fillId="0" borderId="1" xfId="0" applyFont="1" applyBorder="1" applyAlignment="1">
      <alignment horizontal="center"/>
    </xf>
    <xf numFmtId="0" fontId="2" fillId="2" borderId="14" xfId="0" applyFont="1" applyFill="1" applyBorder="1"/>
    <xf numFmtId="0" fontId="2" fillId="2" borderId="0" xfId="0" applyFont="1" applyFill="1"/>
    <xf numFmtId="165" fontId="2" fillId="2" borderId="0" xfId="0" applyNumberFormat="1" applyFont="1" applyFill="1" applyAlignment="1">
      <alignment horizontal="center"/>
    </xf>
    <xf numFmtId="165" fontId="4" fillId="2" borderId="0" xfId="0" applyNumberFormat="1" applyFont="1" applyFill="1" applyAlignment="1">
      <alignment horizontal="center"/>
    </xf>
    <xf numFmtId="0" fontId="2" fillId="2" borderId="0" xfId="0" applyFont="1" applyFill="1" applyAlignment="1">
      <alignment horizontal="center"/>
    </xf>
    <xf numFmtId="164" fontId="2" fillId="2" borderId="15" xfId="0" applyNumberFormat="1" applyFont="1" applyFill="1" applyBorder="1"/>
    <xf numFmtId="0" fontId="4" fillId="2" borderId="14" xfId="0" applyFont="1" applyFill="1" applyBorder="1"/>
    <xf numFmtId="0" fontId="4" fillId="2" borderId="0" xfId="0" applyFont="1" applyFill="1"/>
    <xf numFmtId="0" fontId="4" fillId="2" borderId="0" xfId="0" applyFont="1" applyFill="1" applyAlignment="1">
      <alignment horizontal="center"/>
    </xf>
    <xf numFmtId="0" fontId="2" fillId="2" borderId="16" xfId="0" applyFont="1" applyFill="1" applyBorder="1"/>
    <xf numFmtId="0" fontId="2" fillId="2" borderId="17" xfId="0" applyFont="1" applyFill="1" applyBorder="1"/>
    <xf numFmtId="165" fontId="2" fillId="2" borderId="17" xfId="0" applyNumberFormat="1" applyFont="1" applyFill="1" applyBorder="1" applyAlignment="1">
      <alignment horizontal="center"/>
    </xf>
    <xf numFmtId="165" fontId="4" fillId="2" borderId="17" xfId="0" applyNumberFormat="1" applyFont="1" applyFill="1" applyBorder="1" applyAlignment="1">
      <alignment horizontal="center"/>
    </xf>
    <xf numFmtId="0" fontId="2" fillId="2" borderId="17" xfId="0" applyFont="1" applyFill="1" applyBorder="1" applyAlignment="1">
      <alignment horizontal="center"/>
    </xf>
    <xf numFmtId="0" fontId="10" fillId="3" borderId="5" xfId="0" applyFont="1" applyFill="1" applyBorder="1" applyAlignment="1">
      <alignment horizontal="center"/>
    </xf>
    <xf numFmtId="0" fontId="3" fillId="3" borderId="19" xfId="0" applyFont="1" applyFill="1" applyBorder="1" applyAlignment="1">
      <alignment horizontal="right"/>
    </xf>
    <xf numFmtId="0" fontId="3" fillId="3" borderId="6" xfId="0" applyFont="1" applyFill="1" applyBorder="1" applyAlignment="1">
      <alignment horizontal="left"/>
    </xf>
    <xf numFmtId="165" fontId="6" fillId="5" borderId="0" xfId="0" applyNumberFormat="1" applyFont="1" applyFill="1" applyAlignment="1">
      <alignment horizontal="center"/>
    </xf>
    <xf numFmtId="0" fontId="6" fillId="5" borderId="0" xfId="0" applyFont="1" applyFill="1" applyAlignment="1">
      <alignment horizontal="center"/>
    </xf>
    <xf numFmtId="165" fontId="2" fillId="5" borderId="0" xfId="0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0" fontId="4" fillId="5" borderId="0" xfId="0" applyFont="1" applyFill="1" applyAlignment="1">
      <alignment horizontal="center"/>
    </xf>
    <xf numFmtId="169" fontId="6" fillId="5" borderId="0" xfId="0" applyNumberFormat="1" applyFont="1" applyFill="1" applyAlignment="1">
      <alignment horizontal="right"/>
    </xf>
    <xf numFmtId="164" fontId="6" fillId="5" borderId="15" xfId="0" applyNumberFormat="1" applyFont="1" applyFill="1" applyBorder="1" applyAlignment="1">
      <alignment horizontal="right"/>
    </xf>
    <xf numFmtId="169" fontId="2" fillId="5" borderId="0" xfId="0" applyNumberFormat="1" applyFont="1" applyFill="1" applyAlignment="1">
      <alignment horizontal="right"/>
    </xf>
    <xf numFmtId="164" fontId="2" fillId="5" borderId="15" xfId="0" applyNumberFormat="1" applyFont="1" applyFill="1" applyBorder="1" applyAlignment="1">
      <alignment horizontal="right"/>
    </xf>
    <xf numFmtId="168" fontId="2" fillId="0" borderId="0" xfId="0" applyNumberFormat="1" applyFont="1"/>
    <xf numFmtId="2" fontId="2" fillId="0" borderId="0" xfId="0" applyNumberFormat="1" applyFont="1"/>
    <xf numFmtId="166" fontId="2" fillId="0" borderId="0" xfId="0" applyNumberFormat="1" applyFont="1"/>
    <xf numFmtId="0" fontId="1" fillId="5" borderId="0" xfId="0" applyFont="1" applyFill="1"/>
    <xf numFmtId="0" fontId="3" fillId="0" borderId="0" xfId="0" applyFont="1"/>
    <xf numFmtId="0" fontId="3" fillId="0" borderId="0" xfId="0" applyFont="1" applyAlignment="1">
      <alignment horizontal="center"/>
    </xf>
    <xf numFmtId="0" fontId="1" fillId="6" borderId="0" xfId="0" applyFont="1" applyFill="1"/>
    <xf numFmtId="0" fontId="3" fillId="6" borderId="0" xfId="0" applyFont="1" applyFill="1"/>
    <xf numFmtId="167" fontId="3" fillId="6" borderId="0" xfId="0" applyNumberFormat="1" applyFont="1" applyFill="1" applyAlignment="1">
      <alignment horizontal="left"/>
    </xf>
    <xf numFmtId="166" fontId="2" fillId="2" borderId="0" xfId="0" applyNumberFormat="1" applyFont="1" applyFill="1"/>
    <xf numFmtId="164" fontId="3" fillId="5" borderId="7" xfId="0" applyNumberFormat="1" applyFont="1" applyFill="1" applyBorder="1" applyAlignment="1">
      <alignment horizontal="center"/>
    </xf>
    <xf numFmtId="164" fontId="2" fillId="5" borderId="7" xfId="0" applyNumberFormat="1" applyFont="1" applyFill="1" applyBorder="1"/>
    <xf numFmtId="164" fontId="2" fillId="0" borderId="15" xfId="0" applyNumberFormat="1" applyFont="1" applyBorder="1"/>
    <xf numFmtId="0" fontId="1" fillId="0" borderId="0" xfId="0" applyFont="1"/>
    <xf numFmtId="167" fontId="3" fillId="0" borderId="0" xfId="0" applyNumberFormat="1" applyFont="1" applyAlignment="1">
      <alignment horizontal="left"/>
    </xf>
    <xf numFmtId="0" fontId="4" fillId="0" borderId="14" xfId="0" applyFont="1" applyBorder="1" applyAlignment="1">
      <alignment horizontal="right"/>
    </xf>
    <xf numFmtId="0" fontId="4" fillId="4" borderId="0" xfId="0" applyFont="1" applyFill="1"/>
    <xf numFmtId="0" fontId="1" fillId="6" borderId="11" xfId="0" applyFont="1" applyFill="1" applyBorder="1"/>
    <xf numFmtId="0" fontId="1" fillId="6" borderId="12" xfId="0" applyFont="1" applyFill="1" applyBorder="1"/>
    <xf numFmtId="0" fontId="3" fillId="6" borderId="12" xfId="0" applyFont="1" applyFill="1" applyBorder="1" applyAlignment="1">
      <alignment horizontal="right"/>
    </xf>
    <xf numFmtId="0" fontId="3" fillId="6" borderId="12" xfId="0" applyFont="1" applyFill="1" applyBorder="1"/>
    <xf numFmtId="0" fontId="3" fillId="6" borderId="12" xfId="0" applyFont="1" applyFill="1" applyBorder="1" applyAlignment="1">
      <alignment horizontal="center"/>
    </xf>
    <xf numFmtId="0" fontId="3" fillId="6" borderId="13" xfId="0" applyFont="1" applyFill="1" applyBorder="1"/>
    <xf numFmtId="0" fontId="3" fillId="6" borderId="14" xfId="0" applyFont="1" applyFill="1" applyBorder="1"/>
    <xf numFmtId="0" fontId="3" fillId="6" borderId="0" xfId="0" applyFont="1" applyFill="1" applyAlignment="1">
      <alignment horizontal="right" wrapText="1"/>
    </xf>
    <xf numFmtId="0" fontId="1" fillId="6" borderId="15" xfId="0" applyFont="1" applyFill="1" applyBorder="1" applyAlignment="1">
      <alignment wrapText="1"/>
    </xf>
    <xf numFmtId="0" fontId="3" fillId="6" borderId="0" xfId="0" applyFont="1" applyFill="1" applyAlignment="1">
      <alignment horizontal="right"/>
    </xf>
    <xf numFmtId="0" fontId="3" fillId="6" borderId="0" xfId="0" applyFont="1" applyFill="1" applyAlignment="1">
      <alignment horizontal="center"/>
    </xf>
    <xf numFmtId="0" fontId="3" fillId="6" borderId="15" xfId="0" applyFont="1" applyFill="1" applyBorder="1"/>
    <xf numFmtId="0" fontId="3" fillId="6" borderId="20" xfId="0" applyFont="1" applyFill="1" applyBorder="1" applyAlignment="1">
      <alignment horizontal="center"/>
    </xf>
    <xf numFmtId="0" fontId="3" fillId="6" borderId="21" xfId="0" applyFont="1" applyFill="1" applyBorder="1" applyAlignment="1">
      <alignment horizontal="center"/>
    </xf>
    <xf numFmtId="0" fontId="3" fillId="6" borderId="24" xfId="0" applyFont="1" applyFill="1" applyBorder="1" applyAlignment="1">
      <alignment horizontal="center"/>
    </xf>
    <xf numFmtId="0" fontId="1" fillId="0" borderId="12" xfId="0" applyFont="1" applyBorder="1"/>
    <xf numFmtId="0" fontId="3" fillId="0" borderId="12" xfId="0" applyFont="1" applyBorder="1"/>
    <xf numFmtId="169" fontId="3" fillId="6" borderId="12" xfId="0" applyNumberFormat="1" applyFont="1" applyFill="1" applyBorder="1" applyAlignment="1">
      <alignment horizontal="right"/>
    </xf>
    <xf numFmtId="169" fontId="3" fillId="6" borderId="0" xfId="0" applyNumberFormat="1" applyFont="1" applyFill="1" applyAlignment="1">
      <alignment horizontal="right"/>
    </xf>
    <xf numFmtId="169" fontId="4" fillId="5" borderId="0" xfId="0" applyNumberFormat="1" applyFont="1" applyFill="1" applyAlignment="1">
      <alignment horizontal="right"/>
    </xf>
    <xf numFmtId="169" fontId="2" fillId="0" borderId="0" xfId="0" applyNumberFormat="1" applyFont="1" applyAlignment="1">
      <alignment horizontal="right"/>
    </xf>
    <xf numFmtId="169" fontId="3" fillId="0" borderId="7" xfId="0" applyNumberFormat="1" applyFont="1" applyBorder="1" applyAlignment="1">
      <alignment horizontal="right"/>
    </xf>
    <xf numFmtId="169" fontId="0" fillId="0" borderId="0" xfId="0" applyNumberFormat="1" applyAlignment="1">
      <alignment horizontal="right"/>
    </xf>
    <xf numFmtId="0" fontId="3" fillId="6" borderId="13" xfId="0" applyFont="1" applyFill="1" applyBorder="1" applyAlignment="1">
      <alignment horizontal="right"/>
    </xf>
    <xf numFmtId="0" fontId="3" fillId="6" borderId="15" xfId="0" applyFont="1" applyFill="1" applyBorder="1" applyAlignment="1">
      <alignment horizontal="right"/>
    </xf>
    <xf numFmtId="164" fontId="4" fillId="5" borderId="15" xfId="0" applyNumberFormat="1" applyFont="1" applyFill="1" applyBorder="1" applyAlignment="1">
      <alignment horizontal="right"/>
    </xf>
    <xf numFmtId="164" fontId="2" fillId="0" borderId="7" xfId="0" applyNumberFormat="1" applyFont="1" applyBorder="1" applyAlignment="1">
      <alignment horizontal="right"/>
    </xf>
    <xf numFmtId="164" fontId="2" fillId="0" borderId="0" xfId="0" applyNumberFormat="1" applyFont="1" applyAlignment="1">
      <alignment horizontal="right"/>
    </xf>
    <xf numFmtId="164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0" fontId="4" fillId="0" borderId="11" xfId="0" applyFont="1" applyBorder="1" applyAlignment="1">
      <alignment horizontal="right"/>
    </xf>
    <xf numFmtId="0" fontId="4" fillId="2" borderId="12" xfId="0" applyFont="1" applyFill="1" applyBorder="1"/>
    <xf numFmtId="165" fontId="4" fillId="2" borderId="12" xfId="0" applyNumberFormat="1" applyFont="1" applyFill="1" applyBorder="1" applyAlignment="1">
      <alignment horizontal="center"/>
    </xf>
    <xf numFmtId="0" fontId="4" fillId="2" borderId="12" xfId="0" applyFont="1" applyFill="1" applyBorder="1" applyAlignment="1">
      <alignment horizontal="center"/>
    </xf>
    <xf numFmtId="0" fontId="4" fillId="5" borderId="12" xfId="0" applyFont="1" applyFill="1" applyBorder="1" applyAlignment="1">
      <alignment horizontal="center"/>
    </xf>
    <xf numFmtId="169" fontId="4" fillId="5" borderId="12" xfId="0" applyNumberFormat="1" applyFont="1" applyFill="1" applyBorder="1" applyAlignment="1">
      <alignment horizontal="right"/>
    </xf>
    <xf numFmtId="0" fontId="3" fillId="6" borderId="23" xfId="0" applyFont="1" applyFill="1" applyBorder="1" applyAlignment="1">
      <alignment horizontal="center"/>
    </xf>
    <xf numFmtId="169" fontId="3" fillId="6" borderId="21" xfId="0" applyNumberFormat="1" applyFont="1" applyFill="1" applyBorder="1" applyAlignment="1">
      <alignment horizontal="right"/>
    </xf>
    <xf numFmtId="0" fontId="3" fillId="6" borderId="24" xfId="0" applyFont="1" applyFill="1" applyBorder="1" applyAlignment="1">
      <alignment horizontal="right"/>
    </xf>
    <xf numFmtId="169" fontId="3" fillId="6" borderId="21" xfId="0" applyNumberFormat="1" applyFont="1" applyFill="1" applyBorder="1" applyAlignment="1">
      <alignment horizontal="center"/>
    </xf>
    <xf numFmtId="0" fontId="6" fillId="7" borderId="0" xfId="0" applyFont="1" applyFill="1"/>
    <xf numFmtId="0" fontId="2" fillId="8" borderId="0" xfId="0" applyFont="1" applyFill="1"/>
    <xf numFmtId="0" fontId="2" fillId="9" borderId="0" xfId="0" applyFont="1" applyFill="1"/>
    <xf numFmtId="0" fontId="2" fillId="10" borderId="0" xfId="0" applyFont="1" applyFill="1"/>
    <xf numFmtId="0" fontId="2" fillId="5" borderId="0" xfId="0" applyFont="1" applyFill="1" applyAlignment="1">
      <alignment horizontal="left"/>
    </xf>
    <xf numFmtId="0" fontId="0" fillId="5" borderId="0" xfId="0" applyFill="1" applyAlignment="1">
      <alignment horizontal="left"/>
    </xf>
    <xf numFmtId="0" fontId="2" fillId="8" borderId="0" xfId="0" applyFont="1" applyFill="1" applyAlignment="1">
      <alignment horizontal="left"/>
    </xf>
    <xf numFmtId="0" fontId="2" fillId="0" borderId="0" xfId="0" applyFont="1" applyAlignment="1">
      <alignment horizontal="left"/>
    </xf>
    <xf numFmtId="165" fontId="2" fillId="0" borderId="0" xfId="0" applyNumberFormat="1" applyFont="1"/>
    <xf numFmtId="0" fontId="2" fillId="0" borderId="0" xfId="0" applyFont="1" applyAlignment="1">
      <alignment horizontal="left" vertical="center"/>
    </xf>
    <xf numFmtId="165" fontId="3" fillId="0" borderId="0" xfId="0" applyNumberFormat="1" applyFont="1" applyAlignment="1">
      <alignment horizontal="center"/>
    </xf>
    <xf numFmtId="4" fontId="3" fillId="0" borderId="0" xfId="0" applyNumberFormat="1" applyFont="1" applyAlignment="1">
      <alignment horizontal="center"/>
    </xf>
    <xf numFmtId="4" fontId="2" fillId="0" borderId="0" xfId="0" applyNumberFormat="1" applyFont="1"/>
    <xf numFmtId="170" fontId="2" fillId="0" borderId="0" xfId="0" applyNumberFormat="1" applyFont="1" applyAlignment="1">
      <alignment horizontal="left"/>
    </xf>
    <xf numFmtId="0" fontId="1" fillId="0" borderId="0" xfId="0" applyFont="1" applyAlignment="1">
      <alignment horizontal="center"/>
    </xf>
    <xf numFmtId="165" fontId="1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168" fontId="1" fillId="0" borderId="0" xfId="0" applyNumberFormat="1" applyFont="1" applyAlignment="1">
      <alignment horizontal="center"/>
    </xf>
    <xf numFmtId="0" fontId="3" fillId="0" borderId="0" xfId="0" applyFont="1" applyAlignment="1">
      <alignment horizontal="left"/>
    </xf>
    <xf numFmtId="1" fontId="6" fillId="0" borderId="14" xfId="0" applyNumberFormat="1" applyFont="1" applyBorder="1" applyAlignment="1">
      <alignment horizontal="right"/>
    </xf>
    <xf numFmtId="171" fontId="2" fillId="0" borderId="0" xfId="1" applyNumberFormat="1" applyFont="1" applyFill="1" applyBorder="1" applyAlignment="1" applyProtection="1">
      <alignment horizontal="center"/>
    </xf>
    <xf numFmtId="44" fontId="2" fillId="0" borderId="0" xfId="1" applyFont="1" applyFill="1"/>
    <xf numFmtId="165" fontId="2" fillId="0" borderId="0" xfId="1" applyNumberFormat="1" applyFont="1" applyFill="1" applyBorder="1" applyAlignment="1" applyProtection="1">
      <alignment horizontal="center"/>
    </xf>
    <xf numFmtId="0" fontId="6" fillId="5" borderId="0" xfId="0" applyFont="1" applyFill="1" applyAlignment="1">
      <alignment horizontal="left"/>
    </xf>
    <xf numFmtId="4" fontId="2" fillId="0" borderId="0" xfId="0" applyNumberFormat="1" applyFont="1" applyAlignment="1">
      <alignment horizontal="center"/>
    </xf>
    <xf numFmtId="49" fontId="2" fillId="0" borderId="0" xfId="0" applyNumberFormat="1" applyFont="1" applyAlignment="1">
      <alignment horizontal="left"/>
    </xf>
    <xf numFmtId="49" fontId="2" fillId="0" borderId="0" xfId="0" applyNumberFormat="1" applyFont="1" applyAlignment="1">
      <alignment horizontal="center"/>
    </xf>
    <xf numFmtId="49" fontId="2" fillId="0" borderId="0" xfId="0" applyNumberFormat="1" applyFont="1"/>
    <xf numFmtId="0" fontId="11" fillId="0" borderId="0" xfId="0" applyFont="1"/>
    <xf numFmtId="165" fontId="4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166" fontId="4" fillId="0" borderId="0" xfId="0" applyNumberFormat="1" applyFont="1"/>
    <xf numFmtId="164" fontId="4" fillId="0" borderId="15" xfId="0" applyNumberFormat="1" applyFont="1" applyBorder="1"/>
    <xf numFmtId="169" fontId="2" fillId="2" borderId="0" xfId="0" applyNumberFormat="1" applyFont="1" applyFill="1" applyAlignment="1">
      <alignment horizontal="right"/>
    </xf>
    <xf numFmtId="164" fontId="2" fillId="2" borderId="15" xfId="0" applyNumberFormat="1" applyFont="1" applyFill="1" applyBorder="1" applyAlignment="1">
      <alignment horizontal="right"/>
    </xf>
    <xf numFmtId="1" fontId="6" fillId="2" borderId="14" xfId="0" applyNumberFormat="1" applyFont="1" applyFill="1" applyBorder="1" applyAlignment="1">
      <alignment horizontal="right"/>
    </xf>
    <xf numFmtId="171" fontId="2" fillId="0" borderId="0" xfId="1" applyNumberFormat="1" applyFont="1" applyFill="1" applyAlignment="1" applyProtection="1">
      <alignment horizontal="center"/>
    </xf>
    <xf numFmtId="0" fontId="3" fillId="0" borderId="26" xfId="0" applyFont="1" applyBorder="1" applyAlignment="1">
      <alignment horizontal="center"/>
    </xf>
    <xf numFmtId="165" fontId="2" fillId="0" borderId="27" xfId="0" applyNumberFormat="1" applyFont="1" applyBorder="1" applyAlignment="1">
      <alignment horizontal="center"/>
    </xf>
    <xf numFmtId="49" fontId="2" fillId="0" borderId="0" xfId="0" applyNumberFormat="1" applyFont="1" applyAlignment="1">
      <alignment horizontal="left" vertical="center"/>
    </xf>
    <xf numFmtId="2" fontId="3" fillId="0" borderId="0" xfId="0" applyNumberFormat="1" applyFont="1" applyAlignment="1">
      <alignment horizontal="center"/>
    </xf>
    <xf numFmtId="44" fontId="3" fillId="0" borderId="0" xfId="1" applyFont="1" applyFill="1" applyBorder="1" applyAlignment="1" applyProtection="1">
      <alignment horizontal="center"/>
    </xf>
    <xf numFmtId="0" fontId="2" fillId="0" borderId="0" xfId="0" applyFont="1" applyAlignment="1">
      <alignment horizontal="left" vertical="center" wrapText="1"/>
    </xf>
    <xf numFmtId="49" fontId="3" fillId="0" borderId="0" xfId="0" applyNumberFormat="1" applyFont="1" applyAlignment="1">
      <alignment horizontal="center"/>
    </xf>
    <xf numFmtId="0" fontId="2" fillId="11" borderId="27" xfId="0" applyFont="1" applyFill="1" applyBorder="1"/>
    <xf numFmtId="2" fontId="2" fillId="0" borderId="0" xfId="1" applyNumberFormat="1" applyFont="1" applyFill="1"/>
    <xf numFmtId="0" fontId="2" fillId="0" borderId="28" xfId="0" applyFont="1" applyBorder="1" applyAlignment="1">
      <alignment horizontal="left"/>
    </xf>
    <xf numFmtId="0" fontId="2" fillId="0" borderId="27" xfId="0" applyFont="1" applyBorder="1"/>
    <xf numFmtId="44" fontId="3" fillId="0" borderId="0" xfId="1" applyFont="1" applyFill="1" applyAlignment="1" applyProtection="1">
      <alignment horizontal="center"/>
    </xf>
    <xf numFmtId="0" fontId="13" fillId="0" borderId="0" xfId="0" applyFont="1"/>
    <xf numFmtId="0" fontId="2" fillId="0" borderId="27" xfId="0" applyFont="1" applyBorder="1" applyAlignment="1">
      <alignment horizontal="left"/>
    </xf>
    <xf numFmtId="0" fontId="2" fillId="0" borderId="29" xfId="0" applyFont="1" applyBorder="1" applyAlignment="1">
      <alignment horizontal="left"/>
    </xf>
    <xf numFmtId="2" fontId="2" fillId="0" borderId="0" xfId="1" applyNumberFormat="1" applyFont="1" applyFill="1" applyBorder="1"/>
    <xf numFmtId="0" fontId="2" fillId="3" borderId="0" xfId="0" applyFont="1" applyFill="1"/>
    <xf numFmtId="171" fontId="2" fillId="0" borderId="0" xfId="1" applyNumberFormat="1" applyFont="1" applyAlignment="1">
      <alignment horizontal="center"/>
    </xf>
    <xf numFmtId="0" fontId="2" fillId="0" borderId="0" xfId="1" applyNumberFormat="1" applyFont="1" applyAlignment="1">
      <alignment horizontal="center"/>
    </xf>
    <xf numFmtId="0" fontId="2" fillId="5" borderId="0" xfId="0" applyFont="1" applyFill="1" applyAlignment="1">
      <alignment wrapText="1"/>
    </xf>
    <xf numFmtId="0" fontId="2" fillId="5" borderId="15" xfId="0" applyFont="1" applyFill="1" applyBorder="1" applyAlignment="1">
      <alignment wrapText="1"/>
    </xf>
    <xf numFmtId="170" fontId="2" fillId="3" borderId="0" xfId="0" applyNumberFormat="1" applyFont="1" applyFill="1" applyAlignment="1">
      <alignment horizontal="left"/>
    </xf>
    <xf numFmtId="170" fontId="2" fillId="3" borderId="0" xfId="0" applyNumberFormat="1" applyFont="1" applyFill="1" applyAlignment="1">
      <alignment horizontal="left" vertical="center" wrapText="1"/>
    </xf>
    <xf numFmtId="172" fontId="2" fillId="0" borderId="0" xfId="1" applyNumberFormat="1" applyFont="1" applyFill="1"/>
    <xf numFmtId="0" fontId="0" fillId="5" borderId="15" xfId="0" applyFill="1" applyBorder="1" applyAlignment="1">
      <alignment wrapText="1"/>
    </xf>
    <xf numFmtId="1" fontId="2" fillId="0" borderId="0" xfId="0" applyNumberFormat="1" applyFont="1"/>
    <xf numFmtId="2" fontId="2" fillId="0" borderId="0" xfId="1" applyNumberFormat="1" applyFont="1"/>
    <xf numFmtId="2" fontId="1" fillId="0" borderId="0" xfId="0" applyNumberFormat="1" applyFont="1" applyAlignment="1">
      <alignment horizontal="center"/>
    </xf>
    <xf numFmtId="2" fontId="2" fillId="0" borderId="0" xfId="1" applyNumberFormat="1" applyFont="1" applyFill="1" applyBorder="1" applyProtection="1"/>
    <xf numFmtId="172" fontId="3" fillId="0" borderId="0" xfId="1" applyNumberFormat="1" applyFont="1" applyFill="1" applyBorder="1" applyAlignment="1" applyProtection="1">
      <alignment horizontal="center"/>
    </xf>
    <xf numFmtId="170" fontId="1" fillId="0" borderId="0" xfId="0" applyNumberFormat="1" applyFont="1" applyAlignment="1">
      <alignment horizontal="center"/>
    </xf>
    <xf numFmtId="0" fontId="3" fillId="0" borderId="0" xfId="0" applyFont="1" applyAlignment="1">
      <alignment horizontal="center" vertical="center"/>
    </xf>
    <xf numFmtId="1" fontId="2" fillId="8" borderId="0" xfId="0" applyNumberFormat="1" applyFont="1" applyFill="1" applyAlignment="1">
      <alignment horizontal="left"/>
    </xf>
    <xf numFmtId="0" fontId="12" fillId="0" borderId="0" xfId="0" applyFont="1" applyAlignment="1">
      <alignment vertical="center" wrapText="1"/>
    </xf>
    <xf numFmtId="0" fontId="5" fillId="2" borderId="0" xfId="0" applyFont="1" applyFill="1"/>
    <xf numFmtId="0" fontId="3" fillId="0" borderId="0" xfId="0" applyFont="1" applyAlignment="1">
      <alignment horizontal="center" wrapText="1"/>
    </xf>
    <xf numFmtId="0" fontId="2" fillId="0" borderId="0" xfId="2" applyFont="1" applyFill="1"/>
    <xf numFmtId="0" fontId="6" fillId="5" borderId="0" xfId="0" applyFont="1" applyFill="1" applyAlignment="1">
      <alignment wrapText="1"/>
    </xf>
    <xf numFmtId="0" fontId="7" fillId="5" borderId="15" xfId="0" applyFont="1" applyFill="1" applyBorder="1" applyAlignment="1">
      <alignment wrapText="1"/>
    </xf>
    <xf numFmtId="0" fontId="12" fillId="0" borderId="0" xfId="0" applyFont="1"/>
    <xf numFmtId="44" fontId="2" fillId="0" borderId="0" xfId="1" applyFont="1" applyFill="1" applyAlignment="1" applyProtection="1">
      <alignment horizontal="center" vertical="top" wrapText="1"/>
    </xf>
    <xf numFmtId="0" fontId="2" fillId="0" borderId="29" xfId="0" applyFont="1" applyBorder="1"/>
    <xf numFmtId="0" fontId="15" fillId="0" borderId="0" xfId="2"/>
    <xf numFmtId="0" fontId="16" fillId="0" borderId="0" xfId="0" applyFont="1"/>
    <xf numFmtId="0" fontId="17" fillId="0" borderId="0" xfId="0" applyFont="1"/>
    <xf numFmtId="0" fontId="18" fillId="0" borderId="0" xfId="0" applyFont="1"/>
    <xf numFmtId="0" fontId="2" fillId="0" borderId="0" xfId="0" applyFont="1" applyAlignment="1">
      <alignment horizontal="left" vertical="top" wrapText="1"/>
    </xf>
    <xf numFmtId="0" fontId="2" fillId="0" borderId="0" xfId="0" applyFont="1" applyAlignment="1">
      <alignment vertical="top"/>
    </xf>
    <xf numFmtId="2" fontId="2" fillId="0" borderId="0" xfId="0" applyNumberFormat="1" applyFont="1" applyAlignment="1">
      <alignment vertical="top"/>
    </xf>
    <xf numFmtId="0" fontId="2" fillId="0" borderId="0" xfId="0" applyFont="1" applyAlignment="1">
      <alignment horizontal="center" vertical="top"/>
    </xf>
    <xf numFmtId="165" fontId="2" fillId="0" borderId="0" xfId="0" applyNumberFormat="1" applyFont="1" applyAlignment="1">
      <alignment horizontal="center" vertical="top"/>
    </xf>
    <xf numFmtId="171" fontId="2" fillId="0" borderId="0" xfId="1" applyNumberFormat="1" applyFont="1" applyFill="1" applyBorder="1" applyAlignment="1" applyProtection="1">
      <alignment horizontal="center" vertical="top"/>
    </xf>
    <xf numFmtId="2" fontId="2" fillId="0" borderId="0" xfId="1" applyNumberFormat="1" applyFont="1" applyFill="1" applyBorder="1" applyAlignment="1" applyProtection="1">
      <alignment vertical="top"/>
    </xf>
    <xf numFmtId="0" fontId="14" fillId="0" borderId="0" xfId="0" applyFont="1" applyAlignment="1">
      <alignment vertical="top"/>
    </xf>
    <xf numFmtId="0" fontId="15" fillId="0" borderId="0" xfId="2" applyAlignment="1">
      <alignment vertical="top"/>
    </xf>
    <xf numFmtId="0" fontId="2" fillId="0" borderId="0" xfId="0" applyFont="1" applyAlignment="1">
      <alignment horizontal="left" vertical="top"/>
    </xf>
    <xf numFmtId="0" fontId="2" fillId="0" borderId="0" xfId="1" applyNumberFormat="1" applyFont="1" applyFill="1" applyBorder="1" applyAlignment="1" applyProtection="1">
      <alignment horizontal="left"/>
    </xf>
    <xf numFmtId="172" fontId="3" fillId="0" borderId="0" xfId="1" applyNumberFormat="1" applyFont="1" applyAlignment="1">
      <alignment horizontal="center"/>
    </xf>
    <xf numFmtId="172" fontId="2" fillId="0" borderId="0" xfId="1" applyNumberFormat="1" applyFont="1"/>
    <xf numFmtId="172" fontId="12" fillId="0" borderId="0" xfId="1" applyNumberFormat="1" applyFont="1"/>
    <xf numFmtId="172" fontId="12" fillId="0" borderId="0" xfId="1" applyNumberFormat="1" applyFont="1" applyFill="1"/>
    <xf numFmtId="0" fontId="19" fillId="0" borderId="0" xfId="0" applyFont="1"/>
    <xf numFmtId="2" fontId="19" fillId="0" borderId="0" xfId="0" applyNumberFormat="1" applyFont="1"/>
    <xf numFmtId="0" fontId="19" fillId="0" borderId="0" xfId="0" applyFont="1" applyAlignment="1">
      <alignment horizontal="center"/>
    </xf>
    <xf numFmtId="9" fontId="19" fillId="0" borderId="0" xfId="3" applyFont="1" applyAlignment="1">
      <alignment horizontal="center"/>
    </xf>
    <xf numFmtId="2" fontId="3" fillId="0" borderId="0" xfId="0" applyNumberFormat="1" applyFont="1"/>
    <xf numFmtId="172" fontId="2" fillId="0" borderId="0" xfId="1" applyNumberFormat="1" applyFont="1" applyFill="1" applyAlignment="1">
      <alignment horizontal="left"/>
    </xf>
    <xf numFmtId="0" fontId="2" fillId="2" borderId="0" xfId="0" applyFont="1" applyFill="1" applyAlignment="1">
      <alignment wrapText="1"/>
    </xf>
    <xf numFmtId="0" fontId="2" fillId="12" borderId="0" xfId="0" applyFont="1" applyFill="1"/>
    <xf numFmtId="165" fontId="2" fillId="0" borderId="0" xfId="0" applyNumberFormat="1" applyFont="1" applyAlignment="1">
      <alignment horizontal="left"/>
    </xf>
    <xf numFmtId="0" fontId="6" fillId="2" borderId="0" xfId="0" applyFont="1" applyFill="1"/>
    <xf numFmtId="0" fontId="6" fillId="2" borderId="0" xfId="0" applyFont="1" applyFill="1" applyAlignment="1">
      <alignment horizontal="left"/>
    </xf>
    <xf numFmtId="165" fontId="6" fillId="2" borderId="0" xfId="0" applyNumberFormat="1" applyFont="1" applyFill="1" applyAlignment="1">
      <alignment horizontal="center"/>
    </xf>
    <xf numFmtId="0" fontId="6" fillId="2" borderId="0" xfId="0" applyFont="1" applyFill="1" applyAlignment="1">
      <alignment horizontal="center"/>
    </xf>
    <xf numFmtId="169" fontId="6" fillId="2" borderId="0" xfId="0" applyNumberFormat="1" applyFont="1" applyFill="1" applyAlignment="1">
      <alignment horizontal="right"/>
    </xf>
    <xf numFmtId="164" fontId="6" fillId="2" borderId="15" xfId="0" applyNumberFormat="1" applyFont="1" applyFill="1" applyBorder="1" applyAlignment="1">
      <alignment horizontal="right"/>
    </xf>
    <xf numFmtId="0" fontId="2" fillId="13" borderId="0" xfId="0" applyFont="1" applyFill="1"/>
    <xf numFmtId="0" fontId="2" fillId="0" borderId="0" xfId="1" applyNumberFormat="1" applyFont="1" applyAlignment="1">
      <alignment horizontal="left"/>
    </xf>
    <xf numFmtId="0" fontId="2" fillId="0" borderId="0" xfId="1" applyNumberFormat="1" applyFont="1" applyFill="1" applyAlignment="1" applyProtection="1">
      <alignment horizontal="left"/>
    </xf>
    <xf numFmtId="0" fontId="2" fillId="0" borderId="0" xfId="1" applyNumberFormat="1" applyFont="1" applyFill="1" applyAlignment="1">
      <alignment horizontal="left"/>
    </xf>
    <xf numFmtId="0" fontId="2" fillId="0" borderId="0" xfId="1" applyNumberFormat="1" applyFont="1" applyFill="1" applyBorder="1" applyAlignment="1" applyProtection="1">
      <alignment horizontal="left" vertical="top"/>
    </xf>
    <xf numFmtId="0" fontId="2" fillId="12" borderId="0" xfId="0" applyFont="1" applyFill="1" applyAlignment="1">
      <alignment horizontal="left"/>
    </xf>
    <xf numFmtId="0" fontId="2" fillId="14" borderId="0" xfId="0" applyFont="1" applyFill="1"/>
    <xf numFmtId="172" fontId="2" fillId="0" borderId="0" xfId="0" applyNumberFormat="1" applyFont="1"/>
    <xf numFmtId="1" fontId="2" fillId="0" borderId="0" xfId="0" applyNumberFormat="1" applyFont="1" applyAlignment="1">
      <alignment horizontal="left"/>
    </xf>
    <xf numFmtId="1" fontId="3" fillId="0" borderId="0" xfId="0" applyNumberFormat="1" applyFont="1" applyAlignment="1">
      <alignment horizontal="center"/>
    </xf>
    <xf numFmtId="14" fontId="2" fillId="0" borderId="0" xfId="0" applyNumberFormat="1" applyFont="1"/>
    <xf numFmtId="14" fontId="2" fillId="0" borderId="0" xfId="0" applyNumberFormat="1" applyFont="1" applyAlignment="1">
      <alignment horizontal="left"/>
    </xf>
    <xf numFmtId="0" fontId="2" fillId="2" borderId="0" xfId="0" applyFont="1" applyFill="1" applyAlignment="1">
      <alignment horizontal="left"/>
    </xf>
    <xf numFmtId="0" fontId="0" fillId="2" borderId="0" xfId="0" applyFill="1" applyAlignment="1">
      <alignment horizontal="left"/>
    </xf>
    <xf numFmtId="0" fontId="0" fillId="2" borderId="15" xfId="0" applyFill="1" applyBorder="1" applyAlignment="1">
      <alignment wrapText="1"/>
    </xf>
    <xf numFmtId="0" fontId="2" fillId="0" borderId="0" xfId="0" applyFont="1" applyAlignment="1">
      <alignment horizontal="center" vertical="center"/>
    </xf>
    <xf numFmtId="14" fontId="2" fillId="0" borderId="0" xfId="1" applyNumberFormat="1" applyFont="1" applyAlignment="1">
      <alignment horizontal="center"/>
    </xf>
    <xf numFmtId="0" fontId="3" fillId="6" borderId="21" xfId="0" applyFont="1" applyFill="1" applyBorder="1" applyAlignment="1">
      <alignment horizontal="left"/>
    </xf>
    <xf numFmtId="0" fontId="2" fillId="11" borderId="0" xfId="0" applyFont="1" applyFill="1"/>
    <xf numFmtId="0" fontId="2" fillId="15" borderId="0" xfId="0" applyFont="1" applyFill="1"/>
    <xf numFmtId="0" fontId="2" fillId="15" borderId="14" xfId="0" applyFont="1" applyFill="1" applyBorder="1"/>
    <xf numFmtId="1" fontId="6" fillId="15" borderId="14" xfId="0" applyNumberFormat="1" applyFont="1" applyFill="1" applyBorder="1" applyAlignment="1">
      <alignment horizontal="right"/>
    </xf>
    <xf numFmtId="0" fontId="6" fillId="15" borderId="0" xfId="0" applyFont="1" applyFill="1"/>
    <xf numFmtId="1" fontId="2" fillId="15" borderId="0" xfId="0" applyNumberFormat="1" applyFont="1" applyFill="1"/>
    <xf numFmtId="0" fontId="2" fillId="3" borderId="0" xfId="0" applyFont="1" applyFill="1" applyAlignment="1">
      <alignment horizontal="left" vertical="center"/>
    </xf>
    <xf numFmtId="0" fontId="2" fillId="3" borderId="27" xfId="0" applyFont="1" applyFill="1" applyBorder="1"/>
    <xf numFmtId="49" fontId="2" fillId="3" borderId="0" xfId="0" applyNumberFormat="1" applyFont="1" applyFill="1" applyAlignment="1">
      <alignment horizontal="left"/>
    </xf>
    <xf numFmtId="0" fontId="2" fillId="3" borderId="0" xfId="0" applyFont="1" applyFill="1" applyAlignment="1">
      <alignment wrapText="1"/>
    </xf>
    <xf numFmtId="0" fontId="16" fillId="3" borderId="0" xfId="0" applyFont="1" applyFill="1"/>
    <xf numFmtId="0" fontId="2" fillId="3" borderId="0" xfId="0" applyFont="1" applyFill="1" applyAlignment="1">
      <alignment horizontal="left"/>
    </xf>
    <xf numFmtId="0" fontId="3" fillId="6" borderId="22" xfId="0" applyFont="1" applyFill="1" applyBorder="1" applyAlignment="1">
      <alignment horizontal="center"/>
    </xf>
    <xf numFmtId="0" fontId="1" fillId="6" borderId="23" xfId="0" applyFont="1" applyFill="1" applyBorder="1" applyAlignment="1">
      <alignment horizontal="center"/>
    </xf>
    <xf numFmtId="0" fontId="6" fillId="0" borderId="0" xfId="0" applyFont="1" applyAlignment="1">
      <alignment wrapText="1"/>
    </xf>
    <xf numFmtId="0" fontId="7" fillId="0" borderId="0" xfId="0" applyFont="1" applyAlignment="1">
      <alignment wrapText="1"/>
    </xf>
    <xf numFmtId="0" fontId="1" fillId="0" borderId="12" xfId="0" applyFont="1" applyBorder="1" applyAlignment="1">
      <alignment horizontal="center"/>
    </xf>
    <xf numFmtId="0" fontId="2" fillId="2" borderId="17" xfId="0" applyFont="1" applyFill="1" applyBorder="1" applyAlignment="1">
      <alignment wrapText="1"/>
    </xf>
    <xf numFmtId="0" fontId="0" fillId="2" borderId="18" xfId="0" applyFill="1" applyBorder="1" applyAlignment="1">
      <alignment wrapText="1"/>
    </xf>
    <xf numFmtId="0" fontId="6" fillId="5" borderId="0" xfId="0" applyFont="1" applyFill="1" applyAlignment="1">
      <alignment vertical="top" wrapText="1"/>
    </xf>
    <xf numFmtId="0" fontId="7" fillId="5" borderId="15" xfId="0" applyFont="1" applyFill="1" applyBorder="1" applyAlignment="1">
      <alignment vertical="top" wrapText="1"/>
    </xf>
    <xf numFmtId="0" fontId="3" fillId="6" borderId="21" xfId="0" applyFont="1" applyFill="1" applyBorder="1" applyAlignment="1">
      <alignment horizontal="center"/>
    </xf>
    <xf numFmtId="0" fontId="1" fillId="6" borderId="21" xfId="0" applyFont="1" applyFill="1" applyBorder="1" applyAlignment="1">
      <alignment horizontal="center"/>
    </xf>
    <xf numFmtId="0" fontId="1" fillId="6" borderId="12" xfId="0" applyFont="1" applyFill="1" applyBorder="1" applyAlignment="1">
      <alignment horizontal="center" wrapText="1"/>
    </xf>
    <xf numFmtId="0" fontId="1" fillId="6" borderId="13" xfId="0" applyFont="1" applyFill="1" applyBorder="1" applyAlignment="1">
      <alignment horizontal="center" wrapText="1"/>
    </xf>
    <xf numFmtId="0" fontId="6" fillId="5" borderId="12" xfId="0" applyFont="1" applyFill="1" applyBorder="1" applyAlignment="1">
      <alignment vertical="top" wrapText="1"/>
    </xf>
    <xf numFmtId="0" fontId="7" fillId="5" borderId="13" xfId="0" applyFont="1" applyFill="1" applyBorder="1" applyAlignment="1">
      <alignment vertical="top" wrapText="1"/>
    </xf>
    <xf numFmtId="0" fontId="3" fillId="6" borderId="21" xfId="0" applyFont="1" applyFill="1" applyBorder="1" applyAlignment="1">
      <alignment horizontal="center" wrapText="1"/>
    </xf>
    <xf numFmtId="0" fontId="1" fillId="6" borderId="24" xfId="0" applyFont="1" applyFill="1" applyBorder="1" applyAlignment="1">
      <alignment horizontal="center" wrapText="1"/>
    </xf>
    <xf numFmtId="0" fontId="2" fillId="5" borderId="0" xfId="0" applyFont="1" applyFill="1" applyAlignment="1">
      <alignment wrapText="1"/>
    </xf>
    <xf numFmtId="0" fontId="0" fillId="5" borderId="15" xfId="0" applyFill="1" applyBorder="1" applyAlignment="1">
      <alignment wrapText="1"/>
    </xf>
    <xf numFmtId="0" fontId="3" fillId="6" borderId="22" xfId="0" applyFont="1" applyFill="1" applyBorder="1" applyAlignment="1">
      <alignment horizontal="center" wrapText="1"/>
    </xf>
    <xf numFmtId="0" fontId="1" fillId="6" borderId="25" xfId="0" applyFont="1" applyFill="1" applyBorder="1" applyAlignment="1">
      <alignment horizontal="center" wrapText="1"/>
    </xf>
    <xf numFmtId="0" fontId="2" fillId="2" borderId="0" xfId="0" applyFont="1" applyFill="1" applyAlignment="1">
      <alignment wrapText="1"/>
    </xf>
    <xf numFmtId="0" fontId="0" fillId="2" borderId="15" xfId="0" applyFill="1" applyBorder="1" applyAlignment="1">
      <alignment wrapText="1"/>
    </xf>
    <xf numFmtId="0" fontId="2" fillId="2" borderId="0" xfId="0" applyFont="1" applyFill="1" applyAlignment="1">
      <alignment horizontal="left"/>
    </xf>
    <xf numFmtId="0" fontId="0" fillId="2" borderId="0" xfId="0" applyFill="1" applyAlignment="1">
      <alignment horizontal="left"/>
    </xf>
    <xf numFmtId="0" fontId="2" fillId="5" borderId="15" xfId="0" applyFont="1" applyFill="1" applyBorder="1" applyAlignment="1">
      <alignment wrapText="1"/>
    </xf>
    <xf numFmtId="0" fontId="6" fillId="5" borderId="0" xfId="0" applyFont="1" applyFill="1" applyAlignment="1">
      <alignment wrapText="1"/>
    </xf>
    <xf numFmtId="0" fontId="7" fillId="5" borderId="15" xfId="0" applyFont="1" applyFill="1" applyBorder="1" applyAlignment="1">
      <alignment wrapText="1"/>
    </xf>
    <xf numFmtId="0" fontId="2" fillId="2" borderId="18" xfId="0" applyFont="1" applyFill="1" applyBorder="1" applyAlignment="1">
      <alignment wrapText="1"/>
    </xf>
    <xf numFmtId="0" fontId="2" fillId="2" borderId="15" xfId="0" applyFont="1" applyFill="1" applyBorder="1" applyAlignment="1">
      <alignment wrapText="1"/>
    </xf>
    <xf numFmtId="0" fontId="6" fillId="2" borderId="0" xfId="0" applyFont="1" applyFill="1" applyAlignment="1">
      <alignment horizontal="center" wrapText="1"/>
    </xf>
    <xf numFmtId="0" fontId="6" fillId="2" borderId="15" xfId="0" applyFont="1" applyFill="1" applyBorder="1" applyAlignment="1">
      <alignment horizontal="center" wrapText="1"/>
    </xf>
    <xf numFmtId="0" fontId="6" fillId="5" borderId="15" xfId="0" applyFont="1" applyFill="1" applyBorder="1" applyAlignment="1">
      <alignment wrapText="1"/>
    </xf>
    <xf numFmtId="0" fontId="2" fillId="5" borderId="0" xfId="0" applyFont="1" applyFill="1" applyAlignment="1">
      <alignment horizontal="left" wrapText="1"/>
    </xf>
    <xf numFmtId="0" fontId="2" fillId="5" borderId="15" xfId="0" applyFont="1" applyFill="1" applyBorder="1" applyAlignment="1">
      <alignment horizontal="left" wrapText="1"/>
    </xf>
    <xf numFmtId="0" fontId="2" fillId="2" borderId="0" xfId="0" applyFont="1" applyFill="1" applyAlignment="1"/>
    <xf numFmtId="0" fontId="0" fillId="2" borderId="0" xfId="0" applyFill="1" applyAlignment="1"/>
    <xf numFmtId="0" fontId="2" fillId="0" borderId="0" xfId="0" applyFont="1" applyAlignment="1"/>
    <xf numFmtId="0" fontId="0" fillId="0" borderId="0" xfId="0" applyAlignment="1"/>
    <xf numFmtId="0" fontId="4" fillId="0" borderId="0" xfId="0" applyFont="1" applyAlignment="1"/>
    <xf numFmtId="0" fontId="5" fillId="0" borderId="0" xfId="0" applyFont="1" applyAlignment="1"/>
    <xf numFmtId="0" fontId="4" fillId="2" borderId="0" xfId="0" applyFont="1" applyFill="1" applyAlignment="1"/>
    <xf numFmtId="0" fontId="5" fillId="2" borderId="0" xfId="0" applyFont="1" applyFill="1" applyAlignment="1"/>
    <xf numFmtId="0" fontId="2" fillId="2" borderId="17" xfId="0" applyFont="1" applyFill="1" applyBorder="1" applyAlignment="1"/>
    <xf numFmtId="0" fontId="0" fillId="2" borderId="17" xfId="0" applyFill="1" applyBorder="1" applyAlignment="1"/>
    <xf numFmtId="0" fontId="4" fillId="2" borderId="12" xfId="0" applyFont="1" applyFill="1" applyBorder="1" applyAlignment="1"/>
    <xf numFmtId="0" fontId="5" fillId="2" borderId="12" xfId="0" applyFont="1" applyFill="1" applyBorder="1" applyAlignment="1"/>
    <xf numFmtId="0" fontId="6" fillId="5" borderId="0" xfId="0" applyFont="1" applyFill="1" applyAlignment="1"/>
    <xf numFmtId="0" fontId="7" fillId="5" borderId="15" xfId="0" applyFont="1" applyFill="1" applyBorder="1" applyAlignment="1"/>
  </cellXfs>
  <cellStyles count="4">
    <cellStyle name="Currency" xfId="1" builtinId="4"/>
    <cellStyle name="Hyperlink" xfId="2" builtinId="8"/>
    <cellStyle name="Normal" xfId="0" builtinId="0"/>
    <cellStyle name="Percent" xfId="3" builtinId="5"/>
  </cellStyles>
  <dxfs count="67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mm/dd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mm/dd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mm/dd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mm/dd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mm/dd/yy;@"/>
      <alignment horizontal="center" vertical="bottom" textRotation="0" wrapText="0" indent="0" justifyLastLine="0" shrinkToFit="0" readingOrder="0"/>
    </dxf>
    <dxf>
      <fill>
        <patternFill>
          <bgColor rgb="FFFFCCCC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6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6" formatCode="&quot;$&quot;#,##0.0000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6" formatCode="&quot;$&quot;#,##0.0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4" formatCode="&quot;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4" formatCode="&quot;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4" formatCode="&quot;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mm/dd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mm/dd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mm/dd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mm/dd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70" formatCode="0.0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70" formatCode="0.0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ill>
        <patternFill>
          <bgColor theme="6" tint="-0.24994659260841701"/>
        </patternFill>
      </fill>
    </dxf>
    <dxf>
      <fill>
        <patternFill>
          <bgColor rgb="FFFFFF99"/>
        </patternFill>
      </fill>
    </dxf>
    <dxf>
      <fill>
        <patternFill>
          <bgColor theme="6" tint="0.3999450666829432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mm/dd/yy;@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mm/dd/yy;@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mm/dd/yy;@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mm/dd/yy;@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72" formatCode="0.0000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mm/dd/yy;@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mm/dd/yy;@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>
          <bgColor rgb="FFFFFFCC"/>
        </patternFill>
      </fill>
    </dxf>
    <dxf>
      <fill>
        <patternFill>
          <bgColor rgb="FFFFCCCC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79998168889431442"/>
        </patternFill>
      </fill>
    </dxf>
    <dxf>
      <fill>
        <patternFill>
          <bgColor rgb="FFFFCCCC"/>
        </patternFill>
      </fill>
    </dxf>
    <dxf>
      <fill>
        <patternFill>
          <bgColor rgb="FFFF0000"/>
        </patternFill>
      </fill>
    </dxf>
    <dxf>
      <fill>
        <patternFill>
          <bgColor theme="6" tint="0.79998168889431442"/>
        </patternFill>
      </fill>
    </dxf>
    <dxf>
      <fill>
        <patternFill>
          <bgColor rgb="FFFFFFCC"/>
        </patternFill>
      </fill>
    </dxf>
    <dxf>
      <fill>
        <patternFill>
          <bgColor rgb="FFFFCCCC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39994506668294322"/>
        </patternFill>
      </fill>
    </dxf>
    <dxf>
      <fill>
        <patternFill>
          <bgColor rgb="FFFFCCCC"/>
        </patternFill>
      </fill>
    </dxf>
    <dxf>
      <fill>
        <patternFill>
          <bgColor theme="6" tint="0.79998168889431442"/>
        </patternFill>
      </fill>
    </dxf>
    <dxf>
      <fill>
        <patternFill>
          <bgColor rgb="FFFF0000"/>
        </patternFill>
      </fill>
    </dxf>
    <dxf>
      <fill>
        <patternFill>
          <bgColor theme="6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</dxf>
    <dxf>
      <fill>
        <patternFill>
          <bgColor rgb="FFFFCCCC"/>
        </patternFill>
      </fill>
    </dxf>
    <dxf>
      <fill>
        <patternFill>
          <bgColor theme="6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71" formatCode="m/d/yy;@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mm/dd/yy;@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mm/dd/yy;@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mm/dd/yy;@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79998168889431442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FFCC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39994506668294322"/>
        </patternFill>
      </fill>
    </dxf>
    <dxf>
      <fill>
        <patternFill>
          <bgColor rgb="FFFF9999"/>
        </patternFill>
      </fill>
    </dxf>
    <dxf>
      <fill>
        <patternFill>
          <bgColor theme="6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</dxfs>
  <tableStyles count="1" defaultTableStyle="TableStyleMedium9" defaultPivotStyle="PivotStyleLight16">
    <tableStyle name="Table Style 1" pivot="0" count="0" xr9:uid="{01779153-25C0-4E53-BE9B-1F0A27DC17CA}"/>
  </tableStyles>
  <colors>
    <mruColors>
      <color rgb="FFFFCCCC"/>
      <color rgb="FFFF6600"/>
      <color rgb="FFFFFFCC"/>
      <color rgb="FFFFFF99"/>
      <color rgb="FFFF9999"/>
      <color rgb="FFFF7C80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61" Type="http://schemas.openxmlformats.org/officeDocument/2006/relationships/theme" Target="theme/theme1.xml"/><Relationship Id="rId16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styles" Target="styles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calcChain" Target="calcChain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3C078C-FCF5-4EF5-B265-1A814D09FBFA}" name="Assemblies" displayName="Assemblies" ref="A1:K153" totalsRowShown="0" headerRowDxfId="144" dataDxfId="143">
  <autoFilter ref="A1:K153" xr:uid="{7F3C078C-FCF5-4EF5-B265-1A814D09FBFA}"/>
  <sortState xmlns:xlrd2="http://schemas.microsoft.com/office/spreadsheetml/2017/richdata2" ref="A2:J153">
    <sortCondition ref="E1:E153"/>
  </sortState>
  <tableColumns count="11">
    <tableColumn id="1" xr3:uid="{ECFFC66B-AB33-408C-B6F4-8244BB833BE5}" name="Job #" dataDxfId="142">
      <calculatedColumnFormula>'GF12'!$E$2</calculatedColumnFormula>
    </tableColumn>
    <tableColumn id="2" xr3:uid="{89802AF4-A05B-4058-8449-8BE92D2B069C}" name="Assy" dataDxfId="141"/>
    <tableColumn id="3" xr3:uid="{FEA83F8E-AD5A-4F86-AFD8-B029D7173B66}" name="Item" dataDxfId="140"/>
    <tableColumn id="4" xr3:uid="{2A54FB8A-B298-4159-A8B5-DA97D313E2CD}" name="Rev" dataDxfId="139"/>
    <tableColumn id="5" xr3:uid="{53F120A1-DFBD-44C2-AD84-8B0D57F70CF6}" name="Assembly" dataDxfId="138">
      <calculatedColumnFormula>_xlfn.CONCAT(A2,".",B2,".",C2,".",D2)</calculatedColumnFormula>
    </tableColumn>
    <tableColumn id="6" xr3:uid="{1589DAD0-D99F-4AB2-8BB2-005F10A9D487}" name="Description" dataDxfId="137"/>
    <tableColumn id="7" xr3:uid="{CEA9A0E3-D434-4B42-8275-5D71DC0DBEE4}" name="Total Qty" dataDxfId="136">
      <calculatedColumnFormula array="1">SUMPRODUCT(SUMIF(INDIRECT("'"&amp;$B$2:$B$119&amp;"'!"&amp;"C5:C1000"),E2,(INDIRECT("'"&amp;$B$2:$B$119&amp;"'!"&amp;"O5:O1000"))))</calculatedColumnFormula>
    </tableColumn>
    <tableColumn id="9" xr3:uid="{54DE83AC-578C-4769-919B-3EF0E85883CD}" name="Locations" dataDxfId="135">
      <calculatedColumnFormula array="1">TRIM(SUBSTITUTE(_xlfn.ARRAYTOTEXT(IFERROR(CONCATENATE(SUMIF(INDIRECT("'"&amp;Assemblies[Assy]&amp;"'!"&amp;"C$5:C1000"), $E2, INDIRECT("'"&amp;Assemblies[Assy]&amp;"'!"&amp;"O$5:O1000")), "x",Assemblies[Assy],".",IF(SUMIF(INDIRECT("'"&amp;Assemblies[Assy]&amp;"'!"&amp;"C$5:C1000"), $E2, INDIRECT("'"&amp;Assemblies[Assy]&amp;"'!"&amp;"A$5:A1000"))=0,NA(),SUMIF(INDIRECT("'"&amp;Assemblies[Assy]&amp;"'!"&amp;"C$5:C1000"), $E2, INDIRECT("'"&amp;Assemblies[Assy]&amp;"'!"&amp;"A$5:A1000")))),"")), " ,", ""))</calculatedColumnFormula>
    </tableColumn>
    <tableColumn id="11" xr3:uid="{B90E4D61-CBBD-4572-BD1D-B33644DA9A51}" name="Drawing?" dataDxfId="134"/>
    <tableColumn id="8" xr3:uid="{EFA1F018-2864-4299-9AA7-B9CC9ED56063}" name="HARDWARE FIXED IN MODEL ?" dataDxfId="133"/>
    <tableColumn id="10" xr3:uid="{70272D51-4DC3-4DBB-A6DD-3A1EFAFEE381}" name="ALL PARTS CHECKED IN?" dataDxfId="13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2838C4C-BA81-4D94-A2E2-5986231C7A05}" name="Machined" displayName="Machined" ref="A1:Z378" totalsRowShown="0" headerRowDxfId="121" dataDxfId="120" headerRowCellStyle="Currency">
  <autoFilter ref="A1:Z378" xr:uid="{12838C4C-BA81-4D94-A2E2-5986231C7A05}"/>
  <sortState xmlns:xlrd2="http://schemas.microsoft.com/office/spreadsheetml/2017/richdata2" ref="A2:Z378">
    <sortCondition ref="C1:C378"/>
  </sortState>
  <tableColumns count="26">
    <tableColumn id="1" xr3:uid="{450C0939-7134-4861-91FD-26A67338CF92}" name="Part #" dataDxfId="119"/>
    <tableColumn id="2" xr3:uid="{C9334F89-0C4F-4405-94AA-54E6F968380F}" name="Rev" dataDxfId="118"/>
    <tableColumn id="3" xr3:uid="{7C36BED5-EC44-4505-93FD-E8ACF32E46EA}" name="Machined" dataDxfId="117">
      <calculatedColumnFormula>_xlfn.CONCAT(A2,".",B2)</calculatedColumnFormula>
    </tableColumn>
    <tableColumn id="4" xr3:uid="{7F3C260D-A709-4F9E-A965-036000975810}" name="Description" dataDxfId="116"/>
    <tableColumn id="5" xr3:uid="{2E7A4761-AD5C-473A-8247-91BD1370704A}" name="Cost" dataDxfId="115">
      <calculatedColumnFormula>S2+T2+U2+(65*V2)</calculatedColumnFormula>
    </tableColumn>
    <tableColumn id="6" xr3:uid="{4C347B41-D14C-4408-8A25-E1D9533428A7}" name="Total Qty" dataDxfId="114">
      <calculatedColumnFormula array="1">SUMPRODUCT(SUMIF(INDIRECT("'"&amp;Assemblies[Assy]&amp;"'!"&amp;"C$5:C1000"),$C2,(INDIRECT("'"&amp;Assemblies[Assy]&amp;"'!"&amp;"O$5:O1000"))))</calculatedColumnFormula>
    </tableColumn>
    <tableColumn id="24" xr3:uid="{17F872AA-1BD6-4087-9663-4FAD9638883A}" name="PO QTY" dataDxfId="113"/>
    <tableColumn id="7" xr3:uid="{932BD7DA-D748-46D3-B0D2-EB1E321BD6CB}" name="Rec QTY" dataDxfId="112"/>
    <tableColumn id="8" xr3:uid="{8E0D5165-4A85-4CD6-AF6C-593FD4122604}" name="Mfg/Matl" dataDxfId="111"/>
    <tableColumn id="9" xr3:uid="{CA051BB5-BA61-45FA-87D6-11A001B0EDCA}" name="Finish" dataDxfId="110"/>
    <tableColumn id="25" xr3:uid="{5A2E225D-36E3-430B-8EAB-2EFC756CA368}" name="FINISHED BY VENDOR?" dataDxfId="109"/>
    <tableColumn id="10" xr3:uid="{1A318ED8-E5E6-4C35-99AA-0F2E7C6009CC}" name="Vendor" dataDxfId="108"/>
    <tableColumn id="11" xr3:uid="{CE043A40-7E4C-4238-9508-7769AB200254}" name="Notes" dataDxfId="107"/>
    <tableColumn id="12" xr3:uid="{AB529939-8AB4-4C0E-A76D-15CA0CE1DD49}" name="Out to Quote" dataDxfId="106"/>
    <tableColumn id="13" xr3:uid="{DD3448D4-DD18-4A18-A0EE-410AE33D7183}" name="Order Date" dataDxfId="105"/>
    <tableColumn id="14" xr3:uid="{9CBCACF5-99F5-4209-B299-85EAAFBBDAAF}" name="Req Date" dataDxfId="104"/>
    <tableColumn id="15" xr3:uid="{17467B08-C9E7-4286-8FCE-6FE9F780AF50}" name="Conf Date" dataDxfId="103" dataCellStyle="Currency"/>
    <tableColumn id="16" xr3:uid="{E895C44E-CC74-4118-8C94-8E9C45D383DD}" name="PO" dataDxfId="102" dataCellStyle="Currency"/>
    <tableColumn id="17" xr3:uid="{0127275D-2652-41A6-BC4D-6D3812009407}" name="Material Cost" dataDxfId="101" dataCellStyle="Currency"/>
    <tableColumn id="18" xr3:uid="{5F07CD34-231E-4EA0-8F64-0C7860447CEE}" name="Coating Cost" dataDxfId="100"/>
    <tableColumn id="19" xr3:uid="{AB2FEF38-9298-40AC-98ED-A5EE96CF4E47}" name="Misc Cost" dataDxfId="99"/>
    <tableColumn id="20" xr3:uid="{7FD1B219-CEF8-4FDB-95F0-838317CC7450}" name="Labor Hours" dataDxfId="98"/>
    <tableColumn id="21" xr3:uid="{89BBDA05-7D82-4C0D-9A2F-DBA0BFF2F98A}" name="Locations" dataDxfId="97">
      <calculatedColumnFormula array="1">TRIM(SUBSTITUTE(_xlfn.ARRAYTOTEXT(IFERROR(CONCATENATE(SUMIF(INDIRECT("'"&amp;Assemblies[Assy]&amp;"'!"&amp;"C$5:C1000"), $C2, INDIRECT("'"&amp;Assemblies[Assy]&amp;"'!"&amp;"O$5:O1000")), "x",Assemblies[Assy],".",IF(SUMIF(INDIRECT("'"&amp;Assemblies[Assy]&amp;"'!"&amp;"C$5:C1000"), $C2, INDIRECT("'"&amp;Assemblies[Assy]&amp;"'!"&amp;"A$5:A1000"))=0,NA(),SUMIF(INDIRECT("'"&amp;Assemblies[Assy]&amp;"'!"&amp;"C$5:C1000"), $C2, INDIRECT("'"&amp;Assemblies[Assy]&amp;"'!"&amp;"A$5:A1000")))),"")), " ,", ""))</calculatedColumnFormula>
    </tableColumn>
    <tableColumn id="22" xr3:uid="{3A248350-7B01-446F-AEB2-DFE24AADCB25}" name="Drawing" dataDxfId="96"/>
    <tableColumn id="23" xr3:uid="{8C8EA5FE-6DB3-44B4-9A46-09E643321B6D}" name="XOMETRY QUOTE #" dataDxfId="95"/>
    <tableColumn id="26" xr3:uid="{515E846B-0E9C-488F-974B-C00010ABEBAB}" name="XOMETRY ORDER #_x000a_" dataDxfId="9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9F39C62-6D1C-4166-8963-1EF9FDE004F3}" name="Purchased" displayName="Purchased" ref="A1:R612" totalsRowShown="0" headerRowDxfId="65" dataDxfId="64">
  <autoFilter ref="A1:R612" xr:uid="{29F39C62-6D1C-4166-8963-1EF9FDE004F3}">
    <filterColumn colId="9">
      <filters blank="1">
        <filter val="AAP"/>
        <filter val="AAP, OC PNEUMATICS"/>
        <filter val="ACROLAB"/>
        <filter val="AmFeed"/>
        <filter val="AutoDir"/>
        <filter val="BuyRex"/>
        <filter val="CAROLINA LASER"/>
        <filter val="DIENES"/>
        <filter val="Double E"/>
        <filter val="ELESA"/>
        <filter val="Fiero"/>
        <filter val="IGUS"/>
        <filter val="KEYENCE"/>
        <filter val="MCM"/>
        <filter val="MISUMI"/>
        <filter val="MOTION"/>
        <filter val="Mouser"/>
        <filter val="MURR"/>
        <filter val="OC PNEUMATICS"/>
        <filter val="OnlineComp"/>
        <filter val="Pearl"/>
        <filter val="PREVOST"/>
        <filter val="ProAuto"/>
        <filter val="QualBear"/>
        <filter val="Radwell"/>
        <filter val="Rexel"/>
        <filter val="SAGINAW"/>
        <filter val="Sealcon"/>
        <filter val="TMMI"/>
        <filter val="VALIN"/>
        <filter val="ZIMMER"/>
      </filters>
    </filterColumn>
  </autoFilter>
  <sortState xmlns:xlrd2="http://schemas.microsoft.com/office/spreadsheetml/2017/richdata2" ref="A2:R612">
    <sortCondition ref="I2:I612"/>
  </sortState>
  <tableColumns count="18">
    <tableColumn id="1" xr3:uid="{2910A85F-A392-4031-8F77-071DB85F886B}" name="Purchased" dataDxfId="63"/>
    <tableColumn id="2" xr3:uid="{116B4AD9-975F-421A-84E8-FFEF1A8E3694}" name="Description" dataDxfId="62"/>
    <tableColumn id="3" xr3:uid="{468C20F6-6384-40FB-9A98-F625842F325E}" name="Cost" dataDxfId="61" dataCellStyle="Currency"/>
    <tableColumn id="4" xr3:uid="{0F47B038-E124-4297-B60D-45644A8D49D8}" name="PK QTY" dataDxfId="60"/>
    <tableColumn id="5" xr3:uid="{28DD5ACB-F167-4C2A-9BEF-447FA083BE00}" name="BOM QTY" dataDxfId="59">
      <calculatedColumnFormula array="1">SUMPRODUCT(SUMIF(INDIRECT("'"&amp;Assemblies[Assy]&amp;"'!"&amp;"C:C"),$A2,(INDIRECT("'"&amp;Assemblies[Assy]&amp;"'!"&amp;"O:O"))))</calculatedColumnFormula>
    </tableColumn>
    <tableColumn id="6" xr3:uid="{FF765973-912D-40AD-BC93-F4416051E4C1}" name="Order QTY" dataDxfId="58">
      <calculatedColumnFormula>E2/D2</calculatedColumnFormula>
    </tableColumn>
    <tableColumn id="7" xr3:uid="{EB1EBA45-9010-4D82-B7A5-BEAAF6713D1B}" name="PO QTY" dataDxfId="57"/>
    <tableColumn id="8" xr3:uid="{4AF82D6B-465B-4284-8B02-B5F6383FCBE9}" name="RecQTY" dataDxfId="56"/>
    <tableColumn id="9" xr3:uid="{D5504317-4FCB-49DE-8902-DCED9DFA8AFD}" name="Mfg/Matl" dataDxfId="55"/>
    <tableColumn id="10" xr3:uid="{D55B75C6-B2CB-4100-8E39-0AB1E879F97C}" name="Vendor" dataDxfId="54"/>
    <tableColumn id="18" xr3:uid="{75DE77B7-8464-46F9-ABA0-5411611242EF}" name="Assy (temp)" dataDxfId="53"/>
    <tableColumn id="11" xr3:uid="{2A90AE38-B297-4CEC-85BB-346DC22487D9}" name="Notes" dataDxfId="52"/>
    <tableColumn id="12" xr3:uid="{04F9A820-4BB4-4F13-9FF9-6949682DB9F3}" name="Out to Quote" dataDxfId="51"/>
    <tableColumn id="13" xr3:uid="{37EA10D7-8658-4E5E-9AF7-AD364B1785BF}" name="Order Date" dataDxfId="50"/>
    <tableColumn id="14" xr3:uid="{58B44759-8FA6-4155-9E4E-B98291A96C1D}" name="Req Date" dataDxfId="49"/>
    <tableColumn id="15" xr3:uid="{420D7108-399C-4511-A345-62A80A4185C7}" name="Conf Date" dataDxfId="48"/>
    <tableColumn id="16" xr3:uid="{22D8EF6B-F16F-44CF-87FF-3BF92588B14C}" name="PO #" dataDxfId="47"/>
    <tableColumn id="17" xr3:uid="{DD9E6123-FA3F-409A-9F6A-13AE09108FE0}" name="Locations" dataDxfId="46">
      <calculatedColumnFormula array="1">TRIM(SUBSTITUTE(_xlfn.ARRAYTOTEXT(IFERROR(CONCATENATE(SUMIF(INDIRECT("'"&amp;Assemblies!$B$2:$B$152&amp;"'!"&amp;"C$5:C1000"), $A2, INDIRECT("'"&amp;Assemblies!$B$2:$B$152&amp;"'!"&amp;"O$5:O1000")), "x",Assemblies!$B$2:$B$152,".",IF(SUMIF(INDIRECT("'"&amp;Assemblies!$B$2:$B$152&amp;"'!"&amp;"C$5:C1000"), $A2, INDIRECT("'"&amp;Assemblies!$B$2:$B$152&amp;"'!"&amp;"A$5:A1000"))=0,NA(),SUMIF(INDIRECT("'"&amp;Assemblies!$B$2:$B$152&amp;"'!"&amp;"C$5:C1000"), $A2, INDIRECT("'"&amp;Assemblies!$B$2:$B$152&amp;"'!"&amp;"A$5:A1000")))),"")), " ,", ""))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C82B866-8E77-49F3-90B5-E156EFF28A10}" name="Extrusion" displayName="Extrusion" ref="A1:W93" totalsRowShown="0" headerRowDxfId="42">
  <autoFilter ref="A1:W93" xr:uid="{1C82B866-8E77-49F3-90B5-E156EFF28A10}"/>
  <sortState xmlns:xlrd2="http://schemas.microsoft.com/office/spreadsheetml/2017/richdata2" ref="A2:W93">
    <sortCondition ref="B1:B93"/>
  </sortState>
  <tableColumns count="23">
    <tableColumn id="1" xr3:uid="{1D138155-9283-4EF7-9B76-DD36FBE7D5D0}" name="Length" dataDxfId="41"/>
    <tableColumn id="2" xr3:uid="{15CA54FF-126C-423F-B4E4-AF857283279E}" name="Extrusion" dataDxfId="40"/>
    <tableColumn id="3" xr3:uid="{C63B39B7-7676-486E-AD00-C71FDBF060C4}" name="Description" dataDxfId="39"/>
    <tableColumn id="4" xr3:uid="{C66D7792-AFE6-4C99-A48D-52014A4C15B5}" name="Total Qty" dataDxfId="38">
      <calculatedColumnFormula array="1">SUMPRODUCT(SUMIF(INDIRECT("'"&amp;Assemblies!$B$2:$B$153&amp;"'!"&amp;"C$5:C1000"),$B2,(INDIRECT("'"&amp;Assemblies!$B$2:$B$153&amp;"'!"&amp;"O$5:O1000"))))</calculatedColumnFormula>
    </tableColumn>
    <tableColumn id="23" xr3:uid="{ACE2C60A-7C0A-4F3D-86F0-3775776B96CA}" name="Qty Cut" dataDxfId="37"/>
    <tableColumn id="5" xr3:uid="{2B7BBD25-416B-4943-92DC-C15ADBFCD2BB}" name="Cost" dataDxfId="36">
      <calculatedColumnFormula>O2+P2+Q2+(65*R2)</calculatedColumnFormula>
    </tableColumn>
    <tableColumn id="6" xr3:uid="{9AB9728D-C23F-4293-9A53-9BE56DA70928}" name="Mfg/Matl" dataDxfId="35"/>
    <tableColumn id="7" xr3:uid="{ADA068A3-7A3F-4995-88C1-D31DF4A50FBE}" name="Vendor" dataDxfId="34"/>
    <tableColumn id="8" xr3:uid="{04CC20D0-7B1B-4B2F-88ED-4ADF72A6ED83}" name="Notes" dataDxfId="33"/>
    <tableColumn id="9" xr3:uid="{C06DEF54-9A4E-4EB5-9DEE-D9591B738F69}" name="Out to Quote" dataDxfId="32"/>
    <tableColumn id="10" xr3:uid="{4620B6C4-4D0D-4267-9F43-3762EFB04A78}" name="Order Date" dataDxfId="31"/>
    <tableColumn id="11" xr3:uid="{E03F96F7-F844-4F8F-ACC6-81B3F8E2C63E}" name="Req Date" dataDxfId="30"/>
    <tableColumn id="12" xr3:uid="{7E461255-0972-4D1C-B443-CAB2A0D8F17D}" name="Conf Date" dataDxfId="29"/>
    <tableColumn id="13" xr3:uid="{6D75BA2D-C5AB-4314-A118-987121CC2E14}" name="PO #" dataDxfId="28"/>
    <tableColumn id="14" xr3:uid="{0CB7EF88-8309-47BA-AA0A-FAADB9B20C68}" name="Material Cost" dataDxfId="27">
      <calculatedColumnFormula>U2*A2</calculatedColumnFormula>
    </tableColumn>
    <tableColumn id="15" xr3:uid="{7963FE55-3D4D-426F-A27B-F7C80D9B52A2}" name="Coating Cost" dataDxfId="26"/>
    <tableColumn id="16" xr3:uid="{52A30D51-35C8-458C-BF75-4D793DB18EBD}" name="Misc Cost" dataDxfId="25"/>
    <tableColumn id="17" xr3:uid="{357978BA-5D8B-456E-8BEC-9363B12DB2DE}" name="Labor Hours" dataDxfId="24"/>
    <tableColumn id="18" xr3:uid="{8DDA677A-0EA2-402A-9770-4DC0F663782E}" name="M/Stick" dataDxfId="23"/>
    <tableColumn id="19" xr3:uid="{D8E07905-C511-4211-9464-C4A657F9CF51}" name="$/stick" dataDxfId="22"/>
    <tableColumn id="20" xr3:uid="{04A6B0DD-562C-49D9-86DE-2129A9089351}" name="$/mm" dataDxfId="21">
      <calculatedColumnFormula>T2/(S2*1000)</calculatedColumnFormula>
    </tableColumn>
    <tableColumn id="21" xr3:uid="{6CFF9391-DD16-4C19-A529-F57E614B4C25}" name="Locations" dataDxfId="20">
      <calculatedColumnFormula array="1">TRIM(SUBSTITUTE(_xlfn.ARRAYTOTEXT(IFERROR(CONCATENATE(SUMIF(INDIRECT("'"&amp;Assemblies!$B$2:$B$153&amp;"'!"&amp;"C$5:C1000"), $B2, INDIRECT("'"&amp;Assemblies!$B$2:$B$153&amp;"'!"&amp;"O$5:O1000")), "x",Assemblies!$B$2:$B$153,".",IF(SUMIF(INDIRECT("'"&amp;Assemblies!$B$2:$B$153&amp;"'!"&amp;"C$5:C1000"), $B2, INDIRECT("'"&amp;Assemblies!$B$2:$B$153&amp;"'!"&amp;"A$5:A1000"))=0,NA(),SUMIF(INDIRECT("'"&amp;Assemblies!$B$2:$B$153&amp;"'!"&amp;"C$5:C1000"), $B2, INDIRECT("'"&amp;Assemblies!$B$2:$B$153&amp;"'!"&amp;"A$5:A1000")))),"")), " ,", ""))</calculatedColumnFormula>
    </tableColumn>
    <tableColumn id="22" xr3:uid="{805035EF-C48E-4215-B1A7-728C59D3115F}" name="READY TO CUT?" dataDxfId="19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1363B01-FC2E-49EF-8508-C183C2EE0D6A}" name="Bolts" displayName="Bolts" ref="A1:M140" totalsRowShown="0" headerRowDxfId="14" dataDxfId="13">
  <autoFilter ref="A1:M140" xr:uid="{11363B01-FC2E-49EF-8508-C183C2EE0D6A}"/>
  <sortState xmlns:xlrd2="http://schemas.microsoft.com/office/spreadsheetml/2017/richdata2" ref="A2:M140">
    <sortCondition ref="A1:A140"/>
  </sortState>
  <tableColumns count="13">
    <tableColumn id="1" xr3:uid="{2D061DF9-D54C-472F-9DA0-E0D6A9F0125F}" name="Bolt" dataDxfId="12"/>
    <tableColumn id="2" xr3:uid="{1490A566-E899-46D7-9F73-1EDBFA6F0269}" name="Cost" dataDxfId="11"/>
    <tableColumn id="3" xr3:uid="{C320B6C7-82FB-4831-A460-087CFB342E39}" name="Total Qty" dataDxfId="10">
      <calculatedColumnFormula array="1">SUMPRODUCT(SUMIF(INDIRECT("'"&amp;Assemblies[Assy]&amp;"'!"&amp;"C$5:C1000"),$A2,(INDIRECT("'"&amp;Assemblies[Assy]&amp;"'!"&amp;"O$5:O1000"))))</calculatedColumnFormula>
    </tableColumn>
    <tableColumn id="4" xr3:uid="{101B929C-F05E-409C-A1F3-4C988BF32D90}" name="Qty Rec" dataDxfId="9"/>
    <tableColumn id="5" xr3:uid="{B5911599-5F6F-47B4-B1C2-BD28D3199798}" name="Mfg/Matl" dataDxfId="8"/>
    <tableColumn id="6" xr3:uid="{3E270964-BACA-4EEB-8D3C-47E10AB01AA5}" name="Vendor" dataDxfId="7"/>
    <tableColumn id="7" xr3:uid="{31214BD4-61CA-45D7-A438-910884C3313D}" name="Notes" dataDxfId="6"/>
    <tableColumn id="8" xr3:uid="{712E969E-785C-479E-A1C6-CF8641942B0D}" name="Out to Quote" dataDxfId="5"/>
    <tableColumn id="9" xr3:uid="{837FE6F7-2629-4399-9587-E9C59BCFB1FC}" name="Order Date" dataDxfId="4"/>
    <tableColumn id="10" xr3:uid="{7C7515ED-DE3A-4488-BF19-4E8A2DA308C2}" name="Req Date" dataDxfId="3"/>
    <tableColumn id="11" xr3:uid="{8A32E9E2-E892-4795-9A26-B09AEC927A3B}" name="Conf Date" dataDxfId="2"/>
    <tableColumn id="12" xr3:uid="{2D765628-0F6D-477A-8DF7-D01D990098C0}" name="PO #" dataDxfId="1"/>
    <tableColumn id="13" xr3:uid="{0B32A189-DE00-4AFF-8DAA-B73B756BEA6D}" name="Locations" dataDxfId="0">
      <calculatedColumnFormula array="1">TRIM(SUBSTITUTE(_xlfn.ARRAYTOTEXT(IFERROR(CONCATENATE(SUMIF(INDIRECT("'"&amp;Assemblies[Assy]&amp;"'!"&amp;"C$5:C1000"), $A2, INDIRECT("'"&amp;Assemblies[Assy]&amp;"'!"&amp;"O$5:O1000")), "x",Assemblies[Assy],".",IF(SUMIF(INDIRECT("'"&amp;Assemblies[Assy]&amp;"'!"&amp;"C$5:C1000"), $A2, INDIRECT("'"&amp;Assemblies[Assy]&amp;"'!"&amp;"A$5:A1000"))=0,NA(),SUMIF(INDIRECT("'"&amp;Assemblies[Assy]&amp;"'!"&amp;"C$5:C1000"), $A2, INDIRECT("'"&amp;Assemblies[Assy]&amp;"'!"&amp;"A$5:A1000")))),"")), " ,", ""))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8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0.bin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1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2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3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4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5.bin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6.bin"/></Relationships>
</file>

<file path=xl/worksheets/_rels/sheet8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7.bin"/></Relationships>
</file>

<file path=xl/worksheets/_rels/sheet8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8.bin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9.bin"/></Relationships>
</file>

<file path=xl/worksheets/_rels/sheet9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0.bin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1.bin"/></Relationships>
</file>

<file path=xl/worksheets/_rels/sheet9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2.bin"/></Relationships>
</file>

<file path=xl/worksheets/_rels/sheet9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3.bin"/></Relationships>
</file>

<file path=xl/worksheets/_rels/sheet9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4.bin"/></Relationships>
</file>

<file path=xl/worksheets/_rels/sheet9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5.bin"/></Relationships>
</file>

<file path=xl/worksheets/_rels/sheet9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6.bin"/></Relationships>
</file>

<file path=xl/worksheets/_rels/sheet9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7.bin"/></Relationships>
</file>

<file path=xl/worksheets/_rels/sheet9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8.bin"/></Relationships>
</file>

<file path=xl/worksheets/_rels/sheet9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9.bin"/></Relationships>
</file>

<file path=xl/worksheets/_rels/sheet10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0.bin"/></Relationships>
</file>

<file path=xl/worksheets/_rels/sheet10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1.bin"/></Relationships>
</file>

<file path=xl/worksheets/_rels/sheet10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2.bin"/></Relationships>
</file>

<file path=xl/worksheets/_rels/sheet10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3.bin"/></Relationships>
</file>

<file path=xl/worksheets/_rels/sheet10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4.bin"/></Relationships>
</file>

<file path=xl/worksheets/_rels/sheet10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5.bin"/></Relationships>
</file>

<file path=xl/worksheets/_rels/sheet10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6.bin"/></Relationships>
</file>

<file path=xl/worksheets/_rels/sheet10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7.bin"/></Relationships>
</file>

<file path=xl/worksheets/_rels/sheet10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8.bin"/></Relationships>
</file>

<file path=xl/worksheets/_rels/sheet10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9.bin"/></Relationships>
</file>

<file path=xl/worksheets/_rels/sheet1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0.bin"/></Relationships>
</file>

<file path=xl/worksheets/_rels/sheet1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1.bin"/></Relationships>
</file>

<file path=xl/worksheets/_rels/sheet1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2.bin"/></Relationships>
</file>

<file path=xl/worksheets/_rels/sheet1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3.bin"/></Relationships>
</file>

<file path=xl/worksheets/_rels/sheet1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4.bin"/></Relationships>
</file>

<file path=xl/worksheets/_rels/sheet1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5.bin"/></Relationships>
</file>

<file path=xl/worksheets/_rels/sheet1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6.bin"/></Relationships>
</file>

<file path=xl/worksheets/_rels/sheet1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7.bin"/></Relationships>
</file>

<file path=xl/worksheets/_rels/sheet1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8.bin"/></Relationships>
</file>

<file path=xl/worksheets/_rels/sheet1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9.bin"/></Relationships>
</file>

<file path=xl/worksheets/_rels/sheet1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0.bin"/></Relationships>
</file>

<file path=xl/worksheets/_rels/sheet1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1.bin"/></Relationships>
</file>

<file path=xl/worksheets/_rels/sheet1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2.bin"/></Relationships>
</file>

<file path=xl/worksheets/_rels/sheet1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3.bin"/></Relationships>
</file>

<file path=xl/worksheets/_rels/sheet1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4.bin"/></Relationships>
</file>

<file path=xl/worksheets/_rels/sheet1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5.bin"/></Relationships>
</file>

<file path=xl/worksheets/_rels/sheet1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6.bin"/></Relationships>
</file>

<file path=xl/worksheets/_rels/sheet1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7.bin"/></Relationships>
</file>

<file path=xl/worksheets/_rels/sheet1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8.bin"/></Relationships>
</file>

<file path=xl/worksheets/_rels/sheet1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9.bin"/></Relationships>
</file>

<file path=xl/worksheets/_rels/sheet1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0.bin"/></Relationships>
</file>

<file path=xl/worksheets/_rels/sheet1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1.bin"/></Relationships>
</file>

<file path=xl/worksheets/_rels/sheet1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2.bin"/></Relationships>
</file>

<file path=xl/worksheets/_rels/sheet1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3.bin"/></Relationships>
</file>

<file path=xl/worksheets/_rels/sheet1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4.bin"/></Relationships>
</file>

<file path=xl/worksheets/_rels/sheet1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5.bin"/></Relationships>
</file>

<file path=xl/worksheets/_rels/sheet1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6.bin"/></Relationships>
</file>

<file path=xl/worksheets/_rels/sheet1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7.bin"/></Relationships>
</file>

<file path=xl/worksheets/_rels/sheet1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8.bin"/></Relationships>
</file>

<file path=xl/worksheets/_rels/sheet1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9.bin"/></Relationships>
</file>

<file path=xl/worksheets/_rels/sheet1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0.bin"/></Relationships>
</file>

<file path=xl/worksheets/_rels/sheet1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1.bin"/></Relationships>
</file>

<file path=xl/worksheets/_rels/sheet1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2.bin"/></Relationships>
</file>

<file path=xl/worksheets/_rels/sheet1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3.bin"/></Relationships>
</file>

<file path=xl/worksheets/_rels/sheet1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4.bin"/></Relationships>
</file>

<file path=xl/worksheets/_rels/sheet1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5.bin"/></Relationships>
</file>

<file path=xl/worksheets/_rels/sheet1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6.bin"/></Relationships>
</file>

<file path=xl/worksheets/_rels/sheet1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7.bin"/></Relationships>
</file>

<file path=xl/worksheets/_rels/sheet1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8.bin"/></Relationships>
</file>

<file path=xl/worksheets/_rels/sheet1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9.bin"/></Relationships>
</file>

<file path=xl/worksheets/_rels/sheet1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0.bin"/></Relationships>
</file>

<file path=xl/worksheets/_rels/sheet1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1.bin"/></Relationships>
</file>

<file path=xl/worksheets/_rels/sheet1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2.bin"/></Relationships>
</file>

<file path=xl/worksheets/_rels/sheet1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3.bin"/></Relationships>
</file>

<file path=xl/worksheets/_rels/sheet1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4.bin"/></Relationships>
</file>

<file path=xl/worksheets/_rels/sheet15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55.bin"/></Relationships>
</file>

<file path=xl/worksheets/_rels/sheet156.xml.rels><?xml version="1.0" encoding="UTF-8" standalone="yes"?>
<Relationships xmlns="http://schemas.openxmlformats.org/package/2006/relationships"><Relationship Id="rId8" Type="http://schemas.openxmlformats.org/officeDocument/2006/relationships/hyperlink" Target="https://get.xometry.com/order/275A2-1504C" TargetMode="External"/><Relationship Id="rId3" Type="http://schemas.openxmlformats.org/officeDocument/2006/relationships/hyperlink" Target="https://www.xometry.com/orders/275A2-1504B" TargetMode="External"/><Relationship Id="rId7" Type="http://schemas.openxmlformats.org/officeDocument/2006/relationships/hyperlink" Target="https://www.xometry.com/orders/275A2-15046" TargetMode="External"/><Relationship Id="rId2" Type="http://schemas.openxmlformats.org/officeDocument/2006/relationships/hyperlink" Target="https://www.xometry.com/orders/275A2-1504B" TargetMode="External"/><Relationship Id="rId1" Type="http://schemas.openxmlformats.org/officeDocument/2006/relationships/hyperlink" Target="https://www.xometry.com/orders/275A2-15045" TargetMode="External"/><Relationship Id="rId6" Type="http://schemas.openxmlformats.org/officeDocument/2006/relationships/hyperlink" Target="https://www.xometry.com/orders/275A2-15045" TargetMode="External"/><Relationship Id="rId11" Type="http://schemas.openxmlformats.org/officeDocument/2006/relationships/table" Target="../tables/table2.xml"/><Relationship Id="rId5" Type="http://schemas.openxmlformats.org/officeDocument/2006/relationships/hyperlink" Target="https://www.xometry.com/orders/275A2-1504B" TargetMode="External"/><Relationship Id="rId10" Type="http://schemas.openxmlformats.org/officeDocument/2006/relationships/printerSettings" Target="../printerSettings/printerSettings156.bin"/><Relationship Id="rId4" Type="http://schemas.openxmlformats.org/officeDocument/2006/relationships/hyperlink" Target="https://www.xometry.com/orders/275A2-1504B" TargetMode="External"/><Relationship Id="rId9" Type="http://schemas.openxmlformats.org/officeDocument/2006/relationships/hyperlink" Target="https://get.xometry.com/order/275A2-1504C" TargetMode="External"/></Relationships>
</file>

<file path=xl/worksheets/_rels/sheet15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57.bin"/></Relationships>
</file>

<file path=xl/worksheets/_rels/sheet15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158.bin"/></Relationships>
</file>

<file path=xl/worksheets/_rels/sheet16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5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FF00"/>
    <pageSetUpPr fitToPage="1"/>
  </sheetPr>
  <dimension ref="A1:R114"/>
  <sheetViews>
    <sheetView topLeftCell="A313" zoomScaleNormal="100" workbookViewId="0">
      <selection activeCell="D40" sqref="D40:E40"/>
    </sheetView>
  </sheetViews>
  <sheetFormatPr defaultColWidth="9.140625" defaultRowHeight="15"/>
  <cols>
    <col min="1" max="2" width="5.7109375" customWidth="1"/>
    <col min="3" max="3" width="30.7109375" customWidth="1"/>
    <col min="4" max="5" width="20.7109375" customWidth="1"/>
    <col min="6" max="7" width="10.7109375" customWidth="1"/>
    <col min="8" max="8" width="8.7109375" customWidth="1"/>
    <col min="9" max="9" width="20.7109375" customWidth="1"/>
    <col min="10" max="12" width="11.7109375" style="19" customWidth="1"/>
    <col min="13" max="13" width="8.7109375" style="19" customWidth="1"/>
    <col min="14" max="14" width="11.7109375" bestFit="1" customWidth="1"/>
    <col min="15" max="15" width="13.42578125" bestFit="1" customWidth="1"/>
    <col min="16" max="16" width="10.85546875" bestFit="1" customWidth="1"/>
    <col min="17" max="17" width="12.85546875" bestFit="1" customWidth="1"/>
    <col min="18" max="18" width="10.7109375" customWidth="1"/>
  </cols>
  <sheetData>
    <row r="1" spans="1:18" s="2" customFormat="1" ht="12" customHeight="1">
      <c r="A1" s="68" t="s">
        <v>0</v>
      </c>
      <c r="B1" s="69"/>
      <c r="C1" s="83"/>
      <c r="D1" s="255" t="s">
        <v>1</v>
      </c>
      <c r="E1" s="255"/>
      <c r="F1" s="70"/>
      <c r="G1" s="83"/>
      <c r="H1" s="70"/>
      <c r="I1" s="84"/>
      <c r="J1" s="72"/>
      <c r="K1" s="72"/>
      <c r="L1" s="72"/>
      <c r="M1" s="72"/>
      <c r="N1" s="71"/>
      <c r="O1" s="71"/>
      <c r="P1" s="71"/>
      <c r="Q1" s="71"/>
      <c r="R1" s="73"/>
    </row>
    <row r="2" spans="1:18" s="2" customFormat="1" ht="12" customHeight="1">
      <c r="A2" s="74" t="s">
        <v>2</v>
      </c>
      <c r="B2" s="58"/>
      <c r="C2" s="54" t="e">
        <f ca="1">$E$2&amp;".000.00.A"</f>
        <v>#VALUE!</v>
      </c>
      <c r="D2" s="77" t="s">
        <v>3</v>
      </c>
      <c r="E2" s="54" t="e">
        <f ca="1">MID(CELL("filename",A1),FIND("]",CELL("filename",A1))+1,256)</f>
        <v>#VALUE!</v>
      </c>
      <c r="F2" s="77" t="s">
        <v>4</v>
      </c>
      <c r="G2" s="55" t="s">
        <v>5</v>
      </c>
      <c r="H2" s="77" t="s">
        <v>6</v>
      </c>
      <c r="I2" s="65">
        <v>44775</v>
      </c>
      <c r="J2" s="78"/>
      <c r="K2" s="78"/>
      <c r="L2" s="78"/>
      <c r="M2" s="78"/>
      <c r="N2" s="58"/>
      <c r="O2" s="58"/>
      <c r="P2" s="58"/>
      <c r="Q2" s="58"/>
      <c r="R2" s="79"/>
    </row>
    <row r="3" spans="1:18" s="2" customFormat="1" ht="12" customHeight="1" thickBot="1">
      <c r="A3" s="74" t="s">
        <v>7</v>
      </c>
      <c r="B3" s="58"/>
      <c r="C3" s="64" t="s">
        <v>8</v>
      </c>
      <c r="D3" s="77" t="s">
        <v>9</v>
      </c>
      <c r="E3" s="64" t="s">
        <v>10</v>
      </c>
      <c r="F3" s="77" t="s">
        <v>11</v>
      </c>
      <c r="G3" s="55" t="s">
        <v>5</v>
      </c>
      <c r="H3" s="77" t="s">
        <v>6</v>
      </c>
      <c r="I3" s="65">
        <v>44775</v>
      </c>
      <c r="J3" s="78"/>
      <c r="K3" s="78"/>
      <c r="L3" s="78"/>
      <c r="M3" s="78"/>
      <c r="N3" s="58"/>
      <c r="O3" s="58"/>
      <c r="P3" s="58"/>
      <c r="Q3" s="58"/>
      <c r="R3" s="79"/>
    </row>
    <row r="4" spans="1:18" s="5" customFormat="1" ht="12" customHeight="1" thickBot="1">
      <c r="A4" s="80" t="s">
        <v>12</v>
      </c>
      <c r="B4" s="81" t="s">
        <v>13</v>
      </c>
      <c r="C4" s="81" t="s">
        <v>14</v>
      </c>
      <c r="D4" s="251" t="s">
        <v>15</v>
      </c>
      <c r="E4" s="252"/>
      <c r="F4" s="81" t="s">
        <v>16</v>
      </c>
      <c r="G4" s="81" t="s">
        <v>17</v>
      </c>
      <c r="H4" s="251" t="s">
        <v>18</v>
      </c>
      <c r="I4" s="252"/>
      <c r="J4" s="81" t="s">
        <v>19</v>
      </c>
      <c r="K4" s="81" t="s">
        <v>20</v>
      </c>
      <c r="L4" s="81" t="s">
        <v>21</v>
      </c>
      <c r="M4" s="81" t="s">
        <v>22</v>
      </c>
      <c r="N4" s="81" t="s">
        <v>23</v>
      </c>
      <c r="O4" s="81" t="s">
        <v>24</v>
      </c>
      <c r="P4" s="81" t="s">
        <v>25</v>
      </c>
      <c r="Q4" s="81" t="s">
        <v>26</v>
      </c>
      <c r="R4" s="82" t="s">
        <v>27</v>
      </c>
    </row>
    <row r="5" spans="1:18" s="2" customFormat="1" ht="12" customHeight="1">
      <c r="A5" s="25"/>
      <c r="B5" s="26"/>
      <c r="C5" s="26"/>
      <c r="D5" s="286"/>
      <c r="E5" s="287"/>
      <c r="F5" s="26"/>
      <c r="G5" s="26"/>
      <c r="H5" s="286"/>
      <c r="I5" s="287"/>
      <c r="J5" s="27"/>
      <c r="K5" s="27"/>
      <c r="L5" s="27"/>
      <c r="M5" s="29"/>
      <c r="N5" s="26"/>
      <c r="O5" s="26"/>
      <c r="P5" s="26"/>
      <c r="Q5" s="60"/>
      <c r="R5" s="30"/>
    </row>
    <row r="6" spans="1:18" s="2" customFormat="1" ht="12" customHeight="1">
      <c r="A6" s="25"/>
      <c r="B6" s="2">
        <f>B7+B8+B9</f>
        <v>0</v>
      </c>
      <c r="C6" s="2" t="s">
        <v>28</v>
      </c>
      <c r="D6" s="288"/>
      <c r="E6" s="289"/>
      <c r="H6" s="288"/>
      <c r="I6" s="289"/>
      <c r="J6" s="8"/>
      <c r="K6" s="8"/>
      <c r="L6" s="8"/>
      <c r="M6" s="5"/>
      <c r="Q6" s="7">
        <v>20</v>
      </c>
      <c r="R6" s="63">
        <f t="shared" ref="R6:R18" si="0">Q6*B6</f>
        <v>0</v>
      </c>
    </row>
    <row r="7" spans="1:18" s="2" customFormat="1" ht="12" customHeight="1">
      <c r="A7" s="25"/>
      <c r="B7" s="2">
        <v>0</v>
      </c>
      <c r="C7" s="2" t="s">
        <v>29</v>
      </c>
      <c r="E7"/>
      <c r="H7" s="288"/>
      <c r="I7" s="289"/>
      <c r="J7" s="8"/>
      <c r="K7" s="8"/>
      <c r="L7" s="8"/>
      <c r="M7" s="5"/>
      <c r="Q7" s="7">
        <v>45</v>
      </c>
      <c r="R7" s="63">
        <f t="shared" si="0"/>
        <v>0</v>
      </c>
    </row>
    <row r="8" spans="1:18" s="2" customFormat="1" ht="12" customHeight="1">
      <c r="A8" s="25"/>
      <c r="B8" s="2">
        <v>0</v>
      </c>
      <c r="C8" s="2" t="s">
        <v>30</v>
      </c>
      <c r="E8"/>
      <c r="H8" s="288"/>
      <c r="I8" s="289"/>
      <c r="J8" s="8"/>
      <c r="K8" s="8"/>
      <c r="L8" s="8"/>
      <c r="M8" s="5"/>
      <c r="Q8" s="7">
        <v>45</v>
      </c>
      <c r="R8" s="63">
        <f t="shared" si="0"/>
        <v>0</v>
      </c>
    </row>
    <row r="9" spans="1:18" s="2" customFormat="1" ht="12" customHeight="1">
      <c r="A9" s="25"/>
      <c r="B9" s="2">
        <v>0</v>
      </c>
      <c r="C9" s="2" t="s">
        <v>31</v>
      </c>
      <c r="E9"/>
      <c r="H9" s="288"/>
      <c r="I9" s="289"/>
      <c r="J9" s="8"/>
      <c r="K9" s="8"/>
      <c r="L9" s="8"/>
      <c r="M9" s="5"/>
      <c r="Q9" s="7">
        <v>50</v>
      </c>
      <c r="R9" s="63">
        <f t="shared" si="0"/>
        <v>0</v>
      </c>
    </row>
    <row r="10" spans="1:18" s="2" customFormat="1" ht="12" customHeight="1">
      <c r="A10" s="25"/>
      <c r="B10" s="2">
        <v>0</v>
      </c>
      <c r="C10" s="2" t="s">
        <v>32</v>
      </c>
      <c r="E10"/>
      <c r="H10" s="288"/>
      <c r="I10" s="289"/>
      <c r="J10" s="8"/>
      <c r="K10" s="8"/>
      <c r="L10" s="8"/>
      <c r="M10" s="5"/>
      <c r="Q10" s="7">
        <v>120</v>
      </c>
      <c r="R10" s="63">
        <f t="shared" si="0"/>
        <v>0</v>
      </c>
    </row>
    <row r="11" spans="1:18" s="2" customFormat="1" ht="12" customHeight="1">
      <c r="A11" s="25"/>
      <c r="B11" s="2">
        <v>0</v>
      </c>
      <c r="C11" s="2" t="s">
        <v>33</v>
      </c>
      <c r="E11"/>
      <c r="H11" s="288"/>
      <c r="I11" s="289"/>
      <c r="J11" s="8"/>
      <c r="K11" s="8"/>
      <c r="L11" s="8"/>
      <c r="M11" s="5"/>
      <c r="Q11" s="7">
        <v>120</v>
      </c>
      <c r="R11" s="63">
        <f t="shared" si="0"/>
        <v>0</v>
      </c>
    </row>
    <row r="12" spans="1:18" s="2" customFormat="1" ht="12" customHeight="1">
      <c r="A12" s="25"/>
      <c r="B12" s="2">
        <v>0</v>
      </c>
      <c r="C12" s="2" t="s">
        <v>34</v>
      </c>
      <c r="E12"/>
      <c r="H12" s="288"/>
      <c r="I12" s="289"/>
      <c r="J12" s="8"/>
      <c r="K12" s="8"/>
      <c r="L12" s="8"/>
      <c r="M12" s="5"/>
      <c r="Q12" s="7">
        <v>120</v>
      </c>
      <c r="R12" s="63">
        <f t="shared" si="0"/>
        <v>0</v>
      </c>
    </row>
    <row r="13" spans="1:18" s="2" customFormat="1" ht="12" customHeight="1">
      <c r="A13" s="25"/>
      <c r="B13" s="2">
        <v>0</v>
      </c>
      <c r="C13" s="2" t="s">
        <v>35</v>
      </c>
      <c r="E13"/>
      <c r="H13" s="288"/>
      <c r="I13" s="289"/>
      <c r="J13" s="8"/>
      <c r="K13" s="8"/>
      <c r="L13" s="8"/>
      <c r="M13" s="5"/>
      <c r="Q13" s="7">
        <v>120</v>
      </c>
      <c r="R13" s="63">
        <f t="shared" si="0"/>
        <v>0</v>
      </c>
    </row>
    <row r="14" spans="1:18" s="2" customFormat="1" ht="12" customHeight="1">
      <c r="A14" s="25"/>
      <c r="B14" s="2">
        <v>0</v>
      </c>
      <c r="C14" s="2" t="s">
        <v>36</v>
      </c>
      <c r="E14"/>
      <c r="H14" s="288"/>
      <c r="I14" s="289"/>
      <c r="J14" s="8"/>
      <c r="K14" s="8"/>
      <c r="L14" s="8"/>
      <c r="M14" s="5"/>
      <c r="Q14" s="7">
        <v>125</v>
      </c>
      <c r="R14" s="63">
        <f t="shared" si="0"/>
        <v>0</v>
      </c>
    </row>
    <row r="15" spans="1:18" s="2" customFormat="1" ht="12" customHeight="1">
      <c r="A15" s="25"/>
      <c r="B15" s="2">
        <v>0</v>
      </c>
      <c r="C15" s="2" t="s">
        <v>37</v>
      </c>
      <c r="E15"/>
      <c r="H15" s="288"/>
      <c r="I15" s="289"/>
      <c r="J15" s="8"/>
      <c r="K15" s="8"/>
      <c r="L15" s="8"/>
      <c r="M15" s="5"/>
      <c r="Q15" s="7">
        <v>120</v>
      </c>
      <c r="R15" s="63">
        <f t="shared" si="0"/>
        <v>0</v>
      </c>
    </row>
    <row r="16" spans="1:18" s="2" customFormat="1" ht="12" customHeight="1">
      <c r="A16" s="25"/>
      <c r="B16" s="2">
        <v>0</v>
      </c>
      <c r="C16" s="2" t="s">
        <v>38</v>
      </c>
      <c r="E16"/>
      <c r="H16" s="288"/>
      <c r="I16" s="289"/>
      <c r="J16" s="8"/>
      <c r="K16" s="8"/>
      <c r="L16" s="8"/>
      <c r="M16" s="5"/>
      <c r="Q16" s="7">
        <v>125</v>
      </c>
      <c r="R16" s="63">
        <f t="shared" si="0"/>
        <v>0</v>
      </c>
    </row>
    <row r="17" spans="1:18" s="2" customFormat="1" ht="12" customHeight="1">
      <c r="A17" s="25"/>
      <c r="B17" s="2">
        <v>0</v>
      </c>
      <c r="C17" s="2" t="s">
        <v>39</v>
      </c>
      <c r="E17"/>
      <c r="H17" s="288"/>
      <c r="I17" s="289"/>
      <c r="J17" s="8"/>
      <c r="K17" s="8"/>
      <c r="L17" s="8"/>
      <c r="M17" s="5"/>
      <c r="Q17" s="7">
        <v>50000</v>
      </c>
      <c r="R17" s="63">
        <f t="shared" si="0"/>
        <v>0</v>
      </c>
    </row>
    <row r="18" spans="1:18" s="2" customFormat="1" ht="12" customHeight="1">
      <c r="A18" s="25"/>
      <c r="B18" s="2">
        <v>0</v>
      </c>
      <c r="C18" s="2" t="s">
        <v>40</v>
      </c>
      <c r="E18"/>
      <c r="H18" s="288"/>
      <c r="I18" s="289"/>
      <c r="J18" s="8"/>
      <c r="K18" s="8"/>
      <c r="L18" s="8"/>
      <c r="M18" s="5"/>
      <c r="Q18" s="7">
        <f>SUM(Q20)*0.022</f>
        <v>11594.469413226252</v>
      </c>
      <c r="R18" s="63">
        <f t="shared" si="0"/>
        <v>0</v>
      </c>
    </row>
    <row r="19" spans="1:18" s="2" customFormat="1" ht="12" customHeight="1">
      <c r="A19" s="25"/>
      <c r="B19" s="26"/>
      <c r="C19" s="26"/>
      <c r="D19" s="286"/>
      <c r="E19" s="287"/>
      <c r="F19" s="26"/>
      <c r="G19" s="26"/>
      <c r="H19" s="286"/>
      <c r="I19" s="287"/>
      <c r="J19" s="27"/>
      <c r="K19" s="27"/>
      <c r="L19" s="27"/>
      <c r="M19" s="29"/>
      <c r="N19" s="26"/>
      <c r="O19" s="26"/>
      <c r="P19" s="26"/>
      <c r="Q19" s="60"/>
      <c r="R19" s="30"/>
    </row>
    <row r="20" spans="1:18" s="1" customFormat="1" ht="12" customHeight="1">
      <c r="A20" s="31"/>
      <c r="B20" s="1">
        <v>1</v>
      </c>
      <c r="C20" s="1" t="s">
        <v>41</v>
      </c>
      <c r="D20" s="253" t="e">
        <f ca="1">VLOOKUP(C20,Assemblies!E:S,2,0)</f>
        <v>#N/A</v>
      </c>
      <c r="E20" s="254"/>
      <c r="H20" s="290"/>
      <c r="I20" s="291"/>
      <c r="J20" s="137"/>
      <c r="K20" s="137"/>
      <c r="L20" s="137"/>
      <c r="M20" s="138"/>
      <c r="Q20" s="139">
        <f>'000'!Q13</f>
        <v>527021.33696482971</v>
      </c>
      <c r="R20" s="140">
        <f>Q20*B20</f>
        <v>527021.33696482971</v>
      </c>
    </row>
    <row r="21" spans="1:18" s="2" customFormat="1" ht="12" customHeight="1">
      <c r="A21" s="25"/>
      <c r="B21" s="32"/>
      <c r="C21" s="32"/>
      <c r="D21" s="292"/>
      <c r="E21" s="293"/>
      <c r="F21" s="26"/>
      <c r="G21" s="26"/>
      <c r="H21" s="286"/>
      <c r="I21" s="287"/>
      <c r="J21" s="27"/>
      <c r="K21" s="27"/>
      <c r="L21" s="27"/>
      <c r="M21" s="29"/>
      <c r="N21" s="26"/>
      <c r="O21" s="26"/>
      <c r="P21" s="26"/>
      <c r="Q21" s="60"/>
      <c r="R21" s="30"/>
    </row>
    <row r="22" spans="1:18" s="2" customFormat="1" ht="12" customHeight="1">
      <c r="A22" s="25"/>
      <c r="B22" s="2">
        <v>0</v>
      </c>
      <c r="C22" s="2" t="s">
        <v>42</v>
      </c>
      <c r="D22" s="288"/>
      <c r="E22" s="289"/>
      <c r="H22" s="288"/>
      <c r="I22" s="289"/>
      <c r="J22" s="8"/>
      <c r="K22" s="8"/>
      <c r="L22" s="8"/>
      <c r="M22" s="5"/>
      <c r="Q22" s="53">
        <v>0</v>
      </c>
      <c r="R22" s="63">
        <f>B22*Q22</f>
        <v>0</v>
      </c>
    </row>
    <row r="23" spans="1:18" s="2" customFormat="1" ht="12" customHeight="1">
      <c r="A23" s="25"/>
      <c r="B23" s="2">
        <v>0</v>
      </c>
      <c r="C23" s="2" t="s">
        <v>42</v>
      </c>
      <c r="D23" s="288"/>
      <c r="E23" s="289"/>
      <c r="H23" s="288"/>
      <c r="I23" s="289"/>
      <c r="J23" s="8"/>
      <c r="K23" s="8"/>
      <c r="L23" s="8"/>
      <c r="M23" s="5"/>
      <c r="Q23" s="53">
        <v>0</v>
      </c>
      <c r="R23" s="63">
        <f t="shared" ref="R23:R26" si="1">B23*Q23</f>
        <v>0</v>
      </c>
    </row>
    <row r="24" spans="1:18" s="2" customFormat="1" ht="12" customHeight="1">
      <c r="A24" s="25"/>
      <c r="B24" s="2">
        <v>0</v>
      </c>
      <c r="C24" s="2" t="s">
        <v>42</v>
      </c>
      <c r="D24" s="288"/>
      <c r="E24" s="289"/>
      <c r="H24" s="288"/>
      <c r="I24" s="289"/>
      <c r="J24" s="8"/>
      <c r="K24" s="8"/>
      <c r="L24" s="8"/>
      <c r="M24" s="5"/>
      <c r="Q24" s="53">
        <v>0</v>
      </c>
      <c r="R24" s="63">
        <f t="shared" si="1"/>
        <v>0</v>
      </c>
    </row>
    <row r="25" spans="1:18" s="2" customFormat="1" ht="12" customHeight="1">
      <c r="A25" s="25"/>
      <c r="B25" s="2">
        <v>0</v>
      </c>
      <c r="C25" s="2" t="s">
        <v>42</v>
      </c>
      <c r="D25" s="288"/>
      <c r="E25" s="289"/>
      <c r="H25" s="288"/>
      <c r="I25" s="289"/>
      <c r="J25" s="8"/>
      <c r="K25" s="8"/>
      <c r="L25" s="8"/>
      <c r="M25" s="5"/>
      <c r="Q25" s="53">
        <v>0</v>
      </c>
      <c r="R25" s="63">
        <f t="shared" si="1"/>
        <v>0</v>
      </c>
    </row>
    <row r="26" spans="1:18" s="2" customFormat="1" ht="12" customHeight="1">
      <c r="A26" s="25"/>
      <c r="B26" s="2">
        <v>0</v>
      </c>
      <c r="C26" s="2" t="s">
        <v>42</v>
      </c>
      <c r="D26" s="288"/>
      <c r="E26" s="289"/>
      <c r="H26" s="288"/>
      <c r="I26" s="289"/>
      <c r="J26" s="8"/>
      <c r="K26" s="8"/>
      <c r="L26" s="8"/>
      <c r="M26" s="5"/>
      <c r="Q26" s="53">
        <v>0</v>
      </c>
      <c r="R26" s="63">
        <f t="shared" si="1"/>
        <v>0</v>
      </c>
    </row>
    <row r="27" spans="1:18" s="2" customFormat="1" ht="12" customHeight="1">
      <c r="A27" s="25"/>
      <c r="B27" s="2">
        <v>0</v>
      </c>
      <c r="C27" s="2" t="s">
        <v>42</v>
      </c>
      <c r="D27" s="288"/>
      <c r="E27" s="289"/>
      <c r="H27" s="288"/>
      <c r="I27" s="289"/>
      <c r="J27" s="8"/>
      <c r="K27" s="8"/>
      <c r="L27" s="8"/>
      <c r="M27" s="5"/>
      <c r="Q27" s="53">
        <v>0</v>
      </c>
      <c r="R27" s="63">
        <f t="shared" ref="R27:R30" si="2">B27*Q27</f>
        <v>0</v>
      </c>
    </row>
    <row r="28" spans="1:18" s="2" customFormat="1" ht="12" customHeight="1">
      <c r="A28" s="25"/>
      <c r="B28" s="2">
        <v>0</v>
      </c>
      <c r="C28" s="2" t="s">
        <v>42</v>
      </c>
      <c r="D28" s="288"/>
      <c r="E28" s="289"/>
      <c r="H28" s="288"/>
      <c r="I28" s="289"/>
      <c r="J28" s="8"/>
      <c r="K28" s="8"/>
      <c r="L28" s="8"/>
      <c r="M28" s="5"/>
      <c r="Q28" s="53">
        <v>0</v>
      </c>
      <c r="R28" s="63">
        <f t="shared" si="2"/>
        <v>0</v>
      </c>
    </row>
    <row r="29" spans="1:18" s="2" customFormat="1" ht="12" customHeight="1">
      <c r="A29" s="25"/>
      <c r="B29" s="2">
        <v>0</v>
      </c>
      <c r="C29" s="2" t="s">
        <v>42</v>
      </c>
      <c r="D29" s="288"/>
      <c r="E29" s="289"/>
      <c r="H29" s="288"/>
      <c r="I29" s="289"/>
      <c r="J29" s="8"/>
      <c r="K29" s="8"/>
      <c r="L29" s="8"/>
      <c r="M29" s="5"/>
      <c r="Q29" s="53">
        <v>0</v>
      </c>
      <c r="R29" s="63">
        <f t="shared" si="2"/>
        <v>0</v>
      </c>
    </row>
    <row r="30" spans="1:18" s="2" customFormat="1" ht="12" customHeight="1" thickBot="1">
      <c r="A30" s="25"/>
      <c r="B30" s="2">
        <v>0</v>
      </c>
      <c r="C30" s="2" t="s">
        <v>42</v>
      </c>
      <c r="D30" s="288"/>
      <c r="E30" s="289"/>
      <c r="H30" s="288"/>
      <c r="I30" s="289"/>
      <c r="J30" s="8"/>
      <c r="K30" s="8"/>
      <c r="L30" s="8"/>
      <c r="M30" s="5"/>
      <c r="Q30" s="53">
        <v>0</v>
      </c>
      <c r="R30" s="63">
        <f t="shared" si="2"/>
        <v>0</v>
      </c>
    </row>
    <row r="31" spans="1:18" s="2" customFormat="1" ht="12" customHeight="1" thickBot="1">
      <c r="A31" s="34"/>
      <c r="B31" s="35"/>
      <c r="C31" s="35"/>
      <c r="D31" s="294"/>
      <c r="E31" s="295"/>
      <c r="F31" s="35"/>
      <c r="G31" s="35"/>
      <c r="H31" s="294"/>
      <c r="I31" s="295"/>
      <c r="J31" s="36"/>
      <c r="K31" s="36"/>
      <c r="L31" s="36"/>
      <c r="M31" s="38"/>
      <c r="N31" s="35"/>
      <c r="O31" s="35"/>
      <c r="P31" s="35"/>
      <c r="Q31" s="61" t="s">
        <v>43</v>
      </c>
      <c r="R31" s="62">
        <f>SUM(R5:R30)</f>
        <v>527021.33696482971</v>
      </c>
    </row>
    <row r="32" spans="1:18" s="2" customFormat="1" ht="12" customHeight="1">
      <c r="D32" s="288"/>
      <c r="E32" s="289"/>
      <c r="J32" s="8"/>
      <c r="K32" s="8"/>
      <c r="L32" s="8"/>
      <c r="M32" s="5"/>
      <c r="Q32" s="7"/>
      <c r="R32" s="7"/>
    </row>
    <row r="33" spans="4:18" s="2" customFormat="1" ht="12" customHeight="1">
      <c r="D33" s="288"/>
      <c r="E33" s="289"/>
      <c r="J33" s="8"/>
      <c r="K33" s="8"/>
      <c r="L33" s="8"/>
      <c r="M33" s="5"/>
      <c r="O33" s="24" t="s">
        <v>44</v>
      </c>
      <c r="P33" s="9" t="s">
        <v>45</v>
      </c>
      <c r="Q33" s="10" t="s">
        <v>46</v>
      </c>
      <c r="R33" s="11" t="s">
        <v>47</v>
      </c>
    </row>
    <row r="34" spans="4:18" s="2" customFormat="1" ht="12" customHeight="1">
      <c r="D34" s="288"/>
      <c r="E34" s="289"/>
      <c r="J34" s="8"/>
      <c r="K34" s="8"/>
      <c r="L34" s="8"/>
      <c r="M34" s="5"/>
      <c r="O34" s="12">
        <f>R31</f>
        <v>527021.33696482971</v>
      </c>
      <c r="P34" s="13">
        <v>0.5</v>
      </c>
      <c r="Q34" s="3">
        <f t="shared" ref="Q34:Q37" si="3">(O34/(1-P34))</f>
        <v>1054042.6739296594</v>
      </c>
      <c r="R34" s="12">
        <f t="shared" ref="R34:R37" si="4">Q34-O34</f>
        <v>527021.33696482971</v>
      </c>
    </row>
    <row r="35" spans="4:18" s="2" customFormat="1" ht="12" customHeight="1">
      <c r="D35" s="288"/>
      <c r="E35" s="289"/>
      <c r="J35" s="8"/>
      <c r="K35" s="8"/>
      <c r="L35" s="8"/>
      <c r="M35" s="5"/>
      <c r="O35" s="14">
        <f>R31</f>
        <v>527021.33696482971</v>
      </c>
      <c r="P35" s="15">
        <v>0.45</v>
      </c>
      <c r="Q35" s="6">
        <f t="shared" si="3"/>
        <v>958220.61266332667</v>
      </c>
      <c r="R35" s="14">
        <f t="shared" si="4"/>
        <v>431199.27569849696</v>
      </c>
    </row>
    <row r="36" spans="4:18" s="2" customFormat="1" ht="12" customHeight="1">
      <c r="D36" s="288"/>
      <c r="E36" s="289"/>
      <c r="J36" s="5"/>
      <c r="K36" s="5"/>
      <c r="L36" s="5"/>
      <c r="M36" s="5"/>
      <c r="O36" s="14">
        <f>R31</f>
        <v>527021.33696482971</v>
      </c>
      <c r="P36" s="15">
        <v>0.4</v>
      </c>
      <c r="Q36" s="14">
        <f t="shared" si="3"/>
        <v>878368.89494138293</v>
      </c>
      <c r="R36" s="14">
        <f t="shared" si="4"/>
        <v>351347.55797655322</v>
      </c>
    </row>
    <row r="37" spans="4:18" s="2" customFormat="1" ht="12" customHeight="1">
      <c r="D37" s="288"/>
      <c r="E37" s="289"/>
      <c r="J37" s="5"/>
      <c r="K37" s="5"/>
      <c r="L37" s="5"/>
      <c r="M37" s="5"/>
      <c r="O37" s="14">
        <f>R31</f>
        <v>527021.33696482971</v>
      </c>
      <c r="P37" s="15">
        <v>0.35</v>
      </c>
      <c r="Q37" s="14">
        <f t="shared" si="3"/>
        <v>810802.05686896876</v>
      </c>
      <c r="R37" s="14">
        <f t="shared" si="4"/>
        <v>283780.71990413906</v>
      </c>
    </row>
    <row r="38" spans="4:18" s="2" customFormat="1" ht="12" customHeight="1">
      <c r="D38" s="288"/>
      <c r="E38" s="289"/>
      <c r="J38" s="5"/>
      <c r="K38" s="5"/>
      <c r="L38" s="5"/>
      <c r="M38" s="5"/>
      <c r="O38" s="14">
        <f>R31</f>
        <v>527021.33696482971</v>
      </c>
      <c r="P38" s="15">
        <v>0.33339999999999997</v>
      </c>
      <c r="Q38" s="14">
        <f>(O38/(1-P38))</f>
        <v>790611.0665538999</v>
      </c>
      <c r="R38" s="14">
        <f>Q38-O38</f>
        <v>263589.72958907019</v>
      </c>
    </row>
    <row r="39" spans="4:18" s="2" customFormat="1" ht="12" customHeight="1">
      <c r="D39" s="288"/>
      <c r="E39" s="289"/>
      <c r="J39" s="5"/>
      <c r="K39" s="5"/>
      <c r="L39" s="5"/>
      <c r="M39" s="5"/>
      <c r="O39" s="14">
        <f>R31</f>
        <v>527021.33696482971</v>
      </c>
      <c r="P39" s="15">
        <v>0.3</v>
      </c>
      <c r="Q39" s="14">
        <f t="shared" ref="Q39:Q43" si="5">(O39/(1-P39))</f>
        <v>752887.62423547101</v>
      </c>
      <c r="R39" s="14">
        <f t="shared" ref="R39:R43" si="6">Q39-O39</f>
        <v>225866.2872706413</v>
      </c>
    </row>
    <row r="40" spans="4:18" s="2" customFormat="1" ht="12" customHeight="1">
      <c r="D40" s="288"/>
      <c r="E40" s="289"/>
      <c r="J40" s="5"/>
      <c r="K40" s="5"/>
      <c r="L40" s="5"/>
      <c r="M40" s="5"/>
      <c r="O40" s="14">
        <f>R31</f>
        <v>527021.33696482971</v>
      </c>
      <c r="P40" s="15">
        <v>0.25</v>
      </c>
      <c r="Q40" s="14">
        <f t="shared" si="5"/>
        <v>702695.11595310632</v>
      </c>
      <c r="R40" s="14">
        <f t="shared" si="6"/>
        <v>175673.77898827661</v>
      </c>
    </row>
    <row r="41" spans="4:18" s="2" customFormat="1" ht="12" customHeight="1">
      <c r="D41" s="288"/>
      <c r="E41" s="289"/>
      <c r="J41" s="5"/>
      <c r="K41" s="5"/>
      <c r="L41" s="5"/>
      <c r="M41" s="5"/>
      <c r="O41" s="14">
        <f>R31</f>
        <v>527021.33696482971</v>
      </c>
      <c r="P41" s="15">
        <v>0.2</v>
      </c>
      <c r="Q41" s="14">
        <f t="shared" si="5"/>
        <v>658776.67120603705</v>
      </c>
      <c r="R41" s="14">
        <f t="shared" si="6"/>
        <v>131755.33424120734</v>
      </c>
    </row>
    <row r="42" spans="4:18" s="2" customFormat="1" ht="12" customHeight="1">
      <c r="D42" s="288"/>
      <c r="E42" s="289"/>
      <c r="J42" s="5"/>
      <c r="K42" s="5"/>
      <c r="L42" s="5"/>
      <c r="M42" s="5"/>
      <c r="O42" s="14">
        <f>R31</f>
        <v>527021.33696482971</v>
      </c>
      <c r="P42" s="15">
        <v>0.15</v>
      </c>
      <c r="Q42" s="14">
        <f t="shared" si="5"/>
        <v>620025.10231156438</v>
      </c>
      <c r="R42" s="14">
        <f t="shared" si="6"/>
        <v>93003.765346734668</v>
      </c>
    </row>
    <row r="43" spans="4:18" s="2" customFormat="1" ht="12" customHeight="1">
      <c r="D43" s="288"/>
      <c r="E43" s="289"/>
      <c r="J43" s="5"/>
      <c r="K43" s="5"/>
      <c r="L43" s="5"/>
      <c r="M43" s="5"/>
      <c r="O43" s="16">
        <f>R31</f>
        <v>527021.33696482971</v>
      </c>
      <c r="P43" s="17">
        <v>0.1</v>
      </c>
      <c r="Q43" s="16">
        <f t="shared" si="5"/>
        <v>585579.26329425524</v>
      </c>
      <c r="R43" s="16">
        <f t="shared" si="6"/>
        <v>58557.926329425536</v>
      </c>
    </row>
    <row r="44" spans="4:18" s="2" customFormat="1" ht="12" customHeight="1">
      <c r="D44" s="288"/>
      <c r="E44" s="289"/>
      <c r="J44" s="5"/>
      <c r="K44" s="5"/>
      <c r="L44" s="5"/>
      <c r="M44" s="5"/>
      <c r="Q44" s="7"/>
      <c r="R44" s="7"/>
    </row>
    <row r="45" spans="4:18" s="2" customFormat="1">
      <c r="D45" s="288"/>
      <c r="E45" s="289"/>
      <c r="J45" s="5"/>
      <c r="K45" s="5"/>
      <c r="L45" s="5"/>
      <c r="M45" s="5"/>
      <c r="Q45" s="7"/>
      <c r="R45" s="7"/>
    </row>
    <row r="46" spans="4:18" s="2" customFormat="1">
      <c r="D46" s="288"/>
      <c r="E46" s="289"/>
      <c r="J46" s="5"/>
      <c r="K46" s="5"/>
      <c r="L46" s="5"/>
      <c r="M46" s="5"/>
      <c r="Q46" s="7"/>
      <c r="R46" s="7"/>
    </row>
    <row r="47" spans="4:18" s="2" customFormat="1">
      <c r="D47" s="288"/>
      <c r="E47" s="289"/>
      <c r="J47" s="5"/>
      <c r="K47" s="5"/>
      <c r="L47" s="5"/>
      <c r="M47" s="5"/>
      <c r="Q47" s="7"/>
      <c r="R47" s="7"/>
    </row>
    <row r="48" spans="4:18" s="2" customFormat="1">
      <c r="D48" s="288"/>
      <c r="E48" s="289"/>
      <c r="J48" s="5"/>
      <c r="K48" s="5"/>
      <c r="L48" s="5"/>
      <c r="M48" s="5"/>
      <c r="Q48" s="7"/>
      <c r="R48" s="7"/>
    </row>
    <row r="49" spans="4:18" s="2" customFormat="1">
      <c r="D49" s="288"/>
      <c r="E49" s="289"/>
      <c r="J49" s="5"/>
      <c r="K49" s="5"/>
      <c r="L49" s="5"/>
      <c r="M49" s="5"/>
      <c r="Q49" s="7"/>
      <c r="R49" s="7"/>
    </row>
    <row r="50" spans="4:18" s="2" customFormat="1">
      <c r="D50" s="288"/>
      <c r="E50" s="289"/>
      <c r="J50" s="5"/>
      <c r="K50" s="5"/>
      <c r="L50" s="5"/>
      <c r="M50" s="5"/>
      <c r="Q50" s="7"/>
      <c r="R50" s="7"/>
    </row>
    <row r="51" spans="4:18" s="2" customFormat="1">
      <c r="D51" s="288"/>
      <c r="E51" s="289"/>
      <c r="J51" s="5"/>
      <c r="K51" s="5"/>
      <c r="L51" s="5"/>
      <c r="M51" s="5"/>
      <c r="Q51" s="7"/>
      <c r="R51" s="7"/>
    </row>
    <row r="52" spans="4:18" s="2" customFormat="1">
      <c r="D52" s="288"/>
      <c r="E52" s="289"/>
      <c r="J52" s="5"/>
      <c r="K52" s="5"/>
      <c r="L52" s="5"/>
      <c r="M52" s="5"/>
      <c r="Q52" s="7"/>
      <c r="R52" s="7"/>
    </row>
    <row r="53" spans="4:18" s="2" customFormat="1">
      <c r="D53" s="288"/>
      <c r="E53" s="289"/>
      <c r="J53" s="5"/>
      <c r="K53" s="5"/>
      <c r="L53" s="5"/>
      <c r="M53" s="5"/>
      <c r="Q53" s="7"/>
      <c r="R53" s="7"/>
    </row>
    <row r="54" spans="4:18" s="2" customFormat="1">
      <c r="D54" s="288"/>
      <c r="E54" s="289"/>
      <c r="J54" s="5"/>
      <c r="K54" s="5"/>
      <c r="L54" s="5"/>
      <c r="M54" s="5"/>
      <c r="Q54" s="7"/>
      <c r="R54" s="7"/>
    </row>
    <row r="55" spans="4:18" s="2" customFormat="1" ht="12.75">
      <c r="J55" s="5"/>
      <c r="K55" s="5"/>
      <c r="L55" s="5"/>
      <c r="M55" s="5"/>
      <c r="Q55" s="7"/>
      <c r="R55" s="7"/>
    </row>
    <row r="56" spans="4:18" s="2" customFormat="1" ht="12.75">
      <c r="J56" s="5"/>
      <c r="K56" s="5"/>
      <c r="L56" s="5"/>
      <c r="M56" s="5"/>
      <c r="Q56" s="7"/>
      <c r="R56" s="7"/>
    </row>
    <row r="57" spans="4:18" s="2" customFormat="1" ht="12.75">
      <c r="J57" s="5"/>
      <c r="K57" s="5"/>
      <c r="L57" s="5"/>
      <c r="M57" s="5"/>
      <c r="Q57" s="7"/>
      <c r="R57" s="7"/>
    </row>
    <row r="58" spans="4:18" s="2" customFormat="1" ht="12.75">
      <c r="J58" s="5"/>
      <c r="K58" s="5"/>
      <c r="L58" s="5"/>
      <c r="M58" s="5"/>
      <c r="Q58" s="7"/>
      <c r="R58" s="7"/>
    </row>
    <row r="59" spans="4:18" s="2" customFormat="1" ht="12.75">
      <c r="J59" s="5"/>
      <c r="K59" s="5"/>
      <c r="L59" s="5"/>
      <c r="M59" s="5"/>
      <c r="Q59" s="7"/>
      <c r="R59" s="7"/>
    </row>
    <row r="60" spans="4:18" s="2" customFormat="1" ht="12.75">
      <c r="J60" s="5"/>
      <c r="K60" s="5"/>
      <c r="L60" s="5"/>
      <c r="M60" s="5"/>
      <c r="Q60" s="7"/>
      <c r="R60" s="7"/>
    </row>
    <row r="61" spans="4:18" s="2" customFormat="1" ht="12.75">
      <c r="J61" s="5"/>
      <c r="K61" s="5"/>
      <c r="L61" s="5"/>
      <c r="M61" s="5"/>
      <c r="Q61" s="7"/>
      <c r="R61" s="7"/>
    </row>
    <row r="62" spans="4:18" s="2" customFormat="1" ht="12.75">
      <c r="J62" s="5"/>
      <c r="K62" s="5"/>
      <c r="L62" s="5"/>
      <c r="M62" s="5"/>
      <c r="Q62" s="7"/>
      <c r="R62" s="7"/>
    </row>
    <row r="63" spans="4:18" s="2" customFormat="1" ht="12.75">
      <c r="J63" s="5"/>
      <c r="K63" s="5"/>
      <c r="L63" s="5"/>
      <c r="M63" s="5"/>
      <c r="Q63" s="7"/>
      <c r="R63" s="7"/>
    </row>
    <row r="64" spans="4:18" s="2" customFormat="1" ht="12.75">
      <c r="J64" s="5"/>
      <c r="K64" s="5"/>
      <c r="L64" s="5"/>
      <c r="M64" s="5"/>
      <c r="Q64" s="7"/>
      <c r="R64" s="7"/>
    </row>
    <row r="65" spans="10:18" s="2" customFormat="1" ht="12.75">
      <c r="J65" s="5"/>
      <c r="K65" s="5"/>
      <c r="L65" s="5"/>
      <c r="M65" s="5"/>
      <c r="Q65" s="7"/>
      <c r="R65" s="7"/>
    </row>
    <row r="66" spans="10:18" s="2" customFormat="1" ht="12.75">
      <c r="J66" s="5"/>
      <c r="K66" s="5"/>
      <c r="L66" s="5"/>
      <c r="M66" s="5"/>
      <c r="Q66" s="7"/>
      <c r="R66" s="7"/>
    </row>
    <row r="67" spans="10:18" s="2" customFormat="1" ht="12.75">
      <c r="J67" s="5"/>
      <c r="K67" s="5"/>
      <c r="L67" s="5"/>
      <c r="M67" s="5"/>
      <c r="Q67" s="7"/>
      <c r="R67" s="7"/>
    </row>
    <row r="68" spans="10:18" s="2" customFormat="1" ht="12.75">
      <c r="J68" s="5"/>
      <c r="K68" s="5"/>
      <c r="L68" s="5"/>
      <c r="M68" s="5"/>
      <c r="Q68" s="7"/>
      <c r="R68" s="7"/>
    </row>
    <row r="69" spans="10:18" s="2" customFormat="1" ht="12.75">
      <c r="J69" s="5"/>
      <c r="K69" s="5"/>
      <c r="L69" s="5"/>
      <c r="M69" s="5"/>
      <c r="Q69" s="7"/>
      <c r="R69" s="7"/>
    </row>
    <row r="70" spans="10:18" s="2" customFormat="1" ht="12.75">
      <c r="J70" s="5"/>
      <c r="K70" s="5"/>
      <c r="L70" s="5"/>
      <c r="M70" s="5"/>
      <c r="Q70" s="7"/>
      <c r="R70" s="7"/>
    </row>
    <row r="71" spans="10:18" s="2" customFormat="1" ht="12.75">
      <c r="J71" s="5"/>
      <c r="K71" s="5"/>
      <c r="L71" s="5"/>
      <c r="M71" s="5"/>
      <c r="Q71" s="7"/>
      <c r="R71" s="7"/>
    </row>
    <row r="72" spans="10:18" s="2" customFormat="1" ht="12.75">
      <c r="J72" s="5"/>
      <c r="K72" s="5"/>
      <c r="L72" s="5"/>
      <c r="M72" s="5"/>
      <c r="Q72" s="7"/>
      <c r="R72" s="7"/>
    </row>
    <row r="73" spans="10:18" s="2" customFormat="1" ht="12.75">
      <c r="J73" s="5"/>
      <c r="K73" s="5"/>
      <c r="L73" s="5"/>
      <c r="M73" s="5"/>
      <c r="Q73" s="7"/>
      <c r="R73" s="7"/>
    </row>
    <row r="74" spans="10:18" s="2" customFormat="1" ht="12.75">
      <c r="J74" s="5"/>
      <c r="K74" s="5"/>
      <c r="L74" s="5"/>
      <c r="M74" s="5"/>
      <c r="Q74" s="7"/>
      <c r="R74" s="7"/>
    </row>
    <row r="75" spans="10:18" s="2" customFormat="1" ht="12.75">
      <c r="J75" s="5"/>
      <c r="K75" s="5"/>
      <c r="L75" s="5"/>
      <c r="M75" s="5"/>
      <c r="Q75" s="7"/>
      <c r="R75" s="7"/>
    </row>
    <row r="76" spans="10:18" s="2" customFormat="1" ht="12.75">
      <c r="J76" s="5"/>
      <c r="K76" s="5"/>
      <c r="L76" s="5"/>
      <c r="M76" s="5"/>
      <c r="Q76" s="7"/>
      <c r="R76" s="7"/>
    </row>
    <row r="77" spans="10:18" s="2" customFormat="1" ht="12.75">
      <c r="J77" s="5"/>
      <c r="K77" s="5"/>
      <c r="L77" s="5"/>
      <c r="M77" s="5"/>
      <c r="Q77" s="7"/>
      <c r="R77" s="7"/>
    </row>
    <row r="78" spans="10:18" s="2" customFormat="1" ht="12.75">
      <c r="J78" s="5"/>
      <c r="K78" s="5"/>
      <c r="L78" s="5"/>
      <c r="M78" s="5"/>
      <c r="Q78" s="7"/>
      <c r="R78" s="7"/>
    </row>
    <row r="79" spans="10:18" s="2" customFormat="1" ht="12.75">
      <c r="J79" s="5"/>
      <c r="K79" s="5"/>
      <c r="L79" s="5"/>
      <c r="M79" s="5"/>
      <c r="Q79" s="7"/>
      <c r="R79" s="7"/>
    </row>
    <row r="80" spans="10:18" s="2" customFormat="1" ht="12.75">
      <c r="J80" s="5"/>
      <c r="K80" s="5"/>
      <c r="L80" s="5"/>
      <c r="M80" s="5"/>
      <c r="Q80" s="7"/>
      <c r="R80" s="7"/>
    </row>
    <row r="81" spans="10:18" s="2" customFormat="1" ht="12.75">
      <c r="J81" s="5"/>
      <c r="K81" s="5"/>
      <c r="L81" s="5"/>
      <c r="M81" s="5"/>
      <c r="Q81" s="7"/>
      <c r="R81" s="7"/>
    </row>
    <row r="82" spans="10:18" s="2" customFormat="1">
      <c r="J82" s="5"/>
      <c r="K82" s="5"/>
      <c r="L82" s="5"/>
      <c r="M82" s="5"/>
      <c r="Q82" s="7"/>
      <c r="R82" s="18"/>
    </row>
    <row r="83" spans="10:18" s="2" customFormat="1">
      <c r="J83" s="5"/>
      <c r="K83" s="5"/>
      <c r="L83" s="5"/>
      <c r="M83" s="5"/>
      <c r="Q83" s="7"/>
      <c r="R83" s="18"/>
    </row>
    <row r="84" spans="10:18" s="2" customFormat="1">
      <c r="J84" s="5"/>
      <c r="K84" s="5"/>
      <c r="L84" s="5"/>
      <c r="M84" s="5"/>
      <c r="Q84" s="7"/>
      <c r="R84" s="18"/>
    </row>
    <row r="85" spans="10:18" s="2" customFormat="1">
      <c r="J85" s="5"/>
      <c r="K85" s="5"/>
      <c r="L85" s="5"/>
      <c r="M85" s="5"/>
      <c r="Q85" s="7"/>
      <c r="R85" s="18"/>
    </row>
    <row r="86" spans="10:18">
      <c r="Q86" s="18"/>
      <c r="R86" s="18"/>
    </row>
    <row r="87" spans="10:18">
      <c r="Q87" s="18"/>
      <c r="R87" s="18"/>
    </row>
    <row r="88" spans="10:18">
      <c r="Q88" s="18"/>
      <c r="R88" s="18"/>
    </row>
    <row r="89" spans="10:18">
      <c r="Q89" s="18"/>
      <c r="R89" s="18"/>
    </row>
    <row r="90" spans="10:18">
      <c r="Q90" s="18"/>
      <c r="R90" s="18"/>
    </row>
    <row r="91" spans="10:18">
      <c r="Q91" s="18"/>
      <c r="R91" s="18"/>
    </row>
    <row r="92" spans="10:18">
      <c r="Q92" s="18"/>
      <c r="R92" s="18"/>
    </row>
    <row r="93" spans="10:18">
      <c r="Q93" s="18"/>
      <c r="R93" s="18"/>
    </row>
    <row r="94" spans="10:18">
      <c r="Q94" s="18"/>
      <c r="R94" s="18"/>
    </row>
    <row r="95" spans="10:18">
      <c r="Q95" s="18"/>
      <c r="R95" s="18"/>
    </row>
    <row r="96" spans="10:18">
      <c r="Q96" s="18"/>
      <c r="R96" s="18"/>
    </row>
    <row r="97" spans="17:18">
      <c r="Q97" s="18"/>
      <c r="R97" s="18"/>
    </row>
    <row r="98" spans="17:18">
      <c r="Q98" s="18"/>
      <c r="R98" s="18"/>
    </row>
    <row r="99" spans="17:18">
      <c r="Q99" s="18"/>
      <c r="R99" s="18"/>
    </row>
    <row r="100" spans="17:18">
      <c r="Q100" s="18"/>
      <c r="R100" s="18"/>
    </row>
    <row r="101" spans="17:18">
      <c r="Q101" s="18"/>
      <c r="R101" s="18"/>
    </row>
    <row r="102" spans="17:18">
      <c r="Q102" s="18"/>
      <c r="R102" s="18"/>
    </row>
    <row r="103" spans="17:18">
      <c r="Q103" s="18"/>
      <c r="R103" s="18"/>
    </row>
    <row r="104" spans="17:18">
      <c r="Q104" s="18"/>
      <c r="R104" s="18"/>
    </row>
    <row r="105" spans="17:18">
      <c r="Q105" s="18"/>
      <c r="R105" s="18"/>
    </row>
    <row r="106" spans="17:18">
      <c r="Q106" s="18"/>
      <c r="R106" s="18"/>
    </row>
    <row r="107" spans="17:18">
      <c r="Q107" s="18"/>
      <c r="R107" s="18"/>
    </row>
    <row r="108" spans="17:18">
      <c r="Q108" s="18"/>
      <c r="R108" s="18"/>
    </row>
    <row r="109" spans="17:18">
      <c r="Q109" s="18"/>
      <c r="R109" s="18"/>
    </row>
    <row r="110" spans="17:18">
      <c r="Q110" s="18"/>
      <c r="R110" s="18"/>
    </row>
    <row r="111" spans="17:18">
      <c r="Q111" s="18"/>
    </row>
    <row r="112" spans="17:18">
      <c r="Q112" s="18"/>
    </row>
    <row r="113" spans="17:17">
      <c r="Q113" s="18"/>
    </row>
    <row r="114" spans="17:17">
      <c r="Q114" s="18"/>
    </row>
  </sheetData>
  <sheetProtection selectLockedCells="1"/>
  <mergeCells count="68">
    <mergeCell ref="H18:I18"/>
    <mergeCell ref="H7:I7"/>
    <mergeCell ref="H8:I8"/>
    <mergeCell ref="H9:I9"/>
    <mergeCell ref="H17:I17"/>
    <mergeCell ref="H10:I10"/>
    <mergeCell ref="H11:I11"/>
    <mergeCell ref="D53:E53"/>
    <mergeCell ref="D54:E54"/>
    <mergeCell ref="D48:E48"/>
    <mergeCell ref="D49:E49"/>
    <mergeCell ref="D50:E50"/>
    <mergeCell ref="D51:E51"/>
    <mergeCell ref="D52:E52"/>
    <mergeCell ref="D43:E43"/>
    <mergeCell ref="D44:E44"/>
    <mergeCell ref="D45:E45"/>
    <mergeCell ref="D46:E46"/>
    <mergeCell ref="D47:E47"/>
    <mergeCell ref="D38:E38"/>
    <mergeCell ref="D39:E39"/>
    <mergeCell ref="D40:E40"/>
    <mergeCell ref="D41:E41"/>
    <mergeCell ref="D42:E42"/>
    <mergeCell ref="D33:E33"/>
    <mergeCell ref="D34:E34"/>
    <mergeCell ref="D35:E35"/>
    <mergeCell ref="D36:E36"/>
    <mergeCell ref="D37:E37"/>
    <mergeCell ref="D28:E28"/>
    <mergeCell ref="D29:E29"/>
    <mergeCell ref="D30:E30"/>
    <mergeCell ref="D31:E31"/>
    <mergeCell ref="D32:E32"/>
    <mergeCell ref="D23:E23"/>
    <mergeCell ref="D24:E24"/>
    <mergeCell ref="D25:E25"/>
    <mergeCell ref="D26:E26"/>
    <mergeCell ref="D27:E27"/>
    <mergeCell ref="D19:E19"/>
    <mergeCell ref="D20:E20"/>
    <mergeCell ref="D21:E21"/>
    <mergeCell ref="D22:E22"/>
    <mergeCell ref="D1:E1"/>
    <mergeCell ref="D5:E5"/>
    <mergeCell ref="D6:E6"/>
    <mergeCell ref="D4:E4"/>
    <mergeCell ref="H27:I27"/>
    <mergeCell ref="H28:I28"/>
    <mergeCell ref="H29:I29"/>
    <mergeCell ref="H30:I30"/>
    <mergeCell ref="H31:I31"/>
    <mergeCell ref="H26:I26"/>
    <mergeCell ref="H19:I19"/>
    <mergeCell ref="H20:I20"/>
    <mergeCell ref="H4:I4"/>
    <mergeCell ref="H5:I5"/>
    <mergeCell ref="H6:I6"/>
    <mergeCell ref="H12:I12"/>
    <mergeCell ref="H13:I13"/>
    <mergeCell ref="H14:I14"/>
    <mergeCell ref="H21:I21"/>
    <mergeCell ref="H22:I22"/>
    <mergeCell ref="H23:I23"/>
    <mergeCell ref="H24:I24"/>
    <mergeCell ref="H25:I25"/>
    <mergeCell ref="H15:I15"/>
    <mergeCell ref="H16:I16"/>
  </mergeCells>
  <pageMargins left="0.7" right="0.7" top="0.75" bottom="0.75" header="0.3" footer="0.3"/>
  <pageSetup paperSize="3" fitToHeight="0" orientation="landscape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C467EF24-C3F8-413E-9627-4E3E1EFF7BB2}">
          <x14:formula1>
            <xm:f>Assemblies!$E:$E</xm:f>
          </x14:formula1>
          <xm:sqref>C20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50"/>
    <pageSetUpPr fitToPage="1"/>
  </sheetPr>
  <dimension ref="A1:Q166"/>
  <sheetViews>
    <sheetView zoomScaleNormal="100" workbookViewId="0">
      <selection activeCell="L25" sqref="L25"/>
    </sheetView>
  </sheetViews>
  <sheetFormatPr defaultColWidth="9.140625" defaultRowHeight="15"/>
  <cols>
    <col min="1" max="2" width="5.7109375" customWidth="1"/>
    <col min="3" max="3" width="30.7109375" customWidth="1"/>
    <col min="4" max="5" width="20.7109375" style="23" customWidth="1"/>
    <col min="6" max="6" width="11" bestFit="1" customWidth="1"/>
    <col min="7" max="7" width="9.7109375" customWidth="1"/>
    <col min="8" max="8" width="8.7109375" customWidth="1"/>
    <col min="9" max="9" width="20.7109375" customWidth="1"/>
    <col min="10" max="13" width="11.7109375" style="19" customWidth="1"/>
    <col min="14" max="15" width="7.7109375" style="19" customWidth="1"/>
    <col min="16" max="16" width="11.85546875" style="90" bestFit="1" customWidth="1"/>
    <col min="17" max="17" width="10.7109375" style="97" customWidth="1"/>
  </cols>
  <sheetData>
    <row r="1" spans="1:17" s="55" customFormat="1" ht="15" customHeight="1">
      <c r="A1" s="68" t="s">
        <v>0</v>
      </c>
      <c r="B1" s="69"/>
      <c r="C1" s="69"/>
      <c r="D1" s="262" t="s">
        <v>1</v>
      </c>
      <c r="E1" s="263"/>
      <c r="F1" s="70"/>
      <c r="G1" s="69"/>
      <c r="H1" s="70"/>
      <c r="I1" s="71"/>
      <c r="J1" s="72"/>
      <c r="K1" s="72"/>
      <c r="L1" s="72"/>
      <c r="M1" s="72"/>
      <c r="N1" s="72"/>
      <c r="O1" s="72"/>
      <c r="P1" s="85"/>
      <c r="Q1" s="91"/>
    </row>
    <row r="2" spans="1:17" s="55" customFormat="1" ht="15" customHeight="1">
      <c r="A2" s="74" t="s">
        <v>48</v>
      </c>
      <c r="B2" s="58"/>
      <c r="C2" s="57" t="e">
        <f ca="1">'GF12'!C2</f>
        <v>#VALUE!</v>
      </c>
      <c r="D2" s="75" t="s">
        <v>3</v>
      </c>
      <c r="E2" s="76" t="e">
        <f ca="1">'GF12'!E2</f>
        <v>#VALUE!</v>
      </c>
      <c r="F2" s="77" t="s">
        <v>4</v>
      </c>
      <c r="G2" s="58" t="str">
        <f>'GF12'!G2</f>
        <v>GH</v>
      </c>
      <c r="H2" s="77" t="s">
        <v>6</v>
      </c>
      <c r="I2" s="59">
        <f>'GF12'!I2</f>
        <v>44775</v>
      </c>
      <c r="J2" s="39"/>
      <c r="K2" s="40" t="s">
        <v>49</v>
      </c>
      <c r="L2" s="41">
        <f>'GF12'!B20</f>
        <v>1</v>
      </c>
      <c r="M2" s="78"/>
      <c r="N2" s="78"/>
      <c r="O2" s="78"/>
      <c r="P2" s="86"/>
      <c r="Q2" s="92"/>
    </row>
    <row r="3" spans="1:17" s="55" customFormat="1" ht="15" customHeight="1" thickBot="1">
      <c r="A3" s="74" t="s">
        <v>7</v>
      </c>
      <c r="B3" s="58"/>
      <c r="C3" s="57" t="str">
        <f>'GF12'!C3</f>
        <v>2-UP BAG MACHINE</v>
      </c>
      <c r="D3" s="75" t="s">
        <v>50</v>
      </c>
      <c r="E3" s="76" t="e">
        <f ca="1">MID(CELL("filename",A1),FIND("]",CELL("filename",A1))+1,256)</f>
        <v>#VALUE!</v>
      </c>
      <c r="F3" s="77" t="s">
        <v>11</v>
      </c>
      <c r="G3" s="58" t="str">
        <f>'GF12'!G3</f>
        <v>GH</v>
      </c>
      <c r="H3" s="77" t="s">
        <v>6</v>
      </c>
      <c r="I3" s="59">
        <f>'GF12'!I3</f>
        <v>44775</v>
      </c>
      <c r="J3" s="78"/>
      <c r="K3" s="78"/>
      <c r="L3" s="78"/>
      <c r="M3" s="78"/>
      <c r="N3" s="78"/>
      <c r="O3" s="78"/>
      <c r="P3" s="86"/>
      <c r="Q3" s="92"/>
    </row>
    <row r="4" spans="1:17" s="56" customFormat="1" ht="15" customHeight="1" thickBot="1">
      <c r="A4" s="80" t="s">
        <v>12</v>
      </c>
      <c r="B4" s="81" t="s">
        <v>13</v>
      </c>
      <c r="C4" s="81" t="s">
        <v>14</v>
      </c>
      <c r="D4" s="266" t="s">
        <v>15</v>
      </c>
      <c r="E4" s="267"/>
      <c r="F4" s="104" t="s">
        <v>16</v>
      </c>
      <c r="G4" s="81" t="s">
        <v>17</v>
      </c>
      <c r="H4" s="260" t="s">
        <v>18</v>
      </c>
      <c r="I4" s="261"/>
      <c r="J4" s="81" t="s">
        <v>51</v>
      </c>
      <c r="K4" s="81" t="s">
        <v>20</v>
      </c>
      <c r="L4" s="81" t="s">
        <v>21</v>
      </c>
      <c r="M4" s="81" t="s">
        <v>52</v>
      </c>
      <c r="N4" s="81" t="s">
        <v>22</v>
      </c>
      <c r="O4" s="81" t="s">
        <v>53</v>
      </c>
      <c r="P4" s="105" t="s">
        <v>26</v>
      </c>
      <c r="Q4" s="106" t="s">
        <v>27</v>
      </c>
    </row>
    <row r="5" spans="1:17" s="1" customFormat="1" ht="12.75" customHeight="1">
      <c r="A5" s="98" t="s">
        <v>54</v>
      </c>
      <c r="B5" s="1">
        <v>1</v>
      </c>
      <c r="C5" s="67" t="s">
        <v>55</v>
      </c>
      <c r="D5" s="264" t="e">
        <f ca="1">VLOOKUP(C5,Assemblies!E:S,2,0)</f>
        <v>#N/A</v>
      </c>
      <c r="E5" s="265"/>
      <c r="F5" s="99"/>
      <c r="G5" s="99"/>
      <c r="H5" s="296"/>
      <c r="I5" s="297"/>
      <c r="J5" s="100"/>
      <c r="K5" s="100"/>
      <c r="L5" s="100"/>
      <c r="M5" s="100"/>
      <c r="N5" s="101"/>
      <c r="O5" s="102">
        <f>B5*$L$2</f>
        <v>1</v>
      </c>
      <c r="P5" s="103">
        <f>'100'!Q14</f>
        <v>97785.917589630364</v>
      </c>
      <c r="Q5" s="93">
        <f>IFERROR(B5*P5,"")</f>
        <v>97785.917589630364</v>
      </c>
    </row>
    <row r="6" spans="1:17" s="1" customFormat="1" ht="12.75" customHeight="1">
      <c r="A6" s="66" t="s">
        <v>56</v>
      </c>
      <c r="B6" s="1">
        <v>1</v>
      </c>
      <c r="C6" s="67" t="s">
        <v>57</v>
      </c>
      <c r="D6" s="258" t="e">
        <f ca="1">VLOOKUP(C6,Assemblies!E:S,2,0)</f>
        <v>#N/A</v>
      </c>
      <c r="E6" s="259"/>
      <c r="F6" s="32"/>
      <c r="G6" s="32"/>
      <c r="H6" s="292"/>
      <c r="I6" s="293"/>
      <c r="J6" s="28"/>
      <c r="K6" s="28"/>
      <c r="L6" s="28"/>
      <c r="M6" s="28"/>
      <c r="N6" s="33"/>
      <c r="O6" s="46">
        <f t="shared" ref="O6:O8" si="0">B6*$L$2</f>
        <v>1</v>
      </c>
      <c r="P6" s="87">
        <f>'200'!Q16</f>
        <v>134135.36963622094</v>
      </c>
      <c r="Q6" s="93">
        <f t="shared" ref="Q6:Q8" si="1">IFERROR(B6*P6,"")</f>
        <v>134135.36963622094</v>
      </c>
    </row>
    <row r="7" spans="1:17" s="1" customFormat="1" ht="12.75" customHeight="1">
      <c r="A7" s="66" t="s">
        <v>58</v>
      </c>
      <c r="B7" s="1">
        <v>1</v>
      </c>
      <c r="C7" s="67" t="s">
        <v>59</v>
      </c>
      <c r="D7" s="258" t="e">
        <f ca="1">VLOOKUP(C7,Assemblies!E:S,2,0)</f>
        <v>#N/A</v>
      </c>
      <c r="E7" s="259"/>
      <c r="F7" s="32"/>
      <c r="G7" s="32"/>
      <c r="H7" s="292"/>
      <c r="I7" s="293"/>
      <c r="J7" s="28"/>
      <c r="K7" s="28"/>
      <c r="L7" s="28"/>
      <c r="M7" s="28"/>
      <c r="N7" s="33"/>
      <c r="O7" s="46">
        <f t="shared" si="0"/>
        <v>1</v>
      </c>
      <c r="P7" s="87">
        <f>'300'!Q11</f>
        <v>86931.325620998658</v>
      </c>
      <c r="Q7" s="93">
        <f t="shared" si="1"/>
        <v>86931.325620998658</v>
      </c>
    </row>
    <row r="8" spans="1:17" s="1" customFormat="1" ht="12.75" customHeight="1">
      <c r="A8" s="66" t="s">
        <v>60</v>
      </c>
      <c r="B8" s="1">
        <v>1</v>
      </c>
      <c r="C8" s="67" t="s">
        <v>61</v>
      </c>
      <c r="D8" s="258" t="e">
        <f ca="1">VLOOKUP(C8,Assemblies!E:S,2,0)</f>
        <v>#N/A</v>
      </c>
      <c r="E8" s="259"/>
      <c r="F8" s="32"/>
      <c r="G8" s="32"/>
      <c r="H8" s="292"/>
      <c r="I8" s="293"/>
      <c r="J8" s="28"/>
      <c r="K8" s="28"/>
      <c r="L8" s="28"/>
      <c r="M8" s="28"/>
      <c r="N8" s="33"/>
      <c r="O8" s="46">
        <f t="shared" si="0"/>
        <v>1</v>
      </c>
      <c r="P8" s="87">
        <f>'400'!Q18</f>
        <v>77254.519873903992</v>
      </c>
      <c r="Q8" s="93">
        <f t="shared" si="1"/>
        <v>77254.519873903992</v>
      </c>
    </row>
    <row r="9" spans="1:17" s="1" customFormat="1" ht="12.75" customHeight="1">
      <c r="A9" s="66" t="s">
        <v>62</v>
      </c>
      <c r="B9" s="1">
        <v>1</v>
      </c>
      <c r="C9" s="67" t="s">
        <v>63</v>
      </c>
      <c r="D9" s="258" t="e">
        <f ca="1">VLOOKUP(C9,Assemblies!E:S,2,0)</f>
        <v>#N/A</v>
      </c>
      <c r="E9" s="259"/>
      <c r="F9" s="32"/>
      <c r="G9" s="32"/>
      <c r="H9" s="292"/>
      <c r="I9" s="293"/>
      <c r="J9" s="28"/>
      <c r="K9" s="28"/>
      <c r="L9" s="28"/>
      <c r="M9" s="28"/>
      <c r="N9" s="33"/>
      <c r="O9" s="46">
        <f t="shared" ref="O9:O12" si="2">B9*$L$2</f>
        <v>1</v>
      </c>
      <c r="P9" s="87">
        <f>'500'!Q10</f>
        <v>29881.232482108331</v>
      </c>
      <c r="Q9" s="93">
        <f t="shared" ref="Q9:Q12" si="3">IFERROR(B9*P9,"")</f>
        <v>29881.232482108331</v>
      </c>
    </row>
    <row r="10" spans="1:17" s="1" customFormat="1" ht="12.75" customHeight="1">
      <c r="A10" s="66" t="s">
        <v>64</v>
      </c>
      <c r="B10" s="1">
        <v>1</v>
      </c>
      <c r="C10" s="67" t="s">
        <v>65</v>
      </c>
      <c r="D10" s="258" t="e">
        <f ca="1">VLOOKUP(C10,Assemblies!E:S,2,0)</f>
        <v>#N/A</v>
      </c>
      <c r="E10" s="259"/>
      <c r="F10" s="32"/>
      <c r="G10" s="32"/>
      <c r="H10" s="292"/>
      <c r="I10" s="293"/>
      <c r="J10" s="28"/>
      <c r="K10" s="28"/>
      <c r="L10" s="28"/>
      <c r="M10" s="28"/>
      <c r="N10" s="33"/>
      <c r="O10" s="46">
        <f t="shared" si="2"/>
        <v>1</v>
      </c>
      <c r="P10" s="87">
        <f>'600'!Q13</f>
        <v>77594.396129600675</v>
      </c>
      <c r="Q10" s="93">
        <f t="shared" si="3"/>
        <v>77594.396129600675</v>
      </c>
    </row>
    <row r="11" spans="1:17" s="1" customFormat="1" ht="12.75" customHeight="1">
      <c r="A11" s="66" t="s">
        <v>66</v>
      </c>
      <c r="B11" s="1">
        <v>1</v>
      </c>
      <c r="C11" s="67" t="s">
        <v>67</v>
      </c>
      <c r="D11" s="258" t="e">
        <f ca="1">VLOOKUP(C11,Assemblies!E:S,2,0)</f>
        <v>#N/A</v>
      </c>
      <c r="E11" s="259"/>
      <c r="F11" s="32"/>
      <c r="G11" s="32"/>
      <c r="H11" s="292"/>
      <c r="I11" s="293"/>
      <c r="J11" s="28"/>
      <c r="K11" s="28"/>
      <c r="L11" s="28"/>
      <c r="M11" s="28"/>
      <c r="N11" s="33"/>
      <c r="O11" s="46">
        <f t="shared" si="2"/>
        <v>1</v>
      </c>
      <c r="P11" s="87">
        <f>'700'!Q10</f>
        <v>11050.8484993</v>
      </c>
      <c r="Q11" s="93">
        <f t="shared" si="3"/>
        <v>11050.8484993</v>
      </c>
    </row>
    <row r="12" spans="1:17" s="1" customFormat="1" ht="12.75" customHeight="1" thickBot="1">
      <c r="A12" s="66" t="s">
        <v>68</v>
      </c>
      <c r="B12" s="1">
        <v>1</v>
      </c>
      <c r="C12" s="67" t="s">
        <v>69</v>
      </c>
      <c r="D12" s="258" t="e">
        <f ca="1">VLOOKUP(C12,Assemblies!E:S,2,0)</f>
        <v>#N/A</v>
      </c>
      <c r="E12" s="259"/>
      <c r="F12" s="32"/>
      <c r="G12" s="32"/>
      <c r="H12" s="292"/>
      <c r="I12" s="293"/>
      <c r="J12" s="28"/>
      <c r="K12" s="28"/>
      <c r="L12" s="28"/>
      <c r="M12" s="28"/>
      <c r="N12" s="33"/>
      <c r="O12" s="46">
        <f t="shared" si="2"/>
        <v>1</v>
      </c>
      <c r="P12" s="87">
        <f>'800'!Q8</f>
        <v>12387.727133066668</v>
      </c>
      <c r="Q12" s="93">
        <f t="shared" si="3"/>
        <v>12387.727133066668</v>
      </c>
    </row>
    <row r="13" spans="1:17" s="2" customFormat="1" ht="12.75" customHeight="1" thickBot="1">
      <c r="A13" s="34"/>
      <c r="B13" s="35"/>
      <c r="C13" s="35"/>
      <c r="D13" s="256"/>
      <c r="E13" s="257"/>
      <c r="F13" s="35"/>
      <c r="G13" s="35"/>
      <c r="H13" s="294"/>
      <c r="I13" s="295"/>
      <c r="J13" s="36"/>
      <c r="K13" s="36"/>
      <c r="L13" s="36"/>
      <c r="M13" s="37"/>
      <c r="N13" s="38"/>
      <c r="O13" s="38"/>
      <c r="P13" s="89" t="s">
        <v>43</v>
      </c>
      <c r="Q13" s="94">
        <f>SUM(Q5:Q12)</f>
        <v>527021.33696482971</v>
      </c>
    </row>
    <row r="14" spans="1:17" s="2" customFormat="1" ht="12" customHeight="1">
      <c r="D14" s="22"/>
      <c r="E14" s="22"/>
      <c r="J14" s="8"/>
      <c r="K14" s="8"/>
      <c r="L14" s="8"/>
      <c r="M14" s="8"/>
      <c r="N14" s="5"/>
      <c r="O14" s="5"/>
      <c r="P14" s="88"/>
      <c r="Q14" s="95"/>
    </row>
    <row r="15" spans="1:17" s="2" customFormat="1" ht="12" customHeight="1">
      <c r="D15" s="22"/>
      <c r="E15" s="22"/>
      <c r="J15" s="5"/>
      <c r="K15" s="5"/>
      <c r="L15" s="5"/>
      <c r="M15" s="5"/>
      <c r="N15" s="5"/>
      <c r="O15" s="5"/>
      <c r="P15" s="88"/>
      <c r="Q15" s="95"/>
    </row>
    <row r="16" spans="1:17" s="2" customFormat="1" ht="12" customHeight="1">
      <c r="D16" s="22"/>
      <c r="E16" s="22"/>
      <c r="J16" s="5"/>
      <c r="K16" s="5"/>
      <c r="L16" s="5"/>
      <c r="M16" s="5"/>
      <c r="N16" s="5"/>
      <c r="O16" s="5"/>
      <c r="P16" s="88"/>
      <c r="Q16" s="95"/>
    </row>
    <row r="17" spans="4:17" s="2" customFormat="1" ht="12" customHeight="1">
      <c r="D17" s="22"/>
      <c r="E17" s="22"/>
      <c r="J17" s="5"/>
      <c r="K17" s="5"/>
      <c r="L17" s="5"/>
      <c r="M17" s="5"/>
      <c r="N17" s="5"/>
      <c r="O17" s="5"/>
      <c r="P17" s="88"/>
      <c r="Q17" s="95"/>
    </row>
    <row r="18" spans="4:17" s="2" customFormat="1" ht="12" customHeight="1">
      <c r="D18" s="22"/>
      <c r="E18" s="22"/>
      <c r="J18" s="5"/>
      <c r="K18" s="5"/>
      <c r="L18" s="5"/>
      <c r="M18" s="5"/>
      <c r="N18" s="5"/>
      <c r="O18" s="5"/>
      <c r="P18" s="88"/>
      <c r="Q18" s="95"/>
    </row>
    <row r="19" spans="4:17" s="2" customFormat="1" ht="12" customHeight="1">
      <c r="D19" s="22"/>
      <c r="E19" s="22"/>
      <c r="J19" s="5"/>
      <c r="K19" s="5"/>
      <c r="L19" s="5"/>
      <c r="M19" s="5"/>
      <c r="N19" s="5"/>
      <c r="O19" s="5"/>
      <c r="P19" s="88"/>
      <c r="Q19" s="95"/>
    </row>
    <row r="20" spans="4:17" s="2" customFormat="1" ht="12" customHeight="1">
      <c r="D20" s="22"/>
      <c r="E20" s="22"/>
      <c r="J20" s="5"/>
      <c r="K20" s="5"/>
      <c r="L20" s="5"/>
      <c r="M20" s="5"/>
      <c r="N20" s="5"/>
      <c r="O20" s="5"/>
      <c r="P20" s="88"/>
      <c r="Q20" s="95"/>
    </row>
    <row r="21" spans="4:17" s="2" customFormat="1" ht="12" customHeight="1">
      <c r="D21" s="22"/>
      <c r="E21" s="22"/>
      <c r="J21" s="5"/>
      <c r="K21" s="5"/>
      <c r="L21" s="5"/>
      <c r="M21" s="5"/>
      <c r="N21" s="5"/>
      <c r="O21" s="5"/>
      <c r="P21" s="88"/>
      <c r="Q21" s="95"/>
    </row>
    <row r="22" spans="4:17" s="2" customFormat="1" ht="12" customHeight="1">
      <c r="D22" s="22"/>
      <c r="E22" s="22"/>
      <c r="J22" s="5"/>
      <c r="K22" s="5"/>
      <c r="L22" s="5"/>
      <c r="M22" s="5"/>
      <c r="N22" s="5"/>
      <c r="O22" s="5"/>
      <c r="P22" s="88"/>
      <c r="Q22" s="95"/>
    </row>
    <row r="23" spans="4:17" s="2" customFormat="1" ht="12" customHeight="1">
      <c r="D23" s="22"/>
      <c r="E23" s="22"/>
      <c r="J23" s="5"/>
      <c r="K23" s="5"/>
      <c r="L23" s="5"/>
      <c r="M23" s="5"/>
      <c r="N23" s="5"/>
      <c r="O23" s="5"/>
      <c r="P23" s="88"/>
      <c r="Q23" s="95"/>
    </row>
    <row r="24" spans="4:17" s="2" customFormat="1" ht="12" customHeight="1">
      <c r="D24" s="22"/>
      <c r="E24" s="22"/>
      <c r="J24" s="5"/>
      <c r="K24" s="5"/>
      <c r="L24" s="5"/>
      <c r="M24" s="5"/>
      <c r="N24" s="5"/>
      <c r="O24" s="5"/>
      <c r="P24" s="88"/>
      <c r="Q24" s="95"/>
    </row>
    <row r="25" spans="4:17" s="2" customFormat="1" ht="12" customHeight="1">
      <c r="D25" s="22"/>
      <c r="E25" s="22"/>
      <c r="J25" s="5"/>
      <c r="K25" s="5"/>
      <c r="L25" s="5"/>
      <c r="M25" s="5"/>
      <c r="N25" s="5"/>
      <c r="O25" s="5"/>
      <c r="P25" s="88"/>
      <c r="Q25" s="95"/>
    </row>
    <row r="26" spans="4:17" s="2" customFormat="1" ht="12" customHeight="1">
      <c r="D26" s="22"/>
      <c r="E26" s="22"/>
      <c r="J26" s="5"/>
      <c r="K26" s="5"/>
      <c r="L26" s="5"/>
      <c r="M26" s="5"/>
      <c r="N26" s="5"/>
      <c r="O26" s="5"/>
      <c r="P26" s="88"/>
      <c r="Q26" s="95"/>
    </row>
    <row r="27" spans="4:17" s="2" customFormat="1" ht="12" customHeight="1">
      <c r="D27" s="22"/>
      <c r="E27" s="22"/>
      <c r="J27" s="5"/>
      <c r="K27" s="5"/>
      <c r="L27" s="5"/>
      <c r="M27" s="5"/>
      <c r="N27" s="5"/>
      <c r="O27" s="5"/>
      <c r="P27" s="88"/>
      <c r="Q27" s="95"/>
    </row>
    <row r="28" spans="4:17" s="2" customFormat="1" ht="12" customHeight="1">
      <c r="D28" s="22"/>
      <c r="E28" s="22"/>
      <c r="J28" s="5"/>
      <c r="K28" s="5"/>
      <c r="L28" s="5"/>
      <c r="M28" s="5"/>
      <c r="N28" s="5"/>
      <c r="O28" s="5"/>
      <c r="P28" s="88"/>
      <c r="Q28" s="95"/>
    </row>
    <row r="29" spans="4:17" s="2" customFormat="1" ht="12" customHeight="1">
      <c r="D29" s="22"/>
      <c r="E29" s="22"/>
      <c r="J29" s="5"/>
      <c r="K29" s="5"/>
      <c r="L29" s="5"/>
      <c r="M29" s="5"/>
      <c r="N29" s="5"/>
      <c r="O29" s="5"/>
      <c r="P29" s="88"/>
      <c r="Q29" s="95"/>
    </row>
    <row r="30" spans="4:17" s="2" customFormat="1" ht="12" customHeight="1">
      <c r="D30" s="22"/>
      <c r="E30" s="22"/>
      <c r="J30" s="5"/>
      <c r="K30" s="5"/>
      <c r="L30" s="5"/>
      <c r="M30" s="5"/>
      <c r="N30" s="5"/>
      <c r="O30" s="5"/>
      <c r="P30" s="88"/>
      <c r="Q30" s="95"/>
    </row>
    <row r="31" spans="4:17" s="2" customFormat="1" ht="12" customHeight="1">
      <c r="D31" s="22"/>
      <c r="E31" s="22"/>
      <c r="J31" s="5"/>
      <c r="K31" s="5"/>
      <c r="L31" s="5"/>
      <c r="M31" s="5"/>
      <c r="N31" s="5"/>
      <c r="O31" s="5"/>
      <c r="P31" s="88"/>
      <c r="Q31" s="95"/>
    </row>
    <row r="32" spans="4:17" s="2" customFormat="1" ht="12" customHeight="1">
      <c r="D32" s="22"/>
      <c r="E32" s="22"/>
      <c r="J32" s="5"/>
      <c r="K32" s="5"/>
      <c r="L32" s="5"/>
      <c r="M32" s="5"/>
      <c r="N32" s="5"/>
      <c r="O32" s="5"/>
      <c r="P32" s="88"/>
      <c r="Q32" s="95"/>
    </row>
    <row r="33" spans="4:17" s="2" customFormat="1" ht="12" customHeight="1">
      <c r="D33" s="22"/>
      <c r="E33" s="22"/>
      <c r="J33" s="5"/>
      <c r="K33" s="5"/>
      <c r="L33" s="5"/>
      <c r="M33" s="5"/>
      <c r="N33" s="5"/>
      <c r="O33" s="5"/>
      <c r="P33" s="88"/>
      <c r="Q33" s="95"/>
    </row>
    <row r="34" spans="4:17" s="2" customFormat="1" ht="12" customHeight="1">
      <c r="D34" s="22"/>
      <c r="E34" s="22"/>
      <c r="J34" s="5"/>
      <c r="K34" s="5"/>
      <c r="L34" s="5"/>
      <c r="M34" s="5"/>
      <c r="N34" s="5"/>
      <c r="O34" s="5"/>
      <c r="P34" s="88"/>
      <c r="Q34" s="95"/>
    </row>
    <row r="35" spans="4:17" s="2" customFormat="1" ht="12" customHeight="1">
      <c r="D35" s="22"/>
      <c r="E35" s="22"/>
      <c r="J35" s="5"/>
      <c r="K35" s="5"/>
      <c r="L35" s="5"/>
      <c r="M35" s="5"/>
      <c r="N35" s="5"/>
      <c r="O35" s="5"/>
      <c r="P35" s="88"/>
      <c r="Q35" s="95"/>
    </row>
    <row r="36" spans="4:17" s="2" customFormat="1" ht="12" customHeight="1">
      <c r="D36" s="22"/>
      <c r="E36" s="22"/>
      <c r="J36" s="5"/>
      <c r="K36" s="5"/>
      <c r="L36" s="5"/>
      <c r="M36" s="5"/>
      <c r="N36" s="5"/>
      <c r="O36" s="5"/>
      <c r="P36" s="88"/>
      <c r="Q36" s="95"/>
    </row>
    <row r="37" spans="4:17" s="2" customFormat="1" ht="12" customHeight="1">
      <c r="D37" s="22"/>
      <c r="E37" s="22"/>
      <c r="J37" s="5"/>
      <c r="K37" s="5"/>
      <c r="L37" s="5"/>
      <c r="M37" s="5"/>
      <c r="N37" s="5"/>
      <c r="O37" s="5"/>
      <c r="P37" s="88"/>
      <c r="Q37" s="95"/>
    </row>
    <row r="38" spans="4:17" s="2" customFormat="1" ht="12" customHeight="1">
      <c r="D38" s="22"/>
      <c r="E38" s="22"/>
      <c r="J38" s="5"/>
      <c r="K38" s="5"/>
      <c r="L38" s="5"/>
      <c r="M38" s="5"/>
      <c r="N38" s="5"/>
      <c r="O38" s="5"/>
      <c r="P38" s="88"/>
      <c r="Q38" s="95"/>
    </row>
    <row r="39" spans="4:17" s="2" customFormat="1" ht="12" customHeight="1">
      <c r="D39" s="22"/>
      <c r="E39" s="22"/>
      <c r="J39" s="5"/>
      <c r="K39" s="5"/>
      <c r="L39" s="5"/>
      <c r="M39" s="5"/>
      <c r="N39" s="5"/>
      <c r="O39" s="5"/>
      <c r="P39" s="88"/>
      <c r="Q39" s="95"/>
    </row>
    <row r="40" spans="4:17" s="2" customFormat="1" ht="12" customHeight="1">
      <c r="D40" s="22"/>
      <c r="E40" s="22"/>
      <c r="J40" s="5"/>
      <c r="K40" s="5"/>
      <c r="L40" s="5"/>
      <c r="M40" s="5"/>
      <c r="N40" s="5"/>
      <c r="O40" s="5"/>
      <c r="P40" s="88"/>
      <c r="Q40" s="95"/>
    </row>
    <row r="41" spans="4:17" s="2" customFormat="1" ht="12" customHeight="1">
      <c r="D41" s="22"/>
      <c r="E41" s="22"/>
      <c r="J41" s="5"/>
      <c r="K41" s="5"/>
      <c r="L41" s="5"/>
      <c r="M41" s="5"/>
      <c r="N41" s="5"/>
      <c r="O41" s="5"/>
      <c r="P41" s="88"/>
      <c r="Q41" s="95"/>
    </row>
    <row r="42" spans="4:17" s="2" customFormat="1" ht="12" customHeight="1">
      <c r="D42" s="22"/>
      <c r="E42" s="22"/>
      <c r="J42" s="5"/>
      <c r="K42" s="5"/>
      <c r="L42" s="5"/>
      <c r="M42" s="5"/>
      <c r="N42" s="5"/>
      <c r="O42" s="5"/>
      <c r="P42" s="88"/>
      <c r="Q42" s="95"/>
    </row>
    <row r="43" spans="4:17" s="2" customFormat="1" ht="12" customHeight="1">
      <c r="D43" s="22"/>
      <c r="E43" s="22"/>
      <c r="J43" s="5"/>
      <c r="K43" s="5"/>
      <c r="L43" s="5"/>
      <c r="M43" s="5"/>
      <c r="N43" s="5"/>
      <c r="O43" s="5"/>
      <c r="P43" s="88"/>
      <c r="Q43" s="95"/>
    </row>
    <row r="44" spans="4:17" s="2" customFormat="1" ht="12" customHeight="1">
      <c r="D44" s="22"/>
      <c r="E44" s="22"/>
      <c r="J44" s="5"/>
      <c r="K44" s="5"/>
      <c r="L44" s="5"/>
      <c r="M44" s="5"/>
      <c r="N44" s="5"/>
      <c r="O44" s="5"/>
      <c r="P44" s="88"/>
      <c r="Q44" s="95"/>
    </row>
    <row r="45" spans="4:17" s="2" customFormat="1" ht="12" customHeight="1">
      <c r="D45" s="22"/>
      <c r="E45" s="22"/>
      <c r="J45" s="5"/>
      <c r="K45" s="5"/>
      <c r="L45" s="5"/>
      <c r="M45" s="5"/>
      <c r="N45" s="5"/>
      <c r="O45" s="5"/>
      <c r="P45" s="88"/>
      <c r="Q45" s="95"/>
    </row>
    <row r="46" spans="4:17" s="2" customFormat="1" ht="12" customHeight="1">
      <c r="D46" s="22"/>
      <c r="E46" s="22"/>
      <c r="J46" s="5"/>
      <c r="K46" s="5"/>
      <c r="L46" s="5"/>
      <c r="M46" s="5"/>
      <c r="N46" s="5"/>
      <c r="O46" s="5"/>
      <c r="P46" s="88"/>
      <c r="Q46" s="95"/>
    </row>
    <row r="47" spans="4:17" s="2" customFormat="1" ht="12" customHeight="1">
      <c r="D47" s="22"/>
      <c r="E47" s="22"/>
      <c r="J47" s="5"/>
      <c r="K47" s="5"/>
      <c r="L47" s="5"/>
      <c r="M47" s="5"/>
      <c r="N47" s="5"/>
      <c r="O47" s="5"/>
      <c r="P47" s="88"/>
      <c r="Q47" s="95"/>
    </row>
    <row r="48" spans="4:17" s="2" customFormat="1" ht="12" customHeight="1">
      <c r="D48" s="22"/>
      <c r="E48" s="22"/>
      <c r="J48" s="5"/>
      <c r="K48" s="5"/>
      <c r="L48" s="5"/>
      <c r="M48" s="5"/>
      <c r="N48" s="5"/>
      <c r="O48" s="5"/>
      <c r="P48" s="88"/>
      <c r="Q48" s="95"/>
    </row>
    <row r="49" spans="1:17" s="2" customFormat="1" ht="12" customHeight="1">
      <c r="D49" s="22"/>
      <c r="E49" s="22"/>
      <c r="J49" s="5"/>
      <c r="K49" s="5"/>
      <c r="L49" s="5"/>
      <c r="M49" s="5"/>
      <c r="N49" s="5"/>
      <c r="O49" s="5"/>
      <c r="P49" s="88"/>
      <c r="Q49" s="95"/>
    </row>
    <row r="50" spans="1:17" s="2" customFormat="1" ht="12" customHeight="1">
      <c r="D50" s="22"/>
      <c r="E50" s="22"/>
      <c r="J50" s="5"/>
      <c r="K50" s="5"/>
      <c r="L50" s="5"/>
      <c r="M50" s="5"/>
      <c r="N50" s="5"/>
      <c r="O50" s="5"/>
      <c r="P50" s="88"/>
      <c r="Q50" s="95"/>
    </row>
    <row r="51" spans="1:17" s="2" customFormat="1" ht="12" customHeight="1">
      <c r="D51" s="22"/>
      <c r="E51" s="22"/>
      <c r="J51" s="5"/>
      <c r="K51" s="5"/>
      <c r="L51" s="5"/>
      <c r="M51" s="5"/>
      <c r="N51" s="5"/>
      <c r="O51" s="5"/>
      <c r="P51" s="88"/>
      <c r="Q51" s="95"/>
    </row>
    <row r="52" spans="1:17" s="2" customFormat="1" ht="12" customHeight="1">
      <c r="D52" s="22"/>
      <c r="E52" s="22"/>
      <c r="J52" s="5"/>
      <c r="K52" s="5"/>
      <c r="L52" s="5"/>
      <c r="M52" s="5"/>
      <c r="N52" s="5"/>
      <c r="O52" s="5"/>
      <c r="P52" s="88"/>
      <c r="Q52" s="96"/>
    </row>
    <row r="53" spans="1:17" s="2" customFormat="1" ht="12" customHeight="1">
      <c r="D53" s="22"/>
      <c r="E53" s="22"/>
      <c r="J53" s="5"/>
      <c r="K53" s="5"/>
      <c r="L53" s="5"/>
      <c r="M53" s="5"/>
      <c r="N53" s="5"/>
      <c r="O53" s="5"/>
      <c r="P53" s="88"/>
      <c r="Q53" s="96"/>
    </row>
    <row r="54" spans="1:17" s="2" customFormat="1" ht="12" customHeight="1">
      <c r="D54" s="22"/>
      <c r="E54" s="22"/>
      <c r="J54" s="5"/>
      <c r="K54" s="5"/>
      <c r="L54" s="5"/>
      <c r="M54" s="5"/>
      <c r="N54" s="5"/>
      <c r="O54" s="5"/>
      <c r="P54" s="88"/>
      <c r="Q54" s="96"/>
    </row>
    <row r="55" spans="1:17" s="2" customFormat="1" ht="12" customHeight="1">
      <c r="D55" s="22"/>
      <c r="E55" s="22"/>
      <c r="J55" s="5"/>
      <c r="K55" s="5"/>
      <c r="L55" s="5"/>
      <c r="M55" s="5"/>
      <c r="N55" s="5"/>
      <c r="O55" s="5"/>
      <c r="P55" s="88"/>
      <c r="Q55" s="96"/>
    </row>
    <row r="56" spans="1:17" s="2" customFormat="1" ht="12" customHeight="1">
      <c r="A56"/>
      <c r="B56"/>
      <c r="C56"/>
      <c r="D56" s="23"/>
      <c r="E56" s="23"/>
      <c r="F56"/>
      <c r="G56"/>
      <c r="H56"/>
      <c r="I56"/>
      <c r="J56" s="19"/>
      <c r="K56" s="19"/>
      <c r="L56" s="19"/>
      <c r="M56" s="19"/>
      <c r="N56" s="19"/>
      <c r="O56" s="19"/>
      <c r="P56" s="90"/>
      <c r="Q56" s="96"/>
    </row>
    <row r="57" spans="1:17" s="2" customFormat="1" ht="12" customHeight="1">
      <c r="A57"/>
      <c r="B57"/>
      <c r="C57"/>
      <c r="D57" s="23"/>
      <c r="E57" s="23"/>
      <c r="F57"/>
      <c r="G57"/>
      <c r="H57"/>
      <c r="I57"/>
      <c r="J57" s="19"/>
      <c r="K57" s="19"/>
      <c r="L57" s="19"/>
      <c r="M57" s="19"/>
      <c r="N57" s="19"/>
      <c r="O57" s="19"/>
      <c r="P57" s="90"/>
      <c r="Q57" s="96"/>
    </row>
    <row r="58" spans="1:17" s="2" customFormat="1" ht="12" customHeight="1">
      <c r="A58"/>
      <c r="B58"/>
      <c r="C58"/>
      <c r="D58" s="23"/>
      <c r="E58" s="23"/>
      <c r="F58"/>
      <c r="G58"/>
      <c r="H58"/>
      <c r="I58"/>
      <c r="J58" s="19"/>
      <c r="K58" s="19"/>
      <c r="L58" s="19"/>
      <c r="M58" s="19"/>
      <c r="N58" s="19"/>
      <c r="O58" s="19"/>
      <c r="P58" s="90"/>
      <c r="Q58" s="96"/>
    </row>
    <row r="59" spans="1:17" s="2" customFormat="1" ht="12" customHeight="1">
      <c r="A59"/>
      <c r="B59"/>
      <c r="C59"/>
      <c r="D59" s="23"/>
      <c r="E59" s="23"/>
      <c r="F59"/>
      <c r="G59"/>
      <c r="H59"/>
      <c r="I59"/>
      <c r="J59" s="19"/>
      <c r="K59" s="19"/>
      <c r="L59" s="19"/>
      <c r="M59" s="19"/>
      <c r="N59" s="19"/>
      <c r="O59" s="19"/>
      <c r="P59" s="90"/>
      <c r="Q59" s="96"/>
    </row>
    <row r="60" spans="1:17" s="2" customFormat="1" ht="12" customHeight="1">
      <c r="A60"/>
      <c r="B60"/>
      <c r="C60"/>
      <c r="D60" s="23"/>
      <c r="E60" s="23"/>
      <c r="F60"/>
      <c r="G60"/>
      <c r="H60"/>
      <c r="I60"/>
      <c r="J60" s="19"/>
      <c r="K60" s="19"/>
      <c r="L60" s="19"/>
      <c r="M60" s="19"/>
      <c r="N60" s="19"/>
      <c r="O60" s="19"/>
      <c r="P60" s="90"/>
      <c r="Q60" s="96"/>
    </row>
    <row r="61" spans="1:17">
      <c r="Q61" s="96"/>
    </row>
    <row r="62" spans="1:17">
      <c r="Q62" s="96"/>
    </row>
    <row r="63" spans="1:17">
      <c r="Q63" s="96"/>
    </row>
    <row r="64" spans="1:17">
      <c r="Q64" s="96"/>
    </row>
    <row r="65" spans="17:17">
      <c r="Q65" s="96"/>
    </row>
    <row r="66" spans="17:17">
      <c r="Q66" s="96"/>
    </row>
    <row r="67" spans="17:17">
      <c r="Q67" s="96"/>
    </row>
    <row r="68" spans="17:17">
      <c r="Q68" s="96"/>
    </row>
    <row r="69" spans="17:17">
      <c r="Q69" s="96"/>
    </row>
    <row r="70" spans="17:17">
      <c r="Q70" s="96"/>
    </row>
    <row r="71" spans="17:17">
      <c r="Q71" s="96"/>
    </row>
    <row r="72" spans="17:17">
      <c r="Q72" s="96"/>
    </row>
    <row r="73" spans="17:17">
      <c r="Q73" s="96"/>
    </row>
    <row r="74" spans="17:17">
      <c r="Q74" s="96"/>
    </row>
    <row r="75" spans="17:17">
      <c r="Q75" s="96"/>
    </row>
    <row r="76" spans="17:17">
      <c r="Q76" s="96"/>
    </row>
    <row r="77" spans="17:17">
      <c r="Q77" s="96"/>
    </row>
    <row r="78" spans="17:17">
      <c r="Q78" s="96"/>
    </row>
    <row r="79" spans="17:17">
      <c r="Q79" s="96"/>
    </row>
    <row r="80" spans="17:17">
      <c r="Q80" s="96"/>
    </row>
    <row r="117" ht="12" customHeight="1"/>
    <row r="118" ht="12" customHeight="1"/>
    <row r="119" ht="12" customHeight="1"/>
    <row r="120" ht="12" customHeight="1"/>
    <row r="121" ht="12" customHeight="1"/>
    <row r="122" ht="12" customHeight="1"/>
    <row r="123" ht="12" customHeight="1"/>
    <row r="124" ht="12" customHeight="1"/>
    <row r="125" ht="12" customHeight="1"/>
    <row r="126" ht="12" customHeight="1"/>
    <row r="127" ht="12" customHeight="1"/>
    <row r="128" ht="12" customHeight="1"/>
    <row r="129" ht="12" customHeight="1"/>
    <row r="130" ht="12" customHeight="1"/>
    <row r="131" ht="12" customHeight="1"/>
    <row r="132" ht="12" customHeight="1"/>
    <row r="133" ht="12" customHeight="1"/>
    <row r="134" ht="12" customHeight="1"/>
    <row r="135" ht="12" customHeight="1"/>
    <row r="136" ht="12" customHeight="1"/>
    <row r="137" ht="12" customHeight="1"/>
    <row r="138" ht="12" customHeight="1"/>
    <row r="139" ht="12" customHeight="1"/>
    <row r="140" ht="12" customHeight="1"/>
    <row r="141" ht="12" customHeight="1"/>
    <row r="142" ht="12" customHeight="1"/>
    <row r="143" ht="12" customHeight="1"/>
    <row r="144" ht="12" customHeight="1"/>
    <row r="145" ht="12" customHeight="1"/>
    <row r="146" ht="12" customHeight="1"/>
    <row r="147" ht="12" customHeight="1"/>
    <row r="148" ht="12" customHeight="1"/>
    <row r="149" ht="12" customHeight="1"/>
    <row r="150" ht="12" customHeight="1"/>
    <row r="151" ht="12" customHeight="1"/>
    <row r="152" ht="12" customHeight="1"/>
    <row r="153" ht="12" customHeight="1"/>
    <row r="154" ht="12" customHeight="1"/>
    <row r="155" ht="12" customHeight="1"/>
    <row r="156" ht="12" customHeight="1"/>
    <row r="157" ht="12" customHeight="1"/>
    <row r="158" ht="12" customHeight="1"/>
    <row r="159" ht="12" customHeight="1"/>
    <row r="160" ht="12" customHeight="1"/>
    <row r="161" ht="12" customHeight="1"/>
    <row r="162" ht="12" customHeight="1"/>
    <row r="163" ht="12" customHeight="1"/>
    <row r="164" ht="12" customHeight="1"/>
    <row r="165" ht="12" customHeight="1"/>
    <row r="166" ht="12" customHeight="1"/>
  </sheetData>
  <sheetProtection selectLockedCells="1"/>
  <mergeCells count="21">
    <mergeCell ref="H4:I4"/>
    <mergeCell ref="H5:I5"/>
    <mergeCell ref="H6:I6"/>
    <mergeCell ref="H7:I7"/>
    <mergeCell ref="D1:E1"/>
    <mergeCell ref="D5:E5"/>
    <mergeCell ref="D6:E6"/>
    <mergeCell ref="D7:E7"/>
    <mergeCell ref="D4:E4"/>
    <mergeCell ref="D13:E13"/>
    <mergeCell ref="H13:I13"/>
    <mergeCell ref="D8:E8"/>
    <mergeCell ref="H8:I8"/>
    <mergeCell ref="D9:E9"/>
    <mergeCell ref="H9:I9"/>
    <mergeCell ref="D10:E10"/>
    <mergeCell ref="H10:I10"/>
    <mergeCell ref="D11:E11"/>
    <mergeCell ref="H11:I11"/>
    <mergeCell ref="D12:E12"/>
    <mergeCell ref="H12:I12"/>
  </mergeCells>
  <pageMargins left="0.7" right="0.7" top="0.75" bottom="0.75" header="0.3" footer="0.3"/>
  <pageSetup paperSize="3" fitToHeight="0" orientation="landscape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B786FEDC-EB46-421E-9E5E-1AFAA5E8DA9B}">
          <x14:formula1>
            <xm:f>Assemblies!$E:$E</xm:f>
          </x14:formula1>
          <xm:sqref>C5:C12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8F6A2-43D3-4564-B755-EDA3725AB03E}">
  <sheetPr codeName="Sheet3">
    <tabColor theme="3" tint="0.39997558519241921"/>
    <pageSetUpPr fitToPage="1"/>
  </sheetPr>
  <dimension ref="A1:Q263"/>
  <sheetViews>
    <sheetView zoomScaleNormal="100" workbookViewId="0">
      <selection activeCell="C48" sqref="C48"/>
    </sheetView>
  </sheetViews>
  <sheetFormatPr defaultColWidth="9.140625" defaultRowHeight="15"/>
  <cols>
    <col min="1" max="1" width="5.7109375" customWidth="1"/>
    <col min="2" max="2" width="5.42578125" bestFit="1" customWidth="1"/>
    <col min="3" max="3" width="30.7109375" customWidth="1"/>
    <col min="4" max="4" width="20.7109375" style="23" customWidth="1"/>
    <col min="5" max="5" width="52" style="23" customWidth="1"/>
    <col min="6" max="6" width="16.85546875" bestFit="1" customWidth="1"/>
    <col min="7" max="7" width="9.7109375" customWidth="1"/>
    <col min="8" max="8" width="8.7109375" customWidth="1"/>
    <col min="9" max="9" width="20.7109375" customWidth="1"/>
    <col min="10" max="13" width="11.7109375" style="19" customWidth="1"/>
    <col min="14" max="14" width="11.85546875" style="19" bestFit="1" customWidth="1"/>
    <col min="15" max="15" width="7.7109375" style="19" customWidth="1"/>
    <col min="16" max="16" width="10.7109375" style="90" customWidth="1"/>
    <col min="17" max="17" width="10.7109375" style="97" customWidth="1"/>
  </cols>
  <sheetData>
    <row r="1" spans="1:17" s="55" customFormat="1" ht="12" customHeight="1">
      <c r="A1" s="68" t="s">
        <v>0</v>
      </c>
      <c r="B1" s="69"/>
      <c r="C1" s="69"/>
      <c r="D1" s="262" t="s">
        <v>1</v>
      </c>
      <c r="E1" s="263"/>
      <c r="F1" s="70"/>
      <c r="G1" s="69"/>
      <c r="H1" s="70"/>
      <c r="I1" s="71"/>
      <c r="J1" s="72"/>
      <c r="K1" s="72"/>
      <c r="L1" s="72"/>
      <c r="M1" s="72"/>
      <c r="N1" s="72"/>
      <c r="O1" s="72"/>
      <c r="P1" s="85"/>
      <c r="Q1" s="91"/>
    </row>
    <row r="2" spans="1:17" s="55" customFormat="1" ht="12" customHeight="1">
      <c r="A2" s="74" t="s">
        <v>48</v>
      </c>
      <c r="B2" s="58"/>
      <c r="C2" s="57" t="e">
        <f ca="1">VLOOKUP(E3,Assemblies!B:F,4,0)</f>
        <v>#VALUE!</v>
      </c>
      <c r="D2" s="75" t="s">
        <v>3</v>
      </c>
      <c r="E2" s="76" t="e">
        <f ca="1">'GF12'!E2</f>
        <v>#VALUE!</v>
      </c>
      <c r="F2" s="77" t="s">
        <v>4</v>
      </c>
      <c r="G2" s="58" t="str">
        <f>'GF12'!G2</f>
        <v>GH</v>
      </c>
      <c r="H2" s="77" t="s">
        <v>6</v>
      </c>
      <c r="I2" s="59">
        <f>'GF12'!I2</f>
        <v>44775</v>
      </c>
      <c r="J2" s="39"/>
      <c r="K2" s="40" t="s">
        <v>49</v>
      </c>
      <c r="L2" s="41" t="e">
        <f ca="1">VLOOKUP(C2,Assemblies!E:G,3,0)</f>
        <v>#VALUE!</v>
      </c>
      <c r="M2" s="78"/>
      <c r="N2" s="78"/>
      <c r="O2" s="78"/>
      <c r="P2" s="86"/>
      <c r="Q2" s="92"/>
    </row>
    <row r="3" spans="1:17" s="55" customFormat="1" ht="12" customHeight="1" thickBot="1">
      <c r="A3" s="74" t="s">
        <v>7</v>
      </c>
      <c r="B3" s="58"/>
      <c r="C3" s="57" t="e">
        <f ca="1">VLOOKUP(E3,Assemblies!B:F,5,0)</f>
        <v>#VALUE!</v>
      </c>
      <c r="D3" s="75" t="s">
        <v>50</v>
      </c>
      <c r="E3" s="76" t="e">
        <f ca="1">MID(CELL("filename",A1),FIND("]",CELL("filename",A1))+1,256)</f>
        <v>#VALUE!</v>
      </c>
      <c r="F3" s="77" t="s">
        <v>11</v>
      </c>
      <c r="G3" s="58" t="str">
        <f>'GF12'!G3</f>
        <v>GH</v>
      </c>
      <c r="H3" s="77" t="s">
        <v>6</v>
      </c>
      <c r="I3" s="59">
        <f>'GF12'!I3</f>
        <v>44775</v>
      </c>
      <c r="J3" s="78"/>
      <c r="K3" s="78"/>
      <c r="L3" s="78"/>
      <c r="M3" s="78"/>
      <c r="N3" s="78"/>
      <c r="O3" s="78"/>
      <c r="P3" s="86"/>
      <c r="Q3" s="92"/>
    </row>
    <row r="4" spans="1:17" s="56" customFormat="1" ht="12.75" customHeight="1" thickBot="1">
      <c r="A4" s="80" t="s">
        <v>12</v>
      </c>
      <c r="B4" s="81" t="s">
        <v>13</v>
      </c>
      <c r="C4" s="81" t="s">
        <v>14</v>
      </c>
      <c r="D4" s="270" t="s">
        <v>15</v>
      </c>
      <c r="E4" s="271"/>
      <c r="F4" s="104" t="s">
        <v>16</v>
      </c>
      <c r="G4" s="81" t="s">
        <v>17</v>
      </c>
      <c r="H4" s="260" t="s">
        <v>18</v>
      </c>
      <c r="I4" s="261"/>
      <c r="J4" s="81" t="s">
        <v>51</v>
      </c>
      <c r="K4" s="81" t="s">
        <v>20</v>
      </c>
      <c r="L4" s="81" t="s">
        <v>21</v>
      </c>
      <c r="M4" s="81" t="s">
        <v>52</v>
      </c>
      <c r="N4" s="81" t="s">
        <v>22</v>
      </c>
      <c r="O4" s="81" t="s">
        <v>53</v>
      </c>
      <c r="P4" s="107" t="s">
        <v>26</v>
      </c>
      <c r="Q4" s="82" t="s">
        <v>27</v>
      </c>
    </row>
    <row r="5" spans="1:17" s="2" customFormat="1" ht="12.75" customHeight="1">
      <c r="A5" s="4">
        <v>301</v>
      </c>
      <c r="B5" s="2">
        <v>13</v>
      </c>
      <c r="C5" s="114" t="s">
        <v>70</v>
      </c>
      <c r="D5" s="268" t="str">
        <f>VLOOKUP(C5,Purchased!A:B,2,0)</f>
        <v>Drive package consisting of: R911331611 (HCS01.1E-W0028-A-03-B-ET-EC-NN-L4-NN-FW) and R911347141 (FWA-INDRV*-MPB-20VRS-D5-1-NNN-NN)</v>
      </c>
      <c r="E5" s="269"/>
      <c r="F5" s="112" t="str">
        <f>VLOOKUP(C5,Purchased!A:Q,9,0)</f>
        <v>BRC</v>
      </c>
      <c r="G5" s="112" t="str">
        <f>VLOOKUP(C5,Purchased!A:Q,10,0)</f>
        <v>AAP</v>
      </c>
      <c r="H5" s="112" t="str">
        <f>VLOOKUP(C5,Purchased!A:Q,12,0)</f>
        <v xml:space="preserve"> </v>
      </c>
      <c r="I5" s="113"/>
      <c r="J5" s="44">
        <f>VLOOKUP(C5,Purchased!A:Q,14,0)</f>
        <v>44881</v>
      </c>
      <c r="K5" s="44">
        <f>VLOOKUP(C5,Purchased!A:Q,14,0)</f>
        <v>44881</v>
      </c>
      <c r="L5" s="44">
        <f>VLOOKUP(C5,Purchased!A:Q,15,0)</f>
        <v>44986</v>
      </c>
      <c r="M5" s="44">
        <f>VLOOKUP(C5,Purchased!A:Q,16,0)</f>
        <v>44986</v>
      </c>
      <c r="N5" s="45">
        <f>VLOOKUP(C5,Purchased!A:Q,17,0)</f>
        <v>54563</v>
      </c>
      <c r="O5" s="45" t="e">
        <f t="shared" ref="O5:O26" ca="1" si="0">B5*$L$2</f>
        <v>#VALUE!</v>
      </c>
      <c r="P5" s="49">
        <f>IFERROR(VLOOKUP(C5,Purchased!A:E,3,FALSE),"")</f>
        <v>1775.0735999999999</v>
      </c>
      <c r="Q5" s="50">
        <f t="shared" ref="Q5:Q26" si="1">IFERROR(B5*P5,"")</f>
        <v>23075.9568</v>
      </c>
    </row>
    <row r="6" spans="1:17" s="2" customFormat="1" ht="12" customHeight="1">
      <c r="A6" s="4">
        <f t="shared" ref="A6:A69" si="2">A5+1</f>
        <v>302</v>
      </c>
      <c r="B6" s="2">
        <v>2</v>
      </c>
      <c r="C6" s="114" t="s">
        <v>71</v>
      </c>
      <c r="D6" s="268" t="str">
        <f>VLOOKUP(C6,Purchased!A:B,2,0)</f>
        <v>Drive package consisting of: R911397897(BRC, HCS01.1E-W0005-A-03-B-ET-EC-EP-L4-N),  R911347141 (FWA-INDRV*-MPB-20VRS-D5-1-NNN-NN)</v>
      </c>
      <c r="E6" s="269"/>
      <c r="F6" s="112" t="str">
        <f>VLOOKUP(C6,Purchased!A:Q,9,0)</f>
        <v>BRC</v>
      </c>
      <c r="G6" s="112" t="str">
        <f>VLOOKUP(C6,Purchased!A:Q,10,0)</f>
        <v>AAP</v>
      </c>
      <c r="H6" s="112" t="str">
        <f>VLOOKUP(C6,Purchased!A:Q,12,0)</f>
        <v xml:space="preserve"> </v>
      </c>
      <c r="I6" s="113"/>
      <c r="J6" s="44">
        <f>VLOOKUP(C6,Purchased!A:Q,14,0)</f>
        <v>44881</v>
      </c>
      <c r="K6" s="44">
        <f>VLOOKUP(C6,Purchased!A:Q,14,0)</f>
        <v>44881</v>
      </c>
      <c r="L6" s="44">
        <f>VLOOKUP(C6,Purchased!A:Q,15,0)</f>
        <v>44986</v>
      </c>
      <c r="M6" s="44">
        <f>VLOOKUP(C6,Purchased!A:Q,16,0)</f>
        <v>44986</v>
      </c>
      <c r="N6" s="45">
        <f>VLOOKUP(C6,Purchased!A:Q,17,0)</f>
        <v>54563</v>
      </c>
      <c r="O6" s="45" t="e">
        <f t="shared" ca="1" si="0"/>
        <v>#VALUE!</v>
      </c>
      <c r="P6" s="49">
        <f>IFERROR(VLOOKUP(C6,Purchased!A:E,3,FALSE),"")</f>
        <v>1527.3927000000001</v>
      </c>
      <c r="Q6" s="50">
        <f t="shared" si="1"/>
        <v>3054.7854000000002</v>
      </c>
    </row>
    <row r="7" spans="1:17" s="2" customFormat="1" ht="12" customHeight="1">
      <c r="A7" s="4">
        <f t="shared" si="2"/>
        <v>303</v>
      </c>
      <c r="B7" s="2">
        <v>1</v>
      </c>
      <c r="C7" s="114" t="s">
        <v>72</v>
      </c>
      <c r="D7" s="268" t="str">
        <f>VLOOKUP(C7,Purchased!A:B,2,0)</f>
        <v>BRC HNL01.1E-1000-N0012-A-500-NNNN CHOKE</v>
      </c>
      <c r="E7" s="269"/>
      <c r="F7" s="112" t="str">
        <f>VLOOKUP(C7,Purchased!A:Q,9,0)</f>
        <v>BRC</v>
      </c>
      <c r="G7" s="112" t="str">
        <f>VLOOKUP(C7,Purchased!A:Q,10,0)</f>
        <v>Radwell</v>
      </c>
      <c r="H7" s="112" t="str">
        <f>VLOOKUP(C7,Purchased!A:Q,12,0)</f>
        <v xml:space="preserve"> </v>
      </c>
      <c r="I7" s="113"/>
      <c r="J7" s="44">
        <f>VLOOKUP(C7,Purchased!A:Q,14,0)</f>
        <v>45012</v>
      </c>
      <c r="K7" s="44">
        <f>VLOOKUP(C7,Purchased!A:Q,14,0)</f>
        <v>45012</v>
      </c>
      <c r="L7" s="44">
        <f>VLOOKUP(C7,Purchased!A:Q,15,0)</f>
        <v>45016</v>
      </c>
      <c r="M7" s="44">
        <f>VLOOKUP(C7,Purchased!A:Q,16,0)</f>
        <v>45016</v>
      </c>
      <c r="N7" s="45">
        <f>VLOOKUP(C7,Purchased!A:Q,17,0)</f>
        <v>54822</v>
      </c>
      <c r="O7" s="45" t="e">
        <f t="shared" ca="1" si="0"/>
        <v>#VALUE!</v>
      </c>
      <c r="P7" s="49">
        <f>IFERROR(VLOOKUP(C7,Purchased!A:E,3,FALSE),"")</f>
        <v>325</v>
      </c>
      <c r="Q7" s="50">
        <f t="shared" si="1"/>
        <v>325</v>
      </c>
    </row>
    <row r="8" spans="1:17" s="2" customFormat="1" ht="12" customHeight="1">
      <c r="A8" s="4">
        <f t="shared" si="2"/>
        <v>304</v>
      </c>
      <c r="B8" s="2">
        <v>1</v>
      </c>
      <c r="C8" s="114" t="s">
        <v>73</v>
      </c>
      <c r="D8" s="268" t="str">
        <f>VLOOKUP(C8,Purchased!A:B,2,0)</f>
        <v>BRC PLC, XM2200.01-01-31-31-301-NN-101NNNN</v>
      </c>
      <c r="E8" s="269"/>
      <c r="F8" s="112" t="str">
        <f>VLOOKUP(C8,Purchased!A:Q,9,0)</f>
        <v>BRC</v>
      </c>
      <c r="G8" s="112" t="str">
        <f>VLOOKUP(C8,Purchased!A:Q,10,0)</f>
        <v>AAP</v>
      </c>
      <c r="H8" s="112" t="str">
        <f>VLOOKUP(C8,Purchased!A:Q,12,0)</f>
        <v xml:space="preserve"> </v>
      </c>
      <c r="I8" s="113"/>
      <c r="J8" s="44">
        <f>VLOOKUP(C8,Purchased!A:Q,14,0)</f>
        <v>45061</v>
      </c>
      <c r="K8" s="44">
        <f>VLOOKUP(C8,Purchased!A:Q,14,0)</f>
        <v>45061</v>
      </c>
      <c r="L8" s="44">
        <f>VLOOKUP(C8,Purchased!A:Q,15,0)</f>
        <v>45114</v>
      </c>
      <c r="M8" s="44">
        <f>VLOOKUP(C8,Purchased!A:Q,16,0)</f>
        <v>45114</v>
      </c>
      <c r="N8" s="45">
        <f>VLOOKUP(C8,Purchased!A:Q,17,0)</f>
        <v>54893</v>
      </c>
      <c r="O8" s="45" t="e">
        <f t="shared" ca="1" si="0"/>
        <v>#VALUE!</v>
      </c>
      <c r="P8" s="49">
        <f>IFERROR(VLOOKUP(C8,Purchased!A:E,3,FALSE),"")</f>
        <v>4261.5113000000001</v>
      </c>
      <c r="Q8" s="50">
        <f t="shared" si="1"/>
        <v>4261.5113000000001</v>
      </c>
    </row>
    <row r="9" spans="1:17" s="2" customFormat="1" ht="12" customHeight="1">
      <c r="A9" s="4">
        <f t="shared" si="2"/>
        <v>305</v>
      </c>
      <c r="B9" s="2">
        <v>4</v>
      </c>
      <c r="C9" s="114" t="s">
        <v>74</v>
      </c>
      <c r="D9" s="268" t="str">
        <f>VLOOKUP(C9,Purchased!A:B,2,0)</f>
        <v>BRC S20-DI-16/1 IO Block, 16 Point-Digital Input</v>
      </c>
      <c r="E9" s="269"/>
      <c r="F9" s="112" t="str">
        <f>VLOOKUP(C9,Purchased!A:Q,9,0)</f>
        <v>BRC</v>
      </c>
      <c r="G9" s="112" t="str">
        <f>VLOOKUP(C9,Purchased!A:Q,10,0)</f>
        <v>BuyRex</v>
      </c>
      <c r="H9" s="112" t="str">
        <f>VLOOKUP(C9,Purchased!A:Q,12,0)</f>
        <v xml:space="preserve"> </v>
      </c>
      <c r="I9" s="113"/>
      <c r="J9" s="44">
        <f>VLOOKUP(C9,Purchased!A:Q,14,0)</f>
        <v>45089</v>
      </c>
      <c r="K9" s="44">
        <f>VLOOKUP(C9,Purchased!A:Q,14,0)</f>
        <v>45089</v>
      </c>
      <c r="L9" s="44">
        <f>VLOOKUP(C9,Purchased!A:Q,15,0)</f>
        <v>45096</v>
      </c>
      <c r="M9" s="44">
        <f>VLOOKUP(C9,Purchased!A:Q,16,0)</f>
        <v>45096</v>
      </c>
      <c r="N9" s="45">
        <f>VLOOKUP(C9,Purchased!A:Q,17,0)</f>
        <v>54933</v>
      </c>
      <c r="O9" s="45" t="e">
        <f t="shared" ca="1" si="0"/>
        <v>#VALUE!</v>
      </c>
      <c r="P9" s="49">
        <f>IFERROR(VLOOKUP(C9,Purchased!A:E,3,FALSE),"")</f>
        <v>389.38</v>
      </c>
      <c r="Q9" s="50">
        <f t="shared" si="1"/>
        <v>1557.52</v>
      </c>
    </row>
    <row r="10" spans="1:17" s="2" customFormat="1" ht="12" customHeight="1">
      <c r="A10" s="4">
        <f t="shared" si="2"/>
        <v>306</v>
      </c>
      <c r="B10" s="2">
        <v>2</v>
      </c>
      <c r="C10" s="114" t="s">
        <v>75</v>
      </c>
      <c r="D10" s="268" t="str">
        <f>VLOOKUP(C10,Purchased!A:B,2,0)</f>
        <v>BRC XFE01.1-FB-03 BUS ADAPTOR</v>
      </c>
      <c r="E10" s="269"/>
      <c r="F10" s="112" t="str">
        <f>VLOOKUP(C10,Purchased!A:Q,9,0)</f>
        <v>BRC</v>
      </c>
      <c r="G10" s="112" t="str">
        <f>VLOOKUP(C10,Purchased!A:Q,10,0)</f>
        <v>AAP</v>
      </c>
      <c r="H10" s="112" t="str">
        <f>VLOOKUP(C10,Purchased!A:Q,12,0)</f>
        <v>DUPLICATED</v>
      </c>
      <c r="I10" s="113"/>
      <c r="J10" s="44">
        <f>VLOOKUP(C10,Purchased!A:Q,14,0)</f>
        <v>45089</v>
      </c>
      <c r="K10" s="44">
        <f>VLOOKUP(C10,Purchased!A:Q,14,0)</f>
        <v>45089</v>
      </c>
      <c r="L10" s="44">
        <f>VLOOKUP(C10,Purchased!A:Q,15,0)</f>
        <v>45105</v>
      </c>
      <c r="M10" s="44">
        <f>VLOOKUP(C10,Purchased!A:Q,16,0)</f>
        <v>45105</v>
      </c>
      <c r="N10" s="45" t="str">
        <f>VLOOKUP(C10,Purchased!A:Q,17,0)</f>
        <v>54930, 54893</v>
      </c>
      <c r="O10" s="45" t="e">
        <f t="shared" ca="1" si="0"/>
        <v>#VALUE!</v>
      </c>
      <c r="P10" s="49">
        <f>IFERROR(VLOOKUP(C10,Purchased!A:E,3,FALSE),"")</f>
        <v>1233.1842999999999</v>
      </c>
      <c r="Q10" s="50">
        <f t="shared" si="1"/>
        <v>2466.3685999999998</v>
      </c>
    </row>
    <row r="11" spans="1:17" s="2" customFormat="1" ht="12" customHeight="1">
      <c r="A11" s="4">
        <f t="shared" si="2"/>
        <v>307</v>
      </c>
      <c r="B11" s="2">
        <v>1</v>
      </c>
      <c r="C11" s="114" t="s">
        <v>76</v>
      </c>
      <c r="D11" s="268" t="str">
        <f>VLOOKUP(C11,Purchased!A:B,2,0)</f>
        <v>Saginaw 2DR XEL Enclosure, 60H X 61W X 24D, RAL5005 Blue</v>
      </c>
      <c r="E11" s="269"/>
      <c r="F11" s="112" t="str">
        <f>VLOOKUP(C11,Purchased!A:Q,9,0)</f>
        <v>SAGINAW</v>
      </c>
      <c r="G11" s="112" t="str">
        <f>VLOOKUP(C11,Purchased!A:Q,10,0)</f>
        <v>SAGINAW</v>
      </c>
      <c r="H11" s="112" t="str">
        <f>VLOOKUP(C11,Purchased!A:Q,12,0)</f>
        <v xml:space="preserve"> </v>
      </c>
      <c r="I11" s="113"/>
      <c r="J11" s="44">
        <f>VLOOKUP(C11,Purchased!A:Q,14,0)</f>
        <v>45013</v>
      </c>
      <c r="K11" s="44">
        <f>VLOOKUP(C11,Purchased!A:Q,14,0)</f>
        <v>45013</v>
      </c>
      <c r="L11" s="44">
        <f>VLOOKUP(C11,Purchased!A:Q,15,0)</f>
        <v>45043</v>
      </c>
      <c r="M11" s="44">
        <f>VLOOKUP(C11,Purchased!A:Q,16,0)</f>
        <v>45043</v>
      </c>
      <c r="N11" s="45">
        <f>VLOOKUP(C11,Purchased!A:Q,17,0)</f>
        <v>54824</v>
      </c>
      <c r="O11" s="45" t="e">
        <f t="shared" ca="1" si="0"/>
        <v>#VALUE!</v>
      </c>
      <c r="P11" s="49">
        <f>IFERROR(VLOOKUP(C11,Purchased!A:E,3,FALSE),"")</f>
        <v>2446.17</v>
      </c>
      <c r="Q11" s="50">
        <f t="shared" si="1"/>
        <v>2446.17</v>
      </c>
    </row>
    <row r="12" spans="1:17" s="2" customFormat="1" ht="12" customHeight="1">
      <c r="A12" s="4">
        <f t="shared" si="2"/>
        <v>308</v>
      </c>
      <c r="B12" s="2">
        <v>1</v>
      </c>
      <c r="C12" s="114" t="s">
        <v>77</v>
      </c>
      <c r="D12" s="268" t="str">
        <f>VLOOKUP(C12,Purchased!A:B,2,0)</f>
        <v>Saginaw Subpanel, Bent Galvanized, 56H X 56W X 0.88D</v>
      </c>
      <c r="E12" s="269"/>
      <c r="F12" s="112" t="str">
        <f>VLOOKUP(C12,Purchased!A:Q,9,0)</f>
        <v>SAGINAW</v>
      </c>
      <c r="G12" s="112" t="str">
        <f>VLOOKUP(C12,Purchased!A:Q,10,0)</f>
        <v>SAGINAW</v>
      </c>
      <c r="H12" s="112" t="str">
        <f>VLOOKUP(C12,Purchased!A:Q,12,0)</f>
        <v xml:space="preserve"> </v>
      </c>
      <c r="I12" s="113"/>
      <c r="J12" s="44">
        <f>VLOOKUP(C12,Purchased!A:Q,14,0)</f>
        <v>45013</v>
      </c>
      <c r="K12" s="44">
        <f>VLOOKUP(C12,Purchased!A:Q,14,0)</f>
        <v>45013</v>
      </c>
      <c r="L12" s="44">
        <f>VLOOKUP(C12,Purchased!A:Q,15,0)</f>
        <v>45043</v>
      </c>
      <c r="M12" s="44">
        <f>VLOOKUP(C12,Purchased!A:Q,16,0)</f>
        <v>45043</v>
      </c>
      <c r="N12" s="45">
        <f>VLOOKUP(C12,Purchased!A:Q,17,0)</f>
        <v>54825</v>
      </c>
      <c r="O12" s="45" t="e">
        <f t="shared" ca="1" si="0"/>
        <v>#VALUE!</v>
      </c>
      <c r="P12" s="49">
        <f>IFERROR(VLOOKUP(C12,Purchased!A:E,3,FALSE),"")</f>
        <v>318.33999999999997</v>
      </c>
      <c r="Q12" s="50">
        <f t="shared" si="1"/>
        <v>318.33999999999997</v>
      </c>
    </row>
    <row r="13" spans="1:17" s="2" customFormat="1" ht="12" customHeight="1">
      <c r="A13" s="4">
        <f t="shared" si="2"/>
        <v>309</v>
      </c>
      <c r="B13" s="2">
        <v>2</v>
      </c>
      <c r="C13" s="114" t="s">
        <v>78</v>
      </c>
      <c r="D13" s="268" t="str">
        <f>VLOOKUP(C13,Purchased!A:B,2,0)</f>
        <v>LED light fixture w/o outlet, 24"x2.75"x4" (LxHxD), 100..277VAC 50/60Hz, door activated switch</v>
      </c>
      <c r="E13" s="269"/>
      <c r="F13" s="112" t="str">
        <f>VLOOKUP(C13,Purchased!A:Q,9,0)</f>
        <v>SAGINAW</v>
      </c>
      <c r="G13" s="112" t="str">
        <f>VLOOKUP(C13,Purchased!A:Q,10,0)</f>
        <v>SAGINAW</v>
      </c>
      <c r="H13" s="112" t="str">
        <f>VLOOKUP(C13,Purchased!A:Q,12,0)</f>
        <v xml:space="preserve"> </v>
      </c>
      <c r="I13" s="113"/>
      <c r="J13" s="44">
        <f>VLOOKUP(C13,Purchased!A:Q,14,0)</f>
        <v>45089</v>
      </c>
      <c r="K13" s="44">
        <f>VLOOKUP(C13,Purchased!A:Q,14,0)</f>
        <v>45089</v>
      </c>
      <c r="L13" s="44">
        <f>VLOOKUP(C13,Purchased!A:Q,15,0)</f>
        <v>45104</v>
      </c>
      <c r="M13" s="44">
        <f>VLOOKUP(C13,Purchased!A:Q,16,0)</f>
        <v>45104</v>
      </c>
      <c r="N13" s="45">
        <f>VLOOKUP(C13,Purchased!A:Q,17,0)</f>
        <v>54935</v>
      </c>
      <c r="O13" s="45" t="e">
        <f t="shared" ca="1" si="0"/>
        <v>#VALUE!</v>
      </c>
      <c r="P13" s="49">
        <f>IFERROR(VLOOKUP(C13,Purchased!A:E,3,FALSE),"")</f>
        <v>180.54</v>
      </c>
      <c r="Q13" s="50">
        <f t="shared" si="1"/>
        <v>361.08</v>
      </c>
    </row>
    <row r="14" spans="1:17" s="2" customFormat="1" ht="12" customHeight="1">
      <c r="A14" s="4">
        <f t="shared" si="2"/>
        <v>310</v>
      </c>
      <c r="B14" s="2">
        <v>1</v>
      </c>
      <c r="C14" s="114" t="s">
        <v>79</v>
      </c>
      <c r="D14" s="268" t="str">
        <f>VLOOKUP(C14,Purchased!A:B,2,0)</f>
        <v>Saginaw FILTER FAN, 550CFM, 230VAC 50/60HZ, 0.35FLA</v>
      </c>
      <c r="E14" s="269"/>
      <c r="F14" s="112" t="str">
        <f>VLOOKUP(C14,Purchased!A:Q,9,0)</f>
        <v>SAGINAW</v>
      </c>
      <c r="G14" s="112" t="str">
        <f>VLOOKUP(C14,Purchased!A:Q,10,0)</f>
        <v>SAGINAW</v>
      </c>
      <c r="H14" s="112" t="str">
        <f>VLOOKUP(C14,Purchased!A:Q,12,0)</f>
        <v xml:space="preserve"> </v>
      </c>
      <c r="I14" s="113"/>
      <c r="J14" s="44">
        <f>VLOOKUP(C14,Purchased!A:Q,14,0)</f>
        <v>45089</v>
      </c>
      <c r="K14" s="44">
        <f>VLOOKUP(C14,Purchased!A:Q,14,0)</f>
        <v>45089</v>
      </c>
      <c r="L14" s="44">
        <f>VLOOKUP(C14,Purchased!A:Q,15,0)</f>
        <v>45104</v>
      </c>
      <c r="M14" s="44">
        <f>VLOOKUP(C14,Purchased!A:Q,16,0)</f>
        <v>45104</v>
      </c>
      <c r="N14" s="45">
        <f>VLOOKUP(C14,Purchased!A:Q,17,0)</f>
        <v>54936</v>
      </c>
      <c r="O14" s="45" t="e">
        <f t="shared" ca="1" si="0"/>
        <v>#VALUE!</v>
      </c>
      <c r="P14" s="49">
        <f>IFERROR(VLOOKUP(C14,Purchased!A:E,3,FALSE),"")</f>
        <v>456.5</v>
      </c>
      <c r="Q14" s="50">
        <f t="shared" si="1"/>
        <v>456.5</v>
      </c>
    </row>
    <row r="15" spans="1:17" s="2" customFormat="1" ht="12" customHeight="1">
      <c r="A15" s="4">
        <f t="shared" si="2"/>
        <v>311</v>
      </c>
      <c r="B15" s="2">
        <v>1</v>
      </c>
      <c r="C15" s="114" t="s">
        <v>80</v>
      </c>
      <c r="D15" s="268" t="str">
        <f>VLOOKUP(C15,Purchased!A:B,2,0)</f>
        <v>Saginaw Filter &amp; Grille Assy. (Black)</v>
      </c>
      <c r="E15" s="269"/>
      <c r="F15" s="112" t="str">
        <f>VLOOKUP(C15,Purchased!A:Q,9,0)</f>
        <v>SAGINAW</v>
      </c>
      <c r="G15" s="112" t="str">
        <f>VLOOKUP(C15,Purchased!A:Q,10,0)</f>
        <v>SAGINAW</v>
      </c>
      <c r="H15" s="112" t="str">
        <f>VLOOKUP(C15,Purchased!A:Q,12,0)</f>
        <v xml:space="preserve"> </v>
      </c>
      <c r="I15" s="113"/>
      <c r="J15" s="44">
        <f>VLOOKUP(C15,Purchased!A:Q,14,0)</f>
        <v>45089</v>
      </c>
      <c r="K15" s="44">
        <f>VLOOKUP(C15,Purchased!A:Q,14,0)</f>
        <v>45089</v>
      </c>
      <c r="L15" s="44">
        <f>VLOOKUP(C15,Purchased!A:Q,15,0)</f>
        <v>45104</v>
      </c>
      <c r="M15" s="44">
        <f>VLOOKUP(C15,Purchased!A:Q,16,0)</f>
        <v>45104</v>
      </c>
      <c r="N15" s="45">
        <f>VLOOKUP(C15,Purchased!A:Q,17,0)</f>
        <v>54937</v>
      </c>
      <c r="O15" s="45" t="e">
        <f t="shared" ca="1" si="0"/>
        <v>#VALUE!</v>
      </c>
      <c r="P15" s="49">
        <f>IFERROR(VLOOKUP(C15,Purchased!A:E,3,FALSE),"")</f>
        <v>48.2</v>
      </c>
      <c r="Q15" s="50">
        <f t="shared" si="1"/>
        <v>48.2</v>
      </c>
    </row>
    <row r="16" spans="1:17" s="2" customFormat="1" ht="12" customHeight="1">
      <c r="A16" s="4">
        <f t="shared" si="2"/>
        <v>312</v>
      </c>
      <c r="B16" s="2">
        <v>2</v>
      </c>
      <c r="C16" s="114" t="s">
        <v>81</v>
      </c>
      <c r="D16" s="268" t="str">
        <f>VLOOKUP(C16,Purchased!A:B,2,0)</f>
        <v>EMC/RFI FILTER, 3-PHASE, 10A LINE FILTER, PANEL MOUNT</v>
      </c>
      <c r="E16" s="269"/>
      <c r="F16" s="112" t="str">
        <f>VLOOKUP(C16,Purchased!A:Q,9,0)</f>
        <v>Schaffner</v>
      </c>
      <c r="G16" s="112" t="str">
        <f>VLOOKUP(C16,Purchased!A:Q,10,0)</f>
        <v>Mouser</v>
      </c>
      <c r="H16" s="112" t="str">
        <f>VLOOKUP(C16,Purchased!A:Q,12,0)</f>
        <v xml:space="preserve"> </v>
      </c>
      <c r="I16" s="113"/>
      <c r="J16" s="44">
        <f>VLOOKUP(C16,Purchased!A:Q,14,0)</f>
        <v>45089</v>
      </c>
      <c r="K16" s="44">
        <f>VLOOKUP(C16,Purchased!A:Q,14,0)</f>
        <v>45089</v>
      </c>
      <c r="L16" s="44">
        <f>VLOOKUP(C16,Purchased!A:Q,15,0)</f>
        <v>45096</v>
      </c>
      <c r="M16" s="44">
        <f>VLOOKUP(C16,Purchased!A:Q,16,0)</f>
        <v>45096</v>
      </c>
      <c r="N16" s="45">
        <f>VLOOKUP(C16,Purchased!A:Q,17,0)</f>
        <v>54928</v>
      </c>
      <c r="O16" s="45" t="e">
        <f t="shared" ca="1" si="0"/>
        <v>#VALUE!</v>
      </c>
      <c r="P16" s="49">
        <f>IFERROR(VLOOKUP(C16,Purchased!A:E,3,FALSE),"")</f>
        <v>203.42</v>
      </c>
      <c r="Q16" s="50">
        <f t="shared" si="1"/>
        <v>406.84</v>
      </c>
    </row>
    <row r="17" spans="1:17" s="2" customFormat="1" ht="12" customHeight="1">
      <c r="A17" s="4">
        <f t="shared" si="2"/>
        <v>313</v>
      </c>
      <c r="B17" s="2">
        <v>1</v>
      </c>
      <c r="C17" s="114" t="s">
        <v>82</v>
      </c>
      <c r="D17" s="268" t="str">
        <f>VLOOKUP(C17,Purchased!A:B,2,0)</f>
        <v>EMC/RFI FILTER, 3-PHASE, 30A LINE FILTER, PANEL MOUNT</v>
      </c>
      <c r="E17" s="269"/>
      <c r="F17" s="112" t="str">
        <f>VLOOKUP(C17,Purchased!A:Q,9,0)</f>
        <v>Schaffner</v>
      </c>
      <c r="G17" s="112" t="str">
        <f>VLOOKUP(C17,Purchased!A:Q,10,0)</f>
        <v>Mouser</v>
      </c>
      <c r="H17" s="112" t="str">
        <f>VLOOKUP(C17,Purchased!A:Q,12,0)</f>
        <v xml:space="preserve"> </v>
      </c>
      <c r="I17" s="113"/>
      <c r="J17" s="44">
        <f>VLOOKUP(C17,Purchased!A:Q,14,0)</f>
        <v>45089</v>
      </c>
      <c r="K17" s="44">
        <f>VLOOKUP(C17,Purchased!A:Q,14,0)</f>
        <v>45089</v>
      </c>
      <c r="L17" s="44">
        <f>VLOOKUP(C17,Purchased!A:Q,15,0)</f>
        <v>45096</v>
      </c>
      <c r="M17" s="44">
        <f>VLOOKUP(C17,Purchased!A:Q,16,0)</f>
        <v>45096</v>
      </c>
      <c r="N17" s="45">
        <f>VLOOKUP(C17,Purchased!A:Q,17,0)</f>
        <v>54928</v>
      </c>
      <c r="O17" s="45" t="e">
        <f t="shared" ca="1" si="0"/>
        <v>#VALUE!</v>
      </c>
      <c r="P17" s="49">
        <f>IFERROR(VLOOKUP(C17,Purchased!A:E,3,FALSE),"")</f>
        <v>127.94</v>
      </c>
      <c r="Q17" s="50">
        <f t="shared" si="1"/>
        <v>127.94</v>
      </c>
    </row>
    <row r="18" spans="1:17" s="2" customFormat="1" ht="12" customHeight="1">
      <c r="A18" s="4">
        <f t="shared" si="2"/>
        <v>314</v>
      </c>
      <c r="B18" s="2">
        <v>1</v>
      </c>
      <c r="C18" s="114" t="s">
        <v>83</v>
      </c>
      <c r="D18" s="268" t="str">
        <f>VLOOKUP(C18,Purchased!A:B,2,0)</f>
        <v>Tosibox Lock 500i</v>
      </c>
      <c r="E18" s="269"/>
      <c r="F18" s="112" t="str">
        <f>VLOOKUP(C18,Purchased!A:Q,9,0)</f>
        <v>TosiBox</v>
      </c>
      <c r="G18" s="112" t="str">
        <f>VLOOKUP(C18,Purchased!A:Q,10,0)</f>
        <v>AAP</v>
      </c>
      <c r="H18" s="112" t="str">
        <f>VLOOKUP(C18,Purchased!A:Q,12,0)</f>
        <v xml:space="preserve"> </v>
      </c>
      <c r="I18" s="113"/>
      <c r="J18" s="44">
        <f>VLOOKUP(C18,Purchased!A:Q,14,0)</f>
        <v>45089</v>
      </c>
      <c r="K18" s="44">
        <f>VLOOKUP(C18,Purchased!A:Q,14,0)</f>
        <v>45089</v>
      </c>
      <c r="L18" s="44">
        <f>VLOOKUP(C18,Purchased!A:Q,15,0)</f>
        <v>45105</v>
      </c>
      <c r="M18" s="44">
        <f>VLOOKUP(C18,Purchased!A:Q,16,0)</f>
        <v>45105</v>
      </c>
      <c r="N18" s="45">
        <f>VLOOKUP(C18,Purchased!A:Q,17,0)</f>
        <v>54930</v>
      </c>
      <c r="O18" s="45" t="e">
        <f t="shared" ca="1" si="0"/>
        <v>#VALUE!</v>
      </c>
      <c r="P18" s="49">
        <f>IFERROR(VLOOKUP(C18,Purchased!A:E,3,FALSE),"")</f>
        <v>1411.4132999999999</v>
      </c>
      <c r="Q18" s="50">
        <f t="shared" si="1"/>
        <v>1411.4132999999999</v>
      </c>
    </row>
    <row r="19" spans="1:17" s="2" customFormat="1" ht="12" customHeight="1">
      <c r="A19" s="4">
        <f t="shared" si="2"/>
        <v>315</v>
      </c>
      <c r="B19" s="2">
        <v>1</v>
      </c>
      <c r="C19" s="114" t="s">
        <v>84</v>
      </c>
      <c r="D19" s="268" t="str">
        <f>VLOOKUP(C19,Purchased!A:B,2,0)</f>
        <v>ZIPport panel interface connector, GFCI duplex 120 VAC outlet, (1) RJ45 Ethernet port with female exterior/female interior, 3A circuit breaker</v>
      </c>
      <c r="E19" s="269"/>
      <c r="F19" s="112" t="str">
        <f>VLOOKUP(C19,Purchased!A:Q,9,0)</f>
        <v>AUTOMATION DIRECT</v>
      </c>
      <c r="G19" s="112">
        <f>VLOOKUP(C19,Purchased!A:Q,10,0)</f>
        <v>0</v>
      </c>
      <c r="H19" s="112">
        <f>VLOOKUP(C19,Purchased!A:Q,12,0)</f>
        <v>0</v>
      </c>
      <c r="I19" s="113"/>
      <c r="J19" s="44">
        <f>VLOOKUP(C19,Purchased!A:Q,14,0)</f>
        <v>0</v>
      </c>
      <c r="K19" s="44">
        <f>VLOOKUP(C19,Purchased!A:Q,14,0)</f>
        <v>0</v>
      </c>
      <c r="L19" s="44">
        <f>VLOOKUP(C19,Purchased!A:Q,15,0)</f>
        <v>0</v>
      </c>
      <c r="M19" s="44">
        <f>VLOOKUP(C19,Purchased!A:Q,16,0)</f>
        <v>0</v>
      </c>
      <c r="N19" s="45">
        <f>VLOOKUP(C19,Purchased!A:Q,17,0)</f>
        <v>0</v>
      </c>
      <c r="O19" s="45" t="e">
        <f t="shared" ref="O19:O24" ca="1" si="3">B19*$L$2</f>
        <v>#VALUE!</v>
      </c>
      <c r="P19" s="49">
        <f>IFERROR(VLOOKUP(C19,Purchased!A:E,3,FALSE),"")</f>
        <v>0</v>
      </c>
      <c r="Q19" s="50">
        <f t="shared" ref="Q19:Q24" si="4">IFERROR(B19*P19,"")</f>
        <v>0</v>
      </c>
    </row>
    <row r="20" spans="1:17" s="2" customFormat="1" ht="12" customHeight="1">
      <c r="A20" s="4">
        <f t="shared" si="2"/>
        <v>316</v>
      </c>
      <c r="B20" s="2">
        <v>4</v>
      </c>
      <c r="C20" s="114" t="s">
        <v>85</v>
      </c>
      <c r="D20" s="268" t="str">
        <f>VLOOKUP(C20,Purchased!A:B,2,0)</f>
        <v>DIGITAL INPUT MODULE, 16 CHANNEL S20-DI-16/1</v>
      </c>
      <c r="E20" s="269"/>
      <c r="F20" s="112" t="str">
        <f>VLOOKUP(C20,Purchased!A:Q,9,0)</f>
        <v>BRC</v>
      </c>
      <c r="G20" s="112" t="str">
        <f>VLOOKUP(C20,Purchased!A:Q,10,0)</f>
        <v>CRAVE</v>
      </c>
      <c r="H20" s="112">
        <f>VLOOKUP(C20,Purchased!A:Q,12,0)</f>
        <v>0</v>
      </c>
      <c r="I20" s="113"/>
      <c r="J20" s="44">
        <f>VLOOKUP(C20,Purchased!A:Q,14,0)</f>
        <v>0</v>
      </c>
      <c r="K20" s="44">
        <f>VLOOKUP(C20,Purchased!A:Q,14,0)</f>
        <v>0</v>
      </c>
      <c r="L20" s="44">
        <f>VLOOKUP(C20,Purchased!A:Q,15,0)</f>
        <v>0</v>
      </c>
      <c r="M20" s="44">
        <f>VLOOKUP(C20,Purchased!A:Q,16,0)</f>
        <v>0</v>
      </c>
      <c r="N20" s="45">
        <f>VLOOKUP(C20,Purchased!A:Q,17,0)</f>
        <v>0</v>
      </c>
      <c r="O20" s="45" t="e">
        <f t="shared" ca="1" si="3"/>
        <v>#VALUE!</v>
      </c>
      <c r="P20" s="49">
        <f>IFERROR(VLOOKUP(C20,Purchased!A:E,3,FALSE),"")</f>
        <v>0</v>
      </c>
      <c r="Q20" s="50">
        <f t="shared" si="4"/>
        <v>0</v>
      </c>
    </row>
    <row r="21" spans="1:17" s="2" customFormat="1" ht="12" customHeight="1">
      <c r="A21" s="4">
        <f t="shared" si="2"/>
        <v>317</v>
      </c>
      <c r="B21" s="2">
        <v>3</v>
      </c>
      <c r="C21" s="114" t="s">
        <v>86</v>
      </c>
      <c r="D21" s="268" t="str">
        <f>VLOOKUP(C21,Purchased!A:B,2,0)</f>
        <v>DIGITAL OUTPUT MODULE, 16 CHANNEL, S20-DO-16/1</v>
      </c>
      <c r="E21" s="269"/>
      <c r="F21" s="112" t="str">
        <f>VLOOKUP(C21,Purchased!A:Q,9,0)</f>
        <v>BRC</v>
      </c>
      <c r="G21" s="112" t="str">
        <f>VLOOKUP(C21,Purchased!A:Q,10,0)</f>
        <v>CRAVE</v>
      </c>
      <c r="H21" s="112">
        <f>VLOOKUP(C21,Purchased!A:Q,12,0)</f>
        <v>0</v>
      </c>
      <c r="I21" s="113"/>
      <c r="J21" s="44">
        <f>VLOOKUP(C21,Purchased!A:Q,14,0)</f>
        <v>0</v>
      </c>
      <c r="K21" s="44">
        <f>VLOOKUP(C21,Purchased!A:Q,14,0)</f>
        <v>0</v>
      </c>
      <c r="L21" s="44">
        <f>VLOOKUP(C21,Purchased!A:Q,15,0)</f>
        <v>0</v>
      </c>
      <c r="M21" s="44">
        <f>VLOOKUP(C21,Purchased!A:Q,16,0)</f>
        <v>0</v>
      </c>
      <c r="N21" s="45">
        <f>VLOOKUP(C21,Purchased!A:Q,17,0)</f>
        <v>0</v>
      </c>
      <c r="O21" s="45" t="e">
        <f t="shared" ca="1" si="3"/>
        <v>#VALUE!</v>
      </c>
      <c r="P21" s="49">
        <f>IFERROR(VLOOKUP(C21,Purchased!A:E,3,FALSE),"")</f>
        <v>0</v>
      </c>
      <c r="Q21" s="50">
        <f t="shared" si="4"/>
        <v>0</v>
      </c>
    </row>
    <row r="22" spans="1:17" s="2" customFormat="1" ht="12" customHeight="1">
      <c r="A22" s="4">
        <f t="shared" si="2"/>
        <v>318</v>
      </c>
      <c r="B22" s="2">
        <v>1</v>
      </c>
      <c r="C22" s="114" t="s">
        <v>87</v>
      </c>
      <c r="D22" s="268" t="str">
        <f>VLOOKUP(C22,Purchased!A:B,2,0)</f>
        <v>XFE extension module for XM control</v>
      </c>
      <c r="E22" s="269"/>
      <c r="F22" s="112" t="str">
        <f>VLOOKUP(C22,Purchased!A:Q,9,0)</f>
        <v>BRC</v>
      </c>
      <c r="G22" s="112" t="str">
        <f>VLOOKUP(C22,Purchased!A:Q,10,0)</f>
        <v>CRAVE</v>
      </c>
      <c r="H22" s="112">
        <f>VLOOKUP(C22,Purchased!A:Q,12,0)</f>
        <v>0</v>
      </c>
      <c r="I22" s="113"/>
      <c r="J22" s="44">
        <f>VLOOKUP(C22,Purchased!A:Q,14,0)</f>
        <v>0</v>
      </c>
      <c r="K22" s="44">
        <f>VLOOKUP(C22,Purchased!A:Q,14,0)</f>
        <v>0</v>
      </c>
      <c r="L22" s="44">
        <f>VLOOKUP(C22,Purchased!A:Q,15,0)</f>
        <v>0</v>
      </c>
      <c r="M22" s="44">
        <f>VLOOKUP(C22,Purchased!A:Q,16,0)</f>
        <v>0</v>
      </c>
      <c r="N22" s="45">
        <f>VLOOKUP(C22,Purchased!A:Q,17,0)</f>
        <v>0</v>
      </c>
      <c r="O22" s="45" t="e">
        <f t="shared" ca="1" si="3"/>
        <v>#VALUE!</v>
      </c>
      <c r="P22" s="49">
        <f>IFERROR(VLOOKUP(C22,Purchased!A:E,3,FALSE),"")</f>
        <v>0</v>
      </c>
      <c r="Q22" s="50">
        <f t="shared" si="4"/>
        <v>0</v>
      </c>
    </row>
    <row r="23" spans="1:17" s="2" customFormat="1" ht="12" customHeight="1">
      <c r="A23" s="4">
        <f t="shared" si="2"/>
        <v>319</v>
      </c>
      <c r="B23" s="2">
        <v>3</v>
      </c>
      <c r="C23" s="114" t="s">
        <v>88</v>
      </c>
      <c r="D23" s="268" t="str">
        <f>VLOOKUP(C23,Purchased!A:B,2,0)</f>
        <v>CLASS CC LOW-PEAK TIME-DELAY, REJECTION TYPE FUSE, 30A, 3-POLE</v>
      </c>
      <c r="E23" s="269"/>
      <c r="F23" s="112" t="str">
        <f>VLOOKUP(C23,Purchased!A:Q,9,0)</f>
        <v>BUSSMAN</v>
      </c>
      <c r="G23" s="112" t="str">
        <f>VLOOKUP(C23,Purchased!A:Q,10,0)</f>
        <v>CRAVE</v>
      </c>
      <c r="H23" s="112">
        <f>VLOOKUP(C23,Purchased!A:Q,12,0)</f>
        <v>0</v>
      </c>
      <c r="I23" s="113"/>
      <c r="J23" s="44">
        <f>VLOOKUP(C23,Purchased!A:Q,14,0)</f>
        <v>0</v>
      </c>
      <c r="K23" s="44">
        <f>VLOOKUP(C23,Purchased!A:Q,14,0)</f>
        <v>0</v>
      </c>
      <c r="L23" s="44">
        <f>VLOOKUP(C23,Purchased!A:Q,15,0)</f>
        <v>0</v>
      </c>
      <c r="M23" s="44">
        <f>VLOOKUP(C23,Purchased!A:Q,16,0)</f>
        <v>0</v>
      </c>
      <c r="N23" s="45">
        <f>VLOOKUP(C23,Purchased!A:Q,17,0)</f>
        <v>0</v>
      </c>
      <c r="O23" s="45" t="e">
        <f t="shared" ca="1" si="3"/>
        <v>#VALUE!</v>
      </c>
      <c r="P23" s="49">
        <f>IFERROR(VLOOKUP(C23,Purchased!A:E,3,FALSE),"")</f>
        <v>0</v>
      </c>
      <c r="Q23" s="50">
        <f t="shared" si="4"/>
        <v>0</v>
      </c>
    </row>
    <row r="24" spans="1:17" s="2" customFormat="1" ht="12" customHeight="1">
      <c r="A24" s="4">
        <f t="shared" si="2"/>
        <v>320</v>
      </c>
      <c r="B24" s="2">
        <v>9</v>
      </c>
      <c r="C24" s="114" t="s">
        <v>89</v>
      </c>
      <c r="D24" s="268" t="str">
        <f>VLOOKUP(C24,Purchased!A:B,2,0)</f>
        <v>TYPE CC FUSEHOLDER, THREE POLE, NON-INDICATING, 30A MAX, 600V</v>
      </c>
      <c r="E24" s="269"/>
      <c r="F24" s="112" t="str">
        <f>VLOOKUP(C24,Purchased!A:Q,9,0)</f>
        <v>EATON</v>
      </c>
      <c r="G24" s="112" t="str">
        <f>VLOOKUP(C24,Purchased!A:Q,10,0)</f>
        <v>CRAVE</v>
      </c>
      <c r="H24" s="112">
        <f>VLOOKUP(C24,Purchased!A:Q,12,0)</f>
        <v>0</v>
      </c>
      <c r="I24" s="113"/>
      <c r="J24" s="44">
        <f>VLOOKUP(C24,Purchased!A:Q,14,0)</f>
        <v>0</v>
      </c>
      <c r="K24" s="44">
        <f>VLOOKUP(C24,Purchased!A:Q,14,0)</f>
        <v>0</v>
      </c>
      <c r="L24" s="44">
        <f>VLOOKUP(C24,Purchased!A:Q,15,0)</f>
        <v>0</v>
      </c>
      <c r="M24" s="44">
        <f>VLOOKUP(C24,Purchased!A:Q,16,0)</f>
        <v>0</v>
      </c>
      <c r="N24" s="45">
        <f>VLOOKUP(C24,Purchased!A:Q,17,0)</f>
        <v>0</v>
      </c>
      <c r="O24" s="45" t="e">
        <f t="shared" ca="1" si="3"/>
        <v>#VALUE!</v>
      </c>
      <c r="P24" s="49">
        <f>IFERROR(VLOOKUP(C24,Purchased!A:E,3,FALSE),"")</f>
        <v>0</v>
      </c>
      <c r="Q24" s="50">
        <f t="shared" si="4"/>
        <v>0</v>
      </c>
    </row>
    <row r="25" spans="1:17" s="2" customFormat="1" ht="12" customHeight="1">
      <c r="A25" s="4">
        <f t="shared" si="2"/>
        <v>321</v>
      </c>
      <c r="B25" s="2">
        <v>1</v>
      </c>
      <c r="C25" s="109" t="s">
        <v>90</v>
      </c>
      <c r="D25" s="268" t="str">
        <f>VLOOKUP(C25,Purchased!A:B,2,0)</f>
        <v>Hammond general purpose transformer, open core, 15 kVA, 3-phase, 480 VAC Delta primary, 208Y/120 VAC secondary, 60 Hz, NEMA 3R, floor, wall or ceiling mount.</v>
      </c>
      <c r="E25" s="269"/>
      <c r="F25" s="112" t="str">
        <f>VLOOKUP(C25,Purchased!A:Q,9,0)</f>
        <v>Hammond</v>
      </c>
      <c r="G25" s="112" t="str">
        <f>VLOOKUP(C25,Purchased!A:Q,10,0)</f>
        <v>AutoDir</v>
      </c>
      <c r="H25" s="112" t="str">
        <f>VLOOKUP(C25,Purchased!A:Q,12,0)</f>
        <v xml:space="preserve"> </v>
      </c>
      <c r="I25" s="113"/>
      <c r="J25" s="44">
        <f>VLOOKUP(C25,Purchased!A:Q,14,0)</f>
        <v>45012</v>
      </c>
      <c r="K25" s="44">
        <f>VLOOKUP(C25,Purchased!A:Q,14,0)</f>
        <v>45012</v>
      </c>
      <c r="L25" s="44">
        <f>VLOOKUP(C25,Purchased!A:Q,15,0)</f>
        <v>45042</v>
      </c>
      <c r="M25" s="44">
        <f>VLOOKUP(C25,Purchased!A:Q,16,0)</f>
        <v>45042</v>
      </c>
      <c r="N25" s="45">
        <f>VLOOKUP(C25,Purchased!A:Q,17,0)</f>
        <v>54821</v>
      </c>
      <c r="O25" s="45" t="e">
        <f t="shared" ca="1" si="0"/>
        <v>#VALUE!</v>
      </c>
      <c r="P25" s="49">
        <f>IFERROR(VLOOKUP(C25,Purchased!A:E,3,FALSE),"")</f>
        <v>1425</v>
      </c>
      <c r="Q25" s="50">
        <f t="shared" si="1"/>
        <v>1425</v>
      </c>
    </row>
    <row r="26" spans="1:17" s="2" customFormat="1" ht="12" customHeight="1">
      <c r="A26" s="4">
        <f t="shared" si="2"/>
        <v>322</v>
      </c>
      <c r="B26" s="2">
        <v>1</v>
      </c>
      <c r="C26" s="114" t="s">
        <v>91</v>
      </c>
      <c r="D26" s="268" t="str">
        <f>VLOOKUP(C26,Purchased!A:B,2,0)</f>
        <v>Panduit VeriSafe 1.0 AVT, 8' (2.4m) system cable, 10' (3m) sensor leads</v>
      </c>
      <c r="E26" s="269"/>
      <c r="F26" s="112" t="str">
        <f>VLOOKUP(C26,Purchased!A:Q,9,0)</f>
        <v>Panduit</v>
      </c>
      <c r="G26" s="112" t="str">
        <f>VLOOKUP(C26,Purchased!A:Q,10,0)</f>
        <v>OnlineComp</v>
      </c>
      <c r="H26" s="112" t="str">
        <f>VLOOKUP(C26,Purchased!A:Q,12,0)</f>
        <v xml:space="preserve"> </v>
      </c>
      <c r="I26" s="113"/>
      <c r="J26" s="44">
        <f>VLOOKUP(C26,Purchased!A:Q,14,0)</f>
        <v>45089</v>
      </c>
      <c r="K26" s="44">
        <f>VLOOKUP(C26,Purchased!A:Q,14,0)</f>
        <v>45089</v>
      </c>
      <c r="L26" s="44">
        <f>VLOOKUP(C26,Purchased!A:Q,15,0)</f>
        <v>45096</v>
      </c>
      <c r="M26" s="44">
        <f>VLOOKUP(C26,Purchased!A:Q,16,0)</f>
        <v>45096</v>
      </c>
      <c r="N26" s="45">
        <f>VLOOKUP(C26,Purchased!A:Q,17,0)</f>
        <v>54932</v>
      </c>
      <c r="O26" s="45" t="e">
        <f t="shared" ca="1" si="0"/>
        <v>#VALUE!</v>
      </c>
      <c r="P26" s="49">
        <f>IFERROR(VLOOKUP(C26,Purchased!A:E,3,FALSE),"")</f>
        <v>397.68</v>
      </c>
      <c r="Q26" s="50">
        <f t="shared" si="1"/>
        <v>397.68</v>
      </c>
    </row>
    <row r="27" spans="1:17" s="2" customFormat="1" ht="12" customHeight="1">
      <c r="A27" s="4">
        <f t="shared" si="2"/>
        <v>323</v>
      </c>
      <c r="C27" s="114"/>
      <c r="D27" s="268"/>
      <c r="E27" s="269"/>
      <c r="F27" s="112"/>
      <c r="G27" s="112"/>
      <c r="H27" s="112"/>
      <c r="I27" s="113"/>
      <c r="J27" s="44"/>
      <c r="K27" s="44"/>
      <c r="L27" s="44"/>
      <c r="M27" s="44"/>
      <c r="N27" s="45"/>
      <c r="O27" s="45"/>
      <c r="P27" s="49"/>
      <c r="Q27" s="50"/>
    </row>
    <row r="28" spans="1:17" s="2" customFormat="1" ht="12" customHeight="1">
      <c r="A28" s="4">
        <f t="shared" si="2"/>
        <v>324</v>
      </c>
      <c r="C28" s="114"/>
      <c r="D28" s="268"/>
      <c r="E28" s="269"/>
      <c r="F28" s="112"/>
      <c r="G28" s="112"/>
      <c r="H28" s="112"/>
      <c r="I28" s="113"/>
      <c r="J28" s="44"/>
      <c r="K28" s="44"/>
      <c r="L28" s="44"/>
      <c r="M28" s="44"/>
      <c r="N28" s="45"/>
      <c r="O28" s="45"/>
      <c r="P28" s="49"/>
      <c r="Q28" s="50"/>
    </row>
    <row r="29" spans="1:17" s="2" customFormat="1" ht="12" customHeight="1">
      <c r="A29" s="4">
        <f t="shared" si="2"/>
        <v>325</v>
      </c>
      <c r="C29" s="114"/>
      <c r="D29" s="268"/>
      <c r="E29" s="269"/>
      <c r="F29" s="112"/>
      <c r="G29" s="112"/>
      <c r="H29" s="112"/>
      <c r="I29" s="113"/>
      <c r="J29" s="44"/>
      <c r="K29" s="44"/>
      <c r="L29" s="44"/>
      <c r="M29" s="44"/>
      <c r="N29" s="45"/>
      <c r="O29" s="45"/>
      <c r="P29" s="49"/>
      <c r="Q29" s="50"/>
    </row>
    <row r="30" spans="1:17" s="2" customFormat="1" ht="12" customHeight="1">
      <c r="A30" s="4">
        <f t="shared" si="2"/>
        <v>326</v>
      </c>
      <c r="C30" s="114"/>
      <c r="D30" s="268"/>
      <c r="E30" s="269"/>
      <c r="F30" s="112"/>
      <c r="G30" s="112"/>
      <c r="H30" s="112"/>
      <c r="I30" s="113"/>
      <c r="J30" s="44"/>
      <c r="K30" s="44"/>
      <c r="L30" s="44"/>
      <c r="M30" s="44"/>
      <c r="N30" s="45"/>
      <c r="O30" s="45"/>
      <c r="P30" s="49"/>
      <c r="Q30" s="50"/>
    </row>
    <row r="31" spans="1:17" s="2" customFormat="1" ht="12" customHeight="1">
      <c r="A31" s="4">
        <f t="shared" si="2"/>
        <v>327</v>
      </c>
      <c r="C31" s="114"/>
      <c r="D31" s="268"/>
      <c r="E31" s="269"/>
      <c r="F31" s="112"/>
      <c r="G31" s="112"/>
      <c r="H31" s="112"/>
      <c r="I31" s="113"/>
      <c r="J31" s="44"/>
      <c r="K31" s="44"/>
      <c r="L31" s="44"/>
      <c r="M31" s="44"/>
      <c r="N31" s="45"/>
      <c r="O31" s="45"/>
      <c r="P31" s="49"/>
      <c r="Q31" s="50"/>
    </row>
    <row r="32" spans="1:17" s="2" customFormat="1" ht="12" customHeight="1">
      <c r="A32" s="4">
        <f t="shared" si="2"/>
        <v>328</v>
      </c>
      <c r="C32" s="114"/>
      <c r="D32" s="268"/>
      <c r="E32" s="269"/>
      <c r="F32" s="112"/>
      <c r="G32" s="112"/>
      <c r="H32" s="112"/>
      <c r="I32" s="113"/>
      <c r="J32" s="44"/>
      <c r="K32" s="44"/>
      <c r="L32" s="44"/>
      <c r="M32" s="44"/>
      <c r="N32" s="45"/>
      <c r="O32" s="45"/>
      <c r="P32" s="49"/>
      <c r="Q32" s="50"/>
    </row>
    <row r="33" spans="1:17" s="2" customFormat="1" ht="12" customHeight="1">
      <c r="A33" s="4">
        <f t="shared" si="2"/>
        <v>329</v>
      </c>
      <c r="C33" s="114"/>
      <c r="D33" s="268"/>
      <c r="E33" s="269"/>
      <c r="F33" s="112"/>
      <c r="G33" s="112"/>
      <c r="H33" s="112"/>
      <c r="I33" s="113"/>
      <c r="J33" s="44"/>
      <c r="K33" s="44"/>
      <c r="L33" s="44"/>
      <c r="M33" s="44"/>
      <c r="N33" s="45"/>
      <c r="O33" s="45"/>
      <c r="P33" s="49"/>
      <c r="Q33" s="50"/>
    </row>
    <row r="34" spans="1:17" s="2" customFormat="1" ht="12" customHeight="1">
      <c r="A34" s="4">
        <f t="shared" si="2"/>
        <v>330</v>
      </c>
      <c r="C34" s="114"/>
      <c r="D34" s="268"/>
      <c r="E34" s="269"/>
      <c r="F34" s="112"/>
      <c r="G34" s="112"/>
      <c r="H34" s="112"/>
      <c r="I34" s="113"/>
      <c r="J34" s="44"/>
      <c r="K34" s="44"/>
      <c r="L34" s="44"/>
      <c r="M34" s="44"/>
      <c r="N34" s="45"/>
      <c r="O34" s="45"/>
      <c r="P34" s="49"/>
      <c r="Q34" s="50"/>
    </row>
    <row r="35" spans="1:17" s="2" customFormat="1" ht="12" customHeight="1">
      <c r="A35" s="4">
        <f t="shared" si="2"/>
        <v>331</v>
      </c>
      <c r="C35" s="114"/>
      <c r="D35" s="268"/>
      <c r="E35" s="269"/>
      <c r="F35" s="112"/>
      <c r="G35" s="112"/>
      <c r="H35" s="112"/>
      <c r="I35" s="113"/>
      <c r="J35" s="44"/>
      <c r="K35" s="44"/>
      <c r="L35" s="44"/>
      <c r="M35" s="44"/>
      <c r="N35" s="45"/>
      <c r="O35" s="45"/>
      <c r="P35" s="49"/>
      <c r="Q35" s="50"/>
    </row>
    <row r="36" spans="1:17" s="2" customFormat="1" ht="12" customHeight="1">
      <c r="A36" s="4">
        <f t="shared" si="2"/>
        <v>332</v>
      </c>
      <c r="C36" s="114"/>
      <c r="D36" s="268"/>
      <c r="E36" s="269"/>
      <c r="F36" s="112"/>
      <c r="G36" s="112"/>
      <c r="H36" s="112"/>
      <c r="I36" s="113"/>
      <c r="J36" s="44"/>
      <c r="K36" s="44"/>
      <c r="L36" s="44"/>
      <c r="M36" s="44"/>
      <c r="N36" s="45"/>
      <c r="O36" s="45"/>
      <c r="P36" s="49"/>
      <c r="Q36" s="50"/>
    </row>
    <row r="37" spans="1:17" s="2" customFormat="1" ht="12" customHeight="1">
      <c r="A37" s="4">
        <f t="shared" si="2"/>
        <v>333</v>
      </c>
      <c r="B37" s="2">
        <v>2</v>
      </c>
      <c r="C37" s="114" t="s">
        <v>92</v>
      </c>
      <c r="D37" s="268" t="str">
        <f>VLOOKUP(C37,Purchased!A:B,2,0)</f>
        <v>CIRCUIT BREAKER, 80VDC RATED, U2 TRIP CURVE, 1POLE, 2A</v>
      </c>
      <c r="E37" s="269"/>
      <c r="F37" s="112" t="str">
        <f>VLOOKUP(C37,Purchased!A:Q,9,0)</f>
        <v>CBI</v>
      </c>
      <c r="G37" s="112" t="str">
        <f>VLOOKUP(C37,Purchased!A:Q,10,0)</f>
        <v>CRAVE</v>
      </c>
      <c r="H37" s="112">
        <f>VLOOKUP(C37,Purchased!A:Q,12,0)</f>
        <v>0</v>
      </c>
      <c r="I37" s="113"/>
      <c r="J37" s="44">
        <f>VLOOKUP(C37,Purchased!A:Q,14,0)</f>
        <v>0</v>
      </c>
      <c r="K37" s="44">
        <f>VLOOKUP(C37,Purchased!A:Q,14,0)</f>
        <v>0</v>
      </c>
      <c r="L37" s="44">
        <f>VLOOKUP(C37,Purchased!A:Q,15,0)</f>
        <v>0</v>
      </c>
      <c r="M37" s="44">
        <f>VLOOKUP(C37,Purchased!A:Q,16,0)</f>
        <v>0</v>
      </c>
      <c r="N37" s="45">
        <f>VLOOKUP(C37,Purchased!A:Q,17,0)</f>
        <v>0</v>
      </c>
      <c r="O37" s="45" t="e">
        <f t="shared" ref="O37:O99" ca="1" si="5">B37*$L$2</f>
        <v>#VALUE!</v>
      </c>
      <c r="P37" s="49">
        <f>IFERROR(VLOOKUP(C37,Purchased!A:E,3,FALSE),"")</f>
        <v>0</v>
      </c>
      <c r="Q37" s="50">
        <f t="shared" ref="Q37:Q99" si="6">IFERROR(B37*P37,"")</f>
        <v>0</v>
      </c>
    </row>
    <row r="38" spans="1:17" s="2" customFormat="1" ht="12" customHeight="1">
      <c r="A38" s="4">
        <f t="shared" si="2"/>
        <v>334</v>
      </c>
      <c r="B38" s="2">
        <v>4</v>
      </c>
      <c r="C38" s="114" t="s">
        <v>93</v>
      </c>
      <c r="D38" s="268" t="str">
        <f>VLOOKUP(C38,Purchased!A:B,2,0)</f>
        <v>CIRCUIT BREAKER, 80VDC RATED, U2 TRIP CURVE, 1POLE, 4A</v>
      </c>
      <c r="E38" s="269"/>
      <c r="F38" s="112" t="str">
        <f>VLOOKUP(C38,Purchased!A:Q,9,0)</f>
        <v>CBI</v>
      </c>
      <c r="G38" s="112" t="str">
        <f>VLOOKUP(C38,Purchased!A:Q,10,0)</f>
        <v>CRAVE</v>
      </c>
      <c r="H38" s="112">
        <f>VLOOKUP(C38,Purchased!A:Q,12,0)</f>
        <v>0</v>
      </c>
      <c r="I38" s="113"/>
      <c r="J38" s="44">
        <f>VLOOKUP(C38,Purchased!A:Q,14,0)</f>
        <v>0</v>
      </c>
      <c r="K38" s="44">
        <f>VLOOKUP(C38,Purchased!A:Q,14,0)</f>
        <v>0</v>
      </c>
      <c r="L38" s="44">
        <f>VLOOKUP(C38,Purchased!A:Q,15,0)</f>
        <v>0</v>
      </c>
      <c r="M38" s="44">
        <f>VLOOKUP(C38,Purchased!A:Q,16,0)</f>
        <v>0</v>
      </c>
      <c r="N38" s="45">
        <f>VLOOKUP(C38,Purchased!A:Q,17,0)</f>
        <v>0</v>
      </c>
      <c r="O38" s="45" t="e">
        <f t="shared" ca="1" si="5"/>
        <v>#VALUE!</v>
      </c>
      <c r="P38" s="49">
        <f>IFERROR(VLOOKUP(C38,Purchased!A:E,3,FALSE),"")</f>
        <v>0</v>
      </c>
      <c r="Q38" s="50">
        <f t="shared" si="6"/>
        <v>0</v>
      </c>
    </row>
    <row r="39" spans="1:17" s="2" customFormat="1" ht="12" customHeight="1">
      <c r="A39" s="4">
        <f t="shared" si="2"/>
        <v>335</v>
      </c>
      <c r="B39" s="2">
        <v>2</v>
      </c>
      <c r="C39" s="114" t="s">
        <v>94</v>
      </c>
      <c r="D39" s="268" t="str">
        <f>VLOOKUP(C39,Purchased!A:B,2,0)</f>
        <v>CIRCUIT BREAKER, 80VDC RATED, U2 TRIP CURVE, 1POLE, 7A</v>
      </c>
      <c r="E39" s="269"/>
      <c r="F39" s="112" t="str">
        <f>VLOOKUP(C39,Purchased!A:Q,9,0)</f>
        <v>CBI</v>
      </c>
      <c r="G39" s="112" t="str">
        <f>VLOOKUP(C39,Purchased!A:Q,10,0)</f>
        <v>CRAVE</v>
      </c>
      <c r="H39" s="112">
        <f>VLOOKUP(C39,Purchased!A:Q,12,0)</f>
        <v>0</v>
      </c>
      <c r="I39" s="113"/>
      <c r="J39" s="44">
        <f>VLOOKUP(C39,Purchased!A:Q,14,0)</f>
        <v>0</v>
      </c>
      <c r="K39" s="44">
        <f>VLOOKUP(C39,Purchased!A:Q,14,0)</f>
        <v>0</v>
      </c>
      <c r="L39" s="44">
        <f>VLOOKUP(C39,Purchased!A:Q,15,0)</f>
        <v>0</v>
      </c>
      <c r="M39" s="44">
        <f>VLOOKUP(C39,Purchased!A:Q,16,0)</f>
        <v>0</v>
      </c>
      <c r="N39" s="45">
        <f>VLOOKUP(C39,Purchased!A:Q,17,0)</f>
        <v>0</v>
      </c>
      <c r="O39" s="45" t="e">
        <f t="shared" ca="1" si="5"/>
        <v>#VALUE!</v>
      </c>
      <c r="P39" s="49">
        <f>IFERROR(VLOOKUP(C39,Purchased!A:E,3,FALSE),"")</f>
        <v>0</v>
      </c>
      <c r="Q39" s="50">
        <f t="shared" si="6"/>
        <v>0</v>
      </c>
    </row>
    <row r="40" spans="1:17" s="2" customFormat="1" ht="12" customHeight="1">
      <c r="A40" s="4">
        <f t="shared" si="2"/>
        <v>336</v>
      </c>
      <c r="B40" s="2">
        <v>2</v>
      </c>
      <c r="C40" s="114" t="s">
        <v>95</v>
      </c>
      <c r="D40" s="268" t="str">
        <f>VLOOKUP(C40,Purchased!A:B,2,0)</f>
        <v>CIRCUIT BREAKER, 80VDC RATED, U2 TRIP CURVE, 1POLE, 10A</v>
      </c>
      <c r="E40" s="269"/>
      <c r="F40" s="112" t="str">
        <f>VLOOKUP(C40,Purchased!A:Q,9,0)</f>
        <v>CBI</v>
      </c>
      <c r="G40" s="112" t="str">
        <f>VLOOKUP(C40,Purchased!A:Q,10,0)</f>
        <v>CRAVE</v>
      </c>
      <c r="H40" s="112">
        <f>VLOOKUP(C40,Purchased!A:Q,12,0)</f>
        <v>0</v>
      </c>
      <c r="I40" s="113"/>
      <c r="J40" s="44">
        <f>VLOOKUP(C40,Purchased!A:Q,14,0)</f>
        <v>0</v>
      </c>
      <c r="K40" s="44">
        <f>VLOOKUP(C40,Purchased!A:Q,14,0)</f>
        <v>0</v>
      </c>
      <c r="L40" s="44">
        <f>VLOOKUP(C40,Purchased!A:Q,15,0)</f>
        <v>0</v>
      </c>
      <c r="M40" s="44">
        <f>VLOOKUP(C40,Purchased!A:Q,16,0)</f>
        <v>0</v>
      </c>
      <c r="N40" s="45">
        <f>VLOOKUP(C40,Purchased!A:Q,17,0)</f>
        <v>0</v>
      </c>
      <c r="O40" s="45" t="e">
        <f t="shared" ca="1" si="5"/>
        <v>#VALUE!</v>
      </c>
      <c r="P40" s="49">
        <f>IFERROR(VLOOKUP(C40,Purchased!A:E,3,FALSE),"")</f>
        <v>0</v>
      </c>
      <c r="Q40" s="50">
        <f t="shared" si="6"/>
        <v>0</v>
      </c>
    </row>
    <row r="41" spans="1:17" s="2" customFormat="1" ht="12" customHeight="1">
      <c r="A41" s="4">
        <f t="shared" si="2"/>
        <v>337</v>
      </c>
      <c r="B41" s="2">
        <v>1</v>
      </c>
      <c r="C41" s="114" t="s">
        <v>96</v>
      </c>
      <c r="D41" s="268" t="str">
        <f>VLOOKUP(C41,Purchased!A:B,2,0)</f>
        <v>INDUSTRIAL CONTROL TRANSFORMER, 500VA, 208/277VAC X 120V, 2.8FLA PRIMARY, 4FLA SECONDARY</v>
      </c>
      <c r="E41" s="269"/>
      <c r="F41" s="112" t="str">
        <f>VLOOKUP(C41,Purchased!A:Q,9,0)</f>
        <v>EATON</v>
      </c>
      <c r="G41" s="112" t="str">
        <f>VLOOKUP(C41,Purchased!A:Q,10,0)</f>
        <v>CRAVE</v>
      </c>
      <c r="H41" s="112">
        <f>VLOOKUP(C41,Purchased!A:Q,12,0)</f>
        <v>0</v>
      </c>
      <c r="I41" s="113"/>
      <c r="J41" s="44">
        <f>VLOOKUP(C41,Purchased!A:Q,14,0)</f>
        <v>0</v>
      </c>
      <c r="K41" s="44">
        <f>VLOOKUP(C41,Purchased!A:Q,14,0)</f>
        <v>0</v>
      </c>
      <c r="L41" s="44">
        <f>VLOOKUP(C41,Purchased!A:Q,15,0)</f>
        <v>0</v>
      </c>
      <c r="M41" s="44">
        <f>VLOOKUP(C41,Purchased!A:Q,16,0)</f>
        <v>0</v>
      </c>
      <c r="N41" s="45">
        <f>VLOOKUP(C41,Purchased!A:Q,17,0)</f>
        <v>0</v>
      </c>
      <c r="O41" s="45" t="e">
        <f t="shared" ca="1" si="5"/>
        <v>#VALUE!</v>
      </c>
      <c r="P41" s="49">
        <f>IFERROR(VLOOKUP(C41,Purchased!A:E,3,FALSE),"")</f>
        <v>0</v>
      </c>
      <c r="Q41" s="50">
        <f t="shared" si="6"/>
        <v>0</v>
      </c>
    </row>
    <row r="42" spans="1:17" s="2" customFormat="1" ht="12" customHeight="1">
      <c r="A42" s="4">
        <f t="shared" si="2"/>
        <v>338</v>
      </c>
      <c r="B42" s="2">
        <v>1</v>
      </c>
      <c r="C42" s="114" t="s">
        <v>97</v>
      </c>
      <c r="D42" s="268" t="str">
        <f>VLOOKUP(C42,Purchased!A:B,2,0)</f>
        <v>FINGER-SAFE TERMINAL COVERS, SIX TERMINAL TRANSFORMERS</v>
      </c>
      <c r="E42" s="269"/>
      <c r="F42" s="112" t="str">
        <f>VLOOKUP(C42,Purchased!A:Q,9,0)</f>
        <v>EATON</v>
      </c>
      <c r="G42" s="112" t="str">
        <f>VLOOKUP(C42,Purchased!A:Q,10,0)</f>
        <v>CRAVE</v>
      </c>
      <c r="H42" s="112">
        <f>VLOOKUP(C42,Purchased!A:Q,12,0)</f>
        <v>0</v>
      </c>
      <c r="I42" s="113"/>
      <c r="J42" s="44">
        <f>VLOOKUP(C42,Purchased!A:Q,14,0)</f>
        <v>0</v>
      </c>
      <c r="K42" s="44">
        <f>VLOOKUP(C42,Purchased!A:Q,14,0)</f>
        <v>0</v>
      </c>
      <c r="L42" s="44">
        <f>VLOOKUP(C42,Purchased!A:Q,15,0)</f>
        <v>0</v>
      </c>
      <c r="M42" s="44">
        <f>VLOOKUP(C42,Purchased!A:Q,16,0)</f>
        <v>0</v>
      </c>
      <c r="N42" s="45">
        <f>VLOOKUP(C42,Purchased!A:Q,17,0)</f>
        <v>0</v>
      </c>
      <c r="O42" s="45" t="e">
        <f t="shared" ca="1" si="5"/>
        <v>#VALUE!</v>
      </c>
      <c r="P42" s="49">
        <f>IFERROR(VLOOKUP(C42,Purchased!A:E,3,FALSE),"")</f>
        <v>0</v>
      </c>
      <c r="Q42" s="50">
        <f t="shared" si="6"/>
        <v>0</v>
      </c>
    </row>
    <row r="43" spans="1:17" s="2" customFormat="1" ht="12" customHeight="1">
      <c r="A43" s="4">
        <f t="shared" si="2"/>
        <v>339</v>
      </c>
      <c r="B43" s="2">
        <v>1</v>
      </c>
      <c r="C43" s="114" t="s">
        <v>98</v>
      </c>
      <c r="D43" s="268" t="str">
        <f>VLOOKUP(C43,Purchased!A:B,2,0)</f>
        <v>Power Distribution Blocks, Open, 175A, Three-pole, 2/0-#8AWG line, (6)#4-#14AWG load. Panel mount</v>
      </c>
      <c r="E43" s="269"/>
      <c r="F43" s="112" t="str">
        <f>VLOOKUP(C43,Purchased!A:Q,9,0)</f>
        <v>EATON</v>
      </c>
      <c r="G43" s="112" t="str">
        <f>VLOOKUP(C43,Purchased!A:Q,10,0)</f>
        <v>CRAVE</v>
      </c>
      <c r="H43" s="112">
        <f>VLOOKUP(C43,Purchased!A:Q,12,0)</f>
        <v>0</v>
      </c>
      <c r="I43" s="113"/>
      <c r="J43" s="44">
        <f>VLOOKUP(C43,Purchased!A:Q,14,0)</f>
        <v>0</v>
      </c>
      <c r="K43" s="44">
        <f>VLOOKUP(C43,Purchased!A:Q,14,0)</f>
        <v>0</v>
      </c>
      <c r="L43" s="44">
        <f>VLOOKUP(C43,Purchased!A:Q,15,0)</f>
        <v>0</v>
      </c>
      <c r="M43" s="44">
        <f>VLOOKUP(C43,Purchased!A:Q,16,0)</f>
        <v>0</v>
      </c>
      <c r="N43" s="45">
        <f>VLOOKUP(C43,Purchased!A:Q,17,0)</f>
        <v>0</v>
      </c>
      <c r="O43" s="45" t="e">
        <f t="shared" ca="1" si="5"/>
        <v>#VALUE!</v>
      </c>
      <c r="P43" s="49">
        <f>IFERROR(VLOOKUP(C43,Purchased!A:E,3,FALSE),"")</f>
        <v>0</v>
      </c>
      <c r="Q43" s="50">
        <f t="shared" si="6"/>
        <v>0</v>
      </c>
    </row>
    <row r="44" spans="1:17" s="2" customFormat="1" ht="12" customHeight="1">
      <c r="A44" s="4">
        <f t="shared" si="2"/>
        <v>340</v>
      </c>
      <c r="B44" s="2">
        <v>1</v>
      </c>
      <c r="C44" s="114" t="s">
        <v>99</v>
      </c>
      <c r="D44" s="268" t="str">
        <f>VLOOKUP(C44,Purchased!A:B,2,0)</f>
        <v>3 POLE COVER FOR CHDB PDB'S</v>
      </c>
      <c r="E44" s="269"/>
      <c r="F44" s="112" t="str">
        <f>VLOOKUP(C44,Purchased!A:Q,9,0)</f>
        <v>EATON</v>
      </c>
      <c r="G44" s="112" t="str">
        <f>VLOOKUP(C44,Purchased!A:Q,10,0)</f>
        <v>CRAVE</v>
      </c>
      <c r="H44" s="112">
        <f>VLOOKUP(C44,Purchased!A:Q,12,0)</f>
        <v>0</v>
      </c>
      <c r="I44" s="113"/>
      <c r="J44" s="44">
        <f>VLOOKUP(C44,Purchased!A:Q,14,0)</f>
        <v>0</v>
      </c>
      <c r="K44" s="44">
        <f>VLOOKUP(C44,Purchased!A:Q,14,0)</f>
        <v>0</v>
      </c>
      <c r="L44" s="44">
        <f>VLOOKUP(C44,Purchased!A:Q,15,0)</f>
        <v>0</v>
      </c>
      <c r="M44" s="44">
        <f>VLOOKUP(C44,Purchased!A:Q,16,0)</f>
        <v>0</v>
      </c>
      <c r="N44" s="45">
        <f>VLOOKUP(C44,Purchased!A:Q,17,0)</f>
        <v>0</v>
      </c>
      <c r="O44" s="45" t="e">
        <f t="shared" ca="1" si="5"/>
        <v>#VALUE!</v>
      </c>
      <c r="P44" s="49">
        <f>IFERROR(VLOOKUP(C44,Purchased!A:E,3,FALSE),"")</f>
        <v>0</v>
      </c>
      <c r="Q44" s="50">
        <f t="shared" si="6"/>
        <v>0</v>
      </c>
    </row>
    <row r="45" spans="1:17" s="2" customFormat="1" ht="12" customHeight="1">
      <c r="A45" s="4">
        <f t="shared" si="2"/>
        <v>341</v>
      </c>
      <c r="B45" s="2">
        <v>1</v>
      </c>
      <c r="C45" s="114" t="s">
        <v>100</v>
      </c>
      <c r="D45" s="268" t="str">
        <f>VLOOKUP(C45,Purchased!A:B,2,0)</f>
        <v>Power Distribution Blocks, Enclosed, 380A, Single-pole, 500kcmil-#6AWG line, (6)#2-#14AWG load. Panel mount</v>
      </c>
      <c r="E45" s="269"/>
      <c r="F45" s="112" t="str">
        <f>VLOOKUP(C45,Purchased!A:Q,9,0)</f>
        <v>EATON</v>
      </c>
      <c r="G45" s="112" t="str">
        <f>VLOOKUP(C45,Purchased!A:Q,10,0)</f>
        <v>CRAVE</v>
      </c>
      <c r="H45" s="112">
        <f>VLOOKUP(C45,Purchased!A:Q,12,0)</f>
        <v>0</v>
      </c>
      <c r="I45" s="113"/>
      <c r="J45" s="44">
        <f>VLOOKUP(C45,Purchased!A:Q,14,0)</f>
        <v>0</v>
      </c>
      <c r="K45" s="44">
        <f>VLOOKUP(C45,Purchased!A:Q,14,0)</f>
        <v>0</v>
      </c>
      <c r="L45" s="44">
        <f>VLOOKUP(C45,Purchased!A:Q,15,0)</f>
        <v>0</v>
      </c>
      <c r="M45" s="44">
        <f>VLOOKUP(C45,Purchased!A:Q,16,0)</f>
        <v>0</v>
      </c>
      <c r="N45" s="45">
        <f>VLOOKUP(C45,Purchased!A:Q,17,0)</f>
        <v>0</v>
      </c>
      <c r="O45" s="45" t="e">
        <f t="shared" ca="1" si="5"/>
        <v>#VALUE!</v>
      </c>
      <c r="P45" s="49">
        <f>IFERROR(VLOOKUP(C45,Purchased!A:E,3,FALSE),"")</f>
        <v>0</v>
      </c>
      <c r="Q45" s="50">
        <f t="shared" si="6"/>
        <v>0</v>
      </c>
    </row>
    <row r="46" spans="1:17" s="2" customFormat="1" ht="12" customHeight="1">
      <c r="A46" s="4">
        <f t="shared" si="2"/>
        <v>342</v>
      </c>
      <c r="B46" s="2">
        <v>1</v>
      </c>
      <c r="C46" s="114" t="s">
        <v>101</v>
      </c>
      <c r="D46" s="268" t="str">
        <f>VLOOKUP(C46,Purchased!A:B,2,0)</f>
        <v>Disconnect Switch, Rotary, 100A, Class J fuses, 3 pole, 600V, K frame</v>
      </c>
      <c r="E46" s="269"/>
      <c r="F46" s="112" t="str">
        <f>VLOOKUP(C46,Purchased!A:Q,9,0)</f>
        <v>EATON</v>
      </c>
      <c r="G46" s="112" t="str">
        <f>VLOOKUP(C46,Purchased!A:Q,10,0)</f>
        <v>CRAVE</v>
      </c>
      <c r="H46" s="112">
        <f>VLOOKUP(C46,Purchased!A:Q,12,0)</f>
        <v>0</v>
      </c>
      <c r="I46" s="113"/>
      <c r="J46" s="44">
        <f>VLOOKUP(C46,Purchased!A:Q,14,0)</f>
        <v>0</v>
      </c>
      <c r="K46" s="44">
        <f>VLOOKUP(C46,Purchased!A:Q,14,0)</f>
        <v>0</v>
      </c>
      <c r="L46" s="44">
        <f>VLOOKUP(C46,Purchased!A:Q,15,0)</f>
        <v>0</v>
      </c>
      <c r="M46" s="44">
        <f>VLOOKUP(C46,Purchased!A:Q,16,0)</f>
        <v>0</v>
      </c>
      <c r="N46" s="45">
        <f>VLOOKUP(C46,Purchased!A:Q,17,0)</f>
        <v>0</v>
      </c>
      <c r="O46" s="45" t="e">
        <f t="shared" ca="1" si="5"/>
        <v>#VALUE!</v>
      </c>
      <c r="P46" s="49">
        <f>IFERROR(VLOOKUP(C46,Purchased!A:E,3,FALSE),"")</f>
        <v>0</v>
      </c>
      <c r="Q46" s="50">
        <f t="shared" si="6"/>
        <v>0</v>
      </c>
    </row>
    <row r="47" spans="1:17" s="2" customFormat="1" ht="12" customHeight="1">
      <c r="A47" s="4">
        <f t="shared" si="2"/>
        <v>343</v>
      </c>
      <c r="B47" s="2">
        <v>1</v>
      </c>
      <c r="C47" s="114" t="s">
        <v>102</v>
      </c>
      <c r="D47" s="268" t="str">
        <f>VLOOKUP(C47,Purchased!A:B,2,0)</f>
        <v>Flange Handle for side-operated rotary disconnect switch. NEMA Type 1, 3, 3R, 4, 12, 30 - 400A</v>
      </c>
      <c r="E47" s="269"/>
      <c r="F47" s="112" t="str">
        <f>VLOOKUP(C47,Purchased!A:Q,9,0)</f>
        <v>EATON</v>
      </c>
      <c r="G47" s="112" t="str">
        <f>VLOOKUP(C47,Purchased!A:Q,10,0)</f>
        <v>CRAVE</v>
      </c>
      <c r="H47" s="112">
        <f>VLOOKUP(C47,Purchased!A:Q,12,0)</f>
        <v>0</v>
      </c>
      <c r="I47" s="113"/>
      <c r="J47" s="44">
        <f>VLOOKUP(C47,Purchased!A:Q,14,0)</f>
        <v>0</v>
      </c>
      <c r="K47" s="44">
        <f>VLOOKUP(C47,Purchased!A:Q,14,0)</f>
        <v>0</v>
      </c>
      <c r="L47" s="44">
        <f>VLOOKUP(C47,Purchased!A:Q,15,0)</f>
        <v>0</v>
      </c>
      <c r="M47" s="44">
        <f>VLOOKUP(C47,Purchased!A:Q,16,0)</f>
        <v>0</v>
      </c>
      <c r="N47" s="45">
        <f>VLOOKUP(C47,Purchased!A:Q,17,0)</f>
        <v>0</v>
      </c>
      <c r="O47" s="45" t="e">
        <f t="shared" ca="1" si="5"/>
        <v>#VALUE!</v>
      </c>
      <c r="P47" s="49">
        <f>IFERROR(VLOOKUP(C47,Purchased!A:E,3,FALSE),"")</f>
        <v>0</v>
      </c>
      <c r="Q47" s="50">
        <f t="shared" si="6"/>
        <v>0</v>
      </c>
    </row>
    <row r="48" spans="1:17" s="2" customFormat="1" ht="12" customHeight="1">
      <c r="A48" s="4">
        <f t="shared" si="2"/>
        <v>344</v>
      </c>
      <c r="B48" s="2">
        <v>1</v>
      </c>
      <c r="C48" s="114" t="s">
        <v>103</v>
      </c>
      <c r="D48" s="268" t="str">
        <f>VLOOKUP(C48,Purchased!A:B,2,0)</f>
        <v>ROD OPERATOR, LINK BETWEEN FLANGE HANDLE AND SIDE OPERATED DISCONNECT SWITCH</v>
      </c>
      <c r="E48" s="269"/>
      <c r="F48" s="112" t="str">
        <f>VLOOKUP(C48,Purchased!A:Q,9,0)</f>
        <v>EATON</v>
      </c>
      <c r="G48" s="112" t="str">
        <f>VLOOKUP(C48,Purchased!A:Q,10,0)</f>
        <v>CRAVE</v>
      </c>
      <c r="H48" s="112">
        <f>VLOOKUP(C48,Purchased!A:Q,12,0)</f>
        <v>0</v>
      </c>
      <c r="I48" s="113"/>
      <c r="J48" s="44">
        <f>VLOOKUP(C48,Purchased!A:Q,14,0)</f>
        <v>0</v>
      </c>
      <c r="K48" s="44">
        <f>VLOOKUP(C48,Purchased!A:Q,14,0)</f>
        <v>0</v>
      </c>
      <c r="L48" s="44">
        <f>VLOOKUP(C48,Purchased!A:Q,15,0)</f>
        <v>0</v>
      </c>
      <c r="M48" s="44">
        <f>VLOOKUP(C48,Purchased!A:Q,16,0)</f>
        <v>0</v>
      </c>
      <c r="N48" s="45">
        <f>VLOOKUP(C48,Purchased!A:Q,17,0)</f>
        <v>0</v>
      </c>
      <c r="O48" s="45" t="e">
        <f t="shared" ca="1" si="5"/>
        <v>#VALUE!</v>
      </c>
      <c r="P48" s="49">
        <f>IFERROR(VLOOKUP(C48,Purchased!A:E,3,FALSE),"")</f>
        <v>0</v>
      </c>
      <c r="Q48" s="50">
        <f t="shared" si="6"/>
        <v>0</v>
      </c>
    </row>
    <row r="49" spans="1:17" s="2" customFormat="1" ht="12" customHeight="1">
      <c r="A49" s="4">
        <f t="shared" si="2"/>
        <v>345</v>
      </c>
      <c r="B49" s="2">
        <v>9</v>
      </c>
      <c r="C49" s="114" t="s">
        <v>104</v>
      </c>
      <c r="D49" s="268" t="str">
        <f>VLOOKUP(C49,Purchased!A:B,2,0)</f>
        <v>FUSE, UL CLASS J, TIME DELAY, 600V, 80A, 300KA INTERRUPT RATING</v>
      </c>
      <c r="E49" s="269"/>
      <c r="F49" s="112" t="str">
        <f>VLOOKUP(C49,Purchased!A:Q,9,0)</f>
        <v>BUSSMANN</v>
      </c>
      <c r="G49" s="112" t="str">
        <f>VLOOKUP(C49,Purchased!A:Q,10,0)</f>
        <v>CRAVE</v>
      </c>
      <c r="H49" s="112">
        <f>VLOOKUP(C49,Purchased!A:Q,12,0)</f>
        <v>0</v>
      </c>
      <c r="I49" s="113"/>
      <c r="J49" s="44">
        <f>VLOOKUP(C49,Purchased!A:Q,14,0)</f>
        <v>0</v>
      </c>
      <c r="K49" s="44">
        <f>VLOOKUP(C49,Purchased!A:Q,14,0)</f>
        <v>0</v>
      </c>
      <c r="L49" s="44">
        <f>VLOOKUP(C49,Purchased!A:Q,15,0)</f>
        <v>0</v>
      </c>
      <c r="M49" s="44">
        <f>VLOOKUP(C49,Purchased!A:Q,16,0)</f>
        <v>0</v>
      </c>
      <c r="N49" s="45">
        <f>VLOOKUP(C49,Purchased!A:Q,17,0)</f>
        <v>0</v>
      </c>
      <c r="O49" s="45" t="e">
        <f t="shared" ca="1" si="5"/>
        <v>#VALUE!</v>
      </c>
      <c r="P49" s="49">
        <f>IFERROR(VLOOKUP(C49,Purchased!A:E,3,FALSE),"")</f>
        <v>0</v>
      </c>
      <c r="Q49" s="50">
        <f t="shared" si="6"/>
        <v>0</v>
      </c>
    </row>
    <row r="50" spans="1:17" s="2" customFormat="1" ht="12" customHeight="1">
      <c r="A50" s="4">
        <f t="shared" si="2"/>
        <v>346</v>
      </c>
      <c r="B50" s="2">
        <v>1</v>
      </c>
      <c r="C50" s="114" t="s">
        <v>105</v>
      </c>
      <c r="D50" s="268" t="str">
        <f>VLOOKUP(C50,Purchased!A:B,2,0)</f>
        <v>TERMINAL BLOCK RELAY, 2PDT, 24VDC COIL, 250VAC/DC, 6A CONTACTS</v>
      </c>
      <c r="E50" s="269"/>
      <c r="F50" s="112" t="str">
        <f>VLOOKUP(C50,Purchased!A:Q,9,0)</f>
        <v>EATON</v>
      </c>
      <c r="G50" s="112" t="str">
        <f>VLOOKUP(C50,Purchased!A:Q,10,0)</f>
        <v>CRAVE</v>
      </c>
      <c r="H50" s="112">
        <f>VLOOKUP(C50,Purchased!A:Q,12,0)</f>
        <v>0</v>
      </c>
      <c r="I50" s="113"/>
      <c r="J50" s="44">
        <f>VLOOKUP(C50,Purchased!A:Q,14,0)</f>
        <v>0</v>
      </c>
      <c r="K50" s="44">
        <f>VLOOKUP(C50,Purchased!A:Q,14,0)</f>
        <v>0</v>
      </c>
      <c r="L50" s="44">
        <f>VLOOKUP(C50,Purchased!A:Q,15,0)</f>
        <v>0</v>
      </c>
      <c r="M50" s="44">
        <f>VLOOKUP(C50,Purchased!A:Q,16,0)</f>
        <v>0</v>
      </c>
      <c r="N50" s="45">
        <f>VLOOKUP(C50,Purchased!A:Q,17,0)</f>
        <v>0</v>
      </c>
      <c r="O50" s="45" t="e">
        <f t="shared" ca="1" si="5"/>
        <v>#VALUE!</v>
      </c>
      <c r="P50" s="49">
        <f>IFERROR(VLOOKUP(C50,Purchased!A:E,3,FALSE),"")</f>
        <v>0</v>
      </c>
      <c r="Q50" s="50">
        <f t="shared" si="6"/>
        <v>0</v>
      </c>
    </row>
    <row r="51" spans="1:17" s="2" customFormat="1" ht="12" customHeight="1">
      <c r="A51" s="4">
        <f t="shared" si="2"/>
        <v>347</v>
      </c>
      <c r="B51" s="2">
        <v>1</v>
      </c>
      <c r="C51" s="114" t="s">
        <v>106</v>
      </c>
      <c r="D51" s="268" t="str">
        <f>VLOOKUP(C51,Purchased!A:B,2,0)</f>
        <v>MAGNETIC CONTACTOR, 3-POLE, 20A, 1NC AUX , POSITIVELY DRIVEN, INTEGRATED SUPPRESSOR</v>
      </c>
      <c r="E51" s="269"/>
      <c r="F51" s="112" t="str">
        <f>VLOOKUP(C51,Purchased!A:Q,9,0)</f>
        <v>EATON</v>
      </c>
      <c r="G51" s="112" t="str">
        <f>VLOOKUP(C51,Purchased!A:Q,10,0)</f>
        <v>CRAVE</v>
      </c>
      <c r="H51" s="112">
        <f>VLOOKUP(C51,Purchased!A:Q,12,0)</f>
        <v>0</v>
      </c>
      <c r="I51" s="113"/>
      <c r="J51" s="44">
        <f>VLOOKUP(C51,Purchased!A:Q,14,0)</f>
        <v>0</v>
      </c>
      <c r="K51" s="44">
        <f>VLOOKUP(C51,Purchased!A:Q,14,0)</f>
        <v>0</v>
      </c>
      <c r="L51" s="44">
        <f>VLOOKUP(C51,Purchased!A:Q,15,0)</f>
        <v>0</v>
      </c>
      <c r="M51" s="44">
        <f>VLOOKUP(C51,Purchased!A:Q,16,0)</f>
        <v>0</v>
      </c>
      <c r="N51" s="45">
        <f>VLOOKUP(C51,Purchased!A:Q,17,0)</f>
        <v>0</v>
      </c>
      <c r="O51" s="45" t="e">
        <f t="shared" ca="1" si="5"/>
        <v>#VALUE!</v>
      </c>
      <c r="P51" s="49">
        <f>IFERROR(VLOOKUP(C51,Purchased!A:E,3,FALSE),"")</f>
        <v>0</v>
      </c>
      <c r="Q51" s="50">
        <f t="shared" si="6"/>
        <v>0</v>
      </c>
    </row>
    <row r="52" spans="1:17" s="2" customFormat="1" ht="12" customHeight="1">
      <c r="A52" s="4">
        <f t="shared" si="2"/>
        <v>348</v>
      </c>
      <c r="B52" s="2">
        <v>1</v>
      </c>
      <c r="C52" s="114" t="s">
        <v>107</v>
      </c>
      <c r="D52" s="268" t="str">
        <f>VLOOKUP(C52,Purchased!A:B,2,0)</f>
        <v>MAGNETIC CONTACTOR, 3-POLE, 40A, 1NC AUX , POSITIVELY DRIVEN, INTEGRATED SUPPRESSOR, 24VDC COIL</v>
      </c>
      <c r="E52" s="269"/>
      <c r="F52" s="112" t="str">
        <f>VLOOKUP(C52,Purchased!A:Q,9,0)</f>
        <v>EATON</v>
      </c>
      <c r="G52" s="112" t="str">
        <f>VLOOKUP(C52,Purchased!A:Q,10,0)</f>
        <v>CRAVE</v>
      </c>
      <c r="H52" s="112">
        <f>VLOOKUP(C52,Purchased!A:Q,12,0)</f>
        <v>0</v>
      </c>
      <c r="I52" s="113"/>
      <c r="J52" s="44">
        <f>VLOOKUP(C52,Purchased!A:Q,14,0)</f>
        <v>0</v>
      </c>
      <c r="K52" s="44">
        <f>VLOOKUP(C52,Purchased!A:Q,14,0)</f>
        <v>0</v>
      </c>
      <c r="L52" s="44">
        <f>VLOOKUP(C52,Purchased!A:Q,15,0)</f>
        <v>0</v>
      </c>
      <c r="M52" s="44">
        <f>VLOOKUP(C52,Purchased!A:Q,16,0)</f>
        <v>0</v>
      </c>
      <c r="N52" s="45">
        <f>VLOOKUP(C52,Purchased!A:Q,17,0)</f>
        <v>0</v>
      </c>
      <c r="O52" s="45" t="e">
        <f t="shared" ca="1" si="5"/>
        <v>#VALUE!</v>
      </c>
      <c r="P52" s="49">
        <f>IFERROR(VLOOKUP(C52,Purchased!A:E,3,FALSE),"")</f>
        <v>0</v>
      </c>
      <c r="Q52" s="50">
        <f t="shared" si="6"/>
        <v>0</v>
      </c>
    </row>
    <row r="53" spans="1:17" s="2" customFormat="1" ht="12" customHeight="1">
      <c r="A53" s="4">
        <f t="shared" si="2"/>
        <v>349</v>
      </c>
      <c r="B53" s="2">
        <v>1</v>
      </c>
      <c r="C53" s="114" t="s">
        <v>108</v>
      </c>
      <c r="D53" s="268" t="str">
        <f>VLOOKUP(C53,Purchased!A:B,2,0)</f>
        <v>CIRCUIT BREAKER, BK63HU 1P B4A 10kA 277VAC, 60VDC UL489</v>
      </c>
      <c r="E53" s="269"/>
      <c r="F53" s="112" t="str">
        <f>VLOOKUP(C53,Purchased!A:Q,9,0)</f>
        <v>LS ELECTRIC</v>
      </c>
      <c r="G53" s="112" t="str">
        <f>VLOOKUP(C53,Purchased!A:Q,10,0)</f>
        <v>CRAVE</v>
      </c>
      <c r="H53" s="112">
        <f>VLOOKUP(C53,Purchased!A:Q,12,0)</f>
        <v>0</v>
      </c>
      <c r="I53" s="113"/>
      <c r="J53" s="44">
        <f>VLOOKUP(C53,Purchased!A:Q,14,0)</f>
        <v>0</v>
      </c>
      <c r="K53" s="44">
        <f>VLOOKUP(C53,Purchased!A:Q,14,0)</f>
        <v>0</v>
      </c>
      <c r="L53" s="44">
        <f>VLOOKUP(C53,Purchased!A:Q,15,0)</f>
        <v>0</v>
      </c>
      <c r="M53" s="44">
        <f>VLOOKUP(C53,Purchased!A:Q,16,0)</f>
        <v>0</v>
      </c>
      <c r="N53" s="45">
        <f>VLOOKUP(C53,Purchased!A:Q,17,0)</f>
        <v>0</v>
      </c>
      <c r="O53" s="45" t="e">
        <f t="shared" ca="1" si="5"/>
        <v>#VALUE!</v>
      </c>
      <c r="P53" s="49">
        <f>IFERROR(VLOOKUP(C53,Purchased!A:E,3,FALSE),"")</f>
        <v>0</v>
      </c>
      <c r="Q53" s="50">
        <f t="shared" si="6"/>
        <v>0</v>
      </c>
    </row>
    <row r="54" spans="1:17" s="2" customFormat="1" ht="12" customHeight="1">
      <c r="A54" s="4">
        <f t="shared" si="2"/>
        <v>350</v>
      </c>
      <c r="B54" s="2">
        <v>1</v>
      </c>
      <c r="C54" s="114" t="s">
        <v>109</v>
      </c>
      <c r="D54" s="268" t="str">
        <f>VLOOKUP(C54,Purchased!A:B,2,0)</f>
        <v>CIRCUIT BREAKER, BK63HU 2P D1A 10KA, 480Y/277VAC, UL489</v>
      </c>
      <c r="E54" s="269"/>
      <c r="F54" s="112" t="str">
        <f>VLOOKUP(C54,Purchased!A:Q,9,0)</f>
        <v>LS ELECTRIC</v>
      </c>
      <c r="G54" s="112" t="str">
        <f>VLOOKUP(C54,Purchased!A:Q,10,0)</f>
        <v>CRAVE</v>
      </c>
      <c r="H54" s="112">
        <f>VLOOKUP(C54,Purchased!A:Q,12,0)</f>
        <v>0</v>
      </c>
      <c r="I54" s="113"/>
      <c r="J54" s="44">
        <f>VLOOKUP(C54,Purchased!A:Q,14,0)</f>
        <v>0</v>
      </c>
      <c r="K54" s="44">
        <f>VLOOKUP(C54,Purchased!A:Q,14,0)</f>
        <v>0</v>
      </c>
      <c r="L54" s="44">
        <f>VLOOKUP(C54,Purchased!A:Q,15,0)</f>
        <v>0</v>
      </c>
      <c r="M54" s="44">
        <f>VLOOKUP(C54,Purchased!A:Q,16,0)</f>
        <v>0</v>
      </c>
      <c r="N54" s="45">
        <f>VLOOKUP(C54,Purchased!A:Q,17,0)</f>
        <v>0</v>
      </c>
      <c r="O54" s="45" t="e">
        <f t="shared" ca="1" si="5"/>
        <v>#VALUE!</v>
      </c>
      <c r="P54" s="49">
        <f>IFERROR(VLOOKUP(C54,Purchased!A:E,3,FALSE),"")</f>
        <v>0</v>
      </c>
      <c r="Q54" s="50">
        <f t="shared" si="6"/>
        <v>0</v>
      </c>
    </row>
    <row r="55" spans="1:17" s="2" customFormat="1" ht="12" customHeight="1">
      <c r="A55" s="4">
        <f t="shared" si="2"/>
        <v>351</v>
      </c>
      <c r="B55" s="2">
        <v>1</v>
      </c>
      <c r="C55" s="114" t="s">
        <v>110</v>
      </c>
      <c r="D55" s="268" t="str">
        <f>VLOOKUP(C55,Purchased!A:B,2,0)</f>
        <v>CIRCUIT BREAKER, 3P D40A 10KA, 240VAC MAX, UL489</v>
      </c>
      <c r="E55" s="269"/>
      <c r="F55" s="112" t="str">
        <f>VLOOKUP(C55,Purchased!A:Q,9,0)</f>
        <v>LS ELECTRIC</v>
      </c>
      <c r="G55" s="112" t="str">
        <f>VLOOKUP(C55,Purchased!A:Q,10,0)</f>
        <v>CRAVE</v>
      </c>
      <c r="H55" s="112">
        <f>VLOOKUP(C55,Purchased!A:Q,12,0)</f>
        <v>0</v>
      </c>
      <c r="I55" s="113"/>
      <c r="J55" s="44">
        <f>VLOOKUP(C55,Purchased!A:Q,14,0)</f>
        <v>0</v>
      </c>
      <c r="K55" s="44">
        <f>VLOOKUP(C55,Purchased!A:Q,14,0)</f>
        <v>0</v>
      </c>
      <c r="L55" s="44">
        <f>VLOOKUP(C55,Purchased!A:Q,15,0)</f>
        <v>0</v>
      </c>
      <c r="M55" s="44">
        <f>VLOOKUP(C55,Purchased!A:Q,16,0)</f>
        <v>0</v>
      </c>
      <c r="N55" s="45">
        <f>VLOOKUP(C55,Purchased!A:Q,17,0)</f>
        <v>0</v>
      </c>
      <c r="O55" s="45" t="e">
        <f t="shared" ca="1" si="5"/>
        <v>#VALUE!</v>
      </c>
      <c r="P55" s="49">
        <f>IFERROR(VLOOKUP(C55,Purchased!A:E,3,FALSE),"")</f>
        <v>0</v>
      </c>
      <c r="Q55" s="50">
        <f t="shared" si="6"/>
        <v>0</v>
      </c>
    </row>
    <row r="56" spans="1:17" s="2" customFormat="1" ht="12" customHeight="1">
      <c r="A56" s="4">
        <f t="shared" si="2"/>
        <v>352</v>
      </c>
      <c r="B56" s="2">
        <v>2</v>
      </c>
      <c r="C56" s="114" t="s">
        <v>111</v>
      </c>
      <c r="D56" s="268" t="str">
        <f>VLOOKUP(C56,Purchased!A:B,2,0)</f>
        <v>CIRCUIT BREAKER, BK63HU 3P C2A 10KA, 480Y/277VAC, 60VDC UL489</v>
      </c>
      <c r="E56" s="269"/>
      <c r="F56" s="112" t="str">
        <f>VLOOKUP(C56,Purchased!A:Q,9,0)</f>
        <v>LS ELECTRIC</v>
      </c>
      <c r="G56" s="112" t="str">
        <f>VLOOKUP(C56,Purchased!A:Q,10,0)</f>
        <v>CRAVE</v>
      </c>
      <c r="H56" s="112">
        <f>VLOOKUP(C56,Purchased!A:Q,12,0)</f>
        <v>0</v>
      </c>
      <c r="I56" s="113"/>
      <c r="J56" s="44">
        <f>VLOOKUP(C56,Purchased!A:Q,14,0)</f>
        <v>0</v>
      </c>
      <c r="K56" s="44">
        <f>VLOOKUP(C56,Purchased!A:Q,14,0)</f>
        <v>0</v>
      </c>
      <c r="L56" s="44">
        <f>VLOOKUP(C56,Purchased!A:Q,15,0)</f>
        <v>0</v>
      </c>
      <c r="M56" s="44">
        <f>VLOOKUP(C56,Purchased!A:Q,16,0)</f>
        <v>0</v>
      </c>
      <c r="N56" s="45">
        <f>VLOOKUP(C56,Purchased!A:Q,17,0)</f>
        <v>0</v>
      </c>
      <c r="O56" s="45" t="e">
        <f t="shared" ca="1" si="5"/>
        <v>#VALUE!</v>
      </c>
      <c r="P56" s="49">
        <f>IFERROR(VLOOKUP(C56,Purchased!A:E,3,FALSE),"")</f>
        <v>0</v>
      </c>
      <c r="Q56" s="50">
        <f t="shared" si="6"/>
        <v>0</v>
      </c>
    </row>
    <row r="57" spans="1:17" s="2" customFormat="1" ht="12" customHeight="1">
      <c r="A57" s="4">
        <f t="shared" si="2"/>
        <v>353</v>
      </c>
      <c r="B57" s="2">
        <v>1</v>
      </c>
      <c r="C57" s="114" t="s">
        <v>112</v>
      </c>
      <c r="D57" s="268" t="str">
        <f>VLOOKUP(C57,Purchased!A:B,2,0)</f>
        <v>CIRCUIT BREAKER, BK63HU 3P C6A 10KA, 480Y/277VAC, 60VDC UL489</v>
      </c>
      <c r="E57" s="269"/>
      <c r="F57" s="112" t="str">
        <f>VLOOKUP(C57,Purchased!A:Q,9,0)</f>
        <v>LS ELECTRIC</v>
      </c>
      <c r="G57" s="112" t="str">
        <f>VLOOKUP(C57,Purchased!A:Q,10,0)</f>
        <v>CRAVE</v>
      </c>
      <c r="H57" s="112">
        <f>VLOOKUP(C57,Purchased!A:Q,12,0)</f>
        <v>0</v>
      </c>
      <c r="I57" s="113"/>
      <c r="J57" s="44">
        <f>VLOOKUP(C57,Purchased!A:Q,14,0)</f>
        <v>0</v>
      </c>
      <c r="K57" s="44">
        <f>VLOOKUP(C57,Purchased!A:Q,14,0)</f>
        <v>0</v>
      </c>
      <c r="L57" s="44">
        <f>VLOOKUP(C57,Purchased!A:Q,15,0)</f>
        <v>0</v>
      </c>
      <c r="M57" s="44">
        <f>VLOOKUP(C57,Purchased!A:Q,16,0)</f>
        <v>0</v>
      </c>
      <c r="N57" s="45">
        <f>VLOOKUP(C57,Purchased!A:Q,17,0)</f>
        <v>0</v>
      </c>
      <c r="O57" s="45" t="e">
        <f t="shared" ca="1" si="5"/>
        <v>#VALUE!</v>
      </c>
      <c r="P57" s="49">
        <f>IFERROR(VLOOKUP(C57,Purchased!A:E,3,FALSE),"")</f>
        <v>0</v>
      </c>
      <c r="Q57" s="50">
        <f t="shared" si="6"/>
        <v>0</v>
      </c>
    </row>
    <row r="58" spans="1:17" s="2" customFormat="1" ht="12" customHeight="1">
      <c r="A58" s="4">
        <f t="shared" si="2"/>
        <v>354</v>
      </c>
      <c r="B58" s="2">
        <v>4</v>
      </c>
      <c r="C58" s="114" t="s">
        <v>113</v>
      </c>
      <c r="D58" s="268" t="str">
        <f>VLOOKUP(C58,Purchased!A:B,2,0)</f>
        <v>CIRCUIT BREAKER 3P C10A 10kA 480Y/277VAC, 60VDC UL489</v>
      </c>
      <c r="E58" s="269"/>
      <c r="F58" s="112" t="str">
        <f>VLOOKUP(C58,Purchased!A:Q,9,0)</f>
        <v>LS ELECTRIC</v>
      </c>
      <c r="G58" s="112" t="str">
        <f>VLOOKUP(C58,Purchased!A:Q,10,0)</f>
        <v>CRAVE</v>
      </c>
      <c r="H58" s="112">
        <f>VLOOKUP(C58,Purchased!A:Q,12,0)</f>
        <v>0</v>
      </c>
      <c r="I58" s="113"/>
      <c r="J58" s="44">
        <f>VLOOKUP(C58,Purchased!A:Q,14,0)</f>
        <v>0</v>
      </c>
      <c r="K58" s="44">
        <f>VLOOKUP(C58,Purchased!A:Q,14,0)</f>
        <v>0</v>
      </c>
      <c r="L58" s="44">
        <f>VLOOKUP(C58,Purchased!A:Q,15,0)</f>
        <v>0</v>
      </c>
      <c r="M58" s="44">
        <f>VLOOKUP(C58,Purchased!A:Q,16,0)</f>
        <v>0</v>
      </c>
      <c r="N58" s="45">
        <f>VLOOKUP(C58,Purchased!A:Q,17,0)</f>
        <v>0</v>
      </c>
      <c r="O58" s="45" t="e">
        <f t="shared" ca="1" si="5"/>
        <v>#VALUE!</v>
      </c>
      <c r="P58" s="49">
        <f>IFERROR(VLOOKUP(C58,Purchased!A:E,3,FALSE),"")</f>
        <v>0</v>
      </c>
      <c r="Q58" s="50">
        <f t="shared" si="6"/>
        <v>0</v>
      </c>
    </row>
    <row r="59" spans="1:17" s="2" customFormat="1" ht="12" customHeight="1">
      <c r="A59" s="4">
        <f t="shared" si="2"/>
        <v>355</v>
      </c>
      <c r="B59" s="2">
        <v>1</v>
      </c>
      <c r="C59" s="114" t="s">
        <v>114</v>
      </c>
      <c r="D59" s="268" t="str">
        <f>VLOOKUP(C59,Purchased!A:B,2,0)</f>
        <v>CIRCUIT BREAKER 3P D10A 10kA 480Y/277VAC, 60VDC UL489</v>
      </c>
      <c r="E59" s="269"/>
      <c r="F59" s="112" t="str">
        <f>VLOOKUP(C59,Purchased!A:Q,9,0)</f>
        <v>LS ELECTRIC</v>
      </c>
      <c r="G59" s="112" t="str">
        <f>VLOOKUP(C59,Purchased!A:Q,10,0)</f>
        <v>CRAVE</v>
      </c>
      <c r="H59" s="112">
        <f>VLOOKUP(C59,Purchased!A:Q,12,0)</f>
        <v>0</v>
      </c>
      <c r="I59" s="113"/>
      <c r="J59" s="44">
        <f>VLOOKUP(C59,Purchased!A:Q,14,0)</f>
        <v>0</v>
      </c>
      <c r="K59" s="44">
        <f>VLOOKUP(C59,Purchased!A:Q,14,0)</f>
        <v>0</v>
      </c>
      <c r="L59" s="44">
        <f>VLOOKUP(C59,Purchased!A:Q,15,0)</f>
        <v>0</v>
      </c>
      <c r="M59" s="44">
        <f>VLOOKUP(C59,Purchased!A:Q,16,0)</f>
        <v>0</v>
      </c>
      <c r="N59" s="45">
        <f>VLOOKUP(C59,Purchased!A:Q,17,0)</f>
        <v>0</v>
      </c>
      <c r="O59" s="45" t="e">
        <f t="shared" ca="1" si="5"/>
        <v>#VALUE!</v>
      </c>
      <c r="P59" s="49">
        <f>IFERROR(VLOOKUP(C59,Purchased!A:E,3,FALSE),"")</f>
        <v>0</v>
      </c>
      <c r="Q59" s="50">
        <f t="shared" si="6"/>
        <v>0</v>
      </c>
    </row>
    <row r="60" spans="1:17" s="2" customFormat="1" ht="12" customHeight="1">
      <c r="A60" s="4">
        <f t="shared" si="2"/>
        <v>356</v>
      </c>
      <c r="B60" s="2">
        <v>2</v>
      </c>
      <c r="C60" s="114" t="s">
        <v>115</v>
      </c>
      <c r="D60" s="268" t="str">
        <f>VLOOKUP(C60,Purchased!A:B,2,0)</f>
        <v>CIRCUIT BREAKER, BK63HU 3P C15A 10kA 480Y/277VAC UL489</v>
      </c>
      <c r="E60" s="269"/>
      <c r="F60" s="112" t="str">
        <f>VLOOKUP(C60,Purchased!A:Q,9,0)</f>
        <v>LS ELECTRIC</v>
      </c>
      <c r="G60" s="112" t="str">
        <f>VLOOKUP(C60,Purchased!A:Q,10,0)</f>
        <v>CRAVE</v>
      </c>
      <c r="H60" s="112">
        <f>VLOOKUP(C60,Purchased!A:Q,12,0)</f>
        <v>0</v>
      </c>
      <c r="I60" s="113"/>
      <c r="J60" s="44">
        <f>VLOOKUP(C60,Purchased!A:Q,14,0)</f>
        <v>0</v>
      </c>
      <c r="K60" s="44">
        <f>VLOOKUP(C60,Purchased!A:Q,14,0)</f>
        <v>0</v>
      </c>
      <c r="L60" s="44">
        <f>VLOOKUP(C60,Purchased!A:Q,15,0)</f>
        <v>0</v>
      </c>
      <c r="M60" s="44">
        <f>VLOOKUP(C60,Purchased!A:Q,16,0)</f>
        <v>0</v>
      </c>
      <c r="N60" s="45">
        <f>VLOOKUP(C60,Purchased!A:Q,17,0)</f>
        <v>0</v>
      </c>
      <c r="O60" s="45" t="e">
        <f t="shared" ca="1" si="5"/>
        <v>#VALUE!</v>
      </c>
      <c r="P60" s="49">
        <f>IFERROR(VLOOKUP(C60,Purchased!A:E,3,FALSE),"")</f>
        <v>0</v>
      </c>
      <c r="Q60" s="50">
        <f t="shared" si="6"/>
        <v>0</v>
      </c>
    </row>
    <row r="61" spans="1:17" s="2" customFormat="1" ht="12" customHeight="1">
      <c r="A61" s="4">
        <f t="shared" si="2"/>
        <v>357</v>
      </c>
      <c r="B61" s="2">
        <v>1</v>
      </c>
      <c r="C61" s="114" t="s">
        <v>116</v>
      </c>
      <c r="D61" s="268" t="str">
        <f>VLOOKUP(C61,Purchased!A:B,2,0)</f>
        <v>CIRCUIT BREAKER, BK63HU 3P D15A 10KA 480Y/277VAC</v>
      </c>
      <c r="E61" s="269"/>
      <c r="F61" s="112" t="str">
        <f>VLOOKUP(C61,Purchased!A:Q,9,0)</f>
        <v>LS ELECTRIC</v>
      </c>
      <c r="G61" s="112" t="str">
        <f>VLOOKUP(C61,Purchased!A:Q,10,0)</f>
        <v>CRAVE</v>
      </c>
      <c r="H61" s="112">
        <f>VLOOKUP(C61,Purchased!A:Q,12,0)</f>
        <v>0</v>
      </c>
      <c r="I61" s="113"/>
      <c r="J61" s="44">
        <f>VLOOKUP(C61,Purchased!A:Q,14,0)</f>
        <v>0</v>
      </c>
      <c r="K61" s="44">
        <f>VLOOKUP(C61,Purchased!A:Q,14,0)</f>
        <v>0</v>
      </c>
      <c r="L61" s="44">
        <f>VLOOKUP(C61,Purchased!A:Q,15,0)</f>
        <v>0</v>
      </c>
      <c r="M61" s="44">
        <f>VLOOKUP(C61,Purchased!A:Q,16,0)</f>
        <v>0</v>
      </c>
      <c r="N61" s="45">
        <f>VLOOKUP(C61,Purchased!A:Q,17,0)</f>
        <v>0</v>
      </c>
      <c r="O61" s="45" t="e">
        <f t="shared" ca="1" si="5"/>
        <v>#VALUE!</v>
      </c>
      <c r="P61" s="49">
        <f>IFERROR(VLOOKUP(C61,Purchased!A:E,3,FALSE),"")</f>
        <v>0</v>
      </c>
      <c r="Q61" s="50">
        <f t="shared" si="6"/>
        <v>0</v>
      </c>
    </row>
    <row r="62" spans="1:17" s="2" customFormat="1" ht="12" customHeight="1">
      <c r="A62" s="4">
        <f t="shared" si="2"/>
        <v>358</v>
      </c>
      <c r="B62" s="2">
        <v>6</v>
      </c>
      <c r="C62" s="114" t="s">
        <v>117</v>
      </c>
      <c r="D62" s="268" t="str">
        <f>VLOOKUP(C62,Purchased!A:B,2,0)</f>
        <v>TYPE J FUSE, 20A, TIME DELAY, 600V, CURRENT LIMITING</v>
      </c>
      <c r="E62" s="269"/>
      <c r="F62" s="112" t="str">
        <f>VLOOKUP(C62,Purchased!A:Q,9,0)</f>
        <v>MERSEN</v>
      </c>
      <c r="G62" s="112" t="str">
        <f>VLOOKUP(C62,Purchased!A:Q,10,0)</f>
        <v>CRAVE</v>
      </c>
      <c r="H62" s="112">
        <f>VLOOKUP(C62,Purchased!A:Q,12,0)</f>
        <v>0</v>
      </c>
      <c r="I62" s="113"/>
      <c r="J62" s="44">
        <f>VLOOKUP(C62,Purchased!A:Q,14,0)</f>
        <v>0</v>
      </c>
      <c r="K62" s="44">
        <f>VLOOKUP(C62,Purchased!A:Q,14,0)</f>
        <v>0</v>
      </c>
      <c r="L62" s="44">
        <f>VLOOKUP(C62,Purchased!A:Q,15,0)</f>
        <v>0</v>
      </c>
      <c r="M62" s="44">
        <f>VLOOKUP(C62,Purchased!A:Q,16,0)</f>
        <v>0</v>
      </c>
      <c r="N62" s="45">
        <f>VLOOKUP(C62,Purchased!A:Q,17,0)</f>
        <v>0</v>
      </c>
      <c r="O62" s="45" t="e">
        <f t="shared" ca="1" si="5"/>
        <v>#VALUE!</v>
      </c>
      <c r="P62" s="49">
        <f>IFERROR(VLOOKUP(C62,Purchased!A:E,3,FALSE),"")</f>
        <v>0</v>
      </c>
      <c r="Q62" s="50">
        <f t="shared" si="6"/>
        <v>0</v>
      </c>
    </row>
    <row r="63" spans="1:17" s="2" customFormat="1" ht="12" customHeight="1">
      <c r="A63" s="4">
        <f t="shared" si="2"/>
        <v>359</v>
      </c>
      <c r="B63" s="2">
        <v>2</v>
      </c>
      <c r="C63" s="114" t="s">
        <v>118</v>
      </c>
      <c r="D63" s="268" t="str">
        <f>VLOOKUP(C63,Purchased!A:B,2,0)</f>
        <v>TYPE J FUSEHOLDER, 3POLE, UP TO 30A FUSES</v>
      </c>
      <c r="E63" s="269"/>
      <c r="F63" s="112" t="str">
        <f>VLOOKUP(C63,Purchased!A:Q,9,0)</f>
        <v>MERSEN</v>
      </c>
      <c r="G63" s="112" t="str">
        <f>VLOOKUP(C63,Purchased!A:Q,10,0)</f>
        <v>CRAVE</v>
      </c>
      <c r="H63" s="112">
        <f>VLOOKUP(C63,Purchased!A:Q,12,0)</f>
        <v>0</v>
      </c>
      <c r="I63" s="113"/>
      <c r="J63" s="44">
        <f>VLOOKUP(C63,Purchased!A:Q,14,0)</f>
        <v>0</v>
      </c>
      <c r="K63" s="44">
        <f>VLOOKUP(C63,Purchased!A:Q,14,0)</f>
        <v>0</v>
      </c>
      <c r="L63" s="44">
        <f>VLOOKUP(C63,Purchased!A:Q,15,0)</f>
        <v>0</v>
      </c>
      <c r="M63" s="44">
        <f>VLOOKUP(C63,Purchased!A:Q,16,0)</f>
        <v>0</v>
      </c>
      <c r="N63" s="45">
        <f>VLOOKUP(C63,Purchased!A:Q,17,0)</f>
        <v>0</v>
      </c>
      <c r="O63" s="45" t="e">
        <f t="shared" ca="1" si="5"/>
        <v>#VALUE!</v>
      </c>
      <c r="P63" s="49">
        <f>IFERROR(VLOOKUP(C63,Purchased!A:E,3,FALSE),"")</f>
        <v>0</v>
      </c>
      <c r="Q63" s="50">
        <f t="shared" si="6"/>
        <v>0</v>
      </c>
    </row>
    <row r="64" spans="1:17" s="2" customFormat="1" ht="12" customHeight="1">
      <c r="A64" s="4">
        <f t="shared" si="2"/>
        <v>360</v>
      </c>
      <c r="B64" s="2">
        <v>1</v>
      </c>
      <c r="C64" s="114">
        <v>1044072</v>
      </c>
      <c r="D64" s="268" t="str">
        <f>VLOOKUP(C64,Purchased!A:B,2,0)</f>
        <v>GATEWAY, ETHERNET/IP, FLEXISOFT, FOR FX3-CPU, FX0-GENT00000</v>
      </c>
      <c r="E64" s="269"/>
      <c r="F64" s="112" t="str">
        <f>VLOOKUP(C64,Purchased!A:Q,9,0)</f>
        <v>SICK</v>
      </c>
      <c r="G64" s="112" t="str">
        <f>VLOOKUP(C64,Purchased!A:Q,10,0)</f>
        <v>CRAVE</v>
      </c>
      <c r="H64" s="112">
        <f>VLOOKUP(C64,Purchased!A:Q,12,0)</f>
        <v>0</v>
      </c>
      <c r="I64" s="113"/>
      <c r="J64" s="44">
        <f>VLOOKUP(C64,Purchased!A:Q,14,0)</f>
        <v>0</v>
      </c>
      <c r="K64" s="44">
        <f>VLOOKUP(C64,Purchased!A:Q,14,0)</f>
        <v>0</v>
      </c>
      <c r="L64" s="44">
        <f>VLOOKUP(C64,Purchased!A:Q,15,0)</f>
        <v>0</v>
      </c>
      <c r="M64" s="44">
        <f>VLOOKUP(C64,Purchased!A:Q,16,0)</f>
        <v>0</v>
      </c>
      <c r="N64" s="45">
        <f>VLOOKUP(C64,Purchased!A:Q,17,0)</f>
        <v>0</v>
      </c>
      <c r="O64" s="45" t="e">
        <f t="shared" ca="1" si="5"/>
        <v>#VALUE!</v>
      </c>
      <c r="P64" s="49">
        <f>IFERROR(VLOOKUP(C64,Purchased!A:E,3,FALSE),"")</f>
        <v>0</v>
      </c>
      <c r="Q64" s="50">
        <f t="shared" si="6"/>
        <v>0</v>
      </c>
    </row>
    <row r="65" spans="1:17" s="2" customFormat="1" ht="12" customHeight="1">
      <c r="A65" s="4">
        <f t="shared" si="2"/>
        <v>361</v>
      </c>
      <c r="B65" s="2">
        <v>4</v>
      </c>
      <c r="C65" s="114" t="s">
        <v>119</v>
      </c>
      <c r="D65" s="268" t="str">
        <f>VLOOKUP(C65,Purchased!A:B,2,0)</f>
        <v>Narrow Slot Wiring Duct, 50.8mm x 101.6mm</v>
      </c>
      <c r="E65" s="269"/>
      <c r="F65" s="112" t="str">
        <f>VLOOKUP(C65,Purchased!A:Q,9,0)</f>
        <v>PANDUIT</v>
      </c>
      <c r="G65" s="112" t="str">
        <f>VLOOKUP(C65,Purchased!A:Q,10,0)</f>
        <v>CRAVE</v>
      </c>
      <c r="H65" s="112">
        <f>VLOOKUP(C65,Purchased!A:Q,12,0)</f>
        <v>0</v>
      </c>
      <c r="I65" s="113"/>
      <c r="J65" s="44">
        <f>VLOOKUP(C65,Purchased!A:Q,14,0)</f>
        <v>0</v>
      </c>
      <c r="K65" s="44">
        <f>VLOOKUP(C65,Purchased!A:Q,14,0)</f>
        <v>0</v>
      </c>
      <c r="L65" s="44">
        <f>VLOOKUP(C65,Purchased!A:Q,15,0)</f>
        <v>0</v>
      </c>
      <c r="M65" s="44">
        <f>VLOOKUP(C65,Purchased!A:Q,16,0)</f>
        <v>0</v>
      </c>
      <c r="N65" s="45">
        <f>VLOOKUP(C65,Purchased!A:Q,17,0)</f>
        <v>0</v>
      </c>
      <c r="O65" s="45" t="e">
        <f t="shared" ca="1" si="5"/>
        <v>#VALUE!</v>
      </c>
      <c r="P65" s="49">
        <f>IFERROR(VLOOKUP(C65,Purchased!A:E,3,FALSE),"")</f>
        <v>0</v>
      </c>
      <c r="Q65" s="50">
        <f t="shared" si="6"/>
        <v>0</v>
      </c>
    </row>
    <row r="66" spans="1:17" s="2" customFormat="1" ht="12" customHeight="1">
      <c r="A66" s="4">
        <f t="shared" si="2"/>
        <v>362</v>
      </c>
      <c r="B66" s="2">
        <v>4</v>
      </c>
      <c r="C66" s="114" t="s">
        <v>120</v>
      </c>
      <c r="D66" s="268" t="str">
        <f>VLOOKUP(C66,Purchased!A:B,2,0)</f>
        <v>Duct cover, 50.8mm</v>
      </c>
      <c r="E66" s="269"/>
      <c r="F66" s="112" t="str">
        <f>VLOOKUP(C66,Purchased!A:Q,9,0)</f>
        <v>PANDUIT</v>
      </c>
      <c r="G66" s="112" t="str">
        <f>VLOOKUP(C66,Purchased!A:Q,10,0)</f>
        <v>CRAVE</v>
      </c>
      <c r="H66" s="112">
        <f>VLOOKUP(C66,Purchased!A:Q,12,0)</f>
        <v>0</v>
      </c>
      <c r="I66" s="113"/>
      <c r="J66" s="44">
        <f>VLOOKUP(C66,Purchased!A:Q,14,0)</f>
        <v>0</v>
      </c>
      <c r="K66" s="44">
        <f>VLOOKUP(C66,Purchased!A:Q,14,0)</f>
        <v>0</v>
      </c>
      <c r="L66" s="44">
        <f>VLOOKUP(C66,Purchased!A:Q,15,0)</f>
        <v>0</v>
      </c>
      <c r="M66" s="44">
        <f>VLOOKUP(C66,Purchased!A:Q,16,0)</f>
        <v>0</v>
      </c>
      <c r="N66" s="45">
        <f>VLOOKUP(C66,Purchased!A:Q,17,0)</f>
        <v>0</v>
      </c>
      <c r="O66" s="45" t="e">
        <f t="shared" ca="1" si="5"/>
        <v>#VALUE!</v>
      </c>
      <c r="P66" s="49">
        <f>IFERROR(VLOOKUP(C66,Purchased!A:E,3,FALSE),"")</f>
        <v>0</v>
      </c>
      <c r="Q66" s="50">
        <f t="shared" si="6"/>
        <v>0</v>
      </c>
    </row>
    <row r="67" spans="1:17" s="2" customFormat="1" ht="12" customHeight="1">
      <c r="A67" s="4">
        <f t="shared" si="2"/>
        <v>363</v>
      </c>
      <c r="B67" s="2">
        <v>2</v>
      </c>
      <c r="C67" s="114" t="s">
        <v>121</v>
      </c>
      <c r="D67" s="268" t="str">
        <f>VLOOKUP(C67,Purchased!A:B,2,0)</f>
        <v>Narrow Slot Wiring Duct, 75mm x 101.6mm</v>
      </c>
      <c r="E67" s="269"/>
      <c r="F67" s="112" t="str">
        <f>VLOOKUP(C67,Purchased!A:Q,9,0)</f>
        <v>PANDUIT</v>
      </c>
      <c r="G67" s="112" t="str">
        <f>VLOOKUP(C67,Purchased!A:Q,10,0)</f>
        <v>CRAVE</v>
      </c>
      <c r="H67" s="112">
        <f>VLOOKUP(C67,Purchased!A:Q,12,0)</f>
        <v>0</v>
      </c>
      <c r="I67" s="113"/>
      <c r="J67" s="44">
        <f>VLOOKUP(C67,Purchased!A:Q,14,0)</f>
        <v>0</v>
      </c>
      <c r="K67" s="44">
        <f>VLOOKUP(C67,Purchased!A:Q,14,0)</f>
        <v>0</v>
      </c>
      <c r="L67" s="44">
        <f>VLOOKUP(C67,Purchased!A:Q,15,0)</f>
        <v>0</v>
      </c>
      <c r="M67" s="44">
        <f>VLOOKUP(C67,Purchased!A:Q,16,0)</f>
        <v>0</v>
      </c>
      <c r="N67" s="45">
        <f>VLOOKUP(C67,Purchased!A:Q,17,0)</f>
        <v>0</v>
      </c>
      <c r="O67" s="45" t="e">
        <f t="shared" ca="1" si="5"/>
        <v>#VALUE!</v>
      </c>
      <c r="P67" s="49">
        <f>IFERROR(VLOOKUP(C67,Purchased!A:E,3,FALSE),"")</f>
        <v>0</v>
      </c>
      <c r="Q67" s="50">
        <f t="shared" si="6"/>
        <v>0</v>
      </c>
    </row>
    <row r="68" spans="1:17" s="2" customFormat="1" ht="12" customHeight="1">
      <c r="A68" s="4">
        <f t="shared" si="2"/>
        <v>364</v>
      </c>
      <c r="B68" s="2">
        <v>3</v>
      </c>
      <c r="C68" s="114" t="s">
        <v>122</v>
      </c>
      <c r="D68" s="268" t="str">
        <f>VLOOKUP(C68,Purchased!A:B,2,0)</f>
        <v>Narrow Slot Wiring Duct, 75mm x 101.6mm</v>
      </c>
      <c r="E68" s="269"/>
      <c r="F68" s="112" t="str">
        <f>VLOOKUP(C68,Purchased!A:Q,9,0)</f>
        <v>PANDUIT</v>
      </c>
      <c r="G68" s="112" t="str">
        <f>VLOOKUP(C68,Purchased!A:Q,10,0)</f>
        <v>CRAVE</v>
      </c>
      <c r="H68" s="112">
        <f>VLOOKUP(C68,Purchased!A:Q,12,0)</f>
        <v>0</v>
      </c>
      <c r="I68" s="113"/>
      <c r="J68" s="44">
        <f>VLOOKUP(C68,Purchased!A:Q,14,0)</f>
        <v>0</v>
      </c>
      <c r="K68" s="44">
        <f>VLOOKUP(C68,Purchased!A:Q,14,0)</f>
        <v>0</v>
      </c>
      <c r="L68" s="44">
        <f>VLOOKUP(C68,Purchased!A:Q,15,0)</f>
        <v>0</v>
      </c>
      <c r="M68" s="44">
        <f>VLOOKUP(C68,Purchased!A:Q,16,0)</f>
        <v>0</v>
      </c>
      <c r="N68" s="45">
        <f>VLOOKUP(C68,Purchased!A:Q,17,0)</f>
        <v>0</v>
      </c>
      <c r="O68" s="45" t="e">
        <f t="shared" ca="1" si="5"/>
        <v>#VALUE!</v>
      </c>
      <c r="P68" s="49">
        <f>IFERROR(VLOOKUP(C68,Purchased!A:E,3,FALSE),"")</f>
        <v>0</v>
      </c>
      <c r="Q68" s="50">
        <f t="shared" si="6"/>
        <v>0</v>
      </c>
    </row>
    <row r="69" spans="1:17" s="2" customFormat="1" ht="12" customHeight="1">
      <c r="A69" s="4">
        <f t="shared" si="2"/>
        <v>365</v>
      </c>
      <c r="B69" s="2">
        <v>2</v>
      </c>
      <c r="C69" s="114" t="s">
        <v>123</v>
      </c>
      <c r="D69" s="268" t="str">
        <f>VLOOKUP(C69,Purchased!A:B,2,0)</f>
        <v>Narrow Slot Wiring Duct, 75mm x 101.6mm</v>
      </c>
      <c r="E69" s="269"/>
      <c r="F69" s="112" t="str">
        <f>VLOOKUP(C69,Purchased!A:Q,9,0)</f>
        <v>PANDUIT</v>
      </c>
      <c r="G69" s="112" t="str">
        <f>VLOOKUP(C69,Purchased!A:Q,10,0)</f>
        <v>CRAVE</v>
      </c>
      <c r="H69" s="112">
        <f>VLOOKUP(C69,Purchased!A:Q,12,0)</f>
        <v>0</v>
      </c>
      <c r="I69" s="113"/>
      <c r="J69" s="44">
        <f>VLOOKUP(C69,Purchased!A:Q,14,0)</f>
        <v>0</v>
      </c>
      <c r="K69" s="44">
        <f>VLOOKUP(C69,Purchased!A:Q,14,0)</f>
        <v>0</v>
      </c>
      <c r="L69" s="44">
        <f>VLOOKUP(C69,Purchased!A:Q,15,0)</f>
        <v>0</v>
      </c>
      <c r="M69" s="44">
        <f>VLOOKUP(C69,Purchased!A:Q,16,0)</f>
        <v>0</v>
      </c>
      <c r="N69" s="45">
        <f>VLOOKUP(C69,Purchased!A:Q,17,0)</f>
        <v>0</v>
      </c>
      <c r="O69" s="45" t="e">
        <f t="shared" ca="1" si="5"/>
        <v>#VALUE!</v>
      </c>
      <c r="P69" s="49">
        <f>IFERROR(VLOOKUP(C69,Purchased!A:E,3,FALSE),"")</f>
        <v>0</v>
      </c>
      <c r="Q69" s="50">
        <f t="shared" si="6"/>
        <v>0</v>
      </c>
    </row>
    <row r="70" spans="1:17" s="2" customFormat="1" ht="12" customHeight="1">
      <c r="A70" s="4">
        <f t="shared" ref="A70:A103" si="7">A69+1</f>
        <v>366</v>
      </c>
      <c r="C70" s="114" t="s">
        <v>124</v>
      </c>
      <c r="D70" s="268" t="str">
        <f>VLOOKUP(C70,Purchased!A:B,2,0)</f>
        <v>Duct cover, 75mm</v>
      </c>
      <c r="E70" s="269"/>
      <c r="F70" s="112" t="str">
        <f>VLOOKUP(C70,Purchased!A:Q,9,0)</f>
        <v>PANDUIT</v>
      </c>
      <c r="G70" s="112" t="str">
        <f>VLOOKUP(C70,Purchased!A:Q,10,0)</f>
        <v>CRAVE</v>
      </c>
      <c r="H70" s="112">
        <f>VLOOKUP(C70,Purchased!A:Q,12,0)</f>
        <v>0</v>
      </c>
      <c r="I70" s="113"/>
      <c r="J70" s="44">
        <f>VLOOKUP(C70,Purchased!A:Q,14,0)</f>
        <v>0</v>
      </c>
      <c r="K70" s="44">
        <f>VLOOKUP(C70,Purchased!A:Q,14,0)</f>
        <v>0</v>
      </c>
      <c r="L70" s="44">
        <f>VLOOKUP(C70,Purchased!A:Q,15,0)</f>
        <v>0</v>
      </c>
      <c r="M70" s="44">
        <f>VLOOKUP(C70,Purchased!A:Q,16,0)</f>
        <v>0</v>
      </c>
      <c r="N70" s="45">
        <f>VLOOKUP(C70,Purchased!A:Q,17,0)</f>
        <v>0</v>
      </c>
      <c r="O70" s="45" t="e">
        <f t="shared" ca="1" si="5"/>
        <v>#VALUE!</v>
      </c>
      <c r="P70" s="49">
        <f>IFERROR(VLOOKUP(C70,Purchased!A:E,3,FALSE),"")</f>
        <v>0</v>
      </c>
      <c r="Q70" s="50">
        <f t="shared" si="6"/>
        <v>0</v>
      </c>
    </row>
    <row r="71" spans="1:17" s="2" customFormat="1" ht="12" customHeight="1">
      <c r="A71" s="4">
        <f t="shared" si="7"/>
        <v>367</v>
      </c>
      <c r="B71" s="2">
        <v>10</v>
      </c>
      <c r="C71" s="114">
        <v>1029591</v>
      </c>
      <c r="D71" s="268" t="str">
        <f>VLOOKUP(C71,Purchased!A:B,2,0)</f>
        <v>D-PT 1,5/S-QUATTRO-0,8 OG, END-COVER, OG</v>
      </c>
      <c r="E71" s="269"/>
      <c r="F71" s="112" t="str">
        <f>VLOOKUP(C71,Purchased!A:Q,9,0)</f>
        <v>PHOENIX CONTACT</v>
      </c>
      <c r="G71" s="112" t="str">
        <f>VLOOKUP(C71,Purchased!A:Q,10,0)</f>
        <v>CRAVE</v>
      </c>
      <c r="H71" s="112">
        <f>VLOOKUP(C71,Purchased!A:Q,12,0)</f>
        <v>0</v>
      </c>
      <c r="I71" s="113"/>
      <c r="J71" s="44">
        <f>VLOOKUP(C71,Purchased!A:Q,14,0)</f>
        <v>0</v>
      </c>
      <c r="K71" s="44">
        <f>VLOOKUP(C71,Purchased!A:Q,14,0)</f>
        <v>0</v>
      </c>
      <c r="L71" s="44">
        <f>VLOOKUP(C71,Purchased!A:Q,15,0)</f>
        <v>0</v>
      </c>
      <c r="M71" s="44">
        <f>VLOOKUP(C71,Purchased!A:Q,16,0)</f>
        <v>0</v>
      </c>
      <c r="N71" s="45">
        <f>VLOOKUP(C71,Purchased!A:Q,17,0)</f>
        <v>0</v>
      </c>
      <c r="O71" s="45" t="e">
        <f t="shared" ca="1" si="5"/>
        <v>#VALUE!</v>
      </c>
      <c r="P71" s="49">
        <f>IFERROR(VLOOKUP(C71,Purchased!A:E,3,FALSE),"")</f>
        <v>0</v>
      </c>
      <c r="Q71" s="50">
        <f t="shared" si="6"/>
        <v>0</v>
      </c>
    </row>
    <row r="72" spans="1:17" s="2" customFormat="1" ht="12" customHeight="1">
      <c r="A72" s="4">
        <f t="shared" si="7"/>
        <v>368</v>
      </c>
      <c r="B72" s="2">
        <v>1</v>
      </c>
      <c r="C72" s="114">
        <v>1075896</v>
      </c>
      <c r="D72" s="268" t="str">
        <f>VLOOKUP(C72,Purchased!A:B,2,0)</f>
        <v>VAL-US-277/80/3+0-FM - Type 1 surge protection device</v>
      </c>
      <c r="E72" s="269"/>
      <c r="F72" s="112" t="str">
        <f>VLOOKUP(C72,Purchased!A:Q,9,0)</f>
        <v>PHOENIX CONTACT</v>
      </c>
      <c r="G72" s="112" t="str">
        <f>VLOOKUP(C72,Purchased!A:Q,10,0)</f>
        <v>CRAVE</v>
      </c>
      <c r="H72" s="112">
        <f>VLOOKUP(C72,Purchased!A:Q,12,0)</f>
        <v>0</v>
      </c>
      <c r="I72" s="113"/>
      <c r="J72" s="44">
        <f>VLOOKUP(C72,Purchased!A:Q,14,0)</f>
        <v>0</v>
      </c>
      <c r="K72" s="44">
        <f>VLOOKUP(C72,Purchased!A:Q,14,0)</f>
        <v>0</v>
      </c>
      <c r="L72" s="44">
        <f>VLOOKUP(C72,Purchased!A:Q,15,0)</f>
        <v>0</v>
      </c>
      <c r="M72" s="44">
        <f>VLOOKUP(C72,Purchased!A:Q,16,0)</f>
        <v>0</v>
      </c>
      <c r="N72" s="45">
        <f>VLOOKUP(C72,Purchased!A:Q,17,0)</f>
        <v>0</v>
      </c>
      <c r="O72" s="45" t="e">
        <f t="shared" ca="1" si="5"/>
        <v>#VALUE!</v>
      </c>
      <c r="P72" s="49">
        <f>IFERROR(VLOOKUP(C72,Purchased!A:E,3,FALSE),"")</f>
        <v>0</v>
      </c>
      <c r="Q72" s="50">
        <f t="shared" si="6"/>
        <v>0</v>
      </c>
    </row>
    <row r="73" spans="1:17" s="2" customFormat="1" ht="12" customHeight="1">
      <c r="A73" s="4">
        <f t="shared" si="7"/>
        <v>369</v>
      </c>
      <c r="B73" s="2">
        <v>2</v>
      </c>
      <c r="C73" s="114">
        <v>1085039</v>
      </c>
      <c r="D73" s="268" t="str">
        <f>VLOOKUP(C73,Purchased!A:B,2,0)</f>
        <v>FL SWITCH 1005N - Industrial Ethernet Switch</v>
      </c>
      <c r="E73" s="269"/>
      <c r="F73" s="112" t="str">
        <f>VLOOKUP(C73,Purchased!A:Q,9,0)</f>
        <v>PHOENIX CONTACT</v>
      </c>
      <c r="G73" s="112" t="str">
        <f>VLOOKUP(C73,Purchased!A:Q,10,0)</f>
        <v>CRAVE</v>
      </c>
      <c r="H73" s="112">
        <f>VLOOKUP(C73,Purchased!A:Q,12,0)</f>
        <v>0</v>
      </c>
      <c r="I73" s="113"/>
      <c r="J73" s="44">
        <f>VLOOKUP(C73,Purchased!A:Q,14,0)</f>
        <v>0</v>
      </c>
      <c r="K73" s="44">
        <f>VLOOKUP(C73,Purchased!A:Q,14,0)</f>
        <v>0</v>
      </c>
      <c r="L73" s="44">
        <f>VLOOKUP(C73,Purchased!A:Q,15,0)</f>
        <v>0</v>
      </c>
      <c r="M73" s="44">
        <f>VLOOKUP(C73,Purchased!A:Q,16,0)</f>
        <v>0</v>
      </c>
      <c r="N73" s="45">
        <f>VLOOKUP(C73,Purchased!A:Q,17,0)</f>
        <v>0</v>
      </c>
      <c r="O73" s="45" t="e">
        <f t="shared" ca="1" si="5"/>
        <v>#VALUE!</v>
      </c>
      <c r="P73" s="49">
        <f>IFERROR(VLOOKUP(C73,Purchased!A:E,3,FALSE),"")</f>
        <v>0</v>
      </c>
      <c r="Q73" s="50">
        <f t="shared" si="6"/>
        <v>0</v>
      </c>
    </row>
    <row r="74" spans="1:17" s="2" customFormat="1" ht="12" customHeight="1">
      <c r="A74" s="4">
        <f t="shared" si="7"/>
        <v>370</v>
      </c>
      <c r="B74" s="2">
        <v>2</v>
      </c>
      <c r="C74" s="114">
        <v>2903155</v>
      </c>
      <c r="D74" s="268" t="str">
        <f>VLOOKUP(C74,Purchased!A:B,2,0)</f>
        <v>TRIO-PS-2G/3AC/24DC/20 - Power supply unit</v>
      </c>
      <c r="E74" s="269"/>
      <c r="F74" s="112" t="str">
        <f>VLOOKUP(C74,Purchased!A:Q,9,0)</f>
        <v>PHOENIX CONTACT</v>
      </c>
      <c r="G74" s="112" t="str">
        <f>VLOOKUP(C74,Purchased!A:Q,10,0)</f>
        <v>CRAVE</v>
      </c>
      <c r="H74" s="112">
        <f>VLOOKUP(C74,Purchased!A:Q,12,0)</f>
        <v>0</v>
      </c>
      <c r="I74" s="113"/>
      <c r="J74" s="44">
        <f>VLOOKUP(C74,Purchased!A:Q,14,0)</f>
        <v>0</v>
      </c>
      <c r="K74" s="44">
        <f>VLOOKUP(C74,Purchased!A:Q,14,0)</f>
        <v>0</v>
      </c>
      <c r="L74" s="44">
        <f>VLOOKUP(C74,Purchased!A:Q,15,0)</f>
        <v>0</v>
      </c>
      <c r="M74" s="44">
        <f>VLOOKUP(C74,Purchased!A:Q,16,0)</f>
        <v>0</v>
      </c>
      <c r="N74" s="45">
        <f>VLOOKUP(C74,Purchased!A:Q,17,0)</f>
        <v>0</v>
      </c>
      <c r="O74" s="45" t="e">
        <f t="shared" ca="1" si="5"/>
        <v>#VALUE!</v>
      </c>
      <c r="P74" s="49">
        <f>IFERROR(VLOOKUP(C74,Purchased!A:E,3,FALSE),"")</f>
        <v>0</v>
      </c>
      <c r="Q74" s="50">
        <f t="shared" si="6"/>
        <v>0</v>
      </c>
    </row>
    <row r="75" spans="1:17" s="2" customFormat="1" ht="12" customHeight="1">
      <c r="A75" s="4">
        <f t="shared" si="7"/>
        <v>371</v>
      </c>
      <c r="B75" s="2">
        <v>1</v>
      </c>
      <c r="C75" s="114">
        <v>2909909</v>
      </c>
      <c r="D75" s="268" t="str">
        <f>VLOOKUP(C75,Purchased!A:B,2,0)</f>
        <v>ELECTRONIC CIRCUIT PROTECTOR, NEC CLASS 2, STATUS CONTACT, PTCB E1 24DC/1-3A NO</v>
      </c>
      <c r="E75" s="269"/>
      <c r="F75" s="112" t="str">
        <f>VLOOKUP(C75,Purchased!A:Q,9,0)</f>
        <v>PHOENIX CONTACT</v>
      </c>
      <c r="G75" s="112" t="str">
        <f>VLOOKUP(C75,Purchased!A:Q,10,0)</f>
        <v>CRAVE</v>
      </c>
      <c r="H75" s="112">
        <f>VLOOKUP(C75,Purchased!A:Q,12,0)</f>
        <v>0</v>
      </c>
      <c r="I75" s="113"/>
      <c r="J75" s="44">
        <f>VLOOKUP(C75,Purchased!A:Q,14,0)</f>
        <v>0</v>
      </c>
      <c r="K75" s="44">
        <f>VLOOKUP(C75,Purchased!A:Q,14,0)</f>
        <v>0</v>
      </c>
      <c r="L75" s="44">
        <f>VLOOKUP(C75,Purchased!A:Q,15,0)</f>
        <v>0</v>
      </c>
      <c r="M75" s="44">
        <f>VLOOKUP(C75,Purchased!A:Q,16,0)</f>
        <v>0</v>
      </c>
      <c r="N75" s="45">
        <f>VLOOKUP(C75,Purchased!A:Q,17,0)</f>
        <v>0</v>
      </c>
      <c r="O75" s="45" t="e">
        <f t="shared" ca="1" si="5"/>
        <v>#VALUE!</v>
      </c>
      <c r="P75" s="49">
        <f>IFERROR(VLOOKUP(C75,Purchased!A:E,3,FALSE),"")</f>
        <v>0</v>
      </c>
      <c r="Q75" s="50">
        <f t="shared" si="6"/>
        <v>0</v>
      </c>
    </row>
    <row r="76" spans="1:17" s="2" customFormat="1" ht="12" customHeight="1">
      <c r="A76" s="4">
        <f t="shared" si="7"/>
        <v>372</v>
      </c>
      <c r="B76" s="2">
        <v>15</v>
      </c>
      <c r="C76" s="114">
        <v>3022276</v>
      </c>
      <c r="D76" s="268" t="str">
        <f>VLOOKUP(C76,Purchased!A:B,2,0)</f>
        <v>CLIPFIX 35-5 - End clamp</v>
      </c>
      <c r="E76" s="269"/>
      <c r="F76" s="112" t="str">
        <f>VLOOKUP(C76,Purchased!A:Q,9,0)</f>
        <v>PHOENIX CONTACT</v>
      </c>
      <c r="G76" s="112" t="str">
        <f>VLOOKUP(C76,Purchased!A:Q,10,0)</f>
        <v>CRAVE</v>
      </c>
      <c r="H76" s="112">
        <f>VLOOKUP(C76,Purchased!A:Q,12,0)</f>
        <v>0</v>
      </c>
      <c r="I76" s="113"/>
      <c r="J76" s="44">
        <f>VLOOKUP(C76,Purchased!A:Q,14,0)</f>
        <v>0</v>
      </c>
      <c r="K76" s="44">
        <f>VLOOKUP(C76,Purchased!A:Q,14,0)</f>
        <v>0</v>
      </c>
      <c r="L76" s="44">
        <f>VLOOKUP(C76,Purchased!A:Q,15,0)</f>
        <v>0</v>
      </c>
      <c r="M76" s="44">
        <f>VLOOKUP(C76,Purchased!A:Q,16,0)</f>
        <v>0</v>
      </c>
      <c r="N76" s="45">
        <f>VLOOKUP(C76,Purchased!A:Q,17,0)</f>
        <v>0</v>
      </c>
      <c r="O76" s="45" t="e">
        <f t="shared" ca="1" si="5"/>
        <v>#VALUE!</v>
      </c>
      <c r="P76" s="49">
        <f>IFERROR(VLOOKUP(C76,Purchased!A:E,3,FALSE),"")</f>
        <v>0</v>
      </c>
      <c r="Q76" s="50">
        <f t="shared" si="6"/>
        <v>0</v>
      </c>
    </row>
    <row r="77" spans="1:17" s="2" customFormat="1" ht="12" customHeight="1">
      <c r="A77" s="4">
        <f t="shared" si="7"/>
        <v>373</v>
      </c>
      <c r="B77" s="2">
        <v>6</v>
      </c>
      <c r="C77" s="114">
        <v>3030873</v>
      </c>
      <c r="D77" s="268" t="str">
        <f>VLOOKUP(C77,Purchased!A:B,2,0)</f>
        <v>RB ST 10-(2,5/4) - Reducing bridge</v>
      </c>
      <c r="E77" s="269"/>
      <c r="F77" s="112" t="str">
        <f>VLOOKUP(C77,Purchased!A:Q,9,0)</f>
        <v>PHOENIX CONTACT</v>
      </c>
      <c r="G77" s="112" t="str">
        <f>VLOOKUP(C77,Purchased!A:Q,10,0)</f>
        <v>CRAVE</v>
      </c>
      <c r="H77" s="112">
        <f>VLOOKUP(C77,Purchased!A:Q,12,0)</f>
        <v>0</v>
      </c>
      <c r="I77" s="113"/>
      <c r="J77" s="44">
        <f>VLOOKUP(C77,Purchased!A:Q,14,0)</f>
        <v>0</v>
      </c>
      <c r="K77" s="44">
        <f>VLOOKUP(C77,Purchased!A:Q,14,0)</f>
        <v>0</v>
      </c>
      <c r="L77" s="44">
        <f>VLOOKUP(C77,Purchased!A:Q,15,0)</f>
        <v>0</v>
      </c>
      <c r="M77" s="44">
        <f>VLOOKUP(C77,Purchased!A:Q,16,0)</f>
        <v>0</v>
      </c>
      <c r="N77" s="45">
        <f>VLOOKUP(C77,Purchased!A:Q,17,0)</f>
        <v>0</v>
      </c>
      <c r="O77" s="45" t="e">
        <f t="shared" ca="1" si="5"/>
        <v>#VALUE!</v>
      </c>
      <c r="P77" s="49">
        <f>IFERROR(VLOOKUP(C77,Purchased!A:E,3,FALSE),"")</f>
        <v>0</v>
      </c>
      <c r="Q77" s="50">
        <f t="shared" si="6"/>
        <v>0</v>
      </c>
    </row>
    <row r="78" spans="1:17" s="2" customFormat="1" ht="12" customHeight="1">
      <c r="A78" s="4">
        <f t="shared" si="7"/>
        <v>374</v>
      </c>
      <c r="B78" s="2">
        <v>1</v>
      </c>
      <c r="C78" s="114">
        <v>3113771</v>
      </c>
      <c r="D78" s="268" t="str">
        <f>VLOOKUP(C78,Purchased!A:B,2,0)</f>
        <v>End cover for PT 1,5/S-3L, Gray, D-PT 1,5/S-3L</v>
      </c>
      <c r="E78" s="269"/>
      <c r="F78" s="112" t="str">
        <f>VLOOKUP(C78,Purchased!A:Q,9,0)</f>
        <v>PHOENIX CONTACT</v>
      </c>
      <c r="G78" s="112" t="str">
        <f>VLOOKUP(C78,Purchased!A:Q,10,0)</f>
        <v>CRAVE</v>
      </c>
      <c r="H78" s="112">
        <f>VLOOKUP(C78,Purchased!A:Q,12,0)</f>
        <v>0</v>
      </c>
      <c r="I78" s="113"/>
      <c r="J78" s="44">
        <f>VLOOKUP(C78,Purchased!A:Q,14,0)</f>
        <v>0</v>
      </c>
      <c r="K78" s="44">
        <f>VLOOKUP(C78,Purchased!A:Q,14,0)</f>
        <v>0</v>
      </c>
      <c r="L78" s="44">
        <f>VLOOKUP(C78,Purchased!A:Q,15,0)</f>
        <v>0</v>
      </c>
      <c r="M78" s="44">
        <f>VLOOKUP(C78,Purchased!A:Q,16,0)</f>
        <v>0</v>
      </c>
      <c r="N78" s="45">
        <f>VLOOKUP(C78,Purchased!A:Q,17,0)</f>
        <v>0</v>
      </c>
      <c r="O78" s="45" t="e">
        <f t="shared" ca="1" si="5"/>
        <v>#VALUE!</v>
      </c>
      <c r="P78" s="49">
        <f>IFERROR(VLOOKUP(C78,Purchased!A:E,3,FALSE),"")</f>
        <v>0</v>
      </c>
      <c r="Q78" s="50">
        <f t="shared" si="6"/>
        <v>0</v>
      </c>
    </row>
    <row r="79" spans="1:17" s="2" customFormat="1" ht="12" customHeight="1">
      <c r="A79" s="4">
        <f t="shared" si="7"/>
        <v>375</v>
      </c>
      <c r="B79" s="2">
        <v>24</v>
      </c>
      <c r="C79" s="114">
        <v>3208208</v>
      </c>
      <c r="D79" s="268" t="str">
        <f>VLOOKUP(C79,Purchased!A:B,2,0)</f>
        <v>Four-conductor terminal block, PT 1,5/S-QUATTRO BU</v>
      </c>
      <c r="E79" s="269"/>
      <c r="F79" s="112" t="str">
        <f>VLOOKUP(C79,Purchased!A:Q,9,0)</f>
        <v>PHOENIX CONTACT</v>
      </c>
      <c r="G79" s="112" t="str">
        <f>VLOOKUP(C79,Purchased!A:Q,10,0)</f>
        <v>CRAVE</v>
      </c>
      <c r="H79" s="112">
        <f>VLOOKUP(C79,Purchased!A:Q,12,0)</f>
        <v>0</v>
      </c>
      <c r="I79" s="113"/>
      <c r="J79" s="44">
        <f>VLOOKUP(C79,Purchased!A:Q,14,0)</f>
        <v>0</v>
      </c>
      <c r="K79" s="44">
        <f>VLOOKUP(C79,Purchased!A:Q,14,0)</f>
        <v>0</v>
      </c>
      <c r="L79" s="44">
        <f>VLOOKUP(C79,Purchased!A:Q,15,0)</f>
        <v>0</v>
      </c>
      <c r="M79" s="44">
        <f>VLOOKUP(C79,Purchased!A:Q,16,0)</f>
        <v>0</v>
      </c>
      <c r="N79" s="45">
        <f>VLOOKUP(C79,Purchased!A:Q,17,0)</f>
        <v>0</v>
      </c>
      <c r="O79" s="45" t="e">
        <f t="shared" ca="1" si="5"/>
        <v>#VALUE!</v>
      </c>
      <c r="P79" s="49">
        <f>IFERROR(VLOOKUP(C79,Purchased!A:E,3,FALSE),"")</f>
        <v>0</v>
      </c>
      <c r="Q79" s="50">
        <f t="shared" si="6"/>
        <v>0</v>
      </c>
    </row>
    <row r="80" spans="1:17" s="2" customFormat="1" ht="12" customHeight="1">
      <c r="A80" s="4">
        <f t="shared" si="7"/>
        <v>376</v>
      </c>
      <c r="B80" s="2">
        <v>11</v>
      </c>
      <c r="C80" s="114">
        <v>3208979</v>
      </c>
      <c r="D80" s="268" t="str">
        <f>VLOOKUP(C80,Purchased!A:B,2,0)</f>
        <v>D-PT 4-QUATTRO; END COVER, GY</v>
      </c>
      <c r="E80" s="269"/>
      <c r="F80" s="112" t="str">
        <f>VLOOKUP(C80,Purchased!A:Q,9,0)</f>
        <v>PHOENIX CONTACT</v>
      </c>
      <c r="G80" s="112" t="str">
        <f>VLOOKUP(C80,Purchased!A:Q,10,0)</f>
        <v>CRAVE</v>
      </c>
      <c r="H80" s="112">
        <f>VLOOKUP(C80,Purchased!A:Q,12,0)</f>
        <v>0</v>
      </c>
      <c r="I80" s="113"/>
      <c r="J80" s="44">
        <f>VLOOKUP(C80,Purchased!A:Q,14,0)</f>
        <v>0</v>
      </c>
      <c r="K80" s="44">
        <f>VLOOKUP(C80,Purchased!A:Q,14,0)</f>
        <v>0</v>
      </c>
      <c r="L80" s="44">
        <f>VLOOKUP(C80,Purchased!A:Q,15,0)</f>
        <v>0</v>
      </c>
      <c r="M80" s="44">
        <f>VLOOKUP(C80,Purchased!A:Q,16,0)</f>
        <v>0</v>
      </c>
      <c r="N80" s="45">
        <f>VLOOKUP(C80,Purchased!A:Q,17,0)</f>
        <v>0</v>
      </c>
      <c r="O80" s="45" t="e">
        <f t="shared" ca="1" si="5"/>
        <v>#VALUE!</v>
      </c>
      <c r="P80" s="49">
        <f>IFERROR(VLOOKUP(C80,Purchased!A:E,3,FALSE),"")</f>
        <v>0</v>
      </c>
      <c r="Q80" s="50">
        <f t="shared" si="6"/>
        <v>0</v>
      </c>
    </row>
    <row r="81" spans="1:17" s="2" customFormat="1" ht="12" customHeight="1">
      <c r="A81" s="4">
        <f t="shared" si="7"/>
        <v>377</v>
      </c>
      <c r="B81" s="2">
        <v>3</v>
      </c>
      <c r="C81" s="114">
        <v>3209581</v>
      </c>
      <c r="D81" s="268" t="str">
        <f>VLOOKUP(C81,Purchased!A:B,2,0)</f>
        <v>Feed-through terminal block - PT 2,5-QUATTRO BU</v>
      </c>
      <c r="E81" s="269"/>
      <c r="F81" s="112" t="str">
        <f>VLOOKUP(C81,Purchased!A:Q,9,0)</f>
        <v>PHOENIX CONTACT</v>
      </c>
      <c r="G81" s="112" t="str">
        <f>VLOOKUP(C81,Purchased!A:Q,10,0)</f>
        <v>CRAVE</v>
      </c>
      <c r="H81" s="112">
        <f>VLOOKUP(C81,Purchased!A:Q,12,0)</f>
        <v>0</v>
      </c>
      <c r="I81" s="113"/>
      <c r="J81" s="44">
        <f>VLOOKUP(C81,Purchased!A:Q,14,0)</f>
        <v>0</v>
      </c>
      <c r="K81" s="44">
        <f>VLOOKUP(C81,Purchased!A:Q,14,0)</f>
        <v>0</v>
      </c>
      <c r="L81" s="44">
        <f>VLOOKUP(C81,Purchased!A:Q,15,0)</f>
        <v>0</v>
      </c>
      <c r="M81" s="44">
        <f>VLOOKUP(C81,Purchased!A:Q,16,0)</f>
        <v>0</v>
      </c>
      <c r="N81" s="45">
        <f>VLOOKUP(C81,Purchased!A:Q,17,0)</f>
        <v>0</v>
      </c>
      <c r="O81" s="45" t="e">
        <f t="shared" ca="1" si="5"/>
        <v>#VALUE!</v>
      </c>
      <c r="P81" s="49">
        <f>IFERROR(VLOOKUP(C81,Purchased!A:E,3,FALSE),"")</f>
        <v>0</v>
      </c>
      <c r="Q81" s="50">
        <f t="shared" si="6"/>
        <v>0</v>
      </c>
    </row>
    <row r="82" spans="1:17" s="2" customFormat="1" ht="12" customHeight="1">
      <c r="A82" s="4">
        <f t="shared" si="7"/>
        <v>378</v>
      </c>
      <c r="B82" s="2">
        <v>14</v>
      </c>
      <c r="C82" s="114">
        <v>3211797</v>
      </c>
      <c r="D82" s="268" t="str">
        <f>VLOOKUP(C82,Purchased!A:B,2,0)</f>
        <v>PT 4-QUATTRO; Feed-through terminal block, 32A, 24..10AWG, GY</v>
      </c>
      <c r="E82" s="269"/>
      <c r="F82" s="112" t="str">
        <f>VLOOKUP(C82,Purchased!A:Q,9,0)</f>
        <v>PHOENIX CONTACT</v>
      </c>
      <c r="G82" s="112" t="str">
        <f>VLOOKUP(C82,Purchased!A:Q,10,0)</f>
        <v>CRAVE</v>
      </c>
      <c r="H82" s="112">
        <f>VLOOKUP(C82,Purchased!A:Q,12,0)</f>
        <v>0</v>
      </c>
      <c r="I82" s="113"/>
      <c r="J82" s="44">
        <f>VLOOKUP(C82,Purchased!A:Q,14,0)</f>
        <v>0</v>
      </c>
      <c r="K82" s="44">
        <f>VLOOKUP(C82,Purchased!A:Q,14,0)</f>
        <v>0</v>
      </c>
      <c r="L82" s="44">
        <f>VLOOKUP(C82,Purchased!A:Q,15,0)</f>
        <v>0</v>
      </c>
      <c r="M82" s="44">
        <f>VLOOKUP(C82,Purchased!A:Q,16,0)</f>
        <v>0</v>
      </c>
      <c r="N82" s="45">
        <f>VLOOKUP(C82,Purchased!A:Q,17,0)</f>
        <v>0</v>
      </c>
      <c r="O82" s="45" t="e">
        <f t="shared" ca="1" si="5"/>
        <v>#VALUE!</v>
      </c>
      <c r="P82" s="49">
        <f>IFERROR(VLOOKUP(C82,Purchased!A:E,3,FALSE),"")</f>
        <v>0</v>
      </c>
      <c r="Q82" s="50">
        <f t="shared" si="6"/>
        <v>0</v>
      </c>
    </row>
    <row r="83" spans="1:17" s="2" customFormat="1" ht="12" customHeight="1">
      <c r="A83" s="4">
        <f t="shared" si="7"/>
        <v>379</v>
      </c>
      <c r="B83" s="2">
        <v>6</v>
      </c>
      <c r="C83" s="114">
        <v>3212057</v>
      </c>
      <c r="D83" s="268" t="str">
        <f>VLOOKUP(C83,Purchased!A:B,2,0)</f>
        <v>D-PT 10 - End cover</v>
      </c>
      <c r="E83" s="269"/>
      <c r="F83" s="112" t="str">
        <f>VLOOKUP(C83,Purchased!A:Q,9,0)</f>
        <v>PHOENIX CONTACT</v>
      </c>
      <c r="G83" s="112" t="str">
        <f>VLOOKUP(C83,Purchased!A:Q,10,0)</f>
        <v>CRAVE</v>
      </c>
      <c r="H83" s="112">
        <f>VLOOKUP(C83,Purchased!A:Q,12,0)</f>
        <v>0</v>
      </c>
      <c r="I83" s="113"/>
      <c r="J83" s="44">
        <f>VLOOKUP(C83,Purchased!A:Q,14,0)</f>
        <v>0</v>
      </c>
      <c r="K83" s="44">
        <f>VLOOKUP(C83,Purchased!A:Q,14,0)</f>
        <v>0</v>
      </c>
      <c r="L83" s="44">
        <f>VLOOKUP(C83,Purchased!A:Q,15,0)</f>
        <v>0</v>
      </c>
      <c r="M83" s="44">
        <f>VLOOKUP(C83,Purchased!A:Q,16,0)</f>
        <v>0</v>
      </c>
      <c r="N83" s="45">
        <f>VLOOKUP(C83,Purchased!A:Q,17,0)</f>
        <v>0</v>
      </c>
      <c r="O83" s="45" t="e">
        <f t="shared" ca="1" si="5"/>
        <v>#VALUE!</v>
      </c>
      <c r="P83" s="49">
        <f>IFERROR(VLOOKUP(C83,Purchased!A:E,3,FALSE),"")</f>
        <v>0</v>
      </c>
      <c r="Q83" s="50">
        <f t="shared" si="6"/>
        <v>0</v>
      </c>
    </row>
    <row r="84" spans="1:17" s="2" customFormat="1" ht="12" customHeight="1">
      <c r="A84" s="4">
        <f t="shared" si="7"/>
        <v>380</v>
      </c>
      <c r="B84" s="2">
        <v>6</v>
      </c>
      <c r="C84" s="114">
        <v>3212120</v>
      </c>
      <c r="D84" s="268" t="str">
        <f>VLOOKUP(C84,Purchased!A:B,2,0)</f>
        <v>Feed-through terminal block, 57A, 20..6AWG, GY, PT 10</v>
      </c>
      <c r="E84" s="269"/>
      <c r="F84" s="112" t="str">
        <f>VLOOKUP(C84,Purchased!A:Q,9,0)</f>
        <v>PHOENIX CONTACT</v>
      </c>
      <c r="G84" s="112" t="str">
        <f>VLOOKUP(C84,Purchased!A:Q,10,0)</f>
        <v>CRAVE</v>
      </c>
      <c r="H84" s="112">
        <f>VLOOKUP(C84,Purchased!A:Q,12,0)</f>
        <v>0</v>
      </c>
      <c r="I84" s="113"/>
      <c r="J84" s="44">
        <f>VLOOKUP(C84,Purchased!A:Q,14,0)</f>
        <v>0</v>
      </c>
      <c r="K84" s="44">
        <f>VLOOKUP(C84,Purchased!A:Q,14,0)</f>
        <v>0</v>
      </c>
      <c r="L84" s="44">
        <f>VLOOKUP(C84,Purchased!A:Q,15,0)</f>
        <v>0</v>
      </c>
      <c r="M84" s="44">
        <f>VLOOKUP(C84,Purchased!A:Q,16,0)</f>
        <v>0</v>
      </c>
      <c r="N84" s="45">
        <f>VLOOKUP(C84,Purchased!A:Q,17,0)</f>
        <v>0</v>
      </c>
      <c r="O84" s="45" t="e">
        <f t="shared" ca="1" si="5"/>
        <v>#VALUE!</v>
      </c>
      <c r="P84" s="49">
        <f>IFERROR(VLOOKUP(C84,Purchased!A:E,3,FALSE),"")</f>
        <v>0</v>
      </c>
      <c r="Q84" s="50">
        <f t="shared" si="6"/>
        <v>0</v>
      </c>
    </row>
    <row r="85" spans="1:17" s="2" customFormat="1" ht="12" customHeight="1">
      <c r="A85" s="4">
        <f t="shared" si="7"/>
        <v>381</v>
      </c>
      <c r="B85" s="2">
        <v>40</v>
      </c>
      <c r="C85" s="114">
        <v>3213726</v>
      </c>
      <c r="D85" s="268" t="str">
        <f>VLOOKUP(C85,Purchased!A:B,2,0)</f>
        <v>Multi-level terminal block - PT 1,5/S-3L BU</v>
      </c>
      <c r="E85" s="269"/>
      <c r="F85" s="112" t="str">
        <f>VLOOKUP(C85,Purchased!A:Q,9,0)</f>
        <v>PHOENIX CONTACT</v>
      </c>
      <c r="G85" s="112" t="str">
        <f>VLOOKUP(C85,Purchased!A:Q,10,0)</f>
        <v>CRAVE</v>
      </c>
      <c r="H85" s="112">
        <f>VLOOKUP(C85,Purchased!A:Q,12,0)</f>
        <v>0</v>
      </c>
      <c r="I85" s="113"/>
      <c r="J85" s="44">
        <f>VLOOKUP(C85,Purchased!A:Q,14,0)</f>
        <v>0</v>
      </c>
      <c r="K85" s="44">
        <f>VLOOKUP(C85,Purchased!A:Q,14,0)</f>
        <v>0</v>
      </c>
      <c r="L85" s="44">
        <f>VLOOKUP(C85,Purchased!A:Q,15,0)</f>
        <v>0</v>
      </c>
      <c r="M85" s="44">
        <f>VLOOKUP(C85,Purchased!A:Q,16,0)</f>
        <v>0</v>
      </c>
      <c r="N85" s="45">
        <f>VLOOKUP(C85,Purchased!A:Q,17,0)</f>
        <v>0</v>
      </c>
      <c r="O85" s="45" t="e">
        <f t="shared" ca="1" si="5"/>
        <v>#VALUE!</v>
      </c>
      <c r="P85" s="49">
        <f>IFERROR(VLOOKUP(C85,Purchased!A:E,3,FALSE),"")</f>
        <v>0</v>
      </c>
      <c r="Q85" s="50">
        <f t="shared" si="6"/>
        <v>0</v>
      </c>
    </row>
    <row r="86" spans="1:17" s="2" customFormat="1" ht="12" customHeight="1">
      <c r="A86" s="4">
        <f t="shared" si="7"/>
        <v>382</v>
      </c>
      <c r="B86" s="2">
        <v>6</v>
      </c>
      <c r="C86" s="114">
        <v>3270145</v>
      </c>
      <c r="D86" s="268" t="str">
        <f>VLOOKUP(C86,Purchased!A:B,2,0)</f>
        <v>Potential distributors - PTRV 8-PV /BU, 32 POSITION, 26-14AWG, 10A</v>
      </c>
      <c r="E86" s="269"/>
      <c r="F86" s="112" t="str">
        <f>VLOOKUP(C86,Purchased!A:Q,9,0)</f>
        <v>PHOENIX CONTACT</v>
      </c>
      <c r="G86" s="112" t="str">
        <f>VLOOKUP(C86,Purchased!A:Q,10,0)</f>
        <v>CRAVE</v>
      </c>
      <c r="H86" s="112">
        <f>VLOOKUP(C86,Purchased!A:Q,12,0)</f>
        <v>0</v>
      </c>
      <c r="I86" s="113"/>
      <c r="J86" s="44">
        <f>VLOOKUP(C86,Purchased!A:Q,14,0)</f>
        <v>0</v>
      </c>
      <c r="K86" s="44">
        <f>VLOOKUP(C86,Purchased!A:Q,14,0)</f>
        <v>0</v>
      </c>
      <c r="L86" s="44">
        <f>VLOOKUP(C86,Purchased!A:Q,15,0)</f>
        <v>0</v>
      </c>
      <c r="M86" s="44">
        <f>VLOOKUP(C86,Purchased!A:Q,16,0)</f>
        <v>0</v>
      </c>
      <c r="N86" s="45">
        <f>VLOOKUP(C86,Purchased!A:Q,17,0)</f>
        <v>0</v>
      </c>
      <c r="O86" s="45" t="e">
        <f t="shared" ca="1" si="5"/>
        <v>#VALUE!</v>
      </c>
      <c r="P86" s="49">
        <f>IFERROR(VLOOKUP(C86,Purchased!A:E,3,FALSE),"")</f>
        <v>0</v>
      </c>
      <c r="Q86" s="50">
        <f t="shared" si="6"/>
        <v>0</v>
      </c>
    </row>
    <row r="87" spans="1:17" s="2" customFormat="1" ht="12" customHeight="1">
      <c r="A87" s="4">
        <f t="shared" si="7"/>
        <v>383</v>
      </c>
      <c r="B87" s="2">
        <v>6</v>
      </c>
      <c r="C87" s="114">
        <v>3270154</v>
      </c>
      <c r="D87" s="268" t="str">
        <f>VLOOKUP(C87,Purchased!A:B,2,0)</f>
        <v>D-PTRV 8 WH 1-8, SEPARATING PLATE FOR 32 POS MARSHALLING TERMINAL BLOCK</v>
      </c>
      <c r="E87" s="269"/>
      <c r="F87" s="112" t="str">
        <f>VLOOKUP(C87,Purchased!A:Q,9,0)</f>
        <v>PHOENIX CONTACT</v>
      </c>
      <c r="G87" s="112" t="str">
        <f>VLOOKUP(C87,Purchased!A:Q,10,0)</f>
        <v>CRAVE</v>
      </c>
      <c r="H87" s="112">
        <f>VLOOKUP(C87,Purchased!A:Q,12,0)</f>
        <v>0</v>
      </c>
      <c r="I87" s="113"/>
      <c r="J87" s="44">
        <f>VLOOKUP(C87,Purchased!A:Q,14,0)</f>
        <v>0</v>
      </c>
      <c r="K87" s="44">
        <f>VLOOKUP(C87,Purchased!A:Q,14,0)</f>
        <v>0</v>
      </c>
      <c r="L87" s="44">
        <f>VLOOKUP(C87,Purchased!A:Q,15,0)</f>
        <v>0</v>
      </c>
      <c r="M87" s="44">
        <f>VLOOKUP(C87,Purchased!A:Q,16,0)</f>
        <v>0</v>
      </c>
      <c r="N87" s="45">
        <f>VLOOKUP(C87,Purchased!A:Q,17,0)</f>
        <v>0</v>
      </c>
      <c r="O87" s="45" t="e">
        <f t="shared" ca="1" si="5"/>
        <v>#VALUE!</v>
      </c>
      <c r="P87" s="49">
        <f>IFERROR(VLOOKUP(C87,Purchased!A:E,3,FALSE),"")</f>
        <v>0</v>
      </c>
      <c r="Q87" s="50">
        <f t="shared" si="6"/>
        <v>0</v>
      </c>
    </row>
    <row r="88" spans="1:17" s="2" customFormat="1" ht="12" customHeight="1">
      <c r="A88" s="4">
        <f t="shared" si="7"/>
        <v>384</v>
      </c>
      <c r="B88" s="2">
        <v>1</v>
      </c>
      <c r="C88" s="114" t="s">
        <v>125</v>
      </c>
      <c r="D88" s="268" t="str">
        <f>VLOOKUP(C88,Purchased!A:B,2,0)</f>
        <v>UL508A Nameplate</v>
      </c>
      <c r="E88" s="269"/>
      <c r="F88" s="112" t="str">
        <f>VLOOKUP(C88,Purchased!A:Q,9,0)</f>
        <v>CRAVE</v>
      </c>
      <c r="G88" s="112" t="str">
        <f>VLOOKUP(C88,Purchased!A:Q,10,0)</f>
        <v>CRAVE</v>
      </c>
      <c r="H88" s="112">
        <f>VLOOKUP(C88,Purchased!A:Q,12,0)</f>
        <v>0</v>
      </c>
      <c r="I88" s="113"/>
      <c r="J88" s="44">
        <f>VLOOKUP(C88,Purchased!A:Q,14,0)</f>
        <v>0</v>
      </c>
      <c r="K88" s="44">
        <f>VLOOKUP(C88,Purchased!A:Q,14,0)</f>
        <v>0</v>
      </c>
      <c r="L88" s="44">
        <f>VLOOKUP(C88,Purchased!A:Q,15,0)</f>
        <v>0</v>
      </c>
      <c r="M88" s="44">
        <f>VLOOKUP(C88,Purchased!A:Q,16,0)</f>
        <v>0</v>
      </c>
      <c r="N88" s="45">
        <f>VLOOKUP(C88,Purchased!A:Q,17,0)</f>
        <v>0</v>
      </c>
      <c r="O88" s="45" t="e">
        <f t="shared" ca="1" si="5"/>
        <v>#VALUE!</v>
      </c>
      <c r="P88" s="49">
        <f>IFERROR(VLOOKUP(C88,Purchased!A:E,3,FALSE),"")</f>
        <v>0</v>
      </c>
      <c r="Q88" s="50">
        <f t="shared" si="6"/>
        <v>0</v>
      </c>
    </row>
    <row r="89" spans="1:17" s="2" customFormat="1" ht="12" customHeight="1">
      <c r="A89" s="4">
        <f t="shared" si="7"/>
        <v>385</v>
      </c>
      <c r="B89" s="2">
        <v>1</v>
      </c>
      <c r="C89" s="114">
        <v>1043784</v>
      </c>
      <c r="D89" s="268" t="str">
        <f>VLOOKUP(C89,Purchased!A:B,2,0)</f>
        <v>SAFETY PLC, FLEXISOFT, FX3-CPU130002, EFI CAPABLE</v>
      </c>
      <c r="E89" s="269"/>
      <c r="F89" s="112" t="str">
        <f>VLOOKUP(C89,Purchased!A:Q,9,0)</f>
        <v>SICK</v>
      </c>
      <c r="G89" s="112" t="str">
        <f>VLOOKUP(C89,Purchased!A:Q,10,0)</f>
        <v>CRAVE</v>
      </c>
      <c r="H89" s="112">
        <f>VLOOKUP(C89,Purchased!A:Q,12,0)</f>
        <v>0</v>
      </c>
      <c r="I89" s="113"/>
      <c r="J89" s="44">
        <f>VLOOKUP(C89,Purchased!A:Q,14,0)</f>
        <v>0</v>
      </c>
      <c r="K89" s="44">
        <f>VLOOKUP(C89,Purchased!A:Q,14,0)</f>
        <v>0</v>
      </c>
      <c r="L89" s="44">
        <f>VLOOKUP(C89,Purchased!A:Q,15,0)</f>
        <v>0</v>
      </c>
      <c r="M89" s="44">
        <f>VLOOKUP(C89,Purchased!A:Q,16,0)</f>
        <v>0</v>
      </c>
      <c r="N89" s="45">
        <f>VLOOKUP(C89,Purchased!A:Q,17,0)</f>
        <v>0</v>
      </c>
      <c r="O89" s="45" t="e">
        <f t="shared" ca="1" si="5"/>
        <v>#VALUE!</v>
      </c>
      <c r="P89" s="49">
        <f>IFERROR(VLOOKUP(C89,Purchased!A:E,3,FALSE),"")</f>
        <v>0</v>
      </c>
      <c r="Q89" s="50">
        <f t="shared" si="6"/>
        <v>0</v>
      </c>
    </row>
    <row r="90" spans="1:17" s="2" customFormat="1" ht="12" customHeight="1">
      <c r="A90" s="4">
        <f t="shared" si="7"/>
        <v>386</v>
      </c>
      <c r="B90" s="2">
        <v>1</v>
      </c>
      <c r="C90" s="114">
        <v>1043700</v>
      </c>
      <c r="D90" s="268" t="str">
        <f>VLOOKUP(C90,Purchased!A:B,2,0)</f>
        <v>MEMORY PLUG FOR FLEXISOFT FX3-CPU, FX3-MPL000001</v>
      </c>
      <c r="E90" s="269"/>
      <c r="F90" s="112" t="str">
        <f>VLOOKUP(C90,Purchased!A:Q,9,0)</f>
        <v>SICK</v>
      </c>
      <c r="G90" s="112" t="str">
        <f>VLOOKUP(C90,Purchased!A:Q,10,0)</f>
        <v>CRAVE</v>
      </c>
      <c r="H90" s="112">
        <f>VLOOKUP(C90,Purchased!A:Q,12,0)</f>
        <v>0</v>
      </c>
      <c r="I90" s="113"/>
      <c r="J90" s="44">
        <f>VLOOKUP(C90,Purchased!A:Q,14,0)</f>
        <v>0</v>
      </c>
      <c r="K90" s="44">
        <f>VLOOKUP(C90,Purchased!A:Q,14,0)</f>
        <v>0</v>
      </c>
      <c r="L90" s="44">
        <f>VLOOKUP(C90,Purchased!A:Q,15,0)</f>
        <v>0</v>
      </c>
      <c r="M90" s="44">
        <f>VLOOKUP(C90,Purchased!A:Q,16,0)</f>
        <v>0</v>
      </c>
      <c r="N90" s="45">
        <f>VLOOKUP(C90,Purchased!A:Q,17,0)</f>
        <v>0</v>
      </c>
      <c r="O90" s="45" t="e">
        <f t="shared" ca="1" si="5"/>
        <v>#VALUE!</v>
      </c>
      <c r="P90" s="49">
        <f>IFERROR(VLOOKUP(C90,Purchased!A:E,3,FALSE),"")</f>
        <v>0</v>
      </c>
      <c r="Q90" s="50">
        <f t="shared" si="6"/>
        <v>0</v>
      </c>
    </row>
    <row r="91" spans="1:17" s="2" customFormat="1" ht="12" customHeight="1">
      <c r="A91" s="4">
        <f t="shared" si="7"/>
        <v>387</v>
      </c>
      <c r="B91" s="2">
        <v>1</v>
      </c>
      <c r="C91" s="114">
        <v>1044124</v>
      </c>
      <c r="D91" s="268" t="str">
        <f>VLOOKUP(C91,Purchased!A:B,2,0)</f>
        <v>SAFE DIGITAL INPUTS, FLEXISOFT, 8-CHANNEL, FX3-XIDI80002</v>
      </c>
      <c r="E91" s="269"/>
      <c r="F91" s="112" t="str">
        <f>VLOOKUP(C91,Purchased!A:Q,9,0)</f>
        <v>SICK</v>
      </c>
      <c r="G91" s="112" t="str">
        <f>VLOOKUP(C91,Purchased!A:Q,10,0)</f>
        <v>CRAVE</v>
      </c>
      <c r="H91" s="112">
        <f>VLOOKUP(C91,Purchased!A:Q,12,0)</f>
        <v>0</v>
      </c>
      <c r="I91" s="113"/>
      <c r="J91" s="44">
        <f>VLOOKUP(C91,Purchased!A:Q,14,0)</f>
        <v>0</v>
      </c>
      <c r="K91" s="44">
        <f>VLOOKUP(C91,Purchased!A:Q,14,0)</f>
        <v>0</v>
      </c>
      <c r="L91" s="44">
        <f>VLOOKUP(C91,Purchased!A:Q,15,0)</f>
        <v>0</v>
      </c>
      <c r="M91" s="44">
        <f>VLOOKUP(C91,Purchased!A:Q,16,0)</f>
        <v>0</v>
      </c>
      <c r="N91" s="45">
        <f>VLOOKUP(C91,Purchased!A:Q,17,0)</f>
        <v>0</v>
      </c>
      <c r="O91" s="45" t="e">
        <f t="shared" ca="1" si="5"/>
        <v>#VALUE!</v>
      </c>
      <c r="P91" s="49">
        <f>IFERROR(VLOOKUP(C91,Purchased!A:E,3,FALSE),"")</f>
        <v>0</v>
      </c>
      <c r="Q91" s="50">
        <f t="shared" si="6"/>
        <v>0</v>
      </c>
    </row>
    <row r="92" spans="1:17" s="2" customFormat="1" ht="12" customHeight="1">
      <c r="A92" s="4">
        <f t="shared" si="7"/>
        <v>388</v>
      </c>
      <c r="B92" s="2">
        <v>1</v>
      </c>
      <c r="C92" s="114">
        <v>1044125</v>
      </c>
      <c r="D92" s="268" t="str">
        <f>VLOOKUP(C92,Purchased!A:B,2,0)</f>
        <v>SAFE DIGITAL COMBI, FLEXISOFT, 8-CHANNEL IN, 4-CHANNEL OUT, FX3-XIIO84002</v>
      </c>
      <c r="E92" s="269"/>
      <c r="F92" s="112" t="str">
        <f>VLOOKUP(C92,Purchased!A:Q,9,0)</f>
        <v>SICK</v>
      </c>
      <c r="G92" s="112" t="str">
        <f>VLOOKUP(C92,Purchased!A:Q,10,0)</f>
        <v>CRAVE</v>
      </c>
      <c r="H92" s="112">
        <f>VLOOKUP(C92,Purchased!A:Q,12,0)</f>
        <v>0</v>
      </c>
      <c r="I92" s="113"/>
      <c r="J92" s="44">
        <f>VLOOKUP(C92,Purchased!A:Q,14,0)</f>
        <v>0</v>
      </c>
      <c r="K92" s="44">
        <f>VLOOKUP(C92,Purchased!A:Q,14,0)</f>
        <v>0</v>
      </c>
      <c r="L92" s="44">
        <f>VLOOKUP(C92,Purchased!A:Q,15,0)</f>
        <v>0</v>
      </c>
      <c r="M92" s="44">
        <f>VLOOKUP(C92,Purchased!A:Q,16,0)</f>
        <v>0</v>
      </c>
      <c r="N92" s="45">
        <f>VLOOKUP(C92,Purchased!A:Q,17,0)</f>
        <v>0</v>
      </c>
      <c r="O92" s="45" t="e">
        <f t="shared" ca="1" si="5"/>
        <v>#VALUE!</v>
      </c>
      <c r="P92" s="49">
        <f>IFERROR(VLOOKUP(C92,Purchased!A:E,3,FALSE),"")</f>
        <v>0</v>
      </c>
      <c r="Q92" s="50">
        <f t="shared" si="6"/>
        <v>0</v>
      </c>
    </row>
    <row r="93" spans="1:17" s="2" customFormat="1" ht="12" customHeight="1">
      <c r="A93" s="4">
        <f t="shared" si="7"/>
        <v>389</v>
      </c>
      <c r="B93" s="2">
        <v>1</v>
      </c>
      <c r="C93" s="114">
        <v>1085343</v>
      </c>
      <c r="D93" s="268" t="str">
        <f>VLOOKUP(C93,Purchased!A:B,2,0)</f>
        <v>SAFETY RELAY, RLY3-OSSD1, 2 CHANNEL INPUTS W/EDM</v>
      </c>
      <c r="E93" s="269"/>
      <c r="F93" s="112" t="str">
        <f>VLOOKUP(C93,Purchased!A:Q,9,0)</f>
        <v>SICK</v>
      </c>
      <c r="G93" s="112" t="str">
        <f>VLOOKUP(C93,Purchased!A:Q,10,0)</f>
        <v>CRAVE</v>
      </c>
      <c r="H93" s="112">
        <f>VLOOKUP(C93,Purchased!A:Q,12,0)</f>
        <v>0</v>
      </c>
      <c r="I93" s="113"/>
      <c r="J93" s="44">
        <f>VLOOKUP(C93,Purchased!A:Q,14,0)</f>
        <v>0</v>
      </c>
      <c r="K93" s="44">
        <f>VLOOKUP(C93,Purchased!A:Q,14,0)</f>
        <v>0</v>
      </c>
      <c r="L93" s="44">
        <f>VLOOKUP(C93,Purchased!A:Q,15,0)</f>
        <v>0</v>
      </c>
      <c r="M93" s="44">
        <f>VLOOKUP(C93,Purchased!A:Q,16,0)</f>
        <v>0</v>
      </c>
      <c r="N93" s="45">
        <f>VLOOKUP(C93,Purchased!A:Q,17,0)</f>
        <v>0</v>
      </c>
      <c r="O93" s="45" t="e">
        <f t="shared" ca="1" si="5"/>
        <v>#VALUE!</v>
      </c>
      <c r="P93" s="49">
        <f>IFERROR(VLOOKUP(C93,Purchased!A:E,3,FALSE),"")</f>
        <v>0</v>
      </c>
      <c r="Q93" s="50">
        <f t="shared" si="6"/>
        <v>0</v>
      </c>
    </row>
    <row r="94" spans="1:17" s="2" customFormat="1" ht="12" customHeight="1">
      <c r="A94" s="4">
        <f t="shared" si="7"/>
        <v>390</v>
      </c>
      <c r="B94" s="2">
        <v>1</v>
      </c>
      <c r="C94" s="114" t="s">
        <v>126</v>
      </c>
      <c r="D94" s="268" t="str">
        <f>VLOOKUP(C94,Purchased!A:B,2,0)</f>
        <v>thermostat, adjustable, N.O. (close on rise) 20 to 80 deg C, 7K switching differential, 35mm DIN rail mount, for electrical enclosure climate control.</v>
      </c>
      <c r="E94" s="269"/>
      <c r="F94" s="112" t="str">
        <f>VLOOKUP(C94,Purchased!A:Q,9,0)</f>
        <v>STEGO</v>
      </c>
      <c r="G94" s="112" t="str">
        <f>VLOOKUP(C94,Purchased!A:Q,10,0)</f>
        <v>CRAVE</v>
      </c>
      <c r="H94" s="112">
        <f>VLOOKUP(C94,Purchased!A:Q,12,0)</f>
        <v>0</v>
      </c>
      <c r="I94" s="113"/>
      <c r="J94" s="44">
        <f>VLOOKUP(C94,Purchased!A:Q,14,0)</f>
        <v>0</v>
      </c>
      <c r="K94" s="44">
        <f>VLOOKUP(C94,Purchased!A:Q,14,0)</f>
        <v>0</v>
      </c>
      <c r="L94" s="44">
        <f>VLOOKUP(C94,Purchased!A:Q,15,0)</f>
        <v>0</v>
      </c>
      <c r="M94" s="44">
        <f>VLOOKUP(C94,Purchased!A:Q,16,0)</f>
        <v>0</v>
      </c>
      <c r="N94" s="45">
        <f>VLOOKUP(C94,Purchased!A:Q,17,0)</f>
        <v>0</v>
      </c>
      <c r="O94" s="45" t="e">
        <f t="shared" ca="1" si="5"/>
        <v>#VALUE!</v>
      </c>
      <c r="P94" s="49">
        <f>IFERROR(VLOOKUP(C94,Purchased!A:E,3,FALSE),"")</f>
        <v>0</v>
      </c>
      <c r="Q94" s="50">
        <f t="shared" si="6"/>
        <v>0</v>
      </c>
    </row>
    <row r="95" spans="1:17" s="2" customFormat="1" ht="12" customHeight="1">
      <c r="A95" s="4">
        <f t="shared" si="7"/>
        <v>391</v>
      </c>
      <c r="B95" s="2">
        <v>1</v>
      </c>
      <c r="C95" s="114" t="s">
        <v>127</v>
      </c>
      <c r="D95" s="268" t="str">
        <f>VLOOKUP(C95,Purchased!A:B,2,0)</f>
        <v>Sick panel mount E-Stop</v>
      </c>
      <c r="E95" s="269"/>
      <c r="F95" s="112" t="str">
        <f>VLOOKUP(C95,Purchased!A:Q,9,0)</f>
        <v>Sick</v>
      </c>
      <c r="G95" s="112" t="str">
        <f>VLOOKUP(C95,Purchased!A:Q,10,0)</f>
        <v>CRAVE</v>
      </c>
      <c r="H95" s="112" t="str">
        <f>VLOOKUP(C95,Purchased!A:Q,12,0)</f>
        <v>Provided by CRAVE</v>
      </c>
      <c r="I95" s="113"/>
      <c r="J95" s="44" t="str">
        <f>VLOOKUP(C95,Purchased!A:Q,14,0)</f>
        <v>N/A</v>
      </c>
      <c r="K95" s="44" t="str">
        <f>VLOOKUP(C95,Purchased!A:Q,14,0)</f>
        <v>N/A</v>
      </c>
      <c r="L95" s="44" t="str">
        <f>VLOOKUP(C95,Purchased!A:Q,15,0)</f>
        <v>N/A</v>
      </c>
      <c r="M95" s="44" t="str">
        <f>VLOOKUP(C95,Purchased!A:Q,16,0)</f>
        <v>N/A</v>
      </c>
      <c r="N95" s="45" t="str">
        <f>VLOOKUP(C95,Purchased!A:Q,17,0)</f>
        <v>N/A</v>
      </c>
      <c r="O95" s="45" t="e">
        <f t="shared" ca="1" si="5"/>
        <v>#VALUE!</v>
      </c>
      <c r="P95" s="49">
        <f>IFERROR(VLOOKUP(C95,Purchased!A:E,3,FALSE),"")</f>
        <v>0</v>
      </c>
      <c r="Q95" s="50">
        <f t="shared" si="6"/>
        <v>0</v>
      </c>
    </row>
    <row r="96" spans="1:17" s="2" customFormat="1" ht="12" customHeight="1">
      <c r="A96" s="4">
        <f t="shared" si="7"/>
        <v>392</v>
      </c>
      <c r="B96" s="2">
        <v>1</v>
      </c>
      <c r="C96" s="114" t="s">
        <v>128</v>
      </c>
      <c r="D96" s="268" t="str">
        <f>VLOOKUP(C96,Purchased!A:B,2,0)</f>
        <v>Edge Trim</v>
      </c>
      <c r="E96" s="269"/>
      <c r="F96" s="112" t="str">
        <f>VLOOKUP(C96,Purchased!A:Q,9,0)</f>
        <v>MISUMI</v>
      </c>
      <c r="G96" s="112" t="str">
        <f>VLOOKUP(C96,Purchased!A:Q,10,0)</f>
        <v>CRAVE</v>
      </c>
      <c r="H96" s="112">
        <f>VLOOKUP(C96,Purchased!A:Q,12,0)</f>
        <v>0</v>
      </c>
      <c r="I96" s="113"/>
      <c r="J96" s="44">
        <f>VLOOKUP(C96,Purchased!A:Q,14,0)</f>
        <v>0</v>
      </c>
      <c r="K96" s="44">
        <f>VLOOKUP(C96,Purchased!A:Q,14,0)</f>
        <v>0</v>
      </c>
      <c r="L96" s="44">
        <f>VLOOKUP(C96,Purchased!A:Q,15,0)</f>
        <v>0</v>
      </c>
      <c r="M96" s="44">
        <f>VLOOKUP(C96,Purchased!A:Q,16,0)</f>
        <v>0</v>
      </c>
      <c r="N96" s="45">
        <f>VLOOKUP(C96,Purchased!A:Q,17,0)</f>
        <v>0</v>
      </c>
      <c r="O96" s="45" t="e">
        <f t="shared" ca="1" si="5"/>
        <v>#VALUE!</v>
      </c>
      <c r="P96" s="49">
        <f>IFERROR(VLOOKUP(C96,Purchased!A:E,3,FALSE),"")</f>
        <v>0</v>
      </c>
      <c r="Q96" s="50">
        <f t="shared" si="6"/>
        <v>0</v>
      </c>
    </row>
    <row r="97" spans="1:17" s="2" customFormat="1" ht="12" customHeight="1">
      <c r="A97" s="4">
        <f t="shared" si="7"/>
        <v>393</v>
      </c>
      <c r="B97" s="2">
        <v>2</v>
      </c>
      <c r="C97" s="114">
        <v>3030161</v>
      </c>
      <c r="D97" s="268" t="str">
        <f>VLOOKUP(C97,Purchased!A:B,2,0)</f>
        <v>Plug-in bridge - FBS 2-5</v>
      </c>
      <c r="E97" s="269"/>
      <c r="F97" s="112" t="str">
        <f>VLOOKUP(C97,Purchased!A:Q,9,0)</f>
        <v>PHOENIX CONTACT</v>
      </c>
      <c r="G97" s="112" t="str">
        <f>VLOOKUP(C97,Purchased!A:Q,10,0)</f>
        <v>CRAVE</v>
      </c>
      <c r="H97" s="112">
        <f>VLOOKUP(C97,Purchased!A:Q,12,0)</f>
        <v>0</v>
      </c>
      <c r="I97" s="113"/>
      <c r="J97" s="44">
        <f>VLOOKUP(C97,Purchased!A:Q,14,0)</f>
        <v>0</v>
      </c>
      <c r="K97" s="44">
        <f>VLOOKUP(C97,Purchased!A:Q,14,0)</f>
        <v>0</v>
      </c>
      <c r="L97" s="44">
        <f>VLOOKUP(C97,Purchased!A:Q,15,0)</f>
        <v>0</v>
      </c>
      <c r="M97" s="44">
        <f>VLOOKUP(C97,Purchased!A:Q,16,0)</f>
        <v>0</v>
      </c>
      <c r="N97" s="45">
        <f>VLOOKUP(C97,Purchased!A:Q,17,0)</f>
        <v>0</v>
      </c>
      <c r="O97" s="45" t="e">
        <f t="shared" ca="1" si="5"/>
        <v>#VALUE!</v>
      </c>
      <c r="P97" s="49">
        <f>IFERROR(VLOOKUP(C97,Purchased!A:E,3,FALSE),"")</f>
        <v>0</v>
      </c>
      <c r="Q97" s="50">
        <f t="shared" si="6"/>
        <v>0</v>
      </c>
    </row>
    <row r="98" spans="1:17" s="2" customFormat="1" ht="12" customHeight="1">
      <c r="A98" s="4">
        <f t="shared" si="7"/>
        <v>394</v>
      </c>
      <c r="B98" s="2">
        <v>9</v>
      </c>
      <c r="C98" s="114">
        <v>3213014</v>
      </c>
      <c r="D98" s="268" t="str">
        <f>VLOOKUP(C98,Purchased!A:B,2,0)</f>
        <v>Plug-in bridge - FBS 2-3,5, 17.5A</v>
      </c>
      <c r="E98" s="269"/>
      <c r="F98" s="112" t="str">
        <f>VLOOKUP(C98,Purchased!A:Q,9,0)</f>
        <v>PHOENIX CONTACT</v>
      </c>
      <c r="G98" s="112" t="str">
        <f>VLOOKUP(C98,Purchased!A:Q,10,0)</f>
        <v>CRAVE</v>
      </c>
      <c r="H98" s="112">
        <f>VLOOKUP(C98,Purchased!A:Q,12,0)</f>
        <v>0</v>
      </c>
      <c r="I98" s="113"/>
      <c r="J98" s="44">
        <f>VLOOKUP(C98,Purchased!A:Q,14,0)</f>
        <v>0</v>
      </c>
      <c r="K98" s="44">
        <f>VLOOKUP(C98,Purchased!A:Q,14,0)</f>
        <v>0</v>
      </c>
      <c r="L98" s="44">
        <f>VLOOKUP(C98,Purchased!A:Q,15,0)</f>
        <v>0</v>
      </c>
      <c r="M98" s="44">
        <f>VLOOKUP(C98,Purchased!A:Q,16,0)</f>
        <v>0</v>
      </c>
      <c r="N98" s="45">
        <f>VLOOKUP(C98,Purchased!A:Q,17,0)</f>
        <v>0</v>
      </c>
      <c r="O98" s="45" t="e">
        <f t="shared" ca="1" si="5"/>
        <v>#VALUE!</v>
      </c>
      <c r="P98" s="49">
        <f>IFERROR(VLOOKUP(C98,Purchased!A:E,3,FALSE),"")</f>
        <v>0</v>
      </c>
      <c r="Q98" s="50">
        <f t="shared" si="6"/>
        <v>0</v>
      </c>
    </row>
    <row r="99" spans="1:17" s="2" customFormat="1" ht="12" customHeight="1">
      <c r="A99" s="4">
        <f t="shared" si="7"/>
        <v>395</v>
      </c>
      <c r="B99" s="2">
        <v>6</v>
      </c>
      <c r="C99" s="114">
        <v>801733</v>
      </c>
      <c r="D99" s="268" t="str">
        <f>VLOOKUP(C99,Purchased!A:B,2,0)</f>
        <v>NS 35/ 7,5 PERF 2000MM - DIN rail perforated</v>
      </c>
      <c r="E99" s="269"/>
      <c r="F99" s="112" t="str">
        <f>VLOOKUP(C99,Purchased!A:Q,9,0)</f>
        <v>Phoenix Contact</v>
      </c>
      <c r="G99" s="112" t="str">
        <f>VLOOKUP(C99,Purchased!A:Q,10,0)</f>
        <v>CRAVE</v>
      </c>
      <c r="H99" s="112">
        <f>VLOOKUP(C99,Purchased!A:Q,12,0)</f>
        <v>0</v>
      </c>
      <c r="I99" s="113"/>
      <c r="J99" s="44">
        <f>VLOOKUP(C99,Purchased!A:Q,14,0)</f>
        <v>0</v>
      </c>
      <c r="K99" s="44">
        <f>VLOOKUP(C99,Purchased!A:Q,14,0)</f>
        <v>0</v>
      </c>
      <c r="L99" s="44">
        <f>VLOOKUP(C99,Purchased!A:Q,15,0)</f>
        <v>0</v>
      </c>
      <c r="M99" s="44">
        <f>VLOOKUP(C99,Purchased!A:Q,16,0)</f>
        <v>0</v>
      </c>
      <c r="N99" s="45">
        <f>VLOOKUP(C99,Purchased!A:Q,17,0)</f>
        <v>0</v>
      </c>
      <c r="O99" s="45" t="e">
        <f t="shared" ca="1" si="5"/>
        <v>#VALUE!</v>
      </c>
      <c r="P99" s="49">
        <f>IFERROR(VLOOKUP(C99,Purchased!A:E,3,FALSE),"")</f>
        <v>0</v>
      </c>
      <c r="Q99" s="50">
        <f t="shared" si="6"/>
        <v>0</v>
      </c>
    </row>
    <row r="100" spans="1:17" s="2" customFormat="1" ht="12" customHeight="1">
      <c r="A100" s="4">
        <f t="shared" si="7"/>
        <v>396</v>
      </c>
      <c r="B100" s="2">
        <v>3</v>
      </c>
      <c r="C100" s="114">
        <v>3030336</v>
      </c>
      <c r="D100" s="268" t="str">
        <f>VLOOKUP(C100,Purchased!A:B,2,0)</f>
        <v>FBS 2-6; PLUG-IN BRIDGE, 2-POSITION, 6.2MM PITCH, RED</v>
      </c>
      <c r="E100" s="269"/>
      <c r="F100" s="112" t="str">
        <f>VLOOKUP(C100,Purchased!A:Q,9,0)</f>
        <v>PHOENIX CONTACT</v>
      </c>
      <c r="G100" s="112" t="str">
        <f>VLOOKUP(C100,Purchased!A:Q,10,0)</f>
        <v>CRAVE</v>
      </c>
      <c r="H100" s="112">
        <f>VLOOKUP(C100,Purchased!A:Q,12,0)</f>
        <v>0</v>
      </c>
      <c r="I100" s="113"/>
      <c r="J100" s="44">
        <f>VLOOKUP(C100,Purchased!A:Q,14,0)</f>
        <v>0</v>
      </c>
      <c r="K100" s="44">
        <f>VLOOKUP(C100,Purchased!A:Q,14,0)</f>
        <v>0</v>
      </c>
      <c r="L100" s="44">
        <f>VLOOKUP(C100,Purchased!A:Q,15,0)</f>
        <v>0</v>
      </c>
      <c r="M100" s="44">
        <f>VLOOKUP(C100,Purchased!A:Q,16,0)</f>
        <v>0</v>
      </c>
      <c r="N100" s="45">
        <f>VLOOKUP(C100,Purchased!A:Q,17,0)</f>
        <v>0</v>
      </c>
      <c r="O100" s="45" t="e">
        <f t="shared" ref="O100:O103" ca="1" si="8">B100*$L$2</f>
        <v>#VALUE!</v>
      </c>
      <c r="P100" s="49">
        <f>IFERROR(VLOOKUP(C100,Purchased!A:E,3,FALSE),"")</f>
        <v>0</v>
      </c>
      <c r="Q100" s="50">
        <f t="shared" ref="Q100:Q103" si="9">IFERROR(B100*P100,"")</f>
        <v>0</v>
      </c>
    </row>
    <row r="101" spans="1:17" s="2" customFormat="1" ht="12" customHeight="1">
      <c r="A101" s="4">
        <f t="shared" si="7"/>
        <v>397</v>
      </c>
      <c r="B101" s="2">
        <v>1</v>
      </c>
      <c r="C101" s="114" t="s">
        <v>129</v>
      </c>
      <c r="D101" s="268" t="str">
        <f>VLOOKUP(C101,Purchased!A:B,2,0)</f>
        <v>VeriSafe Absence of Voltage Tester, indicator module</v>
      </c>
      <c r="E101" s="269"/>
      <c r="F101" s="112" t="str">
        <f>VLOOKUP(C101,Purchased!A:Q,9,0)</f>
        <v>PANDUIT</v>
      </c>
      <c r="G101" s="112" t="str">
        <f>VLOOKUP(C101,Purchased!A:Q,10,0)</f>
        <v>CRAVE</v>
      </c>
      <c r="H101" s="112">
        <f>VLOOKUP(C101,Purchased!A:Q,12,0)</f>
        <v>0</v>
      </c>
      <c r="I101" s="113"/>
      <c r="J101" s="44">
        <f>VLOOKUP(C101,Purchased!A:Q,14,0)</f>
        <v>0</v>
      </c>
      <c r="K101" s="44">
        <f>VLOOKUP(C101,Purchased!A:Q,14,0)</f>
        <v>0</v>
      </c>
      <c r="L101" s="44">
        <f>VLOOKUP(C101,Purchased!A:Q,15,0)</f>
        <v>0</v>
      </c>
      <c r="M101" s="44">
        <f>VLOOKUP(C101,Purchased!A:Q,16,0)</f>
        <v>0</v>
      </c>
      <c r="N101" s="45">
        <f>VLOOKUP(C101,Purchased!A:Q,17,0)</f>
        <v>0</v>
      </c>
      <c r="O101" s="45" t="e">
        <f t="shared" ca="1" si="8"/>
        <v>#VALUE!</v>
      </c>
      <c r="P101" s="49">
        <f>IFERROR(VLOOKUP(C101,Purchased!A:E,3,FALSE),"")</f>
        <v>0</v>
      </c>
      <c r="Q101" s="50">
        <f t="shared" si="9"/>
        <v>0</v>
      </c>
    </row>
    <row r="102" spans="1:17" s="2" customFormat="1" ht="12" customHeight="1">
      <c r="A102" s="4">
        <f t="shared" si="7"/>
        <v>398</v>
      </c>
      <c r="B102" s="2">
        <v>1</v>
      </c>
      <c r="C102" s="114" t="s">
        <v>130</v>
      </c>
      <c r="D102" s="268" t="str">
        <f>VLOOKUP(C102,Purchased!A:B,2,0)</f>
        <v>CAUTION STICKER</v>
      </c>
      <c r="E102" s="269"/>
      <c r="F102" s="112" t="str">
        <f>VLOOKUP(C102,Purchased!A:Q,9,0)</f>
        <v>SAFETYSIGN.COM</v>
      </c>
      <c r="G102" s="112" t="str">
        <f>VLOOKUP(C102,Purchased!A:Q,10,0)</f>
        <v>CRAVE</v>
      </c>
      <c r="H102" s="112">
        <f>VLOOKUP(C102,Purchased!A:Q,12,0)</f>
        <v>0</v>
      </c>
      <c r="I102" s="113"/>
      <c r="J102" s="44">
        <f>VLOOKUP(C102,Purchased!A:Q,14,0)</f>
        <v>0</v>
      </c>
      <c r="K102" s="44">
        <f>VLOOKUP(C102,Purchased!A:Q,14,0)</f>
        <v>0</v>
      </c>
      <c r="L102" s="44">
        <f>VLOOKUP(C102,Purchased!A:Q,15,0)</f>
        <v>0</v>
      </c>
      <c r="M102" s="44">
        <f>VLOOKUP(C102,Purchased!A:Q,16,0)</f>
        <v>0</v>
      </c>
      <c r="N102" s="45">
        <f>VLOOKUP(C102,Purchased!A:Q,17,0)</f>
        <v>0</v>
      </c>
      <c r="O102" s="45" t="e">
        <f t="shared" ca="1" si="8"/>
        <v>#VALUE!</v>
      </c>
      <c r="P102" s="49">
        <f>IFERROR(VLOOKUP(C102,Purchased!A:E,3,FALSE),"")</f>
        <v>0</v>
      </c>
      <c r="Q102" s="50">
        <f t="shared" si="9"/>
        <v>0</v>
      </c>
    </row>
    <row r="103" spans="1:17" s="2" customFormat="1" ht="12" customHeight="1">
      <c r="A103" s="4">
        <f t="shared" si="7"/>
        <v>399</v>
      </c>
      <c r="B103" s="2">
        <v>1</v>
      </c>
      <c r="C103" s="114" t="s">
        <v>131</v>
      </c>
      <c r="D103" s="268" t="str">
        <f>VLOOKUP(C103,Purchased!A:B,2,0)</f>
        <v>LEGEND PLATE</v>
      </c>
      <c r="E103" s="269"/>
      <c r="F103" s="112" t="str">
        <f>VLOOKUP(C103,Purchased!A:Q,9,0)</f>
        <v>CRAVE</v>
      </c>
      <c r="G103" s="112" t="str">
        <f>VLOOKUP(C103,Purchased!A:Q,10,0)</f>
        <v>CRAVE</v>
      </c>
      <c r="H103" s="112">
        <f>VLOOKUP(C103,Purchased!A:Q,12,0)</f>
        <v>0</v>
      </c>
      <c r="I103" s="113"/>
      <c r="J103" s="44">
        <f>VLOOKUP(C103,Purchased!A:Q,14,0)</f>
        <v>0</v>
      </c>
      <c r="K103" s="44">
        <f>VLOOKUP(C103,Purchased!A:Q,14,0)</f>
        <v>0</v>
      </c>
      <c r="L103" s="44">
        <f>VLOOKUP(C103,Purchased!A:Q,15,0)</f>
        <v>0</v>
      </c>
      <c r="M103" s="44">
        <f>VLOOKUP(C103,Purchased!A:Q,16,0)</f>
        <v>0</v>
      </c>
      <c r="N103" s="45">
        <f>VLOOKUP(C103,Purchased!A:Q,17,0)</f>
        <v>0</v>
      </c>
      <c r="O103" s="45" t="e">
        <f t="shared" ca="1" si="8"/>
        <v>#VALUE!</v>
      </c>
      <c r="P103" s="49">
        <f>IFERROR(VLOOKUP(C103,Purchased!A:E,3,FALSE),"")</f>
        <v>0</v>
      </c>
      <c r="Q103" s="50">
        <f t="shared" si="9"/>
        <v>0</v>
      </c>
    </row>
    <row r="104" spans="1:17" s="2" customFormat="1" ht="12.75" customHeight="1">
      <c r="A104" s="25"/>
      <c r="B104" s="26"/>
      <c r="C104" s="26"/>
      <c r="D104" s="272"/>
      <c r="E104" s="273"/>
      <c r="F104" s="26"/>
      <c r="G104" s="26"/>
      <c r="H104" s="274"/>
      <c r="I104" s="275"/>
      <c r="J104" s="27"/>
      <c r="K104" s="27"/>
      <c r="L104" s="27"/>
      <c r="M104" s="28"/>
      <c r="N104" s="29"/>
      <c r="O104" s="29" t="e">
        <f t="shared" ref="O104:O107" ca="1" si="10">B104*$L$2</f>
        <v>#VALUE!</v>
      </c>
      <c r="P104" s="141"/>
      <c r="Q104" s="142"/>
    </row>
    <row r="105" spans="1:17" s="2" customFormat="1" ht="12.75" customHeight="1">
      <c r="A105" s="4">
        <v>501</v>
      </c>
      <c r="C105" s="110"/>
      <c r="D105" s="268"/>
      <c r="E105" s="276"/>
      <c r="F105" s="112" t="e">
        <f>VLOOKUP(C105,Bolts!A:L,5,0)</f>
        <v>#N/A</v>
      </c>
      <c r="G105" s="112" t="e">
        <f>VLOOKUP(C105,Bolts!A:L,6,0)</f>
        <v>#N/A</v>
      </c>
      <c r="H105" s="112" t="e">
        <f>VLOOKUP(C105,Bolts!A:L,7,0)</f>
        <v>#N/A</v>
      </c>
      <c r="I105" s="112"/>
      <c r="J105" s="44" t="e">
        <f>VLOOKUP(C105,Bolts!A:L,8,0)</f>
        <v>#N/A</v>
      </c>
      <c r="K105" s="44" t="e">
        <f>VLOOKUP(C105,Bolts!A:L,9,0)</f>
        <v>#N/A</v>
      </c>
      <c r="L105" s="44" t="e">
        <f>VLOOKUP(C105,Bolts!A:L,10,0)</f>
        <v>#N/A</v>
      </c>
      <c r="M105" s="44" t="e">
        <f>VLOOKUP(C105,Bolts!A:L,11,0)</f>
        <v>#N/A</v>
      </c>
      <c r="N105" s="45" t="e">
        <f>VLOOKUP(C105,Bolts!A:L,12,0)</f>
        <v>#N/A</v>
      </c>
      <c r="O105" s="45" t="e">
        <f t="shared" ca="1" si="10"/>
        <v>#VALUE!</v>
      </c>
      <c r="P105" s="49" t="str">
        <f>IFERROR(VLOOKUP(C105,Bolts!A:B,2,FALSE),"")</f>
        <v/>
      </c>
      <c r="Q105" s="50" t="str">
        <f t="shared" ref="Q105:Q107" si="11">IFERROR(B105*P105,"")</f>
        <v/>
      </c>
    </row>
    <row r="106" spans="1:17" s="2" customFormat="1" ht="12.75" customHeight="1">
      <c r="A106" s="4">
        <f t="shared" ref="A106:A109" si="12">A105+1</f>
        <v>502</v>
      </c>
      <c r="C106" s="110"/>
      <c r="D106" s="268"/>
      <c r="E106" s="276"/>
      <c r="F106" s="112" t="e">
        <f>VLOOKUP(C106,Bolts!A:L,5,0)</f>
        <v>#N/A</v>
      </c>
      <c r="G106" s="112" t="e">
        <f>VLOOKUP(C106,Bolts!A:L,6,0)</f>
        <v>#N/A</v>
      </c>
      <c r="H106" s="112" t="e">
        <f>VLOOKUP(C106,Bolts!A:L,7,0)</f>
        <v>#N/A</v>
      </c>
      <c r="I106" s="112"/>
      <c r="J106" s="44" t="e">
        <f>VLOOKUP(C106,Bolts!A:L,8,0)</f>
        <v>#N/A</v>
      </c>
      <c r="K106" s="44" t="e">
        <f>VLOOKUP(C106,Bolts!A:L,9,0)</f>
        <v>#N/A</v>
      </c>
      <c r="L106" s="44" t="e">
        <f>VLOOKUP(C106,Bolts!A:L,10,0)</f>
        <v>#N/A</v>
      </c>
      <c r="M106" s="44" t="e">
        <f>VLOOKUP(C106,Bolts!A:L,11,0)</f>
        <v>#N/A</v>
      </c>
      <c r="N106" s="45" t="e">
        <f>VLOOKUP(C106,Bolts!A:L,12,0)</f>
        <v>#N/A</v>
      </c>
      <c r="O106" s="45" t="e">
        <f t="shared" ca="1" si="10"/>
        <v>#VALUE!</v>
      </c>
      <c r="P106" s="49" t="str">
        <f>IFERROR(VLOOKUP(C106,Bolts!A:B,2,FALSE),"")</f>
        <v/>
      </c>
      <c r="Q106" s="50" t="str">
        <f t="shared" si="11"/>
        <v/>
      </c>
    </row>
    <row r="107" spans="1:17" s="2" customFormat="1" ht="12" customHeight="1">
      <c r="A107" s="4">
        <f t="shared" si="12"/>
        <v>503</v>
      </c>
      <c r="C107" s="110"/>
      <c r="D107" s="268"/>
      <c r="E107" s="276"/>
      <c r="F107" s="112" t="e">
        <f>VLOOKUP(C107,Bolts!A:L,5,0)</f>
        <v>#N/A</v>
      </c>
      <c r="G107" s="112" t="e">
        <f>VLOOKUP(C107,Bolts!A:L,6,0)</f>
        <v>#N/A</v>
      </c>
      <c r="H107" s="112" t="e">
        <f>VLOOKUP(C107,Bolts!A:L,7,0)</f>
        <v>#N/A</v>
      </c>
      <c r="I107" s="112"/>
      <c r="J107" s="44" t="e">
        <f>VLOOKUP(C107,Bolts!A:L,8,0)</f>
        <v>#N/A</v>
      </c>
      <c r="K107" s="44" t="e">
        <f>VLOOKUP(C107,Bolts!A:L,9,0)</f>
        <v>#N/A</v>
      </c>
      <c r="L107" s="44" t="e">
        <f>VLOOKUP(C107,Bolts!A:L,10,0)</f>
        <v>#N/A</v>
      </c>
      <c r="M107" s="44" t="e">
        <f>VLOOKUP(C107,Bolts!A:L,11,0)</f>
        <v>#N/A</v>
      </c>
      <c r="N107" s="45" t="e">
        <f>VLOOKUP(C107,Bolts!A:L,12,0)</f>
        <v>#N/A</v>
      </c>
      <c r="O107" s="45" t="e">
        <f t="shared" ca="1" si="10"/>
        <v>#VALUE!</v>
      </c>
      <c r="P107" s="49" t="str">
        <f>IFERROR(VLOOKUP(C107,Bolts!A:B,2,FALSE),"")</f>
        <v/>
      </c>
      <c r="Q107" s="50" t="str">
        <f t="shared" si="11"/>
        <v/>
      </c>
    </row>
    <row r="108" spans="1:17" s="2" customFormat="1" ht="12.75" customHeight="1">
      <c r="A108" s="4">
        <f t="shared" si="12"/>
        <v>504</v>
      </c>
      <c r="C108" s="110"/>
      <c r="D108" s="268"/>
      <c r="E108" s="276"/>
      <c r="F108" s="112" t="e">
        <f>VLOOKUP(C108,Bolts!A:L,5,0)</f>
        <v>#N/A</v>
      </c>
      <c r="G108" s="112" t="e">
        <f>VLOOKUP(C108,Bolts!A:L,6,0)</f>
        <v>#N/A</v>
      </c>
      <c r="H108" s="112" t="e">
        <f>VLOOKUP(C108,Bolts!A:L,7,0)</f>
        <v>#N/A</v>
      </c>
      <c r="I108" s="112"/>
      <c r="J108" s="44" t="e">
        <f>VLOOKUP(C108,Bolts!A:L,8,0)</f>
        <v>#N/A</v>
      </c>
      <c r="K108" s="44" t="e">
        <f>VLOOKUP(C108,Bolts!A:L,9,0)</f>
        <v>#N/A</v>
      </c>
      <c r="L108" s="44" t="e">
        <f>VLOOKUP(C108,Bolts!A:L,10,0)</f>
        <v>#N/A</v>
      </c>
      <c r="M108" s="44" t="e">
        <f>VLOOKUP(C108,Bolts!A:L,11,0)</f>
        <v>#N/A</v>
      </c>
      <c r="N108" s="45" t="e">
        <f>VLOOKUP(C108,Bolts!A:L,12,0)</f>
        <v>#N/A</v>
      </c>
      <c r="O108" s="45" t="e">
        <f t="shared" ref="O108:O109" ca="1" si="13">B108*$L$2</f>
        <v>#VALUE!</v>
      </c>
      <c r="P108" s="49" t="str">
        <f>IFERROR(VLOOKUP(C108,Bolts!A:B,2,FALSE),"")</f>
        <v/>
      </c>
      <c r="Q108" s="50" t="str">
        <f t="shared" ref="Q108:Q109" si="14">IFERROR(B108*P108,"")</f>
        <v/>
      </c>
    </row>
    <row r="109" spans="1:17" s="2" customFormat="1" ht="12" customHeight="1" thickBot="1">
      <c r="A109" s="4">
        <f t="shared" si="12"/>
        <v>505</v>
      </c>
      <c r="C109" s="110"/>
      <c r="D109" s="268"/>
      <c r="E109" s="276"/>
      <c r="F109" s="112" t="e">
        <f>VLOOKUP(C109,Bolts!A:L,5,0)</f>
        <v>#N/A</v>
      </c>
      <c r="G109" s="112" t="e">
        <f>VLOOKUP(C109,Bolts!A:L,6,0)</f>
        <v>#N/A</v>
      </c>
      <c r="H109" s="112" t="e">
        <f>VLOOKUP(C109,Bolts!A:L,7,0)</f>
        <v>#N/A</v>
      </c>
      <c r="I109" s="112"/>
      <c r="J109" s="44" t="e">
        <f>VLOOKUP(C109,Bolts!A:L,8,0)</f>
        <v>#N/A</v>
      </c>
      <c r="K109" s="44" t="e">
        <f>VLOOKUP(C109,Bolts!A:L,9,0)</f>
        <v>#N/A</v>
      </c>
      <c r="L109" s="44" t="e">
        <f>VLOOKUP(C109,Bolts!A:L,10,0)</f>
        <v>#N/A</v>
      </c>
      <c r="M109" s="44" t="e">
        <f>VLOOKUP(C109,Bolts!A:L,11,0)</f>
        <v>#N/A</v>
      </c>
      <c r="N109" s="45" t="e">
        <f>VLOOKUP(C109,Bolts!A:L,12,0)</f>
        <v>#N/A</v>
      </c>
      <c r="O109" s="45" t="e">
        <f t="shared" ca="1" si="13"/>
        <v>#VALUE!</v>
      </c>
      <c r="P109" s="49" t="str">
        <f>IFERROR(VLOOKUP(C109,Bolts!A:B,2,FALSE),"")</f>
        <v/>
      </c>
      <c r="Q109" s="50" t="str">
        <f t="shared" si="14"/>
        <v/>
      </c>
    </row>
    <row r="110" spans="1:17" s="2" customFormat="1" ht="12.75" customHeight="1" thickBot="1">
      <c r="A110" s="34"/>
      <c r="B110" s="35"/>
      <c r="C110" s="35"/>
      <c r="D110" s="256"/>
      <c r="E110" s="257"/>
      <c r="F110" s="35"/>
      <c r="G110" s="35"/>
      <c r="H110" s="294"/>
      <c r="I110" s="295"/>
      <c r="J110" s="36"/>
      <c r="K110" s="36"/>
      <c r="L110" s="36"/>
      <c r="M110" s="37"/>
      <c r="N110" s="38"/>
      <c r="O110" s="38"/>
      <c r="P110" s="89" t="s">
        <v>43</v>
      </c>
      <c r="Q110" s="94">
        <f>SUM(Q5:Q109)</f>
        <v>42140.30539999999</v>
      </c>
    </row>
    <row r="111" spans="1:17" s="2" customFormat="1" ht="12" customHeight="1">
      <c r="D111" s="22"/>
      <c r="E111" s="22"/>
      <c r="J111" s="8"/>
      <c r="K111" s="8"/>
      <c r="L111" s="8"/>
      <c r="M111" s="8"/>
      <c r="N111" s="5"/>
      <c r="O111" s="5"/>
      <c r="P111" s="88"/>
      <c r="Q111" s="95"/>
    </row>
    <row r="112" spans="1:17" s="2" customFormat="1" ht="12" customHeight="1">
      <c r="D112" s="22"/>
      <c r="E112" s="22"/>
      <c r="J112" s="5"/>
      <c r="K112" s="5"/>
      <c r="L112" s="5"/>
      <c r="M112" s="5"/>
      <c r="N112" s="5"/>
      <c r="O112" s="5"/>
      <c r="P112" s="88"/>
      <c r="Q112" s="95"/>
    </row>
    <row r="113" spans="4:17" s="2" customFormat="1" ht="12" customHeight="1">
      <c r="D113" s="22"/>
      <c r="E113" s="22"/>
      <c r="J113" s="5"/>
      <c r="K113" s="5"/>
      <c r="L113" s="5"/>
      <c r="M113" s="5"/>
      <c r="N113" s="5"/>
      <c r="O113" s="5"/>
      <c r="P113" s="88"/>
      <c r="Q113" s="95"/>
    </row>
    <row r="114" spans="4:17" s="2" customFormat="1" ht="12" customHeight="1">
      <c r="D114" s="22"/>
      <c r="E114" s="22"/>
      <c r="J114" s="5"/>
      <c r="K114" s="5"/>
      <c r="L114" s="5"/>
      <c r="M114" s="5"/>
      <c r="N114" s="5"/>
      <c r="O114" s="5"/>
      <c r="P114" s="88"/>
      <c r="Q114" s="95"/>
    </row>
    <row r="115" spans="4:17" s="2" customFormat="1" ht="12" customHeight="1">
      <c r="D115" s="22"/>
      <c r="E115" s="22"/>
      <c r="J115" s="5"/>
      <c r="K115" s="5"/>
      <c r="L115" s="5"/>
      <c r="M115" s="5"/>
      <c r="N115" s="5"/>
      <c r="O115" s="5"/>
      <c r="P115" s="88"/>
      <c r="Q115" s="95"/>
    </row>
    <row r="116" spans="4:17" s="2" customFormat="1" ht="12" customHeight="1">
      <c r="D116" s="22"/>
      <c r="E116" s="22"/>
      <c r="J116" s="5"/>
      <c r="K116" s="5"/>
      <c r="L116" s="5"/>
      <c r="M116" s="5"/>
      <c r="N116" s="5"/>
      <c r="O116" s="5"/>
      <c r="P116" s="88"/>
      <c r="Q116" s="95"/>
    </row>
    <row r="117" spans="4:17" s="2" customFormat="1" ht="12" customHeight="1">
      <c r="D117" s="22"/>
      <c r="E117" s="22"/>
      <c r="J117" s="5"/>
      <c r="K117" s="5"/>
      <c r="L117" s="5"/>
      <c r="M117" s="5"/>
      <c r="N117" s="5"/>
      <c r="O117" s="5"/>
      <c r="P117" s="88"/>
      <c r="Q117" s="95"/>
    </row>
    <row r="118" spans="4:17" s="2" customFormat="1" ht="12" customHeight="1">
      <c r="D118" s="22"/>
      <c r="E118" s="22"/>
      <c r="J118" s="5"/>
      <c r="K118" s="5"/>
      <c r="L118" s="5"/>
      <c r="M118" s="5"/>
      <c r="N118" s="5"/>
      <c r="O118" s="5"/>
      <c r="P118" s="88"/>
      <c r="Q118" s="95"/>
    </row>
    <row r="119" spans="4:17" s="2" customFormat="1" ht="12" customHeight="1">
      <c r="D119" s="22"/>
      <c r="E119" s="22"/>
      <c r="J119" s="5"/>
      <c r="K119" s="5"/>
      <c r="L119" s="5"/>
      <c r="M119" s="5"/>
      <c r="N119" s="5"/>
      <c r="O119" s="5"/>
      <c r="P119" s="88"/>
      <c r="Q119" s="95"/>
    </row>
    <row r="120" spans="4:17" s="2" customFormat="1" ht="12" customHeight="1">
      <c r="D120" s="22"/>
      <c r="E120" s="22"/>
      <c r="J120" s="5"/>
      <c r="K120" s="5"/>
      <c r="L120" s="5"/>
      <c r="M120" s="5"/>
      <c r="N120" s="5"/>
      <c r="O120" s="5"/>
      <c r="P120" s="88"/>
      <c r="Q120" s="95"/>
    </row>
    <row r="121" spans="4:17" s="2" customFormat="1" ht="12" customHeight="1">
      <c r="D121" s="22"/>
      <c r="E121" s="22"/>
      <c r="J121" s="5"/>
      <c r="K121" s="5"/>
      <c r="L121" s="5"/>
      <c r="M121" s="5"/>
      <c r="N121" s="5"/>
      <c r="O121" s="5"/>
      <c r="P121" s="88"/>
      <c r="Q121" s="95"/>
    </row>
    <row r="122" spans="4:17" s="2" customFormat="1" ht="12" customHeight="1">
      <c r="D122" s="22"/>
      <c r="E122" s="22"/>
      <c r="J122" s="5"/>
      <c r="K122" s="5"/>
      <c r="L122" s="5"/>
      <c r="M122" s="5"/>
      <c r="N122" s="5"/>
      <c r="O122" s="5"/>
      <c r="P122" s="88"/>
      <c r="Q122" s="95"/>
    </row>
    <row r="123" spans="4:17" s="2" customFormat="1" ht="12" customHeight="1">
      <c r="D123" s="22"/>
      <c r="E123" s="22"/>
      <c r="J123" s="5"/>
      <c r="K123" s="5"/>
      <c r="L123" s="5"/>
      <c r="M123" s="5"/>
      <c r="N123" s="5"/>
      <c r="O123" s="5"/>
      <c r="P123" s="88"/>
      <c r="Q123" s="95"/>
    </row>
    <row r="124" spans="4:17" s="2" customFormat="1" ht="12" customHeight="1">
      <c r="D124" s="22"/>
      <c r="E124" s="22"/>
      <c r="J124" s="5"/>
      <c r="K124" s="5"/>
      <c r="L124" s="5"/>
      <c r="M124" s="5"/>
      <c r="N124" s="5"/>
      <c r="O124" s="5"/>
      <c r="P124" s="88"/>
      <c r="Q124" s="95"/>
    </row>
    <row r="125" spans="4:17" s="2" customFormat="1" ht="12" customHeight="1">
      <c r="D125" s="22"/>
      <c r="E125" s="22"/>
      <c r="J125" s="5"/>
      <c r="K125" s="5"/>
      <c r="L125" s="5"/>
      <c r="M125" s="5"/>
      <c r="N125" s="5"/>
      <c r="O125" s="5"/>
      <c r="P125" s="88"/>
      <c r="Q125" s="95"/>
    </row>
    <row r="126" spans="4:17" s="2" customFormat="1" ht="12" customHeight="1">
      <c r="D126" s="22"/>
      <c r="E126" s="22"/>
      <c r="J126" s="5"/>
      <c r="K126" s="5"/>
      <c r="L126" s="5"/>
      <c r="M126" s="5"/>
      <c r="N126" s="5"/>
      <c r="O126" s="5"/>
      <c r="P126" s="88"/>
      <c r="Q126" s="95"/>
    </row>
    <row r="127" spans="4:17" s="2" customFormat="1" ht="12" customHeight="1">
      <c r="D127" s="22"/>
      <c r="E127" s="22"/>
      <c r="J127" s="5"/>
      <c r="K127" s="5"/>
      <c r="L127" s="5"/>
      <c r="M127" s="5"/>
      <c r="N127" s="5"/>
      <c r="O127" s="5"/>
      <c r="P127" s="88"/>
      <c r="Q127" s="95"/>
    </row>
    <row r="128" spans="4:17" s="2" customFormat="1" ht="12" customHeight="1">
      <c r="D128" s="22"/>
      <c r="E128" s="22"/>
      <c r="J128" s="5"/>
      <c r="K128" s="5"/>
      <c r="L128" s="5"/>
      <c r="M128" s="5"/>
      <c r="N128" s="5"/>
      <c r="O128" s="5"/>
      <c r="P128" s="88"/>
      <c r="Q128" s="95"/>
    </row>
    <row r="129" spans="4:17" s="2" customFormat="1" ht="12" customHeight="1">
      <c r="D129" s="22"/>
      <c r="E129" s="22"/>
      <c r="J129" s="5"/>
      <c r="K129" s="5"/>
      <c r="L129" s="5"/>
      <c r="M129" s="5"/>
      <c r="N129" s="5"/>
      <c r="O129" s="5"/>
      <c r="P129" s="88"/>
      <c r="Q129" s="95"/>
    </row>
    <row r="130" spans="4:17" s="2" customFormat="1" ht="12" customHeight="1">
      <c r="D130" s="22"/>
      <c r="E130" s="22"/>
      <c r="J130" s="5"/>
      <c r="K130" s="5"/>
      <c r="L130" s="5"/>
      <c r="M130" s="5"/>
      <c r="N130" s="5"/>
      <c r="O130" s="5"/>
      <c r="P130" s="88"/>
      <c r="Q130" s="95"/>
    </row>
    <row r="131" spans="4:17" s="2" customFormat="1" ht="12" customHeight="1">
      <c r="D131" s="22"/>
      <c r="E131" s="22"/>
      <c r="J131" s="5"/>
      <c r="K131" s="5"/>
      <c r="L131" s="5"/>
      <c r="M131" s="5"/>
      <c r="N131" s="5"/>
      <c r="O131" s="5"/>
      <c r="P131" s="88"/>
      <c r="Q131" s="95"/>
    </row>
    <row r="132" spans="4:17" s="2" customFormat="1" ht="12" customHeight="1">
      <c r="D132" s="22"/>
      <c r="E132" s="22"/>
      <c r="J132" s="5"/>
      <c r="K132" s="5"/>
      <c r="L132" s="5"/>
      <c r="M132" s="5"/>
      <c r="N132" s="5"/>
      <c r="O132" s="5"/>
      <c r="P132" s="88"/>
      <c r="Q132" s="95"/>
    </row>
    <row r="133" spans="4:17" s="2" customFormat="1" ht="12" customHeight="1">
      <c r="D133" s="22"/>
      <c r="E133" s="22"/>
      <c r="J133" s="5"/>
      <c r="K133" s="5"/>
      <c r="L133" s="5"/>
      <c r="M133" s="5"/>
      <c r="N133" s="5"/>
      <c r="O133" s="5"/>
      <c r="P133" s="88"/>
      <c r="Q133" s="95"/>
    </row>
    <row r="134" spans="4:17" s="2" customFormat="1" ht="12" customHeight="1">
      <c r="D134" s="22"/>
      <c r="E134" s="22"/>
      <c r="J134" s="5"/>
      <c r="K134" s="5"/>
      <c r="L134" s="5"/>
      <c r="M134" s="5"/>
      <c r="N134" s="5"/>
      <c r="O134" s="5"/>
      <c r="P134" s="88"/>
      <c r="Q134" s="95"/>
    </row>
    <row r="135" spans="4:17" s="2" customFormat="1" ht="12" customHeight="1">
      <c r="D135" s="22"/>
      <c r="E135" s="22"/>
      <c r="J135" s="5"/>
      <c r="K135" s="5"/>
      <c r="L135" s="5"/>
      <c r="M135" s="5"/>
      <c r="N135" s="5"/>
      <c r="O135" s="5"/>
      <c r="P135" s="88"/>
      <c r="Q135" s="95"/>
    </row>
    <row r="136" spans="4:17" s="2" customFormat="1" ht="12" customHeight="1">
      <c r="D136" s="22"/>
      <c r="E136" s="22"/>
      <c r="J136" s="5"/>
      <c r="K136" s="5"/>
      <c r="L136" s="5"/>
      <c r="M136" s="5"/>
      <c r="N136" s="5"/>
      <c r="O136" s="5"/>
      <c r="P136" s="88"/>
      <c r="Q136" s="95"/>
    </row>
    <row r="137" spans="4:17" s="2" customFormat="1" ht="12" customHeight="1">
      <c r="D137" s="22"/>
      <c r="E137" s="22"/>
      <c r="J137" s="5"/>
      <c r="K137" s="5"/>
      <c r="L137" s="5"/>
      <c r="M137" s="5"/>
      <c r="N137" s="5"/>
      <c r="O137" s="5"/>
      <c r="P137" s="88"/>
      <c r="Q137" s="95"/>
    </row>
    <row r="138" spans="4:17" s="2" customFormat="1" ht="12" customHeight="1">
      <c r="D138" s="22"/>
      <c r="E138" s="22"/>
      <c r="J138" s="5"/>
      <c r="K138" s="5"/>
      <c r="L138" s="5"/>
      <c r="M138" s="5"/>
      <c r="N138" s="5"/>
      <c r="O138" s="5"/>
      <c r="P138" s="88"/>
      <c r="Q138" s="95"/>
    </row>
    <row r="139" spans="4:17" s="2" customFormat="1" ht="12" customHeight="1">
      <c r="D139" s="22"/>
      <c r="E139" s="22"/>
      <c r="J139" s="5"/>
      <c r="K139" s="5"/>
      <c r="L139" s="5"/>
      <c r="M139" s="5"/>
      <c r="N139" s="5"/>
      <c r="O139" s="5"/>
      <c r="P139" s="88"/>
      <c r="Q139" s="95"/>
    </row>
    <row r="140" spans="4:17" s="2" customFormat="1" ht="12" customHeight="1">
      <c r="D140" s="22"/>
      <c r="E140" s="22"/>
      <c r="J140" s="5"/>
      <c r="K140" s="5"/>
      <c r="L140" s="5"/>
      <c r="M140" s="5"/>
      <c r="N140" s="5"/>
      <c r="O140" s="5"/>
      <c r="P140" s="88"/>
      <c r="Q140" s="95"/>
    </row>
    <row r="141" spans="4:17" s="2" customFormat="1" ht="12" customHeight="1">
      <c r="D141" s="22"/>
      <c r="E141" s="22"/>
      <c r="J141" s="5"/>
      <c r="K141" s="5"/>
      <c r="L141" s="5"/>
      <c r="M141" s="5"/>
      <c r="N141" s="5"/>
      <c r="O141" s="5"/>
      <c r="P141" s="88"/>
      <c r="Q141" s="95"/>
    </row>
    <row r="142" spans="4:17" s="2" customFormat="1" ht="12" customHeight="1">
      <c r="D142" s="22"/>
      <c r="E142" s="22"/>
      <c r="J142" s="5"/>
      <c r="K142" s="5"/>
      <c r="L142" s="5"/>
      <c r="M142" s="5"/>
      <c r="N142" s="5"/>
      <c r="O142" s="5"/>
      <c r="P142" s="88"/>
      <c r="Q142" s="95"/>
    </row>
    <row r="143" spans="4:17" s="2" customFormat="1" ht="12" customHeight="1">
      <c r="D143" s="22"/>
      <c r="E143" s="22"/>
      <c r="J143" s="5"/>
      <c r="K143" s="5"/>
      <c r="L143" s="5"/>
      <c r="M143" s="5"/>
      <c r="N143" s="5"/>
      <c r="O143" s="5"/>
      <c r="P143" s="88"/>
      <c r="Q143" s="95"/>
    </row>
    <row r="144" spans="4:17" s="2" customFormat="1" ht="12" customHeight="1">
      <c r="D144" s="22"/>
      <c r="E144" s="22"/>
      <c r="J144" s="5"/>
      <c r="K144" s="5"/>
      <c r="L144" s="5"/>
      <c r="M144" s="5"/>
      <c r="N144" s="5"/>
      <c r="O144" s="5"/>
      <c r="P144" s="88"/>
      <c r="Q144" s="95"/>
    </row>
    <row r="145" spans="1:17" s="2" customFormat="1" ht="12" customHeight="1">
      <c r="D145" s="22"/>
      <c r="E145" s="22"/>
      <c r="J145" s="5"/>
      <c r="K145" s="5"/>
      <c r="L145" s="5"/>
      <c r="M145" s="5"/>
      <c r="N145" s="5"/>
      <c r="O145" s="5"/>
      <c r="P145" s="88"/>
      <c r="Q145" s="95"/>
    </row>
    <row r="146" spans="1:17" s="2" customFormat="1" ht="12" customHeight="1">
      <c r="D146" s="22"/>
      <c r="E146" s="22"/>
      <c r="J146" s="5"/>
      <c r="K146" s="5"/>
      <c r="L146" s="5"/>
      <c r="M146" s="5"/>
      <c r="N146" s="5"/>
      <c r="O146" s="5"/>
      <c r="P146" s="88"/>
      <c r="Q146" s="95"/>
    </row>
    <row r="147" spans="1:17" s="2" customFormat="1" ht="12" customHeight="1">
      <c r="D147" s="22"/>
      <c r="E147" s="22"/>
      <c r="J147" s="5"/>
      <c r="K147" s="5"/>
      <c r="L147" s="5"/>
      <c r="M147" s="5"/>
      <c r="N147" s="5"/>
      <c r="O147" s="5"/>
      <c r="P147" s="88"/>
      <c r="Q147" s="95"/>
    </row>
    <row r="148" spans="1:17" s="2" customFormat="1" ht="12" customHeight="1">
      <c r="D148" s="22"/>
      <c r="E148" s="22"/>
      <c r="J148" s="5"/>
      <c r="K148" s="5"/>
      <c r="L148" s="5"/>
      <c r="M148" s="5"/>
      <c r="N148" s="5"/>
      <c r="O148" s="5"/>
      <c r="P148" s="88"/>
      <c r="Q148" s="95"/>
    </row>
    <row r="149" spans="1:17" s="2" customFormat="1" ht="12" customHeight="1">
      <c r="D149" s="22"/>
      <c r="E149" s="22"/>
      <c r="J149" s="5"/>
      <c r="K149" s="5"/>
      <c r="L149" s="5"/>
      <c r="M149" s="5"/>
      <c r="N149" s="5"/>
      <c r="O149" s="5"/>
      <c r="P149" s="88"/>
      <c r="Q149" s="96"/>
    </row>
    <row r="150" spans="1:17" s="2" customFormat="1" ht="12" customHeight="1">
      <c r="D150" s="22"/>
      <c r="E150" s="22"/>
      <c r="J150" s="5"/>
      <c r="K150" s="5"/>
      <c r="L150" s="5"/>
      <c r="M150" s="5"/>
      <c r="N150" s="5"/>
      <c r="O150" s="5"/>
      <c r="P150" s="88"/>
      <c r="Q150" s="96"/>
    </row>
    <row r="151" spans="1:17" s="2" customFormat="1" ht="12" customHeight="1">
      <c r="D151" s="22"/>
      <c r="E151" s="22"/>
      <c r="J151" s="5"/>
      <c r="K151" s="5"/>
      <c r="L151" s="5"/>
      <c r="M151" s="5"/>
      <c r="N151" s="5"/>
      <c r="O151" s="5"/>
      <c r="P151" s="88"/>
      <c r="Q151" s="96"/>
    </row>
    <row r="152" spans="1:17" s="2" customFormat="1" ht="12" customHeight="1">
      <c r="D152" s="22"/>
      <c r="E152" s="22"/>
      <c r="J152" s="5"/>
      <c r="K152" s="5"/>
      <c r="L152" s="5"/>
      <c r="M152" s="5"/>
      <c r="N152" s="5"/>
      <c r="O152" s="5"/>
      <c r="P152" s="88"/>
      <c r="Q152" s="96"/>
    </row>
    <row r="153" spans="1:17" s="2" customFormat="1" ht="12" customHeight="1">
      <c r="A153"/>
      <c r="B153"/>
      <c r="C153"/>
      <c r="D153" s="23"/>
      <c r="E153" s="23"/>
      <c r="F153"/>
      <c r="G153"/>
      <c r="H153"/>
      <c r="I153"/>
      <c r="J153" s="19"/>
      <c r="K153" s="19"/>
      <c r="L153" s="19"/>
      <c r="M153" s="19"/>
      <c r="N153" s="19"/>
      <c r="O153" s="19"/>
      <c r="P153" s="90"/>
      <c r="Q153" s="96"/>
    </row>
    <row r="154" spans="1:17" s="2" customFormat="1" ht="12" customHeight="1">
      <c r="A154"/>
      <c r="B154"/>
      <c r="C154"/>
      <c r="D154" s="23"/>
      <c r="E154" s="23"/>
      <c r="F154"/>
      <c r="G154"/>
      <c r="H154"/>
      <c r="I154"/>
      <c r="J154" s="19"/>
      <c r="K154" s="19"/>
      <c r="L154" s="19"/>
      <c r="M154" s="19"/>
      <c r="N154" s="19"/>
      <c r="O154" s="19"/>
      <c r="P154" s="90"/>
      <c r="Q154" s="96"/>
    </row>
    <row r="155" spans="1:17" s="2" customFormat="1" ht="12" customHeight="1">
      <c r="A155"/>
      <c r="B155"/>
      <c r="C155"/>
      <c r="D155" s="23"/>
      <c r="E155" s="23"/>
      <c r="F155"/>
      <c r="G155"/>
      <c r="H155"/>
      <c r="I155"/>
      <c r="J155" s="19"/>
      <c r="K155" s="19"/>
      <c r="L155" s="19"/>
      <c r="M155" s="19"/>
      <c r="N155" s="19"/>
      <c r="O155" s="19"/>
      <c r="P155" s="90"/>
      <c r="Q155" s="96"/>
    </row>
    <row r="156" spans="1:17" s="2" customFormat="1" ht="12" customHeight="1">
      <c r="A156"/>
      <c r="B156"/>
      <c r="C156"/>
      <c r="D156" s="23"/>
      <c r="E156" s="23"/>
      <c r="F156"/>
      <c r="G156"/>
      <c r="H156"/>
      <c r="I156"/>
      <c r="J156" s="19"/>
      <c r="K156" s="19"/>
      <c r="L156" s="19"/>
      <c r="M156" s="19"/>
      <c r="N156" s="19"/>
      <c r="O156" s="19"/>
      <c r="P156" s="90"/>
      <c r="Q156" s="96"/>
    </row>
    <row r="157" spans="1:17" s="2" customFormat="1" ht="12" customHeight="1">
      <c r="A157"/>
      <c r="B157"/>
      <c r="C157"/>
      <c r="D157" s="23"/>
      <c r="E157" s="23"/>
      <c r="F157"/>
      <c r="G157"/>
      <c r="H157"/>
      <c r="I157"/>
      <c r="J157" s="19"/>
      <c r="K157" s="19"/>
      <c r="L157" s="19"/>
      <c r="M157" s="19"/>
      <c r="N157" s="19"/>
      <c r="O157" s="19"/>
      <c r="P157" s="90"/>
      <c r="Q157" s="96"/>
    </row>
    <row r="158" spans="1:17">
      <c r="Q158" s="96"/>
    </row>
    <row r="159" spans="1:17">
      <c r="Q159" s="96"/>
    </row>
    <row r="160" spans="1:17">
      <c r="Q160" s="96"/>
    </row>
    <row r="161" spans="17:17">
      <c r="Q161" s="96"/>
    </row>
    <row r="162" spans="17:17">
      <c r="Q162" s="96"/>
    </row>
    <row r="163" spans="17:17">
      <c r="Q163" s="96"/>
    </row>
    <row r="164" spans="17:17">
      <c r="Q164" s="96"/>
    </row>
    <row r="165" spans="17:17">
      <c r="Q165" s="96"/>
    </row>
    <row r="166" spans="17:17">
      <c r="Q166" s="96"/>
    </row>
    <row r="167" spans="17:17">
      <c r="Q167" s="96"/>
    </row>
    <row r="168" spans="17:17">
      <c r="Q168" s="96"/>
    </row>
    <row r="169" spans="17:17">
      <c r="Q169" s="96"/>
    </row>
    <row r="170" spans="17:17">
      <c r="Q170" s="96"/>
    </row>
    <row r="171" spans="17:17">
      <c r="Q171" s="96"/>
    </row>
    <row r="172" spans="17:17">
      <c r="Q172" s="96"/>
    </row>
    <row r="173" spans="17:17">
      <c r="Q173" s="96"/>
    </row>
    <row r="174" spans="17:17">
      <c r="Q174" s="96"/>
    </row>
    <row r="175" spans="17:17">
      <c r="Q175" s="96"/>
    </row>
    <row r="176" spans="17:17">
      <c r="Q176" s="96"/>
    </row>
    <row r="177" spans="17:17">
      <c r="Q177" s="96"/>
    </row>
    <row r="214" ht="12" customHeight="1"/>
    <row r="215" ht="12" customHeight="1"/>
    <row r="216" ht="12" customHeight="1"/>
    <row r="217" ht="12" customHeight="1"/>
    <row r="218" ht="12" customHeight="1"/>
    <row r="219" ht="12" customHeight="1"/>
    <row r="220" ht="12" customHeight="1"/>
    <row r="221" ht="12" customHeight="1"/>
    <row r="222" ht="12" customHeight="1"/>
    <row r="223" ht="12" customHeight="1"/>
    <row r="224" ht="12" customHeight="1"/>
    <row r="225" ht="12" customHeight="1"/>
    <row r="226" ht="12" customHeight="1"/>
    <row r="227" ht="12" customHeight="1"/>
    <row r="228" ht="12" customHeight="1"/>
    <row r="229" ht="12" customHeight="1"/>
    <row r="230" ht="12" customHeight="1"/>
    <row r="231" ht="12" customHeight="1"/>
    <row r="232" ht="12" customHeight="1"/>
    <row r="233" ht="12" customHeight="1"/>
    <row r="234" ht="12" customHeight="1"/>
    <row r="235" ht="12" customHeight="1"/>
    <row r="236" ht="12" customHeight="1"/>
    <row r="237" ht="12" customHeight="1"/>
    <row r="238" ht="12" customHeight="1"/>
    <row r="239" ht="12" customHeight="1"/>
    <row r="240" ht="12" customHeight="1"/>
    <row r="241" ht="12" customHeight="1"/>
    <row r="242" ht="12" customHeight="1"/>
    <row r="243" ht="12" customHeight="1"/>
    <row r="244" ht="12" customHeight="1"/>
    <row r="245" ht="12" customHeight="1"/>
    <row r="246" ht="12" customHeight="1"/>
    <row r="247" ht="12" customHeight="1"/>
    <row r="248" ht="12" customHeight="1"/>
    <row r="249" ht="12" customHeight="1"/>
    <row r="250" ht="12" customHeight="1"/>
    <row r="251" ht="12" customHeight="1"/>
    <row r="252" ht="12" customHeight="1"/>
    <row r="253" ht="12" customHeight="1"/>
    <row r="254" ht="12" customHeight="1"/>
    <row r="255" ht="12" customHeight="1"/>
    <row r="256" ht="12" customHeight="1"/>
    <row r="257" ht="12" customHeight="1"/>
    <row r="258" ht="12" customHeight="1"/>
    <row r="259" ht="12" customHeight="1"/>
    <row r="260" ht="12" customHeight="1"/>
    <row r="261" ht="12" customHeight="1"/>
    <row r="262" ht="12" customHeight="1"/>
    <row r="263" ht="12" customHeight="1"/>
  </sheetData>
  <mergeCells count="111">
    <mergeCell ref="H110:I110"/>
    <mergeCell ref="D24:E24"/>
    <mergeCell ref="D25:E25"/>
    <mergeCell ref="D26:E26"/>
    <mergeCell ref="D28:E28"/>
    <mergeCell ref="D110:E110"/>
    <mergeCell ref="D27:E27"/>
    <mergeCell ref="D29:E29"/>
    <mergeCell ref="D30:E30"/>
    <mergeCell ref="D31:E31"/>
    <mergeCell ref="D32:E32"/>
    <mergeCell ref="D33:E33"/>
    <mergeCell ref="D34:E34"/>
    <mergeCell ref="D35:E35"/>
    <mergeCell ref="D36:E36"/>
    <mergeCell ref="D107:E107"/>
    <mergeCell ref="D108:E108"/>
    <mergeCell ref="D109:E109"/>
    <mergeCell ref="D71:E71"/>
    <mergeCell ref="D72:E72"/>
    <mergeCell ref="D73:E73"/>
    <mergeCell ref="D74:E74"/>
    <mergeCell ref="D75:E75"/>
    <mergeCell ref="D56:E56"/>
    <mergeCell ref="D104:E104"/>
    <mergeCell ref="H104:I104"/>
    <mergeCell ref="D105:E105"/>
    <mergeCell ref="D106:E106"/>
    <mergeCell ref="D37:E37"/>
    <mergeCell ref="D38:E38"/>
    <mergeCell ref="D39:E39"/>
    <mergeCell ref="D40:E40"/>
    <mergeCell ref="D41:E41"/>
    <mergeCell ref="D46:E46"/>
    <mergeCell ref="D57:E57"/>
    <mergeCell ref="D58:E58"/>
    <mergeCell ref="D59:E59"/>
    <mergeCell ref="D60:E60"/>
    <mergeCell ref="D61:E61"/>
    <mergeCell ref="D52:E52"/>
    <mergeCell ref="D53:E53"/>
    <mergeCell ref="D54:E54"/>
    <mergeCell ref="D55:E55"/>
    <mergeCell ref="D62:E62"/>
    <mergeCell ref="D63:E63"/>
    <mergeCell ref="D64:E64"/>
    <mergeCell ref="D65:E65"/>
    <mergeCell ref="D66:E66"/>
    <mergeCell ref="H4:I4"/>
    <mergeCell ref="D5:E5"/>
    <mergeCell ref="D6:E6"/>
    <mergeCell ref="D47:E47"/>
    <mergeCell ref="D48:E48"/>
    <mergeCell ref="D49:E49"/>
    <mergeCell ref="D50:E50"/>
    <mergeCell ref="D51:E51"/>
    <mergeCell ref="D42:E42"/>
    <mergeCell ref="D43:E43"/>
    <mergeCell ref="D44:E44"/>
    <mergeCell ref="D45:E45"/>
    <mergeCell ref="D19:E19"/>
    <mergeCell ref="D20:E20"/>
    <mergeCell ref="D21:E21"/>
    <mergeCell ref="D22:E22"/>
    <mergeCell ref="D23:E23"/>
    <mergeCell ref="D1:E1"/>
    <mergeCell ref="D4:E4"/>
    <mergeCell ref="D18:E18"/>
    <mergeCell ref="D7:E7"/>
    <mergeCell ref="D8:E8"/>
    <mergeCell ref="D9:E9"/>
    <mergeCell ref="D10:E10"/>
    <mergeCell ref="D11:E11"/>
    <mergeCell ref="D12:E12"/>
    <mergeCell ref="D13:E13"/>
    <mergeCell ref="D14:E14"/>
    <mergeCell ref="D15:E15"/>
    <mergeCell ref="D16:E16"/>
    <mergeCell ref="D17:E17"/>
    <mergeCell ref="D76:E76"/>
    <mergeCell ref="D77:E77"/>
    <mergeCell ref="D78:E78"/>
    <mergeCell ref="D79:E79"/>
    <mergeCell ref="D80:E80"/>
    <mergeCell ref="D67:E67"/>
    <mergeCell ref="D68:E68"/>
    <mergeCell ref="D69:E69"/>
    <mergeCell ref="D70:E70"/>
    <mergeCell ref="D86:E86"/>
    <mergeCell ref="D87:E87"/>
    <mergeCell ref="D88:E88"/>
    <mergeCell ref="D89:E89"/>
    <mergeCell ref="D90:E90"/>
    <mergeCell ref="D81:E81"/>
    <mergeCell ref="D82:E82"/>
    <mergeCell ref="D83:E83"/>
    <mergeCell ref="D84:E84"/>
    <mergeCell ref="D85:E85"/>
    <mergeCell ref="D101:E101"/>
    <mergeCell ref="D102:E102"/>
    <mergeCell ref="D103:E103"/>
    <mergeCell ref="D96:E96"/>
    <mergeCell ref="D97:E97"/>
    <mergeCell ref="D98:E98"/>
    <mergeCell ref="D99:E99"/>
    <mergeCell ref="D100:E100"/>
    <mergeCell ref="D91:E91"/>
    <mergeCell ref="D92:E92"/>
    <mergeCell ref="D93:E93"/>
    <mergeCell ref="D94:E94"/>
    <mergeCell ref="D95:E95"/>
  </mergeCells>
  <conditionalFormatting sqref="M5:M103">
    <cfRule type="cellIs" dxfId="669" priority="10" stopIfTrue="1" operator="lessThanOrEqual">
      <formula>$L5</formula>
    </cfRule>
    <cfRule type="cellIs" dxfId="668" priority="11" operator="greaterThan">
      <formula>L5</formula>
    </cfRule>
  </conditionalFormatting>
  <conditionalFormatting sqref="M105:M109">
    <cfRule type="cellIs" dxfId="667" priority="4" stopIfTrue="1" operator="lessThanOrEqual">
      <formula>$L105</formula>
    </cfRule>
    <cfRule type="cellIs" dxfId="666" priority="5" operator="greaterThan">
      <formula>L105</formula>
    </cfRule>
  </conditionalFormatting>
  <conditionalFormatting sqref="C5:C103">
    <cfRule type="duplicateValues" dxfId="665" priority="322"/>
  </conditionalFormatting>
  <pageMargins left="0.7" right="0.7" top="0.75" bottom="0.75" header="0.3" footer="0.3"/>
  <pageSetup scale="47" fitToHeight="0" orientation="landscape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B997C18-214A-4E71-89C0-DD637A415C23}">
          <x14:formula1>
            <xm:f>Bolts!$A:$A</xm:f>
          </x14:formula1>
          <xm:sqref>C105:C109</xm:sqref>
        </x14:dataValidation>
        <x14:dataValidation type="list" allowBlank="1" showInputMessage="1" showErrorMessage="1" xr:uid="{C1AA3F1A-063E-46B3-A1D1-AD1B79826F03}">
          <x14:formula1>
            <xm:f>Purchased!$A:$A</xm:f>
          </x14:formula1>
          <xm:sqref>C5:C103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41B6F-0C2B-4DA5-88AD-8F483FCC6193}">
  <sheetPr codeName="Sheet4">
    <tabColor theme="3" tint="0.39997558519241921"/>
    <pageSetUpPr fitToPage="1"/>
  </sheetPr>
  <dimension ref="A1:Q217"/>
  <sheetViews>
    <sheetView topLeftCell="A36" zoomScaleNormal="100" workbookViewId="0">
      <selection activeCell="C48" sqref="C48"/>
    </sheetView>
  </sheetViews>
  <sheetFormatPr defaultColWidth="9.140625" defaultRowHeight="15"/>
  <cols>
    <col min="1" max="1" width="5.7109375" customWidth="1"/>
    <col min="2" max="2" width="5.42578125" bestFit="1" customWidth="1"/>
    <col min="3" max="3" width="30.7109375" customWidth="1"/>
    <col min="4" max="5" width="20.7109375" style="23" customWidth="1"/>
    <col min="6" max="6" width="16.85546875" bestFit="1" customWidth="1"/>
    <col min="7" max="7" width="9.7109375" customWidth="1"/>
    <col min="8" max="8" width="8.7109375" customWidth="1"/>
    <col min="9" max="9" width="20.7109375" customWidth="1"/>
    <col min="10" max="13" width="11.7109375" style="19" customWidth="1"/>
    <col min="14" max="14" width="11.85546875" style="19" bestFit="1" customWidth="1"/>
    <col min="15" max="15" width="7.7109375" style="19" customWidth="1"/>
    <col min="16" max="16" width="10.7109375" style="90" customWidth="1"/>
    <col min="17" max="17" width="10.7109375" style="97" customWidth="1"/>
  </cols>
  <sheetData>
    <row r="1" spans="1:17" s="55" customFormat="1" ht="12" customHeight="1">
      <c r="A1" s="68" t="s">
        <v>0</v>
      </c>
      <c r="B1" s="69"/>
      <c r="C1" s="69"/>
      <c r="D1" s="262" t="s">
        <v>1</v>
      </c>
      <c r="E1" s="263"/>
      <c r="F1" s="70"/>
      <c r="G1" s="69"/>
      <c r="H1" s="70"/>
      <c r="I1" s="71"/>
      <c r="J1" s="72"/>
      <c r="K1" s="72"/>
      <c r="L1" s="72"/>
      <c r="M1" s="72"/>
      <c r="N1" s="72"/>
      <c r="O1" s="72"/>
      <c r="P1" s="85"/>
      <c r="Q1" s="91"/>
    </row>
    <row r="2" spans="1:17" s="55" customFormat="1" ht="12" customHeight="1">
      <c r="A2" s="74" t="s">
        <v>48</v>
      </c>
      <c r="B2" s="58"/>
      <c r="C2" s="57" t="e">
        <f ca="1">VLOOKUP(E3,Assemblies!B:F,4,0)</f>
        <v>#VALUE!</v>
      </c>
      <c r="D2" s="75" t="s">
        <v>3</v>
      </c>
      <c r="E2" s="76" t="e">
        <f ca="1">'GF12'!E2</f>
        <v>#VALUE!</v>
      </c>
      <c r="F2" s="77" t="s">
        <v>4</v>
      </c>
      <c r="G2" s="58" t="str">
        <f>'GF12'!G2</f>
        <v>GH</v>
      </c>
      <c r="H2" s="77" t="s">
        <v>6</v>
      </c>
      <c r="I2" s="59">
        <f>'GF12'!I2</f>
        <v>44775</v>
      </c>
      <c r="J2" s="39"/>
      <c r="K2" s="40" t="s">
        <v>49</v>
      </c>
      <c r="L2" s="41" t="e">
        <f ca="1">VLOOKUP(C2,Assemblies!E:G,3,0)</f>
        <v>#VALUE!</v>
      </c>
      <c r="M2" s="78"/>
      <c r="N2" s="78"/>
      <c r="O2" s="78"/>
      <c r="P2" s="86"/>
      <c r="Q2" s="92"/>
    </row>
    <row r="3" spans="1:17" s="55" customFormat="1" ht="12" customHeight="1" thickBot="1">
      <c r="A3" s="74" t="s">
        <v>7</v>
      </c>
      <c r="B3" s="58"/>
      <c r="C3" s="57" t="e">
        <f ca="1">VLOOKUP(E3,Assemblies!B:F,5,0)</f>
        <v>#VALUE!</v>
      </c>
      <c r="D3" s="75" t="s">
        <v>50</v>
      </c>
      <c r="E3" s="76" t="e">
        <f ca="1">MID(CELL("filename",A1),FIND("]",CELL("filename",A1))+1,256)</f>
        <v>#VALUE!</v>
      </c>
      <c r="F3" s="77" t="s">
        <v>11</v>
      </c>
      <c r="G3" s="58" t="str">
        <f>'GF12'!G3</f>
        <v>GH</v>
      </c>
      <c r="H3" s="77" t="s">
        <v>6</v>
      </c>
      <c r="I3" s="59">
        <f>'GF12'!I3</f>
        <v>44775</v>
      </c>
      <c r="J3" s="78"/>
      <c r="K3" s="78"/>
      <c r="L3" s="78"/>
      <c r="M3" s="78"/>
      <c r="N3" s="78"/>
      <c r="O3" s="78"/>
      <c r="P3" s="86"/>
      <c r="Q3" s="92"/>
    </row>
    <row r="4" spans="1:17" s="56" customFormat="1" ht="12.75" customHeight="1" thickBot="1">
      <c r="A4" s="80" t="s">
        <v>12</v>
      </c>
      <c r="B4" s="81" t="s">
        <v>13</v>
      </c>
      <c r="C4" s="238" t="s">
        <v>14</v>
      </c>
      <c r="D4" s="270" t="s">
        <v>15</v>
      </c>
      <c r="E4" s="271"/>
      <c r="F4" s="104" t="s">
        <v>16</v>
      </c>
      <c r="G4" s="81" t="s">
        <v>17</v>
      </c>
      <c r="H4" s="260" t="s">
        <v>18</v>
      </c>
      <c r="I4" s="261"/>
      <c r="J4" s="81" t="s">
        <v>51</v>
      </c>
      <c r="K4" s="81" t="s">
        <v>20</v>
      </c>
      <c r="L4" s="81" t="s">
        <v>21</v>
      </c>
      <c r="M4" s="81" t="s">
        <v>52</v>
      </c>
      <c r="N4" s="81" t="s">
        <v>22</v>
      </c>
      <c r="O4" s="81" t="s">
        <v>53</v>
      </c>
      <c r="P4" s="107" t="s">
        <v>26</v>
      </c>
      <c r="Q4" s="82" t="s">
        <v>27</v>
      </c>
    </row>
    <row r="5" spans="1:17" s="2" customFormat="1" ht="12" customHeight="1">
      <c r="A5" s="4">
        <v>301</v>
      </c>
      <c r="B5" s="2">
        <v>1</v>
      </c>
      <c r="C5" s="114" t="s">
        <v>132</v>
      </c>
      <c r="D5" s="268" t="str">
        <f>VLOOKUP(C5,Purchased!A:B,2,0)</f>
        <v>Saginaw EL LPPL Enclosure, 30H X 24W X 16D, RAL5005 Blue</v>
      </c>
      <c r="E5" s="269"/>
      <c r="F5" s="112" t="str">
        <f>VLOOKUP(C5,Purchased!A:Q,9,0)</f>
        <v>SAGINAW</v>
      </c>
      <c r="G5" s="112" t="str">
        <f>VLOOKUP(C5,Purchased!A:Q,10,0)</f>
        <v>SAGINAW</v>
      </c>
      <c r="H5" s="112" t="str">
        <f>VLOOKUP(C5,Purchased!A:Q,12,0)</f>
        <v xml:space="preserve"> </v>
      </c>
      <c r="I5" s="113"/>
      <c r="J5" s="44" t="str">
        <f>VLOOKUP(C5,Purchased!A:Q,13,0)</f>
        <v>N/A</v>
      </c>
      <c r="K5" s="44">
        <f>VLOOKUP(C5,Purchased!A:Q,14,0)</f>
        <v>45013</v>
      </c>
      <c r="L5" s="44">
        <f>VLOOKUP(C5,Purchased!A:Q,15,0)</f>
        <v>45043</v>
      </c>
      <c r="M5" s="44">
        <f>VLOOKUP(C5,Purchased!A:Q,16,0)</f>
        <v>45043</v>
      </c>
      <c r="N5" s="45">
        <f>VLOOKUP(C5,Purchased!A:Q,17,0)</f>
        <v>54826</v>
      </c>
      <c r="O5" s="45" t="e">
        <f t="shared" ref="O5:O21" ca="1" si="0">B5*$L$2</f>
        <v>#VALUE!</v>
      </c>
      <c r="P5" s="49">
        <f>IFERROR(VLOOKUP(C5,Purchased!A:E,3,FALSE),"")</f>
        <v>438.17</v>
      </c>
      <c r="Q5" s="50">
        <f t="shared" ref="Q5:Q21" si="1">IFERROR(B5*P5,"")</f>
        <v>438.17</v>
      </c>
    </row>
    <row r="6" spans="1:17" s="2" customFormat="1" ht="12" customHeight="1">
      <c r="A6" s="4">
        <f t="shared" ref="A6:A63" si="2">A5+1</f>
        <v>302</v>
      </c>
      <c r="B6" s="2">
        <v>1</v>
      </c>
      <c r="C6" s="114" t="s">
        <v>133</v>
      </c>
      <c r="D6" s="268" t="str">
        <f>VLOOKUP(C6,Purchased!A:B,2,0)</f>
        <v>Saginaw Subpanel, Bent Galvanized, 27H X 21W X 0.88D</v>
      </c>
      <c r="E6" s="269"/>
      <c r="F6" s="112" t="str">
        <f>VLOOKUP(C6,Purchased!A:Q,9,0)</f>
        <v>SAGINAW</v>
      </c>
      <c r="G6" s="112" t="str">
        <f>VLOOKUP(C6,Purchased!A:Q,10,0)</f>
        <v>SAGINAW</v>
      </c>
      <c r="H6" s="112" t="str">
        <f>VLOOKUP(C6,Purchased!A:Q,12,0)</f>
        <v xml:space="preserve"> </v>
      </c>
      <c r="I6" s="113"/>
      <c r="J6" s="44" t="str">
        <f>VLOOKUP(C6,Purchased!A:Q,13,0)</f>
        <v>N/A</v>
      </c>
      <c r="K6" s="44">
        <f>VLOOKUP(C6,Purchased!A:Q,14,0)</f>
        <v>45013</v>
      </c>
      <c r="L6" s="44">
        <f>VLOOKUP(C6,Purchased!A:Q,15,0)</f>
        <v>45043</v>
      </c>
      <c r="M6" s="44">
        <f>VLOOKUP(C6,Purchased!A:Q,16,0)</f>
        <v>45043</v>
      </c>
      <c r="N6" s="45">
        <f>VLOOKUP(C6,Purchased!A:Q,17,0)</f>
        <v>54827</v>
      </c>
      <c r="O6" s="45" t="e">
        <f t="shared" ca="1" si="0"/>
        <v>#VALUE!</v>
      </c>
      <c r="P6" s="49">
        <f>IFERROR(VLOOKUP(C6,Purchased!A:E,3,FALSE),"")</f>
        <v>55.46</v>
      </c>
      <c r="Q6" s="50">
        <f t="shared" si="1"/>
        <v>55.46</v>
      </c>
    </row>
    <row r="7" spans="1:17" s="2" customFormat="1" ht="12" customHeight="1">
      <c r="A7" s="4">
        <f t="shared" si="2"/>
        <v>303</v>
      </c>
      <c r="B7" s="2">
        <v>1</v>
      </c>
      <c r="C7" s="114" t="s">
        <v>134</v>
      </c>
      <c r="D7" s="268" t="str">
        <f>VLOOKUP(C7,Purchased!A:B,2,0)</f>
        <v>WERMA stack light 70mm buzzer element, 85 dB at 1m, continuous or pulse tone(s), 24 VAC/VDC, IP65.</v>
      </c>
      <c r="E7" s="269"/>
      <c r="F7" s="112" t="str">
        <f>VLOOKUP(C7,Purchased!A:Q,9,0)</f>
        <v>Werma</v>
      </c>
      <c r="G7" s="112" t="str">
        <f>VLOOKUP(C7,Purchased!A:Q,10,0)</f>
        <v>AutoDir</v>
      </c>
      <c r="H7" s="112" t="str">
        <f>VLOOKUP(C7,Purchased!A:Q,12,0)</f>
        <v xml:space="preserve"> </v>
      </c>
      <c r="I7" s="113"/>
      <c r="J7" s="44" t="str">
        <f>VLOOKUP(C7,Purchased!A:Q,13,0)</f>
        <v>N/A</v>
      </c>
      <c r="K7" s="44">
        <f>VLOOKUP(C7,Purchased!A:Q,14,0)</f>
        <v>45093</v>
      </c>
      <c r="L7" s="44">
        <f>VLOOKUP(C7,Purchased!A:Q,15,0)</f>
        <v>45100</v>
      </c>
      <c r="M7" s="44">
        <f>VLOOKUP(C7,Purchased!A:Q,16,0)</f>
        <v>45100</v>
      </c>
      <c r="N7" s="45">
        <f>VLOOKUP(C7,Purchased!A:Q,17,0)</f>
        <v>54941</v>
      </c>
      <c r="O7" s="45" t="e">
        <f t="shared" ca="1" si="0"/>
        <v>#VALUE!</v>
      </c>
      <c r="P7" s="49">
        <f>IFERROR(VLOOKUP(C7,Purchased!A:E,3,FALSE),"")</f>
        <v>55</v>
      </c>
      <c r="Q7" s="50">
        <f t="shared" si="1"/>
        <v>55</v>
      </c>
    </row>
    <row r="8" spans="1:17" s="2" customFormat="1" ht="12" customHeight="1">
      <c r="A8" s="4">
        <f t="shared" si="2"/>
        <v>304</v>
      </c>
      <c r="B8" s="2">
        <v>1</v>
      </c>
      <c r="C8" s="114" t="s">
        <v>135</v>
      </c>
      <c r="D8" s="268" t="str">
        <f>VLOOKUP(C8,Purchased!A:B,2,0)</f>
        <v>WERMA terminal element, 70mm diameter, cage clamp, base or bracket mount, IP65. Cap and seal included.</v>
      </c>
      <c r="E8" s="269"/>
      <c r="F8" s="112" t="str">
        <f>VLOOKUP(C8,Purchased!A:Q,9,0)</f>
        <v>Werma</v>
      </c>
      <c r="G8" s="112" t="str">
        <f>VLOOKUP(C8,Purchased!A:Q,10,0)</f>
        <v>AutoDir</v>
      </c>
      <c r="H8" s="112" t="str">
        <f>VLOOKUP(C8,Purchased!A:Q,12,0)</f>
        <v xml:space="preserve"> </v>
      </c>
      <c r="I8" s="113"/>
      <c r="J8" s="44" t="str">
        <f>VLOOKUP(C8,Purchased!A:Q,13,0)</f>
        <v>N/A</v>
      </c>
      <c r="K8" s="44">
        <f>VLOOKUP(C8,Purchased!A:Q,14,0)</f>
        <v>45093</v>
      </c>
      <c r="L8" s="44">
        <f>VLOOKUP(C8,Purchased!A:Q,15,0)</f>
        <v>45100</v>
      </c>
      <c r="M8" s="44">
        <f>VLOOKUP(C8,Purchased!A:Q,16,0)</f>
        <v>45100</v>
      </c>
      <c r="N8" s="45">
        <f>VLOOKUP(C8,Purchased!A:Q,17,0)</f>
        <v>54941</v>
      </c>
      <c r="O8" s="45" t="e">
        <f t="shared" ca="1" si="0"/>
        <v>#VALUE!</v>
      </c>
      <c r="P8" s="49">
        <f>IFERROR(VLOOKUP(C8,Purchased!A:E,3,FALSE),"")</f>
        <v>30</v>
      </c>
      <c r="Q8" s="50">
        <f t="shared" si="1"/>
        <v>30</v>
      </c>
    </row>
    <row r="9" spans="1:17" s="2" customFormat="1" ht="12" customHeight="1">
      <c r="A9" s="4">
        <f t="shared" si="2"/>
        <v>305</v>
      </c>
      <c r="B9" s="2">
        <v>1</v>
      </c>
      <c r="C9" s="114" t="s">
        <v>136</v>
      </c>
      <c r="D9" s="268" t="str">
        <f>VLOOKUP(C9,Purchased!A:B,2,0)</f>
        <v>WERMA incandescent light element, 70mm diameter, red, permanent light function, 12-240 VAC/VDC, colored lens, IP65. Purchase bulb separately.</v>
      </c>
      <c r="E9" s="269"/>
      <c r="F9" s="112" t="str">
        <f>VLOOKUP(C9,Purchased!A:Q,9,0)</f>
        <v>Werma</v>
      </c>
      <c r="G9" s="112" t="str">
        <f>VLOOKUP(C9,Purchased!A:Q,10,0)</f>
        <v>AutoDir</v>
      </c>
      <c r="H9" s="112" t="str">
        <f>VLOOKUP(C9,Purchased!A:Q,12,0)</f>
        <v xml:space="preserve"> </v>
      </c>
      <c r="I9" s="113"/>
      <c r="J9" s="44" t="str">
        <f>VLOOKUP(C9,Purchased!A:Q,13,0)</f>
        <v>N/A</v>
      </c>
      <c r="K9" s="44">
        <f>VLOOKUP(C9,Purchased!A:Q,14,0)</f>
        <v>45093</v>
      </c>
      <c r="L9" s="44">
        <f>VLOOKUP(C9,Purchased!A:Q,15,0)</f>
        <v>45100</v>
      </c>
      <c r="M9" s="44">
        <f>VLOOKUP(C9,Purchased!A:Q,16,0)</f>
        <v>45100</v>
      </c>
      <c r="N9" s="45">
        <f>VLOOKUP(C9,Purchased!A:Q,17,0)</f>
        <v>54941</v>
      </c>
      <c r="O9" s="45" t="e">
        <f t="shared" ca="1" si="0"/>
        <v>#VALUE!</v>
      </c>
      <c r="P9" s="49">
        <f>IFERROR(VLOOKUP(C9,Purchased!A:E,3,FALSE),"")</f>
        <v>23</v>
      </c>
      <c r="Q9" s="50">
        <f t="shared" si="1"/>
        <v>23</v>
      </c>
    </row>
    <row r="10" spans="1:17" s="2" customFormat="1" ht="12" customHeight="1">
      <c r="A10" s="4">
        <f t="shared" si="2"/>
        <v>306</v>
      </c>
      <c r="B10" s="2">
        <v>1</v>
      </c>
      <c r="C10" s="114" t="s">
        <v>137</v>
      </c>
      <c r="D10" s="268" t="str">
        <f>VLOOKUP(C10,Purchased!A:B,2,0)</f>
        <v>WERMA incandescent light element, 70mm diameter, green, permanent light function, 12-240 VAC/VDC, colored lens, IP65. Purchase bulb separately.</v>
      </c>
      <c r="E10" s="269"/>
      <c r="F10" s="112" t="str">
        <f>VLOOKUP(C10,Purchased!A:Q,9,0)</f>
        <v>Werma</v>
      </c>
      <c r="G10" s="112" t="str">
        <f>VLOOKUP(C10,Purchased!A:Q,10,0)</f>
        <v>AutoDir</v>
      </c>
      <c r="H10" s="112" t="str">
        <f>VLOOKUP(C10,Purchased!A:Q,12,0)</f>
        <v xml:space="preserve"> </v>
      </c>
      <c r="I10" s="113"/>
      <c r="J10" s="44" t="str">
        <f>VLOOKUP(C10,Purchased!A:Q,13,0)</f>
        <v>N/A</v>
      </c>
      <c r="K10" s="44">
        <f>VLOOKUP(C10,Purchased!A:Q,14,0)</f>
        <v>45093</v>
      </c>
      <c r="L10" s="44">
        <f>VLOOKUP(C10,Purchased!A:Q,15,0)</f>
        <v>45100</v>
      </c>
      <c r="M10" s="44">
        <f>VLOOKUP(C10,Purchased!A:Q,16,0)</f>
        <v>45100</v>
      </c>
      <c r="N10" s="45">
        <f>VLOOKUP(C10,Purchased!A:Q,17,0)</f>
        <v>54941</v>
      </c>
      <c r="O10" s="45" t="e">
        <f t="shared" ca="1" si="0"/>
        <v>#VALUE!</v>
      </c>
      <c r="P10" s="49">
        <f>IFERROR(VLOOKUP(C10,Purchased!A:E,3,FALSE),"")</f>
        <v>23</v>
      </c>
      <c r="Q10" s="50">
        <f t="shared" si="1"/>
        <v>23</v>
      </c>
    </row>
    <row r="11" spans="1:17" s="2" customFormat="1" ht="12" customHeight="1">
      <c r="A11" s="4">
        <f t="shared" si="2"/>
        <v>307</v>
      </c>
      <c r="B11" s="2">
        <v>1</v>
      </c>
      <c r="C11" s="114" t="s">
        <v>138</v>
      </c>
      <c r="D11" s="268" t="str">
        <f>VLOOKUP(C11,Purchased!A:B,2,0)</f>
        <v>WERMA incandescent light element, 70mm diameter, yellow, permanent light function, 12-240 VAC/VDC, colored lens, IP65. Purchase bulb separately.</v>
      </c>
      <c r="E11" s="269"/>
      <c r="F11" s="112" t="str">
        <f>VLOOKUP(C11,Purchased!A:Q,9,0)</f>
        <v>Werma</v>
      </c>
      <c r="G11" s="112" t="str">
        <f>VLOOKUP(C11,Purchased!A:Q,10,0)</f>
        <v>AutoDir</v>
      </c>
      <c r="H11" s="112" t="str">
        <f>VLOOKUP(C11,Purchased!A:Q,12,0)</f>
        <v xml:space="preserve"> </v>
      </c>
      <c r="I11" s="113"/>
      <c r="J11" s="44" t="str">
        <f>VLOOKUP(C11,Purchased!A:Q,13,0)</f>
        <v>N/A</v>
      </c>
      <c r="K11" s="44">
        <f>VLOOKUP(C11,Purchased!A:Q,14,0)</f>
        <v>45093</v>
      </c>
      <c r="L11" s="44">
        <f>VLOOKUP(C11,Purchased!A:Q,15,0)</f>
        <v>45100</v>
      </c>
      <c r="M11" s="44">
        <f>VLOOKUP(C11,Purchased!A:Q,16,0)</f>
        <v>45100</v>
      </c>
      <c r="N11" s="45">
        <f>VLOOKUP(C11,Purchased!A:Q,17,0)</f>
        <v>54941</v>
      </c>
      <c r="O11" s="45" t="e">
        <f t="shared" ca="1" si="0"/>
        <v>#VALUE!</v>
      </c>
      <c r="P11" s="49">
        <f>IFERROR(VLOOKUP(C11,Purchased!A:E,3,FALSE),"")</f>
        <v>23</v>
      </c>
      <c r="Q11" s="50">
        <f t="shared" si="1"/>
        <v>23</v>
      </c>
    </row>
    <row r="12" spans="1:17" s="2" customFormat="1" ht="12" customHeight="1">
      <c r="A12" s="4">
        <f t="shared" si="2"/>
        <v>308</v>
      </c>
      <c r="B12" s="2">
        <v>3</v>
      </c>
      <c r="C12" s="114" t="s">
        <v>139</v>
      </c>
      <c r="D12" s="268" t="str">
        <f>VLOOKUP(C12,Purchased!A:B,2,0)</f>
        <v>WERMA bulb, incandescent, replacement, 24 VDC, BA15d bayonet, clear/white, 5W.</v>
      </c>
      <c r="E12" s="269"/>
      <c r="F12" s="112" t="str">
        <f>VLOOKUP(C12,Purchased!A:Q,9,0)</f>
        <v>Werma</v>
      </c>
      <c r="G12" s="112" t="str">
        <f>VLOOKUP(C12,Purchased!A:Q,10,0)</f>
        <v>AutoDir</v>
      </c>
      <c r="H12" s="112" t="str">
        <f>VLOOKUP(C12,Purchased!A:Q,12,0)</f>
        <v xml:space="preserve"> </v>
      </c>
      <c r="I12" s="113"/>
      <c r="J12" s="44" t="str">
        <f>VLOOKUP(C12,Purchased!A:Q,13,0)</f>
        <v>N/A</v>
      </c>
      <c r="K12" s="44">
        <f>VLOOKUP(C12,Purchased!A:Q,14,0)</f>
        <v>45093</v>
      </c>
      <c r="L12" s="44">
        <f>VLOOKUP(C12,Purchased!A:Q,15,0)</f>
        <v>45100</v>
      </c>
      <c r="M12" s="44">
        <f>VLOOKUP(C12,Purchased!A:Q,16,0)</f>
        <v>45100</v>
      </c>
      <c r="N12" s="45">
        <f>VLOOKUP(C12,Purchased!A:Q,17,0)</f>
        <v>54941</v>
      </c>
      <c r="O12" s="45" t="e">
        <f t="shared" ca="1" si="0"/>
        <v>#VALUE!</v>
      </c>
      <c r="P12" s="49">
        <f>IFERROR(VLOOKUP(C12,Purchased!A:E,3,FALSE),"")</f>
        <v>8.25</v>
      </c>
      <c r="Q12" s="50">
        <f t="shared" si="1"/>
        <v>24.75</v>
      </c>
    </row>
    <row r="13" spans="1:17" s="2" customFormat="1" ht="12" customHeight="1">
      <c r="A13" s="4">
        <f t="shared" si="2"/>
        <v>309</v>
      </c>
      <c r="B13" s="2">
        <v>1</v>
      </c>
      <c r="C13" s="114" t="s">
        <v>91</v>
      </c>
      <c r="D13" s="268" t="str">
        <f>VLOOKUP(C13,Purchased!A:B,2,0)</f>
        <v>Panduit VeriSafe 1.0 AVT, 8' (2.4m) system cable, 10' (3m) sensor leads</v>
      </c>
      <c r="E13" s="269"/>
      <c r="F13" s="112" t="str">
        <f>VLOOKUP(C13,Purchased!A:Q,9,0)</f>
        <v>Panduit</v>
      </c>
      <c r="G13" s="112" t="str">
        <f>VLOOKUP(C13,Purchased!A:Q,10,0)</f>
        <v>OnlineComp</v>
      </c>
      <c r="H13" s="112" t="str">
        <f>VLOOKUP(C13,Purchased!A:Q,12,0)</f>
        <v xml:space="preserve"> </v>
      </c>
      <c r="I13" s="113"/>
      <c r="J13" s="44" t="str">
        <f>VLOOKUP(C13,Purchased!A:Q,13,0)</f>
        <v>N/A</v>
      </c>
      <c r="K13" s="44">
        <f>VLOOKUP(C13,Purchased!A:Q,14,0)</f>
        <v>45089</v>
      </c>
      <c r="L13" s="44">
        <f>VLOOKUP(C13,Purchased!A:Q,15,0)</f>
        <v>45096</v>
      </c>
      <c r="M13" s="44">
        <f>VLOOKUP(C13,Purchased!A:Q,16,0)</f>
        <v>45096</v>
      </c>
      <c r="N13" s="45">
        <f>VLOOKUP(C13,Purchased!A:Q,17,0)</f>
        <v>54932</v>
      </c>
      <c r="O13" s="45" t="e">
        <f t="shared" ca="1" si="0"/>
        <v>#VALUE!</v>
      </c>
      <c r="P13" s="49">
        <f>IFERROR(VLOOKUP(C13,Purchased!A:E,3,FALSE),"")</f>
        <v>397.68</v>
      </c>
      <c r="Q13" s="50">
        <f t="shared" si="1"/>
        <v>397.68</v>
      </c>
    </row>
    <row r="14" spans="1:17" s="2" customFormat="1" ht="12" customHeight="1">
      <c r="A14" s="4">
        <f t="shared" si="2"/>
        <v>310</v>
      </c>
      <c r="B14" s="2">
        <v>1</v>
      </c>
      <c r="C14" s="114" t="s">
        <v>140</v>
      </c>
      <c r="D14" s="268" t="str">
        <f>VLOOKUP(C14,Purchased!A:B,2,0)</f>
        <v>Autonics E/IP Bus Coupler</v>
      </c>
      <c r="E14" s="269"/>
      <c r="F14" s="112" t="str">
        <f>VLOOKUP(C14,Purchased!A:Q,9,0)</f>
        <v>Autonics</v>
      </c>
      <c r="G14" s="112" t="str">
        <f>VLOOKUP(C14,Purchased!A:Q,10,0)</f>
        <v>ProAuto</v>
      </c>
      <c r="H14" s="112" t="str">
        <f>VLOOKUP(C14,Purchased!A:Q,12,0)</f>
        <v xml:space="preserve"> </v>
      </c>
      <c r="I14" s="113"/>
      <c r="J14" s="44" t="str">
        <f>VLOOKUP(C14,Purchased!A:Q,13,0)</f>
        <v>N/A</v>
      </c>
      <c r="K14" s="44">
        <f>VLOOKUP(C14,Purchased!A:Q,14,0)</f>
        <v>45007</v>
      </c>
      <c r="L14" s="44">
        <f>VLOOKUP(C14,Purchased!A:Q,15,0)</f>
        <v>45037</v>
      </c>
      <c r="M14" s="44">
        <f>VLOOKUP(C14,Purchased!A:Q,16,0)</f>
        <v>45037</v>
      </c>
      <c r="N14" s="45">
        <f>VLOOKUP(C14,Purchased!A:Q,17,0)</f>
        <v>54818</v>
      </c>
      <c r="O14" s="45" t="e">
        <f t="shared" ca="1" si="0"/>
        <v>#VALUE!</v>
      </c>
      <c r="P14" s="49">
        <f>IFERROR(VLOOKUP(C14,Purchased!A:E,3,FALSE),"")</f>
        <v>414.17</v>
      </c>
      <c r="Q14" s="50">
        <f t="shared" si="1"/>
        <v>414.17</v>
      </c>
    </row>
    <row r="15" spans="1:17" s="2" customFormat="1" ht="12" customHeight="1">
      <c r="A15" s="4">
        <f t="shared" si="2"/>
        <v>311</v>
      </c>
      <c r="B15" s="2">
        <v>3</v>
      </c>
      <c r="C15" s="114" t="s">
        <v>141</v>
      </c>
      <c r="D15" s="268" t="str">
        <f>VLOOKUP(C15,Purchased!A:B,2,0)</f>
        <v>Autonics 8-channel digital input</v>
      </c>
      <c r="E15" s="269"/>
      <c r="F15" s="112" t="str">
        <f>VLOOKUP(C15,Purchased!A:Q,9,0)</f>
        <v>Autonics</v>
      </c>
      <c r="G15" s="112" t="str">
        <f>VLOOKUP(C15,Purchased!A:Q,10,0)</f>
        <v>ProAuto</v>
      </c>
      <c r="H15" s="112" t="str">
        <f>VLOOKUP(C15,Purchased!A:Q,12,0)</f>
        <v xml:space="preserve"> </v>
      </c>
      <c r="I15" s="113"/>
      <c r="J15" s="44" t="str">
        <f>VLOOKUP(C15,Purchased!A:Q,13,0)</f>
        <v>N/A</v>
      </c>
      <c r="K15" s="44">
        <f>VLOOKUP(C15,Purchased!A:Q,14,0)</f>
        <v>45007</v>
      </c>
      <c r="L15" s="44">
        <f>VLOOKUP(C15,Purchased!A:Q,15,0)</f>
        <v>45037</v>
      </c>
      <c r="M15" s="44">
        <f>VLOOKUP(C15,Purchased!A:Q,16,0)</f>
        <v>45037</v>
      </c>
      <c r="N15" s="45">
        <f>VLOOKUP(C15,Purchased!A:Q,17,0)</f>
        <v>54818</v>
      </c>
      <c r="O15" s="45" t="e">
        <f t="shared" ca="1" si="0"/>
        <v>#VALUE!</v>
      </c>
      <c r="P15" s="49">
        <f>IFERROR(VLOOKUP(C15,Purchased!A:E,3,FALSE),"")</f>
        <v>85</v>
      </c>
      <c r="Q15" s="50">
        <f t="shared" si="1"/>
        <v>255</v>
      </c>
    </row>
    <row r="16" spans="1:17" s="2" customFormat="1" ht="12" customHeight="1">
      <c r="A16" s="4">
        <f t="shared" si="2"/>
        <v>312</v>
      </c>
      <c r="B16" s="2">
        <v>5</v>
      </c>
      <c r="C16" s="114" t="s">
        <v>142</v>
      </c>
      <c r="D16" s="268" t="str">
        <f>VLOOKUP(C16,Purchased!A:B,2,0)</f>
        <v>Autonics 8-channel digital output</v>
      </c>
      <c r="E16" s="269"/>
      <c r="F16" s="112" t="str">
        <f>VLOOKUP(C16,Purchased!A:Q,9,0)</f>
        <v>Autonics</v>
      </c>
      <c r="G16" s="112" t="str">
        <f>VLOOKUP(C16,Purchased!A:Q,10,0)</f>
        <v>ProAuto</v>
      </c>
      <c r="H16" s="112" t="str">
        <f>VLOOKUP(C16,Purchased!A:Q,12,0)</f>
        <v xml:space="preserve"> </v>
      </c>
      <c r="I16" s="113"/>
      <c r="J16" s="44" t="str">
        <f>VLOOKUP(C16,Purchased!A:Q,13,0)</f>
        <v>N/A</v>
      </c>
      <c r="K16" s="44">
        <f>VLOOKUP(C16,Purchased!A:Q,14,0)</f>
        <v>45007</v>
      </c>
      <c r="L16" s="44">
        <f>VLOOKUP(C16,Purchased!A:Q,15,0)</f>
        <v>45037</v>
      </c>
      <c r="M16" s="44">
        <f>VLOOKUP(C16,Purchased!A:Q,16,0)</f>
        <v>45037</v>
      </c>
      <c r="N16" s="45">
        <f>VLOOKUP(C16,Purchased!A:Q,17,0)</f>
        <v>54818</v>
      </c>
      <c r="O16" s="45" t="e">
        <f t="shared" ca="1" si="0"/>
        <v>#VALUE!</v>
      </c>
      <c r="P16" s="49">
        <f>IFERROR(VLOOKUP(C16,Purchased!A:E,3,FALSE),"")</f>
        <v>110.83</v>
      </c>
      <c r="Q16" s="50">
        <f t="shared" si="1"/>
        <v>554.15</v>
      </c>
    </row>
    <row r="17" spans="1:17" s="2" customFormat="1" ht="12" customHeight="1">
      <c r="A17" s="4">
        <f t="shared" si="2"/>
        <v>313</v>
      </c>
      <c r="B17" s="170">
        <v>2</v>
      </c>
      <c r="C17" s="114" t="s">
        <v>70</v>
      </c>
      <c r="D17" s="268" t="str">
        <f>VLOOKUP(C17,Purchased!A:B,2,0)</f>
        <v>Drive package consisting of: R911331611 (HCS01.1E-W0028-A-03-B-ET-EC-NN-L4-NN-FW) and R911347141 (FWA-INDRV*-MPB-20VRS-D5-1-NNN-NN)</v>
      </c>
      <c r="E17" s="276"/>
      <c r="F17" s="112" t="str">
        <f>VLOOKUP(C17,Purchased!A:Q,9,0)</f>
        <v>BRC</v>
      </c>
      <c r="G17" s="112" t="str">
        <f>VLOOKUP(C17,Purchased!A:Q,10,0)</f>
        <v>AAP</v>
      </c>
      <c r="H17" s="112" t="str">
        <f>VLOOKUP(C17,Purchased!A:Q,12,0)</f>
        <v xml:space="preserve"> </v>
      </c>
      <c r="I17" s="113"/>
      <c r="J17" s="44" t="str">
        <f>VLOOKUP(C17,Purchased!A:Q,13,0)</f>
        <v>N/A</v>
      </c>
      <c r="K17" s="44">
        <f>VLOOKUP(C17,Purchased!A:Q,14,0)</f>
        <v>44881</v>
      </c>
      <c r="L17" s="44">
        <f>VLOOKUP(C17,Purchased!A:Q,15,0)</f>
        <v>44986</v>
      </c>
      <c r="M17" s="44">
        <f>VLOOKUP(C17,Purchased!A:Q,16,0)</f>
        <v>44986</v>
      </c>
      <c r="N17" s="45">
        <f>VLOOKUP(C17,Purchased!A:Q,17,0)</f>
        <v>54563</v>
      </c>
      <c r="O17" s="45" t="e">
        <f t="shared" ca="1" si="0"/>
        <v>#VALUE!</v>
      </c>
      <c r="P17" s="49">
        <f>IFERROR(VLOOKUP(C17,Purchased!A:E,3,FALSE),"")</f>
        <v>1775.0735999999999</v>
      </c>
      <c r="Q17" s="50">
        <f t="shared" si="1"/>
        <v>3550.1471999999999</v>
      </c>
    </row>
    <row r="18" spans="1:17" s="2" customFormat="1" ht="12" customHeight="1">
      <c r="A18" s="4">
        <f t="shared" si="2"/>
        <v>314</v>
      </c>
      <c r="B18" s="170">
        <v>1</v>
      </c>
      <c r="C18" s="114" t="s">
        <v>111</v>
      </c>
      <c r="D18" s="268" t="str">
        <f>VLOOKUP(C18,Purchased!A:B,2,0)</f>
        <v>CIRCUIT BREAKER, BK63HU 3P C2A 10KA, 480Y/277VAC, 60VDC UL489</v>
      </c>
      <c r="E18" s="269"/>
      <c r="F18" s="112" t="str">
        <f>VLOOKUP(C18,Purchased!A:Q,9,0)</f>
        <v>LS ELECTRIC</v>
      </c>
      <c r="G18" s="112" t="str">
        <f>VLOOKUP(C18,Purchased!A:Q,10,0)</f>
        <v>CRAVE</v>
      </c>
      <c r="H18" s="112">
        <f>VLOOKUP(C18,Purchased!A:Q,12,0)</f>
        <v>0</v>
      </c>
      <c r="I18" s="113"/>
      <c r="J18" s="44">
        <f>VLOOKUP(C18,Purchased!A:Q,13,0)</f>
        <v>0</v>
      </c>
      <c r="K18" s="44">
        <f>VLOOKUP(C18,Purchased!A:Q,14,0)</f>
        <v>0</v>
      </c>
      <c r="L18" s="44">
        <f>VLOOKUP(C18,Purchased!A:Q,15,0)</f>
        <v>0</v>
      </c>
      <c r="M18" s="44">
        <f>VLOOKUP(C18,Purchased!A:Q,16,0)</f>
        <v>0</v>
      </c>
      <c r="N18" s="45">
        <f>VLOOKUP(C18,Purchased!A:Q,17,0)</f>
        <v>0</v>
      </c>
      <c r="O18" s="45" t="e">
        <f t="shared" ca="1" si="0"/>
        <v>#VALUE!</v>
      </c>
      <c r="P18" s="49">
        <f>IFERROR(VLOOKUP(C18,Purchased!A:E,3,FALSE),"")</f>
        <v>0</v>
      </c>
      <c r="Q18" s="50">
        <f t="shared" si="1"/>
        <v>0</v>
      </c>
    </row>
    <row r="19" spans="1:17" s="2" customFormat="1" ht="12" customHeight="1">
      <c r="A19" s="4">
        <f t="shared" si="2"/>
        <v>315</v>
      </c>
      <c r="B19" s="170">
        <v>1</v>
      </c>
      <c r="C19" s="114" t="s">
        <v>112</v>
      </c>
      <c r="D19" s="268" t="str">
        <f>VLOOKUP(C19,Purchased!A:B,2,0)</f>
        <v>CIRCUIT BREAKER, BK63HU 3P C6A 10KA, 480Y/277VAC, 60VDC UL489</v>
      </c>
      <c r="E19" s="269"/>
      <c r="F19" s="112" t="str">
        <f>VLOOKUP(C19,Purchased!A:Q,9,0)</f>
        <v>LS ELECTRIC</v>
      </c>
      <c r="G19" s="112" t="str">
        <f>VLOOKUP(C19,Purchased!A:Q,10,0)</f>
        <v>CRAVE</v>
      </c>
      <c r="H19" s="112">
        <f>VLOOKUP(C19,Purchased!A:Q,12,0)</f>
        <v>0</v>
      </c>
      <c r="I19" s="113"/>
      <c r="J19" s="44">
        <f>VLOOKUP(C19,Purchased!A:Q,13,0)</f>
        <v>0</v>
      </c>
      <c r="K19" s="44">
        <f>VLOOKUP(C19,Purchased!A:Q,14,0)</f>
        <v>0</v>
      </c>
      <c r="L19" s="44">
        <f>VLOOKUP(C19,Purchased!A:Q,15,0)</f>
        <v>0</v>
      </c>
      <c r="M19" s="44">
        <f>VLOOKUP(C19,Purchased!A:Q,16,0)</f>
        <v>0</v>
      </c>
      <c r="N19" s="45">
        <f>VLOOKUP(C19,Purchased!A:Q,17,0)</f>
        <v>0</v>
      </c>
      <c r="O19" s="45" t="e">
        <f t="shared" ca="1" si="0"/>
        <v>#VALUE!</v>
      </c>
      <c r="P19" s="49">
        <f>IFERROR(VLOOKUP(C19,Purchased!A:E,3,FALSE),"")</f>
        <v>0</v>
      </c>
      <c r="Q19" s="50">
        <f t="shared" si="1"/>
        <v>0</v>
      </c>
    </row>
    <row r="20" spans="1:17" s="2" customFormat="1" ht="12" customHeight="1">
      <c r="A20" s="4">
        <f t="shared" si="2"/>
        <v>316</v>
      </c>
      <c r="B20" s="170">
        <v>1</v>
      </c>
      <c r="C20" s="114" t="s">
        <v>143</v>
      </c>
      <c r="D20" s="268" t="str">
        <f>VLOOKUP(C20,Purchased!A:B,2,0)</f>
        <v>Autonics I/O Power Module</v>
      </c>
      <c r="E20" s="269"/>
      <c r="F20" s="112" t="str">
        <f>VLOOKUP(C20,Purchased!A:Q,9,0)</f>
        <v>Autonics</v>
      </c>
      <c r="G20" s="112" t="str">
        <f>VLOOKUP(C20,Purchased!A:Q,10,0)</f>
        <v>ProAuto</v>
      </c>
      <c r="H20" s="112" t="str">
        <f>VLOOKUP(C20,Purchased!A:Q,12,0)</f>
        <v xml:space="preserve"> </v>
      </c>
      <c r="I20" s="113"/>
      <c r="J20" s="44" t="str">
        <f>VLOOKUP(C20,Purchased!A:Q,13,0)</f>
        <v>N/A</v>
      </c>
      <c r="K20" s="44">
        <f>VLOOKUP(C20,Purchased!A:Q,14,0)</f>
        <v>45084</v>
      </c>
      <c r="L20" s="44">
        <f>VLOOKUP(C20,Purchased!A:Q,15,0)</f>
        <v>45098</v>
      </c>
      <c r="M20" s="44">
        <f>VLOOKUP(C20,Purchased!A:Q,16,0)</f>
        <v>45098</v>
      </c>
      <c r="N20" s="45">
        <f>VLOOKUP(C20,Purchased!A:Q,17,0)</f>
        <v>54919</v>
      </c>
      <c r="O20" s="45" t="e">
        <f t="shared" ca="1" si="0"/>
        <v>#VALUE!</v>
      </c>
      <c r="P20" s="49">
        <f>IFERROR(VLOOKUP(C20,Purchased!A:E,3,FALSE),"")</f>
        <v>74.17</v>
      </c>
      <c r="Q20" s="50">
        <f t="shared" si="1"/>
        <v>74.17</v>
      </c>
    </row>
    <row r="21" spans="1:17" s="2" customFormat="1" ht="12" customHeight="1">
      <c r="A21" s="4">
        <f t="shared" si="2"/>
        <v>317</v>
      </c>
      <c r="B21" s="170">
        <v>2</v>
      </c>
      <c r="C21" s="114" t="s">
        <v>144</v>
      </c>
      <c r="D21" s="268" t="str">
        <f>VLOOKUP(C21,Purchased!A:B,2,0)</f>
        <v>Autonics 4-CHANNEL ANALOG INPUT MODULE, 0..10V</v>
      </c>
      <c r="E21" s="269"/>
      <c r="F21" s="112" t="str">
        <f>VLOOKUP(C21,Purchased!A:Q,9,0)</f>
        <v>Autonics</v>
      </c>
      <c r="G21" s="112" t="str">
        <f>VLOOKUP(C21,Purchased!A:Q,10,0)</f>
        <v>ProAuto</v>
      </c>
      <c r="H21" s="112" t="str">
        <f>VLOOKUP(C21,Purchased!A:Q,12,0)</f>
        <v xml:space="preserve"> </v>
      </c>
      <c r="I21" s="113"/>
      <c r="J21" s="44" t="str">
        <f>VLOOKUP(C21,Purchased!A:Q,13,0)</f>
        <v>N/A</v>
      </c>
      <c r="K21" s="44">
        <f>VLOOKUP(C21,Purchased!A:Q,14,0)</f>
        <v>45089</v>
      </c>
      <c r="L21" s="44">
        <f>VLOOKUP(C21,Purchased!A:Q,15,0)</f>
        <v>45106</v>
      </c>
      <c r="M21" s="44">
        <f>VLOOKUP(C21,Purchased!A:Q,16,0)</f>
        <v>45106</v>
      </c>
      <c r="N21" s="45">
        <f>VLOOKUP(C21,Purchased!A:Q,17,0)</f>
        <v>54929</v>
      </c>
      <c r="O21" s="45" t="e">
        <f t="shared" ca="1" si="0"/>
        <v>#VALUE!</v>
      </c>
      <c r="P21" s="49">
        <f>IFERROR(VLOOKUP(C21,Purchased!A:E,3,FALSE),"")</f>
        <v>274.55</v>
      </c>
      <c r="Q21" s="50">
        <f t="shared" si="1"/>
        <v>549.1</v>
      </c>
    </row>
    <row r="22" spans="1:17" s="2" customFormat="1" ht="12" customHeight="1">
      <c r="A22" s="4">
        <f t="shared" si="2"/>
        <v>318</v>
      </c>
      <c r="B22" s="170">
        <v>1</v>
      </c>
      <c r="C22" s="114" t="s">
        <v>145</v>
      </c>
      <c r="D22" s="268" t="str">
        <f>VLOOKUP(C22,Purchased!A:B,2,0)</f>
        <v>ANALOG OUTPUT MODULE, -10..10VDC, 12BIT, 2CHANNEL</v>
      </c>
      <c r="E22" s="269"/>
      <c r="F22" s="112" t="str">
        <f>VLOOKUP(C22,Purchased!A:Q,9,0)</f>
        <v>AUTONICS</v>
      </c>
      <c r="G22" s="112" t="str">
        <f>VLOOKUP(C22,Purchased!A:Q,10,0)</f>
        <v>CRAVE</v>
      </c>
      <c r="H22" s="112">
        <f>VLOOKUP(C22,Purchased!A:Q,12,0)</f>
        <v>0</v>
      </c>
      <c r="I22" s="113"/>
      <c r="J22" s="44">
        <f>VLOOKUP(C22,Purchased!A:Q,13,0)</f>
        <v>0</v>
      </c>
      <c r="K22" s="44">
        <f>VLOOKUP(C22,Purchased!A:Q,14,0)</f>
        <v>0</v>
      </c>
      <c r="L22" s="44">
        <f>VLOOKUP(C22,Purchased!A:Q,15,0)</f>
        <v>0</v>
      </c>
      <c r="M22" s="44">
        <f>VLOOKUP(C22,Purchased!A:Q,16,0)</f>
        <v>0</v>
      </c>
      <c r="N22" s="45">
        <f>VLOOKUP(C22,Purchased!A:Q,17,0)</f>
        <v>0</v>
      </c>
      <c r="O22" s="45" t="e">
        <f t="shared" ref="O22" ca="1" si="3">B22*$L$2</f>
        <v>#VALUE!</v>
      </c>
      <c r="P22" s="49">
        <f>IFERROR(VLOOKUP(C22,Purchased!A:E,3,FALSE),"")</f>
        <v>0</v>
      </c>
      <c r="Q22" s="50">
        <f t="shared" ref="Q22" si="4">IFERROR(B22*P22,"")</f>
        <v>0</v>
      </c>
    </row>
    <row r="23" spans="1:17" s="2" customFormat="1" ht="12" customHeight="1">
      <c r="A23" s="4">
        <f t="shared" si="2"/>
        <v>319</v>
      </c>
      <c r="B23" s="170">
        <v>1</v>
      </c>
      <c r="C23" s="114" t="s">
        <v>93</v>
      </c>
      <c r="D23" s="268" t="str">
        <f>VLOOKUP(C23,Purchased!A:B,2,0)</f>
        <v>CIRCUIT BREAKER, 80VDC RATED, U2 TRIP CURVE, 1POLE, 4A</v>
      </c>
      <c r="E23" s="269"/>
      <c r="F23" s="112" t="str">
        <f>VLOOKUP(C23,Purchased!A:Q,9,0)</f>
        <v>CBI</v>
      </c>
      <c r="G23" s="112" t="str">
        <f>VLOOKUP(C23,Purchased!A:Q,10,0)</f>
        <v>CRAVE</v>
      </c>
      <c r="H23" s="112">
        <f>VLOOKUP(C23,Purchased!A:Q,12,0)</f>
        <v>0</v>
      </c>
      <c r="I23" s="113"/>
      <c r="J23" s="44">
        <f>VLOOKUP(C23,Purchased!A:Q,13,0)</f>
        <v>0</v>
      </c>
      <c r="K23" s="44">
        <f>VLOOKUP(C23,Purchased!A:Q,14,0)</f>
        <v>0</v>
      </c>
      <c r="L23" s="44">
        <f>VLOOKUP(C23,Purchased!A:Q,15,0)</f>
        <v>0</v>
      </c>
      <c r="M23" s="44">
        <f>VLOOKUP(C23,Purchased!A:Q,16,0)</f>
        <v>0</v>
      </c>
      <c r="N23" s="45">
        <f>VLOOKUP(C23,Purchased!A:Q,17,0)</f>
        <v>0</v>
      </c>
      <c r="O23" s="45" t="e">
        <f t="shared" ref="O23:O63" ca="1" si="5">B23*$L$2</f>
        <v>#VALUE!</v>
      </c>
      <c r="P23" s="49">
        <f>IFERROR(VLOOKUP(C23,Purchased!A:E,3,FALSE),"")</f>
        <v>0</v>
      </c>
      <c r="Q23" s="50">
        <f t="shared" ref="Q23:Q63" si="6">IFERROR(B23*P23,"")</f>
        <v>0</v>
      </c>
    </row>
    <row r="24" spans="1:17" s="2" customFormat="1" ht="12" customHeight="1">
      <c r="A24" s="4">
        <f t="shared" si="2"/>
        <v>320</v>
      </c>
      <c r="B24" s="170">
        <v>1700</v>
      </c>
      <c r="C24" s="114" t="s">
        <v>146</v>
      </c>
      <c r="D24" s="268" t="str">
        <f>VLOOKUP(C24,Purchased!A:B,2,0)</f>
        <v>Narrow Slot Wiring Duct, 25mm x 75mm</v>
      </c>
      <c r="E24" s="269"/>
      <c r="F24" s="112" t="str">
        <f>VLOOKUP(C24,Purchased!A:Q,9,0)</f>
        <v>PANDUIT</v>
      </c>
      <c r="G24" s="112" t="str">
        <f>VLOOKUP(C24,Purchased!A:Q,10,0)</f>
        <v>CRAVE</v>
      </c>
      <c r="H24" s="112">
        <f>VLOOKUP(C24,Purchased!A:Q,12,0)</f>
        <v>0</v>
      </c>
      <c r="I24" s="113"/>
      <c r="J24" s="44">
        <f>VLOOKUP(C24,Purchased!A:Q,13,0)</f>
        <v>0</v>
      </c>
      <c r="K24" s="44">
        <f>VLOOKUP(C24,Purchased!A:Q,14,0)</f>
        <v>0</v>
      </c>
      <c r="L24" s="44">
        <f>VLOOKUP(C24,Purchased!A:Q,15,0)</f>
        <v>0</v>
      </c>
      <c r="M24" s="44">
        <f>VLOOKUP(C24,Purchased!A:Q,16,0)</f>
        <v>0</v>
      </c>
      <c r="N24" s="45">
        <f>VLOOKUP(C24,Purchased!A:Q,17,0)</f>
        <v>0</v>
      </c>
      <c r="O24" s="45" t="e">
        <f t="shared" ca="1" si="5"/>
        <v>#VALUE!</v>
      </c>
      <c r="P24" s="49">
        <f>IFERROR(VLOOKUP(C24,Purchased!A:E,3,FALSE),"")</f>
        <v>0</v>
      </c>
      <c r="Q24" s="50">
        <f t="shared" si="6"/>
        <v>0</v>
      </c>
    </row>
    <row r="25" spans="1:17" s="2" customFormat="1" ht="12" customHeight="1">
      <c r="A25" s="4">
        <f t="shared" si="2"/>
        <v>321</v>
      </c>
      <c r="B25" s="170">
        <v>1700</v>
      </c>
      <c r="C25" s="114" t="s">
        <v>147</v>
      </c>
      <c r="D25" s="268" t="str">
        <f>VLOOKUP(C25,Purchased!A:B,2,0)</f>
        <v>Duct cover, 25mm</v>
      </c>
      <c r="E25" s="269"/>
      <c r="F25" s="112" t="str">
        <f>VLOOKUP(C25,Purchased!A:Q,9,0)</f>
        <v>PANDUIT</v>
      </c>
      <c r="G25" s="112" t="str">
        <f>VLOOKUP(C25,Purchased!A:Q,10,0)</f>
        <v>CRAVE</v>
      </c>
      <c r="H25" s="112">
        <f>VLOOKUP(C25,Purchased!A:Q,12,0)</f>
        <v>0</v>
      </c>
      <c r="I25" s="113"/>
      <c r="J25" s="44">
        <f>VLOOKUP(C25,Purchased!A:Q,13,0)</f>
        <v>0</v>
      </c>
      <c r="K25" s="44">
        <f>VLOOKUP(C25,Purchased!A:Q,14,0)</f>
        <v>0</v>
      </c>
      <c r="L25" s="44">
        <f>VLOOKUP(C25,Purchased!A:Q,15,0)</f>
        <v>0</v>
      </c>
      <c r="M25" s="44">
        <f>VLOOKUP(C25,Purchased!A:Q,16,0)</f>
        <v>0</v>
      </c>
      <c r="N25" s="45">
        <f>VLOOKUP(C25,Purchased!A:Q,17,0)</f>
        <v>0</v>
      </c>
      <c r="O25" s="45" t="e">
        <f t="shared" ca="1" si="5"/>
        <v>#VALUE!</v>
      </c>
      <c r="P25" s="49">
        <f>IFERROR(VLOOKUP(C25,Purchased!A:E,3,FALSE),"")</f>
        <v>0</v>
      </c>
      <c r="Q25" s="50">
        <f t="shared" si="6"/>
        <v>0</v>
      </c>
    </row>
    <row r="26" spans="1:17" s="2" customFormat="1" ht="12" customHeight="1">
      <c r="A26" s="4">
        <f t="shared" si="2"/>
        <v>322</v>
      </c>
      <c r="B26" s="170">
        <v>1</v>
      </c>
      <c r="C26" s="114">
        <v>2903155</v>
      </c>
      <c r="D26" s="268" t="str">
        <f>VLOOKUP(C26,Purchased!A:B,2,0)</f>
        <v>TRIO-PS-2G/3AC/24DC/20 - Power supply unit</v>
      </c>
      <c r="E26" s="269"/>
      <c r="F26" s="112" t="str">
        <f>VLOOKUP(C26,Purchased!A:Q,9,0)</f>
        <v>PHOENIX CONTACT</v>
      </c>
      <c r="G26" s="112" t="str">
        <f>VLOOKUP(C26,Purchased!A:Q,10,0)</f>
        <v>CRAVE</v>
      </c>
      <c r="H26" s="112">
        <f>VLOOKUP(C26,Purchased!A:Q,12,0)</f>
        <v>0</v>
      </c>
      <c r="I26" s="113"/>
      <c r="J26" s="44">
        <f>VLOOKUP(C26,Purchased!A:Q,13,0)</f>
        <v>0</v>
      </c>
      <c r="K26" s="44">
        <f>VLOOKUP(C26,Purchased!A:Q,14,0)</f>
        <v>0</v>
      </c>
      <c r="L26" s="44">
        <f>VLOOKUP(C26,Purchased!A:Q,15,0)</f>
        <v>0</v>
      </c>
      <c r="M26" s="44">
        <f>VLOOKUP(C26,Purchased!A:Q,16,0)</f>
        <v>0</v>
      </c>
      <c r="N26" s="45">
        <f>VLOOKUP(C26,Purchased!A:Q,17,0)</f>
        <v>0</v>
      </c>
      <c r="O26" s="45" t="e">
        <f t="shared" ca="1" si="5"/>
        <v>#VALUE!</v>
      </c>
      <c r="P26" s="49">
        <f>IFERROR(VLOOKUP(C26,Purchased!A:E,3,FALSE),"")</f>
        <v>0</v>
      </c>
      <c r="Q26" s="50">
        <f t="shared" si="6"/>
        <v>0</v>
      </c>
    </row>
    <row r="27" spans="1:17" s="2" customFormat="1" ht="12" customHeight="1">
      <c r="A27" s="4">
        <f t="shared" si="2"/>
        <v>323</v>
      </c>
      <c r="B27" s="170">
        <v>8</v>
      </c>
      <c r="C27" s="114">
        <v>3022276</v>
      </c>
      <c r="D27" s="268" t="str">
        <f>VLOOKUP(C27,Purchased!A:B,2,0)</f>
        <v>CLIPFIX 35-5 - End clamp</v>
      </c>
      <c r="E27" s="269"/>
      <c r="F27" s="112" t="str">
        <f>VLOOKUP(C27,Purchased!A:Q,9,0)</f>
        <v>PHOENIX CONTACT</v>
      </c>
      <c r="G27" s="112" t="str">
        <f>VLOOKUP(C27,Purchased!A:Q,10,0)</f>
        <v>CRAVE</v>
      </c>
      <c r="H27" s="112">
        <f>VLOOKUP(C27,Purchased!A:Q,12,0)</f>
        <v>0</v>
      </c>
      <c r="I27" s="113"/>
      <c r="J27" s="44">
        <f>VLOOKUP(C27,Purchased!A:Q,13,0)</f>
        <v>0</v>
      </c>
      <c r="K27" s="44">
        <f>VLOOKUP(C27,Purchased!A:Q,14,0)</f>
        <v>0</v>
      </c>
      <c r="L27" s="44">
        <f>VLOOKUP(C27,Purchased!A:Q,15,0)</f>
        <v>0</v>
      </c>
      <c r="M27" s="44">
        <f>VLOOKUP(C27,Purchased!A:Q,16,0)</f>
        <v>0</v>
      </c>
      <c r="N27" s="45">
        <f>VLOOKUP(C27,Purchased!A:Q,17,0)</f>
        <v>0</v>
      </c>
      <c r="O27" s="45" t="e">
        <f t="shared" ca="1" si="5"/>
        <v>#VALUE!</v>
      </c>
      <c r="P27" s="49">
        <f>IFERROR(VLOOKUP(C27,Purchased!A:E,3,FALSE),"")</f>
        <v>0</v>
      </c>
      <c r="Q27" s="50">
        <f t="shared" si="6"/>
        <v>0</v>
      </c>
    </row>
    <row r="28" spans="1:17" s="2" customFormat="1" ht="12" customHeight="1">
      <c r="A28" s="4">
        <f t="shared" si="2"/>
        <v>324</v>
      </c>
      <c r="B28" s="170">
        <v>3</v>
      </c>
      <c r="C28" s="114">
        <v>3208979</v>
      </c>
      <c r="D28" s="268" t="str">
        <f>VLOOKUP(C28,Purchased!A:B,2,0)</f>
        <v>D-PT 4-QUATTRO; END COVER, GY</v>
      </c>
      <c r="E28" s="269"/>
      <c r="F28" s="112" t="str">
        <f>VLOOKUP(C28,Purchased!A:Q,9,0)</f>
        <v>PHOENIX CONTACT</v>
      </c>
      <c r="G28" s="112" t="str">
        <f>VLOOKUP(C28,Purchased!A:Q,10,0)</f>
        <v>CRAVE</v>
      </c>
      <c r="H28" s="112">
        <f>VLOOKUP(C28,Purchased!A:Q,12,0)</f>
        <v>0</v>
      </c>
      <c r="I28" s="113"/>
      <c r="J28" s="44">
        <f>VLOOKUP(C28,Purchased!A:Q,13,0)</f>
        <v>0</v>
      </c>
      <c r="K28" s="44">
        <f>VLOOKUP(C28,Purchased!A:Q,14,0)</f>
        <v>0</v>
      </c>
      <c r="L28" s="44">
        <f>VLOOKUP(C28,Purchased!A:Q,15,0)</f>
        <v>0</v>
      </c>
      <c r="M28" s="44">
        <f>VLOOKUP(C28,Purchased!A:Q,16,0)</f>
        <v>0</v>
      </c>
      <c r="N28" s="45">
        <f>VLOOKUP(C28,Purchased!A:Q,17,0)</f>
        <v>0</v>
      </c>
      <c r="O28" s="45" t="e">
        <f t="shared" ca="1" si="5"/>
        <v>#VALUE!</v>
      </c>
      <c r="P28" s="49">
        <f>IFERROR(VLOOKUP(C28,Purchased!A:E,3,FALSE),"")</f>
        <v>0</v>
      </c>
      <c r="Q28" s="50">
        <f t="shared" si="6"/>
        <v>0</v>
      </c>
    </row>
    <row r="29" spans="1:17" s="2" customFormat="1" ht="12" customHeight="1">
      <c r="A29" s="4">
        <f t="shared" si="2"/>
        <v>325</v>
      </c>
      <c r="B29" s="170">
        <v>2</v>
      </c>
      <c r="C29" s="114">
        <v>3209581</v>
      </c>
      <c r="D29" s="268" t="str">
        <f>VLOOKUP(C29,Purchased!A:B,2,0)</f>
        <v>Feed-through terminal block - PT 2,5-QUATTRO BU</v>
      </c>
      <c r="E29" s="269"/>
      <c r="F29" s="112" t="str">
        <f>VLOOKUP(C29,Purchased!A:Q,9,0)</f>
        <v>PHOENIX CONTACT</v>
      </c>
      <c r="G29" s="112" t="str">
        <f>VLOOKUP(C29,Purchased!A:Q,10,0)</f>
        <v>CRAVE</v>
      </c>
      <c r="H29" s="112">
        <f>VLOOKUP(C29,Purchased!A:Q,12,0)</f>
        <v>0</v>
      </c>
      <c r="I29" s="113"/>
      <c r="J29" s="44">
        <f>VLOOKUP(C29,Purchased!A:Q,13,0)</f>
        <v>0</v>
      </c>
      <c r="K29" s="44">
        <f>VLOOKUP(C29,Purchased!A:Q,14,0)</f>
        <v>0</v>
      </c>
      <c r="L29" s="44">
        <f>VLOOKUP(C29,Purchased!A:Q,15,0)</f>
        <v>0</v>
      </c>
      <c r="M29" s="44">
        <f>VLOOKUP(C29,Purchased!A:Q,16,0)</f>
        <v>0</v>
      </c>
      <c r="N29" s="45">
        <f>VLOOKUP(C29,Purchased!A:Q,17,0)</f>
        <v>0</v>
      </c>
      <c r="O29" s="45" t="e">
        <f t="shared" ca="1" si="5"/>
        <v>#VALUE!</v>
      </c>
      <c r="P29" s="49">
        <f>IFERROR(VLOOKUP(C29,Purchased!A:E,3,FALSE),"")</f>
        <v>0</v>
      </c>
      <c r="Q29" s="50">
        <f t="shared" si="6"/>
        <v>0</v>
      </c>
    </row>
    <row r="30" spans="1:17" s="2" customFormat="1" ht="12" customHeight="1">
      <c r="A30" s="4">
        <f t="shared" si="2"/>
        <v>326</v>
      </c>
      <c r="B30" s="170">
        <v>6</v>
      </c>
      <c r="C30" s="114">
        <v>3211797</v>
      </c>
      <c r="D30" s="268" t="str">
        <f>VLOOKUP(C30,Purchased!A:B,2,0)</f>
        <v>PT 4-QUATTRO; Feed-through terminal block, 32A, 24..10AWG, GY</v>
      </c>
      <c r="E30" s="269"/>
      <c r="F30" s="112" t="str">
        <f>VLOOKUP(C30,Purchased!A:Q,9,0)</f>
        <v>PHOENIX CONTACT</v>
      </c>
      <c r="G30" s="112" t="str">
        <f>VLOOKUP(C30,Purchased!A:Q,10,0)</f>
        <v>CRAVE</v>
      </c>
      <c r="H30" s="112">
        <f>VLOOKUP(C30,Purchased!A:Q,12,0)</f>
        <v>0</v>
      </c>
      <c r="I30" s="113"/>
      <c r="J30" s="44">
        <f>VLOOKUP(C30,Purchased!A:Q,13,0)</f>
        <v>0</v>
      </c>
      <c r="K30" s="44">
        <f>VLOOKUP(C30,Purchased!A:Q,14,0)</f>
        <v>0</v>
      </c>
      <c r="L30" s="44">
        <f>VLOOKUP(C30,Purchased!A:Q,15,0)</f>
        <v>0</v>
      </c>
      <c r="M30" s="44">
        <f>VLOOKUP(C30,Purchased!A:Q,16,0)</f>
        <v>0</v>
      </c>
      <c r="N30" s="45">
        <f>VLOOKUP(C30,Purchased!A:Q,17,0)</f>
        <v>0</v>
      </c>
      <c r="O30" s="45" t="e">
        <f t="shared" ca="1" si="5"/>
        <v>#VALUE!</v>
      </c>
      <c r="P30" s="49">
        <f>IFERROR(VLOOKUP(C30,Purchased!A:E,3,FALSE),"")</f>
        <v>0</v>
      </c>
      <c r="Q30" s="50">
        <f t="shared" si="6"/>
        <v>0</v>
      </c>
    </row>
    <row r="31" spans="1:17" s="2" customFormat="1" ht="12" customHeight="1">
      <c r="A31" s="4">
        <f t="shared" si="2"/>
        <v>327</v>
      </c>
      <c r="B31" s="170">
        <v>3</v>
      </c>
      <c r="C31" s="114">
        <v>3270145</v>
      </c>
      <c r="D31" s="268" t="str">
        <f>VLOOKUP(C31,Purchased!A:B,2,0)</f>
        <v>Potential distributors - PTRV 8-PV /BU, 32 POSITION, 26-14AWG, 10A</v>
      </c>
      <c r="E31" s="269"/>
      <c r="F31" s="112" t="str">
        <f>VLOOKUP(C31,Purchased!A:Q,9,0)</f>
        <v>PHOENIX CONTACT</v>
      </c>
      <c r="G31" s="112" t="str">
        <f>VLOOKUP(C31,Purchased!A:Q,10,0)</f>
        <v>CRAVE</v>
      </c>
      <c r="H31" s="112">
        <f>VLOOKUP(C31,Purchased!A:Q,12,0)</f>
        <v>0</v>
      </c>
      <c r="I31" s="113"/>
      <c r="J31" s="44">
        <f>VLOOKUP(C31,Purchased!A:Q,13,0)</f>
        <v>0</v>
      </c>
      <c r="K31" s="44">
        <f>VLOOKUP(C31,Purchased!A:Q,14,0)</f>
        <v>0</v>
      </c>
      <c r="L31" s="44">
        <f>VLOOKUP(C31,Purchased!A:Q,15,0)</f>
        <v>0</v>
      </c>
      <c r="M31" s="44">
        <f>VLOOKUP(C31,Purchased!A:Q,16,0)</f>
        <v>0</v>
      </c>
      <c r="N31" s="45">
        <f>VLOOKUP(C31,Purchased!A:Q,17,0)</f>
        <v>0</v>
      </c>
      <c r="O31" s="45" t="e">
        <f t="shared" ca="1" si="5"/>
        <v>#VALUE!</v>
      </c>
      <c r="P31" s="49">
        <f>IFERROR(VLOOKUP(C31,Purchased!A:E,3,FALSE),"")</f>
        <v>0</v>
      </c>
      <c r="Q31" s="50">
        <f t="shared" si="6"/>
        <v>0</v>
      </c>
    </row>
    <row r="32" spans="1:17" s="2" customFormat="1" ht="12" customHeight="1">
      <c r="A32" s="4">
        <f t="shared" si="2"/>
        <v>328</v>
      </c>
      <c r="B32" s="170">
        <v>2</v>
      </c>
      <c r="C32" s="114">
        <v>3270154</v>
      </c>
      <c r="D32" s="268" t="str">
        <f>VLOOKUP(C32,Purchased!A:B,2,0)</f>
        <v>D-PTRV 8 WH 1-8, SEPARATING PLATE FOR 32 POS MARSHALLING TERMINAL BLOCK</v>
      </c>
      <c r="E32" s="269"/>
      <c r="F32" s="112" t="str">
        <f>VLOOKUP(C32,Purchased!A:Q,9,0)</f>
        <v>PHOENIX CONTACT</v>
      </c>
      <c r="G32" s="112" t="str">
        <f>VLOOKUP(C32,Purchased!A:Q,10,0)</f>
        <v>CRAVE</v>
      </c>
      <c r="H32" s="112">
        <f>VLOOKUP(C32,Purchased!A:Q,12,0)</f>
        <v>0</v>
      </c>
      <c r="I32" s="113"/>
      <c r="J32" s="44">
        <f>VLOOKUP(C32,Purchased!A:Q,13,0)</f>
        <v>0</v>
      </c>
      <c r="K32" s="44">
        <f>VLOOKUP(C32,Purchased!A:Q,14,0)</f>
        <v>0</v>
      </c>
      <c r="L32" s="44">
        <f>VLOOKUP(C32,Purchased!A:Q,15,0)</f>
        <v>0</v>
      </c>
      <c r="M32" s="44">
        <f>VLOOKUP(C32,Purchased!A:Q,16,0)</f>
        <v>0</v>
      </c>
      <c r="N32" s="45">
        <f>VLOOKUP(C32,Purchased!A:Q,17,0)</f>
        <v>0</v>
      </c>
      <c r="O32" s="45" t="e">
        <f t="shared" ca="1" si="5"/>
        <v>#VALUE!</v>
      </c>
      <c r="P32" s="49">
        <f>IFERROR(VLOOKUP(C32,Purchased!A:E,3,FALSE),"")</f>
        <v>0</v>
      </c>
      <c r="Q32" s="50">
        <f t="shared" si="6"/>
        <v>0</v>
      </c>
    </row>
    <row r="33" spans="1:17" s="2" customFormat="1" ht="12" customHeight="1">
      <c r="A33" s="4">
        <f t="shared" si="2"/>
        <v>329</v>
      </c>
      <c r="B33" s="170">
        <v>1</v>
      </c>
      <c r="C33" s="114" t="s">
        <v>148</v>
      </c>
      <c r="D33" s="268" t="str">
        <f>VLOOKUP(C33,Purchased!A:B,2,0)</f>
        <v>EMC/RFI FILTER, 3-PHASE, 10A LINE FILTER, PANEL MOUNT</v>
      </c>
      <c r="E33" s="269"/>
      <c r="F33" s="112" t="str">
        <f>VLOOKUP(C33,Purchased!A:Q,9,0)</f>
        <v>SCHAFFNER</v>
      </c>
      <c r="G33" s="112" t="str">
        <f>VLOOKUP(C33,Purchased!A:Q,10,0)</f>
        <v>CRAVE</v>
      </c>
      <c r="H33" s="112">
        <f>VLOOKUP(C33,Purchased!A:Q,12,0)</f>
        <v>0</v>
      </c>
      <c r="I33" s="113"/>
      <c r="J33" s="44">
        <f>VLOOKUP(C33,Purchased!A:Q,13,0)</f>
        <v>0</v>
      </c>
      <c r="K33" s="44">
        <f>VLOOKUP(C33,Purchased!A:Q,14,0)</f>
        <v>0</v>
      </c>
      <c r="L33" s="44">
        <f>VLOOKUP(C33,Purchased!A:Q,15,0)</f>
        <v>0</v>
      </c>
      <c r="M33" s="44">
        <f>VLOOKUP(C33,Purchased!A:Q,16,0)</f>
        <v>0</v>
      </c>
      <c r="N33" s="45">
        <f>VLOOKUP(C33,Purchased!A:Q,17,0)</f>
        <v>0</v>
      </c>
      <c r="O33" s="45" t="e">
        <f t="shared" ca="1" si="5"/>
        <v>#VALUE!</v>
      </c>
      <c r="P33" s="49">
        <f>IFERROR(VLOOKUP(C33,Purchased!A:E,3,FALSE),"")</f>
        <v>0</v>
      </c>
      <c r="Q33" s="50">
        <f t="shared" si="6"/>
        <v>0</v>
      </c>
    </row>
    <row r="34" spans="1:17" s="2" customFormat="1" ht="12" customHeight="1">
      <c r="A34" s="4">
        <f t="shared" si="2"/>
        <v>330</v>
      </c>
      <c r="B34" s="170">
        <v>1</v>
      </c>
      <c r="C34" s="114">
        <v>1085343</v>
      </c>
      <c r="D34" s="268" t="str">
        <f>VLOOKUP(C34,Purchased!A:B,2,0)</f>
        <v>SAFETY RELAY, RLY3-OSSD1, 2 CHANNEL INPUTS W/EDM</v>
      </c>
      <c r="E34" s="269"/>
      <c r="F34" s="112" t="str">
        <f>VLOOKUP(C34,Purchased!A:Q,9,0)</f>
        <v>SICK</v>
      </c>
      <c r="G34" s="112" t="str">
        <f>VLOOKUP(C34,Purchased!A:Q,10,0)</f>
        <v>CRAVE</v>
      </c>
      <c r="H34" s="112">
        <f>VLOOKUP(C34,Purchased!A:Q,12,0)</f>
        <v>0</v>
      </c>
      <c r="I34" s="113"/>
      <c r="J34" s="44">
        <f>VLOOKUP(C34,Purchased!A:Q,13,0)</f>
        <v>0</v>
      </c>
      <c r="K34" s="44">
        <f>VLOOKUP(C34,Purchased!A:Q,14,0)</f>
        <v>0</v>
      </c>
      <c r="L34" s="44">
        <f>VLOOKUP(C34,Purchased!A:Q,15,0)</f>
        <v>0</v>
      </c>
      <c r="M34" s="44">
        <f>VLOOKUP(C34,Purchased!A:Q,16,0)</f>
        <v>0</v>
      </c>
      <c r="N34" s="45">
        <f>VLOOKUP(C34,Purchased!A:Q,17,0)</f>
        <v>0</v>
      </c>
      <c r="O34" s="45" t="e">
        <f t="shared" ca="1" si="5"/>
        <v>#VALUE!</v>
      </c>
      <c r="P34" s="49">
        <f>IFERROR(VLOOKUP(C34,Purchased!A:E,3,FALSE),"")</f>
        <v>0</v>
      </c>
      <c r="Q34" s="50">
        <f t="shared" si="6"/>
        <v>0</v>
      </c>
    </row>
    <row r="35" spans="1:17" s="2" customFormat="1" ht="12" customHeight="1">
      <c r="A35" s="4">
        <f t="shared" si="2"/>
        <v>331</v>
      </c>
      <c r="B35" s="170">
        <v>1</v>
      </c>
      <c r="C35" s="114" t="s">
        <v>127</v>
      </c>
      <c r="D35" s="268" t="str">
        <f>VLOOKUP(C35,Purchased!A:B,2,0)</f>
        <v>Sick panel mount E-Stop</v>
      </c>
      <c r="E35" s="269"/>
      <c r="F35" s="112" t="str">
        <f>VLOOKUP(C35,Purchased!A:Q,9,0)</f>
        <v>Sick</v>
      </c>
      <c r="G35" s="112" t="str">
        <f>VLOOKUP(C35,Purchased!A:Q,10,0)</f>
        <v>CRAVE</v>
      </c>
      <c r="H35" s="112" t="str">
        <f>VLOOKUP(C35,Purchased!A:Q,12,0)</f>
        <v>Provided by CRAVE</v>
      </c>
      <c r="I35" s="113"/>
      <c r="J35" s="44" t="str">
        <f>VLOOKUP(C35,Purchased!A:Q,13,0)</f>
        <v>N/A</v>
      </c>
      <c r="K35" s="44" t="str">
        <f>VLOOKUP(C35,Purchased!A:Q,14,0)</f>
        <v>N/A</v>
      </c>
      <c r="L35" s="44" t="str">
        <f>VLOOKUP(C35,Purchased!A:Q,15,0)</f>
        <v>N/A</v>
      </c>
      <c r="M35" s="44" t="str">
        <f>VLOOKUP(C35,Purchased!A:Q,16,0)</f>
        <v>N/A</v>
      </c>
      <c r="N35" s="45" t="str">
        <f>VLOOKUP(C35,Purchased!A:Q,17,0)</f>
        <v>N/A</v>
      </c>
      <c r="O35" s="45" t="e">
        <f t="shared" ca="1" si="5"/>
        <v>#VALUE!</v>
      </c>
      <c r="P35" s="49">
        <f>IFERROR(VLOOKUP(C35,Purchased!A:E,3,FALSE),"")</f>
        <v>0</v>
      </c>
      <c r="Q35" s="50">
        <f t="shared" si="6"/>
        <v>0</v>
      </c>
    </row>
    <row r="36" spans="1:17" s="2" customFormat="1" ht="12" customHeight="1">
      <c r="A36" s="4">
        <f t="shared" si="2"/>
        <v>332</v>
      </c>
      <c r="B36" s="170">
        <v>1</v>
      </c>
      <c r="C36" s="114" t="s">
        <v>149</v>
      </c>
      <c r="D36" s="268" t="str">
        <f>VLOOKUP(C36,Purchased!A:B,2,0)</f>
        <v>LEGEND PLATE</v>
      </c>
      <c r="E36" s="269"/>
      <c r="F36" s="112" t="str">
        <f>VLOOKUP(C36,Purchased!A:Q,9,0)</f>
        <v>CRAVE</v>
      </c>
      <c r="G36" s="112" t="str">
        <f>VLOOKUP(C36,Purchased!A:Q,10,0)</f>
        <v>CRAVE</v>
      </c>
      <c r="H36" s="112">
        <f>VLOOKUP(C36,Purchased!A:Q,12,0)</f>
        <v>0</v>
      </c>
      <c r="I36" s="113"/>
      <c r="J36" s="44">
        <f>VLOOKUP(C36,Purchased!A:Q,13,0)</f>
        <v>0</v>
      </c>
      <c r="K36" s="44">
        <f>VLOOKUP(C36,Purchased!A:Q,14,0)</f>
        <v>0</v>
      </c>
      <c r="L36" s="44">
        <f>VLOOKUP(C36,Purchased!A:Q,15,0)</f>
        <v>0</v>
      </c>
      <c r="M36" s="44">
        <f>VLOOKUP(C36,Purchased!A:Q,16,0)</f>
        <v>0</v>
      </c>
      <c r="N36" s="45">
        <f>VLOOKUP(C36,Purchased!A:Q,17,0)</f>
        <v>0</v>
      </c>
      <c r="O36" s="45" t="e">
        <f t="shared" ca="1" si="5"/>
        <v>#VALUE!</v>
      </c>
      <c r="P36" s="49">
        <f>IFERROR(VLOOKUP(C36,Purchased!A:E,3,FALSE),"")</f>
        <v>0</v>
      </c>
      <c r="Q36" s="50">
        <f t="shared" si="6"/>
        <v>0</v>
      </c>
    </row>
    <row r="37" spans="1:17" s="2" customFormat="1" ht="12" customHeight="1">
      <c r="A37" s="4">
        <f t="shared" si="2"/>
        <v>333</v>
      </c>
      <c r="B37" s="170">
        <v>2</v>
      </c>
      <c r="C37" s="114" t="s">
        <v>150</v>
      </c>
      <c r="D37" s="268" t="str">
        <f>VLOOKUP(C37,Purchased!A:B,2,0)</f>
        <v>CIRCUIT BREAKER, 80VDC RATED, U2 TRIP CURVE, 1POLE, 8A</v>
      </c>
      <c r="E37" s="269"/>
      <c r="F37" s="112" t="str">
        <f>VLOOKUP(C37,Purchased!A:Q,9,0)</f>
        <v>CBI</v>
      </c>
      <c r="G37" s="112" t="str">
        <f>VLOOKUP(C37,Purchased!A:Q,10,0)</f>
        <v>CRAVE</v>
      </c>
      <c r="H37" s="112">
        <f>VLOOKUP(C37,Purchased!A:Q,12,0)</f>
        <v>0</v>
      </c>
      <c r="I37" s="113"/>
      <c r="J37" s="44">
        <f>VLOOKUP(C37,Purchased!A:Q,13,0)</f>
        <v>0</v>
      </c>
      <c r="K37" s="44">
        <f>VLOOKUP(C37,Purchased!A:Q,14,0)</f>
        <v>0</v>
      </c>
      <c r="L37" s="44">
        <f>VLOOKUP(C37,Purchased!A:Q,15,0)</f>
        <v>0</v>
      </c>
      <c r="M37" s="44">
        <f>VLOOKUP(C37,Purchased!A:Q,16,0)</f>
        <v>0</v>
      </c>
      <c r="N37" s="45">
        <f>VLOOKUP(C37,Purchased!A:Q,17,0)</f>
        <v>0</v>
      </c>
      <c r="O37" s="45" t="e">
        <f t="shared" ca="1" si="5"/>
        <v>#VALUE!</v>
      </c>
      <c r="P37" s="49">
        <f>IFERROR(VLOOKUP(C37,Purchased!A:E,3,FALSE),"")</f>
        <v>0</v>
      </c>
      <c r="Q37" s="50">
        <f t="shared" si="6"/>
        <v>0</v>
      </c>
    </row>
    <row r="38" spans="1:17" s="2" customFormat="1" ht="12" customHeight="1">
      <c r="A38" s="4">
        <f t="shared" si="2"/>
        <v>334</v>
      </c>
      <c r="B38" s="170">
        <v>4</v>
      </c>
      <c r="C38" s="114" t="s">
        <v>151</v>
      </c>
      <c r="D38" s="268" t="str">
        <f>VLOOKUP(C38,Purchased!A:B,2,0)</f>
        <v>RELAY, 3PDT, B300 CONTACT RATING, 300V, 24VDC COIL, 10A SWITCH CURRENT</v>
      </c>
      <c r="E38" s="269"/>
      <c r="F38" s="112" t="str">
        <f>VLOOKUP(C38,Purchased!A:Q,9,0)</f>
        <v>EATON</v>
      </c>
      <c r="G38" s="112" t="str">
        <f>VLOOKUP(C38,Purchased!A:Q,10,0)</f>
        <v>CRAVE</v>
      </c>
      <c r="H38" s="112">
        <f>VLOOKUP(C38,Purchased!A:Q,12,0)</f>
        <v>0</v>
      </c>
      <c r="I38" s="113"/>
      <c r="J38" s="44">
        <f>VLOOKUP(C38,Purchased!A:Q,13,0)</f>
        <v>0</v>
      </c>
      <c r="K38" s="44">
        <f>VLOOKUP(C38,Purchased!A:Q,14,0)</f>
        <v>0</v>
      </c>
      <c r="L38" s="44">
        <f>VLOOKUP(C38,Purchased!A:Q,15,0)</f>
        <v>0</v>
      </c>
      <c r="M38" s="44">
        <f>VLOOKUP(C38,Purchased!A:Q,16,0)</f>
        <v>0</v>
      </c>
      <c r="N38" s="45">
        <f>VLOOKUP(C38,Purchased!A:Q,17,0)</f>
        <v>0</v>
      </c>
      <c r="O38" s="45" t="e">
        <f t="shared" ca="1" si="5"/>
        <v>#VALUE!</v>
      </c>
      <c r="P38" s="49">
        <f>IFERROR(VLOOKUP(C38,Purchased!A:E,3,FALSE),"")</f>
        <v>0</v>
      </c>
      <c r="Q38" s="50">
        <f t="shared" si="6"/>
        <v>0</v>
      </c>
    </row>
    <row r="39" spans="1:17" s="2" customFormat="1" ht="12" customHeight="1">
      <c r="A39" s="4">
        <f t="shared" si="2"/>
        <v>335</v>
      </c>
      <c r="B39" s="170">
        <v>4</v>
      </c>
      <c r="C39" s="114" t="s">
        <v>152</v>
      </c>
      <c r="D39" s="268" t="str">
        <f>VLOOKUP(C39,Purchased!A:B,2,0)</f>
        <v>PLUG-IN RELAY SOCKET, 3PDT</v>
      </c>
      <c r="E39" s="269"/>
      <c r="F39" s="112" t="str">
        <f>VLOOKUP(C39,Purchased!A:Q,9,0)</f>
        <v>EATON</v>
      </c>
      <c r="G39" s="112" t="str">
        <f>VLOOKUP(C39,Purchased!A:Q,10,0)</f>
        <v>CRAVE</v>
      </c>
      <c r="H39" s="112">
        <f>VLOOKUP(C39,Purchased!A:Q,12,0)</f>
        <v>0</v>
      </c>
      <c r="I39" s="113"/>
      <c r="J39" s="44">
        <f>VLOOKUP(C39,Purchased!A:Q,13,0)</f>
        <v>0</v>
      </c>
      <c r="K39" s="44">
        <f>VLOOKUP(C39,Purchased!A:Q,14,0)</f>
        <v>0</v>
      </c>
      <c r="L39" s="44">
        <f>VLOOKUP(C39,Purchased!A:Q,15,0)</f>
        <v>0</v>
      </c>
      <c r="M39" s="44">
        <f>VLOOKUP(C39,Purchased!A:Q,16,0)</f>
        <v>0</v>
      </c>
      <c r="N39" s="45">
        <f>VLOOKUP(C39,Purchased!A:Q,17,0)</f>
        <v>0</v>
      </c>
      <c r="O39" s="45" t="e">
        <f t="shared" ca="1" si="5"/>
        <v>#VALUE!</v>
      </c>
      <c r="P39" s="49">
        <f>IFERROR(VLOOKUP(C39,Purchased!A:E,3,FALSE),"")</f>
        <v>0</v>
      </c>
      <c r="Q39" s="50">
        <f t="shared" si="6"/>
        <v>0</v>
      </c>
    </row>
    <row r="40" spans="1:17" s="2" customFormat="1" ht="12" customHeight="1">
      <c r="A40" s="4">
        <f t="shared" si="2"/>
        <v>336</v>
      </c>
      <c r="B40" s="170">
        <v>4</v>
      </c>
      <c r="C40" s="114" t="s">
        <v>153</v>
      </c>
      <c r="D40" s="268" t="str">
        <f>VLOOKUP(C40,Purchased!A:B,2,0)</f>
        <v>PLUG-IN RELAY CLIP</v>
      </c>
      <c r="E40" s="269"/>
      <c r="F40" s="112" t="str">
        <f>VLOOKUP(C40,Purchased!A:Q,9,0)</f>
        <v>EATON</v>
      </c>
      <c r="G40" s="112" t="str">
        <f>VLOOKUP(C40,Purchased!A:Q,10,0)</f>
        <v>CRAVE</v>
      </c>
      <c r="H40" s="112">
        <f>VLOOKUP(C40,Purchased!A:Q,12,0)</f>
        <v>0</v>
      </c>
      <c r="I40" s="113"/>
      <c r="J40" s="44">
        <f>VLOOKUP(C40,Purchased!A:Q,13,0)</f>
        <v>0</v>
      </c>
      <c r="K40" s="44">
        <f>VLOOKUP(C40,Purchased!A:Q,14,0)</f>
        <v>0</v>
      </c>
      <c r="L40" s="44">
        <f>VLOOKUP(C40,Purchased!A:Q,15,0)</f>
        <v>0</v>
      </c>
      <c r="M40" s="44">
        <f>VLOOKUP(C40,Purchased!A:Q,16,0)</f>
        <v>0</v>
      </c>
      <c r="N40" s="45">
        <f>VLOOKUP(C40,Purchased!A:Q,17,0)</f>
        <v>0</v>
      </c>
      <c r="O40" s="45" t="e">
        <f t="shared" ca="1" si="5"/>
        <v>#VALUE!</v>
      </c>
      <c r="P40" s="49">
        <f>IFERROR(VLOOKUP(C40,Purchased!A:E,3,FALSE),"")</f>
        <v>0</v>
      </c>
      <c r="Q40" s="50">
        <f t="shared" si="6"/>
        <v>0</v>
      </c>
    </row>
    <row r="41" spans="1:17" s="2" customFormat="1" ht="12" customHeight="1">
      <c r="A41" s="4">
        <f t="shared" si="2"/>
        <v>337</v>
      </c>
      <c r="B41" s="170">
        <v>4</v>
      </c>
      <c r="C41" s="114" t="s">
        <v>154</v>
      </c>
      <c r="D41" s="268" t="str">
        <f>VLOOKUP(C41,Purchased!A:B,2,0)</f>
        <v>PLUG-IN RELAY PROTECTION DIODE, 6..250VDC</v>
      </c>
      <c r="E41" s="269"/>
      <c r="F41" s="112" t="str">
        <f>VLOOKUP(C41,Purchased!A:Q,9,0)</f>
        <v>EATON</v>
      </c>
      <c r="G41" s="112" t="str">
        <f>VLOOKUP(C41,Purchased!A:Q,10,0)</f>
        <v>CRAVE</v>
      </c>
      <c r="H41" s="112">
        <f>VLOOKUP(C41,Purchased!A:Q,12,0)</f>
        <v>0</v>
      </c>
      <c r="I41" s="113"/>
      <c r="J41" s="44">
        <f>VLOOKUP(C41,Purchased!A:Q,13,0)</f>
        <v>0</v>
      </c>
      <c r="K41" s="44">
        <f>VLOOKUP(C41,Purchased!A:Q,14,0)</f>
        <v>0</v>
      </c>
      <c r="L41" s="44">
        <f>VLOOKUP(C41,Purchased!A:Q,15,0)</f>
        <v>0</v>
      </c>
      <c r="M41" s="44">
        <f>VLOOKUP(C41,Purchased!A:Q,16,0)</f>
        <v>0</v>
      </c>
      <c r="N41" s="45">
        <f>VLOOKUP(C41,Purchased!A:Q,17,0)</f>
        <v>0</v>
      </c>
      <c r="O41" s="45" t="e">
        <f t="shared" ca="1" si="5"/>
        <v>#VALUE!</v>
      </c>
      <c r="P41" s="49">
        <f>IFERROR(VLOOKUP(C41,Purchased!A:E,3,FALSE),"")</f>
        <v>0</v>
      </c>
      <c r="Q41" s="50">
        <f t="shared" si="6"/>
        <v>0</v>
      </c>
    </row>
    <row r="42" spans="1:17" s="2" customFormat="1" ht="12" customHeight="1">
      <c r="A42" s="4">
        <f t="shared" si="2"/>
        <v>338</v>
      </c>
      <c r="B42" s="170">
        <v>1</v>
      </c>
      <c r="C42" s="114" t="s">
        <v>155</v>
      </c>
      <c r="D42" s="268" t="str">
        <f>VLOOKUP(C42,Purchased!A:B,2,0)</f>
        <v>MOMENTARY PUSH BUTTON, ILLUMINATED, GREEN LED, lNO CONTACT, 24VDC, NEMA 4</v>
      </c>
      <c r="E42" s="269"/>
      <c r="F42" s="112" t="str">
        <f>VLOOKUP(C42,Purchased!A:Q,9,0)</f>
        <v>EATON</v>
      </c>
      <c r="G42" s="112" t="str">
        <f>VLOOKUP(C42,Purchased!A:Q,10,0)</f>
        <v>CRAVE</v>
      </c>
      <c r="H42" s="112" t="str">
        <f>VLOOKUP(C42,Purchased!A:Q,12,0)</f>
        <v>Provided by CRAVE</v>
      </c>
      <c r="I42" s="113"/>
      <c r="J42" s="44" t="str">
        <f>VLOOKUP(C42,Purchased!A:Q,13,0)</f>
        <v>N/A</v>
      </c>
      <c r="K42" s="44" t="str">
        <f>VLOOKUP(C42,Purchased!A:Q,14,0)</f>
        <v>N/A</v>
      </c>
      <c r="L42" s="44" t="str">
        <f>VLOOKUP(C42,Purchased!A:Q,15,0)</f>
        <v>N/A</v>
      </c>
      <c r="M42" s="44" t="str">
        <f>VLOOKUP(C42,Purchased!A:Q,16,0)</f>
        <v>N/A</v>
      </c>
      <c r="N42" s="45" t="str">
        <f>VLOOKUP(C42,Purchased!A:Q,17,0)</f>
        <v>N/A</v>
      </c>
      <c r="O42" s="45" t="e">
        <f t="shared" ca="1" si="5"/>
        <v>#VALUE!</v>
      </c>
      <c r="P42" s="49">
        <f>IFERROR(VLOOKUP(C42,Purchased!A:E,3,FALSE),"")</f>
        <v>0</v>
      </c>
      <c r="Q42" s="50">
        <f t="shared" si="6"/>
        <v>0</v>
      </c>
    </row>
    <row r="43" spans="1:17" s="2" customFormat="1" ht="12" customHeight="1">
      <c r="A43" s="4">
        <f t="shared" si="2"/>
        <v>339</v>
      </c>
      <c r="B43" s="170">
        <v>1</v>
      </c>
      <c r="C43" s="114" t="s">
        <v>156</v>
      </c>
      <c r="D43" s="268" t="str">
        <f>VLOOKUP(C43,Purchased!A:B,2,0)</f>
        <v>MOMENTARY PUSH BUTTON, ILLUMINATED, RED LED, lNO CONTACT, 24VDC, NEMA 4</v>
      </c>
      <c r="E43" s="269"/>
      <c r="F43" s="112" t="str">
        <f>VLOOKUP(C43,Purchased!A:Q,9,0)</f>
        <v>EATON</v>
      </c>
      <c r="G43" s="112" t="str">
        <f>VLOOKUP(C43,Purchased!A:Q,10,0)</f>
        <v>CRAVE</v>
      </c>
      <c r="H43" s="112" t="str">
        <f>VLOOKUP(C43,Purchased!A:Q,12,0)</f>
        <v>Provided by CRAVE</v>
      </c>
      <c r="I43" s="113"/>
      <c r="J43" s="44" t="str">
        <f>VLOOKUP(C43,Purchased!A:Q,13,0)</f>
        <v>N/A</v>
      </c>
      <c r="K43" s="44" t="str">
        <f>VLOOKUP(C43,Purchased!A:Q,14,0)</f>
        <v>N/A</v>
      </c>
      <c r="L43" s="44" t="str">
        <f>VLOOKUP(C43,Purchased!A:Q,15,0)</f>
        <v>N/A</v>
      </c>
      <c r="M43" s="44" t="str">
        <f>VLOOKUP(C43,Purchased!A:Q,16,0)</f>
        <v>N/A</v>
      </c>
      <c r="N43" s="45" t="str">
        <f>VLOOKUP(C43,Purchased!A:Q,17,0)</f>
        <v>N/A</v>
      </c>
      <c r="O43" s="45" t="e">
        <f t="shared" ca="1" si="5"/>
        <v>#VALUE!</v>
      </c>
      <c r="P43" s="49">
        <f>IFERROR(VLOOKUP(C43,Purchased!A:E,3,FALSE),"")</f>
        <v>0</v>
      </c>
      <c r="Q43" s="50">
        <f t="shared" si="6"/>
        <v>0</v>
      </c>
    </row>
    <row r="44" spans="1:17" s="2" customFormat="1" ht="12" customHeight="1">
      <c r="A44" s="4">
        <f t="shared" si="2"/>
        <v>340</v>
      </c>
      <c r="B44" s="170">
        <v>1</v>
      </c>
      <c r="C44" s="114" t="s">
        <v>157</v>
      </c>
      <c r="D44" s="268" t="str">
        <f>VLOOKUP(C44,Purchased!A:B,2,0)</f>
        <v>DISCONNECT SWITCH, FUSIBLE, 3-POLE, TYPE CC FUSES, 30A MAXIMUM RATING, 100KA SCCR</v>
      </c>
      <c r="E44" s="269"/>
      <c r="F44" s="112" t="str">
        <f>VLOOKUP(C44,Purchased!A:Q,9,0)</f>
        <v>EATON</v>
      </c>
      <c r="G44" s="112" t="str">
        <f>VLOOKUP(C44,Purchased!A:Q,10,0)</f>
        <v>CRAVE</v>
      </c>
      <c r="H44" s="112">
        <f>VLOOKUP(C44,Purchased!A:Q,12,0)</f>
        <v>0</v>
      </c>
      <c r="I44" s="113"/>
      <c r="J44" s="44">
        <f>VLOOKUP(C44,Purchased!A:Q,13,0)</f>
        <v>0</v>
      </c>
      <c r="K44" s="44">
        <f>VLOOKUP(C44,Purchased!A:Q,14,0)</f>
        <v>0</v>
      </c>
      <c r="L44" s="44">
        <f>VLOOKUP(C44,Purchased!A:Q,15,0)</f>
        <v>0</v>
      </c>
      <c r="M44" s="44">
        <f>VLOOKUP(C44,Purchased!A:Q,16,0)</f>
        <v>0</v>
      </c>
      <c r="N44" s="45">
        <f>VLOOKUP(C44,Purchased!A:Q,17,0)</f>
        <v>0</v>
      </c>
      <c r="O44" s="45" t="e">
        <f t="shared" ca="1" si="5"/>
        <v>#VALUE!</v>
      </c>
      <c r="P44" s="49">
        <f>IFERROR(VLOOKUP(C44,Purchased!A:E,3,FALSE),"")</f>
        <v>0</v>
      </c>
      <c r="Q44" s="50">
        <f t="shared" si="6"/>
        <v>0</v>
      </c>
    </row>
    <row r="45" spans="1:17" s="2" customFormat="1" ht="12" customHeight="1">
      <c r="A45" s="4">
        <f t="shared" si="2"/>
        <v>341</v>
      </c>
      <c r="B45" s="170">
        <v>1</v>
      </c>
      <c r="C45" s="114" t="s">
        <v>158</v>
      </c>
      <c r="D45" s="268" t="str">
        <f>VLOOKUP(C45,Purchased!A:B,2,0)</f>
        <v>SHAFT EXTENSTION, FOR PISTOL HANDLE, 400MM, FOR USE WITH PH1 HANDLES</v>
      </c>
      <c r="E45" s="269"/>
      <c r="F45" s="112" t="str">
        <f>VLOOKUP(C45,Purchased!A:Q,9,0)</f>
        <v>EATON</v>
      </c>
      <c r="G45" s="112" t="str">
        <f>VLOOKUP(C45,Purchased!A:Q,10,0)</f>
        <v>CRAVE</v>
      </c>
      <c r="H45" s="112">
        <f>VLOOKUP(C45,Purchased!A:Q,12,0)</f>
        <v>0</v>
      </c>
      <c r="I45" s="113"/>
      <c r="J45" s="44">
        <f>VLOOKUP(C45,Purchased!A:Q,13,0)</f>
        <v>0</v>
      </c>
      <c r="K45" s="44">
        <f>VLOOKUP(C45,Purchased!A:Q,14,0)</f>
        <v>0</v>
      </c>
      <c r="L45" s="44">
        <f>VLOOKUP(C45,Purchased!A:Q,15,0)</f>
        <v>0</v>
      </c>
      <c r="M45" s="44">
        <f>VLOOKUP(C45,Purchased!A:Q,16,0)</f>
        <v>0</v>
      </c>
      <c r="N45" s="45">
        <f>VLOOKUP(C45,Purchased!A:Q,17,0)</f>
        <v>0</v>
      </c>
      <c r="O45" s="45" t="e">
        <f t="shared" ca="1" si="5"/>
        <v>#VALUE!</v>
      </c>
      <c r="P45" s="49">
        <f>IFERROR(VLOOKUP(C45,Purchased!A:E,3,FALSE),"")</f>
        <v>0</v>
      </c>
      <c r="Q45" s="50">
        <f t="shared" si="6"/>
        <v>0</v>
      </c>
    </row>
    <row r="46" spans="1:17" s="2" customFormat="1" ht="12" customHeight="1">
      <c r="A46" s="4">
        <f t="shared" si="2"/>
        <v>342</v>
      </c>
      <c r="B46" s="170">
        <v>1</v>
      </c>
      <c r="C46" s="114" t="s">
        <v>159</v>
      </c>
      <c r="D46" s="268" t="str">
        <f>VLOOKUP(C46,Purchased!A:B,2,0)</f>
        <v>DOOR KIT, FOR R9, H-FRAME DISCONNECTS</v>
      </c>
      <c r="E46" s="269"/>
      <c r="F46" s="112" t="str">
        <f>VLOOKUP(C46,Purchased!A:Q,9,0)</f>
        <v>EATON</v>
      </c>
      <c r="G46" s="112" t="str">
        <f>VLOOKUP(C46,Purchased!A:Q,10,0)</f>
        <v>CRAVE</v>
      </c>
      <c r="H46" s="112">
        <f>VLOOKUP(C46,Purchased!A:Q,12,0)</f>
        <v>0</v>
      </c>
      <c r="I46" s="113"/>
      <c r="J46" s="44">
        <f>VLOOKUP(C46,Purchased!A:Q,13,0)</f>
        <v>0</v>
      </c>
      <c r="K46" s="44">
        <f>VLOOKUP(C46,Purchased!A:Q,14,0)</f>
        <v>0</v>
      </c>
      <c r="L46" s="44">
        <f>VLOOKUP(C46,Purchased!A:Q,15,0)</f>
        <v>0</v>
      </c>
      <c r="M46" s="44">
        <f>VLOOKUP(C46,Purchased!A:Q,16,0)</f>
        <v>0</v>
      </c>
      <c r="N46" s="45">
        <f>VLOOKUP(C46,Purchased!A:Q,17,0)</f>
        <v>0</v>
      </c>
      <c r="O46" s="45" t="e">
        <f t="shared" ca="1" si="5"/>
        <v>#VALUE!</v>
      </c>
      <c r="P46" s="49">
        <f>IFERROR(VLOOKUP(C46,Purchased!A:E,3,FALSE),"")</f>
        <v>0</v>
      </c>
      <c r="Q46" s="50">
        <f t="shared" si="6"/>
        <v>0</v>
      </c>
    </row>
    <row r="47" spans="1:17" s="2" customFormat="1" ht="12" customHeight="1">
      <c r="A47" s="4">
        <f t="shared" si="2"/>
        <v>343</v>
      </c>
      <c r="B47" s="170">
        <v>3</v>
      </c>
      <c r="C47" s="114" t="s">
        <v>160</v>
      </c>
      <c r="D47" s="268" t="str">
        <f>VLOOKUP(C47,Purchased!A:B,2,0)</f>
        <v>FUSE, TYPE CC, TIME DELAY, 6A</v>
      </c>
      <c r="E47" s="269"/>
      <c r="F47" s="112" t="str">
        <f>VLOOKUP(C47,Purchased!A:Q,9,0)</f>
        <v>BUSSMANN</v>
      </c>
      <c r="G47" s="112" t="str">
        <f>VLOOKUP(C47,Purchased!A:Q,10,0)</f>
        <v>CRAVE</v>
      </c>
      <c r="H47" s="112">
        <f>VLOOKUP(C47,Purchased!A:Q,12,0)</f>
        <v>0</v>
      </c>
      <c r="I47" s="113"/>
      <c r="J47" s="44">
        <f>VLOOKUP(C47,Purchased!A:Q,13,0)</f>
        <v>0</v>
      </c>
      <c r="K47" s="44">
        <f>VLOOKUP(C47,Purchased!A:Q,14,0)</f>
        <v>0</v>
      </c>
      <c r="L47" s="44">
        <f>VLOOKUP(C47,Purchased!A:Q,15,0)</f>
        <v>0</v>
      </c>
      <c r="M47" s="44">
        <f>VLOOKUP(C47,Purchased!A:Q,16,0)</f>
        <v>0</v>
      </c>
      <c r="N47" s="45">
        <f>VLOOKUP(C47,Purchased!A:Q,17,0)</f>
        <v>0</v>
      </c>
      <c r="O47" s="45" t="e">
        <f t="shared" ca="1" si="5"/>
        <v>#VALUE!</v>
      </c>
      <c r="P47" s="49">
        <f>IFERROR(VLOOKUP(C47,Purchased!A:E,3,FALSE),"")</f>
        <v>0</v>
      </c>
      <c r="Q47" s="50">
        <f t="shared" si="6"/>
        <v>0</v>
      </c>
    </row>
    <row r="48" spans="1:17" s="2" customFormat="1" ht="12" customHeight="1">
      <c r="A48" s="4">
        <f t="shared" si="2"/>
        <v>344</v>
      </c>
      <c r="B48" s="170">
        <v>1</v>
      </c>
      <c r="C48" s="114" t="s">
        <v>161</v>
      </c>
      <c r="D48" s="268" t="str">
        <f>VLOOKUP(C48,Purchased!A:B,2,0)</f>
        <v>Disconnect switch Pistol Handle, Black, Padlockable and Defeatable, TYPE 1, 3R, and 12</v>
      </c>
      <c r="E48" s="269"/>
      <c r="F48" s="112" t="str">
        <f>VLOOKUP(C48,Purchased!A:Q,9,0)</f>
        <v>EATON</v>
      </c>
      <c r="G48" s="112" t="str">
        <f>VLOOKUP(C48,Purchased!A:Q,10,0)</f>
        <v>CRAVE</v>
      </c>
      <c r="H48" s="112">
        <f>VLOOKUP(C48,Purchased!A:Q,12,0)</f>
        <v>0</v>
      </c>
      <c r="I48" s="113"/>
      <c r="J48" s="44">
        <f>VLOOKUP(C48,Purchased!A:Q,13,0)</f>
        <v>0</v>
      </c>
      <c r="K48" s="44">
        <f>VLOOKUP(C48,Purchased!A:Q,14,0)</f>
        <v>0</v>
      </c>
      <c r="L48" s="44">
        <f>VLOOKUP(C48,Purchased!A:Q,15,0)</f>
        <v>0</v>
      </c>
      <c r="M48" s="44">
        <f>VLOOKUP(C48,Purchased!A:Q,16,0)</f>
        <v>0</v>
      </c>
      <c r="N48" s="45">
        <f>VLOOKUP(C48,Purchased!A:Q,17,0)</f>
        <v>0</v>
      </c>
      <c r="O48" s="45" t="e">
        <f t="shared" ca="1" si="5"/>
        <v>#VALUE!</v>
      </c>
      <c r="P48" s="49">
        <f>IFERROR(VLOOKUP(C48,Purchased!A:E,3,FALSE),"")</f>
        <v>0</v>
      </c>
      <c r="Q48" s="50">
        <f t="shared" si="6"/>
        <v>0</v>
      </c>
    </row>
    <row r="49" spans="1:17" s="2" customFormat="1" ht="12" customHeight="1">
      <c r="A49" s="4">
        <f t="shared" si="2"/>
        <v>345</v>
      </c>
      <c r="B49" s="170">
        <v>3</v>
      </c>
      <c r="C49" s="114" t="s">
        <v>162</v>
      </c>
      <c r="D49" s="268" t="str">
        <f>VLOOKUP(C49,Purchased!A:B,2,0)</f>
        <v>MAGNETIC CONTACTOR, 3-POLE, 20A, 1NC AUX , POSITIVELY DRIVEN, INTEGRATED SUPPRESSOR, 24VDC COIL</v>
      </c>
      <c r="E49" s="269"/>
      <c r="F49" s="112" t="str">
        <f>VLOOKUP(C49,Purchased!A:Q,9,0)</f>
        <v>EATON</v>
      </c>
      <c r="G49" s="112" t="str">
        <f>VLOOKUP(C49,Purchased!A:Q,10,0)</f>
        <v>CRAVE</v>
      </c>
      <c r="H49" s="112">
        <f>VLOOKUP(C49,Purchased!A:Q,12,0)</f>
        <v>0</v>
      </c>
      <c r="I49" s="113"/>
      <c r="J49" s="44">
        <f>VLOOKUP(C49,Purchased!A:Q,13,0)</f>
        <v>0</v>
      </c>
      <c r="K49" s="44">
        <f>VLOOKUP(C49,Purchased!A:Q,14,0)</f>
        <v>0</v>
      </c>
      <c r="L49" s="44">
        <f>VLOOKUP(C49,Purchased!A:Q,15,0)</f>
        <v>0</v>
      </c>
      <c r="M49" s="44">
        <f>VLOOKUP(C49,Purchased!A:Q,16,0)</f>
        <v>0</v>
      </c>
      <c r="N49" s="45">
        <f>VLOOKUP(C49,Purchased!A:Q,17,0)</f>
        <v>0</v>
      </c>
      <c r="O49" s="45" t="e">
        <f t="shared" ca="1" si="5"/>
        <v>#VALUE!</v>
      </c>
      <c r="P49" s="49">
        <f>IFERROR(VLOOKUP(C49,Purchased!A:E,3,FALSE),"")</f>
        <v>0</v>
      </c>
      <c r="Q49" s="50">
        <f t="shared" si="6"/>
        <v>0</v>
      </c>
    </row>
    <row r="50" spans="1:17" s="2" customFormat="1" ht="12" customHeight="1">
      <c r="A50" s="4">
        <f t="shared" si="2"/>
        <v>346</v>
      </c>
      <c r="B50" s="170">
        <v>1</v>
      </c>
      <c r="C50" s="114" t="s">
        <v>163</v>
      </c>
      <c r="D50" s="268" t="str">
        <f>VLOOKUP(C50,Purchased!A:B,2,0)</f>
        <v>EXOR EX715U5P1 15in HMI</v>
      </c>
      <c r="E50" s="269"/>
      <c r="F50" s="112" t="str">
        <f>VLOOKUP(C50,Purchased!A:Q,9,0)</f>
        <v>EXOR</v>
      </c>
      <c r="G50" s="112" t="str">
        <f>VLOOKUP(C50,Purchased!A:Q,10,0)</f>
        <v>AAP</v>
      </c>
      <c r="H50" s="112" t="str">
        <f>VLOOKUP(C50,Purchased!A:Q,12,0)</f>
        <v xml:space="preserve"> </v>
      </c>
      <c r="I50" s="113"/>
      <c r="J50" s="44" t="str">
        <f>VLOOKUP(C50,Purchased!A:Q,13,0)</f>
        <v>N/A</v>
      </c>
      <c r="K50" s="44">
        <f>VLOOKUP(C50,Purchased!A:Q,14,0)</f>
        <v>45089</v>
      </c>
      <c r="L50" s="44">
        <f>VLOOKUP(C50,Purchased!A:Q,15,0)</f>
        <v>45119</v>
      </c>
      <c r="M50" s="44">
        <f>VLOOKUP(C50,Purchased!A:Q,16,0)</f>
        <v>45119</v>
      </c>
      <c r="N50" s="45">
        <f>VLOOKUP(C50,Purchased!A:Q,17,0)</f>
        <v>54930</v>
      </c>
      <c r="O50" s="45" t="e">
        <f t="shared" ca="1" si="5"/>
        <v>#VALUE!</v>
      </c>
      <c r="P50" s="49">
        <f>IFERROR(VLOOKUP(C50,Purchased!A:E,3,FALSE),"")</f>
        <v>3259.4792000000002</v>
      </c>
      <c r="Q50" s="50">
        <f t="shared" si="6"/>
        <v>3259.4792000000002</v>
      </c>
    </row>
    <row r="51" spans="1:17" s="2" customFormat="1" ht="12" customHeight="1">
      <c r="A51" s="4">
        <f t="shared" si="2"/>
        <v>347</v>
      </c>
      <c r="B51" s="170">
        <v>1</v>
      </c>
      <c r="C51" s="114" t="s">
        <v>164</v>
      </c>
      <c r="D51" s="268" t="str">
        <f>VLOOKUP(C51,Purchased!A:B,2,0)</f>
        <v>CIRCUIT BREAKER, C-TRIP CURVE, 277VAC, 60VDC UL489, 1-POLE, 15A</v>
      </c>
      <c r="E51" s="269"/>
      <c r="F51" s="112" t="str">
        <f>VLOOKUP(C51,Purchased!A:Q,9,0)</f>
        <v>LS ELECTRIC</v>
      </c>
      <c r="G51" s="112" t="str">
        <f>VLOOKUP(C51,Purchased!A:Q,10,0)</f>
        <v>CRAVE</v>
      </c>
      <c r="H51" s="112">
        <f>VLOOKUP(C51,Purchased!A:Q,12,0)</f>
        <v>0</v>
      </c>
      <c r="I51" s="113"/>
      <c r="J51" s="44">
        <f>VLOOKUP(C51,Purchased!A:Q,13,0)</f>
        <v>0</v>
      </c>
      <c r="K51" s="44">
        <f>VLOOKUP(C51,Purchased!A:Q,14,0)</f>
        <v>0</v>
      </c>
      <c r="L51" s="44">
        <f>VLOOKUP(C51,Purchased!A:Q,15,0)</f>
        <v>0</v>
      </c>
      <c r="M51" s="44">
        <f>VLOOKUP(C51,Purchased!A:Q,16,0)</f>
        <v>0</v>
      </c>
      <c r="N51" s="45">
        <f>VLOOKUP(C51,Purchased!A:Q,17,0)</f>
        <v>0</v>
      </c>
      <c r="O51" s="45" t="e">
        <f t="shared" ca="1" si="5"/>
        <v>#VALUE!</v>
      </c>
      <c r="P51" s="49">
        <f>IFERROR(VLOOKUP(C51,Purchased!A:E,3,FALSE),"")</f>
        <v>0</v>
      </c>
      <c r="Q51" s="50">
        <f t="shared" si="6"/>
        <v>0</v>
      </c>
    </row>
    <row r="52" spans="1:17" s="2" customFormat="1" ht="12" customHeight="1">
      <c r="A52" s="4">
        <f t="shared" si="2"/>
        <v>348</v>
      </c>
      <c r="B52" s="170">
        <v>1</v>
      </c>
      <c r="C52" s="114" t="s">
        <v>165</v>
      </c>
      <c r="D52" s="268" t="str">
        <f>VLOOKUP(C52,Purchased!A:B,2,0)</f>
        <v>Insulated Ground Bar with 14 Terminal Positions</v>
      </c>
      <c r="E52" s="269"/>
      <c r="F52" s="112" t="str">
        <f>VLOOKUP(C52,Purchased!A:Q,9,0)</f>
        <v>SIEMENS</v>
      </c>
      <c r="G52" s="112" t="str">
        <f>VLOOKUP(C52,Purchased!A:Q,10,0)</f>
        <v>CRAVE</v>
      </c>
      <c r="H52" s="112">
        <f>VLOOKUP(C52,Purchased!A:Q,12,0)</f>
        <v>0</v>
      </c>
      <c r="I52" s="113"/>
      <c r="J52" s="44">
        <f>VLOOKUP(C52,Purchased!A:Q,13,0)</f>
        <v>0</v>
      </c>
      <c r="K52" s="44">
        <f>VLOOKUP(C52,Purchased!A:Q,14,0)</f>
        <v>0</v>
      </c>
      <c r="L52" s="44">
        <f>VLOOKUP(C52,Purchased!A:Q,15,0)</f>
        <v>0</v>
      </c>
      <c r="M52" s="44">
        <f>VLOOKUP(C52,Purchased!A:Q,16,0)</f>
        <v>0</v>
      </c>
      <c r="N52" s="45">
        <f>VLOOKUP(C52,Purchased!A:Q,17,0)</f>
        <v>0</v>
      </c>
      <c r="O52" s="45" t="e">
        <f t="shared" ca="1" si="5"/>
        <v>#VALUE!</v>
      </c>
      <c r="P52" s="49">
        <f>IFERROR(VLOOKUP(C52,Purchased!A:E,3,FALSE),"")</f>
        <v>0</v>
      </c>
      <c r="Q52" s="50">
        <f t="shared" si="6"/>
        <v>0</v>
      </c>
    </row>
    <row r="53" spans="1:17" s="2" customFormat="1" ht="12" customHeight="1">
      <c r="A53" s="4">
        <f t="shared" si="2"/>
        <v>349</v>
      </c>
      <c r="B53" s="170">
        <v>1</v>
      </c>
      <c r="C53" s="114">
        <v>3030161</v>
      </c>
      <c r="D53" s="268" t="str">
        <f>VLOOKUP(C53,Purchased!A:B,2,0)</f>
        <v>Plug-in bridge - FBS 2-5</v>
      </c>
      <c r="E53" s="269"/>
      <c r="F53" s="112" t="str">
        <f>VLOOKUP(C53,Purchased!A:Q,9,0)</f>
        <v>PHOENIX CONTACT</v>
      </c>
      <c r="G53" s="112" t="str">
        <f>VLOOKUP(C53,Purchased!A:Q,10,0)</f>
        <v>CRAVE</v>
      </c>
      <c r="H53" s="112">
        <f>VLOOKUP(C53,Purchased!A:Q,12,0)</f>
        <v>0</v>
      </c>
      <c r="I53" s="113"/>
      <c r="J53" s="44">
        <f>VLOOKUP(C53,Purchased!A:Q,13,0)</f>
        <v>0</v>
      </c>
      <c r="K53" s="44">
        <f>VLOOKUP(C53,Purchased!A:Q,14,0)</f>
        <v>0</v>
      </c>
      <c r="L53" s="44">
        <f>VLOOKUP(C53,Purchased!A:Q,15,0)</f>
        <v>0</v>
      </c>
      <c r="M53" s="44">
        <f>VLOOKUP(C53,Purchased!A:Q,16,0)</f>
        <v>0</v>
      </c>
      <c r="N53" s="45">
        <f>VLOOKUP(C53,Purchased!A:Q,17,0)</f>
        <v>0</v>
      </c>
      <c r="O53" s="45" t="e">
        <f t="shared" ca="1" si="5"/>
        <v>#VALUE!</v>
      </c>
      <c r="P53" s="49">
        <f>IFERROR(VLOOKUP(C53,Purchased!A:E,3,FALSE),"")</f>
        <v>0</v>
      </c>
      <c r="Q53" s="50">
        <f t="shared" si="6"/>
        <v>0</v>
      </c>
    </row>
    <row r="54" spans="1:17" s="2" customFormat="1" ht="12" customHeight="1">
      <c r="A54" s="4">
        <f t="shared" si="2"/>
        <v>350</v>
      </c>
      <c r="B54" s="170">
        <v>1200</v>
      </c>
      <c r="C54" s="114">
        <v>801733</v>
      </c>
      <c r="D54" s="268" t="str">
        <f>VLOOKUP(C54,Purchased!A:B,2,0)</f>
        <v>NS 35/ 7,5 PERF 2000MM - DIN rail perforated</v>
      </c>
      <c r="E54" s="269"/>
      <c r="F54" s="112" t="str">
        <f>VLOOKUP(C54,Purchased!A:Q,9,0)</f>
        <v>Phoenix Contact</v>
      </c>
      <c r="G54" s="112" t="str">
        <f>VLOOKUP(C54,Purchased!A:Q,10,0)</f>
        <v>CRAVE</v>
      </c>
      <c r="H54" s="112">
        <f>VLOOKUP(C54,Purchased!A:Q,12,0)</f>
        <v>0</v>
      </c>
      <c r="I54" s="113"/>
      <c r="J54" s="44">
        <f>VLOOKUP(C54,Purchased!A:Q,13,0)</f>
        <v>0</v>
      </c>
      <c r="K54" s="44">
        <f>VLOOKUP(C54,Purchased!A:Q,14,0)</f>
        <v>0</v>
      </c>
      <c r="L54" s="44">
        <f>VLOOKUP(C54,Purchased!A:Q,15,0)</f>
        <v>0</v>
      </c>
      <c r="M54" s="44">
        <f>VLOOKUP(C54,Purchased!A:Q,16,0)</f>
        <v>0</v>
      </c>
      <c r="N54" s="45">
        <f>VLOOKUP(C54,Purchased!A:Q,17,0)</f>
        <v>0</v>
      </c>
      <c r="O54" s="45" t="e">
        <f t="shared" ca="1" si="5"/>
        <v>#VALUE!</v>
      </c>
      <c r="P54" s="49">
        <f>IFERROR(VLOOKUP(C54,Purchased!A:E,3,FALSE),"")</f>
        <v>0</v>
      </c>
      <c r="Q54" s="50">
        <f t="shared" si="6"/>
        <v>0</v>
      </c>
    </row>
    <row r="55" spans="1:17" s="2" customFormat="1" ht="12" customHeight="1">
      <c r="A55" s="4">
        <f t="shared" si="2"/>
        <v>351</v>
      </c>
      <c r="B55" s="170">
        <v>3</v>
      </c>
      <c r="C55" s="114">
        <v>3030336</v>
      </c>
      <c r="D55" s="268" t="str">
        <f>VLOOKUP(C55,Purchased!A:B,2,0)</f>
        <v>FBS 2-6; PLUG-IN BRIDGE, 2-POSITION, 6.2MM PITCH, RED</v>
      </c>
      <c r="E55" s="269"/>
      <c r="F55" s="112" t="str">
        <f>VLOOKUP(C55,Purchased!A:Q,9,0)</f>
        <v>PHOENIX CONTACT</v>
      </c>
      <c r="G55" s="112" t="str">
        <f>VLOOKUP(C55,Purchased!A:Q,10,0)</f>
        <v>CRAVE</v>
      </c>
      <c r="H55" s="112">
        <f>VLOOKUP(C55,Purchased!A:Q,12,0)</f>
        <v>0</v>
      </c>
      <c r="I55" s="113"/>
      <c r="J55" s="44">
        <f>VLOOKUP(C55,Purchased!A:Q,13,0)</f>
        <v>0</v>
      </c>
      <c r="K55" s="44">
        <f>VLOOKUP(C55,Purchased!A:Q,14,0)</f>
        <v>0</v>
      </c>
      <c r="L55" s="44">
        <f>VLOOKUP(C55,Purchased!A:Q,15,0)</f>
        <v>0</v>
      </c>
      <c r="M55" s="44">
        <f>VLOOKUP(C55,Purchased!A:Q,16,0)</f>
        <v>0</v>
      </c>
      <c r="N55" s="45">
        <f>VLOOKUP(C55,Purchased!A:Q,17,0)</f>
        <v>0</v>
      </c>
      <c r="O55" s="45" t="e">
        <f t="shared" ca="1" si="5"/>
        <v>#VALUE!</v>
      </c>
      <c r="P55" s="49">
        <f>IFERROR(VLOOKUP(C55,Purchased!A:E,3,FALSE),"")</f>
        <v>0</v>
      </c>
      <c r="Q55" s="50">
        <f t="shared" si="6"/>
        <v>0</v>
      </c>
    </row>
    <row r="56" spans="1:17" s="2" customFormat="1" ht="12" customHeight="1">
      <c r="A56" s="4">
        <f t="shared" si="2"/>
        <v>352</v>
      </c>
      <c r="B56" s="170">
        <v>1</v>
      </c>
      <c r="C56" s="114" t="s">
        <v>129</v>
      </c>
      <c r="D56" s="268" t="str">
        <f>VLOOKUP(C56,Purchased!A:B,2,0)</f>
        <v>VeriSafe Absence of Voltage Tester, indicator module</v>
      </c>
      <c r="E56" s="269"/>
      <c r="F56" s="112" t="str">
        <f>VLOOKUP(C56,Purchased!A:Q,9,0)</f>
        <v>PANDUIT</v>
      </c>
      <c r="G56" s="112" t="str">
        <f>VLOOKUP(C56,Purchased!A:Q,10,0)</f>
        <v>CRAVE</v>
      </c>
      <c r="H56" s="112">
        <f>VLOOKUP(C56,Purchased!A:Q,12,0)</f>
        <v>0</v>
      </c>
      <c r="I56" s="113"/>
      <c r="J56" s="44">
        <f>VLOOKUP(C56,Purchased!A:Q,13,0)</f>
        <v>0</v>
      </c>
      <c r="K56" s="44">
        <f>VLOOKUP(C56,Purchased!A:Q,14,0)</f>
        <v>0</v>
      </c>
      <c r="L56" s="44">
        <f>VLOOKUP(C56,Purchased!A:Q,15,0)</f>
        <v>0</v>
      </c>
      <c r="M56" s="44">
        <f>VLOOKUP(C56,Purchased!A:Q,16,0)</f>
        <v>0</v>
      </c>
      <c r="N56" s="45">
        <f>VLOOKUP(C56,Purchased!A:Q,17,0)</f>
        <v>0</v>
      </c>
      <c r="O56" s="45" t="e">
        <f t="shared" ca="1" si="5"/>
        <v>#VALUE!</v>
      </c>
      <c r="P56" s="49">
        <f>IFERROR(VLOOKUP(C56,Purchased!A:E,3,FALSE),"")</f>
        <v>0</v>
      </c>
      <c r="Q56" s="50">
        <f t="shared" si="6"/>
        <v>0</v>
      </c>
    </row>
    <row r="57" spans="1:17" s="2" customFormat="1" ht="12" customHeight="1">
      <c r="A57" s="4">
        <f t="shared" si="2"/>
        <v>353</v>
      </c>
      <c r="B57" s="170">
        <v>1</v>
      </c>
      <c r="C57" s="114">
        <v>1029569</v>
      </c>
      <c r="D57" s="268" t="str">
        <f>VLOOKUP(C57,Purchased!A:B,2,0)</f>
        <v>End cover - D-PT 1,5/S-0,8 OG</v>
      </c>
      <c r="E57" s="269"/>
      <c r="F57" s="112" t="str">
        <f>VLOOKUP(C57,Purchased!A:Q,9,0)</f>
        <v>PHOENIX CONTACT</v>
      </c>
      <c r="G57" s="112" t="str">
        <f>VLOOKUP(C57,Purchased!A:Q,10,0)</f>
        <v>CRAVE</v>
      </c>
      <c r="H57" s="112">
        <f>VLOOKUP(C57,Purchased!A:Q,12,0)</f>
        <v>0</v>
      </c>
      <c r="I57" s="113"/>
      <c r="J57" s="44">
        <f>VLOOKUP(C57,Purchased!A:Q,13,0)</f>
        <v>0</v>
      </c>
      <c r="K57" s="44">
        <f>VLOOKUP(C57,Purchased!A:Q,14,0)</f>
        <v>0</v>
      </c>
      <c r="L57" s="44">
        <f>VLOOKUP(C57,Purchased!A:Q,15,0)</f>
        <v>0</v>
      </c>
      <c r="M57" s="44">
        <f>VLOOKUP(C57,Purchased!A:Q,16,0)</f>
        <v>0</v>
      </c>
      <c r="N57" s="45">
        <f>VLOOKUP(C57,Purchased!A:Q,17,0)</f>
        <v>0</v>
      </c>
      <c r="O57" s="45" t="e">
        <f t="shared" ca="1" si="5"/>
        <v>#VALUE!</v>
      </c>
      <c r="P57" s="49">
        <f>IFERROR(VLOOKUP(C57,Purchased!A:E,3,FALSE),"")</f>
        <v>0</v>
      </c>
      <c r="Q57" s="50">
        <f t="shared" si="6"/>
        <v>0</v>
      </c>
    </row>
    <row r="58" spans="1:17" s="2" customFormat="1" ht="12" customHeight="1">
      <c r="A58" s="4">
        <f t="shared" si="2"/>
        <v>354</v>
      </c>
      <c r="B58" s="170">
        <v>1</v>
      </c>
      <c r="C58" s="114">
        <v>3030513</v>
      </c>
      <c r="D58" s="268" t="str">
        <f>VLOOKUP(C58,Purchased!A:B,2,0)</f>
        <v>End cover - D-ST 2,5-QUATTRO-0,8 OG</v>
      </c>
      <c r="E58" s="269"/>
      <c r="F58" s="112" t="str">
        <f>VLOOKUP(C58,Purchased!A:Q,9,0)</f>
        <v>PHOENIX CONTACT</v>
      </c>
      <c r="G58" s="112" t="str">
        <f>VLOOKUP(C58,Purchased!A:Q,10,0)</f>
        <v>CRAVE</v>
      </c>
      <c r="H58" s="112">
        <f>VLOOKUP(C58,Purchased!A:Q,12,0)</f>
        <v>0</v>
      </c>
      <c r="I58" s="113"/>
      <c r="J58" s="44">
        <f>VLOOKUP(C58,Purchased!A:Q,13,0)</f>
        <v>0</v>
      </c>
      <c r="K58" s="44">
        <f>VLOOKUP(C58,Purchased!A:Q,14,0)</f>
        <v>0</v>
      </c>
      <c r="L58" s="44">
        <f>VLOOKUP(C58,Purchased!A:Q,15,0)</f>
        <v>0</v>
      </c>
      <c r="M58" s="44">
        <f>VLOOKUP(C58,Purchased!A:Q,16,0)</f>
        <v>0</v>
      </c>
      <c r="N58" s="45">
        <f>VLOOKUP(C58,Purchased!A:Q,17,0)</f>
        <v>0</v>
      </c>
      <c r="O58" s="45" t="e">
        <f t="shared" ca="1" si="5"/>
        <v>#VALUE!</v>
      </c>
      <c r="P58" s="49">
        <f>IFERROR(VLOOKUP(C58,Purchased!A:E,3,FALSE),"")</f>
        <v>0</v>
      </c>
      <c r="Q58" s="50">
        <f t="shared" si="6"/>
        <v>0</v>
      </c>
    </row>
    <row r="59" spans="1:17" s="2" customFormat="1" ht="12" customHeight="1">
      <c r="A59" s="4">
        <f t="shared" si="2"/>
        <v>355</v>
      </c>
      <c r="B59" s="170">
        <v>4</v>
      </c>
      <c r="C59" s="114">
        <v>3208126</v>
      </c>
      <c r="D59" s="268" t="str">
        <f>VLOOKUP(C59,Purchased!A:B,2,0)</f>
        <v>Feed-through terminal block - PT 1,5/S BU</v>
      </c>
      <c r="E59" s="269"/>
      <c r="F59" s="112" t="str">
        <f>VLOOKUP(C59,Purchased!A:Q,9,0)</f>
        <v>PHOENIX CONTACT</v>
      </c>
      <c r="G59" s="112" t="str">
        <f>VLOOKUP(C59,Purchased!A:Q,10,0)</f>
        <v>CRAVE</v>
      </c>
      <c r="H59" s="112">
        <f>VLOOKUP(C59,Purchased!A:Q,12,0)</f>
        <v>0</v>
      </c>
      <c r="I59" s="113"/>
      <c r="J59" s="44">
        <f>VLOOKUP(C59,Purchased!A:Q,13,0)</f>
        <v>0</v>
      </c>
      <c r="K59" s="44">
        <f>VLOOKUP(C59,Purchased!A:Q,14,0)</f>
        <v>0</v>
      </c>
      <c r="L59" s="44">
        <f>VLOOKUP(C59,Purchased!A:Q,15,0)</f>
        <v>0</v>
      </c>
      <c r="M59" s="44">
        <f>VLOOKUP(C59,Purchased!A:Q,16,0)</f>
        <v>0</v>
      </c>
      <c r="N59" s="45">
        <f>VLOOKUP(C59,Purchased!A:Q,17,0)</f>
        <v>0</v>
      </c>
      <c r="O59" s="45" t="e">
        <f t="shared" ca="1" si="5"/>
        <v>#VALUE!</v>
      </c>
      <c r="P59" s="49">
        <f>IFERROR(VLOOKUP(C59,Purchased!A:E,3,FALSE),"")</f>
        <v>0</v>
      </c>
      <c r="Q59" s="50">
        <f t="shared" si="6"/>
        <v>0</v>
      </c>
    </row>
    <row r="60" spans="1:17" s="2" customFormat="1" ht="12" customHeight="1">
      <c r="A60" s="4">
        <f t="shared" si="2"/>
        <v>356</v>
      </c>
      <c r="B60" s="170">
        <v>1</v>
      </c>
      <c r="C60" s="114" t="s">
        <v>166</v>
      </c>
      <c r="D60" s="268" t="str">
        <f>VLOOKUP(C60,Purchased!A:B,2,0)</f>
        <v>LEGEND PLATE FOR 22MM PUSH BUTTON, NOTCHED, CYCLE START TEXT</v>
      </c>
      <c r="E60" s="269"/>
      <c r="F60" s="112" t="str">
        <f>VLOOKUP(C60,Purchased!A:Q,9,0)</f>
        <v>CAROLINA LASER</v>
      </c>
      <c r="G60" s="112" t="str">
        <f>VLOOKUP(C60,Purchased!A:Q,10,0)</f>
        <v>CRAVE</v>
      </c>
      <c r="H60" s="112">
        <f>VLOOKUP(C60,Purchased!A:Q,12,0)</f>
        <v>0</v>
      </c>
      <c r="I60" s="113"/>
      <c r="J60" s="44">
        <f>VLOOKUP(C60,Purchased!A:Q,13,0)</f>
        <v>0</v>
      </c>
      <c r="K60" s="44">
        <f>VLOOKUP(C60,Purchased!A:Q,14,0)</f>
        <v>0</v>
      </c>
      <c r="L60" s="44">
        <f>VLOOKUP(C60,Purchased!A:Q,15,0)</f>
        <v>0</v>
      </c>
      <c r="M60" s="44">
        <f>VLOOKUP(C60,Purchased!A:Q,16,0)</f>
        <v>0</v>
      </c>
      <c r="N60" s="45">
        <f>VLOOKUP(C60,Purchased!A:Q,17,0)</f>
        <v>0</v>
      </c>
      <c r="O60" s="45" t="e">
        <f t="shared" ca="1" si="5"/>
        <v>#VALUE!</v>
      </c>
      <c r="P60" s="49">
        <f>IFERROR(VLOOKUP(C60,Purchased!A:E,3,FALSE),"")</f>
        <v>0</v>
      </c>
      <c r="Q60" s="50">
        <f t="shared" si="6"/>
        <v>0</v>
      </c>
    </row>
    <row r="61" spans="1:17" s="2" customFormat="1" ht="12" customHeight="1">
      <c r="A61" s="4">
        <f t="shared" si="2"/>
        <v>357</v>
      </c>
      <c r="B61" s="170">
        <v>1</v>
      </c>
      <c r="C61" s="114" t="s">
        <v>167</v>
      </c>
      <c r="D61" s="268" t="str">
        <f>VLOOKUP(C61,Purchased!A:B,2,0)</f>
        <v>LEGEND PLATE FOR 22MM PUSH BUTTON, NOTCHED, CYCLE STOP TEXT</v>
      </c>
      <c r="E61" s="269"/>
      <c r="F61" s="112" t="str">
        <f>VLOOKUP(C61,Purchased!A:Q,9,0)</f>
        <v>CAROLINA LASER</v>
      </c>
      <c r="G61" s="112" t="str">
        <f>VLOOKUP(C61,Purchased!A:Q,10,0)</f>
        <v>CRAVE</v>
      </c>
      <c r="H61" s="112">
        <f>VLOOKUP(C61,Purchased!A:Q,12,0)</f>
        <v>0</v>
      </c>
      <c r="I61" s="113"/>
      <c r="J61" s="44">
        <f>VLOOKUP(C61,Purchased!A:Q,13,0)</f>
        <v>0</v>
      </c>
      <c r="K61" s="44">
        <f>VLOOKUP(C61,Purchased!A:Q,14,0)</f>
        <v>0</v>
      </c>
      <c r="L61" s="44">
        <f>VLOOKUP(C61,Purchased!A:Q,15,0)</f>
        <v>0</v>
      </c>
      <c r="M61" s="44">
        <f>VLOOKUP(C61,Purchased!A:Q,16,0)</f>
        <v>0</v>
      </c>
      <c r="N61" s="45">
        <f>VLOOKUP(C61,Purchased!A:Q,17,0)</f>
        <v>0</v>
      </c>
      <c r="O61" s="45" t="e">
        <f t="shared" ca="1" si="5"/>
        <v>#VALUE!</v>
      </c>
      <c r="P61" s="49">
        <f>IFERROR(VLOOKUP(C61,Purchased!A:E,3,FALSE),"")</f>
        <v>0</v>
      </c>
      <c r="Q61" s="50">
        <f t="shared" si="6"/>
        <v>0</v>
      </c>
    </row>
    <row r="62" spans="1:17" s="2" customFormat="1" ht="12" customHeight="1">
      <c r="A62" s="4">
        <f t="shared" si="2"/>
        <v>358</v>
      </c>
      <c r="B62" s="170">
        <v>1</v>
      </c>
      <c r="C62" s="114" t="s">
        <v>168</v>
      </c>
      <c r="D62" s="268" t="str">
        <f>VLOOKUP(C62,Purchased!A:B,2,0)</f>
        <v>INCLUDED WITH BUS COUPLER</v>
      </c>
      <c r="E62" s="269"/>
      <c r="F62" s="112" t="str">
        <f>VLOOKUP(C62,Purchased!A:Q,9,0)</f>
        <v>AUTONICS</v>
      </c>
      <c r="G62" s="112" t="str">
        <f>VLOOKUP(C62,Purchased!A:Q,10,0)</f>
        <v>CRAVE</v>
      </c>
      <c r="H62" s="112">
        <f>VLOOKUP(C62,Purchased!A:Q,12,0)</f>
        <v>0</v>
      </c>
      <c r="I62" s="113"/>
      <c r="J62" s="44">
        <f>VLOOKUP(C62,Purchased!A:Q,13,0)</f>
        <v>0</v>
      </c>
      <c r="K62" s="44">
        <f>VLOOKUP(C62,Purchased!A:Q,14,0)</f>
        <v>0</v>
      </c>
      <c r="L62" s="44">
        <f>VLOOKUP(C62,Purchased!A:Q,15,0)</f>
        <v>0</v>
      </c>
      <c r="M62" s="44">
        <f>VLOOKUP(C62,Purchased!A:Q,16,0)</f>
        <v>0</v>
      </c>
      <c r="N62" s="45">
        <f>VLOOKUP(C62,Purchased!A:Q,17,0)</f>
        <v>0</v>
      </c>
      <c r="O62" s="45" t="e">
        <f t="shared" ca="1" si="5"/>
        <v>#VALUE!</v>
      </c>
      <c r="P62" s="49">
        <f>IFERROR(VLOOKUP(C62,Purchased!A:E,3,FALSE),"")</f>
        <v>0</v>
      </c>
      <c r="Q62" s="50">
        <f t="shared" si="6"/>
        <v>0</v>
      </c>
    </row>
    <row r="63" spans="1:17" s="2" customFormat="1" ht="12" customHeight="1" thickBot="1">
      <c r="A63" s="4">
        <f t="shared" si="2"/>
        <v>359</v>
      </c>
      <c r="B63" s="170">
        <v>1</v>
      </c>
      <c r="C63" s="114" t="s">
        <v>130</v>
      </c>
      <c r="D63" s="268" t="str">
        <f>VLOOKUP(C63,Purchased!A:B,2,0)</f>
        <v>CAUTION STICKER</v>
      </c>
      <c r="E63" s="269"/>
      <c r="F63" s="112" t="str">
        <f>VLOOKUP(C63,Purchased!A:Q,9,0)</f>
        <v>SAFETYSIGN.COM</v>
      </c>
      <c r="G63" s="112" t="str">
        <f>VLOOKUP(C63,Purchased!A:Q,10,0)</f>
        <v>CRAVE</v>
      </c>
      <c r="H63" s="112">
        <f>VLOOKUP(C63,Purchased!A:Q,12,0)</f>
        <v>0</v>
      </c>
      <c r="I63" s="113"/>
      <c r="J63" s="44">
        <f>VLOOKUP(C63,Purchased!A:Q,13,0)</f>
        <v>0</v>
      </c>
      <c r="K63" s="44">
        <f>VLOOKUP(C63,Purchased!A:Q,14,0)</f>
        <v>0</v>
      </c>
      <c r="L63" s="44">
        <f>VLOOKUP(C63,Purchased!A:Q,15,0)</f>
        <v>0</v>
      </c>
      <c r="M63" s="44">
        <f>VLOOKUP(C63,Purchased!A:Q,16,0)</f>
        <v>0</v>
      </c>
      <c r="N63" s="45">
        <f>VLOOKUP(C63,Purchased!A:Q,17,0)</f>
        <v>0</v>
      </c>
      <c r="O63" s="45" t="e">
        <f t="shared" ca="1" si="5"/>
        <v>#VALUE!</v>
      </c>
      <c r="P63" s="49">
        <f>IFERROR(VLOOKUP(C63,Purchased!A:E,3,FALSE),"")</f>
        <v>0</v>
      </c>
      <c r="Q63" s="50">
        <f t="shared" si="6"/>
        <v>0</v>
      </c>
    </row>
    <row r="64" spans="1:17" s="2" customFormat="1" ht="12.75" customHeight="1" thickBot="1">
      <c r="A64" s="34"/>
      <c r="B64" s="35"/>
      <c r="C64" s="35"/>
      <c r="D64" s="256"/>
      <c r="E64" s="257"/>
      <c r="F64" s="35"/>
      <c r="G64" s="35"/>
      <c r="H64" s="294"/>
      <c r="I64" s="295"/>
      <c r="J64" s="36"/>
      <c r="K64" s="36"/>
      <c r="L64" s="36"/>
      <c r="M64" s="37"/>
      <c r="N64" s="38"/>
      <c r="O64" s="38"/>
      <c r="P64" s="89" t="s">
        <v>43</v>
      </c>
      <c r="Q64" s="94">
        <f>SUM(Q5:Q22)</f>
        <v>6466.7972000000009</v>
      </c>
    </row>
    <row r="65" spans="4:17" s="2" customFormat="1" ht="12" customHeight="1">
      <c r="D65" s="22"/>
      <c r="E65" s="22"/>
      <c r="J65" s="8"/>
      <c r="K65" s="8"/>
      <c r="L65" s="8"/>
      <c r="M65" s="8"/>
      <c r="N65" s="5"/>
      <c r="O65" s="5"/>
      <c r="P65" s="88"/>
      <c r="Q65" s="95"/>
    </row>
    <row r="66" spans="4:17" s="2" customFormat="1" ht="12" customHeight="1">
      <c r="D66" s="22"/>
      <c r="E66" s="22"/>
      <c r="J66" s="5"/>
      <c r="K66" s="5"/>
      <c r="L66" s="5"/>
      <c r="M66" s="5"/>
      <c r="N66" s="5"/>
      <c r="O66" s="5"/>
      <c r="P66" s="88"/>
      <c r="Q66" s="95"/>
    </row>
    <row r="67" spans="4:17" s="2" customFormat="1" ht="12" customHeight="1">
      <c r="D67" s="22"/>
      <c r="E67" s="22"/>
      <c r="J67" s="5"/>
      <c r="K67" s="5"/>
      <c r="L67" s="5"/>
      <c r="M67" s="5"/>
      <c r="N67" s="5"/>
      <c r="O67" s="5"/>
      <c r="P67" s="88"/>
      <c r="Q67" s="95"/>
    </row>
    <row r="68" spans="4:17" s="2" customFormat="1" ht="12" customHeight="1">
      <c r="D68" s="22"/>
      <c r="E68" s="22"/>
      <c r="J68" s="5"/>
      <c r="K68" s="5"/>
      <c r="L68" s="5"/>
      <c r="M68" s="5"/>
      <c r="N68" s="5"/>
      <c r="O68" s="5"/>
      <c r="P68" s="88"/>
      <c r="Q68" s="95"/>
    </row>
    <row r="69" spans="4:17" s="2" customFormat="1" ht="12" customHeight="1">
      <c r="D69" s="22"/>
      <c r="E69" s="22"/>
      <c r="J69" s="5"/>
      <c r="K69" s="5"/>
      <c r="L69" s="5"/>
      <c r="M69" s="5"/>
      <c r="N69" s="5"/>
      <c r="O69" s="5"/>
      <c r="P69" s="88"/>
      <c r="Q69" s="95"/>
    </row>
    <row r="70" spans="4:17" s="2" customFormat="1" ht="12" customHeight="1">
      <c r="D70" s="22"/>
      <c r="E70" s="22"/>
      <c r="J70" s="5"/>
      <c r="K70" s="5"/>
      <c r="L70" s="5"/>
      <c r="M70" s="5"/>
      <c r="N70" s="5"/>
      <c r="O70" s="5"/>
      <c r="P70" s="88"/>
      <c r="Q70" s="95"/>
    </row>
    <row r="71" spans="4:17" s="2" customFormat="1" ht="12" customHeight="1">
      <c r="D71" s="22"/>
      <c r="E71" s="22"/>
      <c r="J71" s="5"/>
      <c r="K71" s="5"/>
      <c r="L71" s="5"/>
      <c r="M71" s="5"/>
      <c r="N71" s="5"/>
      <c r="O71" s="5"/>
      <c r="P71" s="88"/>
      <c r="Q71" s="95"/>
    </row>
    <row r="72" spans="4:17" s="2" customFormat="1" ht="12" customHeight="1">
      <c r="D72" s="22"/>
      <c r="E72" s="22"/>
      <c r="J72" s="5"/>
      <c r="K72" s="5"/>
      <c r="L72" s="5"/>
      <c r="M72" s="5"/>
      <c r="N72" s="5"/>
      <c r="O72" s="5"/>
      <c r="P72" s="88"/>
      <c r="Q72" s="95"/>
    </row>
    <row r="73" spans="4:17" s="2" customFormat="1" ht="12" customHeight="1">
      <c r="D73" s="22"/>
      <c r="E73" s="22"/>
      <c r="J73" s="5"/>
      <c r="K73" s="5"/>
      <c r="L73" s="5"/>
      <c r="M73" s="5"/>
      <c r="N73" s="5"/>
      <c r="O73" s="5"/>
      <c r="P73" s="88"/>
      <c r="Q73" s="95"/>
    </row>
    <row r="74" spans="4:17" s="2" customFormat="1" ht="12" customHeight="1">
      <c r="D74" s="22"/>
      <c r="E74" s="22"/>
      <c r="J74" s="5"/>
      <c r="K74" s="5"/>
      <c r="L74" s="5"/>
      <c r="M74" s="5"/>
      <c r="N74" s="5"/>
      <c r="O74" s="5"/>
      <c r="P74" s="88"/>
      <c r="Q74" s="95"/>
    </row>
    <row r="75" spans="4:17" s="2" customFormat="1" ht="12" customHeight="1">
      <c r="D75" s="22"/>
      <c r="E75" s="22"/>
      <c r="J75" s="5"/>
      <c r="K75" s="5"/>
      <c r="L75" s="5"/>
      <c r="M75" s="5"/>
      <c r="N75" s="5"/>
      <c r="O75" s="5"/>
      <c r="P75" s="88"/>
      <c r="Q75" s="95"/>
    </row>
    <row r="76" spans="4:17" s="2" customFormat="1" ht="12" customHeight="1">
      <c r="D76" s="22"/>
      <c r="E76" s="22"/>
      <c r="J76" s="5"/>
      <c r="K76" s="5"/>
      <c r="L76" s="5"/>
      <c r="M76" s="5"/>
      <c r="N76" s="5"/>
      <c r="O76" s="5"/>
      <c r="P76" s="88"/>
      <c r="Q76" s="95"/>
    </row>
    <row r="77" spans="4:17" s="2" customFormat="1" ht="12" customHeight="1">
      <c r="D77" s="22"/>
      <c r="E77" s="22"/>
      <c r="J77" s="5"/>
      <c r="K77" s="5"/>
      <c r="L77" s="5"/>
      <c r="M77" s="5"/>
      <c r="N77" s="5"/>
      <c r="O77" s="5"/>
      <c r="P77" s="88"/>
      <c r="Q77" s="95"/>
    </row>
    <row r="78" spans="4:17" s="2" customFormat="1" ht="12" customHeight="1">
      <c r="D78" s="22"/>
      <c r="E78" s="22"/>
      <c r="J78" s="5"/>
      <c r="K78" s="5"/>
      <c r="L78" s="5"/>
      <c r="M78" s="5"/>
      <c r="N78" s="5"/>
      <c r="O78" s="5"/>
      <c r="P78" s="88"/>
      <c r="Q78" s="95"/>
    </row>
    <row r="79" spans="4:17" s="2" customFormat="1" ht="12" customHeight="1">
      <c r="D79" s="22"/>
      <c r="E79" s="22"/>
      <c r="J79" s="5"/>
      <c r="K79" s="5"/>
      <c r="L79" s="5"/>
      <c r="M79" s="5"/>
      <c r="N79" s="5"/>
      <c r="O79" s="5"/>
      <c r="P79" s="88"/>
      <c r="Q79" s="95"/>
    </row>
    <row r="80" spans="4:17" s="2" customFormat="1" ht="12" customHeight="1">
      <c r="D80" s="22"/>
      <c r="E80" s="22"/>
      <c r="J80" s="5"/>
      <c r="K80" s="5"/>
      <c r="L80" s="5"/>
      <c r="M80" s="5"/>
      <c r="N80" s="5"/>
      <c r="O80" s="5"/>
      <c r="P80" s="88"/>
      <c r="Q80" s="95"/>
    </row>
    <row r="81" spans="4:17" s="2" customFormat="1" ht="12" customHeight="1">
      <c r="D81" s="22"/>
      <c r="E81" s="22"/>
      <c r="J81" s="5"/>
      <c r="K81" s="5"/>
      <c r="L81" s="5"/>
      <c r="M81" s="5"/>
      <c r="N81" s="5"/>
      <c r="O81" s="5"/>
      <c r="P81" s="88"/>
      <c r="Q81" s="95"/>
    </row>
    <row r="82" spans="4:17" s="2" customFormat="1" ht="12" customHeight="1">
      <c r="D82" s="22"/>
      <c r="E82" s="22"/>
      <c r="J82" s="5"/>
      <c r="K82" s="5"/>
      <c r="L82" s="5"/>
      <c r="M82" s="5"/>
      <c r="N82" s="5"/>
      <c r="O82" s="5"/>
      <c r="P82" s="88"/>
      <c r="Q82" s="95"/>
    </row>
    <row r="83" spans="4:17" s="2" customFormat="1" ht="12" customHeight="1">
      <c r="D83" s="22"/>
      <c r="E83" s="22"/>
      <c r="J83" s="5"/>
      <c r="K83" s="5"/>
      <c r="L83" s="5"/>
      <c r="M83" s="5"/>
      <c r="N83" s="5"/>
      <c r="O83" s="5"/>
      <c r="P83" s="88"/>
      <c r="Q83" s="95"/>
    </row>
    <row r="84" spans="4:17" s="2" customFormat="1" ht="12" customHeight="1">
      <c r="D84" s="22"/>
      <c r="E84" s="22"/>
      <c r="J84" s="5"/>
      <c r="K84" s="5"/>
      <c r="L84" s="5"/>
      <c r="M84" s="5"/>
      <c r="N84" s="5"/>
      <c r="O84" s="5"/>
      <c r="P84" s="88"/>
      <c r="Q84" s="95"/>
    </row>
    <row r="85" spans="4:17" s="2" customFormat="1" ht="12" customHeight="1">
      <c r="D85" s="22"/>
      <c r="E85" s="22"/>
      <c r="J85" s="5"/>
      <c r="K85" s="5"/>
      <c r="L85" s="5"/>
      <c r="M85" s="5"/>
      <c r="N85" s="5"/>
      <c r="O85" s="5"/>
      <c r="P85" s="88"/>
      <c r="Q85" s="95"/>
    </row>
    <row r="86" spans="4:17" s="2" customFormat="1" ht="12" customHeight="1">
      <c r="D86" s="22"/>
      <c r="E86" s="22"/>
      <c r="J86" s="5"/>
      <c r="K86" s="5"/>
      <c r="L86" s="5"/>
      <c r="M86" s="5"/>
      <c r="N86" s="5"/>
      <c r="O86" s="5"/>
      <c r="P86" s="88"/>
      <c r="Q86" s="95"/>
    </row>
    <row r="87" spans="4:17" s="2" customFormat="1" ht="12" customHeight="1">
      <c r="D87" s="22"/>
      <c r="E87" s="22"/>
      <c r="J87" s="5"/>
      <c r="K87" s="5"/>
      <c r="L87" s="5"/>
      <c r="M87" s="5"/>
      <c r="N87" s="5"/>
      <c r="O87" s="5"/>
      <c r="P87" s="88"/>
      <c r="Q87" s="95"/>
    </row>
    <row r="88" spans="4:17" s="2" customFormat="1" ht="12" customHeight="1">
      <c r="D88" s="22"/>
      <c r="E88" s="22"/>
      <c r="J88" s="5"/>
      <c r="K88" s="5"/>
      <c r="L88" s="5"/>
      <c r="M88" s="5"/>
      <c r="N88" s="5"/>
      <c r="O88" s="5"/>
      <c r="P88" s="88"/>
      <c r="Q88" s="95"/>
    </row>
    <row r="89" spans="4:17" s="2" customFormat="1" ht="12" customHeight="1">
      <c r="D89" s="22"/>
      <c r="E89" s="22"/>
      <c r="J89" s="5"/>
      <c r="K89" s="5"/>
      <c r="L89" s="5"/>
      <c r="M89" s="5"/>
      <c r="N89" s="5"/>
      <c r="O89" s="5"/>
      <c r="P89" s="88"/>
      <c r="Q89" s="95"/>
    </row>
    <row r="90" spans="4:17" s="2" customFormat="1" ht="12" customHeight="1">
      <c r="D90" s="22"/>
      <c r="E90" s="22"/>
      <c r="J90" s="5"/>
      <c r="K90" s="5"/>
      <c r="L90" s="5"/>
      <c r="M90" s="5"/>
      <c r="N90" s="5"/>
      <c r="O90" s="5"/>
      <c r="P90" s="88"/>
      <c r="Q90" s="95"/>
    </row>
    <row r="91" spans="4:17" s="2" customFormat="1" ht="12" customHeight="1">
      <c r="D91" s="22"/>
      <c r="E91" s="22"/>
      <c r="J91" s="5"/>
      <c r="K91" s="5"/>
      <c r="L91" s="5"/>
      <c r="M91" s="5"/>
      <c r="N91" s="5"/>
      <c r="O91" s="5"/>
      <c r="P91" s="88"/>
      <c r="Q91" s="95"/>
    </row>
    <row r="92" spans="4:17" s="2" customFormat="1" ht="12" customHeight="1">
      <c r="D92" s="22"/>
      <c r="E92" s="22"/>
      <c r="J92" s="5"/>
      <c r="K92" s="5"/>
      <c r="L92" s="5"/>
      <c r="M92" s="5"/>
      <c r="N92" s="5"/>
      <c r="O92" s="5"/>
      <c r="P92" s="88"/>
      <c r="Q92" s="95"/>
    </row>
    <row r="93" spans="4:17" s="2" customFormat="1" ht="12" customHeight="1">
      <c r="D93" s="22"/>
      <c r="E93" s="22"/>
      <c r="J93" s="5"/>
      <c r="K93" s="5"/>
      <c r="L93" s="5"/>
      <c r="M93" s="5"/>
      <c r="N93" s="5"/>
      <c r="O93" s="5"/>
      <c r="P93" s="88"/>
      <c r="Q93" s="95"/>
    </row>
    <row r="94" spans="4:17" s="2" customFormat="1" ht="12" customHeight="1">
      <c r="D94" s="22"/>
      <c r="E94" s="22"/>
      <c r="J94" s="5"/>
      <c r="K94" s="5"/>
      <c r="L94" s="5"/>
      <c r="M94" s="5"/>
      <c r="N94" s="5"/>
      <c r="O94" s="5"/>
      <c r="P94" s="88"/>
      <c r="Q94" s="95"/>
    </row>
    <row r="95" spans="4:17" s="2" customFormat="1" ht="12" customHeight="1">
      <c r="D95" s="22"/>
      <c r="E95" s="22"/>
      <c r="J95" s="5"/>
      <c r="K95" s="5"/>
      <c r="L95" s="5"/>
      <c r="M95" s="5"/>
      <c r="N95" s="5"/>
      <c r="O95" s="5"/>
      <c r="P95" s="88"/>
      <c r="Q95" s="95"/>
    </row>
    <row r="96" spans="4:17" s="2" customFormat="1" ht="12" customHeight="1">
      <c r="D96" s="22"/>
      <c r="E96" s="22"/>
      <c r="J96" s="5"/>
      <c r="K96" s="5"/>
      <c r="L96" s="5"/>
      <c r="M96" s="5"/>
      <c r="N96" s="5"/>
      <c r="O96" s="5"/>
      <c r="P96" s="88"/>
      <c r="Q96" s="95"/>
    </row>
    <row r="97" spans="1:17" s="2" customFormat="1" ht="12" customHeight="1">
      <c r="D97" s="22"/>
      <c r="E97" s="22"/>
      <c r="J97" s="5"/>
      <c r="K97" s="5"/>
      <c r="L97" s="5"/>
      <c r="M97" s="5"/>
      <c r="N97" s="5"/>
      <c r="O97" s="5"/>
      <c r="P97" s="88"/>
      <c r="Q97" s="95"/>
    </row>
    <row r="98" spans="1:17" s="2" customFormat="1" ht="12" customHeight="1">
      <c r="D98" s="22"/>
      <c r="E98" s="22"/>
      <c r="J98" s="5"/>
      <c r="K98" s="5"/>
      <c r="L98" s="5"/>
      <c r="M98" s="5"/>
      <c r="N98" s="5"/>
      <c r="O98" s="5"/>
      <c r="P98" s="88"/>
      <c r="Q98" s="95"/>
    </row>
    <row r="99" spans="1:17" s="2" customFormat="1" ht="12" customHeight="1">
      <c r="D99" s="22"/>
      <c r="E99" s="22"/>
      <c r="J99" s="5"/>
      <c r="K99" s="5"/>
      <c r="L99" s="5"/>
      <c r="M99" s="5"/>
      <c r="N99" s="5"/>
      <c r="O99" s="5"/>
      <c r="P99" s="88"/>
      <c r="Q99" s="95"/>
    </row>
    <row r="100" spans="1:17" s="2" customFormat="1" ht="12" customHeight="1">
      <c r="D100" s="22"/>
      <c r="E100" s="22"/>
      <c r="J100" s="5"/>
      <c r="K100" s="5"/>
      <c r="L100" s="5"/>
      <c r="M100" s="5"/>
      <c r="N100" s="5"/>
      <c r="O100" s="5"/>
      <c r="P100" s="88"/>
      <c r="Q100" s="95"/>
    </row>
    <row r="101" spans="1:17" s="2" customFormat="1" ht="12" customHeight="1">
      <c r="D101" s="22"/>
      <c r="E101" s="22"/>
      <c r="J101" s="5"/>
      <c r="K101" s="5"/>
      <c r="L101" s="5"/>
      <c r="M101" s="5"/>
      <c r="N101" s="5"/>
      <c r="O101" s="5"/>
      <c r="P101" s="88"/>
      <c r="Q101" s="95"/>
    </row>
    <row r="102" spans="1:17" s="2" customFormat="1" ht="12" customHeight="1">
      <c r="D102" s="22"/>
      <c r="E102" s="22"/>
      <c r="J102" s="5"/>
      <c r="K102" s="5"/>
      <c r="L102" s="5"/>
      <c r="M102" s="5"/>
      <c r="N102" s="5"/>
      <c r="O102" s="5"/>
      <c r="P102" s="88"/>
      <c r="Q102" s="95"/>
    </row>
    <row r="103" spans="1:17" s="2" customFormat="1" ht="12" customHeight="1">
      <c r="D103" s="22"/>
      <c r="E103" s="22"/>
      <c r="J103" s="5"/>
      <c r="K103" s="5"/>
      <c r="L103" s="5"/>
      <c r="M103" s="5"/>
      <c r="N103" s="5"/>
      <c r="O103" s="5"/>
      <c r="P103" s="88"/>
      <c r="Q103" s="96"/>
    </row>
    <row r="104" spans="1:17" s="2" customFormat="1" ht="12" customHeight="1">
      <c r="D104" s="22"/>
      <c r="E104" s="22"/>
      <c r="J104" s="5"/>
      <c r="K104" s="5"/>
      <c r="L104" s="5"/>
      <c r="M104" s="5"/>
      <c r="N104" s="5"/>
      <c r="O104" s="5"/>
      <c r="P104" s="88"/>
      <c r="Q104" s="96"/>
    </row>
    <row r="105" spans="1:17" s="2" customFormat="1" ht="12" customHeight="1">
      <c r="D105" s="22"/>
      <c r="E105" s="22"/>
      <c r="J105" s="5"/>
      <c r="K105" s="5"/>
      <c r="L105" s="5"/>
      <c r="M105" s="5"/>
      <c r="N105" s="5"/>
      <c r="O105" s="5"/>
      <c r="P105" s="88"/>
      <c r="Q105" s="96"/>
    </row>
    <row r="106" spans="1:17" s="2" customFormat="1" ht="12" customHeight="1">
      <c r="D106" s="22"/>
      <c r="E106" s="22"/>
      <c r="J106" s="5"/>
      <c r="K106" s="5"/>
      <c r="L106" s="5"/>
      <c r="M106" s="5"/>
      <c r="N106" s="5"/>
      <c r="O106" s="5"/>
      <c r="P106" s="88"/>
      <c r="Q106" s="96"/>
    </row>
    <row r="107" spans="1:17" s="2" customFormat="1" ht="12" customHeight="1">
      <c r="A107"/>
      <c r="B107"/>
      <c r="C107"/>
      <c r="D107" s="23"/>
      <c r="E107" s="23"/>
      <c r="F107"/>
      <c r="G107"/>
      <c r="H107"/>
      <c r="I107"/>
      <c r="J107" s="19"/>
      <c r="K107" s="19"/>
      <c r="L107" s="19"/>
      <c r="M107" s="19"/>
      <c r="N107" s="19"/>
      <c r="O107" s="19"/>
      <c r="P107" s="90"/>
      <c r="Q107" s="96"/>
    </row>
    <row r="108" spans="1:17" s="2" customFormat="1" ht="12" customHeight="1">
      <c r="A108"/>
      <c r="B108"/>
      <c r="C108"/>
      <c r="D108" s="23"/>
      <c r="E108" s="23"/>
      <c r="F108"/>
      <c r="G108"/>
      <c r="H108"/>
      <c r="I108"/>
      <c r="J108" s="19"/>
      <c r="K108" s="19"/>
      <c r="L108" s="19"/>
      <c r="M108" s="19"/>
      <c r="N108" s="19"/>
      <c r="O108" s="19"/>
      <c r="P108" s="90"/>
      <c r="Q108" s="96"/>
    </row>
    <row r="109" spans="1:17" s="2" customFormat="1" ht="12" customHeight="1">
      <c r="A109"/>
      <c r="B109"/>
      <c r="C109"/>
      <c r="D109" s="23"/>
      <c r="E109" s="23"/>
      <c r="F109"/>
      <c r="G109"/>
      <c r="H109"/>
      <c r="I109"/>
      <c r="J109" s="19"/>
      <c r="K109" s="19"/>
      <c r="L109" s="19"/>
      <c r="M109" s="19"/>
      <c r="N109" s="19"/>
      <c r="O109" s="19"/>
      <c r="P109" s="90"/>
      <c r="Q109" s="96"/>
    </row>
    <row r="110" spans="1:17" s="2" customFormat="1" ht="12" customHeight="1">
      <c r="A110"/>
      <c r="B110"/>
      <c r="C110"/>
      <c r="D110" s="23"/>
      <c r="E110" s="23"/>
      <c r="F110"/>
      <c r="G110"/>
      <c r="H110"/>
      <c r="I110"/>
      <c r="J110" s="19"/>
      <c r="K110" s="19"/>
      <c r="L110" s="19"/>
      <c r="M110" s="19"/>
      <c r="N110" s="19"/>
      <c r="O110" s="19"/>
      <c r="P110" s="90"/>
      <c r="Q110" s="96"/>
    </row>
    <row r="111" spans="1:17" s="2" customFormat="1" ht="12" customHeight="1">
      <c r="A111"/>
      <c r="B111"/>
      <c r="C111"/>
      <c r="D111" s="23"/>
      <c r="E111" s="23"/>
      <c r="F111"/>
      <c r="G111"/>
      <c r="H111"/>
      <c r="I111"/>
      <c r="J111" s="19"/>
      <c r="K111" s="19"/>
      <c r="L111" s="19"/>
      <c r="M111" s="19"/>
      <c r="N111" s="19"/>
      <c r="O111" s="19"/>
      <c r="P111" s="90"/>
      <c r="Q111" s="96"/>
    </row>
    <row r="112" spans="1:17">
      <c r="Q112" s="96"/>
    </row>
    <row r="113" spans="17:17">
      <c r="Q113" s="96"/>
    </row>
    <row r="114" spans="17:17">
      <c r="Q114" s="96"/>
    </row>
    <row r="115" spans="17:17">
      <c r="Q115" s="96"/>
    </row>
    <row r="116" spans="17:17">
      <c r="Q116" s="96"/>
    </row>
    <row r="117" spans="17:17">
      <c r="Q117" s="96"/>
    </row>
    <row r="118" spans="17:17">
      <c r="Q118" s="96"/>
    </row>
    <row r="119" spans="17:17">
      <c r="Q119" s="96"/>
    </row>
    <row r="120" spans="17:17">
      <c r="Q120" s="96"/>
    </row>
    <row r="121" spans="17:17">
      <c r="Q121" s="96"/>
    </row>
    <row r="122" spans="17:17">
      <c r="Q122" s="96"/>
    </row>
    <row r="123" spans="17:17">
      <c r="Q123" s="96"/>
    </row>
    <row r="124" spans="17:17">
      <c r="Q124" s="96"/>
    </row>
    <row r="125" spans="17:17">
      <c r="Q125" s="96"/>
    </row>
    <row r="126" spans="17:17">
      <c r="Q126" s="96"/>
    </row>
    <row r="127" spans="17:17">
      <c r="Q127" s="96"/>
    </row>
    <row r="128" spans="17:17">
      <c r="Q128" s="96"/>
    </row>
    <row r="129" spans="17:17">
      <c r="Q129" s="96"/>
    </row>
    <row r="130" spans="17:17">
      <c r="Q130" s="96"/>
    </row>
    <row r="131" spans="17:17">
      <c r="Q131" s="96"/>
    </row>
    <row r="168" ht="12" customHeight="1"/>
    <row r="169" ht="12" customHeight="1"/>
    <row r="170" ht="12" customHeight="1"/>
    <row r="171" ht="12" customHeight="1"/>
    <row r="172" ht="12" customHeight="1"/>
    <row r="173" ht="12" customHeight="1"/>
    <row r="174" ht="12" customHeight="1"/>
    <row r="175" ht="12" customHeight="1"/>
    <row r="176" ht="12" customHeight="1"/>
    <row r="177" ht="12" customHeight="1"/>
    <row r="178" ht="12" customHeight="1"/>
    <row r="179" ht="12" customHeight="1"/>
    <row r="180" ht="12" customHeight="1"/>
    <row r="181" ht="12" customHeight="1"/>
    <row r="182" ht="12" customHeight="1"/>
    <row r="183" ht="12" customHeight="1"/>
    <row r="184" ht="12" customHeight="1"/>
    <row r="185" ht="12" customHeight="1"/>
    <row r="186" ht="12" customHeight="1"/>
    <row r="187" ht="12" customHeight="1"/>
    <row r="188" ht="12" customHeight="1"/>
    <row r="189" ht="12" customHeight="1"/>
    <row r="190" ht="12" customHeight="1"/>
    <row r="191" ht="12" customHeight="1"/>
    <row r="192" ht="12" customHeight="1"/>
    <row r="193" ht="12" customHeight="1"/>
    <row r="194" ht="12" customHeight="1"/>
    <row r="195" ht="12" customHeight="1"/>
    <row r="196" ht="12" customHeight="1"/>
    <row r="197" ht="12" customHeight="1"/>
    <row r="198" ht="12" customHeight="1"/>
    <row r="199" ht="12" customHeight="1"/>
    <row r="200" ht="12" customHeight="1"/>
    <row r="201" ht="12" customHeight="1"/>
    <row r="202" ht="12" customHeight="1"/>
    <row r="203" ht="12" customHeight="1"/>
    <row r="204" ht="12" customHeight="1"/>
    <row r="205" ht="12" customHeight="1"/>
    <row r="206" ht="12" customHeight="1"/>
    <row r="207" ht="12" customHeight="1"/>
    <row r="208" ht="12" customHeight="1"/>
    <row r="209" ht="12" customHeight="1"/>
    <row r="210" ht="12" customHeight="1"/>
    <row r="211" ht="12" customHeight="1"/>
    <row r="212" ht="12" customHeight="1"/>
    <row r="213" ht="12" customHeight="1"/>
    <row r="214" ht="12" customHeight="1"/>
    <row r="215" ht="12" customHeight="1"/>
    <row r="216" ht="12" customHeight="1"/>
    <row r="217" ht="12" customHeight="1"/>
  </sheetData>
  <mergeCells count="64">
    <mergeCell ref="D64:E64"/>
    <mergeCell ref="H64:I64"/>
    <mergeCell ref="D21:E21"/>
    <mergeCell ref="D10:E10"/>
    <mergeCell ref="D11:E11"/>
    <mergeCell ref="D12:E12"/>
    <mergeCell ref="D13:E13"/>
    <mergeCell ref="D14:E14"/>
    <mergeCell ref="D15:E15"/>
    <mergeCell ref="D16:E16"/>
    <mergeCell ref="D17:E17"/>
    <mergeCell ref="D18:E18"/>
    <mergeCell ref="D19:E19"/>
    <mergeCell ref="D20:E20"/>
    <mergeCell ref="D23:E23"/>
    <mergeCell ref="D24:E24"/>
    <mergeCell ref="H4:I4"/>
    <mergeCell ref="D9:E9"/>
    <mergeCell ref="D5:E5"/>
    <mergeCell ref="D6:E6"/>
    <mergeCell ref="D7:E7"/>
    <mergeCell ref="D8:E8"/>
    <mergeCell ref="D25:E25"/>
    <mergeCell ref="D1:E1"/>
    <mergeCell ref="D4:E4"/>
    <mergeCell ref="D22:E22"/>
    <mergeCell ref="D30:E30"/>
    <mergeCell ref="D31:E31"/>
    <mergeCell ref="D32:E32"/>
    <mergeCell ref="D33:E33"/>
    <mergeCell ref="D26:E26"/>
    <mergeCell ref="D27:E27"/>
    <mergeCell ref="D28:E28"/>
    <mergeCell ref="D29:E29"/>
    <mergeCell ref="D36:E36"/>
    <mergeCell ref="D37:E37"/>
    <mergeCell ref="D38:E38"/>
    <mergeCell ref="D34:E34"/>
    <mergeCell ref="D35:E35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D49:E49"/>
    <mergeCell ref="D50:E50"/>
    <mergeCell ref="D51:E51"/>
    <mergeCell ref="D52:E52"/>
    <mergeCell ref="D53:E53"/>
    <mergeCell ref="D54:E54"/>
    <mergeCell ref="D55:E55"/>
    <mergeCell ref="D56:E56"/>
    <mergeCell ref="D57:E57"/>
    <mergeCell ref="D58:E58"/>
    <mergeCell ref="D63:E63"/>
    <mergeCell ref="D60:E60"/>
    <mergeCell ref="D61:E61"/>
    <mergeCell ref="D62:E62"/>
    <mergeCell ref="D59:E59"/>
  </mergeCells>
  <conditionalFormatting sqref="M5:M63">
    <cfRule type="cellIs" dxfId="664" priority="5" stopIfTrue="1" operator="lessThanOrEqual">
      <formula>$L5</formula>
    </cfRule>
    <cfRule type="cellIs" dxfId="663" priority="6" operator="greaterThan">
      <formula>L5</formula>
    </cfRule>
  </conditionalFormatting>
  <conditionalFormatting sqref="C17">
    <cfRule type="duplicateValues" dxfId="662" priority="1"/>
  </conditionalFormatting>
  <conditionalFormatting sqref="C5:C16 C18:C63">
    <cfRule type="duplicateValues" dxfId="661" priority="473"/>
  </conditionalFormatting>
  <pageMargins left="0.7" right="0.7" top="0.75" bottom="0.75" header="0.3" footer="0.3"/>
  <pageSetup paperSize="3" fitToHeight="0" orientation="landscape" horizontalDpi="1200" verticalDpi="1200" r:id="rId1"/>
  <ignoredErrors>
    <ignoredError sqref="C7:C12" numberStoredAsText="1"/>
  </ignoredError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9332382-F951-4F55-B7F4-891CB8A1B92D}">
          <x14:formula1>
            <xm:f>Purchased!$A:$A</xm:f>
          </x14:formula1>
          <xm:sqref>C5:C63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3EFE56-3AE2-49F9-9C82-CFBD70581338}">
  <sheetPr codeName="Sheet5">
    <tabColor theme="3" tint="0.39997558519241921"/>
    <pageSetUpPr fitToPage="1"/>
  </sheetPr>
  <dimension ref="A1:Q194"/>
  <sheetViews>
    <sheetView zoomScaleNormal="100" workbookViewId="0">
      <selection activeCell="C36" sqref="C36"/>
    </sheetView>
  </sheetViews>
  <sheetFormatPr defaultColWidth="9.140625" defaultRowHeight="15"/>
  <cols>
    <col min="1" max="1" width="5.7109375" customWidth="1"/>
    <col min="2" max="2" width="5.42578125" bestFit="1" customWidth="1"/>
    <col min="3" max="3" width="30.7109375" customWidth="1"/>
    <col min="4" max="5" width="20.7109375" style="23" customWidth="1"/>
    <col min="6" max="6" width="16.85546875" bestFit="1" customWidth="1"/>
    <col min="7" max="7" width="9.7109375" customWidth="1"/>
    <col min="8" max="8" width="8.7109375" customWidth="1"/>
    <col min="9" max="9" width="20.7109375" customWidth="1"/>
    <col min="10" max="13" width="11.7109375" style="19" customWidth="1"/>
    <col min="14" max="14" width="11.85546875" style="19" bestFit="1" customWidth="1"/>
    <col min="15" max="15" width="7.7109375" style="19" customWidth="1"/>
    <col min="16" max="16" width="10.7109375" style="90" customWidth="1"/>
    <col min="17" max="17" width="10.7109375" style="97" customWidth="1"/>
  </cols>
  <sheetData>
    <row r="1" spans="1:17" s="55" customFormat="1" ht="12" customHeight="1">
      <c r="A1" s="68" t="s">
        <v>0</v>
      </c>
      <c r="B1" s="69"/>
      <c r="C1" s="69"/>
      <c r="D1" s="262" t="s">
        <v>1</v>
      </c>
      <c r="E1" s="263"/>
      <c r="F1" s="70"/>
      <c r="G1" s="69"/>
      <c r="H1" s="70"/>
      <c r="I1" s="71"/>
      <c r="J1" s="72"/>
      <c r="K1" s="72"/>
      <c r="L1" s="72"/>
      <c r="M1" s="72"/>
      <c r="N1" s="72"/>
      <c r="O1" s="72"/>
      <c r="P1" s="85"/>
      <c r="Q1" s="91"/>
    </row>
    <row r="2" spans="1:17" s="55" customFormat="1" ht="12" customHeight="1">
      <c r="A2" s="74" t="s">
        <v>48</v>
      </c>
      <c r="B2" s="58"/>
      <c r="C2" s="57" t="e">
        <f ca="1">VLOOKUP(E3,Assemblies!B:F,4,0)</f>
        <v>#VALUE!</v>
      </c>
      <c r="D2" s="75" t="s">
        <v>3</v>
      </c>
      <c r="E2" s="76" t="e">
        <f ca="1">'GF12'!E2</f>
        <v>#VALUE!</v>
      </c>
      <c r="F2" s="77" t="s">
        <v>4</v>
      </c>
      <c r="G2" s="58" t="str">
        <f>'GF12'!G2</f>
        <v>GH</v>
      </c>
      <c r="H2" s="77" t="s">
        <v>6</v>
      </c>
      <c r="I2" s="59">
        <f>'GF12'!I2</f>
        <v>44775</v>
      </c>
      <c r="J2" s="39"/>
      <c r="K2" s="40" t="s">
        <v>49</v>
      </c>
      <c r="L2" s="41" t="e">
        <f ca="1">VLOOKUP(C2,Assemblies!E:G,3,0)</f>
        <v>#VALUE!</v>
      </c>
      <c r="M2" s="78"/>
      <c r="N2" s="78"/>
      <c r="O2" s="78"/>
      <c r="P2" s="86"/>
      <c r="Q2" s="92"/>
    </row>
    <row r="3" spans="1:17" s="55" customFormat="1" ht="12" customHeight="1" thickBot="1">
      <c r="A3" s="74" t="s">
        <v>7</v>
      </c>
      <c r="B3" s="58"/>
      <c r="C3" s="57" t="e">
        <f ca="1">VLOOKUP(E3,Assemblies!B:F,5,0)</f>
        <v>#VALUE!</v>
      </c>
      <c r="D3" s="75" t="s">
        <v>50</v>
      </c>
      <c r="E3" s="76" t="e">
        <f ca="1">MID(CELL("filename",A1),FIND("]",CELL("filename",A1))+1,256)</f>
        <v>#VALUE!</v>
      </c>
      <c r="F3" s="77" t="s">
        <v>11</v>
      </c>
      <c r="G3" s="58" t="str">
        <f>'GF12'!G3</f>
        <v>GH</v>
      </c>
      <c r="H3" s="77" t="s">
        <v>6</v>
      </c>
      <c r="I3" s="59">
        <f>'GF12'!I3</f>
        <v>44775</v>
      </c>
      <c r="J3" s="78"/>
      <c r="K3" s="78"/>
      <c r="L3" s="78"/>
      <c r="M3" s="78"/>
      <c r="N3" s="78"/>
      <c r="O3" s="78"/>
      <c r="P3" s="86"/>
      <c r="Q3" s="92"/>
    </row>
    <row r="4" spans="1:17" s="56" customFormat="1" ht="12.75" customHeight="1" thickBot="1">
      <c r="A4" s="80" t="s">
        <v>12</v>
      </c>
      <c r="B4" s="81" t="s">
        <v>13</v>
      </c>
      <c r="C4" s="81" t="s">
        <v>14</v>
      </c>
      <c r="D4" s="270" t="s">
        <v>15</v>
      </c>
      <c r="E4" s="271"/>
      <c r="F4" s="104" t="s">
        <v>16</v>
      </c>
      <c r="G4" s="81" t="s">
        <v>17</v>
      </c>
      <c r="H4" s="260" t="s">
        <v>18</v>
      </c>
      <c r="I4" s="261"/>
      <c r="J4" s="81" t="s">
        <v>51</v>
      </c>
      <c r="K4" s="81" t="s">
        <v>20</v>
      </c>
      <c r="L4" s="81" t="s">
        <v>21</v>
      </c>
      <c r="M4" s="81" t="s">
        <v>52</v>
      </c>
      <c r="N4" s="81" t="s">
        <v>22</v>
      </c>
      <c r="O4" s="81" t="s">
        <v>53</v>
      </c>
      <c r="P4" s="107" t="s">
        <v>26</v>
      </c>
      <c r="Q4" s="82" t="s">
        <v>27</v>
      </c>
    </row>
    <row r="5" spans="1:17" s="2" customFormat="1" ht="12.75" customHeight="1">
      <c r="A5" s="4">
        <v>301</v>
      </c>
      <c r="B5" s="2">
        <v>1</v>
      </c>
      <c r="C5" s="114" t="s">
        <v>169</v>
      </c>
      <c r="D5" s="268" t="str">
        <f>VLOOKUP(C5,Purchased!A:B,2,0)</f>
        <v>SMC SS5Y5 D SIDE END PLATE</v>
      </c>
      <c r="E5" s="269"/>
      <c r="F5" s="112" t="str">
        <f>VLOOKUP(C5,Purchased!A:Q,9,0)</f>
        <v>SMC</v>
      </c>
      <c r="G5" s="112" t="str">
        <f>VLOOKUP(C5,Purchased!A:Q,10,0)</f>
        <v>AAP</v>
      </c>
      <c r="H5" s="112" t="str">
        <f>VLOOKUP(C5,Purchased!A:Q,12,0)</f>
        <v xml:space="preserve">  </v>
      </c>
      <c r="I5" s="113"/>
      <c r="J5" s="44" t="str">
        <f>VLOOKUP(C5,Purchased!A:Q,13,0)</f>
        <v>N/A</v>
      </c>
      <c r="K5" s="44">
        <f>VLOOKUP(C5,Purchased!A:Q,14,0)</f>
        <v>45086</v>
      </c>
      <c r="L5" s="44">
        <f>VLOOKUP(C5,Purchased!A:Q,15,0)</f>
        <v>45103</v>
      </c>
      <c r="M5" s="44">
        <f>VLOOKUP(C5,Purchased!A:Q,16,0)</f>
        <v>45103</v>
      </c>
      <c r="N5" s="45">
        <f>VLOOKUP(C5,Purchased!A:Q,17,0)</f>
        <v>54926</v>
      </c>
      <c r="O5" s="45" t="e">
        <f t="shared" ref="O5:O24" ca="1" si="0">B5*$L$2</f>
        <v>#VALUE!</v>
      </c>
      <c r="P5" s="49">
        <f>IFERROR(VLOOKUP(C5,Purchased!A:E,3,FALSE),"")</f>
        <v>49.398800000000001</v>
      </c>
      <c r="Q5" s="50">
        <f t="shared" ref="Q5:Q24" si="1">IFERROR(B5*P5,"")</f>
        <v>49.398800000000001</v>
      </c>
    </row>
    <row r="6" spans="1:17" s="2" customFormat="1" ht="12" customHeight="1">
      <c r="A6" s="4">
        <f t="shared" ref="A6" si="2">A5+1</f>
        <v>302</v>
      </c>
      <c r="B6" s="2">
        <v>11</v>
      </c>
      <c r="C6" s="114" t="s">
        <v>170</v>
      </c>
      <c r="D6" s="268" t="str">
        <f>VLOOKUP(C6,Purchased!A:B,2,0)</f>
        <v>SMC BLOCK ASSY</v>
      </c>
      <c r="E6" s="269"/>
      <c r="F6" s="112" t="str">
        <f>VLOOKUP(C6,Purchased!A:Q,9,0)</f>
        <v>SMC</v>
      </c>
      <c r="G6" s="112" t="str">
        <f>VLOOKUP(C6,Purchased!A:Q,10,0)</f>
        <v>AAP</v>
      </c>
      <c r="H6" s="112" t="str">
        <f>VLOOKUP(C6,Purchased!A:Q,12,0)</f>
        <v xml:space="preserve">  </v>
      </c>
      <c r="I6" s="113"/>
      <c r="J6" s="44" t="str">
        <f>VLOOKUP(C6,Purchased!A:Q,13,0)</f>
        <v>N/A</v>
      </c>
      <c r="K6" s="44">
        <f>VLOOKUP(C6,Purchased!A:Q,14,0)</f>
        <v>45086</v>
      </c>
      <c r="L6" s="44">
        <f>VLOOKUP(C6,Purchased!A:Q,15,0)</f>
        <v>45103</v>
      </c>
      <c r="M6" s="44">
        <f>VLOOKUP(C6,Purchased!A:Q,16,0)</f>
        <v>45103</v>
      </c>
      <c r="N6" s="45">
        <f>VLOOKUP(C6,Purchased!A:Q,17,0)</f>
        <v>54926</v>
      </c>
      <c r="O6" s="45" t="e">
        <f t="shared" ca="1" si="0"/>
        <v>#VALUE!</v>
      </c>
      <c r="P6" s="49">
        <f>IFERROR(VLOOKUP(C6,Purchased!A:E,3,FALSE),"")</f>
        <v>17.9833</v>
      </c>
      <c r="Q6" s="50">
        <f t="shared" si="1"/>
        <v>197.81630000000001</v>
      </c>
    </row>
    <row r="7" spans="1:17" s="2" customFormat="1" ht="12" customHeight="1">
      <c r="A7" s="4">
        <f t="shared" ref="A7:A39" si="3">A6+1</f>
        <v>303</v>
      </c>
      <c r="B7" s="2">
        <v>7</v>
      </c>
      <c r="C7" s="114" t="s">
        <v>171</v>
      </c>
      <c r="D7" s="268" t="str">
        <f>VLOOKUP(C7,Purchased!A:B,2,0)</f>
        <v>SMC VALVE, 5 PORT SOLENOID</v>
      </c>
      <c r="E7" s="269"/>
      <c r="F7" s="112" t="str">
        <f>VLOOKUP(C7,Purchased!A:Q,9,0)</f>
        <v>SMC</v>
      </c>
      <c r="G7" s="112" t="str">
        <f>VLOOKUP(C7,Purchased!A:Q,10,0)</f>
        <v>AAP, OC PNEUMATICS</v>
      </c>
      <c r="H7" s="112" t="str">
        <f>VLOOKUP(C7,Purchased!A:Q,12,0)</f>
        <v xml:space="preserve"> </v>
      </c>
      <c r="I7" s="113"/>
      <c r="J7" s="44" t="str">
        <f>VLOOKUP(C7,Purchased!A:Q,13,0)</f>
        <v>N/A</v>
      </c>
      <c r="K7" s="44">
        <f>VLOOKUP(C7,Purchased!A:Q,14,0)</f>
        <v>45086</v>
      </c>
      <c r="L7" s="44">
        <f>VLOOKUP(C7,Purchased!A:Q,15,0)</f>
        <v>45103</v>
      </c>
      <c r="M7" s="44">
        <f>VLOOKUP(C7,Purchased!A:Q,16,0)</f>
        <v>45103</v>
      </c>
      <c r="N7" s="45" t="str">
        <f>VLOOKUP(C7,Purchased!A:Q,17,0)</f>
        <v>10x54926, 4x55223</v>
      </c>
      <c r="O7" s="45" t="e">
        <f t="shared" ca="1" si="0"/>
        <v>#VALUE!</v>
      </c>
      <c r="P7" s="49">
        <f>IFERROR(VLOOKUP(C7,Purchased!A:E,3,FALSE),"")</f>
        <v>89.391000000000005</v>
      </c>
      <c r="Q7" s="50">
        <f t="shared" si="1"/>
        <v>625.73700000000008</v>
      </c>
    </row>
    <row r="8" spans="1:17" s="2" customFormat="1" ht="12" customHeight="1">
      <c r="A8" s="4">
        <f t="shared" si="3"/>
        <v>304</v>
      </c>
      <c r="B8" s="2">
        <v>4</v>
      </c>
      <c r="C8" s="114" t="s">
        <v>172</v>
      </c>
      <c r="D8" s="268" t="str">
        <f>VLOOKUP(C8,Purchased!A:B,2,0)</f>
        <v>SMC Valve, 5 Port Solenoid</v>
      </c>
      <c r="E8" s="269"/>
      <c r="F8" s="112" t="str">
        <f>VLOOKUP(C8,Purchased!A:Q,9,0)</f>
        <v>SMC</v>
      </c>
      <c r="G8" s="112" t="str">
        <f>VLOOKUP(C8,Purchased!A:Q,10,0)</f>
        <v>AAP</v>
      </c>
      <c r="H8" s="112" t="str">
        <f>VLOOKUP(C8,Purchased!A:Q,12,0)</f>
        <v xml:space="preserve"> </v>
      </c>
      <c r="I8" s="113"/>
      <c r="J8" s="44" t="str">
        <f>VLOOKUP(C8,Purchased!A:Q,13,0)</f>
        <v>N/A</v>
      </c>
      <c r="K8" s="44">
        <f>VLOOKUP(C8,Purchased!A:Q,14,0)</f>
        <v>45086</v>
      </c>
      <c r="L8" s="44">
        <f>VLOOKUP(C8,Purchased!A:Q,15,0)</f>
        <v>45103</v>
      </c>
      <c r="M8" s="44">
        <f>VLOOKUP(C8,Purchased!A:Q,16,0)</f>
        <v>45103</v>
      </c>
      <c r="N8" s="45">
        <f>VLOOKUP(C8,Purchased!A:Q,17,0)</f>
        <v>54926</v>
      </c>
      <c r="O8" s="45" t="e">
        <f t="shared" ca="1" si="0"/>
        <v>#VALUE!</v>
      </c>
      <c r="P8" s="49">
        <f>IFERROR(VLOOKUP(C8,Purchased!A:E,3,FALSE),"")</f>
        <v>83.1798</v>
      </c>
      <c r="Q8" s="50">
        <f t="shared" si="1"/>
        <v>332.7192</v>
      </c>
    </row>
    <row r="9" spans="1:17" s="2" customFormat="1" ht="12" customHeight="1">
      <c r="A9" s="4">
        <f t="shared" si="3"/>
        <v>305</v>
      </c>
      <c r="B9" s="2">
        <v>2</v>
      </c>
      <c r="C9" s="114" t="s">
        <v>173</v>
      </c>
      <c r="D9" s="268" t="str">
        <f>VLOOKUP(C9,Purchased!A:B,2,0)</f>
        <v>SMC SUPPLY SPACER, 8MM ONE-TOUCH</v>
      </c>
      <c r="E9" s="269"/>
      <c r="F9" s="112" t="str">
        <f>VLOOKUP(C9,Purchased!A:Q,9,0)</f>
        <v>SMC</v>
      </c>
      <c r="G9" s="112" t="str">
        <f>VLOOKUP(C9,Purchased!A:Q,10,0)</f>
        <v>OC PNEUMATICS</v>
      </c>
      <c r="H9" s="112">
        <f>VLOOKUP(C9,Purchased!A:Q,12,0)</f>
        <v>0</v>
      </c>
      <c r="I9" s="113"/>
      <c r="J9" s="44" t="str">
        <f>VLOOKUP(C9,Purchased!A:Q,13,0)</f>
        <v>N/A</v>
      </c>
      <c r="K9" s="44">
        <f>VLOOKUP(C9,Purchased!A:Q,14,0)</f>
        <v>45229</v>
      </c>
      <c r="L9" s="44">
        <f>VLOOKUP(C9,Purchased!A:Q,15,0)</f>
        <v>45233</v>
      </c>
      <c r="M9" s="44">
        <f>VLOOKUP(C9,Purchased!A:Q,16,0)</f>
        <v>0</v>
      </c>
      <c r="N9" s="45">
        <f>VLOOKUP(C9,Purchased!A:Q,17,0)</f>
        <v>55258</v>
      </c>
      <c r="O9" s="45" t="e">
        <f t="shared" ref="O9" ca="1" si="4">B9*$L$2</f>
        <v>#VALUE!</v>
      </c>
      <c r="P9" s="49">
        <f>IFERROR(VLOOKUP(C9,Purchased!A:E,3,FALSE),"")</f>
        <v>14.84</v>
      </c>
      <c r="Q9" s="50">
        <f t="shared" ref="Q9" si="5">IFERROR(B9*P9,"")</f>
        <v>29.68</v>
      </c>
    </row>
    <row r="10" spans="1:17" s="2" customFormat="1" ht="12" customHeight="1">
      <c r="A10" s="4">
        <f t="shared" si="3"/>
        <v>306</v>
      </c>
      <c r="B10" s="2">
        <v>3</v>
      </c>
      <c r="C10" s="114" t="s">
        <v>174</v>
      </c>
      <c r="D10" s="268" t="str">
        <f>VLOOKUP(C10,Purchased!A:B,2,0)</f>
        <v>SMC TIE ROD</v>
      </c>
      <c r="E10" s="269"/>
      <c r="F10" s="112" t="str">
        <f>VLOOKUP(C10,Purchased!A:Q,9,0)</f>
        <v>SMC</v>
      </c>
      <c r="G10" s="112" t="str">
        <f>VLOOKUP(C10,Purchased!A:Q,10,0)</f>
        <v>AAP</v>
      </c>
      <c r="H10" s="112" t="str">
        <f>VLOOKUP(C10,Purchased!A:Q,12,0)</f>
        <v xml:space="preserve"> </v>
      </c>
      <c r="I10" s="113"/>
      <c r="J10" s="44" t="str">
        <f>VLOOKUP(C10,Purchased!A:Q,13,0)</f>
        <v>N/A</v>
      </c>
      <c r="K10" s="44">
        <f>VLOOKUP(C10,Purchased!A:Q,14,0)</f>
        <v>45086</v>
      </c>
      <c r="L10" s="44">
        <f>VLOOKUP(C10,Purchased!A:Q,15,0)</f>
        <v>45103</v>
      </c>
      <c r="M10" s="44">
        <f>VLOOKUP(C10,Purchased!A:Q,16,0)</f>
        <v>45103</v>
      </c>
      <c r="N10" s="45">
        <f>VLOOKUP(C10,Purchased!A:Q,17,0)</f>
        <v>54926</v>
      </c>
      <c r="O10" s="45" t="e">
        <f t="shared" ca="1" si="0"/>
        <v>#VALUE!</v>
      </c>
      <c r="P10" s="49">
        <f>IFERROR(VLOOKUP(C10,Purchased!A:E,3,FALSE),"")</f>
        <v>5.4641999999999999</v>
      </c>
      <c r="Q10" s="50">
        <f t="shared" si="1"/>
        <v>16.392600000000002</v>
      </c>
    </row>
    <row r="11" spans="1:17" s="2" customFormat="1" ht="12" customHeight="1">
      <c r="A11" s="4">
        <f t="shared" si="3"/>
        <v>307</v>
      </c>
      <c r="B11" s="2">
        <v>2</v>
      </c>
      <c r="C11" s="114" t="s">
        <v>175</v>
      </c>
      <c r="D11" s="268" t="str">
        <f>VLOOKUP(C11,Purchased!A:B,2,0)</f>
        <v>SMC FITTING ASSY</v>
      </c>
      <c r="E11" s="269"/>
      <c r="F11" s="112" t="str">
        <f>VLOOKUP(C11,Purchased!A:Q,9,0)</f>
        <v>SMC</v>
      </c>
      <c r="G11" s="112" t="str">
        <f>VLOOKUP(C11,Purchased!A:Q,10,0)</f>
        <v>AAP</v>
      </c>
      <c r="H11" s="112" t="str">
        <f>VLOOKUP(C11,Purchased!A:Q,12,0)</f>
        <v xml:space="preserve"> </v>
      </c>
      <c r="I11" s="113"/>
      <c r="J11" s="44" t="str">
        <f>VLOOKUP(C11,Purchased!A:Q,13,0)</f>
        <v>N/A</v>
      </c>
      <c r="K11" s="44">
        <f>VLOOKUP(C11,Purchased!A:Q,14,0)</f>
        <v>45086</v>
      </c>
      <c r="L11" s="44">
        <f>VLOOKUP(C11,Purchased!A:Q,15,0)</f>
        <v>45103</v>
      </c>
      <c r="M11" s="44">
        <f>VLOOKUP(C11,Purchased!A:Q,16,0)</f>
        <v>45103</v>
      </c>
      <c r="N11" s="45">
        <f>VLOOKUP(C11,Purchased!A:Q,17,0)</f>
        <v>54926</v>
      </c>
      <c r="O11" s="45" t="e">
        <f t="shared" ca="1" si="0"/>
        <v>#VALUE!</v>
      </c>
      <c r="P11" s="49">
        <f>IFERROR(VLOOKUP(C11,Purchased!A:E,3,FALSE),"")</f>
        <v>3.3892000000000002</v>
      </c>
      <c r="Q11" s="50">
        <f t="shared" si="1"/>
        <v>6.7784000000000004</v>
      </c>
    </row>
    <row r="12" spans="1:17" s="2" customFormat="1" ht="12" customHeight="1">
      <c r="A12" s="4">
        <f t="shared" si="3"/>
        <v>308</v>
      </c>
      <c r="B12" s="2">
        <v>1</v>
      </c>
      <c r="C12" s="114" t="s">
        <v>176</v>
      </c>
      <c r="D12" s="268" t="str">
        <f>VLOOKUP(C12,Purchased!A:B,2,0)</f>
        <v>SMC SS5Y5 U SIDE END PLATE</v>
      </c>
      <c r="E12" s="269"/>
      <c r="F12" s="112" t="str">
        <f>VLOOKUP(C12,Purchased!A:Q,9,0)</f>
        <v>SMC</v>
      </c>
      <c r="G12" s="112" t="str">
        <f>VLOOKUP(C12,Purchased!A:Q,10,0)</f>
        <v>AAP</v>
      </c>
      <c r="H12" s="112" t="str">
        <f>VLOOKUP(C12,Purchased!A:Q,12,0)</f>
        <v xml:space="preserve"> </v>
      </c>
      <c r="I12" s="113"/>
      <c r="J12" s="44" t="str">
        <f>VLOOKUP(C12,Purchased!A:Q,13,0)</f>
        <v>N/A</v>
      </c>
      <c r="K12" s="44">
        <f>VLOOKUP(C12,Purchased!A:Q,14,0)</f>
        <v>45086</v>
      </c>
      <c r="L12" s="44">
        <f>VLOOKUP(C12,Purchased!A:Q,15,0)</f>
        <v>45103</v>
      </c>
      <c r="M12" s="44">
        <f>VLOOKUP(C12,Purchased!A:Q,16,0)</f>
        <v>45103</v>
      </c>
      <c r="N12" s="45">
        <f>VLOOKUP(C12,Purchased!A:Q,17,0)</f>
        <v>54926</v>
      </c>
      <c r="O12" s="45" t="e">
        <f t="shared" ca="1" si="0"/>
        <v>#VALUE!</v>
      </c>
      <c r="P12" s="49">
        <f>IFERROR(VLOOKUP(C12,Purchased!A:E,3,FALSE),"")</f>
        <v>33.116999999999997</v>
      </c>
      <c r="Q12" s="50">
        <f t="shared" si="1"/>
        <v>33.116999999999997</v>
      </c>
    </row>
    <row r="13" spans="1:17" s="2" customFormat="1" ht="12" customHeight="1">
      <c r="A13" s="4">
        <f t="shared" si="3"/>
        <v>309</v>
      </c>
      <c r="B13" s="2">
        <v>2</v>
      </c>
      <c r="C13" s="114" t="s">
        <v>177</v>
      </c>
      <c r="D13" s="268" t="str">
        <f>VLOOKUP(C13,Purchased!A:B,2,0)</f>
        <v>SMC COVER ASSY</v>
      </c>
      <c r="E13" s="269"/>
      <c r="F13" s="112" t="str">
        <f>VLOOKUP(C13,Purchased!A:Q,9,0)</f>
        <v>SMC</v>
      </c>
      <c r="G13" s="112" t="str">
        <f>VLOOKUP(C13,Purchased!A:Q,10,0)</f>
        <v>AAP</v>
      </c>
      <c r="H13" s="112" t="str">
        <f>VLOOKUP(C13,Purchased!A:Q,12,0)</f>
        <v xml:space="preserve"> </v>
      </c>
      <c r="I13" s="113"/>
      <c r="J13" s="44" t="str">
        <f>VLOOKUP(C13,Purchased!A:Q,13,0)</f>
        <v>N/A</v>
      </c>
      <c r="K13" s="44">
        <f>VLOOKUP(C13,Purchased!A:Q,14,0)</f>
        <v>45086</v>
      </c>
      <c r="L13" s="44">
        <f>VLOOKUP(C13,Purchased!A:Q,15,0)</f>
        <v>45103</v>
      </c>
      <c r="M13" s="44">
        <f>VLOOKUP(C13,Purchased!A:Q,16,0)</f>
        <v>45103</v>
      </c>
      <c r="N13" s="45" t="str">
        <f>VLOOKUP(C13,Purchased!A:Q,17,0)</f>
        <v>4x54926, 5x55260</v>
      </c>
      <c r="O13" s="45" t="e">
        <f t="shared" ca="1" si="0"/>
        <v>#VALUE!</v>
      </c>
      <c r="P13" s="49">
        <f>IFERROR(VLOOKUP(C13,Purchased!A:E,3,FALSE),"")</f>
        <v>1.7153</v>
      </c>
      <c r="Q13" s="50">
        <f t="shared" si="1"/>
        <v>3.4306000000000001</v>
      </c>
    </row>
    <row r="14" spans="1:17" s="2" customFormat="1" ht="12" customHeight="1">
      <c r="A14" s="4">
        <f t="shared" si="3"/>
        <v>310</v>
      </c>
      <c r="B14" s="2">
        <v>2</v>
      </c>
      <c r="C14" s="114" t="s">
        <v>178</v>
      </c>
      <c r="D14" s="268" t="str">
        <f>VLOOKUP(C14,Purchased!A:B,2,0)</f>
        <v>Saginaw ELJ Trough Window Enclosure, 9H X 30W X 8D, RAL5005 Blue</v>
      </c>
      <c r="E14" s="269"/>
      <c r="F14" s="112" t="str">
        <f>VLOOKUP(C14,Purchased!A:Q,9,0)</f>
        <v>SAGINAW</v>
      </c>
      <c r="G14" s="112" t="str">
        <f>VLOOKUP(C14,Purchased!A:Q,10,0)</f>
        <v>SAGINAW</v>
      </c>
      <c r="H14" s="112" t="str">
        <f>VLOOKUP(C14,Purchased!A:Q,12,0)</f>
        <v xml:space="preserve"> </v>
      </c>
      <c r="I14" s="113"/>
      <c r="J14" s="44" t="str">
        <f>VLOOKUP(C14,Purchased!A:Q,13,0)</f>
        <v>N/A</v>
      </c>
      <c r="K14" s="44">
        <f>VLOOKUP(C14,Purchased!A:Q,14,0)</f>
        <v>45013</v>
      </c>
      <c r="L14" s="44">
        <f>VLOOKUP(C14,Purchased!A:Q,15,0)</f>
        <v>45043</v>
      </c>
      <c r="M14" s="44">
        <f>VLOOKUP(C14,Purchased!A:Q,16,0)</f>
        <v>45043</v>
      </c>
      <c r="N14" s="45">
        <f>VLOOKUP(C14,Purchased!A:Q,17,0)</f>
        <v>54828</v>
      </c>
      <c r="O14" s="45" t="e">
        <f t="shared" ca="1" si="0"/>
        <v>#VALUE!</v>
      </c>
      <c r="P14" s="49">
        <f>IFERROR(VLOOKUP(C14,Purchased!A:E,3,FALSE),"")</f>
        <v>242.83</v>
      </c>
      <c r="Q14" s="50">
        <f t="shared" si="1"/>
        <v>485.66</v>
      </c>
    </row>
    <row r="15" spans="1:17" s="2" customFormat="1" ht="12" customHeight="1">
      <c r="A15" s="4">
        <f t="shared" si="3"/>
        <v>311</v>
      </c>
      <c r="B15" s="2">
        <v>2</v>
      </c>
      <c r="C15" s="114" t="s">
        <v>179</v>
      </c>
      <c r="D15" s="268" t="str">
        <f>VLOOKUP(C15,Purchased!A:B,2,0)</f>
        <v>Saginaw Subpanel, ELJ Trough Galvanized, 8H X 29W X 0.08D</v>
      </c>
      <c r="E15" s="269"/>
      <c r="F15" s="112" t="str">
        <f>VLOOKUP(C15,Purchased!A:Q,9,0)</f>
        <v>SAGINAW</v>
      </c>
      <c r="G15" s="112" t="str">
        <f>VLOOKUP(C15,Purchased!A:Q,10,0)</f>
        <v>SAGINAW</v>
      </c>
      <c r="H15" s="112" t="str">
        <f>VLOOKUP(C15,Purchased!A:Q,12,0)</f>
        <v xml:space="preserve"> </v>
      </c>
      <c r="I15" s="113"/>
      <c r="J15" s="44" t="str">
        <f>VLOOKUP(C15,Purchased!A:Q,13,0)</f>
        <v>N/A</v>
      </c>
      <c r="K15" s="44">
        <f>VLOOKUP(C15,Purchased!A:Q,14,0)</f>
        <v>45013</v>
      </c>
      <c r="L15" s="44">
        <f>VLOOKUP(C15,Purchased!A:Q,15,0)</f>
        <v>45043</v>
      </c>
      <c r="M15" s="44">
        <f>VLOOKUP(C15,Purchased!A:Q,16,0)</f>
        <v>45043</v>
      </c>
      <c r="N15" s="45">
        <f>VLOOKUP(C15,Purchased!A:Q,17,0)</f>
        <v>54829</v>
      </c>
      <c r="O15" s="45" t="e">
        <f t="shared" ca="1" si="0"/>
        <v>#VALUE!</v>
      </c>
      <c r="P15" s="49">
        <f>IFERROR(VLOOKUP(C15,Purchased!A:E,3,FALSE),"")</f>
        <v>30.63</v>
      </c>
      <c r="Q15" s="50">
        <f t="shared" si="1"/>
        <v>61.26</v>
      </c>
    </row>
    <row r="16" spans="1:17" s="2" customFormat="1" ht="12" customHeight="1">
      <c r="A16" s="4">
        <f t="shared" si="3"/>
        <v>312</v>
      </c>
      <c r="B16" s="2">
        <v>1</v>
      </c>
      <c r="C16" s="114" t="s">
        <v>140</v>
      </c>
      <c r="D16" s="268" t="str">
        <f>VLOOKUP(C16,Purchased!A:B,2,0)</f>
        <v>Autonics E/IP Bus Coupler</v>
      </c>
      <c r="E16" s="269"/>
      <c r="F16" s="112" t="str">
        <f>VLOOKUP(C16,Purchased!A:Q,9,0)</f>
        <v>Autonics</v>
      </c>
      <c r="G16" s="112" t="str">
        <f>VLOOKUP(C16,Purchased!A:Q,10,0)</f>
        <v>ProAuto</v>
      </c>
      <c r="H16" s="112" t="str">
        <f>VLOOKUP(C16,Purchased!A:Q,12,0)</f>
        <v xml:space="preserve"> </v>
      </c>
      <c r="I16" s="113"/>
      <c r="J16" s="44" t="str">
        <f>VLOOKUP(C16,Purchased!A:Q,13,0)</f>
        <v>N/A</v>
      </c>
      <c r="K16" s="44">
        <f>VLOOKUP(C16,Purchased!A:Q,14,0)</f>
        <v>45007</v>
      </c>
      <c r="L16" s="44">
        <f>VLOOKUP(C16,Purchased!A:Q,15,0)</f>
        <v>45037</v>
      </c>
      <c r="M16" s="44">
        <f>VLOOKUP(C16,Purchased!A:Q,16,0)</f>
        <v>45037</v>
      </c>
      <c r="N16" s="45">
        <f>VLOOKUP(C16,Purchased!A:Q,17,0)</f>
        <v>54818</v>
      </c>
      <c r="O16" s="45" t="e">
        <f t="shared" ca="1" si="0"/>
        <v>#VALUE!</v>
      </c>
      <c r="P16" s="49">
        <f>IFERROR(VLOOKUP(C16,Purchased!A:E,3,FALSE),"")</f>
        <v>414.17</v>
      </c>
      <c r="Q16" s="50">
        <f t="shared" si="1"/>
        <v>414.17</v>
      </c>
    </row>
    <row r="17" spans="1:17" s="2" customFormat="1" ht="12" customHeight="1">
      <c r="A17" s="4">
        <f t="shared" si="3"/>
        <v>313</v>
      </c>
      <c r="B17" s="2">
        <v>4</v>
      </c>
      <c r="C17" s="114" t="s">
        <v>141</v>
      </c>
      <c r="D17" s="268" t="str">
        <f>VLOOKUP(C17,Purchased!A:B,2,0)</f>
        <v>Autonics 8-channel digital input</v>
      </c>
      <c r="E17" s="269"/>
      <c r="F17" s="112" t="str">
        <f>VLOOKUP(C17,Purchased!A:Q,9,0)</f>
        <v>Autonics</v>
      </c>
      <c r="G17" s="112" t="str">
        <f>VLOOKUP(C17,Purchased!A:Q,10,0)</f>
        <v>ProAuto</v>
      </c>
      <c r="H17" s="112" t="str">
        <f>VLOOKUP(C17,Purchased!A:Q,12,0)</f>
        <v xml:space="preserve"> </v>
      </c>
      <c r="I17" s="113"/>
      <c r="J17" s="44" t="str">
        <f>VLOOKUP(C17,Purchased!A:Q,13,0)</f>
        <v>N/A</v>
      </c>
      <c r="K17" s="44">
        <f>VLOOKUP(C17,Purchased!A:Q,14,0)</f>
        <v>45007</v>
      </c>
      <c r="L17" s="44">
        <f>VLOOKUP(C17,Purchased!A:Q,15,0)</f>
        <v>45037</v>
      </c>
      <c r="M17" s="44">
        <f>VLOOKUP(C17,Purchased!A:Q,16,0)</f>
        <v>45037</v>
      </c>
      <c r="N17" s="45">
        <f>VLOOKUP(C17,Purchased!A:Q,17,0)</f>
        <v>54818</v>
      </c>
      <c r="O17" s="45" t="e">
        <f t="shared" ca="1" si="0"/>
        <v>#VALUE!</v>
      </c>
      <c r="P17" s="49">
        <f>IFERROR(VLOOKUP(C17,Purchased!A:E,3,FALSE),"")</f>
        <v>85</v>
      </c>
      <c r="Q17" s="50">
        <f t="shared" si="1"/>
        <v>340</v>
      </c>
    </row>
    <row r="18" spans="1:17" s="2" customFormat="1" ht="12" customHeight="1">
      <c r="A18" s="4">
        <f t="shared" si="3"/>
        <v>314</v>
      </c>
      <c r="B18" s="2">
        <v>3</v>
      </c>
      <c r="C18" s="114" t="s">
        <v>142</v>
      </c>
      <c r="D18" s="268" t="str">
        <f>VLOOKUP(C18,Purchased!A:B,2,0)</f>
        <v>Autonics 8-channel digital output</v>
      </c>
      <c r="E18" s="269"/>
      <c r="F18" s="112" t="str">
        <f>VLOOKUP(C18,Purchased!A:Q,9,0)</f>
        <v>Autonics</v>
      </c>
      <c r="G18" s="112" t="str">
        <f>VLOOKUP(C18,Purchased!A:Q,10,0)</f>
        <v>ProAuto</v>
      </c>
      <c r="H18" s="112" t="str">
        <f>VLOOKUP(C18,Purchased!A:Q,12,0)</f>
        <v xml:space="preserve"> </v>
      </c>
      <c r="I18" s="113"/>
      <c r="J18" s="44" t="str">
        <f>VLOOKUP(C18,Purchased!A:Q,13,0)</f>
        <v>N/A</v>
      </c>
      <c r="K18" s="44">
        <f>VLOOKUP(C18,Purchased!A:Q,14,0)</f>
        <v>45007</v>
      </c>
      <c r="L18" s="44">
        <f>VLOOKUP(C18,Purchased!A:Q,15,0)</f>
        <v>45037</v>
      </c>
      <c r="M18" s="44">
        <f>VLOOKUP(C18,Purchased!A:Q,16,0)</f>
        <v>45037</v>
      </c>
      <c r="N18" s="45">
        <f>VLOOKUP(C18,Purchased!A:Q,17,0)</f>
        <v>54818</v>
      </c>
      <c r="O18" s="45" t="e">
        <f t="shared" ca="1" si="0"/>
        <v>#VALUE!</v>
      </c>
      <c r="P18" s="49">
        <f>IFERROR(VLOOKUP(C18,Purchased!A:E,3,FALSE),"")</f>
        <v>110.83</v>
      </c>
      <c r="Q18" s="50">
        <f t="shared" si="1"/>
        <v>332.49</v>
      </c>
    </row>
    <row r="19" spans="1:17" s="2" customFormat="1" ht="12" customHeight="1">
      <c r="A19" s="4">
        <f t="shared" si="3"/>
        <v>315</v>
      </c>
      <c r="B19" s="2">
        <v>1</v>
      </c>
      <c r="C19" s="114" t="s">
        <v>180</v>
      </c>
      <c r="D19" s="268" t="str">
        <f>VLOOKUP(C19,Purchased!A:B,2,0)</f>
        <v>Autonics 4-channel thermocouple input</v>
      </c>
      <c r="E19" s="269"/>
      <c r="F19" s="112" t="str">
        <f>VLOOKUP(C19,Purchased!A:Q,9,0)</f>
        <v>Autonics</v>
      </c>
      <c r="G19" s="112" t="str">
        <f>VLOOKUP(C19,Purchased!A:Q,10,0)</f>
        <v>ProAuto</v>
      </c>
      <c r="H19" s="112" t="str">
        <f>VLOOKUP(C19,Purchased!A:Q,12,0)</f>
        <v xml:space="preserve"> </v>
      </c>
      <c r="I19" s="113"/>
      <c r="J19" s="44" t="str">
        <f>VLOOKUP(C19,Purchased!A:Q,13,0)</f>
        <v>N/A</v>
      </c>
      <c r="K19" s="44">
        <f>VLOOKUP(C19,Purchased!A:Q,14,0)</f>
        <v>45007</v>
      </c>
      <c r="L19" s="44">
        <f>VLOOKUP(C19,Purchased!A:Q,15,0)</f>
        <v>45037</v>
      </c>
      <c r="M19" s="44">
        <f>VLOOKUP(C19,Purchased!A:Q,16,0)</f>
        <v>45037</v>
      </c>
      <c r="N19" s="45">
        <f>VLOOKUP(C19,Purchased!A:Q,17,0)</f>
        <v>54818</v>
      </c>
      <c r="O19" s="45" t="e">
        <f t="shared" ca="1" si="0"/>
        <v>#VALUE!</v>
      </c>
      <c r="P19" s="49">
        <f>IFERROR(VLOOKUP(C19,Purchased!A:E,3,FALSE),"")</f>
        <v>369.17</v>
      </c>
      <c r="Q19" s="50">
        <f t="shared" si="1"/>
        <v>369.17</v>
      </c>
    </row>
    <row r="20" spans="1:17" s="2" customFormat="1" ht="12" customHeight="1">
      <c r="A20" s="4">
        <f t="shared" si="3"/>
        <v>316</v>
      </c>
      <c r="B20" s="2">
        <v>1</v>
      </c>
      <c r="C20" s="114">
        <v>1029591</v>
      </c>
      <c r="D20" s="268" t="str">
        <f>VLOOKUP(C20,Purchased!A:B,2,0)</f>
        <v>D-PT 1,5/S-QUATTRO-0,8 OG, END-COVER, OG</v>
      </c>
      <c r="E20" s="269"/>
      <c r="F20" s="112" t="str">
        <f>VLOOKUP(C20,Purchased!A:Q,9,0)</f>
        <v>PHOENIX CONTACT</v>
      </c>
      <c r="G20" s="112" t="str">
        <f>VLOOKUP(C20,Purchased!A:Q,10,0)</f>
        <v>CRAVE</v>
      </c>
      <c r="H20" s="112">
        <f>VLOOKUP(C20,Purchased!A:Q,12,0)</f>
        <v>0</v>
      </c>
      <c r="I20" s="113"/>
      <c r="J20" s="44">
        <f>VLOOKUP(C20,Purchased!A:Q,13,0)</f>
        <v>0</v>
      </c>
      <c r="K20" s="44">
        <f>VLOOKUP(C20,Purchased!A:Q,14,0)</f>
        <v>0</v>
      </c>
      <c r="L20" s="44">
        <f>VLOOKUP(C20,Purchased!A:Q,15,0)</f>
        <v>0</v>
      </c>
      <c r="M20" s="44">
        <f>VLOOKUP(C20,Purchased!A:Q,16,0)</f>
        <v>0</v>
      </c>
      <c r="N20" s="45">
        <f>VLOOKUP(C20,Purchased!A:Q,17,0)</f>
        <v>0</v>
      </c>
      <c r="O20" s="45" t="e">
        <f t="shared" ca="1" si="0"/>
        <v>#VALUE!</v>
      </c>
      <c r="P20" s="49">
        <f>IFERROR(VLOOKUP(C20,Purchased!A:E,3,FALSE),"")</f>
        <v>0</v>
      </c>
      <c r="Q20" s="50">
        <f t="shared" si="1"/>
        <v>0</v>
      </c>
    </row>
    <row r="21" spans="1:17" s="2" customFormat="1" ht="12" customHeight="1">
      <c r="A21" s="4">
        <f t="shared" si="3"/>
        <v>317</v>
      </c>
      <c r="B21" s="2">
        <v>2</v>
      </c>
      <c r="C21" s="114">
        <v>3022276</v>
      </c>
      <c r="D21" s="268" t="str">
        <f>VLOOKUP(C21,Purchased!A:B,2,0)</f>
        <v>CLIPFIX 35-5 - End clamp</v>
      </c>
      <c r="E21" s="269"/>
      <c r="F21" s="112" t="str">
        <f>VLOOKUP(C21,Purchased!A:Q,9,0)</f>
        <v>PHOENIX CONTACT</v>
      </c>
      <c r="G21" s="112" t="str">
        <f>VLOOKUP(C21,Purchased!A:Q,10,0)</f>
        <v>CRAVE</v>
      </c>
      <c r="H21" s="112">
        <f>VLOOKUP(C21,Purchased!A:Q,12,0)</f>
        <v>0</v>
      </c>
      <c r="I21" s="113"/>
      <c r="J21" s="44">
        <f>VLOOKUP(C21,Purchased!A:Q,13,0)</f>
        <v>0</v>
      </c>
      <c r="K21" s="44">
        <f>VLOOKUP(C21,Purchased!A:Q,14,0)</f>
        <v>0</v>
      </c>
      <c r="L21" s="44">
        <f>VLOOKUP(C21,Purchased!A:Q,15,0)</f>
        <v>0</v>
      </c>
      <c r="M21" s="44">
        <f>VLOOKUP(C21,Purchased!A:Q,16,0)</f>
        <v>0</v>
      </c>
      <c r="N21" s="45">
        <f>VLOOKUP(C21,Purchased!A:Q,17,0)</f>
        <v>0</v>
      </c>
      <c r="O21" s="45" t="e">
        <f t="shared" ca="1" si="0"/>
        <v>#VALUE!</v>
      </c>
      <c r="P21" s="49">
        <f>IFERROR(VLOOKUP(C21,Purchased!A:E,3,FALSE),"")</f>
        <v>0</v>
      </c>
      <c r="Q21" s="50">
        <f t="shared" si="1"/>
        <v>0</v>
      </c>
    </row>
    <row r="22" spans="1:17" s="2" customFormat="1" ht="12" customHeight="1">
      <c r="A22" s="4">
        <f t="shared" si="3"/>
        <v>318</v>
      </c>
      <c r="B22" s="2">
        <v>1</v>
      </c>
      <c r="C22" s="114" t="s">
        <v>143</v>
      </c>
      <c r="D22" s="268" t="str">
        <f>VLOOKUP(C22,Purchased!A:B,2,0)</f>
        <v>Autonics I/O Power Module</v>
      </c>
      <c r="E22" s="269"/>
      <c r="F22" s="112" t="str">
        <f>VLOOKUP(C22,Purchased!A:Q,9,0)</f>
        <v>Autonics</v>
      </c>
      <c r="G22" s="112" t="str">
        <f>VLOOKUP(C22,Purchased!A:Q,10,0)</f>
        <v>ProAuto</v>
      </c>
      <c r="H22" s="112" t="str">
        <f>VLOOKUP(C22,Purchased!A:Q,12,0)</f>
        <v xml:space="preserve"> </v>
      </c>
      <c r="I22" s="113"/>
      <c r="J22" s="44" t="str">
        <f>VLOOKUP(C22,Purchased!A:Q,13,0)</f>
        <v>N/A</v>
      </c>
      <c r="K22" s="44">
        <f>VLOOKUP(C22,Purchased!A:Q,14,0)</f>
        <v>45084</v>
      </c>
      <c r="L22" s="44">
        <f>VLOOKUP(C22,Purchased!A:Q,15,0)</f>
        <v>45098</v>
      </c>
      <c r="M22" s="44">
        <f>VLOOKUP(C22,Purchased!A:Q,16,0)</f>
        <v>45098</v>
      </c>
      <c r="N22" s="45">
        <f>VLOOKUP(C22,Purchased!A:Q,17,0)</f>
        <v>54919</v>
      </c>
      <c r="O22" s="45" t="e">
        <f t="shared" ca="1" si="0"/>
        <v>#VALUE!</v>
      </c>
      <c r="P22" s="49">
        <f>IFERROR(VLOOKUP(C22,Purchased!A:E,3,FALSE),"")</f>
        <v>74.17</v>
      </c>
      <c r="Q22" s="50">
        <f t="shared" si="1"/>
        <v>74.17</v>
      </c>
    </row>
    <row r="23" spans="1:17" s="2" customFormat="1" ht="12" customHeight="1">
      <c r="A23" s="4">
        <f t="shared" si="3"/>
        <v>319</v>
      </c>
      <c r="B23" s="2">
        <v>1</v>
      </c>
      <c r="C23" s="114" t="s">
        <v>144</v>
      </c>
      <c r="D23" s="268" t="str">
        <f>VLOOKUP(C23,Purchased!A:B,2,0)</f>
        <v>Autonics 4-CHANNEL ANALOG INPUT MODULE, 0..10V</v>
      </c>
      <c r="E23" s="269"/>
      <c r="F23" s="112" t="str">
        <f>VLOOKUP(C23,Purchased!A:Q,9,0)</f>
        <v>Autonics</v>
      </c>
      <c r="G23" s="112" t="str">
        <f>VLOOKUP(C23,Purchased!A:Q,10,0)</f>
        <v>ProAuto</v>
      </c>
      <c r="H23" s="112" t="str">
        <f>VLOOKUP(C23,Purchased!A:Q,12,0)</f>
        <v xml:space="preserve"> </v>
      </c>
      <c r="I23" s="113"/>
      <c r="J23" s="44" t="str">
        <f>VLOOKUP(C23,Purchased!A:Q,13,0)</f>
        <v>N/A</v>
      </c>
      <c r="K23" s="44">
        <f>VLOOKUP(C23,Purchased!A:Q,14,0)</f>
        <v>45089</v>
      </c>
      <c r="L23" s="44">
        <f>VLOOKUP(C23,Purchased!A:Q,15,0)</f>
        <v>45106</v>
      </c>
      <c r="M23" s="44">
        <f>VLOOKUP(C23,Purchased!A:Q,16,0)</f>
        <v>45106</v>
      </c>
      <c r="N23" s="45">
        <f>VLOOKUP(C23,Purchased!A:Q,17,0)</f>
        <v>54929</v>
      </c>
      <c r="O23" s="45" t="e">
        <f t="shared" ca="1" si="0"/>
        <v>#VALUE!</v>
      </c>
      <c r="P23" s="49">
        <f>IFERROR(VLOOKUP(C23,Purchased!A:E,3,FALSE),"")</f>
        <v>274.55</v>
      </c>
      <c r="Q23" s="50">
        <f t="shared" si="1"/>
        <v>274.55</v>
      </c>
    </row>
    <row r="24" spans="1:17" s="2" customFormat="1" ht="12" customHeight="1">
      <c r="A24" s="4">
        <f t="shared" si="3"/>
        <v>320</v>
      </c>
      <c r="B24" s="2">
        <v>1</v>
      </c>
      <c r="C24" s="114" t="s">
        <v>145</v>
      </c>
      <c r="D24" s="268" t="str">
        <f>VLOOKUP(C24,Purchased!A:B,2,0)</f>
        <v>ANALOG OUTPUT MODULE, -10..10VDC, 12BIT, 2CHANNEL</v>
      </c>
      <c r="E24" s="269"/>
      <c r="F24" s="112" t="str">
        <f>VLOOKUP(C24,Purchased!A:Q,9,0)</f>
        <v>AUTONICS</v>
      </c>
      <c r="G24" s="112" t="str">
        <f>VLOOKUP(C24,Purchased!A:Q,10,0)</f>
        <v>CRAVE</v>
      </c>
      <c r="H24" s="112">
        <f>VLOOKUP(C24,Purchased!A:Q,12,0)</f>
        <v>0</v>
      </c>
      <c r="I24" s="113"/>
      <c r="J24" s="44">
        <f>VLOOKUP(C24,Purchased!A:Q,13,0)</f>
        <v>0</v>
      </c>
      <c r="K24" s="44">
        <f>VLOOKUP(C24,Purchased!A:Q,14,0)</f>
        <v>0</v>
      </c>
      <c r="L24" s="44">
        <f>VLOOKUP(C24,Purchased!A:Q,15,0)</f>
        <v>0</v>
      </c>
      <c r="M24" s="44">
        <f>VLOOKUP(C24,Purchased!A:Q,16,0)</f>
        <v>0</v>
      </c>
      <c r="N24" s="45">
        <f>VLOOKUP(C24,Purchased!A:Q,17,0)</f>
        <v>0</v>
      </c>
      <c r="O24" s="45" t="e">
        <f t="shared" ca="1" si="0"/>
        <v>#VALUE!</v>
      </c>
      <c r="P24" s="49">
        <f>IFERROR(VLOOKUP(C24,Purchased!A:E,3,FALSE),"")</f>
        <v>0</v>
      </c>
      <c r="Q24" s="50">
        <f t="shared" si="1"/>
        <v>0</v>
      </c>
    </row>
    <row r="25" spans="1:17" s="2" customFormat="1" ht="12" customHeight="1">
      <c r="A25" s="4">
        <f t="shared" si="3"/>
        <v>321</v>
      </c>
      <c r="B25" s="2">
        <v>4</v>
      </c>
      <c r="C25" s="114">
        <v>3208208</v>
      </c>
      <c r="D25" s="268" t="str">
        <f>VLOOKUP(C25,Purchased!A:B,2,0)</f>
        <v>Four-conductor terminal block, PT 1,5/S-QUATTRO BU</v>
      </c>
      <c r="E25" s="269"/>
      <c r="F25" s="112" t="str">
        <f>VLOOKUP(C25,Purchased!A:Q,9,0)</f>
        <v>PHOENIX CONTACT</v>
      </c>
      <c r="G25" s="112" t="str">
        <f>VLOOKUP(C25,Purchased!A:Q,10,0)</f>
        <v>CRAVE</v>
      </c>
      <c r="H25" s="112">
        <f>VLOOKUP(C25,Purchased!A:Q,12,0)</f>
        <v>0</v>
      </c>
      <c r="I25" s="113"/>
      <c r="J25" s="44">
        <f>VLOOKUP(C25,Purchased!A:Q,13,0)</f>
        <v>0</v>
      </c>
      <c r="K25" s="44">
        <f>VLOOKUP(C25,Purchased!A:Q,14,0)</f>
        <v>0</v>
      </c>
      <c r="L25" s="44">
        <f>VLOOKUP(C25,Purchased!A:Q,15,0)</f>
        <v>0</v>
      </c>
      <c r="M25" s="44">
        <f>VLOOKUP(C25,Purchased!A:Q,16,0)</f>
        <v>0</v>
      </c>
      <c r="N25" s="45">
        <f>VLOOKUP(C25,Purchased!A:Q,17,0)</f>
        <v>0</v>
      </c>
      <c r="O25" s="45" t="e">
        <f t="shared" ref="O25:O34" ca="1" si="6">B25*$L$2</f>
        <v>#VALUE!</v>
      </c>
      <c r="P25" s="49">
        <f>IFERROR(VLOOKUP(C25,Purchased!A:E,3,FALSE),"")</f>
        <v>0</v>
      </c>
      <c r="Q25" s="50">
        <f t="shared" ref="Q25:Q34" si="7">IFERROR(B25*P25,"")</f>
        <v>0</v>
      </c>
    </row>
    <row r="26" spans="1:17" s="2" customFormat="1" ht="12" customHeight="1">
      <c r="A26" s="4">
        <f t="shared" si="3"/>
        <v>322</v>
      </c>
      <c r="B26" s="2">
        <v>1</v>
      </c>
      <c r="C26" s="114">
        <v>3211797</v>
      </c>
      <c r="D26" s="268" t="str">
        <f>VLOOKUP(C26,Purchased!A:B,2,0)</f>
        <v>PT 4-QUATTRO; Feed-through terminal block, 32A, 24..10AWG, GY</v>
      </c>
      <c r="E26" s="269"/>
      <c r="F26" s="112" t="str">
        <f>VLOOKUP(C26,Purchased!A:Q,9,0)</f>
        <v>PHOENIX CONTACT</v>
      </c>
      <c r="G26" s="112" t="str">
        <f>VLOOKUP(C26,Purchased!A:Q,10,0)</f>
        <v>CRAVE</v>
      </c>
      <c r="H26" s="112">
        <f>VLOOKUP(C26,Purchased!A:Q,12,0)</f>
        <v>0</v>
      </c>
      <c r="I26" s="113"/>
      <c r="J26" s="44">
        <f>VLOOKUP(C26,Purchased!A:Q,13,0)</f>
        <v>0</v>
      </c>
      <c r="K26" s="44">
        <f>VLOOKUP(C26,Purchased!A:Q,14,0)</f>
        <v>0</v>
      </c>
      <c r="L26" s="44">
        <f>VLOOKUP(C26,Purchased!A:Q,15,0)</f>
        <v>0</v>
      </c>
      <c r="M26" s="44">
        <f>VLOOKUP(C26,Purchased!A:Q,16,0)</f>
        <v>0</v>
      </c>
      <c r="N26" s="45">
        <f>VLOOKUP(C26,Purchased!A:Q,17,0)</f>
        <v>0</v>
      </c>
      <c r="O26" s="45" t="e">
        <f t="shared" ca="1" si="6"/>
        <v>#VALUE!</v>
      </c>
      <c r="P26" s="49">
        <f>IFERROR(VLOOKUP(C26,Purchased!A:E,3,FALSE),"")</f>
        <v>0</v>
      </c>
      <c r="Q26" s="50">
        <f t="shared" si="7"/>
        <v>0</v>
      </c>
    </row>
    <row r="27" spans="1:17" s="2" customFormat="1" ht="12" customHeight="1">
      <c r="A27" s="4">
        <f t="shared" si="3"/>
        <v>323</v>
      </c>
      <c r="B27" s="2">
        <v>2</v>
      </c>
      <c r="C27" s="114">
        <v>3270145</v>
      </c>
      <c r="D27" s="268" t="str">
        <f>VLOOKUP(C27,Purchased!A:B,2,0)</f>
        <v>Potential distributors - PTRV 8-PV /BU, 32 POSITION, 26-14AWG, 10A</v>
      </c>
      <c r="E27" s="269"/>
      <c r="F27" s="112" t="str">
        <f>VLOOKUP(C27,Purchased!A:Q,9,0)</f>
        <v>PHOENIX CONTACT</v>
      </c>
      <c r="G27" s="112" t="str">
        <f>VLOOKUP(C27,Purchased!A:Q,10,0)</f>
        <v>CRAVE</v>
      </c>
      <c r="H27" s="112">
        <f>VLOOKUP(C27,Purchased!A:Q,12,0)</f>
        <v>0</v>
      </c>
      <c r="I27" s="113"/>
      <c r="J27" s="44">
        <f>VLOOKUP(C27,Purchased!A:Q,13,0)</f>
        <v>0</v>
      </c>
      <c r="K27" s="44">
        <f>VLOOKUP(C27,Purchased!A:Q,14,0)</f>
        <v>0</v>
      </c>
      <c r="L27" s="44">
        <f>VLOOKUP(C27,Purchased!A:Q,15,0)</f>
        <v>0</v>
      </c>
      <c r="M27" s="44">
        <f>VLOOKUP(C27,Purchased!A:Q,16,0)</f>
        <v>0</v>
      </c>
      <c r="N27" s="45">
        <f>VLOOKUP(C27,Purchased!A:Q,17,0)</f>
        <v>0</v>
      </c>
      <c r="O27" s="45" t="e">
        <f t="shared" ca="1" si="6"/>
        <v>#VALUE!</v>
      </c>
      <c r="P27" s="49">
        <f>IFERROR(VLOOKUP(C27,Purchased!A:E,3,FALSE),"")</f>
        <v>0</v>
      </c>
      <c r="Q27" s="50">
        <f t="shared" si="7"/>
        <v>0</v>
      </c>
    </row>
    <row r="28" spans="1:17" s="2" customFormat="1" ht="12" customHeight="1">
      <c r="A28" s="4">
        <f t="shared" si="3"/>
        <v>324</v>
      </c>
      <c r="B28" s="2">
        <v>2</v>
      </c>
      <c r="C28" s="114">
        <v>3270154</v>
      </c>
      <c r="D28" s="268" t="str">
        <f>VLOOKUP(C28,Purchased!A:B,2,0)</f>
        <v>D-PTRV 8 WH 1-8, SEPARATING PLATE FOR 32 POS MARSHALLING TERMINAL BLOCK</v>
      </c>
      <c r="E28" s="269"/>
      <c r="F28" s="112" t="str">
        <f>VLOOKUP(C28,Purchased!A:Q,9,0)</f>
        <v>PHOENIX CONTACT</v>
      </c>
      <c r="G28" s="112" t="str">
        <f>VLOOKUP(C28,Purchased!A:Q,10,0)</f>
        <v>CRAVE</v>
      </c>
      <c r="H28" s="112">
        <f>VLOOKUP(C28,Purchased!A:Q,12,0)</f>
        <v>0</v>
      </c>
      <c r="I28" s="113"/>
      <c r="J28" s="44">
        <f>VLOOKUP(C28,Purchased!A:Q,13,0)</f>
        <v>0</v>
      </c>
      <c r="K28" s="44">
        <f>VLOOKUP(C28,Purchased!A:Q,14,0)</f>
        <v>0</v>
      </c>
      <c r="L28" s="44">
        <f>VLOOKUP(C28,Purchased!A:Q,15,0)</f>
        <v>0</v>
      </c>
      <c r="M28" s="44">
        <f>VLOOKUP(C28,Purchased!A:Q,16,0)</f>
        <v>0</v>
      </c>
      <c r="N28" s="45">
        <f>VLOOKUP(C28,Purchased!A:Q,17,0)</f>
        <v>0</v>
      </c>
      <c r="O28" s="45" t="e">
        <f t="shared" ca="1" si="6"/>
        <v>#VALUE!</v>
      </c>
      <c r="P28" s="49">
        <f>IFERROR(VLOOKUP(C28,Purchased!A:E,3,FALSE),"")</f>
        <v>0</v>
      </c>
      <c r="Q28" s="50">
        <f t="shared" si="7"/>
        <v>0</v>
      </c>
    </row>
    <row r="29" spans="1:17" s="2" customFormat="1" ht="12" customHeight="1">
      <c r="A29" s="4">
        <f t="shared" si="3"/>
        <v>325</v>
      </c>
      <c r="B29" s="2">
        <v>1</v>
      </c>
      <c r="C29" s="114">
        <v>1085343</v>
      </c>
      <c r="D29" s="268" t="str">
        <f>VLOOKUP(C29,Purchased!A:B,2,0)</f>
        <v>SAFETY RELAY, RLY3-OSSD1, 2 CHANNEL INPUTS W/EDM</v>
      </c>
      <c r="E29" s="269"/>
      <c r="F29" s="112" t="str">
        <f>VLOOKUP(C29,Purchased!A:Q,9,0)</f>
        <v>SICK</v>
      </c>
      <c r="G29" s="112" t="str">
        <f>VLOOKUP(C29,Purchased!A:Q,10,0)</f>
        <v>CRAVE</v>
      </c>
      <c r="H29" s="112">
        <f>VLOOKUP(C29,Purchased!A:Q,12,0)</f>
        <v>0</v>
      </c>
      <c r="I29" s="113"/>
      <c r="J29" s="44">
        <f>VLOOKUP(C29,Purchased!A:Q,13,0)</f>
        <v>0</v>
      </c>
      <c r="K29" s="44">
        <f>VLOOKUP(C29,Purchased!A:Q,14,0)</f>
        <v>0</v>
      </c>
      <c r="L29" s="44">
        <f>VLOOKUP(C29,Purchased!A:Q,15,0)</f>
        <v>0</v>
      </c>
      <c r="M29" s="44">
        <f>VLOOKUP(C29,Purchased!A:Q,16,0)</f>
        <v>0</v>
      </c>
      <c r="N29" s="45">
        <f>VLOOKUP(C29,Purchased!A:Q,17,0)</f>
        <v>0</v>
      </c>
      <c r="O29" s="45" t="e">
        <f t="shared" ca="1" si="6"/>
        <v>#VALUE!</v>
      </c>
      <c r="P29" s="49">
        <f>IFERROR(VLOOKUP(C29,Purchased!A:E,3,FALSE),"")</f>
        <v>0</v>
      </c>
      <c r="Q29" s="50">
        <f t="shared" si="7"/>
        <v>0</v>
      </c>
    </row>
    <row r="30" spans="1:17" s="2" customFormat="1" ht="12" customHeight="1">
      <c r="A30" s="4">
        <f t="shared" si="3"/>
        <v>326</v>
      </c>
      <c r="B30" s="2">
        <v>675</v>
      </c>
      <c r="C30" s="114">
        <v>801733</v>
      </c>
      <c r="D30" s="268" t="str">
        <f>VLOOKUP(C30,Purchased!A:B,2,0)</f>
        <v>NS 35/ 7,5 PERF 2000MM - DIN rail perforated</v>
      </c>
      <c r="E30" s="269"/>
      <c r="F30" s="112" t="str">
        <f>VLOOKUP(C30,Purchased!A:Q,9,0)</f>
        <v>Phoenix Contact</v>
      </c>
      <c r="G30" s="112" t="str">
        <f>VLOOKUP(C30,Purchased!A:Q,10,0)</f>
        <v>CRAVE</v>
      </c>
      <c r="H30" s="112">
        <f>VLOOKUP(C30,Purchased!A:Q,12,0)</f>
        <v>0</v>
      </c>
      <c r="I30" s="113"/>
      <c r="J30" s="44">
        <f>VLOOKUP(C30,Purchased!A:Q,13,0)</f>
        <v>0</v>
      </c>
      <c r="K30" s="44">
        <f>VLOOKUP(C30,Purchased!A:Q,14,0)</f>
        <v>0</v>
      </c>
      <c r="L30" s="44">
        <f>VLOOKUP(C30,Purchased!A:Q,15,0)</f>
        <v>0</v>
      </c>
      <c r="M30" s="44">
        <f>VLOOKUP(C30,Purchased!A:Q,16,0)</f>
        <v>0</v>
      </c>
      <c r="N30" s="45">
        <f>VLOOKUP(C30,Purchased!A:Q,17,0)</f>
        <v>0</v>
      </c>
      <c r="O30" s="45" t="e">
        <f t="shared" ca="1" si="6"/>
        <v>#VALUE!</v>
      </c>
      <c r="P30" s="49">
        <f>IFERROR(VLOOKUP(C30,Purchased!A:E,3,FALSE),"")</f>
        <v>0</v>
      </c>
      <c r="Q30" s="50">
        <f t="shared" si="7"/>
        <v>0</v>
      </c>
    </row>
    <row r="31" spans="1:17" s="2" customFormat="1" ht="12" customHeight="1">
      <c r="A31" s="4">
        <f t="shared" si="3"/>
        <v>327</v>
      </c>
      <c r="B31" s="2">
        <v>1</v>
      </c>
      <c r="C31" s="114">
        <v>3211809</v>
      </c>
      <c r="D31" s="268" t="str">
        <f>VLOOKUP(C31,Purchased!A:B,2,0)</f>
        <v>Ground modular terminal block, PT 4-QUATTRO-PE, 24..10AWG, GNYE</v>
      </c>
      <c r="E31" s="269"/>
      <c r="F31" s="112" t="str">
        <f>VLOOKUP(C31,Purchased!A:Q,9,0)</f>
        <v>PHOENIX CONTACT</v>
      </c>
      <c r="G31" s="112" t="str">
        <f>VLOOKUP(C31,Purchased!A:Q,10,0)</f>
        <v>CRAVE</v>
      </c>
      <c r="H31" s="112">
        <f>VLOOKUP(C31,Purchased!A:Q,12,0)</f>
        <v>0</v>
      </c>
      <c r="I31" s="113"/>
      <c r="J31" s="44">
        <f>VLOOKUP(C31,Purchased!A:Q,13,0)</f>
        <v>0</v>
      </c>
      <c r="K31" s="44">
        <f>VLOOKUP(C31,Purchased!A:Q,14,0)</f>
        <v>0</v>
      </c>
      <c r="L31" s="44">
        <f>VLOOKUP(C31,Purchased!A:Q,15,0)</f>
        <v>0</v>
      </c>
      <c r="M31" s="44">
        <f>VLOOKUP(C31,Purchased!A:Q,16,0)</f>
        <v>0</v>
      </c>
      <c r="N31" s="45">
        <f>VLOOKUP(C31,Purchased!A:Q,17,0)</f>
        <v>0</v>
      </c>
      <c r="O31" s="45" t="e">
        <f t="shared" ca="1" si="6"/>
        <v>#VALUE!</v>
      </c>
      <c r="P31" s="49">
        <f>IFERROR(VLOOKUP(C31,Purchased!A:E,3,FALSE),"")</f>
        <v>0</v>
      </c>
      <c r="Q31" s="50">
        <f t="shared" si="7"/>
        <v>0</v>
      </c>
    </row>
    <row r="32" spans="1:17" s="2" customFormat="1" ht="12" customHeight="1">
      <c r="A32" s="4">
        <f t="shared" si="3"/>
        <v>328</v>
      </c>
      <c r="B32" s="2">
        <v>1</v>
      </c>
      <c r="C32" s="114" t="s">
        <v>181</v>
      </c>
      <c r="D32" s="268" t="str">
        <f>VLOOKUP(C32,Purchased!A:B,2,0)</f>
        <v>MODIFIED AND ASSEMBLED BACKPLANE</v>
      </c>
      <c r="E32" s="269"/>
      <c r="F32" s="112" t="str">
        <f>VLOOKUP(C32,Purchased!A:Q,9,0)</f>
        <v>CRAVE</v>
      </c>
      <c r="G32" s="112" t="str">
        <f>VLOOKUP(C32,Purchased!A:Q,10,0)</f>
        <v>CRAVE</v>
      </c>
      <c r="H32" s="112">
        <f>VLOOKUP(C32,Purchased!A:Q,12,0)</f>
        <v>0</v>
      </c>
      <c r="I32" s="113"/>
      <c r="J32" s="44">
        <f>VLOOKUP(C32,Purchased!A:Q,13,0)</f>
        <v>0</v>
      </c>
      <c r="K32" s="44">
        <f>VLOOKUP(C32,Purchased!A:Q,14,0)</f>
        <v>0</v>
      </c>
      <c r="L32" s="44">
        <f>VLOOKUP(C32,Purchased!A:Q,15,0)</f>
        <v>0</v>
      </c>
      <c r="M32" s="44">
        <f>VLOOKUP(C32,Purchased!A:Q,16,0)</f>
        <v>0</v>
      </c>
      <c r="N32" s="45">
        <f>VLOOKUP(C32,Purchased!A:Q,17,0)</f>
        <v>0</v>
      </c>
      <c r="O32" s="45" t="e">
        <f t="shared" ca="1" si="6"/>
        <v>#VALUE!</v>
      </c>
      <c r="P32" s="49">
        <f>IFERROR(VLOOKUP(C32,Purchased!A:E,3,FALSE),"")</f>
        <v>0</v>
      </c>
      <c r="Q32" s="50">
        <f t="shared" si="7"/>
        <v>0</v>
      </c>
    </row>
    <row r="33" spans="1:17" s="2" customFormat="1" ht="12" customHeight="1">
      <c r="A33" s="4">
        <f t="shared" si="3"/>
        <v>329</v>
      </c>
      <c r="B33" s="2">
        <v>1760</v>
      </c>
      <c r="C33" s="114" t="s">
        <v>146</v>
      </c>
      <c r="D33" s="268" t="str">
        <f>VLOOKUP(C33,Purchased!A:B,2,0)</f>
        <v>Narrow Slot Wiring Duct, 25mm x 75mm</v>
      </c>
      <c r="E33" s="269"/>
      <c r="F33" s="112" t="str">
        <f>VLOOKUP(C33,Purchased!A:Q,9,0)</f>
        <v>PANDUIT</v>
      </c>
      <c r="G33" s="112" t="str">
        <f>VLOOKUP(C33,Purchased!A:Q,10,0)</f>
        <v>CRAVE</v>
      </c>
      <c r="H33" s="112">
        <f>VLOOKUP(C33,Purchased!A:Q,12,0)</f>
        <v>0</v>
      </c>
      <c r="I33" s="113"/>
      <c r="J33" s="44">
        <f>VLOOKUP(C33,Purchased!A:Q,13,0)</f>
        <v>0</v>
      </c>
      <c r="K33" s="44">
        <f>VLOOKUP(C33,Purchased!A:Q,14,0)</f>
        <v>0</v>
      </c>
      <c r="L33" s="44">
        <f>VLOOKUP(C33,Purchased!A:Q,15,0)</f>
        <v>0</v>
      </c>
      <c r="M33" s="44">
        <f>VLOOKUP(C33,Purchased!A:Q,16,0)</f>
        <v>0</v>
      </c>
      <c r="N33" s="45">
        <f>VLOOKUP(C33,Purchased!A:Q,17,0)</f>
        <v>0</v>
      </c>
      <c r="O33" s="45" t="e">
        <f t="shared" ca="1" si="6"/>
        <v>#VALUE!</v>
      </c>
      <c r="P33" s="49">
        <f>IFERROR(VLOOKUP(C33,Purchased!A:E,3,FALSE),"")</f>
        <v>0</v>
      </c>
      <c r="Q33" s="50">
        <f t="shared" si="7"/>
        <v>0</v>
      </c>
    </row>
    <row r="34" spans="1:17" s="2" customFormat="1" ht="12" customHeight="1">
      <c r="A34" s="4">
        <f t="shared" si="3"/>
        <v>330</v>
      </c>
      <c r="B34" s="2">
        <v>1760</v>
      </c>
      <c r="C34" s="114" t="s">
        <v>147</v>
      </c>
      <c r="D34" s="268" t="str">
        <f>VLOOKUP(C34,Purchased!A:B,2,0)</f>
        <v>Duct cover, 25mm</v>
      </c>
      <c r="E34" s="269"/>
      <c r="F34" s="112" t="str">
        <f>VLOOKUP(C34,Purchased!A:Q,9,0)</f>
        <v>PANDUIT</v>
      </c>
      <c r="G34" s="112" t="str">
        <f>VLOOKUP(C34,Purchased!A:Q,10,0)</f>
        <v>CRAVE</v>
      </c>
      <c r="H34" s="112">
        <f>VLOOKUP(C34,Purchased!A:Q,12,0)</f>
        <v>0</v>
      </c>
      <c r="I34" s="113"/>
      <c r="J34" s="44">
        <f>VLOOKUP(C34,Purchased!A:Q,13,0)</f>
        <v>0</v>
      </c>
      <c r="K34" s="44">
        <f>VLOOKUP(C34,Purchased!A:Q,14,0)</f>
        <v>0</v>
      </c>
      <c r="L34" s="44">
        <f>VLOOKUP(C34,Purchased!A:Q,15,0)</f>
        <v>0</v>
      </c>
      <c r="M34" s="44">
        <f>VLOOKUP(C34,Purchased!A:Q,16,0)</f>
        <v>0</v>
      </c>
      <c r="N34" s="45">
        <f>VLOOKUP(C34,Purchased!A:Q,17,0)</f>
        <v>0</v>
      </c>
      <c r="O34" s="45" t="e">
        <f t="shared" ca="1" si="6"/>
        <v>#VALUE!</v>
      </c>
      <c r="P34" s="49">
        <f>IFERROR(VLOOKUP(C34,Purchased!A:E,3,FALSE),"")</f>
        <v>0</v>
      </c>
      <c r="Q34" s="50">
        <f t="shared" si="7"/>
        <v>0</v>
      </c>
    </row>
    <row r="35" spans="1:17" s="2" customFormat="1" ht="12" customHeight="1">
      <c r="A35" s="4">
        <f t="shared" si="3"/>
        <v>331</v>
      </c>
      <c r="B35" s="2">
        <v>2</v>
      </c>
      <c r="C35" s="114" t="s">
        <v>182</v>
      </c>
      <c r="D35" s="268" t="str">
        <f>VLOOKUP(C35,Purchased!A:B,2,0)</f>
        <v>SMC 2000 Size Electro-Pneumatic Regulato</v>
      </c>
      <c r="E35" s="269"/>
      <c r="F35" s="112" t="str">
        <f>VLOOKUP(C35,Purchased!A:Q,9,0)</f>
        <v>SMC</v>
      </c>
      <c r="G35" s="112" t="str">
        <f>VLOOKUP(C35,Purchased!A:Q,10,0)</f>
        <v>AAP</v>
      </c>
      <c r="H35" s="112" t="str">
        <f>VLOOKUP(C35,Purchased!A:Q,12,0)</f>
        <v xml:space="preserve"> </v>
      </c>
      <c r="I35" s="113"/>
      <c r="J35" s="44" t="str">
        <f>VLOOKUP(C35,Purchased!A:Q,13,0)</f>
        <v>N/A</v>
      </c>
      <c r="K35" s="44">
        <f>VLOOKUP(C35,Purchased!A:Q,14,0)</f>
        <v>45099</v>
      </c>
      <c r="L35" s="44">
        <f>VLOOKUP(C35,Purchased!A:Q,15,0)</f>
        <v>45129</v>
      </c>
      <c r="M35" s="44">
        <f>VLOOKUP(C35,Purchased!A:Q,16,0)</f>
        <v>45129</v>
      </c>
      <c r="N35" s="45">
        <f>VLOOKUP(C35,Purchased!A:Q,17,0)</f>
        <v>54958</v>
      </c>
      <c r="O35" s="45" t="e">
        <f t="shared" ref="O35" ca="1" si="8">B35*$L$2</f>
        <v>#VALUE!</v>
      </c>
      <c r="P35" s="49">
        <f>IFERROR(VLOOKUP(C35,Purchased!A:E,3,FALSE),"")</f>
        <v>348.6</v>
      </c>
      <c r="Q35" s="50">
        <f t="shared" ref="Q35" si="9">IFERROR(B35*P35,"")</f>
        <v>697.2</v>
      </c>
    </row>
    <row r="36" spans="1:17" s="2" customFormat="1" ht="12" customHeight="1">
      <c r="A36" s="4">
        <f t="shared" si="3"/>
        <v>332</v>
      </c>
      <c r="B36" s="2">
        <v>1</v>
      </c>
      <c r="C36" s="114" t="s">
        <v>183</v>
      </c>
      <c r="D36" s="268" t="str">
        <f>VLOOKUP(C36,Purchased!A:B,2,0)</f>
        <v>SMC F TYPE CONNECTOR, 3M LENGTH</v>
      </c>
      <c r="E36" s="269"/>
      <c r="F36" s="112" t="str">
        <f>VLOOKUP(C36,Purchased!A:Q,9,0)</f>
        <v>SMC</v>
      </c>
      <c r="G36" s="112" t="str">
        <f>VLOOKUP(C36,Purchased!A:Q,10,0)</f>
        <v>AAP</v>
      </c>
      <c r="H36" s="112">
        <f>VLOOKUP(C36,Purchased!A:Q,12,0)</f>
        <v>0</v>
      </c>
      <c r="I36" s="113"/>
      <c r="J36" s="44">
        <f>VLOOKUP(C36,Purchased!A:Q,13,0)</f>
        <v>45089</v>
      </c>
      <c r="K36" s="44">
        <f>VLOOKUP(C36,Purchased!A:Q,14,0)</f>
        <v>45167</v>
      </c>
      <c r="L36" s="44">
        <f>VLOOKUP(C36,Purchased!A:Q,15,0)</f>
        <v>45184</v>
      </c>
      <c r="M36" s="44">
        <f>VLOOKUP(C36,Purchased!A:Q,16,0)</f>
        <v>45184</v>
      </c>
      <c r="N36" s="45">
        <f>VLOOKUP(C36,Purchased!A:Q,17,0)</f>
        <v>55114</v>
      </c>
      <c r="O36" s="45" t="e">
        <f t="shared" ref="O36" ca="1" si="10">B36*$L$2</f>
        <v>#VALUE!</v>
      </c>
      <c r="P36" s="49">
        <f>IFERROR(VLOOKUP(C36,Purchased!A:E,3,FALSE),"")</f>
        <v>97.691000000000003</v>
      </c>
      <c r="Q36" s="50">
        <f t="shared" ref="Q36" si="11">IFERROR(B36*P36,"")</f>
        <v>97.691000000000003</v>
      </c>
    </row>
    <row r="37" spans="1:17" s="2" customFormat="1" ht="12" customHeight="1">
      <c r="A37" s="4">
        <f t="shared" si="3"/>
        <v>333</v>
      </c>
      <c r="B37" s="2">
        <v>2</v>
      </c>
      <c r="C37" s="114" t="s">
        <v>184</v>
      </c>
      <c r="D37" s="268" t="str">
        <f>VLOOKUP(C37,Purchased!A:B,2,0)</f>
        <v>M12 female 0° A-cod. 4-Pin with cable 5M</v>
      </c>
      <c r="E37" s="269"/>
      <c r="F37" s="112" t="str">
        <f>VLOOKUP(C37,Purchased!A:Q,9,0)</f>
        <v>MURR</v>
      </c>
      <c r="G37" s="112" t="str">
        <f>VLOOKUP(C37,Purchased!A:Q,10,0)</f>
        <v>MURR</v>
      </c>
      <c r="H37" s="112" t="str">
        <f>VLOOKUP(C37,Purchased!A:Q,12,0)</f>
        <v xml:space="preserve"> </v>
      </c>
      <c r="I37" s="113"/>
      <c r="J37" s="44">
        <f>VLOOKUP(C37,Purchased!A:Q,13,0)</f>
        <v>45216</v>
      </c>
      <c r="K37" s="44">
        <f>VLOOKUP(C37,Purchased!A:Q,14,0)</f>
        <v>45219</v>
      </c>
      <c r="L37" s="44">
        <f>VLOOKUP(C37,Purchased!A:Q,15,0)</f>
        <v>45226</v>
      </c>
      <c r="M37" s="44">
        <f>VLOOKUP(C37,Purchased!A:Q,16,0)</f>
        <v>45226</v>
      </c>
      <c r="N37" s="45">
        <f>VLOOKUP(C37,Purchased!A:Q,17,0)</f>
        <v>55194</v>
      </c>
      <c r="O37" s="45" t="e">
        <f t="shared" ref="O37" ca="1" si="12">B37*$L$2</f>
        <v>#VALUE!</v>
      </c>
      <c r="P37" s="49">
        <f>IFERROR(VLOOKUP(C37,Purchased!A:E,3,FALSE),"")</f>
        <v>26.52</v>
      </c>
      <c r="Q37" s="50">
        <f t="shared" ref="Q37" si="13">IFERROR(B37*P37,"")</f>
        <v>53.04</v>
      </c>
    </row>
    <row r="38" spans="1:17" s="2" customFormat="1" ht="12" customHeight="1">
      <c r="A38" s="4">
        <f t="shared" si="3"/>
        <v>334</v>
      </c>
      <c r="B38" s="2">
        <v>6</v>
      </c>
      <c r="C38" s="114" t="s">
        <v>185</v>
      </c>
      <c r="D38" s="268" t="str">
        <f>VLOOKUP(C38,Purchased!A:B,2,0)</f>
        <v>SMC FITTING, MALE ELBOW</v>
      </c>
      <c r="E38" s="269"/>
      <c r="F38" s="112" t="str">
        <f>VLOOKUP(C38,Purchased!A:Q,9,0)</f>
        <v>SMC</v>
      </c>
      <c r="G38" s="112" t="str">
        <f>VLOOKUP(C38,Purchased!A:Q,10,0)</f>
        <v>AAP</v>
      </c>
      <c r="H38" s="112" t="str">
        <f>VLOOKUP(C38,Purchased!A:Q,12,0)</f>
        <v xml:space="preserve"> </v>
      </c>
      <c r="I38" s="113"/>
      <c r="J38" s="44" t="str">
        <f>VLOOKUP(C38,Purchased!A:Q,13,0)</f>
        <v>N/A</v>
      </c>
      <c r="K38" s="44">
        <f>VLOOKUP(C38,Purchased!A:Q,14,0)</f>
        <v>45162</v>
      </c>
      <c r="L38" s="44">
        <f>VLOOKUP(C38,Purchased!A:Q,15,0)</f>
        <v>45184</v>
      </c>
      <c r="M38" s="44">
        <f>VLOOKUP(C38,Purchased!A:Q,16,0)</f>
        <v>45180</v>
      </c>
      <c r="N38" s="45" t="str">
        <f>VLOOKUP(C38,Purchased!A:Q,17,0)</f>
        <v>10x55037, 20x55073, 10x55270</v>
      </c>
      <c r="O38" s="45" t="e">
        <f t="shared" ref="O38:O39" ca="1" si="14">B38*$L$2</f>
        <v>#VALUE!</v>
      </c>
      <c r="P38" s="49">
        <f>IFERROR(VLOOKUP(C38,Purchased!A:E,3,FALSE),"")</f>
        <v>2.2932999999999999</v>
      </c>
      <c r="Q38" s="50">
        <f t="shared" ref="Q38:Q39" si="15">IFERROR(B38*P38,"")</f>
        <v>13.759799999999998</v>
      </c>
    </row>
    <row r="39" spans="1:17" s="2" customFormat="1" ht="12" customHeight="1" thickBot="1">
      <c r="A39" s="4">
        <f t="shared" si="3"/>
        <v>335</v>
      </c>
      <c r="B39" s="2">
        <v>2</v>
      </c>
      <c r="C39" s="114" t="s">
        <v>186</v>
      </c>
      <c r="D39" s="268" t="str">
        <f>VLOOKUP(C39,Purchased!A:B,2,0)</f>
        <v>SMC FITTING, MALE ELBOW</v>
      </c>
      <c r="E39" s="269"/>
      <c r="F39" s="112" t="str">
        <f>VLOOKUP(C39,Purchased!A:Q,9,0)</f>
        <v>SMC</v>
      </c>
      <c r="G39" s="112" t="str">
        <f>VLOOKUP(C39,Purchased!A:Q,10,0)</f>
        <v>AAP</v>
      </c>
      <c r="H39" s="112" t="str">
        <f>VLOOKUP(C39,Purchased!A:Q,12,0)</f>
        <v xml:space="preserve">  </v>
      </c>
      <c r="I39" s="113"/>
      <c r="J39" s="44" t="str">
        <f>VLOOKUP(C39,Purchased!A:Q,13,0)</f>
        <v>N/A</v>
      </c>
      <c r="K39" s="44">
        <f>VLOOKUP(C39,Purchased!A:Q,14,0)</f>
        <v>45162</v>
      </c>
      <c r="L39" s="44">
        <f>VLOOKUP(C39,Purchased!A:Q,15,0)</f>
        <v>45184</v>
      </c>
      <c r="M39" s="44">
        <f>VLOOKUP(C39,Purchased!A:Q,16,0)</f>
        <v>45180</v>
      </c>
      <c r="N39" s="45">
        <f>VLOOKUP(C39,Purchased!A:Q,17,0)</f>
        <v>55037</v>
      </c>
      <c r="O39" s="45" t="e">
        <f t="shared" ca="1" si="14"/>
        <v>#VALUE!</v>
      </c>
      <c r="P39" s="49">
        <f>IFERROR(VLOOKUP(C39,Purchased!A:E,3,FALSE),"")</f>
        <v>1.4248000000000001</v>
      </c>
      <c r="Q39" s="50">
        <f t="shared" si="15"/>
        <v>2.8496000000000001</v>
      </c>
    </row>
    <row r="40" spans="1:17" s="2" customFormat="1" ht="12.75" customHeight="1" thickBot="1">
      <c r="A40" s="34"/>
      <c r="B40" s="35"/>
      <c r="C40" s="35"/>
      <c r="D40" s="256"/>
      <c r="E40" s="257"/>
      <c r="F40" s="35"/>
      <c r="G40" s="35"/>
      <c r="H40" s="294"/>
      <c r="I40" s="295"/>
      <c r="J40" s="36"/>
      <c r="K40" s="36"/>
      <c r="L40" s="36"/>
      <c r="M40" s="37"/>
      <c r="N40" s="38"/>
      <c r="O40" s="38"/>
      <c r="P40" s="89" t="s">
        <v>43</v>
      </c>
      <c r="Q40" s="94">
        <f>SUM(Q5:Q24)</f>
        <v>3646.5398999999998</v>
      </c>
    </row>
    <row r="41" spans="1:17" s="2" customFormat="1" ht="12.75" customHeight="1">
      <c r="D41" s="22"/>
      <c r="E41" s="22"/>
      <c r="J41" s="8"/>
      <c r="K41" s="8"/>
      <c r="L41" s="8"/>
      <c r="M41" s="8"/>
      <c r="N41" s="5"/>
      <c r="O41" s="5"/>
      <c r="P41" s="88"/>
      <c r="Q41" s="95"/>
    </row>
    <row r="42" spans="1:17" s="2" customFormat="1" ht="12" customHeight="1">
      <c r="D42" s="22"/>
      <c r="E42" s="22"/>
      <c r="J42" s="5"/>
      <c r="K42" s="5"/>
      <c r="L42" s="5"/>
      <c r="M42" s="5"/>
      <c r="N42" s="5"/>
      <c r="O42" s="5"/>
      <c r="P42" s="88"/>
      <c r="Q42" s="95"/>
    </row>
    <row r="43" spans="1:17" s="2" customFormat="1" ht="12" customHeight="1">
      <c r="C43" s="22"/>
      <c r="D43" s="22"/>
      <c r="I43" s="5"/>
      <c r="J43" s="5"/>
      <c r="K43" s="5"/>
      <c r="L43" s="5"/>
      <c r="M43" s="5"/>
      <c r="N43" s="5"/>
      <c r="O43" s="88"/>
      <c r="P43" s="95"/>
    </row>
    <row r="44" spans="1:17" s="2" customFormat="1" ht="12" customHeight="1">
      <c r="D44" s="22"/>
      <c r="E44" s="22"/>
      <c r="J44" s="5"/>
      <c r="K44" s="5"/>
      <c r="L44" s="5"/>
      <c r="M44" s="5"/>
      <c r="N44" s="5"/>
      <c r="O44" s="5"/>
      <c r="P44" s="88"/>
      <c r="Q44" s="95"/>
    </row>
    <row r="45" spans="1:17" s="2" customFormat="1" ht="12" customHeight="1">
      <c r="D45" s="22"/>
      <c r="E45" s="22"/>
      <c r="J45" s="5"/>
      <c r="K45" s="5"/>
      <c r="L45" s="5"/>
      <c r="M45" s="5"/>
      <c r="N45" s="5"/>
      <c r="O45" s="5"/>
      <c r="P45" s="88"/>
      <c r="Q45" s="95"/>
    </row>
    <row r="46" spans="1:17" s="2" customFormat="1" ht="12" customHeight="1">
      <c r="D46" s="22"/>
      <c r="E46" s="22"/>
      <c r="J46" s="5"/>
      <c r="K46" s="5"/>
      <c r="L46" s="5"/>
      <c r="M46" s="5"/>
      <c r="N46" s="5"/>
      <c r="O46" s="5"/>
      <c r="P46" s="88"/>
      <c r="Q46" s="95"/>
    </row>
    <row r="47" spans="1:17" s="2" customFormat="1" ht="12" customHeight="1">
      <c r="D47" s="22"/>
      <c r="E47" s="22"/>
      <c r="J47" s="5"/>
      <c r="K47" s="5"/>
      <c r="L47" s="5"/>
      <c r="M47" s="5"/>
      <c r="N47" s="5"/>
      <c r="O47" s="5"/>
      <c r="P47" s="88"/>
      <c r="Q47" s="95"/>
    </row>
    <row r="48" spans="1:17" s="2" customFormat="1" ht="12" customHeight="1">
      <c r="D48" s="22"/>
      <c r="E48" s="22"/>
      <c r="J48" s="5"/>
      <c r="K48" s="5"/>
      <c r="L48" s="5"/>
      <c r="M48" s="5"/>
      <c r="N48" s="5"/>
      <c r="O48" s="5"/>
      <c r="P48" s="88"/>
      <c r="Q48" s="95"/>
    </row>
    <row r="49" spans="4:17" s="2" customFormat="1" ht="12" customHeight="1">
      <c r="D49" s="22"/>
      <c r="E49" s="22"/>
      <c r="J49" s="5"/>
      <c r="K49" s="5"/>
      <c r="L49" s="5"/>
      <c r="M49" s="5"/>
      <c r="N49" s="5"/>
      <c r="O49" s="5"/>
      <c r="P49" s="88"/>
      <c r="Q49" s="95"/>
    </row>
    <row r="50" spans="4:17" s="2" customFormat="1" ht="12" customHeight="1">
      <c r="D50" s="22"/>
      <c r="E50" s="22"/>
      <c r="J50" s="5"/>
      <c r="K50" s="5"/>
      <c r="L50" s="5"/>
      <c r="M50" s="5"/>
      <c r="N50" s="5"/>
      <c r="O50" s="5"/>
      <c r="P50" s="88"/>
      <c r="Q50" s="95"/>
    </row>
    <row r="51" spans="4:17" s="2" customFormat="1" ht="12" customHeight="1">
      <c r="D51" s="22"/>
      <c r="E51" s="22"/>
      <c r="J51" s="5"/>
      <c r="K51" s="5"/>
      <c r="L51" s="5"/>
      <c r="M51" s="5"/>
      <c r="N51" s="5"/>
      <c r="O51" s="5"/>
      <c r="P51" s="88"/>
      <c r="Q51" s="95"/>
    </row>
    <row r="52" spans="4:17" s="2" customFormat="1" ht="12" customHeight="1">
      <c r="D52" s="22"/>
      <c r="E52" s="22"/>
      <c r="J52" s="5"/>
      <c r="K52" s="5"/>
      <c r="L52" s="5"/>
      <c r="M52" s="5"/>
      <c r="N52" s="5"/>
      <c r="O52" s="5"/>
      <c r="P52" s="88"/>
      <c r="Q52" s="95"/>
    </row>
    <row r="53" spans="4:17" s="2" customFormat="1" ht="12" customHeight="1">
      <c r="D53" s="22"/>
      <c r="E53" s="22"/>
      <c r="J53" s="5"/>
      <c r="K53" s="5"/>
      <c r="L53" s="5"/>
      <c r="M53" s="5"/>
      <c r="N53" s="5"/>
      <c r="O53" s="5"/>
      <c r="P53" s="88"/>
      <c r="Q53" s="95"/>
    </row>
    <row r="54" spans="4:17" s="2" customFormat="1" ht="12" customHeight="1">
      <c r="D54" s="22"/>
      <c r="E54" s="22"/>
      <c r="J54" s="5"/>
      <c r="K54" s="5"/>
      <c r="L54" s="5"/>
      <c r="M54" s="5"/>
      <c r="N54" s="5"/>
      <c r="O54" s="5"/>
      <c r="P54" s="88"/>
      <c r="Q54" s="95"/>
    </row>
    <row r="55" spans="4:17" s="2" customFormat="1" ht="12" customHeight="1">
      <c r="D55" s="22"/>
      <c r="E55" s="22"/>
      <c r="J55" s="5"/>
      <c r="K55" s="5"/>
      <c r="L55" s="5"/>
      <c r="M55" s="5"/>
      <c r="N55" s="5"/>
      <c r="O55" s="5"/>
      <c r="P55" s="88"/>
      <c r="Q55" s="95"/>
    </row>
    <row r="56" spans="4:17" s="2" customFormat="1" ht="12" customHeight="1">
      <c r="D56" s="22"/>
      <c r="E56" s="22"/>
      <c r="J56" s="5"/>
      <c r="K56" s="5"/>
      <c r="L56" s="5"/>
      <c r="M56" s="5"/>
      <c r="N56" s="5"/>
      <c r="O56" s="5"/>
      <c r="P56" s="88"/>
      <c r="Q56" s="95"/>
    </row>
    <row r="57" spans="4:17" s="2" customFormat="1" ht="12" customHeight="1">
      <c r="D57" s="22"/>
      <c r="E57" s="22"/>
      <c r="J57" s="5"/>
      <c r="K57" s="5"/>
      <c r="L57" s="5"/>
      <c r="M57" s="5"/>
      <c r="N57" s="5"/>
      <c r="O57" s="5"/>
      <c r="P57" s="88"/>
      <c r="Q57" s="95"/>
    </row>
    <row r="58" spans="4:17" s="2" customFormat="1" ht="12" customHeight="1">
      <c r="D58" s="22"/>
      <c r="E58" s="22"/>
      <c r="J58" s="5"/>
      <c r="K58" s="5"/>
      <c r="L58" s="5"/>
      <c r="M58" s="5"/>
      <c r="N58" s="5"/>
      <c r="O58" s="5"/>
      <c r="P58" s="88"/>
      <c r="Q58" s="95"/>
    </row>
    <row r="59" spans="4:17" s="2" customFormat="1" ht="12" customHeight="1">
      <c r="D59" s="22"/>
      <c r="E59" s="22"/>
      <c r="J59" s="5"/>
      <c r="K59" s="5"/>
      <c r="L59" s="5"/>
      <c r="M59" s="5"/>
      <c r="N59" s="5"/>
      <c r="O59" s="5"/>
      <c r="P59" s="88"/>
      <c r="Q59" s="95"/>
    </row>
    <row r="60" spans="4:17" s="2" customFormat="1" ht="12" customHeight="1">
      <c r="D60" s="22"/>
      <c r="E60" s="22"/>
      <c r="J60" s="5"/>
      <c r="K60" s="5"/>
      <c r="L60" s="5"/>
      <c r="M60" s="5"/>
      <c r="N60" s="5"/>
      <c r="O60" s="5"/>
      <c r="P60" s="88"/>
      <c r="Q60" s="95"/>
    </row>
    <row r="61" spans="4:17" s="2" customFormat="1" ht="12" customHeight="1">
      <c r="D61" s="22"/>
      <c r="E61" s="22"/>
      <c r="J61" s="5"/>
      <c r="K61" s="5"/>
      <c r="L61" s="5"/>
      <c r="M61" s="5"/>
      <c r="N61" s="5"/>
      <c r="O61" s="5"/>
      <c r="P61" s="88"/>
      <c r="Q61" s="95"/>
    </row>
    <row r="62" spans="4:17" s="2" customFormat="1" ht="12" customHeight="1">
      <c r="D62" s="22"/>
      <c r="E62" s="22"/>
      <c r="J62" s="5"/>
      <c r="K62" s="5"/>
      <c r="L62" s="5"/>
      <c r="M62" s="5"/>
      <c r="N62" s="5"/>
      <c r="O62" s="5"/>
      <c r="P62" s="88"/>
      <c r="Q62" s="95"/>
    </row>
    <row r="63" spans="4:17" s="2" customFormat="1" ht="12" customHeight="1">
      <c r="D63" s="22"/>
      <c r="E63" s="22"/>
      <c r="J63" s="5"/>
      <c r="K63" s="5"/>
      <c r="L63" s="5"/>
      <c r="M63" s="5"/>
      <c r="N63" s="5"/>
      <c r="O63" s="5"/>
      <c r="P63" s="88"/>
      <c r="Q63" s="95"/>
    </row>
    <row r="64" spans="4:17" s="2" customFormat="1" ht="12" customHeight="1">
      <c r="D64" s="22"/>
      <c r="E64" s="22"/>
      <c r="J64" s="5"/>
      <c r="K64" s="5"/>
      <c r="L64" s="5"/>
      <c r="M64" s="5"/>
      <c r="N64" s="5"/>
      <c r="O64" s="5"/>
      <c r="P64" s="88"/>
      <c r="Q64" s="95"/>
    </row>
    <row r="65" spans="4:17" s="2" customFormat="1" ht="12" customHeight="1">
      <c r="D65" s="22"/>
      <c r="E65" s="22"/>
      <c r="J65" s="5"/>
      <c r="K65" s="5"/>
      <c r="L65" s="5"/>
      <c r="M65" s="5"/>
      <c r="N65" s="5"/>
      <c r="O65" s="5"/>
      <c r="P65" s="88"/>
      <c r="Q65" s="95"/>
    </row>
    <row r="66" spans="4:17" s="2" customFormat="1" ht="12" customHeight="1">
      <c r="D66" s="22"/>
      <c r="E66" s="22"/>
      <c r="J66" s="5"/>
      <c r="K66" s="5"/>
      <c r="L66" s="5"/>
      <c r="M66" s="5"/>
      <c r="N66" s="5"/>
      <c r="O66" s="5"/>
      <c r="P66" s="88"/>
      <c r="Q66" s="95"/>
    </row>
    <row r="67" spans="4:17" s="2" customFormat="1" ht="12" customHeight="1">
      <c r="D67" s="22"/>
      <c r="E67" s="22"/>
      <c r="J67" s="5"/>
      <c r="K67" s="5"/>
      <c r="L67" s="5"/>
      <c r="M67" s="5"/>
      <c r="N67" s="5"/>
      <c r="O67" s="5"/>
      <c r="P67" s="88"/>
      <c r="Q67" s="95"/>
    </row>
    <row r="68" spans="4:17" s="2" customFormat="1" ht="12" customHeight="1">
      <c r="D68" s="22"/>
      <c r="E68" s="22"/>
      <c r="J68" s="5"/>
      <c r="K68" s="5"/>
      <c r="L68" s="5"/>
      <c r="M68" s="5"/>
      <c r="N68" s="5"/>
      <c r="O68" s="5"/>
      <c r="P68" s="88"/>
      <c r="Q68" s="95"/>
    </row>
    <row r="69" spans="4:17" s="2" customFormat="1" ht="12" customHeight="1">
      <c r="D69" s="22"/>
      <c r="E69" s="22"/>
      <c r="J69" s="5"/>
      <c r="K69" s="5"/>
      <c r="L69" s="5"/>
      <c r="M69" s="5"/>
      <c r="N69" s="5"/>
      <c r="O69" s="5"/>
      <c r="P69" s="88"/>
      <c r="Q69" s="95"/>
    </row>
    <row r="70" spans="4:17" s="2" customFormat="1" ht="12" customHeight="1">
      <c r="D70" s="22"/>
      <c r="E70" s="22"/>
      <c r="J70" s="5"/>
      <c r="K70" s="5"/>
      <c r="L70" s="5"/>
      <c r="M70" s="5"/>
      <c r="N70" s="5"/>
      <c r="O70" s="5"/>
      <c r="P70" s="88"/>
      <c r="Q70" s="95"/>
    </row>
    <row r="71" spans="4:17" s="2" customFormat="1" ht="12" customHeight="1">
      <c r="D71" s="22"/>
      <c r="E71" s="22"/>
      <c r="J71" s="5"/>
      <c r="K71" s="5"/>
      <c r="L71" s="5"/>
      <c r="M71" s="5"/>
      <c r="N71" s="5"/>
      <c r="O71" s="5"/>
      <c r="P71" s="88"/>
      <c r="Q71" s="95"/>
    </row>
    <row r="72" spans="4:17" s="2" customFormat="1" ht="12" customHeight="1">
      <c r="D72" s="22"/>
      <c r="E72" s="22"/>
      <c r="J72" s="5"/>
      <c r="K72" s="5"/>
      <c r="L72" s="5"/>
      <c r="M72" s="5"/>
      <c r="N72" s="5"/>
      <c r="O72" s="5"/>
      <c r="P72" s="88"/>
      <c r="Q72" s="95"/>
    </row>
    <row r="73" spans="4:17" s="2" customFormat="1" ht="12" customHeight="1">
      <c r="D73" s="22"/>
      <c r="E73" s="22"/>
      <c r="J73" s="5"/>
      <c r="K73" s="5"/>
      <c r="L73" s="5"/>
      <c r="M73" s="5"/>
      <c r="N73" s="5"/>
      <c r="O73" s="5"/>
      <c r="P73" s="88"/>
      <c r="Q73" s="95"/>
    </row>
    <row r="74" spans="4:17" s="2" customFormat="1" ht="12" customHeight="1">
      <c r="D74" s="22"/>
      <c r="E74" s="22"/>
      <c r="J74" s="5"/>
      <c r="K74" s="5"/>
      <c r="L74" s="5"/>
      <c r="M74" s="5"/>
      <c r="N74" s="5"/>
      <c r="O74" s="5"/>
      <c r="P74" s="88"/>
      <c r="Q74" s="95"/>
    </row>
    <row r="75" spans="4:17" s="2" customFormat="1" ht="12" customHeight="1">
      <c r="D75" s="22"/>
      <c r="E75" s="22"/>
      <c r="J75" s="5"/>
      <c r="K75" s="5"/>
      <c r="L75" s="5"/>
      <c r="M75" s="5"/>
      <c r="N75" s="5"/>
      <c r="O75" s="5"/>
      <c r="P75" s="88"/>
      <c r="Q75" s="95"/>
    </row>
    <row r="76" spans="4:17" s="2" customFormat="1" ht="12" customHeight="1">
      <c r="D76" s="22"/>
      <c r="E76" s="22"/>
      <c r="J76" s="5"/>
      <c r="K76" s="5"/>
      <c r="L76" s="5"/>
      <c r="M76" s="5"/>
      <c r="N76" s="5"/>
      <c r="O76" s="5"/>
      <c r="P76" s="88"/>
      <c r="Q76" s="95"/>
    </row>
    <row r="77" spans="4:17" s="2" customFormat="1" ht="12" customHeight="1">
      <c r="D77" s="22"/>
      <c r="E77" s="22"/>
      <c r="J77" s="5"/>
      <c r="K77" s="5"/>
      <c r="L77" s="5"/>
      <c r="M77" s="5"/>
      <c r="N77" s="5"/>
      <c r="O77" s="5"/>
      <c r="P77" s="88"/>
      <c r="Q77" s="95"/>
    </row>
    <row r="78" spans="4:17" s="2" customFormat="1" ht="12" customHeight="1">
      <c r="D78" s="22"/>
      <c r="E78" s="22"/>
      <c r="J78" s="5"/>
      <c r="K78" s="5"/>
      <c r="L78" s="5"/>
      <c r="M78" s="5"/>
      <c r="N78" s="5"/>
      <c r="O78" s="5"/>
      <c r="P78" s="88"/>
      <c r="Q78" s="95"/>
    </row>
    <row r="79" spans="4:17" s="2" customFormat="1" ht="12" customHeight="1">
      <c r="D79" s="22"/>
      <c r="E79" s="22"/>
      <c r="J79" s="5"/>
      <c r="K79" s="5"/>
      <c r="L79" s="5"/>
      <c r="M79" s="5"/>
      <c r="N79" s="5"/>
      <c r="O79" s="5"/>
      <c r="P79" s="88"/>
      <c r="Q79" s="96"/>
    </row>
    <row r="80" spans="4:17" s="2" customFormat="1" ht="12" customHeight="1">
      <c r="D80" s="22"/>
      <c r="E80" s="22"/>
      <c r="J80" s="5"/>
      <c r="K80" s="5"/>
      <c r="L80" s="5"/>
      <c r="M80" s="5"/>
      <c r="N80" s="5"/>
      <c r="O80" s="5"/>
      <c r="P80" s="88"/>
      <c r="Q80" s="96"/>
    </row>
    <row r="81" spans="1:17" s="2" customFormat="1" ht="12" customHeight="1">
      <c r="D81" s="22"/>
      <c r="E81" s="22"/>
      <c r="J81" s="5"/>
      <c r="K81" s="5"/>
      <c r="L81" s="5"/>
      <c r="M81" s="5"/>
      <c r="N81" s="5"/>
      <c r="O81" s="5"/>
      <c r="P81" s="88"/>
      <c r="Q81" s="96"/>
    </row>
    <row r="82" spans="1:17" s="2" customFormat="1" ht="12" customHeight="1">
      <c r="D82" s="22"/>
      <c r="E82" s="22"/>
      <c r="J82" s="5"/>
      <c r="K82" s="5"/>
      <c r="L82" s="5"/>
      <c r="M82" s="5"/>
      <c r="N82" s="5"/>
      <c r="O82" s="5"/>
      <c r="P82" s="88"/>
      <c r="Q82" s="96"/>
    </row>
    <row r="83" spans="1:17" s="2" customFormat="1" ht="12" customHeight="1">
      <c r="A83"/>
      <c r="B83"/>
      <c r="C83"/>
      <c r="D83" s="23"/>
      <c r="E83" s="23"/>
      <c r="F83"/>
      <c r="G83"/>
      <c r="H83"/>
      <c r="I83"/>
      <c r="J83" s="19"/>
      <c r="K83" s="19"/>
      <c r="L83" s="19"/>
      <c r="M83" s="19"/>
      <c r="N83" s="19"/>
      <c r="O83" s="19"/>
      <c r="P83" s="90"/>
      <c r="Q83" s="96"/>
    </row>
    <row r="84" spans="1:17" s="2" customFormat="1" ht="12" customHeight="1">
      <c r="A84"/>
      <c r="B84"/>
      <c r="C84"/>
      <c r="D84" s="23"/>
      <c r="E84" s="23"/>
      <c r="F84"/>
      <c r="G84"/>
      <c r="H84"/>
      <c r="I84"/>
      <c r="J84" s="19"/>
      <c r="K84" s="19"/>
      <c r="L84" s="19"/>
      <c r="M84" s="19"/>
      <c r="N84" s="19"/>
      <c r="O84" s="19"/>
      <c r="P84" s="90"/>
      <c r="Q84" s="96"/>
    </row>
    <row r="85" spans="1:17" s="2" customFormat="1" ht="12" customHeight="1">
      <c r="A85"/>
      <c r="B85"/>
      <c r="C85"/>
      <c r="D85" s="23"/>
      <c r="E85" s="23"/>
      <c r="F85"/>
      <c r="G85"/>
      <c r="H85"/>
      <c r="I85"/>
      <c r="J85" s="19"/>
      <c r="K85" s="19"/>
      <c r="L85" s="19"/>
      <c r="M85" s="19"/>
      <c r="N85" s="19"/>
      <c r="O85" s="19"/>
      <c r="P85" s="90"/>
      <c r="Q85" s="96"/>
    </row>
    <row r="86" spans="1:17" s="2" customFormat="1" ht="12" customHeight="1">
      <c r="A86"/>
      <c r="B86"/>
      <c r="C86"/>
      <c r="D86" s="23"/>
      <c r="E86" s="23"/>
      <c r="F86"/>
      <c r="G86"/>
      <c r="H86"/>
      <c r="I86"/>
      <c r="J86" s="19"/>
      <c r="K86" s="19"/>
      <c r="L86" s="19"/>
      <c r="M86" s="19"/>
      <c r="N86" s="19"/>
      <c r="O86" s="19"/>
      <c r="P86" s="90"/>
      <c r="Q86" s="96"/>
    </row>
    <row r="87" spans="1:17" s="2" customFormat="1" ht="12" customHeight="1">
      <c r="A87"/>
      <c r="B87"/>
      <c r="C87"/>
      <c r="D87" s="23"/>
      <c r="E87" s="23"/>
      <c r="F87"/>
      <c r="G87"/>
      <c r="H87"/>
      <c r="I87"/>
      <c r="J87" s="19"/>
      <c r="K87" s="19"/>
      <c r="L87" s="19"/>
      <c r="M87" s="19"/>
      <c r="N87" s="19"/>
      <c r="O87" s="19"/>
      <c r="P87" s="90"/>
      <c r="Q87" s="96"/>
    </row>
    <row r="88" spans="1:17" s="2" customFormat="1" ht="12" customHeight="1">
      <c r="A88"/>
      <c r="B88"/>
      <c r="C88"/>
      <c r="D88" s="23"/>
      <c r="E88" s="23"/>
      <c r="F88"/>
      <c r="G88"/>
      <c r="H88"/>
      <c r="I88"/>
      <c r="J88" s="19"/>
      <c r="K88" s="19"/>
      <c r="L88" s="19"/>
      <c r="M88" s="19"/>
      <c r="N88" s="19"/>
      <c r="O88" s="19"/>
      <c r="P88" s="90"/>
      <c r="Q88" s="96"/>
    </row>
    <row r="89" spans="1:17">
      <c r="Q89" s="96"/>
    </row>
    <row r="90" spans="1:17">
      <c r="Q90" s="96"/>
    </row>
    <row r="91" spans="1:17">
      <c r="Q91" s="96"/>
    </row>
    <row r="92" spans="1:17">
      <c r="Q92" s="96"/>
    </row>
    <row r="93" spans="1:17">
      <c r="Q93" s="96"/>
    </row>
    <row r="94" spans="1:17">
      <c r="Q94" s="96"/>
    </row>
    <row r="95" spans="1:17">
      <c r="Q95" s="96"/>
    </row>
    <row r="96" spans="1:17">
      <c r="Q96" s="96"/>
    </row>
    <row r="97" spans="17:17">
      <c r="Q97" s="96"/>
    </row>
    <row r="98" spans="17:17">
      <c r="Q98" s="96"/>
    </row>
    <row r="99" spans="17:17">
      <c r="Q99" s="96"/>
    </row>
    <row r="100" spans="17:17">
      <c r="Q100" s="96"/>
    </row>
    <row r="101" spans="17:17">
      <c r="Q101" s="96"/>
    </row>
    <row r="102" spans="17:17">
      <c r="Q102" s="96"/>
    </row>
    <row r="103" spans="17:17">
      <c r="Q103" s="96"/>
    </row>
    <row r="104" spans="17:17">
      <c r="Q104" s="96"/>
    </row>
    <row r="105" spans="17:17">
      <c r="Q105" s="96"/>
    </row>
    <row r="106" spans="17:17">
      <c r="Q106" s="96"/>
    </row>
    <row r="107" spans="17:17">
      <c r="Q107" s="96"/>
    </row>
    <row r="145" ht="12" customHeight="1"/>
    <row r="146" ht="12" customHeight="1"/>
    <row r="147" ht="12" customHeight="1"/>
    <row r="148" ht="12" customHeight="1"/>
    <row r="149" ht="12" customHeight="1"/>
    <row r="150" ht="12" customHeight="1"/>
    <row r="151" ht="12" customHeight="1"/>
    <row r="152" ht="12" customHeight="1"/>
    <row r="153" ht="12" customHeight="1"/>
    <row r="154" ht="12" customHeight="1"/>
    <row r="155" ht="12" customHeight="1"/>
    <row r="156" ht="12" customHeight="1"/>
    <row r="157" ht="12" customHeight="1"/>
    <row r="158" ht="12" customHeight="1"/>
    <row r="159" ht="12" customHeight="1"/>
    <row r="160" ht="12" customHeight="1"/>
    <row r="161" ht="12" customHeight="1"/>
    <row r="162" ht="12" customHeight="1"/>
    <row r="163" ht="12" customHeight="1"/>
    <row r="164" ht="12" customHeight="1"/>
    <row r="165" ht="12" customHeight="1"/>
    <row r="166" ht="12" customHeight="1"/>
    <row r="167" ht="12" customHeight="1"/>
    <row r="168" ht="12" customHeight="1"/>
    <row r="169" ht="12" customHeight="1"/>
    <row r="170" ht="12" customHeight="1"/>
    <row r="171" ht="12" customHeight="1"/>
    <row r="172" ht="12" customHeight="1"/>
    <row r="173" ht="12" customHeight="1"/>
    <row r="174" ht="12" customHeight="1"/>
    <row r="175" ht="12" customHeight="1"/>
    <row r="176" ht="12" customHeight="1"/>
    <row r="177" ht="12" customHeight="1"/>
    <row r="178" ht="12" customHeight="1"/>
    <row r="179" ht="12" customHeight="1"/>
    <row r="180" ht="12" customHeight="1"/>
    <row r="181" ht="12" customHeight="1"/>
    <row r="182" ht="12" customHeight="1"/>
    <row r="183" ht="12" customHeight="1"/>
    <row r="184" ht="12" customHeight="1"/>
    <row r="185" ht="12" customHeight="1"/>
    <row r="186" ht="12" customHeight="1"/>
    <row r="187" ht="12" customHeight="1"/>
    <row r="188" ht="12" customHeight="1"/>
    <row r="189" ht="12" customHeight="1"/>
    <row r="190" ht="12" customHeight="1"/>
    <row r="191" ht="12" customHeight="1"/>
    <row r="192" ht="12" customHeight="1"/>
    <row r="193" ht="12" customHeight="1"/>
    <row r="194" ht="12" customHeight="1"/>
  </sheetData>
  <mergeCells count="40">
    <mergeCell ref="D40:E40"/>
    <mergeCell ref="H40:I40"/>
    <mergeCell ref="D18:E18"/>
    <mergeCell ref="D19:E19"/>
    <mergeCell ref="D20:E20"/>
    <mergeCell ref="D21:E21"/>
    <mergeCell ref="D22:E22"/>
    <mergeCell ref="D25:E25"/>
    <mergeCell ref="D26:E26"/>
    <mergeCell ref="D27:E27"/>
    <mergeCell ref="D28:E28"/>
    <mergeCell ref="D29:E29"/>
    <mergeCell ref="D36:E36"/>
    <mergeCell ref="D30:E30"/>
    <mergeCell ref="D38:E38"/>
    <mergeCell ref="D39:E39"/>
    <mergeCell ref="D1:E1"/>
    <mergeCell ref="D4:E4"/>
    <mergeCell ref="H4:I4"/>
    <mergeCell ref="D5:E5"/>
    <mergeCell ref="D6:E6"/>
    <mergeCell ref="D7:E7"/>
    <mergeCell ref="D8:E8"/>
    <mergeCell ref="D9:E9"/>
    <mergeCell ref="D10:E10"/>
    <mergeCell ref="D11:E11"/>
    <mergeCell ref="D12:E12"/>
    <mergeCell ref="D13:E13"/>
    <mergeCell ref="D14:E14"/>
    <mergeCell ref="D15:E15"/>
    <mergeCell ref="D37:E37"/>
    <mergeCell ref="D34:E34"/>
    <mergeCell ref="D35:E35"/>
    <mergeCell ref="D31:E31"/>
    <mergeCell ref="D32:E32"/>
    <mergeCell ref="D33:E33"/>
    <mergeCell ref="D16:E16"/>
    <mergeCell ref="D23:E23"/>
    <mergeCell ref="D24:E24"/>
    <mergeCell ref="D17:E17"/>
  </mergeCells>
  <conditionalFormatting sqref="M5:M39">
    <cfRule type="cellIs" dxfId="660" priority="3" stopIfTrue="1" operator="lessThanOrEqual">
      <formula>$L5</formula>
    </cfRule>
    <cfRule type="cellIs" dxfId="659" priority="4" operator="greaterThan">
      <formula>L5</formula>
    </cfRule>
  </conditionalFormatting>
  <conditionalFormatting sqref="C5:C8 C10:C36">
    <cfRule type="duplicateValues" dxfId="658" priority="1"/>
    <cfRule type="duplicateValues" dxfId="657" priority="366"/>
  </conditionalFormatting>
  <pageMargins left="0.7" right="0.7" top="0.75" bottom="0.75" header="0.3" footer="0.3"/>
  <pageSetup paperSize="3" fitToHeight="0" orientation="landscape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0C1D05D-B376-432A-859A-639FF782A2AE}">
          <x14:formula1>
            <xm:f>Purchased!$A:$A</xm:f>
          </x14:formula1>
          <xm:sqref>C5:C39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B6E94-E3A6-45DE-B922-4C1F31810D8B}">
  <sheetPr codeName="Sheet6">
    <tabColor theme="3" tint="0.39997558519241921"/>
    <pageSetUpPr fitToPage="1"/>
  </sheetPr>
  <dimension ref="A1:Q195"/>
  <sheetViews>
    <sheetView topLeftCell="A15" zoomScaleNormal="100" workbookViewId="0">
      <selection activeCell="C33" sqref="C33"/>
    </sheetView>
  </sheetViews>
  <sheetFormatPr defaultColWidth="9.140625" defaultRowHeight="15"/>
  <cols>
    <col min="1" max="1" width="5.7109375" customWidth="1"/>
    <col min="2" max="2" width="5.42578125" bestFit="1" customWidth="1"/>
    <col min="3" max="3" width="30.7109375" customWidth="1"/>
    <col min="4" max="5" width="20.7109375" style="23" customWidth="1"/>
    <col min="6" max="6" width="16.85546875" bestFit="1" customWidth="1"/>
    <col min="7" max="7" width="9.7109375" customWidth="1"/>
    <col min="8" max="8" width="8.7109375" customWidth="1"/>
    <col min="9" max="9" width="20.7109375" customWidth="1"/>
    <col min="10" max="13" width="11.7109375" style="19" customWidth="1"/>
    <col min="14" max="14" width="11.85546875" style="19" bestFit="1" customWidth="1"/>
    <col min="15" max="15" width="7.7109375" style="19" customWidth="1"/>
    <col min="16" max="16" width="10.7109375" style="90" customWidth="1"/>
    <col min="17" max="17" width="10.7109375" style="97" customWidth="1"/>
  </cols>
  <sheetData>
    <row r="1" spans="1:17" s="55" customFormat="1" ht="12" customHeight="1">
      <c r="A1" s="68" t="s">
        <v>0</v>
      </c>
      <c r="B1" s="69"/>
      <c r="C1" s="69"/>
      <c r="D1" s="262" t="s">
        <v>1</v>
      </c>
      <c r="E1" s="263"/>
      <c r="F1" s="70"/>
      <c r="G1" s="69"/>
      <c r="H1" s="70"/>
      <c r="I1" s="71"/>
      <c r="J1" s="72"/>
      <c r="K1" s="72"/>
      <c r="L1" s="72"/>
      <c r="M1" s="72"/>
      <c r="N1" s="72"/>
      <c r="O1" s="72"/>
      <c r="P1" s="85"/>
      <c r="Q1" s="91"/>
    </row>
    <row r="2" spans="1:17" s="55" customFormat="1" ht="12" customHeight="1">
      <c r="A2" s="74" t="s">
        <v>48</v>
      </c>
      <c r="B2" s="58"/>
      <c r="C2" s="57" t="e">
        <f ca="1">VLOOKUP(E3,Assemblies!B:F,4,0)</f>
        <v>#VALUE!</v>
      </c>
      <c r="D2" s="75" t="s">
        <v>3</v>
      </c>
      <c r="E2" s="76" t="e">
        <f ca="1">'GF12'!E2</f>
        <v>#VALUE!</v>
      </c>
      <c r="F2" s="77" t="s">
        <v>4</v>
      </c>
      <c r="G2" s="58" t="str">
        <f>'GF12'!G2</f>
        <v>GH</v>
      </c>
      <c r="H2" s="77" t="s">
        <v>6</v>
      </c>
      <c r="I2" s="59">
        <f>'GF12'!I2</f>
        <v>44775</v>
      </c>
      <c r="J2" s="39"/>
      <c r="K2" s="40" t="s">
        <v>49</v>
      </c>
      <c r="L2" s="41" t="e">
        <f ca="1">VLOOKUP(C2,Assemblies!E:G,3,0)</f>
        <v>#VALUE!</v>
      </c>
      <c r="M2" s="78"/>
      <c r="N2" s="78"/>
      <c r="O2" s="78"/>
      <c r="P2" s="86"/>
      <c r="Q2" s="92"/>
    </row>
    <row r="3" spans="1:17" s="55" customFormat="1" ht="12" customHeight="1" thickBot="1">
      <c r="A3" s="74" t="s">
        <v>7</v>
      </c>
      <c r="B3" s="58"/>
      <c r="C3" s="57" t="e">
        <f ca="1">VLOOKUP(E3,Assemblies!B:F,5,0)</f>
        <v>#VALUE!</v>
      </c>
      <c r="D3" s="75" t="s">
        <v>50</v>
      </c>
      <c r="E3" s="76" t="e">
        <f ca="1">MID(CELL("filename",A1),FIND("]",CELL("filename",A1))+1,256)</f>
        <v>#VALUE!</v>
      </c>
      <c r="F3" s="77" t="s">
        <v>11</v>
      </c>
      <c r="G3" s="58" t="str">
        <f>'GF12'!G3</f>
        <v>GH</v>
      </c>
      <c r="H3" s="77" t="s">
        <v>6</v>
      </c>
      <c r="I3" s="59">
        <f>'GF12'!I3</f>
        <v>44775</v>
      </c>
      <c r="J3" s="78"/>
      <c r="K3" s="78"/>
      <c r="L3" s="78"/>
      <c r="M3" s="78"/>
      <c r="N3" s="78"/>
      <c r="O3" s="78"/>
      <c r="P3" s="86"/>
      <c r="Q3" s="92"/>
    </row>
    <row r="4" spans="1:17" s="56" customFormat="1" ht="12.75" customHeight="1" thickBot="1">
      <c r="A4" s="80" t="s">
        <v>12</v>
      </c>
      <c r="B4" s="81" t="s">
        <v>13</v>
      </c>
      <c r="C4" s="81" t="s">
        <v>14</v>
      </c>
      <c r="D4" s="270" t="s">
        <v>15</v>
      </c>
      <c r="E4" s="271"/>
      <c r="F4" s="104" t="s">
        <v>16</v>
      </c>
      <c r="G4" s="81" t="s">
        <v>17</v>
      </c>
      <c r="H4" s="260" t="s">
        <v>18</v>
      </c>
      <c r="I4" s="261"/>
      <c r="J4" s="81" t="s">
        <v>51</v>
      </c>
      <c r="K4" s="81" t="s">
        <v>20</v>
      </c>
      <c r="L4" s="81" t="s">
        <v>21</v>
      </c>
      <c r="M4" s="81" t="s">
        <v>52</v>
      </c>
      <c r="N4" s="81" t="s">
        <v>22</v>
      </c>
      <c r="O4" s="81" t="s">
        <v>53</v>
      </c>
      <c r="P4" s="107" t="s">
        <v>26</v>
      </c>
      <c r="Q4" s="82" t="s">
        <v>27</v>
      </c>
    </row>
    <row r="5" spans="1:17" s="2" customFormat="1" ht="12.75" customHeight="1">
      <c r="A5" s="4">
        <v>301</v>
      </c>
      <c r="B5" s="170">
        <v>2</v>
      </c>
      <c r="C5" s="114" t="s">
        <v>178</v>
      </c>
      <c r="D5" s="268" t="str">
        <f>VLOOKUP(C5,Purchased!A:B,2,0)</f>
        <v>Saginaw ELJ Trough Window Enclosure, 9H X 30W X 8D, RAL5005 Blue</v>
      </c>
      <c r="E5" s="269"/>
      <c r="F5" s="112" t="str">
        <f>VLOOKUP(C5,Purchased!A:Q,9,0)</f>
        <v>SAGINAW</v>
      </c>
      <c r="G5" s="112" t="str">
        <f>VLOOKUP(C5,Purchased!A:Q,10,0)</f>
        <v>SAGINAW</v>
      </c>
      <c r="H5" s="112" t="str">
        <f>VLOOKUP(C5,Purchased!A:Q,12,0)</f>
        <v xml:space="preserve"> </v>
      </c>
      <c r="I5" s="113"/>
      <c r="J5" s="44" t="str">
        <f>VLOOKUP(C5,Purchased!A:Q,13,0)</f>
        <v>N/A</v>
      </c>
      <c r="K5" s="44">
        <f>VLOOKUP(C5,Purchased!A:Q,14,0)</f>
        <v>45013</v>
      </c>
      <c r="L5" s="44">
        <f>VLOOKUP(C5,Purchased!A:Q,15,0)</f>
        <v>45043</v>
      </c>
      <c r="M5" s="44">
        <f>VLOOKUP(C5,Purchased!A:Q,16,0)</f>
        <v>45043</v>
      </c>
      <c r="N5" s="45">
        <f>VLOOKUP(C5,Purchased!A:Q,17,0)</f>
        <v>54828</v>
      </c>
      <c r="O5" s="45" t="e">
        <f t="shared" ref="O5:O15" ca="1" si="0">B5*$L$2</f>
        <v>#VALUE!</v>
      </c>
      <c r="P5" s="49">
        <f>IFERROR(VLOOKUP(C5,Purchased!A:E,3,FALSE),"")</f>
        <v>242.83</v>
      </c>
      <c r="Q5" s="50">
        <f t="shared" ref="Q5:Q15" si="1">IFERROR(B5*P5,"")</f>
        <v>485.66</v>
      </c>
    </row>
    <row r="6" spans="1:17" s="2" customFormat="1" ht="12" customHeight="1">
      <c r="A6" s="4">
        <f t="shared" ref="A6:A41" si="2">A5+1</f>
        <v>302</v>
      </c>
      <c r="B6" s="170">
        <v>2</v>
      </c>
      <c r="C6" s="114" t="s">
        <v>179</v>
      </c>
      <c r="D6" s="268" t="str">
        <f>VLOOKUP(C6,Purchased!A:B,2,0)</f>
        <v>Saginaw Subpanel, ELJ Trough Galvanized, 8H X 29W X 0.08D</v>
      </c>
      <c r="E6" s="269"/>
      <c r="F6" s="112" t="str">
        <f>VLOOKUP(C6,Purchased!A:Q,9,0)</f>
        <v>SAGINAW</v>
      </c>
      <c r="G6" s="112" t="str">
        <f>VLOOKUP(C6,Purchased!A:Q,10,0)</f>
        <v>SAGINAW</v>
      </c>
      <c r="H6" s="112" t="str">
        <f>VLOOKUP(C6,Purchased!A:Q,12,0)</f>
        <v xml:space="preserve"> </v>
      </c>
      <c r="I6" s="113"/>
      <c r="J6" s="44" t="str">
        <f>VLOOKUP(C6,Purchased!A:Q,13,0)</f>
        <v>N/A</v>
      </c>
      <c r="K6" s="44">
        <f>VLOOKUP(C6,Purchased!A:Q,14,0)</f>
        <v>45013</v>
      </c>
      <c r="L6" s="44">
        <f>VLOOKUP(C6,Purchased!A:Q,15,0)</f>
        <v>45043</v>
      </c>
      <c r="M6" s="44">
        <f>VLOOKUP(C6,Purchased!A:Q,16,0)</f>
        <v>45043</v>
      </c>
      <c r="N6" s="45">
        <f>VLOOKUP(C6,Purchased!A:Q,17,0)</f>
        <v>54829</v>
      </c>
      <c r="O6" s="45" t="e">
        <f t="shared" ca="1" si="0"/>
        <v>#VALUE!</v>
      </c>
      <c r="P6" s="49">
        <f>IFERROR(VLOOKUP(C6,Purchased!A:E,3,FALSE),"")</f>
        <v>30.63</v>
      </c>
      <c r="Q6" s="50">
        <f t="shared" si="1"/>
        <v>61.26</v>
      </c>
    </row>
    <row r="7" spans="1:17" s="2" customFormat="1" ht="12" customHeight="1">
      <c r="A7" s="4">
        <f t="shared" si="2"/>
        <v>303</v>
      </c>
      <c r="B7" s="170">
        <v>1</v>
      </c>
      <c r="C7" s="114" t="s">
        <v>140</v>
      </c>
      <c r="D7" s="268" t="str">
        <f>VLOOKUP(C7,Purchased!A:B,2,0)</f>
        <v>Autonics E/IP Bus Coupler</v>
      </c>
      <c r="E7" s="269"/>
      <c r="F7" s="112" t="str">
        <f>VLOOKUP(C7,Purchased!A:Q,9,0)</f>
        <v>Autonics</v>
      </c>
      <c r="G7" s="112" t="str">
        <f>VLOOKUP(C7,Purchased!A:Q,10,0)</f>
        <v>ProAuto</v>
      </c>
      <c r="H7" s="112" t="str">
        <f>VLOOKUP(C7,Purchased!A:Q,12,0)</f>
        <v xml:space="preserve"> </v>
      </c>
      <c r="I7" s="113"/>
      <c r="J7" s="44" t="str">
        <f>VLOOKUP(C7,Purchased!A:Q,13,0)</f>
        <v>N/A</v>
      </c>
      <c r="K7" s="44">
        <f>VLOOKUP(C7,Purchased!A:Q,14,0)</f>
        <v>45007</v>
      </c>
      <c r="L7" s="44">
        <f>VLOOKUP(C7,Purchased!A:Q,15,0)</f>
        <v>45037</v>
      </c>
      <c r="M7" s="44">
        <f>VLOOKUP(C7,Purchased!A:Q,16,0)</f>
        <v>45037</v>
      </c>
      <c r="N7" s="45">
        <f>VLOOKUP(C7,Purchased!A:Q,17,0)</f>
        <v>54818</v>
      </c>
      <c r="O7" s="45" t="e">
        <f t="shared" ca="1" si="0"/>
        <v>#VALUE!</v>
      </c>
      <c r="P7" s="49">
        <f>IFERROR(VLOOKUP(C7,Purchased!A:E,3,FALSE),"")</f>
        <v>414.17</v>
      </c>
      <c r="Q7" s="50">
        <f t="shared" si="1"/>
        <v>414.17</v>
      </c>
    </row>
    <row r="8" spans="1:17" s="2" customFormat="1" ht="12" customHeight="1">
      <c r="A8" s="4">
        <f t="shared" si="2"/>
        <v>304</v>
      </c>
      <c r="B8" s="170">
        <v>1</v>
      </c>
      <c r="C8" s="114" t="s">
        <v>141</v>
      </c>
      <c r="D8" s="268" t="str">
        <f>VLOOKUP(C8,Purchased!A:B,2,0)</f>
        <v>Autonics 8-channel digital input</v>
      </c>
      <c r="E8" s="269"/>
      <c r="F8" s="112" t="str">
        <f>VLOOKUP(C8,Purchased!A:Q,9,0)</f>
        <v>Autonics</v>
      </c>
      <c r="G8" s="112" t="str">
        <f>VLOOKUP(C8,Purchased!A:Q,10,0)</f>
        <v>ProAuto</v>
      </c>
      <c r="H8" s="112" t="str">
        <f>VLOOKUP(C8,Purchased!A:Q,12,0)</f>
        <v xml:space="preserve"> </v>
      </c>
      <c r="I8" s="113"/>
      <c r="J8" s="44" t="str">
        <f>VLOOKUP(C8,Purchased!A:Q,13,0)</f>
        <v>N/A</v>
      </c>
      <c r="K8" s="44">
        <f>VLOOKUP(C8,Purchased!A:Q,14,0)</f>
        <v>45007</v>
      </c>
      <c r="L8" s="44">
        <f>VLOOKUP(C8,Purchased!A:Q,15,0)</f>
        <v>45037</v>
      </c>
      <c r="M8" s="44">
        <f>VLOOKUP(C8,Purchased!A:Q,16,0)</f>
        <v>45037</v>
      </c>
      <c r="N8" s="45">
        <f>VLOOKUP(C8,Purchased!A:Q,17,0)</f>
        <v>54818</v>
      </c>
      <c r="O8" s="45" t="e">
        <f t="shared" ca="1" si="0"/>
        <v>#VALUE!</v>
      </c>
      <c r="P8" s="49">
        <f>IFERROR(VLOOKUP(C8,Purchased!A:E,3,FALSE),"")</f>
        <v>85</v>
      </c>
      <c r="Q8" s="50">
        <f t="shared" si="1"/>
        <v>85</v>
      </c>
    </row>
    <row r="9" spans="1:17" s="2" customFormat="1" ht="12" customHeight="1">
      <c r="A9" s="4">
        <f t="shared" si="2"/>
        <v>305</v>
      </c>
      <c r="B9" s="170">
        <v>1</v>
      </c>
      <c r="C9" s="114" t="s">
        <v>142</v>
      </c>
      <c r="D9" s="268" t="str">
        <f>VLOOKUP(C9,Purchased!A:B,2,0)</f>
        <v>Autonics 8-channel digital output</v>
      </c>
      <c r="E9" s="269"/>
      <c r="F9" s="112" t="str">
        <f>VLOOKUP(C9,Purchased!A:Q,9,0)</f>
        <v>Autonics</v>
      </c>
      <c r="G9" s="112" t="str">
        <f>VLOOKUP(C9,Purchased!A:Q,10,0)</f>
        <v>ProAuto</v>
      </c>
      <c r="H9" s="112" t="str">
        <f>VLOOKUP(C9,Purchased!A:Q,12,0)</f>
        <v xml:space="preserve"> </v>
      </c>
      <c r="I9" s="113"/>
      <c r="J9" s="44" t="str">
        <f>VLOOKUP(C9,Purchased!A:Q,13,0)</f>
        <v>N/A</v>
      </c>
      <c r="K9" s="44">
        <f>VLOOKUP(C9,Purchased!A:Q,14,0)</f>
        <v>45007</v>
      </c>
      <c r="L9" s="44">
        <f>VLOOKUP(C9,Purchased!A:Q,15,0)</f>
        <v>45037</v>
      </c>
      <c r="M9" s="44">
        <f>VLOOKUP(C9,Purchased!A:Q,16,0)</f>
        <v>45037</v>
      </c>
      <c r="N9" s="45">
        <f>VLOOKUP(C9,Purchased!A:Q,17,0)</f>
        <v>54818</v>
      </c>
      <c r="O9" s="45" t="e">
        <f t="shared" ca="1" si="0"/>
        <v>#VALUE!</v>
      </c>
      <c r="P9" s="49">
        <f>IFERROR(VLOOKUP(C9,Purchased!A:E,3,FALSE),"")</f>
        <v>110.83</v>
      </c>
      <c r="Q9" s="50">
        <f t="shared" si="1"/>
        <v>110.83</v>
      </c>
    </row>
    <row r="10" spans="1:17" s="2" customFormat="1" ht="12" customHeight="1">
      <c r="A10" s="4">
        <f t="shared" si="2"/>
        <v>306</v>
      </c>
      <c r="B10" s="170">
        <v>5</v>
      </c>
      <c r="C10" s="114" t="s">
        <v>180</v>
      </c>
      <c r="D10" s="268" t="str">
        <f>VLOOKUP(C10,Purchased!A:B,2,0)</f>
        <v>Autonics 4-channel thermocouple input</v>
      </c>
      <c r="E10" s="269"/>
      <c r="F10" s="112" t="str">
        <f>VLOOKUP(C10,Purchased!A:Q,9,0)</f>
        <v>Autonics</v>
      </c>
      <c r="G10" s="112" t="str">
        <f>VLOOKUP(C10,Purchased!A:Q,10,0)</f>
        <v>ProAuto</v>
      </c>
      <c r="H10" s="112" t="str">
        <f>VLOOKUP(C10,Purchased!A:Q,12,0)</f>
        <v xml:space="preserve"> </v>
      </c>
      <c r="I10" s="113"/>
      <c r="J10" s="44" t="str">
        <f>VLOOKUP(C10,Purchased!A:Q,13,0)</f>
        <v>N/A</v>
      </c>
      <c r="K10" s="44">
        <f>VLOOKUP(C10,Purchased!A:Q,14,0)</f>
        <v>45007</v>
      </c>
      <c r="L10" s="44">
        <f>VLOOKUP(C10,Purchased!A:Q,15,0)</f>
        <v>45037</v>
      </c>
      <c r="M10" s="44">
        <f>VLOOKUP(C10,Purchased!A:Q,16,0)</f>
        <v>45037</v>
      </c>
      <c r="N10" s="45">
        <f>VLOOKUP(C10,Purchased!A:Q,17,0)</f>
        <v>54818</v>
      </c>
      <c r="O10" s="45" t="e">
        <f t="shared" ca="1" si="0"/>
        <v>#VALUE!</v>
      </c>
      <c r="P10" s="49">
        <f>IFERROR(VLOOKUP(C10,Purchased!A:E,3,FALSE),"")</f>
        <v>369.17</v>
      </c>
      <c r="Q10" s="50">
        <f t="shared" si="1"/>
        <v>1845.8500000000001</v>
      </c>
    </row>
    <row r="11" spans="1:17" s="2" customFormat="1" ht="12" customHeight="1">
      <c r="A11" s="4">
        <f t="shared" si="2"/>
        <v>307</v>
      </c>
      <c r="B11" s="170">
        <v>6</v>
      </c>
      <c r="C11" s="114" t="s">
        <v>89</v>
      </c>
      <c r="D11" s="268" t="str">
        <f>VLOOKUP(C11,Purchased!A:B,2,0)</f>
        <v>TYPE CC FUSEHOLDER, THREE POLE, NON-INDICATING, 30A MAX, 600V</v>
      </c>
      <c r="E11" s="269"/>
      <c r="F11" s="112" t="str">
        <f>VLOOKUP(C11,Purchased!A:Q,9,0)</f>
        <v>EATON</v>
      </c>
      <c r="G11" s="112" t="str">
        <f>VLOOKUP(C11,Purchased!A:Q,10,0)</f>
        <v>CRAVE</v>
      </c>
      <c r="H11" s="112">
        <f>VLOOKUP(C11,Purchased!A:Q,12,0)</f>
        <v>0</v>
      </c>
      <c r="I11" s="113"/>
      <c r="J11" s="44">
        <f>VLOOKUP(C11,Purchased!A:Q,13,0)</f>
        <v>0</v>
      </c>
      <c r="K11" s="44">
        <f>VLOOKUP(C11,Purchased!A:Q,14,0)</f>
        <v>0</v>
      </c>
      <c r="L11" s="44">
        <f>VLOOKUP(C11,Purchased!A:Q,15,0)</f>
        <v>0</v>
      </c>
      <c r="M11" s="44">
        <f>VLOOKUP(C11,Purchased!A:Q,16,0)</f>
        <v>0</v>
      </c>
      <c r="N11" s="45">
        <f>VLOOKUP(C11,Purchased!A:Q,17,0)</f>
        <v>0</v>
      </c>
      <c r="O11" s="45" t="e">
        <f t="shared" ca="1" si="0"/>
        <v>#VALUE!</v>
      </c>
      <c r="P11" s="49">
        <f>IFERROR(VLOOKUP(C11,Purchased!A:E,3,FALSE),"")</f>
        <v>0</v>
      </c>
      <c r="Q11" s="50">
        <f t="shared" si="1"/>
        <v>0</v>
      </c>
    </row>
    <row r="12" spans="1:17" s="2" customFormat="1" ht="12" customHeight="1">
      <c r="A12" s="4">
        <f t="shared" si="2"/>
        <v>308</v>
      </c>
      <c r="B12" s="170">
        <v>6</v>
      </c>
      <c r="C12" s="114" t="s">
        <v>187</v>
      </c>
      <c r="D12" s="268" t="str">
        <f>VLOOKUP(C12,Purchased!A:B,2,0)</f>
        <v>Autonics SSR, Integrated Heatsink, Single phase, Input 4-30VDC, Load 48-480VAC, 10A, Zero cross.</v>
      </c>
      <c r="E12" s="269"/>
      <c r="F12" s="112" t="str">
        <f>VLOOKUP(C12,Purchased!A:Q,9,0)</f>
        <v>Autonics</v>
      </c>
      <c r="G12" s="112" t="str">
        <f>VLOOKUP(C12,Purchased!A:Q,10,0)</f>
        <v>ProAuto</v>
      </c>
      <c r="H12" s="112" t="str">
        <f>VLOOKUP(C12,Purchased!A:Q,12,0)</f>
        <v xml:space="preserve"> </v>
      </c>
      <c r="I12" s="113"/>
      <c r="J12" s="44" t="str">
        <f>VLOOKUP(C12,Purchased!A:Q,13,0)</f>
        <v>N/A</v>
      </c>
      <c r="K12" s="44">
        <f>VLOOKUP(C12,Purchased!A:Q,14,0)</f>
        <v>45014</v>
      </c>
      <c r="L12" s="44">
        <f>VLOOKUP(C12,Purchased!A:Q,15,0)</f>
        <v>45044</v>
      </c>
      <c r="M12" s="44">
        <f>VLOOKUP(C12,Purchased!A:Q,16,0)</f>
        <v>45044</v>
      </c>
      <c r="N12" s="45">
        <f>VLOOKUP(C12,Purchased!A:Q,17,0)</f>
        <v>54828</v>
      </c>
      <c r="O12" s="45" t="e">
        <f t="shared" ca="1" si="0"/>
        <v>#VALUE!</v>
      </c>
      <c r="P12" s="49">
        <f>IFERROR(VLOOKUP(C12,Purchased!A:E,3,FALSE),"")</f>
        <v>27</v>
      </c>
      <c r="Q12" s="50">
        <f t="shared" si="1"/>
        <v>162</v>
      </c>
    </row>
    <row r="13" spans="1:17" s="2" customFormat="1" ht="12" customHeight="1">
      <c r="A13" s="4">
        <f t="shared" si="2"/>
        <v>309</v>
      </c>
      <c r="B13" s="170">
        <v>1</v>
      </c>
      <c r="C13" s="114" t="s">
        <v>143</v>
      </c>
      <c r="D13" s="268" t="str">
        <f>VLOOKUP(C13,Purchased!A:B,2,0)</f>
        <v>Autonics I/O Power Module</v>
      </c>
      <c r="E13" s="269"/>
      <c r="F13" s="112" t="str">
        <f>VLOOKUP(C13,Purchased!A:Q,9,0)</f>
        <v>Autonics</v>
      </c>
      <c r="G13" s="112" t="str">
        <f>VLOOKUP(C13,Purchased!A:Q,10,0)</f>
        <v>ProAuto</v>
      </c>
      <c r="H13" s="112" t="str">
        <f>VLOOKUP(C13,Purchased!A:Q,12,0)</f>
        <v xml:space="preserve"> </v>
      </c>
      <c r="I13" s="113"/>
      <c r="J13" s="44" t="str">
        <f>VLOOKUP(C13,Purchased!A:Q,13,0)</f>
        <v>N/A</v>
      </c>
      <c r="K13" s="44">
        <f>VLOOKUP(C13,Purchased!A:Q,14,0)</f>
        <v>45084</v>
      </c>
      <c r="L13" s="44">
        <f>VLOOKUP(C13,Purchased!A:Q,15,0)</f>
        <v>45098</v>
      </c>
      <c r="M13" s="44">
        <f>VLOOKUP(C13,Purchased!A:Q,16,0)</f>
        <v>45098</v>
      </c>
      <c r="N13" s="45">
        <f>VLOOKUP(C13,Purchased!A:Q,17,0)</f>
        <v>54919</v>
      </c>
      <c r="O13" s="45" t="e">
        <f t="shared" ca="1" si="0"/>
        <v>#VALUE!</v>
      </c>
      <c r="P13" s="49">
        <f>IFERROR(VLOOKUP(C13,Purchased!A:E,3,FALSE),"")</f>
        <v>74.17</v>
      </c>
      <c r="Q13" s="50">
        <f t="shared" si="1"/>
        <v>74.17</v>
      </c>
    </row>
    <row r="14" spans="1:17" s="2" customFormat="1" ht="12" customHeight="1">
      <c r="A14" s="4">
        <f t="shared" si="2"/>
        <v>310</v>
      </c>
      <c r="B14" s="170">
        <v>1</v>
      </c>
      <c r="C14" s="114" t="s">
        <v>188</v>
      </c>
      <c r="D14" s="268" t="str">
        <f>VLOOKUP(C14,Purchased!A:B,2,0)</f>
        <v>DISCONNECT SWITCH, NON-FUSIBLE, 30A, 10KA SCCR W/TYPE J FUSE</v>
      </c>
      <c r="E14" s="269"/>
      <c r="F14" s="112" t="str">
        <f>VLOOKUP(C14,Purchased!A:Q,9,0)</f>
        <v>EATON</v>
      </c>
      <c r="G14" s="112" t="str">
        <f>VLOOKUP(C14,Purchased!A:Q,10,0)</f>
        <v>CRAVE</v>
      </c>
      <c r="H14" s="112">
        <f>VLOOKUP(C14,Purchased!A:Q,12,0)</f>
        <v>0</v>
      </c>
      <c r="I14" s="113"/>
      <c r="J14" s="44">
        <f>VLOOKUP(C14,Purchased!A:Q,13,0)</f>
        <v>0</v>
      </c>
      <c r="K14" s="44">
        <f>VLOOKUP(C14,Purchased!A:Q,14,0)</f>
        <v>0</v>
      </c>
      <c r="L14" s="44">
        <f>VLOOKUP(C14,Purchased!A:Q,15,0)</f>
        <v>0</v>
      </c>
      <c r="M14" s="44">
        <f>VLOOKUP(C14,Purchased!A:Q,16,0)</f>
        <v>0</v>
      </c>
      <c r="N14" s="45">
        <f>VLOOKUP(C14,Purchased!A:Q,17,0)</f>
        <v>0</v>
      </c>
      <c r="O14" s="45" t="e">
        <f t="shared" ca="1" si="0"/>
        <v>#VALUE!</v>
      </c>
      <c r="P14" s="49">
        <f>IFERROR(VLOOKUP(C14,Purchased!A:E,3,FALSE),"")</f>
        <v>0</v>
      </c>
      <c r="Q14" s="50">
        <f t="shared" si="1"/>
        <v>0</v>
      </c>
    </row>
    <row r="15" spans="1:17" s="2" customFormat="1" ht="12" customHeight="1">
      <c r="A15" s="4">
        <f t="shared" si="2"/>
        <v>311</v>
      </c>
      <c r="B15" s="170">
        <v>1</v>
      </c>
      <c r="C15" s="114" t="s">
        <v>189</v>
      </c>
      <c r="D15" s="268" t="str">
        <f>VLOOKUP(C15,Purchased!A:B,2,0)</f>
        <v>DISCONNECT SHAFT, 5X5MM, 200MM LONG, SIZE SH00</v>
      </c>
      <c r="E15" s="269"/>
      <c r="F15" s="112" t="str">
        <f>VLOOKUP(C15,Purchased!A:Q,9,0)</f>
        <v>EATON</v>
      </c>
      <c r="G15" s="112" t="str">
        <f>VLOOKUP(C15,Purchased!A:Q,10,0)</f>
        <v>CRAVE</v>
      </c>
      <c r="H15" s="112">
        <f>VLOOKUP(C15,Purchased!A:Q,12,0)</f>
        <v>0</v>
      </c>
      <c r="I15" s="113"/>
      <c r="J15" s="44">
        <f>VLOOKUP(C15,Purchased!A:Q,13,0)</f>
        <v>0</v>
      </c>
      <c r="K15" s="44">
        <f>VLOOKUP(C15,Purchased!A:Q,14,0)</f>
        <v>0</v>
      </c>
      <c r="L15" s="44">
        <f>VLOOKUP(C15,Purchased!A:Q,15,0)</f>
        <v>0</v>
      </c>
      <c r="M15" s="44">
        <f>VLOOKUP(C15,Purchased!A:Q,16,0)</f>
        <v>0</v>
      </c>
      <c r="N15" s="45">
        <f>VLOOKUP(C15,Purchased!A:Q,17,0)</f>
        <v>0</v>
      </c>
      <c r="O15" s="45" t="e">
        <f t="shared" ca="1" si="0"/>
        <v>#VALUE!</v>
      </c>
      <c r="P15" s="49">
        <f>IFERROR(VLOOKUP(C15,Purchased!A:E,3,FALSE),"")</f>
        <v>0</v>
      </c>
      <c r="Q15" s="50">
        <f t="shared" si="1"/>
        <v>0</v>
      </c>
    </row>
    <row r="16" spans="1:17" s="2" customFormat="1" ht="12" customHeight="1">
      <c r="A16" s="4">
        <f t="shared" si="2"/>
        <v>312</v>
      </c>
      <c r="B16" s="170">
        <v>8</v>
      </c>
      <c r="C16" s="114">
        <v>3208208</v>
      </c>
      <c r="D16" s="268" t="str">
        <f>VLOOKUP(C16,Purchased!A:B,2,0)</f>
        <v>Four-conductor terminal block, PT 1,5/S-QUATTRO BU</v>
      </c>
      <c r="E16" s="269"/>
      <c r="F16" s="112" t="str">
        <f>VLOOKUP(C16,Purchased!A:Q,9,0)</f>
        <v>PHOENIX CONTACT</v>
      </c>
      <c r="G16" s="112" t="str">
        <f>VLOOKUP(C16,Purchased!A:Q,10,0)</f>
        <v>CRAVE</v>
      </c>
      <c r="H16" s="112">
        <f>VLOOKUP(C16,Purchased!A:Q,12,0)</f>
        <v>0</v>
      </c>
      <c r="I16" s="113"/>
      <c r="J16" s="44">
        <f>VLOOKUP(C16,Purchased!A:Q,13,0)</f>
        <v>0</v>
      </c>
      <c r="K16" s="44">
        <f>VLOOKUP(C16,Purchased!A:Q,14,0)</f>
        <v>0</v>
      </c>
      <c r="L16" s="44">
        <f>VLOOKUP(C16,Purchased!A:Q,15,0)</f>
        <v>0</v>
      </c>
      <c r="M16" s="44">
        <f>VLOOKUP(C16,Purchased!A:Q,16,0)</f>
        <v>0</v>
      </c>
      <c r="N16" s="45">
        <f>VLOOKUP(C16,Purchased!A:Q,17,0)</f>
        <v>0</v>
      </c>
      <c r="O16" s="45" t="e">
        <f t="shared" ref="O16:O41" ca="1" si="3">B16*$L$2</f>
        <v>#VALUE!</v>
      </c>
      <c r="P16" s="49">
        <f>IFERROR(VLOOKUP(C16,Purchased!A:E,3,FALSE),"")</f>
        <v>0</v>
      </c>
      <c r="Q16" s="50">
        <f t="shared" ref="Q16:Q41" si="4">IFERROR(B16*P16,"")</f>
        <v>0</v>
      </c>
    </row>
    <row r="17" spans="1:17" s="2" customFormat="1" ht="12" customHeight="1">
      <c r="A17" s="4">
        <f t="shared" si="2"/>
        <v>313</v>
      </c>
      <c r="B17" s="170">
        <v>5</v>
      </c>
      <c r="C17" s="114">
        <v>3211797</v>
      </c>
      <c r="D17" s="268" t="str">
        <f>VLOOKUP(C17,Purchased!A:B,2,0)</f>
        <v>PT 4-QUATTRO; Feed-through terminal block, 32A, 24..10AWG, GY</v>
      </c>
      <c r="E17" s="269"/>
      <c r="F17" s="112" t="str">
        <f>VLOOKUP(C17,Purchased!A:Q,9,0)</f>
        <v>PHOENIX CONTACT</v>
      </c>
      <c r="G17" s="112" t="str">
        <f>VLOOKUP(C17,Purchased!A:Q,10,0)</f>
        <v>CRAVE</v>
      </c>
      <c r="H17" s="112">
        <f>VLOOKUP(C17,Purchased!A:Q,12,0)</f>
        <v>0</v>
      </c>
      <c r="I17" s="113"/>
      <c r="J17" s="44">
        <f>VLOOKUP(C17,Purchased!A:Q,13,0)</f>
        <v>0</v>
      </c>
      <c r="K17" s="44">
        <f>VLOOKUP(C17,Purchased!A:Q,14,0)</f>
        <v>0</v>
      </c>
      <c r="L17" s="44">
        <f>VLOOKUP(C17,Purchased!A:Q,15,0)</f>
        <v>0</v>
      </c>
      <c r="M17" s="44">
        <f>VLOOKUP(C17,Purchased!A:Q,16,0)</f>
        <v>0</v>
      </c>
      <c r="N17" s="45">
        <f>VLOOKUP(C17,Purchased!A:Q,17,0)</f>
        <v>0</v>
      </c>
      <c r="O17" s="45" t="e">
        <f t="shared" ca="1" si="3"/>
        <v>#VALUE!</v>
      </c>
      <c r="P17" s="49">
        <f>IFERROR(VLOOKUP(C17,Purchased!A:E,3,FALSE),"")</f>
        <v>0</v>
      </c>
      <c r="Q17" s="50">
        <f t="shared" si="4"/>
        <v>0</v>
      </c>
    </row>
    <row r="18" spans="1:17" s="2" customFormat="1" ht="12" customHeight="1">
      <c r="A18" s="4">
        <f t="shared" si="2"/>
        <v>314</v>
      </c>
      <c r="B18" s="170">
        <v>1</v>
      </c>
      <c r="C18" s="114">
        <v>3211809</v>
      </c>
      <c r="D18" s="268" t="str">
        <f>VLOOKUP(C18,Purchased!A:B,2,0)</f>
        <v>Ground modular terminal block, PT 4-QUATTRO-PE, 24..10AWG, GNYE</v>
      </c>
      <c r="E18" s="269"/>
      <c r="F18" s="112" t="str">
        <f>VLOOKUP(C18,Purchased!A:Q,9,0)</f>
        <v>PHOENIX CONTACT</v>
      </c>
      <c r="G18" s="112" t="str">
        <f>VLOOKUP(C18,Purchased!A:Q,10,0)</f>
        <v>CRAVE</v>
      </c>
      <c r="H18" s="112">
        <f>VLOOKUP(C18,Purchased!A:Q,12,0)</f>
        <v>0</v>
      </c>
      <c r="I18" s="113"/>
      <c r="J18" s="44">
        <f>VLOOKUP(C18,Purchased!A:Q,13,0)</f>
        <v>0</v>
      </c>
      <c r="K18" s="44">
        <f>VLOOKUP(C18,Purchased!A:Q,14,0)</f>
        <v>0</v>
      </c>
      <c r="L18" s="44">
        <f>VLOOKUP(C18,Purchased!A:Q,15,0)</f>
        <v>0</v>
      </c>
      <c r="M18" s="44">
        <f>VLOOKUP(C18,Purchased!A:Q,16,0)</f>
        <v>0</v>
      </c>
      <c r="N18" s="45">
        <f>VLOOKUP(C18,Purchased!A:Q,17,0)</f>
        <v>0</v>
      </c>
      <c r="O18" s="45" t="e">
        <f t="shared" ca="1" si="3"/>
        <v>#VALUE!</v>
      </c>
      <c r="P18" s="49">
        <f>IFERROR(VLOOKUP(C18,Purchased!A:E,3,FALSE),"")</f>
        <v>0</v>
      </c>
      <c r="Q18" s="50">
        <f t="shared" si="4"/>
        <v>0</v>
      </c>
    </row>
    <row r="19" spans="1:17" s="2" customFormat="1" ht="12" customHeight="1">
      <c r="A19" s="4">
        <f t="shared" si="2"/>
        <v>315</v>
      </c>
      <c r="B19" s="170">
        <v>1</v>
      </c>
      <c r="C19" s="114">
        <v>1085343</v>
      </c>
      <c r="D19" s="268" t="str">
        <f>VLOOKUP(C19,Purchased!A:B,2,0)</f>
        <v>SAFETY RELAY, RLY3-OSSD1, 2 CHANNEL INPUTS W/EDM</v>
      </c>
      <c r="E19" s="269"/>
      <c r="F19" s="112" t="str">
        <f>VLOOKUP(C19,Purchased!A:Q,9,0)</f>
        <v>SICK</v>
      </c>
      <c r="G19" s="112" t="str">
        <f>VLOOKUP(C19,Purchased!A:Q,10,0)</f>
        <v>CRAVE</v>
      </c>
      <c r="H19" s="112">
        <f>VLOOKUP(C19,Purchased!A:Q,12,0)</f>
        <v>0</v>
      </c>
      <c r="I19" s="113"/>
      <c r="J19" s="44">
        <f>VLOOKUP(C19,Purchased!A:Q,13,0)</f>
        <v>0</v>
      </c>
      <c r="K19" s="44">
        <f>VLOOKUP(C19,Purchased!A:Q,14,0)</f>
        <v>0</v>
      </c>
      <c r="L19" s="44">
        <f>VLOOKUP(C19,Purchased!A:Q,15,0)</f>
        <v>0</v>
      </c>
      <c r="M19" s="44">
        <f>VLOOKUP(C19,Purchased!A:Q,16,0)</f>
        <v>0</v>
      </c>
      <c r="N19" s="45">
        <f>VLOOKUP(C19,Purchased!A:Q,17,0)</f>
        <v>0</v>
      </c>
      <c r="O19" s="45" t="e">
        <f t="shared" ca="1" si="3"/>
        <v>#VALUE!</v>
      </c>
      <c r="P19" s="49">
        <f>IFERROR(VLOOKUP(C19,Purchased!A:E,3,FALSE),"")</f>
        <v>0</v>
      </c>
      <c r="Q19" s="50">
        <f t="shared" si="4"/>
        <v>0</v>
      </c>
    </row>
    <row r="20" spans="1:17" s="2" customFormat="1" ht="12" customHeight="1">
      <c r="A20" s="4">
        <f t="shared" si="2"/>
        <v>316</v>
      </c>
      <c r="B20" s="170">
        <v>6</v>
      </c>
      <c r="C20" s="114" t="s">
        <v>190</v>
      </c>
      <c r="D20" s="268" t="str">
        <f>VLOOKUP(C20,Purchased!A:B,2,0)</f>
        <v>FUSE, TYPE CC, FAST-ACTING, 10A, ONE POLE</v>
      </c>
      <c r="E20" s="269"/>
      <c r="F20" s="112" t="str">
        <f>VLOOKUP(C20,Purchased!A:Q,9,0)</f>
        <v>BUSSMAN</v>
      </c>
      <c r="G20" s="112" t="str">
        <f>VLOOKUP(C20,Purchased!A:Q,10,0)</f>
        <v>CRAVE</v>
      </c>
      <c r="H20" s="112">
        <f>VLOOKUP(C20,Purchased!A:Q,12,0)</f>
        <v>0</v>
      </c>
      <c r="I20" s="113"/>
      <c r="J20" s="44">
        <f>VLOOKUP(C20,Purchased!A:Q,13,0)</f>
        <v>0</v>
      </c>
      <c r="K20" s="44">
        <f>VLOOKUP(C20,Purchased!A:Q,14,0)</f>
        <v>0</v>
      </c>
      <c r="L20" s="44">
        <f>VLOOKUP(C20,Purchased!A:Q,15,0)</f>
        <v>0</v>
      </c>
      <c r="M20" s="44">
        <f>VLOOKUP(C20,Purchased!A:Q,16,0)</f>
        <v>0</v>
      </c>
      <c r="N20" s="45">
        <f>VLOOKUP(C20,Purchased!A:Q,17,0)</f>
        <v>0</v>
      </c>
      <c r="O20" s="45" t="e">
        <f t="shared" ca="1" si="3"/>
        <v>#VALUE!</v>
      </c>
      <c r="P20" s="49">
        <f>IFERROR(VLOOKUP(C20,Purchased!A:E,3,FALSE),"")</f>
        <v>0</v>
      </c>
      <c r="Q20" s="50">
        <f t="shared" si="4"/>
        <v>0</v>
      </c>
    </row>
    <row r="21" spans="1:17" s="2" customFormat="1" ht="12" customHeight="1">
      <c r="A21" s="4">
        <f t="shared" si="2"/>
        <v>317</v>
      </c>
      <c r="B21" s="170">
        <v>1</v>
      </c>
      <c r="C21" s="114" t="s">
        <v>191</v>
      </c>
      <c r="D21" s="268" t="str">
        <f>VLOOKUP(C21,Purchased!A:B,2,0)</f>
        <v>AUXILIARY CONTACT 1-NO, 1-NC FOR R5A DS</v>
      </c>
      <c r="E21" s="269"/>
      <c r="F21" s="112" t="str">
        <f>VLOOKUP(C21,Purchased!A:Q,9,0)</f>
        <v>EATON</v>
      </c>
      <c r="G21" s="112" t="str">
        <f>VLOOKUP(C21,Purchased!A:Q,10,0)</f>
        <v>CRAVE</v>
      </c>
      <c r="H21" s="112">
        <f>VLOOKUP(C21,Purchased!A:Q,12,0)</f>
        <v>0</v>
      </c>
      <c r="I21" s="113"/>
      <c r="J21" s="44">
        <f>VLOOKUP(C21,Purchased!A:Q,13,0)</f>
        <v>0</v>
      </c>
      <c r="K21" s="44">
        <f>VLOOKUP(C21,Purchased!A:Q,14,0)</f>
        <v>0</v>
      </c>
      <c r="L21" s="44">
        <f>VLOOKUP(C21,Purchased!A:Q,15,0)</f>
        <v>0</v>
      </c>
      <c r="M21" s="44">
        <f>VLOOKUP(C21,Purchased!A:Q,16,0)</f>
        <v>0</v>
      </c>
      <c r="N21" s="45">
        <f>VLOOKUP(C21,Purchased!A:Q,17,0)</f>
        <v>0</v>
      </c>
      <c r="O21" s="45" t="e">
        <f t="shared" ca="1" si="3"/>
        <v>#VALUE!</v>
      </c>
      <c r="P21" s="49">
        <f>IFERROR(VLOOKUP(C21,Purchased!A:E,3,FALSE),"")</f>
        <v>0</v>
      </c>
      <c r="Q21" s="50">
        <f t="shared" si="4"/>
        <v>0</v>
      </c>
    </row>
    <row r="22" spans="1:17" s="2" customFormat="1" ht="12" customHeight="1">
      <c r="A22" s="4">
        <f t="shared" si="2"/>
        <v>318</v>
      </c>
      <c r="B22" s="170">
        <v>1</v>
      </c>
      <c r="C22" s="114" t="s">
        <v>192</v>
      </c>
      <c r="D22" s="268" t="str">
        <f>VLOOKUP(C22,Purchased!A:B,2,0)</f>
        <v>PROTECTIVE EARTH MODULE</v>
      </c>
      <c r="E22" s="269"/>
      <c r="F22" s="112" t="str">
        <f>VLOOKUP(C22,Purchased!A:Q,9,0)</f>
        <v>EATON</v>
      </c>
      <c r="G22" s="112" t="str">
        <f>VLOOKUP(C22,Purchased!A:Q,10,0)</f>
        <v>CRAVE</v>
      </c>
      <c r="H22" s="112">
        <f>VLOOKUP(C22,Purchased!A:Q,12,0)</f>
        <v>0</v>
      </c>
      <c r="I22" s="113"/>
      <c r="J22" s="44">
        <f>VLOOKUP(C22,Purchased!A:Q,13,0)</f>
        <v>0</v>
      </c>
      <c r="K22" s="44">
        <f>VLOOKUP(C22,Purchased!A:Q,14,0)</f>
        <v>0</v>
      </c>
      <c r="L22" s="44">
        <f>VLOOKUP(C22,Purchased!A:Q,15,0)</f>
        <v>0</v>
      </c>
      <c r="M22" s="44">
        <f>VLOOKUP(C22,Purchased!A:Q,16,0)</f>
        <v>0</v>
      </c>
      <c r="N22" s="45">
        <f>VLOOKUP(C22,Purchased!A:Q,17,0)</f>
        <v>0</v>
      </c>
      <c r="O22" s="45" t="e">
        <f t="shared" ca="1" si="3"/>
        <v>#VALUE!</v>
      </c>
      <c r="P22" s="49">
        <f>IFERROR(VLOOKUP(C22,Purchased!A:E,3,FALSE),"")</f>
        <v>0</v>
      </c>
      <c r="Q22" s="50">
        <f t="shared" si="4"/>
        <v>0</v>
      </c>
    </row>
    <row r="23" spans="1:17" s="2" customFormat="1" ht="12" customHeight="1">
      <c r="A23" s="4">
        <f t="shared" si="2"/>
        <v>319</v>
      </c>
      <c r="B23" s="170">
        <v>1</v>
      </c>
      <c r="C23" s="114" t="s">
        <v>193</v>
      </c>
      <c r="D23" s="268" t="str">
        <f>VLOOKUP(C23,Purchased!A:B,2,0)</f>
        <v>TERMINAL SHROUDS</v>
      </c>
      <c r="E23" s="269"/>
      <c r="F23" s="112" t="str">
        <f>VLOOKUP(C23,Purchased!A:Q,9,0)</f>
        <v>EATON</v>
      </c>
      <c r="G23" s="112" t="str">
        <f>VLOOKUP(C23,Purchased!A:Q,10,0)</f>
        <v>CRAVE</v>
      </c>
      <c r="H23" s="112">
        <f>VLOOKUP(C23,Purchased!A:Q,12,0)</f>
        <v>0</v>
      </c>
      <c r="I23" s="113"/>
      <c r="J23" s="44">
        <f>VLOOKUP(C23,Purchased!A:Q,13,0)</f>
        <v>0</v>
      </c>
      <c r="K23" s="44">
        <f>VLOOKUP(C23,Purchased!A:Q,14,0)</f>
        <v>0</v>
      </c>
      <c r="L23" s="44">
        <f>VLOOKUP(C23,Purchased!A:Q,15,0)</f>
        <v>0</v>
      </c>
      <c r="M23" s="44">
        <f>VLOOKUP(C23,Purchased!A:Q,16,0)</f>
        <v>0</v>
      </c>
      <c r="N23" s="45">
        <f>VLOOKUP(C23,Purchased!A:Q,17,0)</f>
        <v>0</v>
      </c>
      <c r="O23" s="45" t="e">
        <f t="shared" ca="1" si="3"/>
        <v>#VALUE!</v>
      </c>
      <c r="P23" s="49">
        <f>IFERROR(VLOOKUP(C23,Purchased!A:E,3,FALSE),"")</f>
        <v>0</v>
      </c>
      <c r="Q23" s="50">
        <f t="shared" si="4"/>
        <v>0</v>
      </c>
    </row>
    <row r="24" spans="1:17" s="2" customFormat="1" ht="12" customHeight="1">
      <c r="A24" s="4">
        <f t="shared" si="2"/>
        <v>320</v>
      </c>
      <c r="B24" s="170">
        <v>1</v>
      </c>
      <c r="C24" s="114">
        <v>3213014</v>
      </c>
      <c r="D24" s="268" t="str">
        <f>VLOOKUP(C24,Purchased!A:B,2,0)</f>
        <v>Plug-in bridge - FBS 2-3,5, 17.5A</v>
      </c>
      <c r="E24" s="269"/>
      <c r="F24" s="112" t="str">
        <f>VLOOKUP(C24,Purchased!A:Q,9,0)</f>
        <v>PHOENIX CONTACT</v>
      </c>
      <c r="G24" s="112" t="str">
        <f>VLOOKUP(C24,Purchased!A:Q,10,0)</f>
        <v>CRAVE</v>
      </c>
      <c r="H24" s="112">
        <f>VLOOKUP(C24,Purchased!A:Q,12,0)</f>
        <v>0</v>
      </c>
      <c r="I24" s="113"/>
      <c r="J24" s="44">
        <f>VLOOKUP(C24,Purchased!A:Q,13,0)</f>
        <v>0</v>
      </c>
      <c r="K24" s="44">
        <f>VLOOKUP(C24,Purchased!A:Q,14,0)</f>
        <v>0</v>
      </c>
      <c r="L24" s="44">
        <f>VLOOKUP(C24,Purchased!A:Q,15,0)</f>
        <v>0</v>
      </c>
      <c r="M24" s="44">
        <f>VLOOKUP(C24,Purchased!A:Q,16,0)</f>
        <v>0</v>
      </c>
      <c r="N24" s="45">
        <f>VLOOKUP(C24,Purchased!A:Q,17,0)</f>
        <v>0</v>
      </c>
      <c r="O24" s="45" t="e">
        <f t="shared" ca="1" si="3"/>
        <v>#VALUE!</v>
      </c>
      <c r="P24" s="49">
        <f>IFERROR(VLOOKUP(C24,Purchased!A:E,3,FALSE),"")</f>
        <v>0</v>
      </c>
      <c r="Q24" s="50">
        <f t="shared" si="4"/>
        <v>0</v>
      </c>
    </row>
    <row r="25" spans="1:17" s="2" customFormat="1" ht="12" customHeight="1">
      <c r="A25" s="4">
        <f t="shared" si="2"/>
        <v>321</v>
      </c>
      <c r="B25" s="170">
        <v>900</v>
      </c>
      <c r="C25" s="114">
        <v>801733</v>
      </c>
      <c r="D25" s="268" t="str">
        <f>VLOOKUP(C25,Purchased!A:B,2,0)</f>
        <v>NS 35/ 7,5 PERF 2000MM - DIN rail perforated</v>
      </c>
      <c r="E25" s="269"/>
      <c r="F25" s="112" t="str">
        <f>VLOOKUP(C25,Purchased!A:Q,9,0)</f>
        <v>Phoenix Contact</v>
      </c>
      <c r="G25" s="112" t="str">
        <f>VLOOKUP(C25,Purchased!A:Q,10,0)</f>
        <v>CRAVE</v>
      </c>
      <c r="H25" s="112">
        <f>VLOOKUP(C25,Purchased!A:Q,12,0)</f>
        <v>0</v>
      </c>
      <c r="I25" s="113"/>
      <c r="J25" s="44">
        <f>VLOOKUP(C25,Purchased!A:Q,13,0)</f>
        <v>0</v>
      </c>
      <c r="K25" s="44">
        <f>VLOOKUP(C25,Purchased!A:Q,14,0)</f>
        <v>0</v>
      </c>
      <c r="L25" s="44">
        <f>VLOOKUP(C25,Purchased!A:Q,15,0)</f>
        <v>0</v>
      </c>
      <c r="M25" s="44">
        <f>VLOOKUP(C25,Purchased!A:Q,16,0)</f>
        <v>0</v>
      </c>
      <c r="N25" s="45">
        <f>VLOOKUP(C25,Purchased!A:Q,17,0)</f>
        <v>0</v>
      </c>
      <c r="O25" s="45" t="e">
        <f t="shared" ca="1" si="3"/>
        <v>#VALUE!</v>
      </c>
      <c r="P25" s="49">
        <f>IFERROR(VLOOKUP(C25,Purchased!A:E,3,FALSE),"")</f>
        <v>0</v>
      </c>
      <c r="Q25" s="50">
        <f t="shared" si="4"/>
        <v>0</v>
      </c>
    </row>
    <row r="26" spans="1:17" s="2" customFormat="1" ht="12" customHeight="1">
      <c r="A26" s="4">
        <f t="shared" si="2"/>
        <v>322</v>
      </c>
      <c r="B26" s="170">
        <v>1</v>
      </c>
      <c r="C26" s="114">
        <v>3030336</v>
      </c>
      <c r="D26" s="268" t="str">
        <f>VLOOKUP(C26,Purchased!A:B,2,0)</f>
        <v>FBS 2-6; PLUG-IN BRIDGE, 2-POSITION, 6.2MM PITCH, RED</v>
      </c>
      <c r="E26" s="269"/>
      <c r="F26" s="112" t="str">
        <f>VLOOKUP(C26,Purchased!A:Q,9,0)</f>
        <v>PHOENIX CONTACT</v>
      </c>
      <c r="G26" s="112" t="str">
        <f>VLOOKUP(C26,Purchased!A:Q,10,0)</f>
        <v>CRAVE</v>
      </c>
      <c r="H26" s="112">
        <f>VLOOKUP(C26,Purchased!A:Q,12,0)</f>
        <v>0</v>
      </c>
      <c r="I26" s="113"/>
      <c r="J26" s="44">
        <f>VLOOKUP(C26,Purchased!A:Q,13,0)</f>
        <v>0</v>
      </c>
      <c r="K26" s="44">
        <f>VLOOKUP(C26,Purchased!A:Q,14,0)</f>
        <v>0</v>
      </c>
      <c r="L26" s="44">
        <f>VLOOKUP(C26,Purchased!A:Q,15,0)</f>
        <v>0</v>
      </c>
      <c r="M26" s="44">
        <f>VLOOKUP(C26,Purchased!A:Q,16,0)</f>
        <v>0</v>
      </c>
      <c r="N26" s="45">
        <f>VLOOKUP(C26,Purchased!A:Q,17,0)</f>
        <v>0</v>
      </c>
      <c r="O26" s="45" t="e">
        <f t="shared" ca="1" si="3"/>
        <v>#VALUE!</v>
      </c>
      <c r="P26" s="49">
        <f>IFERROR(VLOOKUP(C26,Purchased!A:E,3,FALSE),"")</f>
        <v>0</v>
      </c>
      <c r="Q26" s="50">
        <f t="shared" si="4"/>
        <v>0</v>
      </c>
    </row>
    <row r="27" spans="1:17" s="2" customFormat="1" ht="12" customHeight="1">
      <c r="A27" s="4">
        <f t="shared" si="2"/>
        <v>323</v>
      </c>
      <c r="B27" s="170">
        <v>1</v>
      </c>
      <c r="C27" s="114">
        <v>1029569</v>
      </c>
      <c r="D27" s="268" t="str">
        <f>VLOOKUP(C27,Purchased!A:B,2,0)</f>
        <v>End cover - D-PT 1,5/S-0,8 OG</v>
      </c>
      <c r="E27" s="269"/>
      <c r="F27" s="112" t="str">
        <f>VLOOKUP(C27,Purchased!A:Q,9,0)</f>
        <v>PHOENIX CONTACT</v>
      </c>
      <c r="G27" s="112" t="str">
        <f>VLOOKUP(C27,Purchased!A:Q,10,0)</f>
        <v>CRAVE</v>
      </c>
      <c r="H27" s="112">
        <f>VLOOKUP(C27,Purchased!A:Q,12,0)</f>
        <v>0</v>
      </c>
      <c r="I27" s="113"/>
      <c r="J27" s="44">
        <f>VLOOKUP(C27,Purchased!A:Q,13,0)</f>
        <v>0</v>
      </c>
      <c r="K27" s="44">
        <f>VLOOKUP(C27,Purchased!A:Q,14,0)</f>
        <v>0</v>
      </c>
      <c r="L27" s="44">
        <f>VLOOKUP(C27,Purchased!A:Q,15,0)</f>
        <v>0</v>
      </c>
      <c r="M27" s="44">
        <f>VLOOKUP(C27,Purchased!A:Q,16,0)</f>
        <v>0</v>
      </c>
      <c r="N27" s="45">
        <f>VLOOKUP(C27,Purchased!A:Q,17,0)</f>
        <v>0</v>
      </c>
      <c r="O27" s="45" t="e">
        <f t="shared" ca="1" si="3"/>
        <v>#VALUE!</v>
      </c>
      <c r="P27" s="49">
        <f>IFERROR(VLOOKUP(C27,Purchased!A:E,3,FALSE),"")</f>
        <v>0</v>
      </c>
      <c r="Q27" s="50">
        <f t="shared" si="4"/>
        <v>0</v>
      </c>
    </row>
    <row r="28" spans="1:17" s="2" customFormat="1" ht="12" customHeight="1">
      <c r="A28" s="4">
        <f t="shared" si="2"/>
        <v>324</v>
      </c>
      <c r="B28" s="170">
        <v>1</v>
      </c>
      <c r="C28" s="114">
        <v>3208126</v>
      </c>
      <c r="D28" s="268" t="str">
        <f>VLOOKUP(C28,Purchased!A:B,2,0)</f>
        <v>Feed-through terminal block - PT 1,5/S BU</v>
      </c>
      <c r="E28" s="269"/>
      <c r="F28" s="112" t="str">
        <f>VLOOKUP(C28,Purchased!A:Q,9,0)</f>
        <v>PHOENIX CONTACT</v>
      </c>
      <c r="G28" s="112" t="str">
        <f>VLOOKUP(C28,Purchased!A:Q,10,0)</f>
        <v>CRAVE</v>
      </c>
      <c r="H28" s="112">
        <f>VLOOKUP(C28,Purchased!A:Q,12,0)</f>
        <v>0</v>
      </c>
      <c r="I28" s="113"/>
      <c r="J28" s="44">
        <f>VLOOKUP(C28,Purchased!A:Q,13,0)</f>
        <v>0</v>
      </c>
      <c r="K28" s="44">
        <f>VLOOKUP(C28,Purchased!A:Q,14,0)</f>
        <v>0</v>
      </c>
      <c r="L28" s="44">
        <f>VLOOKUP(C28,Purchased!A:Q,15,0)</f>
        <v>0</v>
      </c>
      <c r="M28" s="44">
        <f>VLOOKUP(C28,Purchased!A:Q,16,0)</f>
        <v>0</v>
      </c>
      <c r="N28" s="45">
        <f>VLOOKUP(C28,Purchased!A:Q,17,0)</f>
        <v>0</v>
      </c>
      <c r="O28" s="45" t="e">
        <f t="shared" ca="1" si="3"/>
        <v>#VALUE!</v>
      </c>
      <c r="P28" s="49">
        <f>IFERROR(VLOOKUP(C28,Purchased!A:E,3,FALSE),"")</f>
        <v>0</v>
      </c>
      <c r="Q28" s="50">
        <f t="shared" si="4"/>
        <v>0</v>
      </c>
    </row>
    <row r="29" spans="1:17" s="2" customFormat="1" ht="12" customHeight="1">
      <c r="A29" s="4">
        <f t="shared" si="2"/>
        <v>325</v>
      </c>
      <c r="B29" s="170">
        <v>1</v>
      </c>
      <c r="C29" s="114" t="s">
        <v>194</v>
      </c>
      <c r="D29" s="268" t="str">
        <f>VLOOKUP(C29,Purchased!A:B,2,0)</f>
        <v>DC Fans DC Tubeaxial Fan, 60x60x25mm, 24VDC, 33CFM, 3W, 6850RPM, 41dBA, Ball Bearing</v>
      </c>
      <c r="E29" s="269"/>
      <c r="F29" s="112" t="str">
        <f>VLOOKUP(C29,Purchased!A:Q,9,0)</f>
        <v>EBM PAPST</v>
      </c>
      <c r="G29" s="112" t="str">
        <f>VLOOKUP(C29,Purchased!A:Q,10,0)</f>
        <v>CRAVE</v>
      </c>
      <c r="H29" s="112">
        <f>VLOOKUP(C29,Purchased!A:Q,12,0)</f>
        <v>0</v>
      </c>
      <c r="I29" s="113"/>
      <c r="J29" s="44">
        <f>VLOOKUP(C29,Purchased!A:Q,13,0)</f>
        <v>0</v>
      </c>
      <c r="K29" s="44">
        <f>VLOOKUP(C29,Purchased!A:Q,14,0)</f>
        <v>0</v>
      </c>
      <c r="L29" s="44">
        <f>VLOOKUP(C29,Purchased!A:Q,15,0)</f>
        <v>0</v>
      </c>
      <c r="M29" s="44">
        <f>VLOOKUP(C29,Purchased!A:Q,16,0)</f>
        <v>0</v>
      </c>
      <c r="N29" s="45">
        <f>VLOOKUP(C29,Purchased!A:Q,17,0)</f>
        <v>0</v>
      </c>
      <c r="O29" s="45" t="e">
        <f t="shared" ca="1" si="3"/>
        <v>#VALUE!</v>
      </c>
      <c r="P29" s="49">
        <f>IFERROR(VLOOKUP(C29,Purchased!A:E,3,FALSE),"")</f>
        <v>0</v>
      </c>
      <c r="Q29" s="50">
        <f t="shared" si="4"/>
        <v>0</v>
      </c>
    </row>
    <row r="30" spans="1:17" s="2" customFormat="1" ht="12" customHeight="1">
      <c r="A30" s="4">
        <f t="shared" si="2"/>
        <v>326</v>
      </c>
      <c r="B30" s="170">
        <v>2</v>
      </c>
      <c r="C30" s="114">
        <v>3213027</v>
      </c>
      <c r="D30" s="268" t="str">
        <f>VLOOKUP(C30,Purchased!A:B,2,0)</f>
        <v>Plug-in bridge, RD, FBS 3-3,5</v>
      </c>
      <c r="E30" s="269"/>
      <c r="F30" s="112" t="str">
        <f>VLOOKUP(C30,Purchased!A:Q,9,0)</f>
        <v>PHOENIX CONTACT</v>
      </c>
      <c r="G30" s="112" t="str">
        <f>VLOOKUP(C30,Purchased!A:Q,10,0)</f>
        <v>CRAVE</v>
      </c>
      <c r="H30" s="112">
        <f>VLOOKUP(C30,Purchased!A:Q,12,0)</f>
        <v>0</v>
      </c>
      <c r="I30" s="113"/>
      <c r="J30" s="44">
        <f>VLOOKUP(C30,Purchased!A:Q,13,0)</f>
        <v>0</v>
      </c>
      <c r="K30" s="44">
        <f>VLOOKUP(C30,Purchased!A:Q,14,0)</f>
        <v>0</v>
      </c>
      <c r="L30" s="44">
        <f>VLOOKUP(C30,Purchased!A:Q,15,0)</f>
        <v>0</v>
      </c>
      <c r="M30" s="44">
        <f>VLOOKUP(C30,Purchased!A:Q,16,0)</f>
        <v>0</v>
      </c>
      <c r="N30" s="45">
        <f>VLOOKUP(C30,Purchased!A:Q,17,0)</f>
        <v>0</v>
      </c>
      <c r="O30" s="45" t="e">
        <f t="shared" ca="1" si="3"/>
        <v>#VALUE!</v>
      </c>
      <c r="P30" s="49">
        <f>IFERROR(VLOOKUP(C30,Purchased!A:E,3,FALSE),"")</f>
        <v>0</v>
      </c>
      <c r="Q30" s="50">
        <f t="shared" si="4"/>
        <v>0</v>
      </c>
    </row>
    <row r="31" spans="1:17" s="2" customFormat="1" ht="12" customHeight="1">
      <c r="A31" s="4">
        <f t="shared" si="2"/>
        <v>327</v>
      </c>
      <c r="B31" s="170">
        <v>1</v>
      </c>
      <c r="C31" s="114" t="s">
        <v>181</v>
      </c>
      <c r="D31" s="268" t="str">
        <f>VLOOKUP(C31,Purchased!A:B,2,0)</f>
        <v>MODIFIED AND ASSEMBLED BACKPLANE</v>
      </c>
      <c r="E31" s="269"/>
      <c r="F31" s="112" t="str">
        <f>VLOOKUP(C31,Purchased!A:Q,9,0)</f>
        <v>CRAVE</v>
      </c>
      <c r="G31" s="112" t="str">
        <f>VLOOKUP(C31,Purchased!A:Q,10,0)</f>
        <v>CRAVE</v>
      </c>
      <c r="H31" s="112">
        <f>VLOOKUP(C31,Purchased!A:Q,12,0)</f>
        <v>0</v>
      </c>
      <c r="I31" s="113"/>
      <c r="J31" s="44">
        <f>VLOOKUP(C31,Purchased!A:Q,13,0)</f>
        <v>0</v>
      </c>
      <c r="K31" s="44">
        <f>VLOOKUP(C31,Purchased!A:Q,14,0)</f>
        <v>0</v>
      </c>
      <c r="L31" s="44">
        <f>VLOOKUP(C31,Purchased!A:Q,15,0)</f>
        <v>0</v>
      </c>
      <c r="M31" s="44">
        <f>VLOOKUP(C31,Purchased!A:Q,16,0)</f>
        <v>0</v>
      </c>
      <c r="N31" s="45">
        <f>VLOOKUP(C31,Purchased!A:Q,17,0)</f>
        <v>0</v>
      </c>
      <c r="O31" s="45" t="e">
        <f t="shared" ca="1" si="3"/>
        <v>#VALUE!</v>
      </c>
      <c r="P31" s="49">
        <f>IFERROR(VLOOKUP(C31,Purchased!A:E,3,FALSE),"")</f>
        <v>0</v>
      </c>
      <c r="Q31" s="50">
        <f t="shared" si="4"/>
        <v>0</v>
      </c>
    </row>
    <row r="32" spans="1:17" s="2" customFormat="1" ht="12" customHeight="1">
      <c r="A32" s="4">
        <f t="shared" si="2"/>
        <v>328</v>
      </c>
      <c r="B32" s="170">
        <v>1</v>
      </c>
      <c r="C32" s="114" t="s">
        <v>195</v>
      </c>
      <c r="D32" s="268" t="str">
        <f>VLOOKUP(C32,Purchased!A:B,2,0)</f>
        <v>FAN BRACKET, ANODIZED ALUMINUM</v>
      </c>
      <c r="E32" s="269"/>
      <c r="F32" s="112" t="str">
        <f>VLOOKUP(C32,Purchased!A:Q,9,0)</f>
        <v>CRAVE TECHNICAL</v>
      </c>
      <c r="G32" s="112" t="str">
        <f>VLOOKUP(C32,Purchased!A:Q,10,0)</f>
        <v>CRAVE</v>
      </c>
      <c r="H32" s="112">
        <f>VLOOKUP(C32,Purchased!A:Q,12,0)</f>
        <v>0</v>
      </c>
      <c r="I32" s="113"/>
      <c r="J32" s="44">
        <f>VLOOKUP(C32,Purchased!A:Q,13,0)</f>
        <v>0</v>
      </c>
      <c r="K32" s="44">
        <f>VLOOKUP(C32,Purchased!A:Q,14,0)</f>
        <v>0</v>
      </c>
      <c r="L32" s="44">
        <f>VLOOKUP(C32,Purchased!A:Q,15,0)</f>
        <v>0</v>
      </c>
      <c r="M32" s="44">
        <f>VLOOKUP(C32,Purchased!A:Q,16,0)</f>
        <v>0</v>
      </c>
      <c r="N32" s="45">
        <f>VLOOKUP(C32,Purchased!A:Q,17,0)</f>
        <v>0</v>
      </c>
      <c r="O32" s="45" t="e">
        <f t="shared" ca="1" si="3"/>
        <v>#VALUE!</v>
      </c>
      <c r="P32" s="49">
        <f>IFERROR(VLOOKUP(C32,Purchased!A:E,3,FALSE),"")</f>
        <v>0</v>
      </c>
      <c r="Q32" s="50">
        <f t="shared" si="4"/>
        <v>0</v>
      </c>
    </row>
    <row r="33" spans="1:17" s="2" customFormat="1" ht="12" customHeight="1">
      <c r="A33" s="4">
        <f t="shared" si="2"/>
        <v>329</v>
      </c>
      <c r="B33" s="170">
        <v>1</v>
      </c>
      <c r="C33" s="114" t="s">
        <v>196</v>
      </c>
      <c r="D33" s="268" t="str">
        <f>VLOOKUP(C33,Purchased!A:B,2,0)</f>
        <v>PISTOL HANDLE DISCONNECT SWITCH, ROTARY, NEMA 1, 3R, 12, RED/YELLOW</v>
      </c>
      <c r="E33" s="269"/>
      <c r="F33" s="112" t="str">
        <f>VLOOKUP(C33,Purchased!A:Q,9,0)</f>
        <v>EATON</v>
      </c>
      <c r="G33" s="112" t="str">
        <f>VLOOKUP(C33,Purchased!A:Q,10,0)</f>
        <v>CRAVE</v>
      </c>
      <c r="H33" s="112">
        <f>VLOOKUP(C33,Purchased!A:Q,12,0)</f>
        <v>0</v>
      </c>
      <c r="I33" s="113"/>
      <c r="J33" s="44">
        <f>VLOOKUP(C33,Purchased!A:Q,13,0)</f>
        <v>0</v>
      </c>
      <c r="K33" s="44">
        <f>VLOOKUP(C33,Purchased!A:Q,14,0)</f>
        <v>0</v>
      </c>
      <c r="L33" s="44">
        <f>VLOOKUP(C33,Purchased!A:Q,15,0)</f>
        <v>0</v>
      </c>
      <c r="M33" s="44">
        <f>VLOOKUP(C33,Purchased!A:Q,16,0)</f>
        <v>0</v>
      </c>
      <c r="N33" s="45">
        <f>VLOOKUP(C33,Purchased!A:Q,17,0)</f>
        <v>0</v>
      </c>
      <c r="O33" s="45" t="e">
        <f t="shared" ca="1" si="3"/>
        <v>#VALUE!</v>
      </c>
      <c r="P33" s="49">
        <f>IFERROR(VLOOKUP(C33,Purchased!A:E,3,FALSE),"")</f>
        <v>0</v>
      </c>
      <c r="Q33" s="50">
        <f t="shared" si="4"/>
        <v>0</v>
      </c>
    </row>
    <row r="34" spans="1:17" s="2" customFormat="1" ht="12" customHeight="1">
      <c r="A34" s="4">
        <f t="shared" si="2"/>
        <v>330</v>
      </c>
      <c r="B34" s="170">
        <v>1</v>
      </c>
      <c r="C34" s="114" t="s">
        <v>197</v>
      </c>
      <c r="D34" s="268" t="str">
        <f>VLOOKUP(C34,Purchased!A:B,2,0)</f>
        <v>BACKPLANE ASSEMBLY</v>
      </c>
      <c r="E34" s="269"/>
      <c r="F34" s="112" t="str">
        <f>VLOOKUP(C34,Purchased!A:Q,9,0)</f>
        <v>CRAVE TECHNICAL</v>
      </c>
      <c r="G34" s="112" t="str">
        <f>VLOOKUP(C34,Purchased!A:Q,10,0)</f>
        <v>CRAVE</v>
      </c>
      <c r="H34" s="112">
        <f>VLOOKUP(C34,Purchased!A:Q,12,0)</f>
        <v>0</v>
      </c>
      <c r="I34" s="113"/>
      <c r="J34" s="44">
        <f>VLOOKUP(C34,Purchased!A:Q,13,0)</f>
        <v>0</v>
      </c>
      <c r="K34" s="44">
        <f>VLOOKUP(C34,Purchased!A:Q,14,0)</f>
        <v>0</v>
      </c>
      <c r="L34" s="44">
        <f>VLOOKUP(C34,Purchased!A:Q,15,0)</f>
        <v>0</v>
      </c>
      <c r="M34" s="44">
        <f>VLOOKUP(C34,Purchased!A:Q,16,0)</f>
        <v>0</v>
      </c>
      <c r="N34" s="45">
        <f>VLOOKUP(C34,Purchased!A:Q,17,0)</f>
        <v>0</v>
      </c>
      <c r="O34" s="45" t="e">
        <f t="shared" ca="1" si="3"/>
        <v>#VALUE!</v>
      </c>
      <c r="P34" s="49">
        <f>IFERROR(VLOOKUP(C34,Purchased!A:E,3,FALSE),"")</f>
        <v>0</v>
      </c>
      <c r="Q34" s="50">
        <f t="shared" si="4"/>
        <v>0</v>
      </c>
    </row>
    <row r="35" spans="1:17" s="2" customFormat="1" ht="12" customHeight="1">
      <c r="A35" s="4">
        <f t="shared" si="2"/>
        <v>331</v>
      </c>
      <c r="B35" s="170">
        <v>3520</v>
      </c>
      <c r="C35" s="114" t="s">
        <v>146</v>
      </c>
      <c r="D35" s="268" t="str">
        <f>VLOOKUP(C35,Purchased!A:B,2,0)</f>
        <v>Narrow Slot Wiring Duct, 25mm x 75mm</v>
      </c>
      <c r="E35" s="269"/>
      <c r="F35" s="112" t="str">
        <f>VLOOKUP(C35,Purchased!A:Q,9,0)</f>
        <v>PANDUIT</v>
      </c>
      <c r="G35" s="112" t="str">
        <f>VLOOKUP(C35,Purchased!A:Q,10,0)</f>
        <v>CRAVE</v>
      </c>
      <c r="H35" s="112">
        <f>VLOOKUP(C35,Purchased!A:Q,12,0)</f>
        <v>0</v>
      </c>
      <c r="I35" s="113"/>
      <c r="J35" s="44">
        <f>VLOOKUP(C35,Purchased!A:Q,13,0)</f>
        <v>0</v>
      </c>
      <c r="K35" s="44">
        <f>VLOOKUP(C35,Purchased!A:Q,14,0)</f>
        <v>0</v>
      </c>
      <c r="L35" s="44">
        <f>VLOOKUP(C35,Purchased!A:Q,15,0)</f>
        <v>0</v>
      </c>
      <c r="M35" s="44">
        <f>VLOOKUP(C35,Purchased!A:Q,16,0)</f>
        <v>0</v>
      </c>
      <c r="N35" s="45">
        <f>VLOOKUP(C35,Purchased!A:Q,17,0)</f>
        <v>0</v>
      </c>
      <c r="O35" s="45" t="e">
        <f t="shared" ca="1" si="3"/>
        <v>#VALUE!</v>
      </c>
      <c r="P35" s="49">
        <f>IFERROR(VLOOKUP(C35,Purchased!A:E,3,FALSE),"")</f>
        <v>0</v>
      </c>
      <c r="Q35" s="50">
        <f t="shared" si="4"/>
        <v>0</v>
      </c>
    </row>
    <row r="36" spans="1:17" s="2" customFormat="1" ht="12" customHeight="1">
      <c r="A36" s="4">
        <f t="shared" si="2"/>
        <v>332</v>
      </c>
      <c r="B36" s="170">
        <v>3520</v>
      </c>
      <c r="C36" s="114" t="s">
        <v>147</v>
      </c>
      <c r="D36" s="268" t="str">
        <f>VLOOKUP(C36,Purchased!A:B,2,0)</f>
        <v>Duct cover, 25mm</v>
      </c>
      <c r="E36" s="269"/>
      <c r="F36" s="112" t="str">
        <f>VLOOKUP(C36,Purchased!A:Q,9,0)</f>
        <v>PANDUIT</v>
      </c>
      <c r="G36" s="112" t="str">
        <f>VLOOKUP(C36,Purchased!A:Q,10,0)</f>
        <v>CRAVE</v>
      </c>
      <c r="H36" s="112">
        <f>VLOOKUP(C36,Purchased!A:Q,12,0)</f>
        <v>0</v>
      </c>
      <c r="I36" s="113"/>
      <c r="J36" s="44">
        <f>VLOOKUP(C36,Purchased!A:Q,13,0)</f>
        <v>0</v>
      </c>
      <c r="K36" s="44">
        <f>VLOOKUP(C36,Purchased!A:Q,14,0)</f>
        <v>0</v>
      </c>
      <c r="L36" s="44">
        <f>VLOOKUP(C36,Purchased!A:Q,15,0)</f>
        <v>0</v>
      </c>
      <c r="M36" s="44">
        <f>VLOOKUP(C36,Purchased!A:Q,16,0)</f>
        <v>0</v>
      </c>
      <c r="N36" s="45">
        <f>VLOOKUP(C36,Purchased!A:Q,17,0)</f>
        <v>0</v>
      </c>
      <c r="O36" s="45" t="e">
        <f t="shared" ca="1" si="3"/>
        <v>#VALUE!</v>
      </c>
      <c r="P36" s="49">
        <f>IFERROR(VLOOKUP(C36,Purchased!A:E,3,FALSE),"")</f>
        <v>0</v>
      </c>
      <c r="Q36" s="50">
        <f t="shared" si="4"/>
        <v>0</v>
      </c>
    </row>
    <row r="37" spans="1:17" s="2" customFormat="1" ht="12" customHeight="1">
      <c r="A37" s="4">
        <f t="shared" si="2"/>
        <v>333</v>
      </c>
      <c r="B37" s="170">
        <v>3</v>
      </c>
      <c r="C37" s="114">
        <v>1029591</v>
      </c>
      <c r="D37" s="268" t="str">
        <f>VLOOKUP(C37,Purchased!A:B,2,0)</f>
        <v>D-PT 1,5/S-QUATTRO-0,8 OG, END-COVER, OG</v>
      </c>
      <c r="E37" s="269"/>
      <c r="F37" s="112" t="str">
        <f>VLOOKUP(C37,Purchased!A:Q,9,0)</f>
        <v>PHOENIX CONTACT</v>
      </c>
      <c r="G37" s="112" t="str">
        <f>VLOOKUP(C37,Purchased!A:Q,10,0)</f>
        <v>CRAVE</v>
      </c>
      <c r="H37" s="112">
        <f>VLOOKUP(C37,Purchased!A:Q,12,0)</f>
        <v>0</v>
      </c>
      <c r="I37" s="113"/>
      <c r="J37" s="44">
        <f>VLOOKUP(C37,Purchased!A:Q,13,0)</f>
        <v>0</v>
      </c>
      <c r="K37" s="44">
        <f>VLOOKUP(C37,Purchased!A:Q,14,0)</f>
        <v>0</v>
      </c>
      <c r="L37" s="44">
        <f>VLOOKUP(C37,Purchased!A:Q,15,0)</f>
        <v>0</v>
      </c>
      <c r="M37" s="44">
        <f>VLOOKUP(C37,Purchased!A:Q,16,0)</f>
        <v>0</v>
      </c>
      <c r="N37" s="45">
        <f>VLOOKUP(C37,Purchased!A:Q,17,0)</f>
        <v>0</v>
      </c>
      <c r="O37" s="45" t="e">
        <f t="shared" ca="1" si="3"/>
        <v>#VALUE!</v>
      </c>
      <c r="P37" s="49">
        <f>IFERROR(VLOOKUP(C37,Purchased!A:E,3,FALSE),"")</f>
        <v>0</v>
      </c>
      <c r="Q37" s="50">
        <f t="shared" si="4"/>
        <v>0</v>
      </c>
    </row>
    <row r="38" spans="1:17" s="2" customFormat="1" ht="12" customHeight="1">
      <c r="A38" s="4">
        <f t="shared" si="2"/>
        <v>334</v>
      </c>
      <c r="B38" s="170">
        <v>4</v>
      </c>
      <c r="C38" s="114">
        <v>3022276</v>
      </c>
      <c r="D38" s="268" t="str">
        <f>VLOOKUP(C38,Purchased!A:B,2,0)</f>
        <v>CLIPFIX 35-5 - End clamp</v>
      </c>
      <c r="E38" s="269"/>
      <c r="F38" s="112" t="str">
        <f>VLOOKUP(C38,Purchased!A:Q,9,0)</f>
        <v>PHOENIX CONTACT</v>
      </c>
      <c r="G38" s="112" t="str">
        <f>VLOOKUP(C38,Purchased!A:Q,10,0)</f>
        <v>CRAVE</v>
      </c>
      <c r="H38" s="112">
        <f>VLOOKUP(C38,Purchased!A:Q,12,0)</f>
        <v>0</v>
      </c>
      <c r="I38" s="113"/>
      <c r="J38" s="44">
        <f>VLOOKUP(C38,Purchased!A:Q,13,0)</f>
        <v>0</v>
      </c>
      <c r="K38" s="44">
        <f>VLOOKUP(C38,Purchased!A:Q,14,0)</f>
        <v>0</v>
      </c>
      <c r="L38" s="44">
        <f>VLOOKUP(C38,Purchased!A:Q,15,0)</f>
        <v>0</v>
      </c>
      <c r="M38" s="44">
        <f>VLOOKUP(C38,Purchased!A:Q,16,0)</f>
        <v>0</v>
      </c>
      <c r="N38" s="45">
        <f>VLOOKUP(C38,Purchased!A:Q,17,0)</f>
        <v>0</v>
      </c>
      <c r="O38" s="45" t="e">
        <f t="shared" ca="1" si="3"/>
        <v>#VALUE!</v>
      </c>
      <c r="P38" s="49">
        <f>IFERROR(VLOOKUP(C38,Purchased!A:E,3,FALSE),"")</f>
        <v>0</v>
      </c>
      <c r="Q38" s="50">
        <f t="shared" si="4"/>
        <v>0</v>
      </c>
    </row>
    <row r="39" spans="1:17" s="2" customFormat="1" ht="12" customHeight="1">
      <c r="A39" s="4">
        <f t="shared" si="2"/>
        <v>335</v>
      </c>
      <c r="B39" s="170">
        <v>4</v>
      </c>
      <c r="C39" s="114">
        <v>3208979</v>
      </c>
      <c r="D39" s="268" t="str">
        <f>VLOOKUP(C39,Purchased!A:B,2,0)</f>
        <v>D-PT 4-QUATTRO; END COVER, GY</v>
      </c>
      <c r="E39" s="269"/>
      <c r="F39" s="112" t="str">
        <f>VLOOKUP(C39,Purchased!A:Q,9,0)</f>
        <v>PHOENIX CONTACT</v>
      </c>
      <c r="G39" s="112" t="str">
        <f>VLOOKUP(C39,Purchased!A:Q,10,0)</f>
        <v>CRAVE</v>
      </c>
      <c r="H39" s="112">
        <f>VLOOKUP(C39,Purchased!A:Q,12,0)</f>
        <v>0</v>
      </c>
      <c r="I39" s="113"/>
      <c r="J39" s="44">
        <f>VLOOKUP(C39,Purchased!A:Q,13,0)</f>
        <v>0</v>
      </c>
      <c r="K39" s="44">
        <f>VLOOKUP(C39,Purchased!A:Q,14,0)</f>
        <v>0</v>
      </c>
      <c r="L39" s="44">
        <f>VLOOKUP(C39,Purchased!A:Q,15,0)</f>
        <v>0</v>
      </c>
      <c r="M39" s="44">
        <f>VLOOKUP(C39,Purchased!A:Q,16,0)</f>
        <v>0</v>
      </c>
      <c r="N39" s="45">
        <f>VLOOKUP(C39,Purchased!A:Q,17,0)</f>
        <v>0</v>
      </c>
      <c r="O39" s="45" t="e">
        <f t="shared" ca="1" si="3"/>
        <v>#VALUE!</v>
      </c>
      <c r="P39" s="49">
        <f>IFERROR(VLOOKUP(C39,Purchased!A:E,3,FALSE),"")</f>
        <v>0</v>
      </c>
      <c r="Q39" s="50">
        <f t="shared" si="4"/>
        <v>0</v>
      </c>
    </row>
    <row r="40" spans="1:17" s="2" customFormat="1" ht="12" customHeight="1">
      <c r="A40" s="4">
        <f t="shared" si="2"/>
        <v>336</v>
      </c>
      <c r="B40" s="170">
        <v>1</v>
      </c>
      <c r="C40" s="114" t="s">
        <v>130</v>
      </c>
      <c r="D40" s="268" t="str">
        <f>VLOOKUP(C40,Purchased!A:B,2,0)</f>
        <v>CAUTION STICKER</v>
      </c>
      <c r="E40" s="269"/>
      <c r="F40" s="112" t="str">
        <f>VLOOKUP(C40,Purchased!A:Q,9,0)</f>
        <v>SAFETYSIGN.COM</v>
      </c>
      <c r="G40" s="112" t="str">
        <f>VLOOKUP(C40,Purchased!A:Q,10,0)</f>
        <v>CRAVE</v>
      </c>
      <c r="H40" s="112">
        <f>VLOOKUP(C40,Purchased!A:Q,12,0)</f>
        <v>0</v>
      </c>
      <c r="I40" s="113"/>
      <c r="J40" s="44">
        <f>VLOOKUP(C40,Purchased!A:Q,13,0)</f>
        <v>0</v>
      </c>
      <c r="K40" s="44">
        <f>VLOOKUP(C40,Purchased!A:Q,14,0)</f>
        <v>0</v>
      </c>
      <c r="L40" s="44">
        <f>VLOOKUP(C40,Purchased!A:Q,15,0)</f>
        <v>0</v>
      </c>
      <c r="M40" s="44">
        <f>VLOOKUP(C40,Purchased!A:Q,16,0)</f>
        <v>0</v>
      </c>
      <c r="N40" s="45">
        <f>VLOOKUP(C40,Purchased!A:Q,17,0)</f>
        <v>0</v>
      </c>
      <c r="O40" s="45" t="e">
        <f t="shared" ca="1" si="3"/>
        <v>#VALUE!</v>
      </c>
      <c r="P40" s="49">
        <f>IFERROR(VLOOKUP(C40,Purchased!A:E,3,FALSE),"")</f>
        <v>0</v>
      </c>
      <c r="Q40" s="50">
        <f t="shared" si="4"/>
        <v>0</v>
      </c>
    </row>
    <row r="41" spans="1:17" s="2" customFormat="1" ht="12" customHeight="1" thickBot="1">
      <c r="A41" s="4">
        <f t="shared" si="2"/>
        <v>337</v>
      </c>
      <c r="B41" s="170">
        <v>1</v>
      </c>
      <c r="C41" s="114" t="s">
        <v>198</v>
      </c>
      <c r="D41" s="268" t="str">
        <f>VLOOKUP(C41,Purchased!A:B,2,0)</f>
        <v>LEGEND PLATE</v>
      </c>
      <c r="E41" s="269"/>
      <c r="F41" s="112" t="str">
        <f>VLOOKUP(C41,Purchased!A:Q,9,0)</f>
        <v>CRAVE</v>
      </c>
      <c r="G41" s="112" t="str">
        <f>VLOOKUP(C41,Purchased!A:Q,10,0)</f>
        <v>CRAVE</v>
      </c>
      <c r="H41" s="112">
        <f>VLOOKUP(C41,Purchased!A:Q,12,0)</f>
        <v>0</v>
      </c>
      <c r="I41" s="113"/>
      <c r="J41" s="44">
        <f>VLOOKUP(C41,Purchased!A:Q,13,0)</f>
        <v>0</v>
      </c>
      <c r="K41" s="44">
        <f>VLOOKUP(C41,Purchased!A:Q,14,0)</f>
        <v>0</v>
      </c>
      <c r="L41" s="44">
        <f>VLOOKUP(C41,Purchased!A:Q,15,0)</f>
        <v>0</v>
      </c>
      <c r="M41" s="44">
        <f>VLOOKUP(C41,Purchased!A:Q,16,0)</f>
        <v>0</v>
      </c>
      <c r="N41" s="45">
        <f>VLOOKUP(C41,Purchased!A:Q,17,0)</f>
        <v>0</v>
      </c>
      <c r="O41" s="45" t="e">
        <f t="shared" ca="1" si="3"/>
        <v>#VALUE!</v>
      </c>
      <c r="P41" s="49">
        <f>IFERROR(VLOOKUP(C41,Purchased!A:E,3,FALSE),"")</f>
        <v>0</v>
      </c>
      <c r="Q41" s="50">
        <f t="shared" si="4"/>
        <v>0</v>
      </c>
    </row>
    <row r="42" spans="1:17" s="2" customFormat="1" ht="12.75" customHeight="1" thickBot="1">
      <c r="A42" s="34"/>
      <c r="B42" s="35"/>
      <c r="C42" s="35"/>
      <c r="D42" s="256"/>
      <c r="E42" s="257"/>
      <c r="F42" s="35"/>
      <c r="G42" s="35"/>
      <c r="H42" s="294"/>
      <c r="I42" s="295"/>
      <c r="J42" s="36"/>
      <c r="K42" s="36"/>
      <c r="L42" s="36"/>
      <c r="M42" s="37"/>
      <c r="N42" s="38"/>
      <c r="O42" s="38"/>
      <c r="P42" s="89" t="s">
        <v>43</v>
      </c>
      <c r="Q42" s="94">
        <f>SUM(Q5:Q15)</f>
        <v>3238.9400000000005</v>
      </c>
    </row>
    <row r="43" spans="1:17" s="2" customFormat="1" ht="12" customHeight="1">
      <c r="D43" s="22"/>
      <c r="E43" s="22"/>
      <c r="J43" s="8"/>
      <c r="K43" s="8"/>
      <c r="L43" s="8"/>
      <c r="M43" s="8"/>
      <c r="N43" s="5"/>
      <c r="O43" s="5"/>
      <c r="P43" s="88"/>
      <c r="Q43" s="95"/>
    </row>
    <row r="44" spans="1:17" s="2" customFormat="1" ht="12" customHeight="1">
      <c r="D44" s="22"/>
      <c r="E44" s="22"/>
      <c r="J44" s="5"/>
      <c r="K44" s="5"/>
      <c r="L44" s="5"/>
      <c r="M44" s="5"/>
      <c r="N44" s="5"/>
      <c r="O44" s="5"/>
      <c r="P44" s="88"/>
      <c r="Q44" s="95"/>
    </row>
    <row r="45" spans="1:17" s="2" customFormat="1" ht="12" customHeight="1">
      <c r="D45" s="22"/>
      <c r="E45" s="22"/>
      <c r="J45" s="5"/>
      <c r="K45" s="5"/>
      <c r="L45" s="5"/>
      <c r="M45" s="5"/>
      <c r="N45" s="5"/>
      <c r="O45" s="5"/>
      <c r="P45" s="88"/>
      <c r="Q45" s="95"/>
    </row>
    <row r="46" spans="1:17" s="2" customFormat="1" ht="12" customHeight="1">
      <c r="D46" s="22"/>
      <c r="E46" s="22"/>
      <c r="J46" s="5"/>
      <c r="K46" s="5"/>
      <c r="L46" s="5"/>
      <c r="M46" s="5"/>
      <c r="N46" s="5"/>
      <c r="O46" s="5"/>
      <c r="P46" s="88"/>
      <c r="Q46" s="95"/>
    </row>
    <row r="47" spans="1:17" s="2" customFormat="1" ht="12" customHeight="1">
      <c r="D47" s="22"/>
      <c r="E47" s="22"/>
      <c r="J47" s="5"/>
      <c r="K47" s="5"/>
      <c r="L47" s="5"/>
      <c r="M47" s="5"/>
      <c r="N47" s="5"/>
      <c r="O47" s="5"/>
      <c r="P47" s="88"/>
      <c r="Q47" s="95"/>
    </row>
    <row r="48" spans="1:17" s="2" customFormat="1" ht="12" customHeight="1">
      <c r="D48" s="22"/>
      <c r="E48" s="22"/>
      <c r="J48" s="5"/>
      <c r="K48" s="5"/>
      <c r="L48" s="5"/>
      <c r="M48" s="5"/>
      <c r="N48" s="5"/>
      <c r="O48" s="5"/>
      <c r="P48" s="88"/>
      <c r="Q48" s="95"/>
    </row>
    <row r="49" spans="4:17" s="2" customFormat="1" ht="12" customHeight="1">
      <c r="D49" s="22"/>
      <c r="E49" s="22"/>
      <c r="J49" s="5"/>
      <c r="K49" s="5"/>
      <c r="L49" s="5"/>
      <c r="M49" s="5"/>
      <c r="N49" s="5"/>
      <c r="O49" s="5"/>
      <c r="P49" s="88"/>
      <c r="Q49" s="95"/>
    </row>
    <row r="50" spans="4:17" s="2" customFormat="1" ht="12" customHeight="1">
      <c r="D50" s="22"/>
      <c r="E50" s="22"/>
      <c r="J50" s="5"/>
      <c r="K50" s="5"/>
      <c r="L50" s="5"/>
      <c r="M50" s="5"/>
      <c r="N50" s="5"/>
      <c r="O50" s="5"/>
      <c r="P50" s="88"/>
      <c r="Q50" s="95"/>
    </row>
    <row r="51" spans="4:17" s="2" customFormat="1" ht="12" customHeight="1">
      <c r="D51" s="22"/>
      <c r="E51" s="22"/>
      <c r="J51" s="5"/>
      <c r="K51" s="5"/>
      <c r="L51" s="5"/>
      <c r="M51" s="5"/>
      <c r="N51" s="5"/>
      <c r="O51" s="5"/>
      <c r="P51" s="88"/>
      <c r="Q51" s="95"/>
    </row>
    <row r="52" spans="4:17" s="2" customFormat="1" ht="12" customHeight="1">
      <c r="D52" s="22"/>
      <c r="E52" s="22"/>
      <c r="J52" s="5"/>
      <c r="K52" s="5"/>
      <c r="L52" s="5"/>
      <c r="M52" s="5"/>
      <c r="N52" s="5"/>
      <c r="O52" s="5"/>
      <c r="P52" s="88"/>
      <c r="Q52" s="95"/>
    </row>
    <row r="53" spans="4:17" s="2" customFormat="1" ht="12" customHeight="1">
      <c r="D53" s="22"/>
      <c r="E53" s="22"/>
      <c r="J53" s="5"/>
      <c r="K53" s="5"/>
      <c r="L53" s="5"/>
      <c r="M53" s="5"/>
      <c r="N53" s="5"/>
      <c r="O53" s="5"/>
      <c r="P53" s="88"/>
      <c r="Q53" s="95"/>
    </row>
    <row r="54" spans="4:17" s="2" customFormat="1" ht="12" customHeight="1">
      <c r="D54" s="22"/>
      <c r="E54" s="22"/>
      <c r="J54" s="5"/>
      <c r="K54" s="5"/>
      <c r="L54" s="5"/>
      <c r="M54" s="5"/>
      <c r="N54" s="5"/>
      <c r="O54" s="5"/>
      <c r="P54" s="88"/>
      <c r="Q54" s="95"/>
    </row>
    <row r="55" spans="4:17" s="2" customFormat="1" ht="12" customHeight="1">
      <c r="D55" s="22"/>
      <c r="E55" s="22"/>
      <c r="J55" s="5"/>
      <c r="K55" s="5"/>
      <c r="L55" s="5"/>
      <c r="M55" s="5"/>
      <c r="N55" s="5"/>
      <c r="O55" s="5"/>
      <c r="P55" s="88"/>
      <c r="Q55" s="95"/>
    </row>
    <row r="56" spans="4:17" s="2" customFormat="1" ht="12" customHeight="1">
      <c r="D56" s="22"/>
      <c r="E56" s="22"/>
      <c r="J56" s="5"/>
      <c r="K56" s="5"/>
      <c r="L56" s="5"/>
      <c r="M56" s="5"/>
      <c r="N56" s="5"/>
      <c r="O56" s="5"/>
      <c r="P56" s="88"/>
      <c r="Q56" s="95"/>
    </row>
    <row r="57" spans="4:17" s="2" customFormat="1" ht="12" customHeight="1">
      <c r="D57" s="22"/>
      <c r="E57" s="22"/>
      <c r="J57" s="5"/>
      <c r="K57" s="5"/>
      <c r="L57" s="5"/>
      <c r="M57" s="5"/>
      <c r="N57" s="5"/>
      <c r="O57" s="5"/>
      <c r="P57" s="88"/>
      <c r="Q57" s="95"/>
    </row>
    <row r="58" spans="4:17" s="2" customFormat="1" ht="12" customHeight="1">
      <c r="D58" s="22"/>
      <c r="E58" s="22"/>
      <c r="J58" s="5"/>
      <c r="K58" s="5"/>
      <c r="L58" s="5"/>
      <c r="M58" s="5"/>
      <c r="N58" s="5"/>
      <c r="O58" s="5"/>
      <c r="P58" s="88"/>
      <c r="Q58" s="95"/>
    </row>
    <row r="59" spans="4:17" s="2" customFormat="1" ht="12" customHeight="1">
      <c r="D59" s="22"/>
      <c r="E59" s="22"/>
      <c r="J59" s="5"/>
      <c r="K59" s="5"/>
      <c r="L59" s="5"/>
      <c r="M59" s="5"/>
      <c r="N59" s="5"/>
      <c r="O59" s="5"/>
      <c r="P59" s="88"/>
      <c r="Q59" s="95"/>
    </row>
    <row r="60" spans="4:17" s="2" customFormat="1" ht="12" customHeight="1">
      <c r="D60" s="22"/>
      <c r="E60" s="22"/>
      <c r="J60" s="5"/>
      <c r="K60" s="5"/>
      <c r="L60" s="5"/>
      <c r="M60" s="5"/>
      <c r="N60" s="5"/>
      <c r="O60" s="5"/>
      <c r="P60" s="88"/>
      <c r="Q60" s="95"/>
    </row>
    <row r="61" spans="4:17" s="2" customFormat="1" ht="12" customHeight="1">
      <c r="D61" s="22"/>
      <c r="E61" s="22"/>
      <c r="J61" s="5"/>
      <c r="K61" s="5"/>
      <c r="L61" s="5"/>
      <c r="M61" s="5"/>
      <c r="N61" s="5"/>
      <c r="O61" s="5"/>
      <c r="P61" s="88"/>
      <c r="Q61" s="95"/>
    </row>
    <row r="62" spans="4:17" s="2" customFormat="1" ht="12" customHeight="1">
      <c r="D62" s="22"/>
      <c r="E62" s="22"/>
      <c r="J62" s="5"/>
      <c r="K62" s="5"/>
      <c r="L62" s="5"/>
      <c r="M62" s="5"/>
      <c r="N62" s="5"/>
      <c r="O62" s="5"/>
      <c r="P62" s="88"/>
      <c r="Q62" s="95"/>
    </row>
    <row r="63" spans="4:17" s="2" customFormat="1" ht="12" customHeight="1">
      <c r="D63" s="22"/>
      <c r="E63" s="22"/>
      <c r="J63" s="5"/>
      <c r="K63" s="5"/>
      <c r="L63" s="5"/>
      <c r="M63" s="5"/>
      <c r="N63" s="5"/>
      <c r="O63" s="5"/>
      <c r="P63" s="88"/>
      <c r="Q63" s="95"/>
    </row>
    <row r="64" spans="4:17" s="2" customFormat="1" ht="12" customHeight="1">
      <c r="D64" s="22"/>
      <c r="E64" s="22"/>
      <c r="J64" s="5"/>
      <c r="K64" s="5"/>
      <c r="L64" s="5"/>
      <c r="M64" s="5"/>
      <c r="N64" s="5"/>
      <c r="O64" s="5"/>
      <c r="P64" s="88"/>
      <c r="Q64" s="95"/>
    </row>
    <row r="65" spans="4:17" s="2" customFormat="1" ht="12" customHeight="1">
      <c r="D65" s="22"/>
      <c r="E65" s="22"/>
      <c r="J65" s="5"/>
      <c r="K65" s="5"/>
      <c r="L65" s="5"/>
      <c r="M65" s="5"/>
      <c r="N65" s="5"/>
      <c r="O65" s="5"/>
      <c r="P65" s="88"/>
      <c r="Q65" s="95"/>
    </row>
    <row r="66" spans="4:17" s="2" customFormat="1" ht="12" customHeight="1">
      <c r="D66" s="22"/>
      <c r="E66" s="22"/>
      <c r="J66" s="5"/>
      <c r="K66" s="5"/>
      <c r="L66" s="5"/>
      <c r="M66" s="5"/>
      <c r="N66" s="5"/>
      <c r="O66" s="5"/>
      <c r="P66" s="88"/>
      <c r="Q66" s="95"/>
    </row>
    <row r="67" spans="4:17" s="2" customFormat="1" ht="12" customHeight="1">
      <c r="D67" s="22"/>
      <c r="E67" s="22"/>
      <c r="J67" s="5"/>
      <c r="K67" s="5"/>
      <c r="L67" s="5"/>
      <c r="M67" s="5"/>
      <c r="N67" s="5"/>
      <c r="O67" s="5"/>
      <c r="P67" s="88"/>
      <c r="Q67" s="95"/>
    </row>
    <row r="68" spans="4:17" s="2" customFormat="1" ht="12" customHeight="1">
      <c r="D68" s="22"/>
      <c r="E68" s="22"/>
      <c r="J68" s="5"/>
      <c r="K68" s="5"/>
      <c r="L68" s="5"/>
      <c r="M68" s="5"/>
      <c r="N68" s="5"/>
      <c r="O68" s="5"/>
      <c r="P68" s="88"/>
      <c r="Q68" s="95"/>
    </row>
    <row r="69" spans="4:17" s="2" customFormat="1" ht="12" customHeight="1">
      <c r="D69" s="22"/>
      <c r="E69" s="22"/>
      <c r="J69" s="5"/>
      <c r="K69" s="5"/>
      <c r="L69" s="5"/>
      <c r="M69" s="5"/>
      <c r="N69" s="5"/>
      <c r="O69" s="5"/>
      <c r="P69" s="88"/>
      <c r="Q69" s="95"/>
    </row>
    <row r="70" spans="4:17" s="2" customFormat="1" ht="12" customHeight="1">
      <c r="D70" s="22"/>
      <c r="E70" s="22"/>
      <c r="J70" s="5"/>
      <c r="K70" s="5"/>
      <c r="L70" s="5"/>
      <c r="M70" s="5"/>
      <c r="N70" s="5"/>
      <c r="O70" s="5"/>
      <c r="P70" s="88"/>
      <c r="Q70" s="95"/>
    </row>
    <row r="71" spans="4:17" s="2" customFormat="1" ht="12" customHeight="1">
      <c r="D71" s="22"/>
      <c r="E71" s="22"/>
      <c r="J71" s="5"/>
      <c r="K71" s="5"/>
      <c r="L71" s="5"/>
      <c r="M71" s="5"/>
      <c r="N71" s="5"/>
      <c r="O71" s="5"/>
      <c r="P71" s="88"/>
      <c r="Q71" s="95"/>
    </row>
    <row r="72" spans="4:17" s="2" customFormat="1" ht="12" customHeight="1">
      <c r="D72" s="22"/>
      <c r="E72" s="22"/>
      <c r="J72" s="5"/>
      <c r="K72" s="5"/>
      <c r="L72" s="5"/>
      <c r="M72" s="5"/>
      <c r="N72" s="5"/>
      <c r="O72" s="5"/>
      <c r="P72" s="88"/>
      <c r="Q72" s="95"/>
    </row>
    <row r="73" spans="4:17" s="2" customFormat="1" ht="12" customHeight="1">
      <c r="D73" s="22"/>
      <c r="E73" s="22"/>
      <c r="J73" s="5"/>
      <c r="K73" s="5"/>
      <c r="L73" s="5"/>
      <c r="M73" s="5"/>
      <c r="N73" s="5"/>
      <c r="O73" s="5"/>
      <c r="P73" s="88"/>
      <c r="Q73" s="95"/>
    </row>
    <row r="74" spans="4:17" s="2" customFormat="1" ht="12" customHeight="1">
      <c r="D74" s="22"/>
      <c r="E74" s="22"/>
      <c r="J74" s="5"/>
      <c r="K74" s="5"/>
      <c r="L74" s="5"/>
      <c r="M74" s="5"/>
      <c r="N74" s="5"/>
      <c r="O74" s="5"/>
      <c r="P74" s="88"/>
      <c r="Q74" s="95"/>
    </row>
    <row r="75" spans="4:17" s="2" customFormat="1" ht="12" customHeight="1">
      <c r="D75" s="22"/>
      <c r="E75" s="22"/>
      <c r="J75" s="5"/>
      <c r="K75" s="5"/>
      <c r="L75" s="5"/>
      <c r="M75" s="5"/>
      <c r="N75" s="5"/>
      <c r="O75" s="5"/>
      <c r="P75" s="88"/>
      <c r="Q75" s="95"/>
    </row>
    <row r="76" spans="4:17" s="2" customFormat="1" ht="12" customHeight="1">
      <c r="D76" s="22"/>
      <c r="E76" s="22"/>
      <c r="J76" s="5"/>
      <c r="K76" s="5"/>
      <c r="L76" s="5"/>
      <c r="M76" s="5"/>
      <c r="N76" s="5"/>
      <c r="O76" s="5"/>
      <c r="P76" s="88"/>
      <c r="Q76" s="95"/>
    </row>
    <row r="77" spans="4:17" s="2" customFormat="1" ht="12" customHeight="1">
      <c r="D77" s="22"/>
      <c r="E77" s="22"/>
      <c r="J77" s="5"/>
      <c r="K77" s="5"/>
      <c r="L77" s="5"/>
      <c r="M77" s="5"/>
      <c r="N77" s="5"/>
      <c r="O77" s="5"/>
      <c r="P77" s="88"/>
      <c r="Q77" s="95"/>
    </row>
    <row r="78" spans="4:17" s="2" customFormat="1" ht="12" customHeight="1">
      <c r="D78" s="22"/>
      <c r="E78" s="22"/>
      <c r="J78" s="5"/>
      <c r="K78" s="5"/>
      <c r="L78" s="5"/>
      <c r="M78" s="5"/>
      <c r="N78" s="5"/>
      <c r="O78" s="5"/>
      <c r="P78" s="88"/>
      <c r="Q78" s="95"/>
    </row>
    <row r="79" spans="4:17" s="2" customFormat="1" ht="12" customHeight="1">
      <c r="D79" s="22"/>
      <c r="E79" s="22"/>
      <c r="J79" s="5"/>
      <c r="K79" s="5"/>
      <c r="L79" s="5"/>
      <c r="M79" s="5"/>
      <c r="N79" s="5"/>
      <c r="O79" s="5"/>
      <c r="P79" s="88"/>
      <c r="Q79" s="95"/>
    </row>
    <row r="80" spans="4:17" s="2" customFormat="1" ht="12" customHeight="1">
      <c r="D80" s="22"/>
      <c r="E80" s="22"/>
      <c r="J80" s="5"/>
      <c r="K80" s="5"/>
      <c r="L80" s="5"/>
      <c r="M80" s="5"/>
      <c r="N80" s="5"/>
      <c r="O80" s="5"/>
      <c r="P80" s="88"/>
      <c r="Q80" s="95"/>
    </row>
    <row r="81" spans="1:17" s="2" customFormat="1" ht="12" customHeight="1">
      <c r="D81" s="22"/>
      <c r="E81" s="22"/>
      <c r="J81" s="5"/>
      <c r="K81" s="5"/>
      <c r="L81" s="5"/>
      <c r="M81" s="5"/>
      <c r="N81" s="5"/>
      <c r="O81" s="5"/>
      <c r="P81" s="88"/>
      <c r="Q81" s="96"/>
    </row>
    <row r="82" spans="1:17" s="2" customFormat="1" ht="12" customHeight="1">
      <c r="D82" s="22"/>
      <c r="E82" s="22"/>
      <c r="J82" s="5"/>
      <c r="K82" s="5"/>
      <c r="L82" s="5"/>
      <c r="M82" s="5"/>
      <c r="N82" s="5"/>
      <c r="O82" s="5"/>
      <c r="P82" s="88"/>
      <c r="Q82" s="96"/>
    </row>
    <row r="83" spans="1:17" s="2" customFormat="1" ht="12" customHeight="1">
      <c r="D83" s="22"/>
      <c r="E83" s="22"/>
      <c r="J83" s="5"/>
      <c r="K83" s="5"/>
      <c r="L83" s="5"/>
      <c r="M83" s="5"/>
      <c r="N83" s="5"/>
      <c r="O83" s="5"/>
      <c r="P83" s="88"/>
      <c r="Q83" s="96"/>
    </row>
    <row r="84" spans="1:17" s="2" customFormat="1" ht="12" customHeight="1">
      <c r="D84" s="22"/>
      <c r="E84" s="22"/>
      <c r="J84" s="5"/>
      <c r="K84" s="5"/>
      <c r="L84" s="5"/>
      <c r="M84" s="5"/>
      <c r="N84" s="5"/>
      <c r="O84" s="5"/>
      <c r="P84" s="88"/>
      <c r="Q84" s="96"/>
    </row>
    <row r="85" spans="1:17" s="2" customFormat="1" ht="12" customHeight="1">
      <c r="A85"/>
      <c r="B85"/>
      <c r="C85"/>
      <c r="D85" s="23"/>
      <c r="E85" s="23"/>
      <c r="F85"/>
      <c r="G85"/>
      <c r="H85"/>
      <c r="I85"/>
      <c r="J85" s="19"/>
      <c r="K85" s="19"/>
      <c r="L85" s="19"/>
      <c r="M85" s="19"/>
      <c r="N85" s="19"/>
      <c r="O85" s="19"/>
      <c r="P85" s="90"/>
      <c r="Q85" s="96"/>
    </row>
    <row r="86" spans="1:17" s="2" customFormat="1" ht="12" customHeight="1">
      <c r="A86"/>
      <c r="B86"/>
      <c r="C86"/>
      <c r="D86" s="23"/>
      <c r="E86" s="23"/>
      <c r="F86"/>
      <c r="G86"/>
      <c r="H86"/>
      <c r="I86"/>
      <c r="J86" s="19"/>
      <c r="K86" s="19"/>
      <c r="L86" s="19"/>
      <c r="M86" s="19"/>
      <c r="N86" s="19"/>
      <c r="O86" s="19"/>
      <c r="P86" s="90"/>
      <c r="Q86" s="96"/>
    </row>
    <row r="87" spans="1:17" s="2" customFormat="1" ht="12" customHeight="1">
      <c r="A87"/>
      <c r="B87"/>
      <c r="C87"/>
      <c r="D87" s="23"/>
      <c r="E87" s="23"/>
      <c r="F87"/>
      <c r="G87"/>
      <c r="H87"/>
      <c r="I87"/>
      <c r="J87" s="19"/>
      <c r="K87" s="19"/>
      <c r="L87" s="19"/>
      <c r="M87" s="19"/>
      <c r="N87" s="19"/>
      <c r="O87" s="19"/>
      <c r="P87" s="90"/>
      <c r="Q87" s="96"/>
    </row>
    <row r="88" spans="1:17" s="2" customFormat="1" ht="12" customHeight="1">
      <c r="A88"/>
      <c r="B88"/>
      <c r="C88"/>
      <c r="D88" s="23"/>
      <c r="E88" s="23"/>
      <c r="F88"/>
      <c r="G88"/>
      <c r="H88"/>
      <c r="I88"/>
      <c r="J88" s="19"/>
      <c r="K88" s="19"/>
      <c r="L88" s="19"/>
      <c r="M88" s="19"/>
      <c r="N88" s="19"/>
      <c r="O88" s="19"/>
      <c r="P88" s="90"/>
      <c r="Q88" s="96"/>
    </row>
    <row r="89" spans="1:17" s="2" customFormat="1" ht="12" customHeight="1">
      <c r="A89"/>
      <c r="B89"/>
      <c r="C89"/>
      <c r="D89" s="23"/>
      <c r="E89" s="23"/>
      <c r="F89"/>
      <c r="G89"/>
      <c r="H89"/>
      <c r="I89"/>
      <c r="J89" s="19"/>
      <c r="K89" s="19"/>
      <c r="L89" s="19"/>
      <c r="M89" s="19"/>
      <c r="N89" s="19"/>
      <c r="O89" s="19"/>
      <c r="P89" s="90"/>
      <c r="Q89" s="96"/>
    </row>
    <row r="90" spans="1:17">
      <c r="Q90" s="96"/>
    </row>
    <row r="91" spans="1:17">
      <c r="Q91" s="96"/>
    </row>
    <row r="92" spans="1:17">
      <c r="Q92" s="96"/>
    </row>
    <row r="93" spans="1:17">
      <c r="Q93" s="96"/>
    </row>
    <row r="94" spans="1:17">
      <c r="Q94" s="96"/>
    </row>
    <row r="95" spans="1:17">
      <c r="Q95" s="96"/>
    </row>
    <row r="96" spans="1:17">
      <c r="Q96" s="96"/>
    </row>
    <row r="97" spans="17:17">
      <c r="Q97" s="96"/>
    </row>
    <row r="98" spans="17:17">
      <c r="Q98" s="96"/>
    </row>
    <row r="99" spans="17:17">
      <c r="Q99" s="96"/>
    </row>
    <row r="100" spans="17:17">
      <c r="Q100" s="96"/>
    </row>
    <row r="101" spans="17:17">
      <c r="Q101" s="96"/>
    </row>
    <row r="102" spans="17:17">
      <c r="Q102" s="96"/>
    </row>
    <row r="103" spans="17:17">
      <c r="Q103" s="96"/>
    </row>
    <row r="104" spans="17:17">
      <c r="Q104" s="96"/>
    </row>
    <row r="105" spans="17:17">
      <c r="Q105" s="96"/>
    </row>
    <row r="106" spans="17:17">
      <c r="Q106" s="96"/>
    </row>
    <row r="107" spans="17:17">
      <c r="Q107" s="96"/>
    </row>
    <row r="108" spans="17:17">
      <c r="Q108" s="96"/>
    </row>
    <row r="109" spans="17:17">
      <c r="Q109" s="96"/>
    </row>
    <row r="146" ht="12" customHeight="1"/>
    <row r="147" ht="12" customHeight="1"/>
    <row r="148" ht="12" customHeight="1"/>
    <row r="149" ht="12" customHeight="1"/>
    <row r="150" ht="12" customHeight="1"/>
    <row r="151" ht="12" customHeight="1"/>
    <row r="152" ht="12" customHeight="1"/>
    <row r="153" ht="12" customHeight="1"/>
    <row r="154" ht="12" customHeight="1"/>
    <row r="155" ht="12" customHeight="1"/>
    <row r="156" ht="12" customHeight="1"/>
    <row r="157" ht="12" customHeight="1"/>
    <row r="158" ht="12" customHeight="1"/>
    <row r="159" ht="12" customHeight="1"/>
    <row r="160" ht="12" customHeight="1"/>
    <row r="161" ht="12" customHeight="1"/>
    <row r="162" ht="12" customHeight="1"/>
    <row r="163" ht="12" customHeight="1"/>
    <row r="164" ht="12" customHeight="1"/>
    <row r="165" ht="12" customHeight="1"/>
    <row r="166" ht="12" customHeight="1"/>
    <row r="167" ht="12" customHeight="1"/>
    <row r="168" ht="12" customHeight="1"/>
    <row r="169" ht="12" customHeight="1"/>
    <row r="170" ht="12" customHeight="1"/>
    <row r="171" ht="12" customHeight="1"/>
    <row r="172" ht="12" customHeight="1"/>
    <row r="173" ht="12" customHeight="1"/>
    <row r="174" ht="12" customHeight="1"/>
    <row r="175" ht="12" customHeight="1"/>
    <row r="176" ht="12" customHeight="1"/>
    <row r="177" ht="12" customHeight="1"/>
    <row r="178" ht="12" customHeight="1"/>
    <row r="179" ht="12" customHeight="1"/>
    <row r="180" ht="12" customHeight="1"/>
    <row r="181" ht="12" customHeight="1"/>
    <row r="182" ht="12" customHeight="1"/>
    <row r="183" ht="12" customHeight="1"/>
    <row r="184" ht="12" customHeight="1"/>
    <row r="185" ht="12" customHeight="1"/>
    <row r="186" ht="12" customHeight="1"/>
    <row r="187" ht="12" customHeight="1"/>
    <row r="188" ht="12" customHeight="1"/>
    <row r="189" ht="12" customHeight="1"/>
    <row r="190" ht="12" customHeight="1"/>
    <row r="191" ht="12" customHeight="1"/>
    <row r="192" ht="12" customHeight="1"/>
    <row r="193" ht="12" customHeight="1"/>
    <row r="194" ht="12" customHeight="1"/>
    <row r="195" ht="12" customHeight="1"/>
  </sheetData>
  <mergeCells count="42">
    <mergeCell ref="D42:E42"/>
    <mergeCell ref="H42:I42"/>
    <mergeCell ref="D12:E12"/>
    <mergeCell ref="D13:E13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25:E25"/>
    <mergeCell ref="D1:E1"/>
    <mergeCell ref="D4:E4"/>
    <mergeCell ref="H4:I4"/>
    <mergeCell ref="D5:E5"/>
    <mergeCell ref="D6:E6"/>
    <mergeCell ref="D7:E7"/>
    <mergeCell ref="D8:E8"/>
    <mergeCell ref="D9:E9"/>
    <mergeCell ref="D10:E10"/>
    <mergeCell ref="D11:E11"/>
    <mergeCell ref="D29:E29"/>
    <mergeCell ref="D30:E30"/>
    <mergeCell ref="D31:E31"/>
    <mergeCell ref="D32:E32"/>
    <mergeCell ref="D26:E26"/>
    <mergeCell ref="D27:E27"/>
    <mergeCell ref="D28:E28"/>
    <mergeCell ref="D38:E38"/>
    <mergeCell ref="D39:E39"/>
    <mergeCell ref="D40:E40"/>
    <mergeCell ref="D41:E41"/>
    <mergeCell ref="D33:E33"/>
    <mergeCell ref="D34:E34"/>
    <mergeCell ref="D35:E35"/>
    <mergeCell ref="D36:E36"/>
    <mergeCell ref="D37:E37"/>
  </mergeCells>
  <conditionalFormatting sqref="M5:M41">
    <cfRule type="cellIs" dxfId="656" priority="4" stopIfTrue="1" operator="lessThanOrEqual">
      <formula>$L5</formula>
    </cfRule>
    <cfRule type="cellIs" dxfId="655" priority="5" operator="greaterThan">
      <formula>L5</formula>
    </cfRule>
  </conditionalFormatting>
  <conditionalFormatting sqref="C5:C41">
    <cfRule type="duplicateValues" dxfId="654" priority="408"/>
  </conditionalFormatting>
  <pageMargins left="0.7" right="0.7" top="0.75" bottom="0.75" header="0.3" footer="0.3"/>
  <pageSetup paperSize="3" fitToHeight="0" orientation="landscape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6B1F8BB-FE72-42A5-9BF0-219725C0582D}">
          <x14:formula1>
            <xm:f>Purchased!$A:$A</xm:f>
          </x14:formula1>
          <xm:sqref>C5:C41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F31C5E-44C9-4B54-9174-975BBE37EBF5}">
  <sheetPr codeName="Sheet7">
    <tabColor theme="3" tint="0.39997558519241921"/>
    <pageSetUpPr fitToPage="1"/>
  </sheetPr>
  <dimension ref="A1:Q192"/>
  <sheetViews>
    <sheetView zoomScaleNormal="100" workbookViewId="0">
      <selection activeCell="C42" sqref="C42"/>
    </sheetView>
  </sheetViews>
  <sheetFormatPr defaultColWidth="9.140625" defaultRowHeight="15"/>
  <cols>
    <col min="1" max="1" width="5.7109375" customWidth="1"/>
    <col min="2" max="2" width="5.42578125" bestFit="1" customWidth="1"/>
    <col min="3" max="3" width="30.7109375" customWidth="1"/>
    <col min="4" max="5" width="20.7109375" style="23" customWidth="1"/>
    <col min="6" max="6" width="16.85546875" bestFit="1" customWidth="1"/>
    <col min="7" max="7" width="9.7109375" customWidth="1"/>
    <col min="8" max="8" width="8.7109375" customWidth="1"/>
    <col min="9" max="9" width="20.7109375" customWidth="1"/>
    <col min="10" max="13" width="11.7109375" style="19" customWidth="1"/>
    <col min="14" max="14" width="11.85546875" style="19" bestFit="1" customWidth="1"/>
    <col min="15" max="15" width="7.7109375" style="19" customWidth="1"/>
    <col min="16" max="16" width="10.7109375" style="90" customWidth="1"/>
    <col min="17" max="17" width="10.7109375" style="97" customWidth="1"/>
  </cols>
  <sheetData>
    <row r="1" spans="1:17" s="55" customFormat="1" ht="12" customHeight="1">
      <c r="A1" s="68" t="s">
        <v>0</v>
      </c>
      <c r="B1" s="69"/>
      <c r="C1" s="69"/>
      <c r="D1" s="262" t="s">
        <v>1</v>
      </c>
      <c r="E1" s="263"/>
      <c r="F1" s="70"/>
      <c r="G1" s="69"/>
      <c r="H1" s="70"/>
      <c r="I1" s="71"/>
      <c r="J1" s="72"/>
      <c r="K1" s="72"/>
      <c r="L1" s="72"/>
      <c r="M1" s="72"/>
      <c r="N1" s="72"/>
      <c r="O1" s="72"/>
      <c r="P1" s="85"/>
      <c r="Q1" s="91"/>
    </row>
    <row r="2" spans="1:17" s="55" customFormat="1" ht="12" customHeight="1">
      <c r="A2" s="74" t="s">
        <v>48</v>
      </c>
      <c r="B2" s="58"/>
      <c r="C2" s="57" t="e">
        <f ca="1">VLOOKUP(E3,Assemblies!B:F,4,0)</f>
        <v>#VALUE!</v>
      </c>
      <c r="D2" s="75" t="s">
        <v>3</v>
      </c>
      <c r="E2" s="76" t="e">
        <f ca="1">'GF12'!E2</f>
        <v>#VALUE!</v>
      </c>
      <c r="F2" s="77" t="s">
        <v>4</v>
      </c>
      <c r="G2" s="58" t="str">
        <f>'GF12'!G2</f>
        <v>GH</v>
      </c>
      <c r="H2" s="77" t="s">
        <v>6</v>
      </c>
      <c r="I2" s="59">
        <f>'GF12'!I2</f>
        <v>44775</v>
      </c>
      <c r="J2" s="39"/>
      <c r="K2" s="40" t="s">
        <v>49</v>
      </c>
      <c r="L2" s="41" t="e">
        <f ca="1">VLOOKUP(C2,Assemblies!E:G,3,0)</f>
        <v>#VALUE!</v>
      </c>
      <c r="M2" s="78"/>
      <c r="N2" s="78"/>
      <c r="O2" s="78"/>
      <c r="P2" s="86"/>
      <c r="Q2" s="92"/>
    </row>
    <row r="3" spans="1:17" s="55" customFormat="1" ht="12" customHeight="1" thickBot="1">
      <c r="A3" s="74" t="s">
        <v>7</v>
      </c>
      <c r="B3" s="58"/>
      <c r="C3" s="57" t="e">
        <f ca="1">VLOOKUP(E3,Assemblies!B:F,5,0)</f>
        <v>#VALUE!</v>
      </c>
      <c r="D3" s="75" t="s">
        <v>50</v>
      </c>
      <c r="E3" s="76" t="e">
        <f ca="1">MID(CELL("filename",A1),FIND("]",CELL("filename",A1))+1,256)</f>
        <v>#VALUE!</v>
      </c>
      <c r="F3" s="77" t="s">
        <v>11</v>
      </c>
      <c r="G3" s="58" t="str">
        <f>'GF12'!G3</f>
        <v>GH</v>
      </c>
      <c r="H3" s="77" t="s">
        <v>6</v>
      </c>
      <c r="I3" s="59">
        <f>'GF12'!I3</f>
        <v>44775</v>
      </c>
      <c r="J3" s="78"/>
      <c r="K3" s="78"/>
      <c r="L3" s="78"/>
      <c r="M3" s="78"/>
      <c r="N3" s="78"/>
      <c r="O3" s="78"/>
      <c r="P3" s="86"/>
      <c r="Q3" s="92"/>
    </row>
    <row r="4" spans="1:17" s="56" customFormat="1" ht="12.75" customHeight="1" thickBot="1">
      <c r="A4" s="80" t="s">
        <v>12</v>
      </c>
      <c r="B4" s="81" t="s">
        <v>13</v>
      </c>
      <c r="C4" s="81" t="s">
        <v>14</v>
      </c>
      <c r="D4" s="270" t="s">
        <v>15</v>
      </c>
      <c r="E4" s="271"/>
      <c r="F4" s="104" t="s">
        <v>16</v>
      </c>
      <c r="G4" s="81" t="s">
        <v>17</v>
      </c>
      <c r="H4" s="260" t="s">
        <v>18</v>
      </c>
      <c r="I4" s="261"/>
      <c r="J4" s="81" t="s">
        <v>51</v>
      </c>
      <c r="K4" s="81" t="s">
        <v>20</v>
      </c>
      <c r="L4" s="81" t="s">
        <v>21</v>
      </c>
      <c r="M4" s="81" t="s">
        <v>52</v>
      </c>
      <c r="N4" s="81" t="s">
        <v>22</v>
      </c>
      <c r="O4" s="81" t="s">
        <v>53</v>
      </c>
      <c r="P4" s="107" t="s">
        <v>26</v>
      </c>
      <c r="Q4" s="82" t="s">
        <v>27</v>
      </c>
    </row>
    <row r="5" spans="1:17" s="2" customFormat="1" ht="12.75" customHeight="1">
      <c r="A5" s="4">
        <v>301</v>
      </c>
      <c r="B5" s="2">
        <v>2</v>
      </c>
      <c r="C5" s="114" t="s">
        <v>178</v>
      </c>
      <c r="D5" s="268" t="str">
        <f>VLOOKUP(C5,Purchased!A:B,2,0)</f>
        <v>Saginaw ELJ Trough Window Enclosure, 9H X 30W X 8D, RAL5005 Blue</v>
      </c>
      <c r="E5" s="269"/>
      <c r="F5" s="112" t="str">
        <f>VLOOKUP(C5,Purchased!A:Q,9,0)</f>
        <v>SAGINAW</v>
      </c>
      <c r="G5" s="112" t="str">
        <f>VLOOKUP(C5,Purchased!A:Q,10,0)</f>
        <v>SAGINAW</v>
      </c>
      <c r="H5" s="112" t="str">
        <f>VLOOKUP(C5,Purchased!A:Q,12,0)</f>
        <v xml:space="preserve"> </v>
      </c>
      <c r="I5" s="113"/>
      <c r="J5" s="44" t="str">
        <f>VLOOKUP(C5,Purchased!A:Q,13,0)</f>
        <v>N/A</v>
      </c>
      <c r="K5" s="44">
        <f>VLOOKUP(C5,Purchased!A:Q,14,0)</f>
        <v>45013</v>
      </c>
      <c r="L5" s="44">
        <f>VLOOKUP(C5,Purchased!A:Q,15,0)</f>
        <v>45043</v>
      </c>
      <c r="M5" s="44">
        <f>VLOOKUP(C5,Purchased!A:Q,16,0)</f>
        <v>45043</v>
      </c>
      <c r="N5" s="45">
        <f>VLOOKUP(C5,Purchased!A:Q,17,0)</f>
        <v>54828</v>
      </c>
      <c r="O5" s="45" t="e">
        <f t="shared" ref="O5:O15" ca="1" si="0">B5*$L$2</f>
        <v>#VALUE!</v>
      </c>
      <c r="P5" s="49">
        <f>IFERROR(VLOOKUP(C5,Purchased!A:E,3,FALSE),"")</f>
        <v>242.83</v>
      </c>
      <c r="Q5" s="50">
        <f t="shared" ref="Q5:Q15" si="1">IFERROR(B5*P5,"")</f>
        <v>485.66</v>
      </c>
    </row>
    <row r="6" spans="1:17" s="2" customFormat="1" ht="12" customHeight="1">
      <c r="A6" s="4">
        <f t="shared" ref="A6:A38" si="2">A5+1</f>
        <v>302</v>
      </c>
      <c r="B6" s="2">
        <v>2</v>
      </c>
      <c r="C6" s="114" t="s">
        <v>179</v>
      </c>
      <c r="D6" s="268" t="str">
        <f>VLOOKUP(C6,Purchased!A:B,2,0)</f>
        <v>Saginaw Subpanel, ELJ Trough Galvanized, 8H X 29W X 0.08D</v>
      </c>
      <c r="E6" s="269"/>
      <c r="F6" s="112" t="str">
        <f>VLOOKUP(C6,Purchased!A:Q,9,0)</f>
        <v>SAGINAW</v>
      </c>
      <c r="G6" s="112" t="str">
        <f>VLOOKUP(C6,Purchased!A:Q,10,0)</f>
        <v>SAGINAW</v>
      </c>
      <c r="H6" s="112" t="str">
        <f>VLOOKUP(C6,Purchased!A:Q,12,0)</f>
        <v xml:space="preserve"> </v>
      </c>
      <c r="I6" s="113"/>
      <c r="J6" s="44" t="str">
        <f>VLOOKUP(C6,Purchased!A:Q,13,0)</f>
        <v>N/A</v>
      </c>
      <c r="K6" s="44">
        <f>VLOOKUP(C6,Purchased!A:Q,14,0)</f>
        <v>45013</v>
      </c>
      <c r="L6" s="44">
        <f>VLOOKUP(C6,Purchased!A:Q,15,0)</f>
        <v>45043</v>
      </c>
      <c r="M6" s="44">
        <f>VLOOKUP(C6,Purchased!A:Q,16,0)</f>
        <v>45043</v>
      </c>
      <c r="N6" s="45">
        <f>VLOOKUP(C6,Purchased!A:Q,17,0)</f>
        <v>54829</v>
      </c>
      <c r="O6" s="45" t="e">
        <f t="shared" ca="1" si="0"/>
        <v>#VALUE!</v>
      </c>
      <c r="P6" s="49">
        <f>IFERROR(VLOOKUP(C6,Purchased!A:E,3,FALSE),"")</f>
        <v>30.63</v>
      </c>
      <c r="Q6" s="50">
        <f t="shared" si="1"/>
        <v>61.26</v>
      </c>
    </row>
    <row r="7" spans="1:17" s="2" customFormat="1" ht="12" customHeight="1">
      <c r="A7" s="4">
        <f t="shared" si="2"/>
        <v>303</v>
      </c>
      <c r="B7" s="2">
        <v>1</v>
      </c>
      <c r="C7" s="114" t="s">
        <v>140</v>
      </c>
      <c r="D7" s="268" t="str">
        <f>VLOOKUP(C7,Purchased!A:B,2,0)</f>
        <v>Autonics E/IP Bus Coupler</v>
      </c>
      <c r="E7" s="269"/>
      <c r="F7" s="112" t="str">
        <f>VLOOKUP(C7,Purchased!A:Q,9,0)</f>
        <v>Autonics</v>
      </c>
      <c r="G7" s="112" t="str">
        <f>VLOOKUP(C7,Purchased!A:Q,10,0)</f>
        <v>ProAuto</v>
      </c>
      <c r="H7" s="112" t="str">
        <f>VLOOKUP(C7,Purchased!A:Q,12,0)</f>
        <v xml:space="preserve"> </v>
      </c>
      <c r="I7" s="113"/>
      <c r="J7" s="44" t="str">
        <f>VLOOKUP(C7,Purchased!A:Q,13,0)</f>
        <v>N/A</v>
      </c>
      <c r="K7" s="44">
        <f>VLOOKUP(C7,Purchased!A:Q,14,0)</f>
        <v>45007</v>
      </c>
      <c r="L7" s="44">
        <f>VLOOKUP(C7,Purchased!A:Q,15,0)</f>
        <v>45037</v>
      </c>
      <c r="M7" s="44">
        <f>VLOOKUP(C7,Purchased!A:Q,16,0)</f>
        <v>45037</v>
      </c>
      <c r="N7" s="45">
        <f>VLOOKUP(C7,Purchased!A:Q,17,0)</f>
        <v>54818</v>
      </c>
      <c r="O7" s="45" t="e">
        <f t="shared" ca="1" si="0"/>
        <v>#VALUE!</v>
      </c>
      <c r="P7" s="49">
        <f>IFERROR(VLOOKUP(C7,Purchased!A:E,3,FALSE),"")</f>
        <v>414.17</v>
      </c>
      <c r="Q7" s="50">
        <f t="shared" si="1"/>
        <v>414.17</v>
      </c>
    </row>
    <row r="8" spans="1:17" s="2" customFormat="1" ht="12" customHeight="1">
      <c r="A8" s="4">
        <f t="shared" si="2"/>
        <v>304</v>
      </c>
      <c r="B8" s="2">
        <v>1</v>
      </c>
      <c r="C8" s="114" t="s">
        <v>141</v>
      </c>
      <c r="D8" s="268" t="str">
        <f>VLOOKUP(C8,Purchased!A:B,2,0)</f>
        <v>Autonics 8-channel digital input</v>
      </c>
      <c r="E8" s="269"/>
      <c r="F8" s="112" t="str">
        <f>VLOOKUP(C8,Purchased!A:Q,9,0)</f>
        <v>Autonics</v>
      </c>
      <c r="G8" s="112" t="str">
        <f>VLOOKUP(C8,Purchased!A:Q,10,0)</f>
        <v>ProAuto</v>
      </c>
      <c r="H8" s="112" t="str">
        <f>VLOOKUP(C8,Purchased!A:Q,12,0)</f>
        <v xml:space="preserve"> </v>
      </c>
      <c r="I8" s="113"/>
      <c r="J8" s="44" t="str">
        <f>VLOOKUP(C8,Purchased!A:Q,13,0)</f>
        <v>N/A</v>
      </c>
      <c r="K8" s="44">
        <f>VLOOKUP(C8,Purchased!A:Q,14,0)</f>
        <v>45007</v>
      </c>
      <c r="L8" s="44">
        <f>VLOOKUP(C8,Purchased!A:Q,15,0)</f>
        <v>45037</v>
      </c>
      <c r="M8" s="44">
        <f>VLOOKUP(C8,Purchased!A:Q,16,0)</f>
        <v>45037</v>
      </c>
      <c r="N8" s="45">
        <f>VLOOKUP(C8,Purchased!A:Q,17,0)</f>
        <v>54818</v>
      </c>
      <c r="O8" s="45" t="e">
        <f t="shared" ca="1" si="0"/>
        <v>#VALUE!</v>
      </c>
      <c r="P8" s="49">
        <f>IFERROR(VLOOKUP(C8,Purchased!A:E,3,FALSE),"")</f>
        <v>85</v>
      </c>
      <c r="Q8" s="50">
        <f t="shared" si="1"/>
        <v>85</v>
      </c>
    </row>
    <row r="9" spans="1:17" s="2" customFormat="1" ht="12" customHeight="1">
      <c r="A9" s="4">
        <f t="shared" si="2"/>
        <v>305</v>
      </c>
      <c r="B9" s="2">
        <v>1</v>
      </c>
      <c r="C9" s="114" t="s">
        <v>142</v>
      </c>
      <c r="D9" s="268" t="str">
        <f>VLOOKUP(C9,Purchased!A:B,2,0)</f>
        <v>Autonics 8-channel digital output</v>
      </c>
      <c r="E9" s="269"/>
      <c r="F9" s="112" t="str">
        <f>VLOOKUP(C9,Purchased!A:Q,9,0)</f>
        <v>Autonics</v>
      </c>
      <c r="G9" s="112" t="str">
        <f>VLOOKUP(C9,Purchased!A:Q,10,0)</f>
        <v>ProAuto</v>
      </c>
      <c r="H9" s="112" t="str">
        <f>VLOOKUP(C9,Purchased!A:Q,12,0)</f>
        <v xml:space="preserve"> </v>
      </c>
      <c r="I9" s="113"/>
      <c r="J9" s="44" t="str">
        <f>VLOOKUP(C9,Purchased!A:Q,13,0)</f>
        <v>N/A</v>
      </c>
      <c r="K9" s="44">
        <f>VLOOKUP(C9,Purchased!A:Q,14,0)</f>
        <v>45007</v>
      </c>
      <c r="L9" s="44">
        <f>VLOOKUP(C9,Purchased!A:Q,15,0)</f>
        <v>45037</v>
      </c>
      <c r="M9" s="44">
        <f>VLOOKUP(C9,Purchased!A:Q,16,0)</f>
        <v>45037</v>
      </c>
      <c r="N9" s="45">
        <f>VLOOKUP(C9,Purchased!A:Q,17,0)</f>
        <v>54818</v>
      </c>
      <c r="O9" s="45" t="e">
        <f t="shared" ca="1" si="0"/>
        <v>#VALUE!</v>
      </c>
      <c r="P9" s="49">
        <f>IFERROR(VLOOKUP(C9,Purchased!A:E,3,FALSE),"")</f>
        <v>110.83</v>
      </c>
      <c r="Q9" s="50">
        <f t="shared" si="1"/>
        <v>110.83</v>
      </c>
    </row>
    <row r="10" spans="1:17" s="2" customFormat="1" ht="12" customHeight="1">
      <c r="A10" s="4">
        <f t="shared" si="2"/>
        <v>306</v>
      </c>
      <c r="B10" s="2">
        <v>2</v>
      </c>
      <c r="C10" s="114" t="s">
        <v>180</v>
      </c>
      <c r="D10" s="268" t="str">
        <f>VLOOKUP(C10,Purchased!A:B,2,0)</f>
        <v>Autonics 4-channel thermocouple input</v>
      </c>
      <c r="E10" s="269"/>
      <c r="F10" s="112" t="str">
        <f>VLOOKUP(C10,Purchased!A:Q,9,0)</f>
        <v>Autonics</v>
      </c>
      <c r="G10" s="112" t="str">
        <f>VLOOKUP(C10,Purchased!A:Q,10,0)</f>
        <v>ProAuto</v>
      </c>
      <c r="H10" s="112" t="str">
        <f>VLOOKUP(C10,Purchased!A:Q,12,0)</f>
        <v xml:space="preserve"> </v>
      </c>
      <c r="I10" s="113"/>
      <c r="J10" s="44" t="str">
        <f>VLOOKUP(C10,Purchased!A:Q,13,0)</f>
        <v>N/A</v>
      </c>
      <c r="K10" s="44">
        <f>VLOOKUP(C10,Purchased!A:Q,14,0)</f>
        <v>45007</v>
      </c>
      <c r="L10" s="44">
        <f>VLOOKUP(C10,Purchased!A:Q,15,0)</f>
        <v>45037</v>
      </c>
      <c r="M10" s="44">
        <f>VLOOKUP(C10,Purchased!A:Q,16,0)</f>
        <v>45037</v>
      </c>
      <c r="N10" s="45">
        <f>VLOOKUP(C10,Purchased!A:Q,17,0)</f>
        <v>54818</v>
      </c>
      <c r="O10" s="45" t="e">
        <f t="shared" ca="1" si="0"/>
        <v>#VALUE!</v>
      </c>
      <c r="P10" s="49">
        <f>IFERROR(VLOOKUP(C10,Purchased!A:E,3,FALSE),"")</f>
        <v>369.17</v>
      </c>
      <c r="Q10" s="50">
        <f t="shared" si="1"/>
        <v>738.34</v>
      </c>
    </row>
    <row r="11" spans="1:17" s="2" customFormat="1" ht="12" customHeight="1">
      <c r="A11" s="4">
        <f t="shared" si="2"/>
        <v>307</v>
      </c>
      <c r="B11" s="2">
        <v>4</v>
      </c>
      <c r="C11" s="114" t="s">
        <v>89</v>
      </c>
      <c r="D11" s="268" t="str">
        <f>VLOOKUP(C11,Purchased!A:B,2,0)</f>
        <v>TYPE CC FUSEHOLDER, THREE POLE, NON-INDICATING, 30A MAX, 600V</v>
      </c>
      <c r="E11" s="269"/>
      <c r="F11" s="112" t="str">
        <f>VLOOKUP(C11,Purchased!A:Q,9,0)</f>
        <v>EATON</v>
      </c>
      <c r="G11" s="112" t="str">
        <f>VLOOKUP(C11,Purchased!A:Q,10,0)</f>
        <v>CRAVE</v>
      </c>
      <c r="H11" s="112">
        <f>VLOOKUP(C11,Purchased!A:Q,12,0)</f>
        <v>0</v>
      </c>
      <c r="I11" s="113"/>
      <c r="J11" s="44">
        <f>VLOOKUP(C11,Purchased!A:Q,13,0)</f>
        <v>0</v>
      </c>
      <c r="K11" s="44">
        <f>VLOOKUP(C11,Purchased!A:Q,14,0)</f>
        <v>0</v>
      </c>
      <c r="L11" s="44">
        <f>VLOOKUP(C11,Purchased!A:Q,15,0)</f>
        <v>0</v>
      </c>
      <c r="M11" s="44">
        <f>VLOOKUP(C11,Purchased!A:Q,16,0)</f>
        <v>0</v>
      </c>
      <c r="N11" s="45">
        <f>VLOOKUP(C11,Purchased!A:Q,17,0)</f>
        <v>0</v>
      </c>
      <c r="O11" s="45" t="e">
        <f t="shared" ca="1" si="0"/>
        <v>#VALUE!</v>
      </c>
      <c r="P11" s="49">
        <f>IFERROR(VLOOKUP(C11,Purchased!A:E,3,FALSE),"")</f>
        <v>0</v>
      </c>
      <c r="Q11" s="50">
        <f t="shared" si="1"/>
        <v>0</v>
      </c>
    </row>
    <row r="12" spans="1:17" s="2" customFormat="1" ht="12" customHeight="1">
      <c r="A12" s="4">
        <f t="shared" si="2"/>
        <v>308</v>
      </c>
      <c r="B12" s="2">
        <v>4</v>
      </c>
      <c r="C12" s="114" t="s">
        <v>187</v>
      </c>
      <c r="D12" s="268" t="str">
        <f>VLOOKUP(C12,Purchased!A:B,2,0)</f>
        <v>Autonics SSR, Integrated Heatsink, Single phase, Input 4-30VDC, Load 48-480VAC, 10A, Zero cross.</v>
      </c>
      <c r="E12" s="269"/>
      <c r="F12" s="112" t="str">
        <f>VLOOKUP(C12,Purchased!A:Q,9,0)</f>
        <v>Autonics</v>
      </c>
      <c r="G12" s="112" t="str">
        <f>VLOOKUP(C12,Purchased!A:Q,10,0)</f>
        <v>ProAuto</v>
      </c>
      <c r="H12" s="112" t="str">
        <f>VLOOKUP(C12,Purchased!A:Q,12,0)</f>
        <v xml:space="preserve"> </v>
      </c>
      <c r="I12" s="113"/>
      <c r="J12" s="44" t="str">
        <f>VLOOKUP(C12,Purchased!A:Q,13,0)</f>
        <v>N/A</v>
      </c>
      <c r="K12" s="44">
        <f>VLOOKUP(C12,Purchased!A:Q,14,0)</f>
        <v>45014</v>
      </c>
      <c r="L12" s="44">
        <f>VLOOKUP(C12,Purchased!A:Q,15,0)</f>
        <v>45044</v>
      </c>
      <c r="M12" s="44">
        <f>VLOOKUP(C12,Purchased!A:Q,16,0)</f>
        <v>45044</v>
      </c>
      <c r="N12" s="45">
        <f>VLOOKUP(C12,Purchased!A:Q,17,0)</f>
        <v>54828</v>
      </c>
      <c r="O12" s="45" t="e">
        <f t="shared" ca="1" si="0"/>
        <v>#VALUE!</v>
      </c>
      <c r="P12" s="49">
        <f>IFERROR(VLOOKUP(C12,Purchased!A:E,3,FALSE),"")</f>
        <v>27</v>
      </c>
      <c r="Q12" s="50">
        <f t="shared" si="1"/>
        <v>108</v>
      </c>
    </row>
    <row r="13" spans="1:17" s="2" customFormat="1" ht="12" customHeight="1">
      <c r="A13" s="4">
        <f t="shared" si="2"/>
        <v>309</v>
      </c>
      <c r="B13" s="2">
        <v>1</v>
      </c>
      <c r="C13" s="114" t="s">
        <v>143</v>
      </c>
      <c r="D13" s="268" t="str">
        <f>VLOOKUP(C13,Purchased!A:B,2,0)</f>
        <v>Autonics I/O Power Module</v>
      </c>
      <c r="E13" s="269"/>
      <c r="F13" s="112" t="str">
        <f>VLOOKUP(C13,Purchased!A:Q,9,0)</f>
        <v>Autonics</v>
      </c>
      <c r="G13" s="112" t="str">
        <f>VLOOKUP(C13,Purchased!A:Q,10,0)</f>
        <v>ProAuto</v>
      </c>
      <c r="H13" s="112" t="str">
        <f>VLOOKUP(C13,Purchased!A:Q,12,0)</f>
        <v xml:space="preserve"> </v>
      </c>
      <c r="I13" s="113"/>
      <c r="J13" s="44" t="str">
        <f>VLOOKUP(C13,Purchased!A:Q,13,0)</f>
        <v>N/A</v>
      </c>
      <c r="K13" s="44">
        <f>VLOOKUP(C13,Purchased!A:Q,14,0)</f>
        <v>45084</v>
      </c>
      <c r="L13" s="44">
        <f>VLOOKUP(C13,Purchased!A:Q,15,0)</f>
        <v>45098</v>
      </c>
      <c r="M13" s="44">
        <f>VLOOKUP(C13,Purchased!A:Q,16,0)</f>
        <v>45098</v>
      </c>
      <c r="N13" s="45">
        <f>VLOOKUP(C13,Purchased!A:Q,17,0)</f>
        <v>54919</v>
      </c>
      <c r="O13" s="45" t="e">
        <f t="shared" ca="1" si="0"/>
        <v>#VALUE!</v>
      </c>
      <c r="P13" s="49">
        <f>IFERROR(VLOOKUP(C13,Purchased!A:E,3,FALSE),"")</f>
        <v>74.17</v>
      </c>
      <c r="Q13" s="50">
        <f t="shared" si="1"/>
        <v>74.17</v>
      </c>
    </row>
    <row r="14" spans="1:17" s="2" customFormat="1" ht="12" customHeight="1">
      <c r="A14" s="4">
        <f t="shared" si="2"/>
        <v>310</v>
      </c>
      <c r="B14" s="2">
        <v>1</v>
      </c>
      <c r="C14" s="114" t="s">
        <v>188</v>
      </c>
      <c r="D14" s="268" t="str">
        <f>VLOOKUP(C14,Purchased!A:B,2,0)</f>
        <v>DISCONNECT SWITCH, NON-FUSIBLE, 30A, 10KA SCCR W/TYPE J FUSE</v>
      </c>
      <c r="E14" s="269"/>
      <c r="F14" s="112" t="str">
        <f>VLOOKUP(C14,Purchased!A:Q,9,0)</f>
        <v>EATON</v>
      </c>
      <c r="G14" s="112" t="str">
        <f>VLOOKUP(C14,Purchased!A:Q,10,0)</f>
        <v>CRAVE</v>
      </c>
      <c r="H14" s="112">
        <f>VLOOKUP(C14,Purchased!A:Q,12,0)</f>
        <v>0</v>
      </c>
      <c r="I14" s="113"/>
      <c r="J14" s="44">
        <f>VLOOKUP(C14,Purchased!A:Q,13,0)</f>
        <v>0</v>
      </c>
      <c r="K14" s="44">
        <f>VLOOKUP(C14,Purchased!A:Q,14,0)</f>
        <v>0</v>
      </c>
      <c r="L14" s="44">
        <f>VLOOKUP(C14,Purchased!A:Q,15,0)</f>
        <v>0</v>
      </c>
      <c r="M14" s="44">
        <f>VLOOKUP(C14,Purchased!A:Q,16,0)</f>
        <v>0</v>
      </c>
      <c r="N14" s="45">
        <f>VLOOKUP(C14,Purchased!A:Q,17,0)</f>
        <v>0</v>
      </c>
      <c r="O14" s="45" t="e">
        <f t="shared" ca="1" si="0"/>
        <v>#VALUE!</v>
      </c>
      <c r="P14" s="49">
        <f>IFERROR(VLOOKUP(C14,Purchased!A:E,3,FALSE),"")</f>
        <v>0</v>
      </c>
      <c r="Q14" s="50">
        <f t="shared" si="1"/>
        <v>0</v>
      </c>
    </row>
    <row r="15" spans="1:17" s="2" customFormat="1" ht="12" customHeight="1">
      <c r="A15" s="4">
        <f t="shared" si="2"/>
        <v>311</v>
      </c>
      <c r="B15" s="2">
        <v>1</v>
      </c>
      <c r="C15" s="114" t="s">
        <v>196</v>
      </c>
      <c r="D15" s="268" t="str">
        <f>VLOOKUP(C15,Purchased!A:B,2,0)</f>
        <v>PISTOL HANDLE DISCONNECT SWITCH, ROTARY, NEMA 1, 3R, 12, RED/YELLOW</v>
      </c>
      <c r="E15" s="269"/>
      <c r="F15" s="112" t="str">
        <f>VLOOKUP(C15,Purchased!A:Q,9,0)</f>
        <v>EATON</v>
      </c>
      <c r="G15" s="112" t="str">
        <f>VLOOKUP(C15,Purchased!A:Q,10,0)</f>
        <v>CRAVE</v>
      </c>
      <c r="H15" s="112">
        <f>VLOOKUP(C15,Purchased!A:Q,12,0)</f>
        <v>0</v>
      </c>
      <c r="I15" s="113"/>
      <c r="J15" s="44">
        <f>VLOOKUP(C15,Purchased!A:Q,13,0)</f>
        <v>0</v>
      </c>
      <c r="K15" s="44">
        <f>VLOOKUP(C15,Purchased!A:Q,14,0)</f>
        <v>0</v>
      </c>
      <c r="L15" s="44">
        <f>VLOOKUP(C15,Purchased!A:Q,15,0)</f>
        <v>0</v>
      </c>
      <c r="M15" s="44">
        <f>VLOOKUP(C15,Purchased!A:Q,16,0)</f>
        <v>0</v>
      </c>
      <c r="N15" s="45">
        <f>VLOOKUP(C15,Purchased!A:Q,17,0)</f>
        <v>0</v>
      </c>
      <c r="O15" s="45" t="e">
        <f t="shared" ca="1" si="0"/>
        <v>#VALUE!</v>
      </c>
      <c r="P15" s="49">
        <f>IFERROR(VLOOKUP(C15,Purchased!A:E,3,FALSE),"")</f>
        <v>0</v>
      </c>
      <c r="Q15" s="50">
        <f t="shared" si="1"/>
        <v>0</v>
      </c>
    </row>
    <row r="16" spans="1:17" s="2" customFormat="1" ht="12" customHeight="1">
      <c r="A16" s="4">
        <f t="shared" si="2"/>
        <v>312</v>
      </c>
      <c r="B16" s="2">
        <v>3</v>
      </c>
      <c r="C16" s="114">
        <v>1029591</v>
      </c>
      <c r="D16" s="268" t="str">
        <f>VLOOKUP(C16,Purchased!A:B,2,0)</f>
        <v>D-PT 1,5/S-QUATTRO-0,8 OG, END-COVER, OG</v>
      </c>
      <c r="E16" s="269"/>
      <c r="F16" s="112" t="str">
        <f>VLOOKUP(C16,Purchased!A:Q,9,0)</f>
        <v>PHOENIX CONTACT</v>
      </c>
      <c r="G16" s="112" t="str">
        <f>VLOOKUP(C16,Purchased!A:Q,10,0)</f>
        <v>CRAVE</v>
      </c>
      <c r="H16" s="112">
        <f>VLOOKUP(C16,Purchased!A:Q,12,0)</f>
        <v>0</v>
      </c>
      <c r="I16" s="113"/>
      <c r="J16" s="44">
        <f>VLOOKUP(C16,Purchased!A:Q,13,0)</f>
        <v>0</v>
      </c>
      <c r="K16" s="44">
        <f>VLOOKUP(C16,Purchased!A:Q,14,0)</f>
        <v>0</v>
      </c>
      <c r="L16" s="44">
        <f>VLOOKUP(C16,Purchased!A:Q,15,0)</f>
        <v>0</v>
      </c>
      <c r="M16" s="44">
        <f>VLOOKUP(C16,Purchased!A:Q,16,0)</f>
        <v>0</v>
      </c>
      <c r="N16" s="45">
        <f>VLOOKUP(C16,Purchased!A:Q,17,0)</f>
        <v>0</v>
      </c>
      <c r="O16" s="45" t="e">
        <f t="shared" ref="O16:O38" ca="1" si="3">B16*$L$2</f>
        <v>#VALUE!</v>
      </c>
      <c r="P16" s="49">
        <f>IFERROR(VLOOKUP(C16,Purchased!A:E,3,FALSE),"")</f>
        <v>0</v>
      </c>
      <c r="Q16" s="50">
        <f t="shared" ref="Q16:Q38" si="4">IFERROR(B16*P16,"")</f>
        <v>0</v>
      </c>
    </row>
    <row r="17" spans="1:17" s="2" customFormat="1" ht="12" customHeight="1">
      <c r="A17" s="4">
        <f t="shared" si="2"/>
        <v>313</v>
      </c>
      <c r="B17" s="2">
        <v>2</v>
      </c>
      <c r="C17" s="114">
        <v>3022276</v>
      </c>
      <c r="D17" s="268" t="str">
        <f>VLOOKUP(C17,Purchased!A:B,2,0)</f>
        <v>CLIPFIX 35-5 - End clamp</v>
      </c>
      <c r="E17" s="269"/>
      <c r="F17" s="112" t="str">
        <f>VLOOKUP(C17,Purchased!A:Q,9,0)</f>
        <v>PHOENIX CONTACT</v>
      </c>
      <c r="G17" s="112" t="str">
        <f>VLOOKUP(C17,Purchased!A:Q,10,0)</f>
        <v>CRAVE</v>
      </c>
      <c r="H17" s="112">
        <f>VLOOKUP(C17,Purchased!A:Q,12,0)</f>
        <v>0</v>
      </c>
      <c r="I17" s="113"/>
      <c r="J17" s="44">
        <f>VLOOKUP(C17,Purchased!A:Q,13,0)</f>
        <v>0</v>
      </c>
      <c r="K17" s="44">
        <f>VLOOKUP(C17,Purchased!A:Q,14,0)</f>
        <v>0</v>
      </c>
      <c r="L17" s="44">
        <f>VLOOKUP(C17,Purchased!A:Q,15,0)</f>
        <v>0</v>
      </c>
      <c r="M17" s="44">
        <f>VLOOKUP(C17,Purchased!A:Q,16,0)</f>
        <v>0</v>
      </c>
      <c r="N17" s="45">
        <f>VLOOKUP(C17,Purchased!A:Q,17,0)</f>
        <v>0</v>
      </c>
      <c r="O17" s="45" t="e">
        <f t="shared" ca="1" si="3"/>
        <v>#VALUE!</v>
      </c>
      <c r="P17" s="49">
        <f>IFERROR(VLOOKUP(C17,Purchased!A:E,3,FALSE),"")</f>
        <v>0</v>
      </c>
      <c r="Q17" s="50">
        <f t="shared" si="4"/>
        <v>0</v>
      </c>
    </row>
    <row r="18" spans="1:17" s="2" customFormat="1" ht="12" customHeight="1">
      <c r="A18" s="4">
        <f t="shared" si="2"/>
        <v>314</v>
      </c>
      <c r="B18" s="2">
        <v>3</v>
      </c>
      <c r="C18" s="114">
        <v>3208208</v>
      </c>
      <c r="D18" s="268" t="str">
        <f>VLOOKUP(C18,Purchased!A:B,2,0)</f>
        <v>Four-conductor terminal block, PT 1,5/S-QUATTRO BU</v>
      </c>
      <c r="E18" s="269"/>
      <c r="F18" s="112" t="str">
        <f>VLOOKUP(C18,Purchased!A:Q,9,0)</f>
        <v>PHOENIX CONTACT</v>
      </c>
      <c r="G18" s="112" t="str">
        <f>VLOOKUP(C18,Purchased!A:Q,10,0)</f>
        <v>CRAVE</v>
      </c>
      <c r="H18" s="112">
        <f>VLOOKUP(C18,Purchased!A:Q,12,0)</f>
        <v>0</v>
      </c>
      <c r="I18" s="113"/>
      <c r="J18" s="44">
        <f>VLOOKUP(C18,Purchased!A:Q,13,0)</f>
        <v>0</v>
      </c>
      <c r="K18" s="44">
        <f>VLOOKUP(C18,Purchased!A:Q,14,0)</f>
        <v>0</v>
      </c>
      <c r="L18" s="44">
        <f>VLOOKUP(C18,Purchased!A:Q,15,0)</f>
        <v>0</v>
      </c>
      <c r="M18" s="44">
        <f>VLOOKUP(C18,Purchased!A:Q,16,0)</f>
        <v>0</v>
      </c>
      <c r="N18" s="45">
        <f>VLOOKUP(C18,Purchased!A:Q,17,0)</f>
        <v>0</v>
      </c>
      <c r="O18" s="45" t="e">
        <f t="shared" ca="1" si="3"/>
        <v>#VALUE!</v>
      </c>
      <c r="P18" s="49">
        <f>IFERROR(VLOOKUP(C18,Purchased!A:E,3,FALSE),"")</f>
        <v>0</v>
      </c>
      <c r="Q18" s="50">
        <f t="shared" si="4"/>
        <v>0</v>
      </c>
    </row>
    <row r="19" spans="1:17" s="2" customFormat="1" ht="12" customHeight="1">
      <c r="A19" s="4">
        <f t="shared" si="2"/>
        <v>315</v>
      </c>
      <c r="B19" s="2">
        <v>4</v>
      </c>
      <c r="C19" s="114">
        <v>3208979</v>
      </c>
      <c r="D19" s="268" t="str">
        <f>VLOOKUP(C19,Purchased!A:B,2,0)</f>
        <v>D-PT 4-QUATTRO; END COVER, GY</v>
      </c>
      <c r="E19" s="269"/>
      <c r="F19" s="112" t="str">
        <f>VLOOKUP(C19,Purchased!A:Q,9,0)</f>
        <v>PHOENIX CONTACT</v>
      </c>
      <c r="G19" s="112" t="str">
        <f>VLOOKUP(C19,Purchased!A:Q,10,0)</f>
        <v>CRAVE</v>
      </c>
      <c r="H19" s="112">
        <f>VLOOKUP(C19,Purchased!A:Q,12,0)</f>
        <v>0</v>
      </c>
      <c r="I19" s="113"/>
      <c r="J19" s="44">
        <f>VLOOKUP(C19,Purchased!A:Q,13,0)</f>
        <v>0</v>
      </c>
      <c r="K19" s="44">
        <f>VLOOKUP(C19,Purchased!A:Q,14,0)</f>
        <v>0</v>
      </c>
      <c r="L19" s="44">
        <f>VLOOKUP(C19,Purchased!A:Q,15,0)</f>
        <v>0</v>
      </c>
      <c r="M19" s="44">
        <f>VLOOKUP(C19,Purchased!A:Q,16,0)</f>
        <v>0</v>
      </c>
      <c r="N19" s="45">
        <f>VLOOKUP(C19,Purchased!A:Q,17,0)</f>
        <v>0</v>
      </c>
      <c r="O19" s="45" t="e">
        <f t="shared" ca="1" si="3"/>
        <v>#VALUE!</v>
      </c>
      <c r="P19" s="49">
        <f>IFERROR(VLOOKUP(C19,Purchased!A:E,3,FALSE),"")</f>
        <v>0</v>
      </c>
      <c r="Q19" s="50">
        <f t="shared" si="4"/>
        <v>0</v>
      </c>
    </row>
    <row r="20" spans="1:17" s="2" customFormat="1" ht="12" customHeight="1">
      <c r="A20" s="4">
        <f t="shared" si="2"/>
        <v>316</v>
      </c>
      <c r="B20" s="2">
        <v>8</v>
      </c>
      <c r="C20" s="114">
        <v>3211797</v>
      </c>
      <c r="D20" s="268" t="str">
        <f>VLOOKUP(C20,Purchased!A:B,2,0)</f>
        <v>PT 4-QUATTRO; Feed-through terminal block, 32A, 24..10AWG, GY</v>
      </c>
      <c r="E20" s="269"/>
      <c r="F20" s="112" t="str">
        <f>VLOOKUP(C20,Purchased!A:Q,9,0)</f>
        <v>PHOENIX CONTACT</v>
      </c>
      <c r="G20" s="112" t="str">
        <f>VLOOKUP(C20,Purchased!A:Q,10,0)</f>
        <v>CRAVE</v>
      </c>
      <c r="H20" s="112">
        <f>VLOOKUP(C20,Purchased!A:Q,12,0)</f>
        <v>0</v>
      </c>
      <c r="I20" s="113"/>
      <c r="J20" s="44">
        <f>VLOOKUP(C20,Purchased!A:Q,13,0)</f>
        <v>0</v>
      </c>
      <c r="K20" s="44">
        <f>VLOOKUP(C20,Purchased!A:Q,14,0)</f>
        <v>0</v>
      </c>
      <c r="L20" s="44">
        <f>VLOOKUP(C20,Purchased!A:Q,15,0)</f>
        <v>0</v>
      </c>
      <c r="M20" s="44">
        <f>VLOOKUP(C20,Purchased!A:Q,16,0)</f>
        <v>0</v>
      </c>
      <c r="N20" s="45">
        <f>VLOOKUP(C20,Purchased!A:Q,17,0)</f>
        <v>0</v>
      </c>
      <c r="O20" s="45" t="e">
        <f t="shared" ca="1" si="3"/>
        <v>#VALUE!</v>
      </c>
      <c r="P20" s="49">
        <f>IFERROR(VLOOKUP(C20,Purchased!A:E,3,FALSE),"")</f>
        <v>0</v>
      </c>
      <c r="Q20" s="50">
        <f t="shared" si="4"/>
        <v>0</v>
      </c>
    </row>
    <row r="21" spans="1:17" s="2" customFormat="1" ht="12" customHeight="1">
      <c r="A21" s="4">
        <f t="shared" si="2"/>
        <v>317</v>
      </c>
      <c r="B21" s="2">
        <v>1</v>
      </c>
      <c r="C21" s="114">
        <v>1085343</v>
      </c>
      <c r="D21" s="268" t="str">
        <f>VLOOKUP(C21,Purchased!A:B,2,0)</f>
        <v>SAFETY RELAY, RLY3-OSSD1, 2 CHANNEL INPUTS W/EDM</v>
      </c>
      <c r="E21" s="269"/>
      <c r="F21" s="112" t="str">
        <f>VLOOKUP(C21,Purchased!A:Q,9,0)</f>
        <v>SICK</v>
      </c>
      <c r="G21" s="112" t="str">
        <f>VLOOKUP(C21,Purchased!A:Q,10,0)</f>
        <v>CRAVE</v>
      </c>
      <c r="H21" s="112">
        <f>VLOOKUP(C21,Purchased!A:Q,12,0)</f>
        <v>0</v>
      </c>
      <c r="I21" s="113"/>
      <c r="J21" s="44">
        <f>VLOOKUP(C21,Purchased!A:Q,13,0)</f>
        <v>0</v>
      </c>
      <c r="K21" s="44">
        <f>VLOOKUP(C21,Purchased!A:Q,14,0)</f>
        <v>0</v>
      </c>
      <c r="L21" s="44">
        <f>VLOOKUP(C21,Purchased!A:Q,15,0)</f>
        <v>0</v>
      </c>
      <c r="M21" s="44">
        <f>VLOOKUP(C21,Purchased!A:Q,16,0)</f>
        <v>0</v>
      </c>
      <c r="N21" s="45">
        <f>VLOOKUP(C21,Purchased!A:Q,17,0)</f>
        <v>0</v>
      </c>
      <c r="O21" s="45" t="e">
        <f t="shared" ca="1" si="3"/>
        <v>#VALUE!</v>
      </c>
      <c r="P21" s="49">
        <f>IFERROR(VLOOKUP(C21,Purchased!A:E,3,FALSE),"")</f>
        <v>0</v>
      </c>
      <c r="Q21" s="50">
        <f t="shared" si="4"/>
        <v>0</v>
      </c>
    </row>
    <row r="22" spans="1:17" s="2" customFormat="1" ht="12" customHeight="1">
      <c r="A22" s="4">
        <f t="shared" si="2"/>
        <v>318</v>
      </c>
      <c r="B22" s="2">
        <v>4</v>
      </c>
      <c r="C22" s="114" t="s">
        <v>190</v>
      </c>
      <c r="D22" s="268" t="str">
        <f>VLOOKUP(C22,Purchased!A:B,2,0)</f>
        <v>FUSE, TYPE CC, FAST-ACTING, 10A, ONE POLE</v>
      </c>
      <c r="E22" s="269"/>
      <c r="F22" s="112" t="str">
        <f>VLOOKUP(C22,Purchased!A:Q,9,0)</f>
        <v>BUSSMAN</v>
      </c>
      <c r="G22" s="112" t="str">
        <f>VLOOKUP(C22,Purchased!A:Q,10,0)</f>
        <v>CRAVE</v>
      </c>
      <c r="H22" s="112">
        <f>VLOOKUP(C22,Purchased!A:Q,12,0)</f>
        <v>0</v>
      </c>
      <c r="I22" s="113"/>
      <c r="J22" s="44">
        <f>VLOOKUP(C22,Purchased!A:Q,13,0)</f>
        <v>0</v>
      </c>
      <c r="K22" s="44">
        <f>VLOOKUP(C22,Purchased!A:Q,14,0)</f>
        <v>0</v>
      </c>
      <c r="L22" s="44">
        <f>VLOOKUP(C22,Purchased!A:Q,15,0)</f>
        <v>0</v>
      </c>
      <c r="M22" s="44">
        <f>VLOOKUP(C22,Purchased!A:Q,16,0)</f>
        <v>0</v>
      </c>
      <c r="N22" s="45">
        <f>VLOOKUP(C22,Purchased!A:Q,17,0)</f>
        <v>0</v>
      </c>
      <c r="O22" s="45" t="e">
        <f t="shared" ca="1" si="3"/>
        <v>#VALUE!</v>
      </c>
      <c r="P22" s="49">
        <f>IFERROR(VLOOKUP(C22,Purchased!A:E,3,FALSE),"")</f>
        <v>0</v>
      </c>
      <c r="Q22" s="50">
        <f t="shared" si="4"/>
        <v>0</v>
      </c>
    </row>
    <row r="23" spans="1:17" s="2" customFormat="1" ht="12" customHeight="1">
      <c r="A23" s="4">
        <f t="shared" si="2"/>
        <v>319</v>
      </c>
      <c r="B23" s="2">
        <v>1</v>
      </c>
      <c r="C23" s="114" t="s">
        <v>189</v>
      </c>
      <c r="D23" s="268" t="str">
        <f>VLOOKUP(C23,Purchased!A:B,2,0)</f>
        <v>DISCONNECT SHAFT, 5X5MM, 200MM LONG, SIZE SH00</v>
      </c>
      <c r="E23" s="269"/>
      <c r="F23" s="112" t="str">
        <f>VLOOKUP(C23,Purchased!A:Q,9,0)</f>
        <v>EATON</v>
      </c>
      <c r="G23" s="112" t="str">
        <f>VLOOKUP(C23,Purchased!A:Q,10,0)</f>
        <v>CRAVE</v>
      </c>
      <c r="H23" s="112">
        <f>VLOOKUP(C23,Purchased!A:Q,12,0)</f>
        <v>0</v>
      </c>
      <c r="I23" s="113"/>
      <c r="J23" s="44">
        <f>VLOOKUP(C23,Purchased!A:Q,13,0)</f>
        <v>0</v>
      </c>
      <c r="K23" s="44">
        <f>VLOOKUP(C23,Purchased!A:Q,14,0)</f>
        <v>0</v>
      </c>
      <c r="L23" s="44">
        <f>VLOOKUP(C23,Purchased!A:Q,15,0)</f>
        <v>0</v>
      </c>
      <c r="M23" s="44">
        <f>VLOOKUP(C23,Purchased!A:Q,16,0)</f>
        <v>0</v>
      </c>
      <c r="N23" s="45">
        <f>VLOOKUP(C23,Purchased!A:Q,17,0)</f>
        <v>0</v>
      </c>
      <c r="O23" s="45" t="e">
        <f t="shared" ca="1" si="3"/>
        <v>#VALUE!</v>
      </c>
      <c r="P23" s="49">
        <f>IFERROR(VLOOKUP(C23,Purchased!A:E,3,FALSE),"")</f>
        <v>0</v>
      </c>
      <c r="Q23" s="50">
        <f t="shared" si="4"/>
        <v>0</v>
      </c>
    </row>
    <row r="24" spans="1:17" s="2" customFormat="1" ht="12" customHeight="1">
      <c r="A24" s="4">
        <f t="shared" si="2"/>
        <v>320</v>
      </c>
      <c r="B24" s="2">
        <v>1</v>
      </c>
      <c r="C24" s="114" t="s">
        <v>191</v>
      </c>
      <c r="D24" s="268" t="str">
        <f>VLOOKUP(C24,Purchased!A:B,2,0)</f>
        <v>AUXILIARY CONTACT 1-NO, 1-NC FOR R5A DS</v>
      </c>
      <c r="E24" s="269"/>
      <c r="F24" s="112" t="str">
        <f>VLOOKUP(C24,Purchased!A:Q,9,0)</f>
        <v>EATON</v>
      </c>
      <c r="G24" s="112" t="str">
        <f>VLOOKUP(C24,Purchased!A:Q,10,0)</f>
        <v>CRAVE</v>
      </c>
      <c r="H24" s="112">
        <f>VLOOKUP(C24,Purchased!A:Q,12,0)</f>
        <v>0</v>
      </c>
      <c r="I24" s="113"/>
      <c r="J24" s="44">
        <f>VLOOKUP(C24,Purchased!A:Q,13,0)</f>
        <v>0</v>
      </c>
      <c r="K24" s="44">
        <f>VLOOKUP(C24,Purchased!A:Q,14,0)</f>
        <v>0</v>
      </c>
      <c r="L24" s="44">
        <f>VLOOKUP(C24,Purchased!A:Q,15,0)</f>
        <v>0</v>
      </c>
      <c r="M24" s="44">
        <f>VLOOKUP(C24,Purchased!A:Q,16,0)</f>
        <v>0</v>
      </c>
      <c r="N24" s="45">
        <f>VLOOKUP(C24,Purchased!A:Q,17,0)</f>
        <v>0</v>
      </c>
      <c r="O24" s="45" t="e">
        <f t="shared" ca="1" si="3"/>
        <v>#VALUE!</v>
      </c>
      <c r="P24" s="49">
        <f>IFERROR(VLOOKUP(C24,Purchased!A:E,3,FALSE),"")</f>
        <v>0</v>
      </c>
      <c r="Q24" s="50">
        <f t="shared" si="4"/>
        <v>0</v>
      </c>
    </row>
    <row r="25" spans="1:17" s="2" customFormat="1" ht="12" customHeight="1">
      <c r="A25" s="4">
        <f t="shared" si="2"/>
        <v>321</v>
      </c>
      <c r="B25" s="2">
        <v>1</v>
      </c>
      <c r="C25" s="114" t="s">
        <v>192</v>
      </c>
      <c r="D25" s="268" t="str">
        <f>VLOOKUP(C25,Purchased!A:B,2,0)</f>
        <v>PROTECTIVE EARTH MODULE</v>
      </c>
      <c r="E25" s="269"/>
      <c r="F25" s="112" t="str">
        <f>VLOOKUP(C25,Purchased!A:Q,9,0)</f>
        <v>EATON</v>
      </c>
      <c r="G25" s="112" t="str">
        <f>VLOOKUP(C25,Purchased!A:Q,10,0)</f>
        <v>CRAVE</v>
      </c>
      <c r="H25" s="112">
        <f>VLOOKUP(C25,Purchased!A:Q,12,0)</f>
        <v>0</v>
      </c>
      <c r="I25" s="113"/>
      <c r="J25" s="44">
        <f>VLOOKUP(C25,Purchased!A:Q,13,0)</f>
        <v>0</v>
      </c>
      <c r="K25" s="44">
        <f>VLOOKUP(C25,Purchased!A:Q,14,0)</f>
        <v>0</v>
      </c>
      <c r="L25" s="44">
        <f>VLOOKUP(C25,Purchased!A:Q,15,0)</f>
        <v>0</v>
      </c>
      <c r="M25" s="44">
        <f>VLOOKUP(C25,Purchased!A:Q,16,0)</f>
        <v>0</v>
      </c>
      <c r="N25" s="45">
        <f>VLOOKUP(C25,Purchased!A:Q,17,0)</f>
        <v>0</v>
      </c>
      <c r="O25" s="45" t="e">
        <f t="shared" ca="1" si="3"/>
        <v>#VALUE!</v>
      </c>
      <c r="P25" s="49">
        <f>IFERROR(VLOOKUP(C25,Purchased!A:E,3,FALSE),"")</f>
        <v>0</v>
      </c>
      <c r="Q25" s="50">
        <f t="shared" si="4"/>
        <v>0</v>
      </c>
    </row>
    <row r="26" spans="1:17" s="2" customFormat="1" ht="12" customHeight="1">
      <c r="A26" s="4">
        <f t="shared" si="2"/>
        <v>322</v>
      </c>
      <c r="B26" s="2">
        <v>1</v>
      </c>
      <c r="C26" s="114" t="s">
        <v>193</v>
      </c>
      <c r="D26" s="268" t="str">
        <f>VLOOKUP(C26,Purchased!A:B,2,0)</f>
        <v>TERMINAL SHROUDS</v>
      </c>
      <c r="E26" s="269"/>
      <c r="F26" s="112" t="str">
        <f>VLOOKUP(C26,Purchased!A:Q,9,0)</f>
        <v>EATON</v>
      </c>
      <c r="G26" s="112" t="str">
        <f>VLOOKUP(C26,Purchased!A:Q,10,0)</f>
        <v>CRAVE</v>
      </c>
      <c r="H26" s="112">
        <f>VLOOKUP(C26,Purchased!A:Q,12,0)</f>
        <v>0</v>
      </c>
      <c r="I26" s="113"/>
      <c r="J26" s="44">
        <f>VLOOKUP(C26,Purchased!A:Q,13,0)</f>
        <v>0</v>
      </c>
      <c r="K26" s="44">
        <f>VLOOKUP(C26,Purchased!A:Q,14,0)</f>
        <v>0</v>
      </c>
      <c r="L26" s="44">
        <f>VLOOKUP(C26,Purchased!A:Q,15,0)</f>
        <v>0</v>
      </c>
      <c r="M26" s="44">
        <f>VLOOKUP(C26,Purchased!A:Q,16,0)</f>
        <v>0</v>
      </c>
      <c r="N26" s="45">
        <f>VLOOKUP(C26,Purchased!A:Q,17,0)</f>
        <v>0</v>
      </c>
      <c r="O26" s="45" t="e">
        <f t="shared" ca="1" si="3"/>
        <v>#VALUE!</v>
      </c>
      <c r="P26" s="49">
        <f>IFERROR(VLOOKUP(C26,Purchased!A:E,3,FALSE),"")</f>
        <v>0</v>
      </c>
      <c r="Q26" s="50">
        <f t="shared" si="4"/>
        <v>0</v>
      </c>
    </row>
    <row r="27" spans="1:17" s="2" customFormat="1" ht="12" customHeight="1">
      <c r="A27" s="4">
        <f t="shared" si="2"/>
        <v>323</v>
      </c>
      <c r="B27" s="2">
        <v>4</v>
      </c>
      <c r="C27" s="114">
        <v>3030336</v>
      </c>
      <c r="D27" s="268" t="str">
        <f>VLOOKUP(C27,Purchased!A:B,2,0)</f>
        <v>FBS 2-6; PLUG-IN BRIDGE, 2-POSITION, 6.2MM PITCH, RED</v>
      </c>
      <c r="E27" s="269"/>
      <c r="F27" s="112" t="str">
        <f>VLOOKUP(C27,Purchased!A:Q,9,0)</f>
        <v>PHOENIX CONTACT</v>
      </c>
      <c r="G27" s="112" t="str">
        <f>VLOOKUP(C27,Purchased!A:Q,10,0)</f>
        <v>CRAVE</v>
      </c>
      <c r="H27" s="112">
        <f>VLOOKUP(C27,Purchased!A:Q,12,0)</f>
        <v>0</v>
      </c>
      <c r="I27" s="113"/>
      <c r="J27" s="44">
        <f>VLOOKUP(C27,Purchased!A:Q,13,0)</f>
        <v>0</v>
      </c>
      <c r="K27" s="44">
        <f>VLOOKUP(C27,Purchased!A:Q,14,0)</f>
        <v>0</v>
      </c>
      <c r="L27" s="44">
        <f>VLOOKUP(C27,Purchased!A:Q,15,0)</f>
        <v>0</v>
      </c>
      <c r="M27" s="44">
        <f>VLOOKUP(C27,Purchased!A:Q,16,0)</f>
        <v>0</v>
      </c>
      <c r="N27" s="45">
        <f>VLOOKUP(C27,Purchased!A:Q,17,0)</f>
        <v>0</v>
      </c>
      <c r="O27" s="45" t="e">
        <f t="shared" ca="1" si="3"/>
        <v>#VALUE!</v>
      </c>
      <c r="P27" s="49">
        <f>IFERROR(VLOOKUP(C27,Purchased!A:E,3,FALSE),"")</f>
        <v>0</v>
      </c>
      <c r="Q27" s="50">
        <f t="shared" si="4"/>
        <v>0</v>
      </c>
    </row>
    <row r="28" spans="1:17" s="2" customFormat="1" ht="12" customHeight="1">
      <c r="A28" s="4">
        <f t="shared" si="2"/>
        <v>324</v>
      </c>
      <c r="B28" s="2">
        <v>2</v>
      </c>
      <c r="C28" s="114">
        <v>3211809</v>
      </c>
      <c r="D28" s="268" t="str">
        <f>VLOOKUP(C28,Purchased!A:B,2,0)</f>
        <v>Ground modular terminal block, PT 4-QUATTRO-PE, 24..10AWG, GNYE</v>
      </c>
      <c r="E28" s="269"/>
      <c r="F28" s="112" t="str">
        <f>VLOOKUP(C28,Purchased!A:Q,9,0)</f>
        <v>PHOENIX CONTACT</v>
      </c>
      <c r="G28" s="112" t="str">
        <f>VLOOKUP(C28,Purchased!A:Q,10,0)</f>
        <v>CRAVE</v>
      </c>
      <c r="H28" s="112">
        <f>VLOOKUP(C28,Purchased!A:Q,12,0)</f>
        <v>0</v>
      </c>
      <c r="I28" s="113"/>
      <c r="J28" s="44">
        <f>VLOOKUP(C28,Purchased!A:Q,13,0)</f>
        <v>0</v>
      </c>
      <c r="K28" s="44">
        <f>VLOOKUP(C28,Purchased!A:Q,14,0)</f>
        <v>0</v>
      </c>
      <c r="L28" s="44">
        <f>VLOOKUP(C28,Purchased!A:Q,15,0)</f>
        <v>0</v>
      </c>
      <c r="M28" s="44">
        <f>VLOOKUP(C28,Purchased!A:Q,16,0)</f>
        <v>0</v>
      </c>
      <c r="N28" s="45">
        <f>VLOOKUP(C28,Purchased!A:Q,17,0)</f>
        <v>0</v>
      </c>
      <c r="O28" s="45" t="e">
        <f t="shared" ca="1" si="3"/>
        <v>#VALUE!</v>
      </c>
      <c r="P28" s="49">
        <f>IFERROR(VLOOKUP(C28,Purchased!A:E,3,FALSE),"")</f>
        <v>0</v>
      </c>
      <c r="Q28" s="50">
        <f t="shared" si="4"/>
        <v>0</v>
      </c>
    </row>
    <row r="29" spans="1:17" s="2" customFormat="1" ht="12" customHeight="1">
      <c r="A29" s="4">
        <f t="shared" si="2"/>
        <v>325</v>
      </c>
      <c r="B29" s="2">
        <v>1</v>
      </c>
      <c r="C29" s="114" t="s">
        <v>194</v>
      </c>
      <c r="D29" s="268" t="str">
        <f>VLOOKUP(C29,Purchased!A:B,2,0)</f>
        <v>DC Fans DC Tubeaxial Fan, 60x60x25mm, 24VDC, 33CFM, 3W, 6850RPM, 41dBA, Ball Bearing</v>
      </c>
      <c r="E29" s="269"/>
      <c r="F29" s="112" t="str">
        <f>VLOOKUP(C29,Purchased!A:Q,9,0)</f>
        <v>EBM PAPST</v>
      </c>
      <c r="G29" s="112" t="str">
        <f>VLOOKUP(C29,Purchased!A:Q,10,0)</f>
        <v>CRAVE</v>
      </c>
      <c r="H29" s="112">
        <f>VLOOKUP(C29,Purchased!A:Q,12,0)</f>
        <v>0</v>
      </c>
      <c r="I29" s="113"/>
      <c r="J29" s="44">
        <f>VLOOKUP(C29,Purchased!A:Q,13,0)</f>
        <v>0</v>
      </c>
      <c r="K29" s="44">
        <f>VLOOKUP(C29,Purchased!A:Q,14,0)</f>
        <v>0</v>
      </c>
      <c r="L29" s="44">
        <f>VLOOKUP(C29,Purchased!A:Q,15,0)</f>
        <v>0</v>
      </c>
      <c r="M29" s="44">
        <f>VLOOKUP(C29,Purchased!A:Q,16,0)</f>
        <v>0</v>
      </c>
      <c r="N29" s="45">
        <f>VLOOKUP(C29,Purchased!A:Q,17,0)</f>
        <v>0</v>
      </c>
      <c r="O29" s="45" t="e">
        <f t="shared" ca="1" si="3"/>
        <v>#VALUE!</v>
      </c>
      <c r="P29" s="49">
        <f>IFERROR(VLOOKUP(C29,Purchased!A:E,3,FALSE),"")</f>
        <v>0</v>
      </c>
      <c r="Q29" s="50">
        <f t="shared" si="4"/>
        <v>0</v>
      </c>
    </row>
    <row r="30" spans="1:17" s="2" customFormat="1" ht="12" customHeight="1">
      <c r="A30" s="4">
        <f t="shared" si="2"/>
        <v>326</v>
      </c>
      <c r="B30" s="2">
        <v>2</v>
      </c>
      <c r="C30" s="114">
        <v>3213027</v>
      </c>
      <c r="D30" s="268" t="str">
        <f>VLOOKUP(C30,Purchased!A:B,2,0)</f>
        <v>Plug-in bridge, RD, FBS 3-3,5</v>
      </c>
      <c r="E30" s="269"/>
      <c r="F30" s="112" t="str">
        <f>VLOOKUP(C30,Purchased!A:Q,9,0)</f>
        <v>PHOENIX CONTACT</v>
      </c>
      <c r="G30" s="112" t="str">
        <f>VLOOKUP(C30,Purchased!A:Q,10,0)</f>
        <v>CRAVE</v>
      </c>
      <c r="H30" s="112">
        <f>VLOOKUP(C30,Purchased!A:Q,12,0)</f>
        <v>0</v>
      </c>
      <c r="I30" s="113"/>
      <c r="J30" s="44">
        <f>VLOOKUP(C30,Purchased!A:Q,13,0)</f>
        <v>0</v>
      </c>
      <c r="K30" s="44">
        <f>VLOOKUP(C30,Purchased!A:Q,14,0)</f>
        <v>0</v>
      </c>
      <c r="L30" s="44">
        <f>VLOOKUP(C30,Purchased!A:Q,15,0)</f>
        <v>0</v>
      </c>
      <c r="M30" s="44">
        <f>VLOOKUP(C30,Purchased!A:Q,16,0)</f>
        <v>0</v>
      </c>
      <c r="N30" s="45">
        <f>VLOOKUP(C30,Purchased!A:Q,17,0)</f>
        <v>0</v>
      </c>
      <c r="O30" s="45" t="e">
        <f t="shared" ca="1" si="3"/>
        <v>#VALUE!</v>
      </c>
      <c r="P30" s="49">
        <f>IFERROR(VLOOKUP(C30,Purchased!A:E,3,FALSE),"")</f>
        <v>0</v>
      </c>
      <c r="Q30" s="50">
        <f t="shared" si="4"/>
        <v>0</v>
      </c>
    </row>
    <row r="31" spans="1:17" s="2" customFormat="1" ht="12" customHeight="1">
      <c r="A31" s="4">
        <f t="shared" si="2"/>
        <v>327</v>
      </c>
      <c r="B31" s="2">
        <v>1</v>
      </c>
      <c r="C31" s="114" t="s">
        <v>181</v>
      </c>
      <c r="D31" s="268" t="str">
        <f>VLOOKUP(C31,Purchased!A:B,2,0)</f>
        <v>MODIFIED AND ASSEMBLED BACKPLANE</v>
      </c>
      <c r="E31" s="269"/>
      <c r="F31" s="112" t="str">
        <f>VLOOKUP(C31,Purchased!A:Q,9,0)</f>
        <v>CRAVE</v>
      </c>
      <c r="G31" s="112" t="str">
        <f>VLOOKUP(C31,Purchased!A:Q,10,0)</f>
        <v>CRAVE</v>
      </c>
      <c r="H31" s="112">
        <f>VLOOKUP(C31,Purchased!A:Q,12,0)</f>
        <v>0</v>
      </c>
      <c r="I31" s="113"/>
      <c r="J31" s="44">
        <f>VLOOKUP(C31,Purchased!A:Q,13,0)</f>
        <v>0</v>
      </c>
      <c r="K31" s="44">
        <f>VLOOKUP(C31,Purchased!A:Q,14,0)</f>
        <v>0</v>
      </c>
      <c r="L31" s="44">
        <f>VLOOKUP(C31,Purchased!A:Q,15,0)</f>
        <v>0</v>
      </c>
      <c r="M31" s="44">
        <f>VLOOKUP(C31,Purchased!A:Q,16,0)</f>
        <v>0</v>
      </c>
      <c r="N31" s="45">
        <f>VLOOKUP(C31,Purchased!A:Q,17,0)</f>
        <v>0</v>
      </c>
      <c r="O31" s="45" t="e">
        <f t="shared" ca="1" si="3"/>
        <v>#VALUE!</v>
      </c>
      <c r="P31" s="49">
        <f>IFERROR(VLOOKUP(C31,Purchased!A:E,3,FALSE),"")</f>
        <v>0</v>
      </c>
      <c r="Q31" s="50">
        <f t="shared" si="4"/>
        <v>0</v>
      </c>
    </row>
    <row r="32" spans="1:17" s="2" customFormat="1" ht="12" customHeight="1">
      <c r="A32" s="4">
        <f t="shared" si="2"/>
        <v>328</v>
      </c>
      <c r="B32" s="2">
        <v>1</v>
      </c>
      <c r="C32" s="114" t="s">
        <v>195</v>
      </c>
      <c r="D32" s="268" t="str">
        <f>VLOOKUP(C32,Purchased!A:B,2,0)</f>
        <v>FAN BRACKET, ANODIZED ALUMINUM</v>
      </c>
      <c r="E32" s="269"/>
      <c r="F32" s="112" t="str">
        <f>VLOOKUP(C32,Purchased!A:Q,9,0)</f>
        <v>CRAVE TECHNICAL</v>
      </c>
      <c r="G32" s="112" t="str">
        <f>VLOOKUP(C32,Purchased!A:Q,10,0)</f>
        <v>CRAVE</v>
      </c>
      <c r="H32" s="112">
        <f>VLOOKUP(C32,Purchased!A:Q,12,0)</f>
        <v>0</v>
      </c>
      <c r="I32" s="113"/>
      <c r="J32" s="44">
        <f>VLOOKUP(C32,Purchased!A:Q,13,0)</f>
        <v>0</v>
      </c>
      <c r="K32" s="44">
        <f>VLOOKUP(C32,Purchased!A:Q,14,0)</f>
        <v>0</v>
      </c>
      <c r="L32" s="44">
        <f>VLOOKUP(C32,Purchased!A:Q,15,0)</f>
        <v>0</v>
      </c>
      <c r="M32" s="44">
        <f>VLOOKUP(C32,Purchased!A:Q,16,0)</f>
        <v>0</v>
      </c>
      <c r="N32" s="45">
        <f>VLOOKUP(C32,Purchased!A:Q,17,0)</f>
        <v>0</v>
      </c>
      <c r="O32" s="45" t="e">
        <f t="shared" ca="1" si="3"/>
        <v>#VALUE!</v>
      </c>
      <c r="P32" s="49">
        <f>IFERROR(VLOOKUP(C32,Purchased!A:E,3,FALSE),"")</f>
        <v>0</v>
      </c>
      <c r="Q32" s="50">
        <f t="shared" si="4"/>
        <v>0</v>
      </c>
    </row>
    <row r="33" spans="1:17" s="2" customFormat="1" ht="12" customHeight="1">
      <c r="A33" s="4">
        <f t="shared" si="2"/>
        <v>329</v>
      </c>
      <c r="B33" s="2">
        <v>1</v>
      </c>
      <c r="C33" s="114" t="s">
        <v>197</v>
      </c>
      <c r="D33" s="268" t="str">
        <f>VLOOKUP(C33,Purchased!A:B,2,0)</f>
        <v>BACKPLANE ASSEMBLY</v>
      </c>
      <c r="E33" s="269"/>
      <c r="F33" s="112" t="str">
        <f>VLOOKUP(C33,Purchased!A:Q,9,0)</f>
        <v>CRAVE TECHNICAL</v>
      </c>
      <c r="G33" s="112" t="str">
        <f>VLOOKUP(C33,Purchased!A:Q,10,0)</f>
        <v>CRAVE</v>
      </c>
      <c r="H33" s="112">
        <f>VLOOKUP(C33,Purchased!A:Q,12,0)</f>
        <v>0</v>
      </c>
      <c r="I33" s="113"/>
      <c r="J33" s="44">
        <f>VLOOKUP(C33,Purchased!A:Q,13,0)</f>
        <v>0</v>
      </c>
      <c r="K33" s="44">
        <f>VLOOKUP(C33,Purchased!A:Q,14,0)</f>
        <v>0</v>
      </c>
      <c r="L33" s="44">
        <f>VLOOKUP(C33,Purchased!A:Q,15,0)</f>
        <v>0</v>
      </c>
      <c r="M33" s="44">
        <f>VLOOKUP(C33,Purchased!A:Q,16,0)</f>
        <v>0</v>
      </c>
      <c r="N33" s="45">
        <f>VLOOKUP(C33,Purchased!A:Q,17,0)</f>
        <v>0</v>
      </c>
      <c r="O33" s="45" t="e">
        <f t="shared" ca="1" si="3"/>
        <v>#VALUE!</v>
      </c>
      <c r="P33" s="49">
        <f>IFERROR(VLOOKUP(C33,Purchased!A:E,3,FALSE),"")</f>
        <v>0</v>
      </c>
      <c r="Q33" s="50">
        <f t="shared" si="4"/>
        <v>0</v>
      </c>
    </row>
    <row r="34" spans="1:17" s="2" customFormat="1" ht="12" customHeight="1">
      <c r="A34" s="4">
        <f t="shared" si="2"/>
        <v>330</v>
      </c>
      <c r="B34" s="2">
        <v>3520</v>
      </c>
      <c r="C34" s="114" t="s">
        <v>146</v>
      </c>
      <c r="D34" s="268" t="str">
        <f>VLOOKUP(C34,Purchased!A:B,2,0)</f>
        <v>Narrow Slot Wiring Duct, 25mm x 75mm</v>
      </c>
      <c r="E34" s="269"/>
      <c r="F34" s="112" t="str">
        <f>VLOOKUP(C34,Purchased!A:Q,9,0)</f>
        <v>PANDUIT</v>
      </c>
      <c r="G34" s="112" t="str">
        <f>VLOOKUP(C34,Purchased!A:Q,10,0)</f>
        <v>CRAVE</v>
      </c>
      <c r="H34" s="112">
        <f>VLOOKUP(C34,Purchased!A:Q,12,0)</f>
        <v>0</v>
      </c>
      <c r="I34" s="113"/>
      <c r="J34" s="44">
        <f>VLOOKUP(C34,Purchased!A:Q,13,0)</f>
        <v>0</v>
      </c>
      <c r="K34" s="44">
        <f>VLOOKUP(C34,Purchased!A:Q,14,0)</f>
        <v>0</v>
      </c>
      <c r="L34" s="44">
        <f>VLOOKUP(C34,Purchased!A:Q,15,0)</f>
        <v>0</v>
      </c>
      <c r="M34" s="44">
        <f>VLOOKUP(C34,Purchased!A:Q,16,0)</f>
        <v>0</v>
      </c>
      <c r="N34" s="45">
        <f>VLOOKUP(C34,Purchased!A:Q,17,0)</f>
        <v>0</v>
      </c>
      <c r="O34" s="45" t="e">
        <f t="shared" ca="1" si="3"/>
        <v>#VALUE!</v>
      </c>
      <c r="P34" s="49">
        <f>IFERROR(VLOOKUP(C34,Purchased!A:E,3,FALSE),"")</f>
        <v>0</v>
      </c>
      <c r="Q34" s="50">
        <f t="shared" si="4"/>
        <v>0</v>
      </c>
    </row>
    <row r="35" spans="1:17" s="2" customFormat="1" ht="12" customHeight="1">
      <c r="A35" s="4">
        <f t="shared" si="2"/>
        <v>331</v>
      </c>
      <c r="B35" s="2">
        <v>3520</v>
      </c>
      <c r="C35" s="114" t="s">
        <v>147</v>
      </c>
      <c r="D35" s="268" t="str">
        <f>VLOOKUP(C35,Purchased!A:B,2,0)</f>
        <v>Duct cover, 25mm</v>
      </c>
      <c r="E35" s="269"/>
      <c r="F35" s="112" t="str">
        <f>VLOOKUP(C35,Purchased!A:Q,9,0)</f>
        <v>PANDUIT</v>
      </c>
      <c r="G35" s="112" t="str">
        <f>VLOOKUP(C35,Purchased!A:Q,10,0)</f>
        <v>CRAVE</v>
      </c>
      <c r="H35" s="112">
        <f>VLOOKUP(C35,Purchased!A:Q,12,0)</f>
        <v>0</v>
      </c>
      <c r="I35" s="113"/>
      <c r="J35" s="44">
        <f>VLOOKUP(C35,Purchased!A:Q,13,0)</f>
        <v>0</v>
      </c>
      <c r="K35" s="44">
        <f>VLOOKUP(C35,Purchased!A:Q,14,0)</f>
        <v>0</v>
      </c>
      <c r="L35" s="44">
        <f>VLOOKUP(C35,Purchased!A:Q,15,0)</f>
        <v>0</v>
      </c>
      <c r="M35" s="44">
        <f>VLOOKUP(C35,Purchased!A:Q,16,0)</f>
        <v>0</v>
      </c>
      <c r="N35" s="45">
        <f>VLOOKUP(C35,Purchased!A:Q,17,0)</f>
        <v>0</v>
      </c>
      <c r="O35" s="45" t="e">
        <f t="shared" ca="1" si="3"/>
        <v>#VALUE!</v>
      </c>
      <c r="P35" s="49">
        <f>IFERROR(VLOOKUP(C35,Purchased!A:E,3,FALSE),"")</f>
        <v>0</v>
      </c>
      <c r="Q35" s="50">
        <f t="shared" si="4"/>
        <v>0</v>
      </c>
    </row>
    <row r="36" spans="1:17" s="2" customFormat="1" ht="12" customHeight="1">
      <c r="A36" s="4">
        <f t="shared" si="2"/>
        <v>332</v>
      </c>
      <c r="B36" s="2">
        <v>900</v>
      </c>
      <c r="C36" s="114">
        <v>801733</v>
      </c>
      <c r="D36" s="268" t="str">
        <f>VLOOKUP(C36,Purchased!A:B,2,0)</f>
        <v>NS 35/ 7,5 PERF 2000MM - DIN rail perforated</v>
      </c>
      <c r="E36" s="269"/>
      <c r="F36" s="112" t="str">
        <f>VLOOKUP(C36,Purchased!A:Q,9,0)</f>
        <v>Phoenix Contact</v>
      </c>
      <c r="G36" s="112" t="str">
        <f>VLOOKUP(C36,Purchased!A:Q,10,0)</f>
        <v>CRAVE</v>
      </c>
      <c r="H36" s="112">
        <f>VLOOKUP(C36,Purchased!A:Q,12,0)</f>
        <v>0</v>
      </c>
      <c r="I36" s="113"/>
      <c r="J36" s="44">
        <f>VLOOKUP(C36,Purchased!A:Q,13,0)</f>
        <v>0</v>
      </c>
      <c r="K36" s="44">
        <f>VLOOKUP(C36,Purchased!A:Q,14,0)</f>
        <v>0</v>
      </c>
      <c r="L36" s="44">
        <f>VLOOKUP(C36,Purchased!A:Q,15,0)</f>
        <v>0</v>
      </c>
      <c r="M36" s="44">
        <f>VLOOKUP(C36,Purchased!A:Q,16,0)</f>
        <v>0</v>
      </c>
      <c r="N36" s="45">
        <f>VLOOKUP(C36,Purchased!A:Q,17,0)</f>
        <v>0</v>
      </c>
      <c r="O36" s="45" t="e">
        <f t="shared" ca="1" si="3"/>
        <v>#VALUE!</v>
      </c>
      <c r="P36" s="49">
        <f>IFERROR(VLOOKUP(C36,Purchased!A:E,3,FALSE),"")</f>
        <v>0</v>
      </c>
      <c r="Q36" s="50">
        <f t="shared" si="4"/>
        <v>0</v>
      </c>
    </row>
    <row r="37" spans="1:17" s="2" customFormat="1" ht="12" customHeight="1">
      <c r="A37" s="4">
        <f t="shared" si="2"/>
        <v>333</v>
      </c>
      <c r="B37" s="2">
        <v>1</v>
      </c>
      <c r="C37" s="114" t="s">
        <v>130</v>
      </c>
      <c r="D37" s="268" t="str">
        <f>VLOOKUP(C37,Purchased!A:B,2,0)</f>
        <v>CAUTION STICKER</v>
      </c>
      <c r="E37" s="269"/>
      <c r="F37" s="112" t="str">
        <f>VLOOKUP(C37,Purchased!A:Q,9,0)</f>
        <v>SAFETYSIGN.COM</v>
      </c>
      <c r="G37" s="112" t="str">
        <f>VLOOKUP(C37,Purchased!A:Q,10,0)</f>
        <v>CRAVE</v>
      </c>
      <c r="H37" s="112">
        <f>VLOOKUP(C37,Purchased!A:Q,12,0)</f>
        <v>0</v>
      </c>
      <c r="I37" s="113"/>
      <c r="J37" s="44">
        <f>VLOOKUP(C37,Purchased!A:Q,13,0)</f>
        <v>0</v>
      </c>
      <c r="K37" s="44">
        <f>VLOOKUP(C37,Purchased!A:Q,14,0)</f>
        <v>0</v>
      </c>
      <c r="L37" s="44">
        <f>VLOOKUP(C37,Purchased!A:Q,15,0)</f>
        <v>0</v>
      </c>
      <c r="M37" s="44">
        <f>VLOOKUP(C37,Purchased!A:Q,16,0)</f>
        <v>0</v>
      </c>
      <c r="N37" s="45">
        <f>VLOOKUP(C37,Purchased!A:Q,17,0)</f>
        <v>0</v>
      </c>
      <c r="O37" s="45" t="e">
        <f t="shared" ca="1" si="3"/>
        <v>#VALUE!</v>
      </c>
      <c r="P37" s="49">
        <f>IFERROR(VLOOKUP(C37,Purchased!A:E,3,FALSE),"")</f>
        <v>0</v>
      </c>
      <c r="Q37" s="50">
        <f t="shared" si="4"/>
        <v>0</v>
      </c>
    </row>
    <row r="38" spans="1:17" s="2" customFormat="1" ht="12" customHeight="1" thickBot="1">
      <c r="A38" s="4">
        <f t="shared" si="2"/>
        <v>334</v>
      </c>
      <c r="B38" s="2">
        <v>1</v>
      </c>
      <c r="C38" s="114" t="s">
        <v>199</v>
      </c>
      <c r="D38" s="268" t="str">
        <f>VLOOKUP(C38,Purchased!A:B,2,0)</f>
        <v>LEGEND PLATE</v>
      </c>
      <c r="E38" s="269"/>
      <c r="F38" s="112" t="str">
        <f>VLOOKUP(C38,Purchased!A:Q,9,0)</f>
        <v>CRAVE</v>
      </c>
      <c r="G38" s="112" t="str">
        <f>VLOOKUP(C38,Purchased!A:Q,10,0)</f>
        <v>CRAVE</v>
      </c>
      <c r="H38" s="112">
        <f>VLOOKUP(C38,Purchased!A:Q,12,0)</f>
        <v>0</v>
      </c>
      <c r="I38" s="113"/>
      <c r="J38" s="44">
        <f>VLOOKUP(C38,Purchased!A:Q,13,0)</f>
        <v>0</v>
      </c>
      <c r="K38" s="44">
        <f>VLOOKUP(C38,Purchased!A:Q,14,0)</f>
        <v>0</v>
      </c>
      <c r="L38" s="44">
        <f>VLOOKUP(C38,Purchased!A:Q,15,0)</f>
        <v>0</v>
      </c>
      <c r="M38" s="44">
        <f>VLOOKUP(C38,Purchased!A:Q,16,0)</f>
        <v>0</v>
      </c>
      <c r="N38" s="45">
        <f>VLOOKUP(C38,Purchased!A:Q,17,0)</f>
        <v>0</v>
      </c>
      <c r="O38" s="45" t="e">
        <f t="shared" ca="1" si="3"/>
        <v>#VALUE!</v>
      </c>
      <c r="P38" s="49">
        <f>IFERROR(VLOOKUP(C38,Purchased!A:E,3,FALSE),"")</f>
        <v>0</v>
      </c>
      <c r="Q38" s="50">
        <f t="shared" si="4"/>
        <v>0</v>
      </c>
    </row>
    <row r="39" spans="1:17" s="2" customFormat="1" ht="12.75" customHeight="1" thickBot="1">
      <c r="A39" s="34"/>
      <c r="B39" s="35"/>
      <c r="C39" s="35"/>
      <c r="D39" s="256"/>
      <c r="E39" s="257"/>
      <c r="F39" s="35"/>
      <c r="G39" s="35"/>
      <c r="H39" s="294"/>
      <c r="I39" s="295"/>
      <c r="J39" s="36"/>
      <c r="K39" s="36"/>
      <c r="L39" s="36"/>
      <c r="M39" s="37"/>
      <c r="N39" s="38"/>
      <c r="O39" s="38"/>
      <c r="P39" s="89" t="s">
        <v>43</v>
      </c>
      <c r="Q39" s="94">
        <f>SUM(Q5:Q15)</f>
        <v>2077.4300000000003</v>
      </c>
    </row>
    <row r="40" spans="1:17" s="2" customFormat="1" ht="12" customHeight="1">
      <c r="D40" s="22"/>
      <c r="E40" s="22"/>
      <c r="J40" s="8"/>
      <c r="K40" s="8"/>
      <c r="L40" s="8"/>
      <c r="M40" s="8"/>
      <c r="N40" s="5"/>
      <c r="O40" s="5"/>
      <c r="P40" s="88"/>
      <c r="Q40" s="95"/>
    </row>
    <row r="41" spans="1:17" s="2" customFormat="1" ht="12" customHeight="1">
      <c r="D41" s="22"/>
      <c r="E41" s="22"/>
      <c r="J41" s="5"/>
      <c r="K41" s="5"/>
      <c r="L41" s="5"/>
      <c r="M41" s="5"/>
      <c r="N41" s="5"/>
      <c r="O41" s="5"/>
      <c r="P41" s="88"/>
      <c r="Q41" s="95"/>
    </row>
    <row r="42" spans="1:17" s="2" customFormat="1" ht="12" customHeight="1">
      <c r="D42" s="22"/>
      <c r="E42" s="22"/>
      <c r="J42" s="5"/>
      <c r="K42" s="5"/>
      <c r="L42" s="5"/>
      <c r="M42" s="5"/>
      <c r="N42" s="5"/>
      <c r="O42" s="5"/>
      <c r="P42" s="88"/>
      <c r="Q42" s="95"/>
    </row>
    <row r="43" spans="1:17" s="2" customFormat="1" ht="12" customHeight="1">
      <c r="D43" s="22"/>
      <c r="E43" s="22"/>
      <c r="J43" s="5"/>
      <c r="K43" s="5"/>
      <c r="L43" s="5"/>
      <c r="M43" s="5"/>
      <c r="N43" s="5"/>
      <c r="O43" s="5"/>
      <c r="P43" s="88"/>
      <c r="Q43" s="95"/>
    </row>
    <row r="44" spans="1:17" s="2" customFormat="1" ht="12" customHeight="1">
      <c r="D44" s="22"/>
      <c r="E44" s="22"/>
      <c r="J44" s="5"/>
      <c r="K44" s="5"/>
      <c r="L44" s="5"/>
      <c r="M44" s="5"/>
      <c r="N44" s="5"/>
      <c r="O44" s="5"/>
      <c r="P44" s="88"/>
      <c r="Q44" s="95"/>
    </row>
    <row r="45" spans="1:17" s="2" customFormat="1" ht="12" customHeight="1">
      <c r="D45" s="22"/>
      <c r="E45" s="22"/>
      <c r="J45" s="5"/>
      <c r="K45" s="5"/>
      <c r="L45" s="5"/>
      <c r="M45" s="5"/>
      <c r="N45" s="5"/>
      <c r="O45" s="5"/>
      <c r="P45" s="88"/>
      <c r="Q45" s="95"/>
    </row>
    <row r="46" spans="1:17" s="2" customFormat="1" ht="12" customHeight="1">
      <c r="D46" s="22"/>
      <c r="E46" s="22"/>
      <c r="J46" s="5"/>
      <c r="K46" s="5"/>
      <c r="L46" s="5"/>
      <c r="M46" s="5"/>
      <c r="N46" s="5"/>
      <c r="O46" s="5"/>
      <c r="P46" s="88"/>
      <c r="Q46" s="95"/>
    </row>
    <row r="47" spans="1:17" s="2" customFormat="1" ht="12" customHeight="1">
      <c r="D47" s="22"/>
      <c r="E47" s="22"/>
      <c r="J47" s="5"/>
      <c r="K47" s="5"/>
      <c r="L47" s="5"/>
      <c r="M47" s="5"/>
      <c r="N47" s="5"/>
      <c r="O47" s="5"/>
      <c r="P47" s="88"/>
      <c r="Q47" s="95"/>
    </row>
    <row r="48" spans="1:17" s="2" customFormat="1" ht="12" customHeight="1">
      <c r="D48" s="22"/>
      <c r="E48" s="22"/>
      <c r="J48" s="5"/>
      <c r="K48" s="5"/>
      <c r="L48" s="5"/>
      <c r="M48" s="5"/>
      <c r="N48" s="5"/>
      <c r="O48" s="5"/>
      <c r="P48" s="88"/>
      <c r="Q48" s="95"/>
    </row>
    <row r="49" spans="4:17" s="2" customFormat="1" ht="12" customHeight="1">
      <c r="D49" s="22"/>
      <c r="E49" s="22"/>
      <c r="J49" s="5"/>
      <c r="K49" s="5"/>
      <c r="L49" s="5"/>
      <c r="M49" s="5"/>
      <c r="N49" s="5"/>
      <c r="O49" s="5"/>
      <c r="P49" s="88"/>
      <c r="Q49" s="95"/>
    </row>
    <row r="50" spans="4:17" s="2" customFormat="1" ht="12" customHeight="1">
      <c r="D50" s="22"/>
      <c r="E50" s="22"/>
      <c r="J50" s="5"/>
      <c r="K50" s="5"/>
      <c r="L50" s="5"/>
      <c r="M50" s="5"/>
      <c r="N50" s="5"/>
      <c r="O50" s="5"/>
      <c r="P50" s="88"/>
      <c r="Q50" s="95"/>
    </row>
    <row r="51" spans="4:17" s="2" customFormat="1" ht="12" customHeight="1">
      <c r="D51" s="22"/>
      <c r="E51" s="22"/>
      <c r="J51" s="5"/>
      <c r="K51" s="5"/>
      <c r="L51" s="5"/>
      <c r="M51" s="5"/>
      <c r="N51" s="5"/>
      <c r="O51" s="5"/>
      <c r="P51" s="88"/>
      <c r="Q51" s="95"/>
    </row>
    <row r="52" spans="4:17" s="2" customFormat="1" ht="12" customHeight="1">
      <c r="D52" s="22"/>
      <c r="E52" s="22"/>
      <c r="J52" s="5"/>
      <c r="K52" s="5"/>
      <c r="L52" s="5"/>
      <c r="M52" s="5"/>
      <c r="N52" s="5"/>
      <c r="O52" s="5"/>
      <c r="P52" s="88"/>
      <c r="Q52" s="95"/>
    </row>
    <row r="53" spans="4:17" s="2" customFormat="1" ht="12" customHeight="1">
      <c r="D53" s="22"/>
      <c r="E53" s="22"/>
      <c r="J53" s="5"/>
      <c r="K53" s="5"/>
      <c r="L53" s="5"/>
      <c r="M53" s="5"/>
      <c r="N53" s="5"/>
      <c r="O53" s="5"/>
      <c r="P53" s="88"/>
      <c r="Q53" s="95"/>
    </row>
    <row r="54" spans="4:17" s="2" customFormat="1" ht="12" customHeight="1">
      <c r="D54" s="22"/>
      <c r="E54" s="22"/>
      <c r="J54" s="5"/>
      <c r="K54" s="5"/>
      <c r="L54" s="5"/>
      <c r="M54" s="5"/>
      <c r="N54" s="5"/>
      <c r="O54" s="5"/>
      <c r="P54" s="88"/>
      <c r="Q54" s="95"/>
    </row>
    <row r="55" spans="4:17" s="2" customFormat="1" ht="12" customHeight="1">
      <c r="D55" s="22"/>
      <c r="E55" s="22"/>
      <c r="J55" s="5"/>
      <c r="K55" s="5"/>
      <c r="L55" s="5"/>
      <c r="M55" s="5"/>
      <c r="N55" s="5"/>
      <c r="O55" s="5"/>
      <c r="P55" s="88"/>
      <c r="Q55" s="95"/>
    </row>
    <row r="56" spans="4:17" s="2" customFormat="1" ht="12" customHeight="1">
      <c r="D56" s="22"/>
      <c r="E56" s="22"/>
      <c r="J56" s="5"/>
      <c r="K56" s="5"/>
      <c r="L56" s="5"/>
      <c r="M56" s="5"/>
      <c r="N56" s="5"/>
      <c r="O56" s="5"/>
      <c r="P56" s="88"/>
      <c r="Q56" s="95"/>
    </row>
    <row r="57" spans="4:17" s="2" customFormat="1" ht="12" customHeight="1">
      <c r="D57" s="22"/>
      <c r="E57" s="22"/>
      <c r="J57" s="5"/>
      <c r="K57" s="5"/>
      <c r="L57" s="5"/>
      <c r="M57" s="5"/>
      <c r="N57" s="5"/>
      <c r="O57" s="5"/>
      <c r="P57" s="88"/>
      <c r="Q57" s="95"/>
    </row>
    <row r="58" spans="4:17" s="2" customFormat="1" ht="12" customHeight="1">
      <c r="D58" s="22"/>
      <c r="E58" s="22"/>
      <c r="J58" s="5"/>
      <c r="K58" s="5"/>
      <c r="L58" s="5"/>
      <c r="M58" s="5"/>
      <c r="N58" s="5"/>
      <c r="O58" s="5"/>
      <c r="P58" s="88"/>
      <c r="Q58" s="95"/>
    </row>
    <row r="59" spans="4:17" s="2" customFormat="1" ht="12" customHeight="1">
      <c r="D59" s="22"/>
      <c r="E59" s="22"/>
      <c r="J59" s="5"/>
      <c r="K59" s="5"/>
      <c r="L59" s="5"/>
      <c r="M59" s="5"/>
      <c r="N59" s="5"/>
      <c r="O59" s="5"/>
      <c r="P59" s="88"/>
      <c r="Q59" s="95"/>
    </row>
    <row r="60" spans="4:17" s="2" customFormat="1" ht="12" customHeight="1">
      <c r="D60" s="22"/>
      <c r="E60" s="22"/>
      <c r="J60" s="5"/>
      <c r="K60" s="5"/>
      <c r="L60" s="5"/>
      <c r="M60" s="5"/>
      <c r="N60" s="5"/>
      <c r="O60" s="5"/>
      <c r="P60" s="88"/>
      <c r="Q60" s="95"/>
    </row>
    <row r="61" spans="4:17" s="2" customFormat="1" ht="12" customHeight="1">
      <c r="D61" s="22"/>
      <c r="E61" s="22"/>
      <c r="J61" s="5"/>
      <c r="K61" s="5"/>
      <c r="L61" s="5"/>
      <c r="M61" s="5"/>
      <c r="N61" s="5"/>
      <c r="O61" s="5"/>
      <c r="P61" s="88"/>
      <c r="Q61" s="95"/>
    </row>
    <row r="62" spans="4:17" s="2" customFormat="1" ht="12" customHeight="1">
      <c r="D62" s="22"/>
      <c r="E62" s="22"/>
      <c r="J62" s="5"/>
      <c r="K62" s="5"/>
      <c r="L62" s="5"/>
      <c r="M62" s="5"/>
      <c r="N62" s="5"/>
      <c r="O62" s="5"/>
      <c r="P62" s="88"/>
      <c r="Q62" s="95"/>
    </row>
    <row r="63" spans="4:17" s="2" customFormat="1" ht="12" customHeight="1">
      <c r="D63" s="22"/>
      <c r="E63" s="22"/>
      <c r="J63" s="5"/>
      <c r="K63" s="5"/>
      <c r="L63" s="5"/>
      <c r="M63" s="5"/>
      <c r="N63" s="5"/>
      <c r="O63" s="5"/>
      <c r="P63" s="88"/>
      <c r="Q63" s="95"/>
    </row>
    <row r="64" spans="4:17" s="2" customFormat="1" ht="12" customHeight="1">
      <c r="D64" s="22"/>
      <c r="E64" s="22"/>
      <c r="J64" s="5"/>
      <c r="K64" s="5"/>
      <c r="L64" s="5"/>
      <c r="M64" s="5"/>
      <c r="N64" s="5"/>
      <c r="O64" s="5"/>
      <c r="P64" s="88"/>
      <c r="Q64" s="95"/>
    </row>
    <row r="65" spans="4:17" s="2" customFormat="1" ht="12" customHeight="1">
      <c r="D65" s="22"/>
      <c r="E65" s="22"/>
      <c r="J65" s="5"/>
      <c r="K65" s="5"/>
      <c r="L65" s="5"/>
      <c r="M65" s="5"/>
      <c r="N65" s="5"/>
      <c r="O65" s="5"/>
      <c r="P65" s="88"/>
      <c r="Q65" s="95"/>
    </row>
    <row r="66" spans="4:17" s="2" customFormat="1" ht="12" customHeight="1">
      <c r="D66" s="22"/>
      <c r="E66" s="22"/>
      <c r="J66" s="5"/>
      <c r="K66" s="5"/>
      <c r="L66" s="5"/>
      <c r="M66" s="5"/>
      <c r="N66" s="5"/>
      <c r="O66" s="5"/>
      <c r="P66" s="88"/>
      <c r="Q66" s="95"/>
    </row>
    <row r="67" spans="4:17" s="2" customFormat="1" ht="12" customHeight="1">
      <c r="D67" s="22"/>
      <c r="E67" s="22"/>
      <c r="J67" s="5"/>
      <c r="K67" s="5"/>
      <c r="L67" s="5"/>
      <c r="M67" s="5"/>
      <c r="N67" s="5"/>
      <c r="O67" s="5"/>
      <c r="P67" s="88"/>
      <c r="Q67" s="95"/>
    </row>
    <row r="68" spans="4:17" s="2" customFormat="1" ht="12" customHeight="1">
      <c r="D68" s="22"/>
      <c r="E68" s="22"/>
      <c r="J68" s="5"/>
      <c r="K68" s="5"/>
      <c r="L68" s="5"/>
      <c r="M68" s="5"/>
      <c r="N68" s="5"/>
      <c r="O68" s="5"/>
      <c r="P68" s="88"/>
      <c r="Q68" s="95"/>
    </row>
    <row r="69" spans="4:17" s="2" customFormat="1" ht="12" customHeight="1">
      <c r="D69" s="22"/>
      <c r="E69" s="22"/>
      <c r="J69" s="5"/>
      <c r="K69" s="5"/>
      <c r="L69" s="5"/>
      <c r="M69" s="5"/>
      <c r="N69" s="5"/>
      <c r="O69" s="5"/>
      <c r="P69" s="88"/>
      <c r="Q69" s="95"/>
    </row>
    <row r="70" spans="4:17" s="2" customFormat="1" ht="12" customHeight="1">
      <c r="D70" s="22"/>
      <c r="E70" s="22"/>
      <c r="J70" s="5"/>
      <c r="K70" s="5"/>
      <c r="L70" s="5"/>
      <c r="M70" s="5"/>
      <c r="N70" s="5"/>
      <c r="O70" s="5"/>
      <c r="P70" s="88"/>
      <c r="Q70" s="95"/>
    </row>
    <row r="71" spans="4:17" s="2" customFormat="1" ht="12" customHeight="1">
      <c r="D71" s="22"/>
      <c r="E71" s="22"/>
      <c r="J71" s="5"/>
      <c r="K71" s="5"/>
      <c r="L71" s="5"/>
      <c r="M71" s="5"/>
      <c r="N71" s="5"/>
      <c r="O71" s="5"/>
      <c r="P71" s="88"/>
      <c r="Q71" s="95"/>
    </row>
    <row r="72" spans="4:17" s="2" customFormat="1" ht="12" customHeight="1">
      <c r="D72" s="22"/>
      <c r="E72" s="22"/>
      <c r="J72" s="5"/>
      <c r="K72" s="5"/>
      <c r="L72" s="5"/>
      <c r="M72" s="5"/>
      <c r="N72" s="5"/>
      <c r="O72" s="5"/>
      <c r="P72" s="88"/>
      <c r="Q72" s="95"/>
    </row>
    <row r="73" spans="4:17" s="2" customFormat="1" ht="12" customHeight="1">
      <c r="D73" s="22"/>
      <c r="E73" s="22"/>
      <c r="J73" s="5"/>
      <c r="K73" s="5"/>
      <c r="L73" s="5"/>
      <c r="M73" s="5"/>
      <c r="N73" s="5"/>
      <c r="O73" s="5"/>
      <c r="P73" s="88"/>
      <c r="Q73" s="95"/>
    </row>
    <row r="74" spans="4:17" s="2" customFormat="1" ht="12" customHeight="1">
      <c r="D74" s="22"/>
      <c r="E74" s="22"/>
      <c r="J74" s="5"/>
      <c r="K74" s="5"/>
      <c r="L74" s="5"/>
      <c r="M74" s="5"/>
      <c r="N74" s="5"/>
      <c r="O74" s="5"/>
      <c r="P74" s="88"/>
      <c r="Q74" s="95"/>
    </row>
    <row r="75" spans="4:17" s="2" customFormat="1" ht="12" customHeight="1">
      <c r="D75" s="22"/>
      <c r="E75" s="22"/>
      <c r="J75" s="5"/>
      <c r="K75" s="5"/>
      <c r="L75" s="5"/>
      <c r="M75" s="5"/>
      <c r="N75" s="5"/>
      <c r="O75" s="5"/>
      <c r="P75" s="88"/>
      <c r="Q75" s="95"/>
    </row>
    <row r="76" spans="4:17" s="2" customFormat="1" ht="12" customHeight="1">
      <c r="D76" s="22"/>
      <c r="E76" s="22"/>
      <c r="J76" s="5"/>
      <c r="K76" s="5"/>
      <c r="L76" s="5"/>
      <c r="M76" s="5"/>
      <c r="N76" s="5"/>
      <c r="O76" s="5"/>
      <c r="P76" s="88"/>
      <c r="Q76" s="95"/>
    </row>
    <row r="77" spans="4:17" s="2" customFormat="1" ht="12" customHeight="1">
      <c r="D77" s="22"/>
      <c r="E77" s="22"/>
      <c r="J77" s="5"/>
      <c r="K77" s="5"/>
      <c r="L77" s="5"/>
      <c r="M77" s="5"/>
      <c r="N77" s="5"/>
      <c r="O77" s="5"/>
      <c r="P77" s="88"/>
      <c r="Q77" s="95"/>
    </row>
    <row r="78" spans="4:17" s="2" customFormat="1" ht="12" customHeight="1">
      <c r="D78" s="22"/>
      <c r="E78" s="22"/>
      <c r="J78" s="5"/>
      <c r="K78" s="5"/>
      <c r="L78" s="5"/>
      <c r="M78" s="5"/>
      <c r="N78" s="5"/>
      <c r="O78" s="5"/>
      <c r="P78" s="88"/>
      <c r="Q78" s="96"/>
    </row>
    <row r="79" spans="4:17" s="2" customFormat="1" ht="12" customHeight="1">
      <c r="D79" s="22"/>
      <c r="E79" s="22"/>
      <c r="J79" s="5"/>
      <c r="K79" s="5"/>
      <c r="L79" s="5"/>
      <c r="M79" s="5"/>
      <c r="N79" s="5"/>
      <c r="O79" s="5"/>
      <c r="P79" s="88"/>
      <c r="Q79" s="96"/>
    </row>
    <row r="80" spans="4:17" s="2" customFormat="1" ht="12" customHeight="1">
      <c r="D80" s="22"/>
      <c r="E80" s="22"/>
      <c r="J80" s="5"/>
      <c r="K80" s="5"/>
      <c r="L80" s="5"/>
      <c r="M80" s="5"/>
      <c r="N80" s="5"/>
      <c r="O80" s="5"/>
      <c r="P80" s="88"/>
      <c r="Q80" s="96"/>
    </row>
    <row r="81" spans="1:17" s="2" customFormat="1" ht="12" customHeight="1">
      <c r="D81" s="22"/>
      <c r="E81" s="22"/>
      <c r="J81" s="5"/>
      <c r="K81" s="5"/>
      <c r="L81" s="5"/>
      <c r="M81" s="5"/>
      <c r="N81" s="5"/>
      <c r="O81" s="5"/>
      <c r="P81" s="88"/>
      <c r="Q81" s="96"/>
    </row>
    <row r="82" spans="1:17" s="2" customFormat="1" ht="12" customHeight="1">
      <c r="A82"/>
      <c r="B82"/>
      <c r="C82"/>
      <c r="D82" s="23"/>
      <c r="E82" s="23"/>
      <c r="F82"/>
      <c r="G82"/>
      <c r="H82"/>
      <c r="I82"/>
      <c r="J82" s="19"/>
      <c r="K82" s="19"/>
      <c r="L82" s="19"/>
      <c r="M82" s="19"/>
      <c r="N82" s="19"/>
      <c r="O82" s="19"/>
      <c r="P82" s="90"/>
      <c r="Q82" s="96"/>
    </row>
    <row r="83" spans="1:17" s="2" customFormat="1" ht="12" customHeight="1">
      <c r="A83"/>
      <c r="B83"/>
      <c r="C83"/>
      <c r="D83" s="23"/>
      <c r="E83" s="23"/>
      <c r="F83"/>
      <c r="G83"/>
      <c r="H83"/>
      <c r="I83"/>
      <c r="J83" s="19"/>
      <c r="K83" s="19"/>
      <c r="L83" s="19"/>
      <c r="M83" s="19"/>
      <c r="N83" s="19"/>
      <c r="O83" s="19"/>
      <c r="P83" s="90"/>
      <c r="Q83" s="96"/>
    </row>
    <row r="84" spans="1:17" s="2" customFormat="1" ht="12" customHeight="1">
      <c r="A84"/>
      <c r="B84"/>
      <c r="C84"/>
      <c r="D84" s="23"/>
      <c r="E84" s="23"/>
      <c r="F84"/>
      <c r="G84"/>
      <c r="H84"/>
      <c r="I84"/>
      <c r="J84" s="19"/>
      <c r="K84" s="19"/>
      <c r="L84" s="19"/>
      <c r="M84" s="19"/>
      <c r="N84" s="19"/>
      <c r="O84" s="19"/>
      <c r="P84" s="90"/>
      <c r="Q84" s="96"/>
    </row>
    <row r="85" spans="1:17" s="2" customFormat="1" ht="12" customHeight="1">
      <c r="A85"/>
      <c r="B85"/>
      <c r="C85"/>
      <c r="D85" s="23"/>
      <c r="E85" s="23"/>
      <c r="F85"/>
      <c r="G85"/>
      <c r="H85"/>
      <c r="I85"/>
      <c r="J85" s="19"/>
      <c r="K85" s="19"/>
      <c r="L85" s="19"/>
      <c r="M85" s="19"/>
      <c r="N85" s="19"/>
      <c r="O85" s="19"/>
      <c r="P85" s="90"/>
      <c r="Q85" s="96"/>
    </row>
    <row r="86" spans="1:17" s="2" customFormat="1" ht="12" customHeight="1">
      <c r="A86"/>
      <c r="B86"/>
      <c r="C86"/>
      <c r="D86" s="23"/>
      <c r="E86" s="23"/>
      <c r="F86"/>
      <c r="G86"/>
      <c r="H86"/>
      <c r="I86"/>
      <c r="J86" s="19"/>
      <c r="K86" s="19"/>
      <c r="L86" s="19"/>
      <c r="M86" s="19"/>
      <c r="N86" s="19"/>
      <c r="O86" s="19"/>
      <c r="P86" s="90"/>
      <c r="Q86" s="96"/>
    </row>
    <row r="87" spans="1:17">
      <c r="Q87" s="96"/>
    </row>
    <row r="88" spans="1:17">
      <c r="Q88" s="96"/>
    </row>
    <row r="89" spans="1:17">
      <c r="Q89" s="96"/>
    </row>
    <row r="90" spans="1:17">
      <c r="Q90" s="96"/>
    </row>
    <row r="91" spans="1:17">
      <c r="Q91" s="96"/>
    </row>
    <row r="92" spans="1:17">
      <c r="Q92" s="96"/>
    </row>
    <row r="93" spans="1:17">
      <c r="Q93" s="96"/>
    </row>
    <row r="94" spans="1:17">
      <c r="Q94" s="96"/>
    </row>
    <row r="95" spans="1:17">
      <c r="Q95" s="96"/>
    </row>
    <row r="96" spans="1:17">
      <c r="Q96" s="96"/>
    </row>
    <row r="97" spans="17:17">
      <c r="Q97" s="96"/>
    </row>
    <row r="98" spans="17:17">
      <c r="Q98" s="96"/>
    </row>
    <row r="99" spans="17:17">
      <c r="Q99" s="96"/>
    </row>
    <row r="100" spans="17:17">
      <c r="Q100" s="96"/>
    </row>
    <row r="101" spans="17:17">
      <c r="Q101" s="96"/>
    </row>
    <row r="102" spans="17:17">
      <c r="Q102" s="96"/>
    </row>
    <row r="103" spans="17:17">
      <c r="Q103" s="96"/>
    </row>
    <row r="104" spans="17:17">
      <c r="Q104" s="96"/>
    </row>
    <row r="105" spans="17:17">
      <c r="Q105" s="96"/>
    </row>
    <row r="106" spans="17:17">
      <c r="Q106" s="96"/>
    </row>
    <row r="143" ht="12" customHeight="1"/>
    <row r="144" ht="12" customHeight="1"/>
    <row r="145" ht="12" customHeight="1"/>
    <row r="146" ht="12" customHeight="1"/>
    <row r="147" ht="12" customHeight="1"/>
    <row r="148" ht="12" customHeight="1"/>
    <row r="149" ht="12" customHeight="1"/>
    <row r="150" ht="12" customHeight="1"/>
    <row r="151" ht="12" customHeight="1"/>
    <row r="152" ht="12" customHeight="1"/>
    <row r="153" ht="12" customHeight="1"/>
    <row r="154" ht="12" customHeight="1"/>
    <row r="155" ht="12" customHeight="1"/>
    <row r="156" ht="12" customHeight="1"/>
    <row r="157" ht="12" customHeight="1"/>
    <row r="158" ht="12" customHeight="1"/>
    <row r="159" ht="12" customHeight="1"/>
    <row r="160" ht="12" customHeight="1"/>
    <row r="161" ht="12" customHeight="1"/>
    <row r="162" ht="12" customHeight="1"/>
    <row r="163" ht="12" customHeight="1"/>
    <row r="164" ht="12" customHeight="1"/>
    <row r="165" ht="12" customHeight="1"/>
    <row r="166" ht="12" customHeight="1"/>
    <row r="167" ht="12" customHeight="1"/>
    <row r="168" ht="12" customHeight="1"/>
    <row r="169" ht="12" customHeight="1"/>
    <row r="170" ht="12" customHeight="1"/>
    <row r="171" ht="12" customHeight="1"/>
    <row r="172" ht="12" customHeight="1"/>
    <row r="173" ht="12" customHeight="1"/>
    <row r="174" ht="12" customHeight="1"/>
    <row r="175" ht="12" customHeight="1"/>
    <row r="176" ht="12" customHeight="1"/>
    <row r="177" ht="12" customHeight="1"/>
    <row r="178" ht="12" customHeight="1"/>
    <row r="179" ht="12" customHeight="1"/>
    <row r="180" ht="12" customHeight="1"/>
    <row r="181" ht="12" customHeight="1"/>
    <row r="182" ht="12" customHeight="1"/>
    <row r="183" ht="12" customHeight="1"/>
    <row r="184" ht="12" customHeight="1"/>
    <row r="185" ht="12" customHeight="1"/>
    <row r="186" ht="12" customHeight="1"/>
    <row r="187" ht="12" customHeight="1"/>
    <row r="188" ht="12" customHeight="1"/>
    <row r="189" ht="12" customHeight="1"/>
    <row r="190" ht="12" customHeight="1"/>
    <row r="191" ht="12" customHeight="1"/>
    <row r="192" ht="12" customHeight="1"/>
  </sheetData>
  <mergeCells count="39">
    <mergeCell ref="D39:E39"/>
    <mergeCell ref="H39:I39"/>
    <mergeCell ref="D12:E12"/>
    <mergeCell ref="D13:E13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9:E29"/>
    <mergeCell ref="D30:E30"/>
    <mergeCell ref="D1:E1"/>
    <mergeCell ref="D4:E4"/>
    <mergeCell ref="H4:I4"/>
    <mergeCell ref="D5:E5"/>
    <mergeCell ref="D6:E6"/>
    <mergeCell ref="D7:E7"/>
    <mergeCell ref="D8:E8"/>
    <mergeCell ref="D9:E9"/>
    <mergeCell ref="D10:E10"/>
    <mergeCell ref="D11:E11"/>
    <mergeCell ref="D31:E31"/>
    <mergeCell ref="D32:E32"/>
    <mergeCell ref="D24:E24"/>
    <mergeCell ref="D25:E25"/>
    <mergeCell ref="D26:E26"/>
    <mergeCell ref="D27:E27"/>
    <mergeCell ref="D28:E28"/>
    <mergeCell ref="D38:E38"/>
    <mergeCell ref="D33:E33"/>
    <mergeCell ref="D34:E34"/>
    <mergeCell ref="D35:E35"/>
    <mergeCell ref="D36:E36"/>
    <mergeCell ref="D37:E37"/>
  </mergeCells>
  <conditionalFormatting sqref="M5:M38">
    <cfRule type="cellIs" dxfId="653" priority="4" stopIfTrue="1" operator="lessThanOrEqual">
      <formula>$L5</formula>
    </cfRule>
    <cfRule type="cellIs" dxfId="652" priority="5" operator="greaterThan">
      <formula>L5</formula>
    </cfRule>
  </conditionalFormatting>
  <conditionalFormatting sqref="C5:C38">
    <cfRule type="duplicateValues" dxfId="651" priority="438"/>
  </conditionalFormatting>
  <pageMargins left="0.7" right="0.7" top="0.75" bottom="0.75" header="0.3" footer="0.3"/>
  <pageSetup paperSize="3" fitToHeight="0" orientation="landscape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419409E-4679-4F44-8A11-AB814D336327}">
          <x14:formula1>
            <xm:f>Purchased!$A:$A</xm:f>
          </x14:formula1>
          <xm:sqref>C5:C38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1A0627-4E30-4AC4-BE29-B1EA447519D7}">
  <sheetPr codeName="Sheet8">
    <tabColor theme="3" tint="0.39997558519241921"/>
    <pageSetUpPr fitToPage="1"/>
  </sheetPr>
  <dimension ref="A1:Q187"/>
  <sheetViews>
    <sheetView zoomScaleNormal="100" workbookViewId="0">
      <selection activeCell="B14" sqref="B14"/>
    </sheetView>
  </sheetViews>
  <sheetFormatPr defaultColWidth="9.140625" defaultRowHeight="15"/>
  <cols>
    <col min="1" max="1" width="5.7109375" customWidth="1"/>
    <col min="2" max="2" width="5.42578125" bestFit="1" customWidth="1"/>
    <col min="3" max="3" width="30.7109375" customWidth="1"/>
    <col min="4" max="5" width="20.7109375" style="23" customWidth="1"/>
    <col min="6" max="6" width="16.85546875" bestFit="1" customWidth="1"/>
    <col min="7" max="7" width="9.7109375" customWidth="1"/>
    <col min="8" max="8" width="8.7109375" customWidth="1"/>
    <col min="9" max="9" width="20.7109375" customWidth="1"/>
    <col min="10" max="13" width="11.7109375" style="19" customWidth="1"/>
    <col min="14" max="14" width="11.85546875" style="19" bestFit="1" customWidth="1"/>
    <col min="15" max="15" width="7.7109375" style="19" customWidth="1"/>
    <col min="16" max="16" width="10.7109375" style="90" customWidth="1"/>
    <col min="17" max="17" width="10.7109375" style="97" customWidth="1"/>
  </cols>
  <sheetData>
    <row r="1" spans="1:17" s="55" customFormat="1" ht="12" customHeight="1">
      <c r="A1" s="68" t="s">
        <v>0</v>
      </c>
      <c r="B1" s="69"/>
      <c r="C1" s="69"/>
      <c r="D1" s="262" t="s">
        <v>1</v>
      </c>
      <c r="E1" s="263"/>
      <c r="F1" s="70"/>
      <c r="G1" s="69"/>
      <c r="H1" s="70"/>
      <c r="I1" s="71"/>
      <c r="J1" s="72"/>
      <c r="K1" s="72"/>
      <c r="L1" s="72"/>
      <c r="M1" s="72"/>
      <c r="N1" s="72"/>
      <c r="O1" s="72"/>
      <c r="P1" s="85"/>
      <c r="Q1" s="91"/>
    </row>
    <row r="2" spans="1:17" s="55" customFormat="1" ht="12" customHeight="1">
      <c r="A2" s="74" t="s">
        <v>48</v>
      </c>
      <c r="B2" s="58"/>
      <c r="C2" s="57" t="e">
        <f ca="1">VLOOKUP(E3,Assemblies!B:F,4,0)</f>
        <v>#VALUE!</v>
      </c>
      <c r="D2" s="75" t="s">
        <v>3</v>
      </c>
      <c r="E2" s="76" t="e">
        <f ca="1">'GF12'!E2</f>
        <v>#VALUE!</v>
      </c>
      <c r="F2" s="77" t="s">
        <v>4</v>
      </c>
      <c r="G2" s="58" t="str">
        <f>'GF12'!G2</f>
        <v>GH</v>
      </c>
      <c r="H2" s="77" t="s">
        <v>6</v>
      </c>
      <c r="I2" s="59">
        <f>'GF12'!I2</f>
        <v>44775</v>
      </c>
      <c r="J2" s="39"/>
      <c r="K2" s="40" t="s">
        <v>49</v>
      </c>
      <c r="L2" s="41" t="e">
        <f ca="1">VLOOKUP(C2,Assemblies!E:G,3,0)</f>
        <v>#VALUE!</v>
      </c>
      <c r="M2" s="78"/>
      <c r="N2" s="78"/>
      <c r="O2" s="78"/>
      <c r="P2" s="86"/>
      <c r="Q2" s="92"/>
    </row>
    <row r="3" spans="1:17" s="55" customFormat="1" ht="12" customHeight="1" thickBot="1">
      <c r="A3" s="74" t="s">
        <v>7</v>
      </c>
      <c r="B3" s="58"/>
      <c r="C3" s="57" t="e">
        <f ca="1">VLOOKUP(E3,Assemblies!B:F,5,0)</f>
        <v>#VALUE!</v>
      </c>
      <c r="D3" s="75" t="s">
        <v>50</v>
      </c>
      <c r="E3" s="76" t="e">
        <f ca="1">MID(CELL("filename",A1),FIND("]",CELL("filename",A1))+1,256)</f>
        <v>#VALUE!</v>
      </c>
      <c r="F3" s="77" t="s">
        <v>11</v>
      </c>
      <c r="G3" s="58" t="str">
        <f>'GF12'!G3</f>
        <v>GH</v>
      </c>
      <c r="H3" s="77" t="s">
        <v>6</v>
      </c>
      <c r="I3" s="59">
        <f>'GF12'!I3</f>
        <v>44775</v>
      </c>
      <c r="J3" s="78"/>
      <c r="K3" s="78"/>
      <c r="L3" s="78"/>
      <c r="M3" s="78"/>
      <c r="N3" s="78"/>
      <c r="O3" s="78"/>
      <c r="P3" s="86"/>
      <c r="Q3" s="92"/>
    </row>
    <row r="4" spans="1:17" s="56" customFormat="1" ht="12.75" customHeight="1" thickBot="1">
      <c r="A4" s="80" t="s">
        <v>12</v>
      </c>
      <c r="B4" s="81" t="s">
        <v>13</v>
      </c>
      <c r="C4" s="81" t="s">
        <v>14</v>
      </c>
      <c r="D4" s="270" t="s">
        <v>15</v>
      </c>
      <c r="E4" s="271"/>
      <c r="F4" s="104" t="s">
        <v>16</v>
      </c>
      <c r="G4" s="81" t="s">
        <v>17</v>
      </c>
      <c r="H4" s="260" t="s">
        <v>18</v>
      </c>
      <c r="I4" s="261"/>
      <c r="J4" s="81" t="s">
        <v>51</v>
      </c>
      <c r="K4" s="81" t="s">
        <v>20</v>
      </c>
      <c r="L4" s="81" t="s">
        <v>21</v>
      </c>
      <c r="M4" s="81" t="s">
        <v>52</v>
      </c>
      <c r="N4" s="81" t="s">
        <v>22</v>
      </c>
      <c r="O4" s="81" t="s">
        <v>53</v>
      </c>
      <c r="P4" s="107" t="s">
        <v>26</v>
      </c>
      <c r="Q4" s="82" t="s">
        <v>27</v>
      </c>
    </row>
    <row r="5" spans="1:17" s="2" customFormat="1" ht="12.75" customHeight="1">
      <c r="A5" s="4">
        <v>301</v>
      </c>
      <c r="B5" s="2">
        <v>1</v>
      </c>
      <c r="C5" s="114" t="s">
        <v>169</v>
      </c>
      <c r="D5" s="268" t="str">
        <f>VLOOKUP(C5,Purchased!A:B,2,0)</f>
        <v>SMC SS5Y5 D SIDE END PLATE</v>
      </c>
      <c r="E5" s="269"/>
      <c r="F5" s="112" t="str">
        <f>VLOOKUP(C5,Purchased!A:Q,9,0)</f>
        <v>SMC</v>
      </c>
      <c r="G5" s="112" t="str">
        <f>VLOOKUP(C5,Purchased!A:Q,10,0)</f>
        <v>AAP</v>
      </c>
      <c r="H5" s="112" t="str">
        <f>VLOOKUP(C5,Purchased!A:Q,12,0)</f>
        <v xml:space="preserve">  </v>
      </c>
      <c r="I5" s="113"/>
      <c r="J5" s="44" t="str">
        <f>VLOOKUP(C5,Purchased!A:Q,13,0)</f>
        <v>N/A</v>
      </c>
      <c r="K5" s="44">
        <f>VLOOKUP(C5,Purchased!A:Q,14,0)</f>
        <v>45086</v>
      </c>
      <c r="L5" s="44">
        <f>VLOOKUP(C5,Purchased!A:Q,15,0)</f>
        <v>45103</v>
      </c>
      <c r="M5" s="44">
        <f>VLOOKUP(C5,Purchased!A:Q,16,0)</f>
        <v>45103</v>
      </c>
      <c r="N5" s="45">
        <f>VLOOKUP(C5,Purchased!A:Q,17,0)</f>
        <v>54926</v>
      </c>
      <c r="O5" s="45" t="e">
        <f t="shared" ref="O5:O25" ca="1" si="0">B5*$L$2</f>
        <v>#VALUE!</v>
      </c>
      <c r="P5" s="49">
        <f>IFERROR(VLOOKUP(C5,Purchased!A:E,3,FALSE),"")</f>
        <v>49.398800000000001</v>
      </c>
      <c r="Q5" s="50">
        <f t="shared" ref="Q5:Q25" si="1">IFERROR(B5*P5,"")</f>
        <v>49.398800000000001</v>
      </c>
    </row>
    <row r="6" spans="1:17" s="2" customFormat="1" ht="12" customHeight="1">
      <c r="A6" s="4">
        <f t="shared" ref="A6:A10" si="2">A5+1</f>
        <v>302</v>
      </c>
      <c r="B6" s="2">
        <v>11</v>
      </c>
      <c r="C6" s="114" t="s">
        <v>170</v>
      </c>
      <c r="D6" s="268" t="str">
        <f>VLOOKUP(C6,Purchased!A:B,2,0)</f>
        <v>SMC BLOCK ASSY</v>
      </c>
      <c r="E6" s="269"/>
      <c r="F6" s="112" t="str">
        <f>VLOOKUP(C6,Purchased!A:Q,9,0)</f>
        <v>SMC</v>
      </c>
      <c r="G6" s="112" t="str">
        <f>VLOOKUP(C6,Purchased!A:Q,10,0)</f>
        <v>AAP</v>
      </c>
      <c r="H6" s="112" t="str">
        <f>VLOOKUP(C6,Purchased!A:Q,12,0)</f>
        <v xml:space="preserve">  </v>
      </c>
      <c r="I6" s="113"/>
      <c r="J6" s="44" t="str">
        <f>VLOOKUP(C6,Purchased!A:Q,13,0)</f>
        <v>N/A</v>
      </c>
      <c r="K6" s="44">
        <f>VLOOKUP(C6,Purchased!A:Q,14,0)</f>
        <v>45086</v>
      </c>
      <c r="L6" s="44">
        <f>VLOOKUP(C6,Purchased!A:Q,15,0)</f>
        <v>45103</v>
      </c>
      <c r="M6" s="44">
        <f>VLOOKUP(C6,Purchased!A:Q,16,0)</f>
        <v>45103</v>
      </c>
      <c r="N6" s="45">
        <f>VLOOKUP(C6,Purchased!A:Q,17,0)</f>
        <v>54926</v>
      </c>
      <c r="O6" s="45" t="e">
        <f t="shared" ca="1" si="0"/>
        <v>#VALUE!</v>
      </c>
      <c r="P6" s="49">
        <f>IFERROR(VLOOKUP(C6,Purchased!A:E,3,FALSE),"")</f>
        <v>17.9833</v>
      </c>
      <c r="Q6" s="50">
        <f t="shared" si="1"/>
        <v>197.81630000000001</v>
      </c>
    </row>
    <row r="7" spans="1:17" s="2" customFormat="1" ht="12" customHeight="1">
      <c r="A7" s="4">
        <f t="shared" si="2"/>
        <v>303</v>
      </c>
      <c r="B7" s="2">
        <v>7</v>
      </c>
      <c r="C7" s="114" t="s">
        <v>171</v>
      </c>
      <c r="D7" s="268" t="str">
        <f>VLOOKUP(C7,Purchased!A:B,2,0)</f>
        <v>SMC VALVE, 5 PORT SOLENOID</v>
      </c>
      <c r="E7" s="269"/>
      <c r="F7" s="112" t="str">
        <f>VLOOKUP(C7,Purchased!A:Q,9,0)</f>
        <v>SMC</v>
      </c>
      <c r="G7" s="112" t="str">
        <f>VLOOKUP(C7,Purchased!A:Q,10,0)</f>
        <v>AAP, OC PNEUMATICS</v>
      </c>
      <c r="H7" s="112" t="str">
        <f>VLOOKUP(C7,Purchased!A:Q,12,0)</f>
        <v xml:space="preserve"> </v>
      </c>
      <c r="I7" s="113"/>
      <c r="J7" s="44" t="str">
        <f>VLOOKUP(C7,Purchased!A:Q,13,0)</f>
        <v>N/A</v>
      </c>
      <c r="K7" s="44">
        <f>VLOOKUP(C7,Purchased!A:Q,14,0)</f>
        <v>45086</v>
      </c>
      <c r="L7" s="44">
        <f>VLOOKUP(C7,Purchased!A:Q,15,0)</f>
        <v>45103</v>
      </c>
      <c r="M7" s="44">
        <f>VLOOKUP(C7,Purchased!A:Q,16,0)</f>
        <v>45103</v>
      </c>
      <c r="N7" s="45" t="str">
        <f>VLOOKUP(C7,Purchased!A:Q,17,0)</f>
        <v>10x54926, 4x55223</v>
      </c>
      <c r="O7" s="45" t="e">
        <f t="shared" ca="1" si="0"/>
        <v>#VALUE!</v>
      </c>
      <c r="P7" s="49">
        <f>IFERROR(VLOOKUP(C7,Purchased!A:E,3,FALSE),"")</f>
        <v>89.391000000000005</v>
      </c>
      <c r="Q7" s="50">
        <f t="shared" si="1"/>
        <v>625.73700000000008</v>
      </c>
    </row>
    <row r="8" spans="1:17" s="2" customFormat="1" ht="12" customHeight="1">
      <c r="A8" s="4">
        <f t="shared" si="2"/>
        <v>304</v>
      </c>
      <c r="B8" s="2">
        <v>2</v>
      </c>
      <c r="C8" s="114" t="s">
        <v>172</v>
      </c>
      <c r="D8" s="268" t="str">
        <f>VLOOKUP(C8,Purchased!A:B,2,0)</f>
        <v>SMC Valve, 5 Port Solenoid</v>
      </c>
      <c r="E8" s="269"/>
      <c r="F8" s="112" t="str">
        <f>VLOOKUP(C8,Purchased!A:Q,9,0)</f>
        <v>SMC</v>
      </c>
      <c r="G8" s="112" t="str">
        <f>VLOOKUP(C8,Purchased!A:Q,10,0)</f>
        <v>AAP</v>
      </c>
      <c r="H8" s="112" t="str">
        <f>VLOOKUP(C8,Purchased!A:Q,12,0)</f>
        <v xml:space="preserve"> </v>
      </c>
      <c r="I8" s="113"/>
      <c r="J8" s="44" t="str">
        <f>VLOOKUP(C8,Purchased!A:Q,13,0)</f>
        <v>N/A</v>
      </c>
      <c r="K8" s="44">
        <f>VLOOKUP(C8,Purchased!A:Q,14,0)</f>
        <v>45086</v>
      </c>
      <c r="L8" s="44">
        <f>VLOOKUP(C8,Purchased!A:Q,15,0)</f>
        <v>45103</v>
      </c>
      <c r="M8" s="44">
        <f>VLOOKUP(C8,Purchased!A:Q,16,0)</f>
        <v>45103</v>
      </c>
      <c r="N8" s="45">
        <f>VLOOKUP(C8,Purchased!A:Q,17,0)</f>
        <v>54926</v>
      </c>
      <c r="O8" s="45" t="e">
        <f t="shared" ca="1" si="0"/>
        <v>#VALUE!</v>
      </c>
      <c r="P8" s="49">
        <f>IFERROR(VLOOKUP(C8,Purchased!A:E,3,FALSE),"")</f>
        <v>83.1798</v>
      </c>
      <c r="Q8" s="50">
        <f t="shared" si="1"/>
        <v>166.3596</v>
      </c>
    </row>
    <row r="9" spans="1:17" s="2" customFormat="1" ht="12" customHeight="1">
      <c r="A9" s="4">
        <f t="shared" si="2"/>
        <v>305</v>
      </c>
      <c r="B9" s="2">
        <v>2</v>
      </c>
      <c r="C9" s="114" t="s">
        <v>200</v>
      </c>
      <c r="D9" s="268" t="str">
        <f>VLOOKUP(C9,Purchased!A:B,2,0)</f>
        <v>SMC Valve, 5 Port Solenoid</v>
      </c>
      <c r="E9" s="269"/>
      <c r="F9" s="112" t="str">
        <f>VLOOKUP(C9,Purchased!A:Q,9,0)</f>
        <v>SMC</v>
      </c>
      <c r="G9" s="112" t="str">
        <f>VLOOKUP(C9,Purchased!A:Q,10,0)</f>
        <v>AAP</v>
      </c>
      <c r="H9" s="112" t="str">
        <f>VLOOKUP(C9,Purchased!A:Q,12,0)</f>
        <v xml:space="preserve"> </v>
      </c>
      <c r="I9" s="113"/>
      <c r="J9" s="44" t="str">
        <f>VLOOKUP(C9,Purchased!A:Q,13,0)</f>
        <v>N/A</v>
      </c>
      <c r="K9" s="44">
        <f>VLOOKUP(C9,Purchased!A:Q,14,0)</f>
        <v>45086</v>
      </c>
      <c r="L9" s="44">
        <f>VLOOKUP(C9,Purchased!A:Q,15,0)</f>
        <v>45103</v>
      </c>
      <c r="M9" s="44">
        <f>VLOOKUP(C9,Purchased!A:Q,16,0)</f>
        <v>45103</v>
      </c>
      <c r="N9" s="45">
        <f>VLOOKUP(C9,Purchased!A:Q,17,0)</f>
        <v>54926</v>
      </c>
      <c r="O9" s="45" t="e">
        <f t="shared" ca="1" si="0"/>
        <v>#VALUE!</v>
      </c>
      <c r="P9" s="49">
        <f>IFERROR(VLOOKUP(C9,Purchased!A:E,3,FALSE),"")</f>
        <v>53.659500000000001</v>
      </c>
      <c r="Q9" s="50">
        <f t="shared" si="1"/>
        <v>107.319</v>
      </c>
    </row>
    <row r="10" spans="1:17" s="2" customFormat="1" ht="12" customHeight="1">
      <c r="A10" s="4">
        <f t="shared" si="2"/>
        <v>306</v>
      </c>
      <c r="C10" s="114"/>
      <c r="D10" s="268"/>
      <c r="E10" s="269"/>
      <c r="F10" s="112"/>
      <c r="G10" s="112"/>
      <c r="H10" s="112"/>
      <c r="I10" s="113"/>
      <c r="J10" s="44"/>
      <c r="K10" s="44"/>
      <c r="L10" s="44"/>
      <c r="M10" s="44"/>
      <c r="N10" s="45"/>
      <c r="O10" s="45"/>
      <c r="P10" s="49"/>
      <c r="Q10" s="50"/>
    </row>
    <row r="11" spans="1:17" s="2" customFormat="1" ht="12" customHeight="1">
      <c r="A11" s="4">
        <f t="shared" ref="A11:A32" si="3">A10+1</f>
        <v>307</v>
      </c>
      <c r="B11" s="2">
        <v>3</v>
      </c>
      <c r="C11" s="114" t="s">
        <v>174</v>
      </c>
      <c r="D11" s="268" t="str">
        <f>VLOOKUP(C11,Purchased!A:B,2,0)</f>
        <v>SMC TIE ROD</v>
      </c>
      <c r="E11" s="269"/>
      <c r="F11" s="112" t="str">
        <f>VLOOKUP(C11,Purchased!A:Q,9,0)</f>
        <v>SMC</v>
      </c>
      <c r="G11" s="112" t="str">
        <f>VLOOKUP(C11,Purchased!A:Q,10,0)</f>
        <v>AAP</v>
      </c>
      <c r="H11" s="112" t="str">
        <f>VLOOKUP(C11,Purchased!A:Q,12,0)</f>
        <v xml:space="preserve"> </v>
      </c>
      <c r="I11" s="113"/>
      <c r="J11" s="44" t="str">
        <f>VLOOKUP(C11,Purchased!A:Q,13,0)</f>
        <v>N/A</v>
      </c>
      <c r="K11" s="44">
        <f>VLOOKUP(C11,Purchased!A:Q,14,0)</f>
        <v>45086</v>
      </c>
      <c r="L11" s="44">
        <f>VLOOKUP(C11,Purchased!A:Q,15,0)</f>
        <v>45103</v>
      </c>
      <c r="M11" s="44">
        <f>VLOOKUP(C11,Purchased!A:Q,16,0)</f>
        <v>45103</v>
      </c>
      <c r="N11" s="45">
        <f>VLOOKUP(C11,Purchased!A:Q,17,0)</f>
        <v>54926</v>
      </c>
      <c r="O11" s="45" t="e">
        <f t="shared" ca="1" si="0"/>
        <v>#VALUE!</v>
      </c>
      <c r="P11" s="49">
        <f>IFERROR(VLOOKUP(C11,Purchased!A:E,3,FALSE),"")</f>
        <v>5.4641999999999999</v>
      </c>
      <c r="Q11" s="50">
        <f t="shared" si="1"/>
        <v>16.392600000000002</v>
      </c>
    </row>
    <row r="12" spans="1:17" s="2" customFormat="1" ht="12" customHeight="1">
      <c r="A12" s="4">
        <f t="shared" si="3"/>
        <v>308</v>
      </c>
      <c r="B12" s="2">
        <v>2</v>
      </c>
      <c r="C12" s="114" t="s">
        <v>175</v>
      </c>
      <c r="D12" s="268" t="str">
        <f>VLOOKUP(C12,Purchased!A:B,2,0)</f>
        <v>SMC FITTING ASSY</v>
      </c>
      <c r="E12" s="269"/>
      <c r="F12" s="112" t="str">
        <f>VLOOKUP(C12,Purchased!A:Q,9,0)</f>
        <v>SMC</v>
      </c>
      <c r="G12" s="112" t="str">
        <f>VLOOKUP(C12,Purchased!A:Q,10,0)</f>
        <v>AAP</v>
      </c>
      <c r="H12" s="112" t="str">
        <f>VLOOKUP(C12,Purchased!A:Q,12,0)</f>
        <v xml:space="preserve"> </v>
      </c>
      <c r="I12" s="113"/>
      <c r="J12" s="44" t="str">
        <f>VLOOKUP(C12,Purchased!A:Q,13,0)</f>
        <v>N/A</v>
      </c>
      <c r="K12" s="44">
        <f>VLOOKUP(C12,Purchased!A:Q,14,0)</f>
        <v>45086</v>
      </c>
      <c r="L12" s="44">
        <f>VLOOKUP(C12,Purchased!A:Q,15,0)</f>
        <v>45103</v>
      </c>
      <c r="M12" s="44">
        <f>VLOOKUP(C12,Purchased!A:Q,16,0)</f>
        <v>45103</v>
      </c>
      <c r="N12" s="45">
        <f>VLOOKUP(C12,Purchased!A:Q,17,0)</f>
        <v>54926</v>
      </c>
      <c r="O12" s="45" t="e">
        <f t="shared" ca="1" si="0"/>
        <v>#VALUE!</v>
      </c>
      <c r="P12" s="49">
        <f>IFERROR(VLOOKUP(C12,Purchased!A:E,3,FALSE),"")</f>
        <v>3.3892000000000002</v>
      </c>
      <c r="Q12" s="50">
        <f t="shared" si="1"/>
        <v>6.7784000000000004</v>
      </c>
    </row>
    <row r="13" spans="1:17" s="2" customFormat="1" ht="12" customHeight="1">
      <c r="A13" s="4">
        <f t="shared" si="3"/>
        <v>309</v>
      </c>
      <c r="B13" s="2">
        <v>1</v>
      </c>
      <c r="C13" s="114" t="s">
        <v>176</v>
      </c>
      <c r="D13" s="268" t="str">
        <f>VLOOKUP(C13,Purchased!A:B,2,0)</f>
        <v>SMC SS5Y5 U SIDE END PLATE</v>
      </c>
      <c r="E13" s="269"/>
      <c r="F13" s="112" t="str">
        <f>VLOOKUP(C13,Purchased!A:Q,9,0)</f>
        <v>SMC</v>
      </c>
      <c r="G13" s="112" t="str">
        <f>VLOOKUP(C13,Purchased!A:Q,10,0)</f>
        <v>AAP</v>
      </c>
      <c r="H13" s="112" t="str">
        <f>VLOOKUP(C13,Purchased!A:Q,12,0)</f>
        <v xml:space="preserve"> </v>
      </c>
      <c r="I13" s="113"/>
      <c r="J13" s="44" t="str">
        <f>VLOOKUP(C13,Purchased!A:Q,13,0)</f>
        <v>N/A</v>
      </c>
      <c r="K13" s="44">
        <f>VLOOKUP(C13,Purchased!A:Q,14,0)</f>
        <v>45086</v>
      </c>
      <c r="L13" s="44">
        <f>VLOOKUP(C13,Purchased!A:Q,15,0)</f>
        <v>45103</v>
      </c>
      <c r="M13" s="44">
        <f>VLOOKUP(C13,Purchased!A:Q,16,0)</f>
        <v>45103</v>
      </c>
      <c r="N13" s="45">
        <f>VLOOKUP(C13,Purchased!A:Q,17,0)</f>
        <v>54926</v>
      </c>
      <c r="O13" s="45" t="e">
        <f t="shared" ca="1" si="0"/>
        <v>#VALUE!</v>
      </c>
      <c r="P13" s="49">
        <f>IFERROR(VLOOKUP(C13,Purchased!A:E,3,FALSE),"")</f>
        <v>33.116999999999997</v>
      </c>
      <c r="Q13" s="50">
        <f t="shared" si="1"/>
        <v>33.116999999999997</v>
      </c>
    </row>
    <row r="14" spans="1:17" s="2" customFormat="1" ht="12" customHeight="1">
      <c r="A14" s="4">
        <f t="shared" si="3"/>
        <v>310</v>
      </c>
      <c r="B14" s="2">
        <v>2</v>
      </c>
      <c r="C14" s="114" t="s">
        <v>177</v>
      </c>
      <c r="D14" s="268" t="str">
        <f>VLOOKUP(C14,Purchased!A:B,2,0)</f>
        <v>SMC COVER ASSY</v>
      </c>
      <c r="E14" s="269"/>
      <c r="F14" s="112" t="str">
        <f>VLOOKUP(C14,Purchased!A:Q,9,0)</f>
        <v>SMC</v>
      </c>
      <c r="G14" s="112" t="str">
        <f>VLOOKUP(C14,Purchased!A:Q,10,0)</f>
        <v>AAP</v>
      </c>
      <c r="H14" s="112" t="str">
        <f>VLOOKUP(C14,Purchased!A:Q,12,0)</f>
        <v xml:space="preserve"> </v>
      </c>
      <c r="I14" s="113"/>
      <c r="J14" s="44" t="str">
        <f>VLOOKUP(C14,Purchased!A:Q,13,0)</f>
        <v>N/A</v>
      </c>
      <c r="K14" s="44">
        <f>VLOOKUP(C14,Purchased!A:Q,14,0)</f>
        <v>45086</v>
      </c>
      <c r="L14" s="44">
        <f>VLOOKUP(C14,Purchased!A:Q,15,0)</f>
        <v>45103</v>
      </c>
      <c r="M14" s="44">
        <f>VLOOKUP(C14,Purchased!A:Q,16,0)</f>
        <v>45103</v>
      </c>
      <c r="N14" s="45" t="str">
        <f>VLOOKUP(C14,Purchased!A:Q,17,0)</f>
        <v>4x54926, 5x55260</v>
      </c>
      <c r="O14" s="45" t="e">
        <f t="shared" ca="1" si="0"/>
        <v>#VALUE!</v>
      </c>
      <c r="P14" s="49">
        <f>IFERROR(VLOOKUP(C14,Purchased!A:E,3,FALSE),"")</f>
        <v>1.7153</v>
      </c>
      <c r="Q14" s="50">
        <f t="shared" si="1"/>
        <v>3.4306000000000001</v>
      </c>
    </row>
    <row r="15" spans="1:17" s="2" customFormat="1" ht="12" customHeight="1">
      <c r="A15" s="4">
        <f t="shared" si="3"/>
        <v>311</v>
      </c>
      <c r="B15" s="2">
        <v>2</v>
      </c>
      <c r="C15" s="114" t="s">
        <v>178</v>
      </c>
      <c r="D15" s="268" t="str">
        <f>VLOOKUP(C15,Purchased!A:B,2,0)</f>
        <v>Saginaw ELJ Trough Window Enclosure, 9H X 30W X 8D, RAL5005 Blue</v>
      </c>
      <c r="E15" s="269"/>
      <c r="F15" s="112" t="str">
        <f>VLOOKUP(C15,Purchased!A:Q,9,0)</f>
        <v>SAGINAW</v>
      </c>
      <c r="G15" s="112" t="str">
        <f>VLOOKUP(C15,Purchased!A:Q,10,0)</f>
        <v>SAGINAW</v>
      </c>
      <c r="H15" s="112" t="str">
        <f>VLOOKUP(C15,Purchased!A:Q,12,0)</f>
        <v xml:space="preserve"> </v>
      </c>
      <c r="I15" s="113"/>
      <c r="J15" s="44" t="str">
        <f>VLOOKUP(C15,Purchased!A:Q,13,0)</f>
        <v>N/A</v>
      </c>
      <c r="K15" s="44">
        <f>VLOOKUP(C15,Purchased!A:Q,14,0)</f>
        <v>45013</v>
      </c>
      <c r="L15" s="44">
        <f>VLOOKUP(C15,Purchased!A:Q,15,0)</f>
        <v>45043</v>
      </c>
      <c r="M15" s="44">
        <f>VLOOKUP(C15,Purchased!A:Q,16,0)</f>
        <v>45043</v>
      </c>
      <c r="N15" s="45">
        <f>VLOOKUP(C15,Purchased!A:Q,17,0)</f>
        <v>54828</v>
      </c>
      <c r="O15" s="45" t="e">
        <f t="shared" ca="1" si="0"/>
        <v>#VALUE!</v>
      </c>
      <c r="P15" s="49">
        <f>IFERROR(VLOOKUP(C15,Purchased!A:E,3,FALSE),"")</f>
        <v>242.83</v>
      </c>
      <c r="Q15" s="50">
        <f t="shared" si="1"/>
        <v>485.66</v>
      </c>
    </row>
    <row r="16" spans="1:17" s="2" customFormat="1" ht="12" customHeight="1">
      <c r="A16" s="4">
        <f t="shared" si="3"/>
        <v>312</v>
      </c>
      <c r="B16" s="2">
        <v>2</v>
      </c>
      <c r="C16" s="114" t="s">
        <v>179</v>
      </c>
      <c r="D16" s="268" t="str">
        <f>VLOOKUP(C16,Purchased!A:B,2,0)</f>
        <v>Saginaw Subpanel, ELJ Trough Galvanized, 8H X 29W X 0.08D</v>
      </c>
      <c r="E16" s="269"/>
      <c r="F16" s="112" t="str">
        <f>VLOOKUP(C16,Purchased!A:Q,9,0)</f>
        <v>SAGINAW</v>
      </c>
      <c r="G16" s="112" t="str">
        <f>VLOOKUP(C16,Purchased!A:Q,10,0)</f>
        <v>SAGINAW</v>
      </c>
      <c r="H16" s="112" t="str">
        <f>VLOOKUP(C16,Purchased!A:Q,12,0)</f>
        <v xml:space="preserve"> </v>
      </c>
      <c r="I16" s="113"/>
      <c r="J16" s="44" t="str">
        <f>VLOOKUP(C16,Purchased!A:Q,13,0)</f>
        <v>N/A</v>
      </c>
      <c r="K16" s="44">
        <f>VLOOKUP(C16,Purchased!A:Q,14,0)</f>
        <v>45013</v>
      </c>
      <c r="L16" s="44">
        <f>VLOOKUP(C16,Purchased!A:Q,15,0)</f>
        <v>45043</v>
      </c>
      <c r="M16" s="44">
        <f>VLOOKUP(C16,Purchased!A:Q,16,0)</f>
        <v>45043</v>
      </c>
      <c r="N16" s="45">
        <f>VLOOKUP(C16,Purchased!A:Q,17,0)</f>
        <v>54829</v>
      </c>
      <c r="O16" s="45" t="e">
        <f t="shared" ca="1" si="0"/>
        <v>#VALUE!</v>
      </c>
      <c r="P16" s="49">
        <f>IFERROR(VLOOKUP(C16,Purchased!A:E,3,FALSE),"")</f>
        <v>30.63</v>
      </c>
      <c r="Q16" s="50">
        <f t="shared" si="1"/>
        <v>61.26</v>
      </c>
    </row>
    <row r="17" spans="1:17" s="2" customFormat="1" ht="12" customHeight="1">
      <c r="A17" s="4">
        <f t="shared" si="3"/>
        <v>313</v>
      </c>
      <c r="B17" s="2">
        <v>1</v>
      </c>
      <c r="C17" s="114" t="s">
        <v>140</v>
      </c>
      <c r="D17" s="268" t="str">
        <f>VLOOKUP(C17,Purchased!A:B,2,0)</f>
        <v>Autonics E/IP Bus Coupler</v>
      </c>
      <c r="E17" s="269"/>
      <c r="F17" s="112" t="str">
        <f>VLOOKUP(C17,Purchased!A:Q,9,0)</f>
        <v>Autonics</v>
      </c>
      <c r="G17" s="112" t="str">
        <f>VLOOKUP(C17,Purchased!A:Q,10,0)</f>
        <v>ProAuto</v>
      </c>
      <c r="H17" s="112" t="str">
        <f>VLOOKUP(C17,Purchased!A:Q,12,0)</f>
        <v xml:space="preserve"> </v>
      </c>
      <c r="I17" s="113"/>
      <c r="J17" s="44" t="str">
        <f>VLOOKUP(C17,Purchased!A:Q,13,0)</f>
        <v>N/A</v>
      </c>
      <c r="K17" s="44">
        <f>VLOOKUP(C17,Purchased!A:Q,14,0)</f>
        <v>45007</v>
      </c>
      <c r="L17" s="44">
        <f>VLOOKUP(C17,Purchased!A:Q,15,0)</f>
        <v>45037</v>
      </c>
      <c r="M17" s="44">
        <f>VLOOKUP(C17,Purchased!A:Q,16,0)</f>
        <v>45037</v>
      </c>
      <c r="N17" s="45">
        <f>VLOOKUP(C17,Purchased!A:Q,17,0)</f>
        <v>54818</v>
      </c>
      <c r="O17" s="45" t="e">
        <f t="shared" ca="1" si="0"/>
        <v>#VALUE!</v>
      </c>
      <c r="P17" s="49">
        <f>IFERROR(VLOOKUP(C17,Purchased!A:E,3,FALSE),"")</f>
        <v>414.17</v>
      </c>
      <c r="Q17" s="50">
        <f t="shared" si="1"/>
        <v>414.17</v>
      </c>
    </row>
    <row r="18" spans="1:17" s="2" customFormat="1" ht="12" customHeight="1">
      <c r="A18" s="4">
        <f t="shared" si="3"/>
        <v>314</v>
      </c>
      <c r="B18" s="2">
        <v>3</v>
      </c>
      <c r="C18" s="114" t="s">
        <v>141</v>
      </c>
      <c r="D18" s="268" t="str">
        <f>VLOOKUP(C18,Purchased!A:B,2,0)</f>
        <v>Autonics 8-channel digital input</v>
      </c>
      <c r="E18" s="269"/>
      <c r="F18" s="112" t="str">
        <f>VLOOKUP(C18,Purchased!A:Q,9,0)</f>
        <v>Autonics</v>
      </c>
      <c r="G18" s="112" t="str">
        <f>VLOOKUP(C18,Purchased!A:Q,10,0)</f>
        <v>ProAuto</v>
      </c>
      <c r="H18" s="112" t="str">
        <f>VLOOKUP(C18,Purchased!A:Q,12,0)</f>
        <v xml:space="preserve"> </v>
      </c>
      <c r="I18" s="113"/>
      <c r="J18" s="44" t="str">
        <f>VLOOKUP(C18,Purchased!A:Q,13,0)</f>
        <v>N/A</v>
      </c>
      <c r="K18" s="44">
        <f>VLOOKUP(C18,Purchased!A:Q,14,0)</f>
        <v>45007</v>
      </c>
      <c r="L18" s="44">
        <f>VLOOKUP(C18,Purchased!A:Q,15,0)</f>
        <v>45037</v>
      </c>
      <c r="M18" s="44">
        <f>VLOOKUP(C18,Purchased!A:Q,16,0)</f>
        <v>45037</v>
      </c>
      <c r="N18" s="45">
        <f>VLOOKUP(C18,Purchased!A:Q,17,0)</f>
        <v>54818</v>
      </c>
      <c r="O18" s="45" t="e">
        <f t="shared" ca="1" si="0"/>
        <v>#VALUE!</v>
      </c>
      <c r="P18" s="49">
        <f>IFERROR(VLOOKUP(C18,Purchased!A:E,3,FALSE),"")</f>
        <v>85</v>
      </c>
      <c r="Q18" s="50">
        <f t="shared" si="1"/>
        <v>255</v>
      </c>
    </row>
    <row r="19" spans="1:17" s="2" customFormat="1" ht="12" customHeight="1">
      <c r="A19" s="4">
        <f t="shared" si="3"/>
        <v>315</v>
      </c>
      <c r="B19" s="2">
        <v>3</v>
      </c>
      <c r="C19" s="114" t="s">
        <v>142</v>
      </c>
      <c r="D19" s="268" t="str">
        <f>VLOOKUP(C19,Purchased!A:B,2,0)</f>
        <v>Autonics 8-channel digital output</v>
      </c>
      <c r="E19" s="269"/>
      <c r="F19" s="112" t="str">
        <f>VLOOKUP(C19,Purchased!A:Q,9,0)</f>
        <v>Autonics</v>
      </c>
      <c r="G19" s="112" t="str">
        <f>VLOOKUP(C19,Purchased!A:Q,10,0)</f>
        <v>ProAuto</v>
      </c>
      <c r="H19" s="112" t="str">
        <f>VLOOKUP(C19,Purchased!A:Q,12,0)</f>
        <v xml:space="preserve"> </v>
      </c>
      <c r="I19" s="113"/>
      <c r="J19" s="44" t="str">
        <f>VLOOKUP(C19,Purchased!A:Q,13,0)</f>
        <v>N/A</v>
      </c>
      <c r="K19" s="44">
        <f>VLOOKUP(C19,Purchased!A:Q,14,0)</f>
        <v>45007</v>
      </c>
      <c r="L19" s="44">
        <f>VLOOKUP(C19,Purchased!A:Q,15,0)</f>
        <v>45037</v>
      </c>
      <c r="M19" s="44">
        <f>VLOOKUP(C19,Purchased!A:Q,16,0)</f>
        <v>45037</v>
      </c>
      <c r="N19" s="45">
        <f>VLOOKUP(C19,Purchased!A:Q,17,0)</f>
        <v>54818</v>
      </c>
      <c r="O19" s="45" t="e">
        <f t="shared" ca="1" si="0"/>
        <v>#VALUE!</v>
      </c>
      <c r="P19" s="49">
        <f>IFERROR(VLOOKUP(C19,Purchased!A:E,3,FALSE),"")</f>
        <v>110.83</v>
      </c>
      <c r="Q19" s="50">
        <f t="shared" si="1"/>
        <v>332.49</v>
      </c>
    </row>
    <row r="20" spans="1:17" s="2" customFormat="1" ht="12" customHeight="1">
      <c r="A20" s="4">
        <f t="shared" si="3"/>
        <v>316</v>
      </c>
      <c r="B20" s="2">
        <v>4</v>
      </c>
      <c r="C20" s="114">
        <v>3208208</v>
      </c>
      <c r="D20" s="268" t="str">
        <f>VLOOKUP(C20,Purchased!A:B,2,0)</f>
        <v>Four-conductor terminal block, PT 1,5/S-QUATTRO BU</v>
      </c>
      <c r="E20" s="269"/>
      <c r="F20" s="112" t="str">
        <f>VLOOKUP(C20,Purchased!A:Q,9,0)</f>
        <v>PHOENIX CONTACT</v>
      </c>
      <c r="G20" s="112" t="str">
        <f>VLOOKUP(C20,Purchased!A:Q,10,0)</f>
        <v>CRAVE</v>
      </c>
      <c r="H20" s="112">
        <f>VLOOKUP(C20,Purchased!A:Q,12,0)</f>
        <v>0</v>
      </c>
      <c r="I20" s="113"/>
      <c r="J20" s="44">
        <f>VLOOKUP(C20,Purchased!A:Q,13,0)</f>
        <v>0</v>
      </c>
      <c r="K20" s="44">
        <f>VLOOKUP(C20,Purchased!A:Q,14,0)</f>
        <v>0</v>
      </c>
      <c r="L20" s="44">
        <f>VLOOKUP(C20,Purchased!A:Q,15,0)</f>
        <v>0</v>
      </c>
      <c r="M20" s="44">
        <f>VLOOKUP(C20,Purchased!A:Q,16,0)</f>
        <v>0</v>
      </c>
      <c r="N20" s="45">
        <f>VLOOKUP(C20,Purchased!A:Q,17,0)</f>
        <v>0</v>
      </c>
      <c r="O20" s="45" t="e">
        <f t="shared" ca="1" si="0"/>
        <v>#VALUE!</v>
      </c>
      <c r="P20" s="49">
        <f>IFERROR(VLOOKUP(C20,Purchased!A:E,3,FALSE),"")</f>
        <v>0</v>
      </c>
      <c r="Q20" s="50">
        <f t="shared" si="1"/>
        <v>0</v>
      </c>
    </row>
    <row r="21" spans="1:17" s="2" customFormat="1" ht="12" customHeight="1">
      <c r="A21" s="4">
        <f t="shared" si="3"/>
        <v>317</v>
      </c>
      <c r="B21" s="2">
        <v>1</v>
      </c>
      <c r="C21" s="114">
        <v>3211797</v>
      </c>
      <c r="D21" s="268" t="str">
        <f>VLOOKUP(C21,Purchased!A:B,2,0)</f>
        <v>PT 4-QUATTRO; Feed-through terminal block, 32A, 24..10AWG, GY</v>
      </c>
      <c r="E21" s="269"/>
      <c r="F21" s="112" t="str">
        <f>VLOOKUP(C21,Purchased!A:Q,9,0)</f>
        <v>PHOENIX CONTACT</v>
      </c>
      <c r="G21" s="112" t="str">
        <f>VLOOKUP(C21,Purchased!A:Q,10,0)</f>
        <v>CRAVE</v>
      </c>
      <c r="H21" s="112">
        <f>VLOOKUP(C21,Purchased!A:Q,12,0)</f>
        <v>0</v>
      </c>
      <c r="I21" s="113"/>
      <c r="J21" s="44">
        <f>VLOOKUP(C21,Purchased!A:Q,13,0)</f>
        <v>0</v>
      </c>
      <c r="K21" s="44">
        <f>VLOOKUP(C21,Purchased!A:Q,14,0)</f>
        <v>0</v>
      </c>
      <c r="L21" s="44">
        <f>VLOOKUP(C21,Purchased!A:Q,15,0)</f>
        <v>0</v>
      </c>
      <c r="M21" s="44">
        <f>VLOOKUP(C21,Purchased!A:Q,16,0)</f>
        <v>0</v>
      </c>
      <c r="N21" s="45">
        <f>VLOOKUP(C21,Purchased!A:Q,17,0)</f>
        <v>0</v>
      </c>
      <c r="O21" s="45" t="e">
        <f t="shared" ca="1" si="0"/>
        <v>#VALUE!</v>
      </c>
      <c r="P21" s="49">
        <f>IFERROR(VLOOKUP(C21,Purchased!A:E,3,FALSE),"")</f>
        <v>0</v>
      </c>
      <c r="Q21" s="50">
        <f t="shared" si="1"/>
        <v>0</v>
      </c>
    </row>
    <row r="22" spans="1:17" s="2" customFormat="1" ht="12" customHeight="1">
      <c r="A22" s="4">
        <f t="shared" si="3"/>
        <v>318</v>
      </c>
      <c r="B22" s="2">
        <v>2</v>
      </c>
      <c r="C22" s="114">
        <v>3270145</v>
      </c>
      <c r="D22" s="268" t="str">
        <f>VLOOKUP(C22,Purchased!A:B,2,0)</f>
        <v>Potential distributors - PTRV 8-PV /BU, 32 POSITION, 26-14AWG, 10A</v>
      </c>
      <c r="E22" s="269"/>
      <c r="F22" s="112" t="str">
        <f>VLOOKUP(C22,Purchased!A:Q,9,0)</f>
        <v>PHOENIX CONTACT</v>
      </c>
      <c r="G22" s="112" t="str">
        <f>VLOOKUP(C22,Purchased!A:Q,10,0)</f>
        <v>CRAVE</v>
      </c>
      <c r="H22" s="112">
        <f>VLOOKUP(C22,Purchased!A:Q,12,0)</f>
        <v>0</v>
      </c>
      <c r="I22" s="113"/>
      <c r="J22" s="44">
        <f>VLOOKUP(C22,Purchased!A:Q,13,0)</f>
        <v>0</v>
      </c>
      <c r="K22" s="44">
        <f>VLOOKUP(C22,Purchased!A:Q,14,0)</f>
        <v>0</v>
      </c>
      <c r="L22" s="44">
        <f>VLOOKUP(C22,Purchased!A:Q,15,0)</f>
        <v>0</v>
      </c>
      <c r="M22" s="44">
        <f>VLOOKUP(C22,Purchased!A:Q,16,0)</f>
        <v>0</v>
      </c>
      <c r="N22" s="45">
        <f>VLOOKUP(C22,Purchased!A:Q,17,0)</f>
        <v>0</v>
      </c>
      <c r="O22" s="45" t="e">
        <f t="shared" ca="1" si="0"/>
        <v>#VALUE!</v>
      </c>
      <c r="P22" s="49">
        <f>IFERROR(VLOOKUP(C22,Purchased!A:E,3,FALSE),"")</f>
        <v>0</v>
      </c>
      <c r="Q22" s="50">
        <f t="shared" si="1"/>
        <v>0</v>
      </c>
    </row>
    <row r="23" spans="1:17" s="2" customFormat="1" ht="12" customHeight="1">
      <c r="A23" s="4">
        <f t="shared" si="3"/>
        <v>319</v>
      </c>
      <c r="B23" s="2">
        <v>1</v>
      </c>
      <c r="C23" s="114" t="s">
        <v>143</v>
      </c>
      <c r="D23" s="268" t="str">
        <f>VLOOKUP(C23,Purchased!A:B,2,0)</f>
        <v>Autonics I/O Power Module</v>
      </c>
      <c r="E23" s="269"/>
      <c r="F23" s="112" t="str">
        <f>VLOOKUP(C23,Purchased!A:Q,9,0)</f>
        <v>Autonics</v>
      </c>
      <c r="G23" s="112" t="str">
        <f>VLOOKUP(C23,Purchased!A:Q,10,0)</f>
        <v>ProAuto</v>
      </c>
      <c r="H23" s="112" t="str">
        <f>VLOOKUP(C23,Purchased!A:Q,12,0)</f>
        <v xml:space="preserve"> </v>
      </c>
      <c r="I23" s="113"/>
      <c r="J23" s="44" t="str">
        <f>VLOOKUP(C23,Purchased!A:Q,13,0)</f>
        <v>N/A</v>
      </c>
      <c r="K23" s="44">
        <f>VLOOKUP(C23,Purchased!A:Q,14,0)</f>
        <v>45084</v>
      </c>
      <c r="L23" s="44">
        <f>VLOOKUP(C23,Purchased!A:Q,15,0)</f>
        <v>45098</v>
      </c>
      <c r="M23" s="44">
        <f>VLOOKUP(C23,Purchased!A:Q,16,0)</f>
        <v>45098</v>
      </c>
      <c r="N23" s="45">
        <f>VLOOKUP(C23,Purchased!A:Q,17,0)</f>
        <v>54919</v>
      </c>
      <c r="O23" s="45" t="e">
        <f t="shared" ca="1" si="0"/>
        <v>#VALUE!</v>
      </c>
      <c r="P23" s="49">
        <f>IFERROR(VLOOKUP(C23,Purchased!A:E,3,FALSE),"")</f>
        <v>74.17</v>
      </c>
      <c r="Q23" s="50">
        <f t="shared" si="1"/>
        <v>74.17</v>
      </c>
    </row>
    <row r="24" spans="1:17" s="2" customFormat="1" ht="12" customHeight="1">
      <c r="A24" s="4">
        <f t="shared" si="3"/>
        <v>320</v>
      </c>
      <c r="B24" s="2">
        <v>2</v>
      </c>
      <c r="C24" s="114">
        <v>3270154</v>
      </c>
      <c r="D24" s="268" t="str">
        <f>VLOOKUP(C24,Purchased!A:B,2,0)</f>
        <v>D-PTRV 8 WH 1-8, SEPARATING PLATE FOR 32 POS MARSHALLING TERMINAL BLOCK</v>
      </c>
      <c r="E24" s="269"/>
      <c r="F24" s="112" t="str">
        <f>VLOOKUP(C24,Purchased!A:Q,9,0)</f>
        <v>PHOENIX CONTACT</v>
      </c>
      <c r="G24" s="112" t="str">
        <f>VLOOKUP(C24,Purchased!A:Q,10,0)</f>
        <v>CRAVE</v>
      </c>
      <c r="H24" s="112">
        <f>VLOOKUP(C24,Purchased!A:Q,12,0)</f>
        <v>0</v>
      </c>
      <c r="I24" s="113"/>
      <c r="J24" s="44">
        <f>VLOOKUP(C24,Purchased!A:Q,13,0)</f>
        <v>0</v>
      </c>
      <c r="K24" s="44">
        <f>VLOOKUP(C24,Purchased!A:Q,14,0)</f>
        <v>0</v>
      </c>
      <c r="L24" s="44">
        <f>VLOOKUP(C24,Purchased!A:Q,15,0)</f>
        <v>0</v>
      </c>
      <c r="M24" s="44">
        <f>VLOOKUP(C24,Purchased!A:Q,16,0)</f>
        <v>0</v>
      </c>
      <c r="N24" s="45">
        <f>VLOOKUP(C24,Purchased!A:Q,17,0)</f>
        <v>0</v>
      </c>
      <c r="O24" s="45" t="e">
        <f t="shared" ca="1" si="0"/>
        <v>#VALUE!</v>
      </c>
      <c r="P24" s="49">
        <f>IFERROR(VLOOKUP(C24,Purchased!A:E,3,FALSE),"")</f>
        <v>0</v>
      </c>
      <c r="Q24" s="50">
        <f t="shared" si="1"/>
        <v>0</v>
      </c>
    </row>
    <row r="25" spans="1:17" s="2" customFormat="1" ht="12" customHeight="1">
      <c r="A25" s="4">
        <f t="shared" si="3"/>
        <v>321</v>
      </c>
      <c r="B25" s="2">
        <v>1</v>
      </c>
      <c r="C25" s="114">
        <v>1085343</v>
      </c>
      <c r="D25" s="268" t="str">
        <f>VLOOKUP(C25,Purchased!A:B,2,0)</f>
        <v>SAFETY RELAY, RLY3-OSSD1, 2 CHANNEL INPUTS W/EDM</v>
      </c>
      <c r="E25" s="269"/>
      <c r="F25" s="112" t="str">
        <f>VLOOKUP(C25,Purchased!A:Q,9,0)</f>
        <v>SICK</v>
      </c>
      <c r="G25" s="112" t="str">
        <f>VLOOKUP(C25,Purchased!A:Q,10,0)</f>
        <v>CRAVE</v>
      </c>
      <c r="H25" s="112">
        <f>VLOOKUP(C25,Purchased!A:Q,12,0)</f>
        <v>0</v>
      </c>
      <c r="I25" s="113"/>
      <c r="J25" s="44">
        <f>VLOOKUP(C25,Purchased!A:Q,13,0)</f>
        <v>0</v>
      </c>
      <c r="K25" s="44">
        <f>VLOOKUP(C25,Purchased!A:Q,14,0)</f>
        <v>0</v>
      </c>
      <c r="L25" s="44">
        <f>VLOOKUP(C25,Purchased!A:Q,15,0)</f>
        <v>0</v>
      </c>
      <c r="M25" s="44">
        <f>VLOOKUP(C25,Purchased!A:Q,16,0)</f>
        <v>0</v>
      </c>
      <c r="N25" s="45">
        <f>VLOOKUP(C25,Purchased!A:Q,17,0)</f>
        <v>0</v>
      </c>
      <c r="O25" s="45" t="e">
        <f t="shared" ca="1" si="0"/>
        <v>#VALUE!</v>
      </c>
      <c r="P25" s="49">
        <f>IFERROR(VLOOKUP(C25,Purchased!A:E,3,FALSE),"")</f>
        <v>0</v>
      </c>
      <c r="Q25" s="50">
        <f t="shared" si="1"/>
        <v>0</v>
      </c>
    </row>
    <row r="26" spans="1:17" s="2" customFormat="1" ht="12" customHeight="1">
      <c r="A26" s="4">
        <f t="shared" si="3"/>
        <v>322</v>
      </c>
      <c r="B26" s="2">
        <v>675</v>
      </c>
      <c r="C26" s="114">
        <v>801733</v>
      </c>
      <c r="D26" s="268" t="str">
        <f>VLOOKUP(C26,Purchased!A:B,2,0)</f>
        <v>NS 35/ 7,5 PERF 2000MM - DIN rail perforated</v>
      </c>
      <c r="E26" s="269"/>
      <c r="F26" s="112" t="str">
        <f>VLOOKUP(C26,Purchased!A:Q,9,0)</f>
        <v>Phoenix Contact</v>
      </c>
      <c r="G26" s="112" t="str">
        <f>VLOOKUP(C26,Purchased!A:Q,10,0)</f>
        <v>CRAVE</v>
      </c>
      <c r="H26" s="112">
        <f>VLOOKUP(C26,Purchased!A:Q,12,0)</f>
        <v>0</v>
      </c>
      <c r="I26" s="113"/>
      <c r="J26" s="44">
        <f>VLOOKUP(C26,Purchased!A:Q,13,0)</f>
        <v>0</v>
      </c>
      <c r="K26" s="44">
        <f>VLOOKUP(C26,Purchased!A:Q,14,0)</f>
        <v>0</v>
      </c>
      <c r="L26" s="44">
        <f>VLOOKUP(C26,Purchased!A:Q,15,0)</f>
        <v>0</v>
      </c>
      <c r="M26" s="44">
        <f>VLOOKUP(C26,Purchased!A:Q,16,0)</f>
        <v>0</v>
      </c>
      <c r="N26" s="45">
        <f>VLOOKUP(C26,Purchased!A:Q,17,0)</f>
        <v>0</v>
      </c>
      <c r="O26" s="45" t="e">
        <f t="shared" ref="O26:O31" ca="1" si="4">B26*$L$2</f>
        <v>#VALUE!</v>
      </c>
      <c r="P26" s="49">
        <f>IFERROR(VLOOKUP(C26,Purchased!A:E,3,FALSE),"")</f>
        <v>0</v>
      </c>
      <c r="Q26" s="50">
        <f t="shared" ref="Q26:Q31" si="5">IFERROR(B26*P26,"")</f>
        <v>0</v>
      </c>
    </row>
    <row r="27" spans="1:17" s="2" customFormat="1" ht="12" customHeight="1">
      <c r="A27" s="4">
        <f t="shared" si="3"/>
        <v>323</v>
      </c>
      <c r="B27" s="2">
        <v>1</v>
      </c>
      <c r="C27" s="114">
        <v>3211809</v>
      </c>
      <c r="D27" s="268" t="str">
        <f>VLOOKUP(C27,Purchased!A:B,2,0)</f>
        <v>Ground modular terminal block, PT 4-QUATTRO-PE, 24..10AWG, GNYE</v>
      </c>
      <c r="E27" s="269"/>
      <c r="F27" s="112" t="str">
        <f>VLOOKUP(C27,Purchased!A:Q,9,0)</f>
        <v>PHOENIX CONTACT</v>
      </c>
      <c r="G27" s="112" t="str">
        <f>VLOOKUP(C27,Purchased!A:Q,10,0)</f>
        <v>CRAVE</v>
      </c>
      <c r="H27" s="112">
        <f>VLOOKUP(C27,Purchased!A:Q,12,0)</f>
        <v>0</v>
      </c>
      <c r="I27" s="113"/>
      <c r="J27" s="44">
        <f>VLOOKUP(C27,Purchased!A:Q,13,0)</f>
        <v>0</v>
      </c>
      <c r="K27" s="44">
        <f>VLOOKUP(C27,Purchased!A:Q,14,0)</f>
        <v>0</v>
      </c>
      <c r="L27" s="44">
        <f>VLOOKUP(C27,Purchased!A:Q,15,0)</f>
        <v>0</v>
      </c>
      <c r="M27" s="44">
        <f>VLOOKUP(C27,Purchased!A:Q,16,0)</f>
        <v>0</v>
      </c>
      <c r="N27" s="45">
        <f>VLOOKUP(C27,Purchased!A:Q,17,0)</f>
        <v>0</v>
      </c>
      <c r="O27" s="45" t="e">
        <f t="shared" ca="1" si="4"/>
        <v>#VALUE!</v>
      </c>
      <c r="P27" s="49">
        <f>IFERROR(VLOOKUP(C27,Purchased!A:E,3,FALSE),"")</f>
        <v>0</v>
      </c>
      <c r="Q27" s="50">
        <f t="shared" si="5"/>
        <v>0</v>
      </c>
    </row>
    <row r="28" spans="1:17" s="2" customFormat="1" ht="12" customHeight="1">
      <c r="A28" s="4">
        <f t="shared" si="3"/>
        <v>324</v>
      </c>
      <c r="B28" s="2">
        <v>1</v>
      </c>
      <c r="C28" s="114" t="s">
        <v>181</v>
      </c>
      <c r="D28" s="268" t="str">
        <f>VLOOKUP(C28,Purchased!A:B,2,0)</f>
        <v>MODIFIED AND ASSEMBLED BACKPLANE</v>
      </c>
      <c r="E28" s="269"/>
      <c r="F28" s="112" t="str">
        <f>VLOOKUP(C28,Purchased!A:Q,9,0)</f>
        <v>CRAVE</v>
      </c>
      <c r="G28" s="112" t="str">
        <f>VLOOKUP(C28,Purchased!A:Q,10,0)</f>
        <v>CRAVE</v>
      </c>
      <c r="H28" s="112">
        <f>VLOOKUP(C28,Purchased!A:Q,12,0)</f>
        <v>0</v>
      </c>
      <c r="I28" s="113"/>
      <c r="J28" s="44">
        <f>VLOOKUP(C28,Purchased!A:Q,13,0)</f>
        <v>0</v>
      </c>
      <c r="K28" s="44">
        <f>VLOOKUP(C28,Purchased!A:Q,14,0)</f>
        <v>0</v>
      </c>
      <c r="L28" s="44">
        <f>VLOOKUP(C28,Purchased!A:Q,15,0)</f>
        <v>0</v>
      </c>
      <c r="M28" s="44">
        <f>VLOOKUP(C28,Purchased!A:Q,16,0)</f>
        <v>0</v>
      </c>
      <c r="N28" s="45">
        <f>VLOOKUP(C28,Purchased!A:Q,17,0)</f>
        <v>0</v>
      </c>
      <c r="O28" s="45" t="e">
        <f t="shared" ca="1" si="4"/>
        <v>#VALUE!</v>
      </c>
      <c r="P28" s="49">
        <f>IFERROR(VLOOKUP(C28,Purchased!A:E,3,FALSE),"")</f>
        <v>0</v>
      </c>
      <c r="Q28" s="50">
        <f t="shared" si="5"/>
        <v>0</v>
      </c>
    </row>
    <row r="29" spans="1:17" s="2" customFormat="1" ht="12" customHeight="1">
      <c r="A29" s="4">
        <f t="shared" si="3"/>
        <v>325</v>
      </c>
      <c r="B29" s="2">
        <v>1760</v>
      </c>
      <c r="C29" s="114" t="s">
        <v>146</v>
      </c>
      <c r="D29" s="268" t="str">
        <f>VLOOKUP(C29,Purchased!A:B,2,0)</f>
        <v>Narrow Slot Wiring Duct, 25mm x 75mm</v>
      </c>
      <c r="E29" s="269"/>
      <c r="F29" s="112" t="str">
        <f>VLOOKUP(C29,Purchased!A:Q,9,0)</f>
        <v>PANDUIT</v>
      </c>
      <c r="G29" s="112" t="str">
        <f>VLOOKUP(C29,Purchased!A:Q,10,0)</f>
        <v>CRAVE</v>
      </c>
      <c r="H29" s="112">
        <f>VLOOKUP(C29,Purchased!A:Q,12,0)</f>
        <v>0</v>
      </c>
      <c r="I29" s="113"/>
      <c r="J29" s="44">
        <f>VLOOKUP(C29,Purchased!A:Q,13,0)</f>
        <v>0</v>
      </c>
      <c r="K29" s="44">
        <f>VLOOKUP(C29,Purchased!A:Q,14,0)</f>
        <v>0</v>
      </c>
      <c r="L29" s="44">
        <f>VLOOKUP(C29,Purchased!A:Q,15,0)</f>
        <v>0</v>
      </c>
      <c r="M29" s="44">
        <f>VLOOKUP(C29,Purchased!A:Q,16,0)</f>
        <v>0</v>
      </c>
      <c r="N29" s="45">
        <f>VLOOKUP(C29,Purchased!A:Q,17,0)</f>
        <v>0</v>
      </c>
      <c r="O29" s="45" t="e">
        <f t="shared" ca="1" si="4"/>
        <v>#VALUE!</v>
      </c>
      <c r="P29" s="49">
        <f>IFERROR(VLOOKUP(C29,Purchased!A:E,3,FALSE),"")</f>
        <v>0</v>
      </c>
      <c r="Q29" s="50">
        <f t="shared" si="5"/>
        <v>0</v>
      </c>
    </row>
    <row r="30" spans="1:17" s="2" customFormat="1" ht="12" customHeight="1">
      <c r="A30" s="4">
        <f t="shared" si="3"/>
        <v>326</v>
      </c>
      <c r="B30" s="2">
        <v>1760</v>
      </c>
      <c r="C30" s="114" t="s">
        <v>147</v>
      </c>
      <c r="D30" s="268" t="str">
        <f>VLOOKUP(C30,Purchased!A:B,2,0)</f>
        <v>Duct cover, 25mm</v>
      </c>
      <c r="E30" s="269"/>
      <c r="F30" s="112" t="str">
        <f>VLOOKUP(C30,Purchased!A:Q,9,0)</f>
        <v>PANDUIT</v>
      </c>
      <c r="G30" s="112" t="str">
        <f>VLOOKUP(C30,Purchased!A:Q,10,0)</f>
        <v>CRAVE</v>
      </c>
      <c r="H30" s="112">
        <f>VLOOKUP(C30,Purchased!A:Q,12,0)</f>
        <v>0</v>
      </c>
      <c r="I30" s="113"/>
      <c r="J30" s="44">
        <f>VLOOKUP(C30,Purchased!A:Q,13,0)</f>
        <v>0</v>
      </c>
      <c r="K30" s="44">
        <f>VLOOKUP(C30,Purchased!A:Q,14,0)</f>
        <v>0</v>
      </c>
      <c r="L30" s="44">
        <f>VLOOKUP(C30,Purchased!A:Q,15,0)</f>
        <v>0</v>
      </c>
      <c r="M30" s="44">
        <f>VLOOKUP(C30,Purchased!A:Q,16,0)</f>
        <v>0</v>
      </c>
      <c r="N30" s="45">
        <f>VLOOKUP(C30,Purchased!A:Q,17,0)</f>
        <v>0</v>
      </c>
      <c r="O30" s="45" t="e">
        <f t="shared" ca="1" si="4"/>
        <v>#VALUE!</v>
      </c>
      <c r="P30" s="49">
        <f>IFERROR(VLOOKUP(C30,Purchased!A:E,3,FALSE),"")</f>
        <v>0</v>
      </c>
      <c r="Q30" s="50">
        <f t="shared" si="5"/>
        <v>0</v>
      </c>
    </row>
    <row r="31" spans="1:17" s="2" customFormat="1" ht="12" customHeight="1">
      <c r="A31" s="4">
        <f t="shared" si="3"/>
        <v>327</v>
      </c>
      <c r="B31" s="2">
        <v>2</v>
      </c>
      <c r="C31" s="114">
        <v>3022276</v>
      </c>
      <c r="D31" s="268" t="str">
        <f>VLOOKUP(C31,Purchased!A:B,2,0)</f>
        <v>CLIPFIX 35-5 - End clamp</v>
      </c>
      <c r="E31" s="269"/>
      <c r="F31" s="112" t="str">
        <f>VLOOKUP(C31,Purchased!A:Q,9,0)</f>
        <v>PHOENIX CONTACT</v>
      </c>
      <c r="G31" s="112" t="str">
        <f>VLOOKUP(C31,Purchased!A:Q,10,0)</f>
        <v>CRAVE</v>
      </c>
      <c r="H31" s="112">
        <f>VLOOKUP(C31,Purchased!A:Q,12,0)</f>
        <v>0</v>
      </c>
      <c r="I31" s="113"/>
      <c r="J31" s="44">
        <f>VLOOKUP(C31,Purchased!A:Q,13,0)</f>
        <v>0</v>
      </c>
      <c r="K31" s="44">
        <f>VLOOKUP(C31,Purchased!A:Q,14,0)</f>
        <v>0</v>
      </c>
      <c r="L31" s="44">
        <f>VLOOKUP(C31,Purchased!A:Q,15,0)</f>
        <v>0</v>
      </c>
      <c r="M31" s="44">
        <f>VLOOKUP(C31,Purchased!A:Q,16,0)</f>
        <v>0</v>
      </c>
      <c r="N31" s="45">
        <f>VLOOKUP(C31,Purchased!A:Q,17,0)</f>
        <v>0</v>
      </c>
      <c r="O31" s="45" t="e">
        <f t="shared" ca="1" si="4"/>
        <v>#VALUE!</v>
      </c>
      <c r="P31" s="49">
        <f>IFERROR(VLOOKUP(C31,Purchased!A:E,3,FALSE),"")</f>
        <v>0</v>
      </c>
      <c r="Q31" s="50">
        <f t="shared" si="5"/>
        <v>0</v>
      </c>
    </row>
    <row r="32" spans="1:17" s="2" customFormat="1" ht="12" customHeight="1" thickBot="1">
      <c r="A32" s="4">
        <f t="shared" si="3"/>
        <v>328</v>
      </c>
      <c r="B32" s="2">
        <v>1</v>
      </c>
      <c r="C32" s="114" t="s">
        <v>183</v>
      </c>
      <c r="D32" s="268" t="str">
        <f>VLOOKUP(C32,Purchased!A:B,2,0)</f>
        <v>SMC F TYPE CONNECTOR, 3M LENGTH</v>
      </c>
      <c r="E32" s="269"/>
      <c r="F32" s="112" t="str">
        <f>VLOOKUP(C32,Purchased!A:Q,9,0)</f>
        <v>SMC</v>
      </c>
      <c r="G32" s="112" t="str">
        <f>VLOOKUP(C32,Purchased!A:Q,10,0)</f>
        <v>AAP</v>
      </c>
      <c r="H32" s="112">
        <f>VLOOKUP(C32,Purchased!A:Q,12,0)</f>
        <v>0</v>
      </c>
      <c r="I32" s="113"/>
      <c r="J32" s="44">
        <f>VLOOKUP(C32,Purchased!A:Q,13,0)</f>
        <v>45089</v>
      </c>
      <c r="K32" s="44">
        <f>VLOOKUP(C32,Purchased!A:Q,14,0)</f>
        <v>45167</v>
      </c>
      <c r="L32" s="44">
        <f>VLOOKUP(C32,Purchased!A:Q,15,0)</f>
        <v>45184</v>
      </c>
      <c r="M32" s="44">
        <f>VLOOKUP(C32,Purchased!A:Q,16,0)</f>
        <v>45184</v>
      </c>
      <c r="N32" s="45">
        <f>VLOOKUP(C32,Purchased!A:Q,17,0)</f>
        <v>55114</v>
      </c>
      <c r="O32" s="45" t="e">
        <f t="shared" ref="O32" ca="1" si="6">B32*$L$2</f>
        <v>#VALUE!</v>
      </c>
      <c r="P32" s="49">
        <f>IFERROR(VLOOKUP(C32,Purchased!A:E,3,FALSE),"")</f>
        <v>97.691000000000003</v>
      </c>
      <c r="Q32" s="50">
        <f t="shared" ref="Q32" si="7">IFERROR(B32*P32,"")</f>
        <v>97.691000000000003</v>
      </c>
    </row>
    <row r="33" spans="1:17" s="2" customFormat="1" ht="12.75" customHeight="1" thickBot="1">
      <c r="A33" s="34"/>
      <c r="B33" s="35"/>
      <c r="C33" s="35"/>
      <c r="D33" s="256"/>
      <c r="E33" s="257"/>
      <c r="F33" s="35"/>
      <c r="G33" s="35"/>
      <c r="H33" s="294"/>
      <c r="I33" s="295"/>
      <c r="J33" s="36"/>
      <c r="K33" s="36"/>
      <c r="L33" s="36"/>
      <c r="M33" s="37"/>
      <c r="N33" s="38"/>
      <c r="O33" s="38"/>
      <c r="P33" s="89" t="s">
        <v>43</v>
      </c>
      <c r="Q33" s="94">
        <f>SUM(Q5:Q25)</f>
        <v>2829.0992999999999</v>
      </c>
    </row>
    <row r="34" spans="1:17" s="2" customFormat="1" ht="12.75" customHeight="1">
      <c r="D34" s="22"/>
      <c r="E34" s="22"/>
      <c r="J34" s="8"/>
      <c r="K34" s="8"/>
      <c r="L34" s="8"/>
      <c r="M34" s="8"/>
      <c r="N34" s="5"/>
      <c r="O34" s="5"/>
      <c r="P34" s="88"/>
      <c r="Q34" s="95"/>
    </row>
    <row r="35" spans="1:17" s="2" customFormat="1" ht="12" customHeight="1">
      <c r="D35" s="22"/>
      <c r="E35" s="22"/>
      <c r="J35" s="5"/>
      <c r="K35" s="5"/>
      <c r="L35" s="5"/>
      <c r="M35" s="5"/>
      <c r="N35" s="5"/>
      <c r="O35" s="5"/>
      <c r="P35" s="88"/>
      <c r="Q35" s="95"/>
    </row>
    <row r="36" spans="1:17" s="2" customFormat="1" ht="12" customHeight="1">
      <c r="D36" s="22"/>
      <c r="E36" s="22"/>
      <c r="J36" s="5"/>
      <c r="K36" s="5"/>
      <c r="L36" s="5"/>
      <c r="M36" s="5"/>
      <c r="N36" s="5"/>
      <c r="O36" s="5"/>
      <c r="P36" s="88"/>
      <c r="Q36" s="95"/>
    </row>
    <row r="37" spans="1:17" s="2" customFormat="1" ht="12" customHeight="1">
      <c r="D37" s="22"/>
      <c r="E37" s="22"/>
      <c r="J37" s="5"/>
      <c r="K37" s="5"/>
      <c r="L37" s="5"/>
      <c r="M37" s="5"/>
      <c r="N37" s="5"/>
      <c r="O37" s="5"/>
      <c r="P37" s="88"/>
      <c r="Q37" s="95"/>
    </row>
    <row r="38" spans="1:17" s="2" customFormat="1" ht="12" customHeight="1">
      <c r="D38" s="22"/>
      <c r="E38" s="22"/>
      <c r="J38" s="5"/>
      <c r="K38" s="5"/>
      <c r="L38" s="5"/>
      <c r="M38" s="5"/>
      <c r="N38" s="5"/>
      <c r="O38" s="5"/>
      <c r="P38" s="88"/>
      <c r="Q38" s="95"/>
    </row>
    <row r="39" spans="1:17" s="2" customFormat="1" ht="12" customHeight="1">
      <c r="D39" s="22"/>
      <c r="E39" s="22"/>
      <c r="J39" s="5"/>
      <c r="K39" s="5"/>
      <c r="L39" s="5"/>
      <c r="M39" s="5"/>
      <c r="N39" s="5"/>
      <c r="O39" s="5"/>
      <c r="P39" s="88"/>
      <c r="Q39" s="95"/>
    </row>
    <row r="40" spans="1:17" s="2" customFormat="1" ht="12" customHeight="1">
      <c r="D40" s="22"/>
      <c r="E40" s="22"/>
      <c r="J40" s="5"/>
      <c r="K40" s="5"/>
      <c r="L40" s="5"/>
      <c r="M40" s="5"/>
      <c r="N40" s="5"/>
      <c r="O40" s="5"/>
      <c r="P40" s="88"/>
      <c r="Q40" s="95"/>
    </row>
    <row r="41" spans="1:17" s="2" customFormat="1" ht="12" customHeight="1">
      <c r="D41" s="22"/>
      <c r="E41" s="22"/>
      <c r="J41" s="5"/>
      <c r="K41" s="5"/>
      <c r="L41" s="5"/>
      <c r="M41" s="5"/>
      <c r="N41" s="5"/>
      <c r="O41" s="5"/>
      <c r="P41" s="88"/>
      <c r="Q41" s="95"/>
    </row>
    <row r="42" spans="1:17" s="2" customFormat="1" ht="12" customHeight="1">
      <c r="D42" s="22"/>
      <c r="E42" s="22"/>
      <c r="J42" s="5"/>
      <c r="K42" s="5"/>
      <c r="L42" s="5"/>
      <c r="M42" s="5"/>
      <c r="N42" s="5"/>
      <c r="O42" s="5"/>
      <c r="P42" s="88"/>
      <c r="Q42" s="95"/>
    </row>
    <row r="43" spans="1:17" s="2" customFormat="1" ht="12" customHeight="1">
      <c r="D43" s="22"/>
      <c r="E43" s="22"/>
      <c r="J43" s="5"/>
      <c r="K43" s="5"/>
      <c r="L43" s="5"/>
      <c r="M43" s="5"/>
      <c r="N43" s="5"/>
      <c r="O43" s="5"/>
      <c r="P43" s="88"/>
      <c r="Q43" s="95"/>
    </row>
    <row r="44" spans="1:17" s="2" customFormat="1" ht="12" customHeight="1">
      <c r="D44" s="22"/>
      <c r="E44" s="22"/>
      <c r="J44" s="5"/>
      <c r="K44" s="5"/>
      <c r="L44" s="5"/>
      <c r="M44" s="5"/>
      <c r="N44" s="5"/>
      <c r="O44" s="5"/>
      <c r="P44" s="88"/>
      <c r="Q44" s="95"/>
    </row>
    <row r="45" spans="1:17" s="2" customFormat="1" ht="12" customHeight="1">
      <c r="D45" s="22"/>
      <c r="E45" s="22"/>
      <c r="J45" s="5"/>
      <c r="K45" s="5"/>
      <c r="L45" s="5"/>
      <c r="M45" s="5"/>
      <c r="N45" s="5"/>
      <c r="O45" s="5"/>
      <c r="P45" s="88"/>
      <c r="Q45" s="95"/>
    </row>
    <row r="46" spans="1:17" s="2" customFormat="1" ht="12" customHeight="1">
      <c r="D46" s="22"/>
      <c r="E46" s="22"/>
      <c r="J46" s="5"/>
      <c r="K46" s="5"/>
      <c r="L46" s="5"/>
      <c r="M46" s="5"/>
      <c r="N46" s="5"/>
      <c r="O46" s="5"/>
      <c r="P46" s="88"/>
      <c r="Q46" s="95"/>
    </row>
    <row r="47" spans="1:17" s="2" customFormat="1" ht="12" customHeight="1">
      <c r="D47" s="22"/>
      <c r="E47" s="22"/>
      <c r="J47" s="5"/>
      <c r="K47" s="5"/>
      <c r="L47" s="5"/>
      <c r="M47" s="5"/>
      <c r="N47" s="5"/>
      <c r="O47" s="5"/>
      <c r="P47" s="88"/>
      <c r="Q47" s="95"/>
    </row>
    <row r="48" spans="1:17" s="2" customFormat="1" ht="12" customHeight="1">
      <c r="D48" s="22"/>
      <c r="E48" s="22"/>
      <c r="J48" s="5"/>
      <c r="K48" s="5"/>
      <c r="L48" s="5"/>
      <c r="M48" s="5"/>
      <c r="N48" s="5"/>
      <c r="O48" s="5"/>
      <c r="P48" s="88"/>
      <c r="Q48" s="95"/>
    </row>
    <row r="49" spans="4:17" s="2" customFormat="1" ht="12" customHeight="1">
      <c r="D49" s="22"/>
      <c r="E49" s="22"/>
      <c r="J49" s="5"/>
      <c r="K49" s="5"/>
      <c r="L49" s="5"/>
      <c r="M49" s="5"/>
      <c r="N49" s="5"/>
      <c r="O49" s="5"/>
      <c r="P49" s="88"/>
      <c r="Q49" s="95"/>
    </row>
    <row r="50" spans="4:17" s="2" customFormat="1" ht="12" customHeight="1">
      <c r="D50" s="22"/>
      <c r="E50" s="22"/>
      <c r="J50" s="5"/>
      <c r="K50" s="5"/>
      <c r="L50" s="5"/>
      <c r="M50" s="5"/>
      <c r="N50" s="5"/>
      <c r="O50" s="5"/>
      <c r="P50" s="88"/>
      <c r="Q50" s="95"/>
    </row>
    <row r="51" spans="4:17" s="2" customFormat="1" ht="12" customHeight="1">
      <c r="D51" s="22"/>
      <c r="E51" s="22"/>
      <c r="J51" s="5"/>
      <c r="K51" s="5"/>
      <c r="L51" s="5"/>
      <c r="M51" s="5"/>
      <c r="N51" s="5"/>
      <c r="O51" s="5"/>
      <c r="P51" s="88"/>
      <c r="Q51" s="95"/>
    </row>
    <row r="52" spans="4:17" s="2" customFormat="1" ht="12" customHeight="1">
      <c r="D52" s="22"/>
      <c r="E52" s="22"/>
      <c r="J52" s="5"/>
      <c r="K52" s="5"/>
      <c r="L52" s="5"/>
      <c r="M52" s="5"/>
      <c r="N52" s="5"/>
      <c r="O52" s="5"/>
      <c r="P52" s="88"/>
      <c r="Q52" s="95"/>
    </row>
    <row r="53" spans="4:17" s="2" customFormat="1" ht="12" customHeight="1">
      <c r="D53" s="22"/>
      <c r="E53" s="22"/>
      <c r="J53" s="5"/>
      <c r="K53" s="5"/>
      <c r="L53" s="5"/>
      <c r="M53" s="5"/>
      <c r="N53" s="5"/>
      <c r="O53" s="5"/>
      <c r="P53" s="88"/>
      <c r="Q53" s="95"/>
    </row>
    <row r="54" spans="4:17" s="2" customFormat="1" ht="12" customHeight="1">
      <c r="D54" s="22"/>
      <c r="E54" s="22"/>
      <c r="J54" s="5"/>
      <c r="K54" s="5"/>
      <c r="L54" s="5"/>
      <c r="M54" s="5"/>
      <c r="N54" s="5"/>
      <c r="O54" s="5"/>
      <c r="P54" s="88"/>
      <c r="Q54" s="95"/>
    </row>
    <row r="55" spans="4:17" s="2" customFormat="1" ht="12" customHeight="1">
      <c r="D55" s="22"/>
      <c r="E55" s="22"/>
      <c r="J55" s="5"/>
      <c r="K55" s="5"/>
      <c r="L55" s="5"/>
      <c r="M55" s="5"/>
      <c r="N55" s="5"/>
      <c r="O55" s="5"/>
      <c r="P55" s="88"/>
      <c r="Q55" s="95"/>
    </row>
    <row r="56" spans="4:17" s="2" customFormat="1" ht="12" customHeight="1">
      <c r="D56" s="22"/>
      <c r="E56" s="22"/>
      <c r="J56" s="5"/>
      <c r="K56" s="5"/>
      <c r="L56" s="5"/>
      <c r="M56" s="5"/>
      <c r="N56" s="5"/>
      <c r="O56" s="5"/>
      <c r="P56" s="88"/>
      <c r="Q56" s="95"/>
    </row>
    <row r="57" spans="4:17" s="2" customFormat="1" ht="12" customHeight="1">
      <c r="D57" s="22"/>
      <c r="E57" s="22"/>
      <c r="J57" s="5"/>
      <c r="K57" s="5"/>
      <c r="L57" s="5"/>
      <c r="M57" s="5"/>
      <c r="N57" s="5"/>
      <c r="O57" s="5"/>
      <c r="P57" s="88"/>
      <c r="Q57" s="95"/>
    </row>
    <row r="58" spans="4:17" s="2" customFormat="1" ht="12" customHeight="1">
      <c r="D58" s="22"/>
      <c r="E58" s="22"/>
      <c r="J58" s="5"/>
      <c r="K58" s="5"/>
      <c r="L58" s="5"/>
      <c r="M58" s="5"/>
      <c r="N58" s="5"/>
      <c r="O58" s="5"/>
      <c r="P58" s="88"/>
      <c r="Q58" s="95"/>
    </row>
    <row r="59" spans="4:17" s="2" customFormat="1" ht="12" customHeight="1">
      <c r="D59" s="22"/>
      <c r="E59" s="22"/>
      <c r="J59" s="5"/>
      <c r="K59" s="5"/>
      <c r="L59" s="5"/>
      <c r="M59" s="5"/>
      <c r="N59" s="5"/>
      <c r="O59" s="5"/>
      <c r="P59" s="88"/>
      <c r="Q59" s="95"/>
    </row>
    <row r="60" spans="4:17" s="2" customFormat="1" ht="12" customHeight="1">
      <c r="D60" s="22"/>
      <c r="E60" s="22"/>
      <c r="J60" s="5"/>
      <c r="K60" s="5"/>
      <c r="L60" s="5"/>
      <c r="M60" s="5"/>
      <c r="N60" s="5"/>
      <c r="O60" s="5"/>
      <c r="P60" s="88"/>
      <c r="Q60" s="95"/>
    </row>
    <row r="61" spans="4:17" s="2" customFormat="1" ht="12" customHeight="1">
      <c r="D61" s="22"/>
      <c r="E61" s="22"/>
      <c r="J61" s="5"/>
      <c r="K61" s="5"/>
      <c r="L61" s="5"/>
      <c r="M61" s="5"/>
      <c r="N61" s="5"/>
      <c r="O61" s="5"/>
      <c r="P61" s="88"/>
      <c r="Q61" s="95"/>
    </row>
    <row r="62" spans="4:17" s="2" customFormat="1" ht="12" customHeight="1">
      <c r="D62" s="22"/>
      <c r="E62" s="22"/>
      <c r="J62" s="5"/>
      <c r="K62" s="5"/>
      <c r="L62" s="5"/>
      <c r="M62" s="5"/>
      <c r="N62" s="5"/>
      <c r="O62" s="5"/>
      <c r="P62" s="88"/>
      <c r="Q62" s="95"/>
    </row>
    <row r="63" spans="4:17" s="2" customFormat="1" ht="12" customHeight="1">
      <c r="D63" s="22"/>
      <c r="E63" s="22"/>
      <c r="J63" s="5"/>
      <c r="K63" s="5"/>
      <c r="L63" s="5"/>
      <c r="M63" s="5"/>
      <c r="N63" s="5"/>
      <c r="O63" s="5"/>
      <c r="P63" s="88"/>
      <c r="Q63" s="95"/>
    </row>
    <row r="64" spans="4:17" s="2" customFormat="1" ht="12" customHeight="1">
      <c r="D64" s="22"/>
      <c r="E64" s="22"/>
      <c r="J64" s="5"/>
      <c r="K64" s="5"/>
      <c r="L64" s="5"/>
      <c r="M64" s="5"/>
      <c r="N64" s="5"/>
      <c r="O64" s="5"/>
      <c r="P64" s="88"/>
      <c r="Q64" s="95"/>
    </row>
    <row r="65" spans="1:17" s="2" customFormat="1" ht="12" customHeight="1">
      <c r="D65" s="22"/>
      <c r="E65" s="22"/>
      <c r="J65" s="5"/>
      <c r="K65" s="5"/>
      <c r="L65" s="5"/>
      <c r="M65" s="5"/>
      <c r="N65" s="5"/>
      <c r="O65" s="5"/>
      <c r="P65" s="88"/>
      <c r="Q65" s="95"/>
    </row>
    <row r="66" spans="1:17" s="2" customFormat="1" ht="12" customHeight="1">
      <c r="D66" s="22"/>
      <c r="E66" s="22"/>
      <c r="J66" s="5"/>
      <c r="K66" s="5"/>
      <c r="L66" s="5"/>
      <c r="M66" s="5"/>
      <c r="N66" s="5"/>
      <c r="O66" s="5"/>
      <c r="P66" s="88"/>
      <c r="Q66" s="95"/>
    </row>
    <row r="67" spans="1:17" s="2" customFormat="1" ht="12" customHeight="1">
      <c r="D67" s="22"/>
      <c r="E67" s="22"/>
      <c r="J67" s="5"/>
      <c r="K67" s="5"/>
      <c r="L67" s="5"/>
      <c r="M67" s="5"/>
      <c r="N67" s="5"/>
      <c r="O67" s="5"/>
      <c r="P67" s="88"/>
      <c r="Q67" s="95"/>
    </row>
    <row r="68" spans="1:17" s="2" customFormat="1" ht="12" customHeight="1">
      <c r="D68" s="22"/>
      <c r="E68" s="22"/>
      <c r="J68" s="5"/>
      <c r="K68" s="5"/>
      <c r="L68" s="5"/>
      <c r="M68" s="5"/>
      <c r="N68" s="5"/>
      <c r="O68" s="5"/>
      <c r="P68" s="88"/>
      <c r="Q68" s="95"/>
    </row>
    <row r="69" spans="1:17" s="2" customFormat="1" ht="12" customHeight="1">
      <c r="D69" s="22"/>
      <c r="E69" s="22"/>
      <c r="J69" s="5"/>
      <c r="K69" s="5"/>
      <c r="L69" s="5"/>
      <c r="M69" s="5"/>
      <c r="N69" s="5"/>
      <c r="O69" s="5"/>
      <c r="P69" s="88"/>
      <c r="Q69" s="95"/>
    </row>
    <row r="70" spans="1:17" s="2" customFormat="1" ht="12" customHeight="1">
      <c r="D70" s="22"/>
      <c r="E70" s="22"/>
      <c r="J70" s="5"/>
      <c r="K70" s="5"/>
      <c r="L70" s="5"/>
      <c r="M70" s="5"/>
      <c r="N70" s="5"/>
      <c r="O70" s="5"/>
      <c r="P70" s="88"/>
      <c r="Q70" s="95"/>
    </row>
    <row r="71" spans="1:17" s="2" customFormat="1" ht="12" customHeight="1">
      <c r="D71" s="22"/>
      <c r="E71" s="22"/>
      <c r="J71" s="5"/>
      <c r="K71" s="5"/>
      <c r="L71" s="5"/>
      <c r="M71" s="5"/>
      <c r="N71" s="5"/>
      <c r="O71" s="5"/>
      <c r="P71" s="88"/>
      <c r="Q71" s="95"/>
    </row>
    <row r="72" spans="1:17" s="2" customFormat="1" ht="12" customHeight="1">
      <c r="D72" s="22"/>
      <c r="E72" s="22"/>
      <c r="J72" s="5"/>
      <c r="K72" s="5"/>
      <c r="L72" s="5"/>
      <c r="M72" s="5"/>
      <c r="N72" s="5"/>
      <c r="O72" s="5"/>
      <c r="P72" s="88"/>
      <c r="Q72" s="96"/>
    </row>
    <row r="73" spans="1:17" s="2" customFormat="1" ht="12" customHeight="1">
      <c r="D73" s="22"/>
      <c r="E73" s="22"/>
      <c r="J73" s="5"/>
      <c r="K73" s="5"/>
      <c r="L73" s="5"/>
      <c r="M73" s="5"/>
      <c r="N73" s="5"/>
      <c r="O73" s="5"/>
      <c r="P73" s="88"/>
      <c r="Q73" s="96"/>
    </row>
    <row r="74" spans="1:17" s="2" customFormat="1" ht="12" customHeight="1">
      <c r="D74" s="22"/>
      <c r="E74" s="22"/>
      <c r="J74" s="5"/>
      <c r="K74" s="5"/>
      <c r="L74" s="5"/>
      <c r="M74" s="5"/>
      <c r="N74" s="5"/>
      <c r="O74" s="5"/>
      <c r="P74" s="88"/>
      <c r="Q74" s="96"/>
    </row>
    <row r="75" spans="1:17" s="2" customFormat="1" ht="12" customHeight="1">
      <c r="D75" s="22"/>
      <c r="E75" s="22"/>
      <c r="J75" s="5"/>
      <c r="K75" s="5"/>
      <c r="L75" s="5"/>
      <c r="M75" s="5"/>
      <c r="N75" s="5"/>
      <c r="O75" s="5"/>
      <c r="P75" s="88"/>
      <c r="Q75" s="96"/>
    </row>
    <row r="76" spans="1:17" s="2" customFormat="1" ht="12" customHeight="1">
      <c r="A76"/>
      <c r="B76"/>
      <c r="C76"/>
      <c r="D76" s="23"/>
      <c r="E76" s="23"/>
      <c r="F76"/>
      <c r="G76"/>
      <c r="H76"/>
      <c r="I76"/>
      <c r="J76" s="19"/>
      <c r="K76" s="19"/>
      <c r="L76" s="19"/>
      <c r="M76" s="19"/>
      <c r="N76" s="19"/>
      <c r="O76" s="19"/>
      <c r="P76" s="90"/>
      <c r="Q76" s="96"/>
    </row>
    <row r="77" spans="1:17" s="2" customFormat="1" ht="12" customHeight="1">
      <c r="A77"/>
      <c r="B77"/>
      <c r="C77"/>
      <c r="D77" s="23"/>
      <c r="E77" s="23"/>
      <c r="F77"/>
      <c r="G77"/>
      <c r="H77"/>
      <c r="I77"/>
      <c r="J77" s="19"/>
      <c r="K77" s="19"/>
      <c r="L77" s="19"/>
      <c r="M77" s="19"/>
      <c r="N77" s="19"/>
      <c r="O77" s="19"/>
      <c r="P77" s="90"/>
      <c r="Q77" s="96"/>
    </row>
    <row r="78" spans="1:17" s="2" customFormat="1" ht="12" customHeight="1">
      <c r="A78"/>
      <c r="B78"/>
      <c r="C78"/>
      <c r="D78" s="23"/>
      <c r="E78" s="23"/>
      <c r="F78"/>
      <c r="G78"/>
      <c r="H78"/>
      <c r="I78"/>
      <c r="J78" s="19"/>
      <c r="K78" s="19"/>
      <c r="L78" s="19"/>
      <c r="M78" s="19"/>
      <c r="N78" s="19"/>
      <c r="O78" s="19"/>
      <c r="P78" s="90"/>
      <c r="Q78" s="96"/>
    </row>
    <row r="79" spans="1:17" s="2" customFormat="1" ht="12" customHeight="1">
      <c r="A79"/>
      <c r="B79"/>
      <c r="C79"/>
      <c r="D79" s="23"/>
      <c r="E79" s="23"/>
      <c r="F79"/>
      <c r="G79"/>
      <c r="H79"/>
      <c r="I79"/>
      <c r="J79" s="19"/>
      <c r="K79" s="19"/>
      <c r="L79" s="19"/>
      <c r="M79" s="19"/>
      <c r="N79" s="19"/>
      <c r="O79" s="19"/>
      <c r="P79" s="90"/>
      <c r="Q79" s="96"/>
    </row>
    <row r="80" spans="1:17" s="2" customFormat="1" ht="12" customHeight="1">
      <c r="A80"/>
      <c r="B80"/>
      <c r="C80"/>
      <c r="D80" s="23"/>
      <c r="E80" s="23"/>
      <c r="F80"/>
      <c r="G80"/>
      <c r="H80"/>
      <c r="I80"/>
      <c r="J80" s="19"/>
      <c r="K80" s="19"/>
      <c r="L80" s="19"/>
      <c r="M80" s="19"/>
      <c r="N80" s="19"/>
      <c r="O80" s="19"/>
      <c r="P80" s="90"/>
      <c r="Q80" s="96"/>
    </row>
    <row r="81" spans="1:17" s="2" customFormat="1" ht="12" customHeight="1">
      <c r="A81"/>
      <c r="B81"/>
      <c r="C81"/>
      <c r="D81" s="23"/>
      <c r="E81" s="23"/>
      <c r="F81"/>
      <c r="G81"/>
      <c r="H81"/>
      <c r="I81"/>
      <c r="J81" s="19"/>
      <c r="K81" s="19"/>
      <c r="L81" s="19"/>
      <c r="M81" s="19"/>
      <c r="N81" s="19"/>
      <c r="O81" s="19"/>
      <c r="P81" s="90"/>
      <c r="Q81" s="96"/>
    </row>
    <row r="82" spans="1:17">
      <c r="Q82" s="96"/>
    </row>
    <row r="83" spans="1:17">
      <c r="Q83" s="96"/>
    </row>
    <row r="84" spans="1:17">
      <c r="Q84" s="96"/>
    </row>
    <row r="85" spans="1:17">
      <c r="Q85" s="96"/>
    </row>
    <row r="86" spans="1:17">
      <c r="Q86" s="96"/>
    </row>
    <row r="87" spans="1:17">
      <c r="Q87" s="96"/>
    </row>
    <row r="88" spans="1:17">
      <c r="Q88" s="96"/>
    </row>
    <row r="89" spans="1:17">
      <c r="Q89" s="96"/>
    </row>
    <row r="90" spans="1:17">
      <c r="Q90" s="96"/>
    </row>
    <row r="91" spans="1:17">
      <c r="Q91" s="96"/>
    </row>
    <row r="92" spans="1:17">
      <c r="Q92" s="96"/>
    </row>
    <row r="93" spans="1:17">
      <c r="Q93" s="96"/>
    </row>
    <row r="94" spans="1:17">
      <c r="Q94" s="96"/>
    </row>
    <row r="95" spans="1:17">
      <c r="Q95" s="96"/>
    </row>
    <row r="96" spans="1:17">
      <c r="Q96" s="96"/>
    </row>
    <row r="97" spans="17:17">
      <c r="Q97" s="96"/>
    </row>
    <row r="98" spans="17:17">
      <c r="Q98" s="96"/>
    </row>
    <row r="99" spans="17:17">
      <c r="Q99" s="96"/>
    </row>
    <row r="100" spans="17:17">
      <c r="Q100" s="96"/>
    </row>
    <row r="138" ht="12" customHeight="1"/>
    <row r="139" ht="12" customHeight="1"/>
    <row r="140" ht="12" customHeight="1"/>
    <row r="141" ht="12" customHeight="1"/>
    <row r="142" ht="12" customHeight="1"/>
    <row r="143" ht="12" customHeight="1"/>
    <row r="144" ht="12" customHeight="1"/>
    <row r="145" ht="12" customHeight="1"/>
    <row r="146" ht="12" customHeight="1"/>
    <row r="147" ht="12" customHeight="1"/>
    <row r="148" ht="12" customHeight="1"/>
    <row r="149" ht="12" customHeight="1"/>
    <row r="150" ht="12" customHeight="1"/>
    <row r="151" ht="12" customHeight="1"/>
    <row r="152" ht="12" customHeight="1"/>
    <row r="153" ht="12" customHeight="1"/>
    <row r="154" ht="12" customHeight="1"/>
    <row r="155" ht="12" customHeight="1"/>
    <row r="156" ht="12" customHeight="1"/>
    <row r="157" ht="12" customHeight="1"/>
    <row r="158" ht="12" customHeight="1"/>
    <row r="159" ht="12" customHeight="1"/>
    <row r="160" ht="12" customHeight="1"/>
    <row r="161" ht="12" customHeight="1"/>
    <row r="162" ht="12" customHeight="1"/>
    <row r="163" ht="12" customHeight="1"/>
    <row r="164" ht="12" customHeight="1"/>
    <row r="165" ht="12" customHeight="1"/>
    <row r="166" ht="12" customHeight="1"/>
    <row r="167" ht="12" customHeight="1"/>
    <row r="168" ht="12" customHeight="1"/>
    <row r="169" ht="12" customHeight="1"/>
    <row r="170" ht="12" customHeight="1"/>
    <row r="171" ht="12" customHeight="1"/>
    <row r="172" ht="12" customHeight="1"/>
    <row r="173" ht="12" customHeight="1"/>
    <row r="174" ht="12" customHeight="1"/>
    <row r="175" ht="12" customHeight="1"/>
    <row r="176" ht="12" customHeight="1"/>
    <row r="177" ht="12" customHeight="1"/>
    <row r="178" ht="12" customHeight="1"/>
    <row r="179" ht="12" customHeight="1"/>
    <row r="180" ht="12" customHeight="1"/>
    <row r="181" ht="12" customHeight="1"/>
    <row r="182" ht="12" customHeight="1"/>
    <row r="183" ht="12" customHeight="1"/>
    <row r="184" ht="12" customHeight="1"/>
    <row r="185" ht="12" customHeight="1"/>
    <row r="186" ht="12" customHeight="1"/>
    <row r="187" ht="12" customHeight="1"/>
  </sheetData>
  <mergeCells count="33">
    <mergeCell ref="D23:E23"/>
    <mergeCell ref="D24:E24"/>
    <mergeCell ref="D25:E25"/>
    <mergeCell ref="D33:E33"/>
    <mergeCell ref="H33:I33"/>
    <mergeCell ref="D26:E26"/>
    <mergeCell ref="D27:E27"/>
    <mergeCell ref="D28:E28"/>
    <mergeCell ref="D29:E29"/>
    <mergeCell ref="D30:E30"/>
    <mergeCell ref="D31:E31"/>
    <mergeCell ref="D32:E32"/>
    <mergeCell ref="D18:E18"/>
    <mergeCell ref="D19:E19"/>
    <mergeCell ref="D20:E20"/>
    <mergeCell ref="D21:E21"/>
    <mergeCell ref="D22:E22"/>
    <mergeCell ref="D17:E17"/>
    <mergeCell ref="D7:E7"/>
    <mergeCell ref="D8:E8"/>
    <mergeCell ref="D9:E9"/>
    <mergeCell ref="D10:E10"/>
    <mergeCell ref="D11:E11"/>
    <mergeCell ref="D12:E12"/>
    <mergeCell ref="D13:E13"/>
    <mergeCell ref="D14:E14"/>
    <mergeCell ref="D15:E15"/>
    <mergeCell ref="D16:E16"/>
    <mergeCell ref="D1:E1"/>
    <mergeCell ref="D4:E4"/>
    <mergeCell ref="H4:I4"/>
    <mergeCell ref="D5:E5"/>
    <mergeCell ref="D6:E6"/>
  </mergeCells>
  <conditionalFormatting sqref="M5:M32">
    <cfRule type="cellIs" dxfId="650" priority="4" stopIfTrue="1" operator="lessThanOrEqual">
      <formula>$L5</formula>
    </cfRule>
    <cfRule type="cellIs" dxfId="649" priority="5" operator="greaterThan">
      <formula>L5</formula>
    </cfRule>
  </conditionalFormatting>
  <conditionalFormatting sqref="C5:C31">
    <cfRule type="duplicateValues" dxfId="648" priority="460"/>
  </conditionalFormatting>
  <conditionalFormatting sqref="C32">
    <cfRule type="duplicateValues" dxfId="647" priority="1"/>
    <cfRule type="duplicateValues" dxfId="646" priority="2"/>
  </conditionalFormatting>
  <pageMargins left="0.7" right="0.7" top="0.75" bottom="0.75" header="0.3" footer="0.3"/>
  <pageSetup paperSize="3" fitToHeight="0" orientation="landscape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B95B904-AA45-4AB4-B333-074DE9ED42FE}">
          <x14:formula1>
            <xm:f>Purchased!$A:$A</xm:f>
          </x14:formula1>
          <xm:sqref>C5:C32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3A164B-A565-47D3-AAAF-D201E4551E7E}">
  <sheetPr codeName="Sheet9">
    <tabColor theme="3" tint="0.39997558519241921"/>
    <pageSetUpPr fitToPage="1"/>
  </sheetPr>
  <dimension ref="A1:Q187"/>
  <sheetViews>
    <sheetView zoomScaleNormal="100" workbookViewId="0">
      <selection activeCell="C23" sqref="C23"/>
    </sheetView>
  </sheetViews>
  <sheetFormatPr defaultColWidth="9.140625" defaultRowHeight="15"/>
  <cols>
    <col min="1" max="1" width="5.7109375" customWidth="1"/>
    <col min="2" max="2" width="5.42578125" bestFit="1" customWidth="1"/>
    <col min="3" max="3" width="30.7109375" customWidth="1"/>
    <col min="4" max="5" width="20.7109375" style="23" customWidth="1"/>
    <col min="6" max="6" width="16.85546875" bestFit="1" customWidth="1"/>
    <col min="7" max="7" width="9.7109375" customWidth="1"/>
    <col min="8" max="8" width="8.7109375" customWidth="1"/>
    <col min="9" max="9" width="20.7109375" customWidth="1"/>
    <col min="10" max="13" width="11.7109375" style="19" customWidth="1"/>
    <col min="14" max="14" width="11.85546875" style="19" bestFit="1" customWidth="1"/>
    <col min="15" max="15" width="7.7109375" style="19" customWidth="1"/>
    <col min="16" max="16" width="10.7109375" style="90" customWidth="1"/>
    <col min="17" max="17" width="10.7109375" style="97" customWidth="1"/>
  </cols>
  <sheetData>
    <row r="1" spans="1:17" s="55" customFormat="1" ht="12" customHeight="1">
      <c r="A1" s="68" t="s">
        <v>0</v>
      </c>
      <c r="B1" s="69"/>
      <c r="C1" s="69"/>
      <c r="D1" s="262" t="s">
        <v>1</v>
      </c>
      <c r="E1" s="263"/>
      <c r="F1" s="70"/>
      <c r="G1" s="69"/>
      <c r="H1" s="70"/>
      <c r="I1" s="71"/>
      <c r="J1" s="72"/>
      <c r="K1" s="72"/>
      <c r="L1" s="72"/>
      <c r="M1" s="72"/>
      <c r="N1" s="72"/>
      <c r="O1" s="72"/>
      <c r="P1" s="85"/>
      <c r="Q1" s="91"/>
    </row>
    <row r="2" spans="1:17" s="55" customFormat="1" ht="12" customHeight="1">
      <c r="A2" s="74" t="s">
        <v>48</v>
      </c>
      <c r="B2" s="58"/>
      <c r="C2" s="57" t="e">
        <f ca="1">VLOOKUP(E3,Assemblies!B:F,4,0)</f>
        <v>#VALUE!</v>
      </c>
      <c r="D2" s="75" t="s">
        <v>3</v>
      </c>
      <c r="E2" s="76" t="e">
        <f ca="1">'GF12'!E2</f>
        <v>#VALUE!</v>
      </c>
      <c r="F2" s="77" t="s">
        <v>4</v>
      </c>
      <c r="G2" s="58" t="str">
        <f>'GF12'!G2</f>
        <v>GH</v>
      </c>
      <c r="H2" s="77" t="s">
        <v>6</v>
      </c>
      <c r="I2" s="59">
        <f>'GF12'!I2</f>
        <v>44775</v>
      </c>
      <c r="J2" s="39"/>
      <c r="K2" s="40" t="s">
        <v>49</v>
      </c>
      <c r="L2" s="41" t="e">
        <f ca="1">VLOOKUP(C2,Assemblies!E:G,3,0)</f>
        <v>#VALUE!</v>
      </c>
      <c r="M2" s="78"/>
      <c r="N2" s="78"/>
      <c r="O2" s="78"/>
      <c r="P2" s="86"/>
      <c r="Q2" s="92"/>
    </row>
    <row r="3" spans="1:17" s="55" customFormat="1" ht="12" customHeight="1" thickBot="1">
      <c r="A3" s="74" t="s">
        <v>7</v>
      </c>
      <c r="B3" s="58"/>
      <c r="C3" s="57" t="e">
        <f ca="1">VLOOKUP(E3,Assemblies!B:F,5,0)</f>
        <v>#VALUE!</v>
      </c>
      <c r="D3" s="75" t="s">
        <v>50</v>
      </c>
      <c r="E3" s="76" t="e">
        <f ca="1">MID(CELL("filename",A1),FIND("]",CELL("filename",A1))+1,256)</f>
        <v>#VALUE!</v>
      </c>
      <c r="F3" s="77" t="s">
        <v>11</v>
      </c>
      <c r="G3" s="58" t="str">
        <f>'GF12'!G3</f>
        <v>GH</v>
      </c>
      <c r="H3" s="77" t="s">
        <v>6</v>
      </c>
      <c r="I3" s="59">
        <f>'GF12'!I3</f>
        <v>44775</v>
      </c>
      <c r="J3" s="78"/>
      <c r="K3" s="78"/>
      <c r="L3" s="78"/>
      <c r="M3" s="78"/>
      <c r="N3" s="78"/>
      <c r="O3" s="78"/>
      <c r="P3" s="86"/>
      <c r="Q3" s="92"/>
    </row>
    <row r="4" spans="1:17" s="56" customFormat="1" ht="12.75" customHeight="1" thickBot="1">
      <c r="A4" s="80" t="s">
        <v>12</v>
      </c>
      <c r="B4" s="81" t="s">
        <v>13</v>
      </c>
      <c r="C4" s="81" t="s">
        <v>14</v>
      </c>
      <c r="D4" s="270" t="s">
        <v>15</v>
      </c>
      <c r="E4" s="271"/>
      <c r="F4" s="104" t="s">
        <v>16</v>
      </c>
      <c r="G4" s="81" t="s">
        <v>17</v>
      </c>
      <c r="H4" s="260" t="s">
        <v>18</v>
      </c>
      <c r="I4" s="261"/>
      <c r="J4" s="81" t="s">
        <v>51</v>
      </c>
      <c r="K4" s="81" t="s">
        <v>20</v>
      </c>
      <c r="L4" s="81" t="s">
        <v>21</v>
      </c>
      <c r="M4" s="81" t="s">
        <v>52</v>
      </c>
      <c r="N4" s="81" t="s">
        <v>22</v>
      </c>
      <c r="O4" s="81" t="s">
        <v>53</v>
      </c>
      <c r="P4" s="107" t="s">
        <v>26</v>
      </c>
      <c r="Q4" s="82" t="s">
        <v>27</v>
      </c>
    </row>
    <row r="5" spans="1:17" s="2" customFormat="1" ht="12.75" customHeight="1">
      <c r="A5" s="4">
        <v>301</v>
      </c>
      <c r="B5" s="2">
        <v>1</v>
      </c>
      <c r="C5" s="114" t="s">
        <v>201</v>
      </c>
      <c r="D5" s="268" t="str">
        <f>VLOOKUP(C5,Purchased!A:B,2,0)</f>
        <v>Saginaw EL LPPL Enclosure, 24H X 24W X 12D, RAL5005 Blue</v>
      </c>
      <c r="E5" s="269"/>
      <c r="F5" s="112" t="str">
        <f>VLOOKUP(C5,Purchased!A:Q,9,0)</f>
        <v>SAGINAW</v>
      </c>
      <c r="G5" s="112" t="str">
        <f>VLOOKUP(C5,Purchased!A:Q,10,0)</f>
        <v>SAGINAW</v>
      </c>
      <c r="H5" s="112" t="str">
        <f>VLOOKUP(C5,Purchased!A:Q,12,0)</f>
        <v xml:space="preserve"> </v>
      </c>
      <c r="I5" s="113"/>
      <c r="J5" s="44" t="str">
        <f>VLOOKUP(C5,Purchased!A:Q,13,0)</f>
        <v>N/A</v>
      </c>
      <c r="K5" s="44">
        <f>VLOOKUP(C5,Purchased!A:Q,14,0)</f>
        <v>45013</v>
      </c>
      <c r="L5" s="44">
        <f>VLOOKUP(C5,Purchased!A:Q,15,0)</f>
        <v>45043</v>
      </c>
      <c r="M5" s="44">
        <f>VLOOKUP(C5,Purchased!A:Q,16,0)</f>
        <v>45043</v>
      </c>
      <c r="N5" s="45">
        <f>VLOOKUP(C5,Purchased!A:Q,17,0)</f>
        <v>54830</v>
      </c>
      <c r="O5" s="45" t="e">
        <f t="shared" ref="O5:O7" ca="1" si="0">B5*$L$2</f>
        <v>#VALUE!</v>
      </c>
      <c r="P5" s="49">
        <f>IFERROR(VLOOKUP(C5,Purchased!A:E,3,FALSE),"")</f>
        <v>369.55</v>
      </c>
      <c r="Q5" s="50">
        <f t="shared" ref="Q5:Q7" si="1">IFERROR(B5*P5,"")</f>
        <v>369.55</v>
      </c>
    </row>
    <row r="6" spans="1:17" s="2" customFormat="1" ht="12" customHeight="1">
      <c r="A6" s="4">
        <f t="shared" ref="A6:A33" si="2">A5+1</f>
        <v>302</v>
      </c>
      <c r="B6" s="2">
        <v>1</v>
      </c>
      <c r="C6" s="114" t="s">
        <v>202</v>
      </c>
      <c r="D6" s="268" t="str">
        <f>VLOOKUP(C6,Purchased!A:B,2,0)</f>
        <v>Saginaw Subpanel, Bent Galvanized, 21H X 21W X 0.88D</v>
      </c>
      <c r="E6" s="269"/>
      <c r="F6" s="112" t="str">
        <f>VLOOKUP(C6,Purchased!A:Q,9,0)</f>
        <v>SAGINAW</v>
      </c>
      <c r="G6" s="112" t="str">
        <f>VLOOKUP(C6,Purchased!A:Q,10,0)</f>
        <v>SAGINAW</v>
      </c>
      <c r="H6" s="112" t="str">
        <f>VLOOKUP(C6,Purchased!A:Q,12,0)</f>
        <v xml:space="preserve"> </v>
      </c>
      <c r="I6" s="113"/>
      <c r="J6" s="44" t="str">
        <f>VLOOKUP(C6,Purchased!A:Q,13,0)</f>
        <v>N/A</v>
      </c>
      <c r="K6" s="44">
        <f>VLOOKUP(C6,Purchased!A:Q,14,0)</f>
        <v>45013</v>
      </c>
      <c r="L6" s="44">
        <f>VLOOKUP(C6,Purchased!A:Q,15,0)</f>
        <v>45043</v>
      </c>
      <c r="M6" s="44">
        <f>VLOOKUP(C6,Purchased!A:Q,16,0)</f>
        <v>45043</v>
      </c>
      <c r="N6" s="45">
        <f>VLOOKUP(C6,Purchased!A:Q,17,0)</f>
        <v>54831</v>
      </c>
      <c r="O6" s="45" t="e">
        <f t="shared" ca="1" si="0"/>
        <v>#VALUE!</v>
      </c>
      <c r="P6" s="49">
        <f>IFERROR(VLOOKUP(C6,Purchased!A:E,3,FALSE),"")</f>
        <v>46.6</v>
      </c>
      <c r="Q6" s="50">
        <f t="shared" si="1"/>
        <v>46.6</v>
      </c>
    </row>
    <row r="7" spans="1:17" s="2" customFormat="1" ht="12" customHeight="1">
      <c r="A7" s="4">
        <f t="shared" si="2"/>
        <v>303</v>
      </c>
      <c r="B7" s="2">
        <v>1</v>
      </c>
      <c r="C7" s="114" t="s">
        <v>91</v>
      </c>
      <c r="D7" s="268" t="str">
        <f>VLOOKUP(C7,Purchased!A:B,2,0)</f>
        <v>Panduit VeriSafe 1.0 AVT, 8' (2.4m) system cable, 10' (3m) sensor leads</v>
      </c>
      <c r="E7" s="269"/>
      <c r="F7" s="112" t="str">
        <f>VLOOKUP(C7,Purchased!A:Q,9,0)</f>
        <v>Panduit</v>
      </c>
      <c r="G7" s="112" t="str">
        <f>VLOOKUP(C7,Purchased!A:Q,10,0)</f>
        <v>OnlineComp</v>
      </c>
      <c r="H7" s="112" t="str">
        <f>VLOOKUP(C7,Purchased!A:Q,12,0)</f>
        <v xml:space="preserve"> </v>
      </c>
      <c r="I7" s="113"/>
      <c r="J7" s="44" t="str">
        <f>VLOOKUP(C7,Purchased!A:Q,13,0)</f>
        <v>N/A</v>
      </c>
      <c r="K7" s="44">
        <f>VLOOKUP(C7,Purchased!A:Q,14,0)</f>
        <v>45089</v>
      </c>
      <c r="L7" s="44">
        <f>VLOOKUP(C7,Purchased!A:Q,15,0)</f>
        <v>45096</v>
      </c>
      <c r="M7" s="44">
        <f>VLOOKUP(C7,Purchased!A:Q,16,0)</f>
        <v>45096</v>
      </c>
      <c r="N7" s="45">
        <f>VLOOKUP(C7,Purchased!A:Q,17,0)</f>
        <v>54932</v>
      </c>
      <c r="O7" s="45" t="e">
        <f t="shared" ca="1" si="0"/>
        <v>#VALUE!</v>
      </c>
      <c r="P7" s="49">
        <f>IFERROR(VLOOKUP(C7,Purchased!A:E,3,FALSE),"")</f>
        <v>397.68</v>
      </c>
      <c r="Q7" s="50">
        <f t="shared" si="1"/>
        <v>397.68</v>
      </c>
    </row>
    <row r="8" spans="1:17" s="2" customFormat="1" ht="12" customHeight="1">
      <c r="A8" s="4">
        <f t="shared" si="2"/>
        <v>304</v>
      </c>
      <c r="B8" s="2">
        <v>3</v>
      </c>
      <c r="C8" s="114" t="s">
        <v>112</v>
      </c>
      <c r="D8" s="268" t="str">
        <f>VLOOKUP(C8,Purchased!A:B,2,0)</f>
        <v>CIRCUIT BREAKER, BK63HU 3P C6A 10KA, 480Y/277VAC, 60VDC UL489</v>
      </c>
      <c r="E8" s="269"/>
      <c r="F8" s="112" t="str">
        <f>VLOOKUP(C8,Purchased!A:Q,9,0)</f>
        <v>LS ELECTRIC</v>
      </c>
      <c r="G8" s="112" t="str">
        <f>VLOOKUP(C8,Purchased!A:Q,10,0)</f>
        <v>CRAVE</v>
      </c>
      <c r="H8" s="112">
        <f>VLOOKUP(C8,Purchased!A:Q,12,0)</f>
        <v>0</v>
      </c>
      <c r="I8" s="113"/>
      <c r="J8" s="44">
        <f>VLOOKUP(C8,Purchased!A:Q,13,0)</f>
        <v>0</v>
      </c>
      <c r="K8" s="44">
        <f>VLOOKUP(C8,Purchased!A:Q,14,0)</f>
        <v>0</v>
      </c>
      <c r="L8" s="44">
        <f>VLOOKUP(C8,Purchased!A:Q,15,0)</f>
        <v>0</v>
      </c>
      <c r="M8" s="44">
        <f>VLOOKUP(C8,Purchased!A:Q,16,0)</f>
        <v>0</v>
      </c>
      <c r="N8" s="45">
        <f>VLOOKUP(C8,Purchased!A:Q,17,0)</f>
        <v>0</v>
      </c>
      <c r="O8" s="45" t="e">
        <f t="shared" ref="O8:O33" ca="1" si="3">B8*$L$2</f>
        <v>#VALUE!</v>
      </c>
      <c r="P8" s="49">
        <f>IFERROR(VLOOKUP(C8,Purchased!A:E,3,FALSE),"")</f>
        <v>0</v>
      </c>
      <c r="Q8" s="50">
        <f t="shared" ref="Q8:Q33" si="4">IFERROR(B8*P8,"")</f>
        <v>0</v>
      </c>
    </row>
    <row r="9" spans="1:17" s="2" customFormat="1" ht="12" customHeight="1">
      <c r="A9" s="4">
        <f t="shared" si="2"/>
        <v>305</v>
      </c>
      <c r="B9" s="2">
        <v>2500</v>
      </c>
      <c r="C9" s="114" t="s">
        <v>146</v>
      </c>
      <c r="D9" s="268" t="str">
        <f>VLOOKUP(C9,Purchased!A:B,2,0)</f>
        <v>Narrow Slot Wiring Duct, 25mm x 75mm</v>
      </c>
      <c r="E9" s="269"/>
      <c r="F9" s="112" t="str">
        <f>VLOOKUP(C9,Purchased!A:Q,9,0)</f>
        <v>PANDUIT</v>
      </c>
      <c r="G9" s="112" t="str">
        <f>VLOOKUP(C9,Purchased!A:Q,10,0)</f>
        <v>CRAVE</v>
      </c>
      <c r="H9" s="112">
        <f>VLOOKUP(C9,Purchased!A:Q,12,0)</f>
        <v>0</v>
      </c>
      <c r="I9" s="113"/>
      <c r="J9" s="44">
        <f>VLOOKUP(C9,Purchased!A:Q,13,0)</f>
        <v>0</v>
      </c>
      <c r="K9" s="44">
        <f>VLOOKUP(C9,Purchased!A:Q,14,0)</f>
        <v>0</v>
      </c>
      <c r="L9" s="44">
        <f>VLOOKUP(C9,Purchased!A:Q,15,0)</f>
        <v>0</v>
      </c>
      <c r="M9" s="44">
        <f>VLOOKUP(C9,Purchased!A:Q,16,0)</f>
        <v>0</v>
      </c>
      <c r="N9" s="45">
        <f>VLOOKUP(C9,Purchased!A:Q,17,0)</f>
        <v>0</v>
      </c>
      <c r="O9" s="45" t="e">
        <f t="shared" ca="1" si="3"/>
        <v>#VALUE!</v>
      </c>
      <c r="P9" s="49">
        <f>IFERROR(VLOOKUP(C9,Purchased!A:E,3,FALSE),"")</f>
        <v>0</v>
      </c>
      <c r="Q9" s="50">
        <f t="shared" si="4"/>
        <v>0</v>
      </c>
    </row>
    <row r="10" spans="1:17" s="2" customFormat="1" ht="12" customHeight="1">
      <c r="A10" s="4">
        <f t="shared" si="2"/>
        <v>306</v>
      </c>
      <c r="B10" s="2">
        <v>2500</v>
      </c>
      <c r="C10" s="114" t="s">
        <v>147</v>
      </c>
      <c r="D10" s="268" t="str">
        <f>VLOOKUP(C10,Purchased!A:B,2,0)</f>
        <v>Duct cover, 25mm</v>
      </c>
      <c r="E10" s="269"/>
      <c r="F10" s="112" t="str">
        <f>VLOOKUP(C10,Purchased!A:Q,9,0)</f>
        <v>PANDUIT</v>
      </c>
      <c r="G10" s="112" t="str">
        <f>VLOOKUP(C10,Purchased!A:Q,10,0)</f>
        <v>CRAVE</v>
      </c>
      <c r="H10" s="112">
        <f>VLOOKUP(C10,Purchased!A:Q,12,0)</f>
        <v>0</v>
      </c>
      <c r="I10" s="113"/>
      <c r="J10" s="44">
        <f>VLOOKUP(C10,Purchased!A:Q,13,0)</f>
        <v>0</v>
      </c>
      <c r="K10" s="44">
        <f>VLOOKUP(C10,Purchased!A:Q,14,0)</f>
        <v>0</v>
      </c>
      <c r="L10" s="44">
        <f>VLOOKUP(C10,Purchased!A:Q,15,0)</f>
        <v>0</v>
      </c>
      <c r="M10" s="44">
        <f>VLOOKUP(C10,Purchased!A:Q,16,0)</f>
        <v>0</v>
      </c>
      <c r="N10" s="45">
        <f>VLOOKUP(C10,Purchased!A:Q,17,0)</f>
        <v>0</v>
      </c>
      <c r="O10" s="45" t="e">
        <f t="shared" ca="1" si="3"/>
        <v>#VALUE!</v>
      </c>
      <c r="P10" s="49">
        <f>IFERROR(VLOOKUP(C10,Purchased!A:E,3,FALSE),"")</f>
        <v>0</v>
      </c>
      <c r="Q10" s="50">
        <f t="shared" si="4"/>
        <v>0</v>
      </c>
    </row>
    <row r="11" spans="1:17" s="2" customFormat="1" ht="12" customHeight="1">
      <c r="A11" s="4">
        <f t="shared" si="2"/>
        <v>307</v>
      </c>
      <c r="B11" s="2">
        <v>3</v>
      </c>
      <c r="C11" s="114">
        <v>1029591</v>
      </c>
      <c r="D11" s="268" t="str">
        <f>VLOOKUP(C11,Purchased!A:B,2,0)</f>
        <v>D-PT 1,5/S-QUATTRO-0,8 OG, END-COVER, OG</v>
      </c>
      <c r="E11" s="269"/>
      <c r="F11" s="112" t="str">
        <f>VLOOKUP(C11,Purchased!A:Q,9,0)</f>
        <v>PHOENIX CONTACT</v>
      </c>
      <c r="G11" s="112" t="str">
        <f>VLOOKUP(C11,Purchased!A:Q,10,0)</f>
        <v>CRAVE</v>
      </c>
      <c r="H11" s="112">
        <f>VLOOKUP(C11,Purchased!A:Q,12,0)</f>
        <v>0</v>
      </c>
      <c r="I11" s="113"/>
      <c r="J11" s="44">
        <f>VLOOKUP(C11,Purchased!A:Q,13,0)</f>
        <v>0</v>
      </c>
      <c r="K11" s="44">
        <f>VLOOKUP(C11,Purchased!A:Q,14,0)</f>
        <v>0</v>
      </c>
      <c r="L11" s="44">
        <f>VLOOKUP(C11,Purchased!A:Q,15,0)</f>
        <v>0</v>
      </c>
      <c r="M11" s="44">
        <f>VLOOKUP(C11,Purchased!A:Q,16,0)</f>
        <v>0</v>
      </c>
      <c r="N11" s="45">
        <f>VLOOKUP(C11,Purchased!A:Q,17,0)</f>
        <v>0</v>
      </c>
      <c r="O11" s="45" t="e">
        <f t="shared" ca="1" si="3"/>
        <v>#VALUE!</v>
      </c>
      <c r="P11" s="49">
        <f>IFERROR(VLOOKUP(C11,Purchased!A:E,3,FALSE),"")</f>
        <v>0</v>
      </c>
      <c r="Q11" s="50">
        <f t="shared" si="4"/>
        <v>0</v>
      </c>
    </row>
    <row r="12" spans="1:17" s="2" customFormat="1" ht="12" customHeight="1">
      <c r="A12" s="4">
        <f t="shared" si="2"/>
        <v>308</v>
      </c>
      <c r="B12" s="2">
        <v>4</v>
      </c>
      <c r="C12" s="114">
        <v>3022276</v>
      </c>
      <c r="D12" s="268" t="str">
        <f>VLOOKUP(C12,Purchased!A:B,2,0)</f>
        <v>CLIPFIX 35-5 - End clamp</v>
      </c>
      <c r="E12" s="269"/>
      <c r="F12" s="112" t="str">
        <f>VLOOKUP(C12,Purchased!A:Q,9,0)</f>
        <v>PHOENIX CONTACT</v>
      </c>
      <c r="G12" s="112" t="str">
        <f>VLOOKUP(C12,Purchased!A:Q,10,0)</f>
        <v>CRAVE</v>
      </c>
      <c r="H12" s="112">
        <f>VLOOKUP(C12,Purchased!A:Q,12,0)</f>
        <v>0</v>
      </c>
      <c r="I12" s="113"/>
      <c r="J12" s="44">
        <f>VLOOKUP(C12,Purchased!A:Q,13,0)</f>
        <v>0</v>
      </c>
      <c r="K12" s="44">
        <f>VLOOKUP(C12,Purchased!A:Q,14,0)</f>
        <v>0</v>
      </c>
      <c r="L12" s="44">
        <f>VLOOKUP(C12,Purchased!A:Q,15,0)</f>
        <v>0</v>
      </c>
      <c r="M12" s="44">
        <f>VLOOKUP(C12,Purchased!A:Q,16,0)</f>
        <v>0</v>
      </c>
      <c r="N12" s="45">
        <f>VLOOKUP(C12,Purchased!A:Q,17,0)</f>
        <v>0</v>
      </c>
      <c r="O12" s="45" t="e">
        <f t="shared" ca="1" si="3"/>
        <v>#VALUE!</v>
      </c>
      <c r="P12" s="49">
        <f>IFERROR(VLOOKUP(C12,Purchased!A:E,3,FALSE),"")</f>
        <v>0</v>
      </c>
      <c r="Q12" s="50">
        <f t="shared" si="4"/>
        <v>0</v>
      </c>
    </row>
    <row r="13" spans="1:17" s="2" customFormat="1" ht="12" customHeight="1">
      <c r="A13" s="4">
        <f t="shared" si="2"/>
        <v>309</v>
      </c>
      <c r="B13" s="2">
        <v>3</v>
      </c>
      <c r="C13" s="114">
        <v>3208979</v>
      </c>
      <c r="D13" s="268" t="str">
        <f>VLOOKUP(C13,Purchased!A:B,2,0)</f>
        <v>D-PT 4-QUATTRO; END COVER, GY</v>
      </c>
      <c r="E13" s="269"/>
      <c r="F13" s="112" t="str">
        <f>VLOOKUP(C13,Purchased!A:Q,9,0)</f>
        <v>PHOENIX CONTACT</v>
      </c>
      <c r="G13" s="112" t="str">
        <f>VLOOKUP(C13,Purchased!A:Q,10,0)</f>
        <v>CRAVE</v>
      </c>
      <c r="H13" s="112">
        <f>VLOOKUP(C13,Purchased!A:Q,12,0)</f>
        <v>0</v>
      </c>
      <c r="I13" s="113"/>
      <c r="J13" s="44">
        <f>VLOOKUP(C13,Purchased!A:Q,13,0)</f>
        <v>0</v>
      </c>
      <c r="K13" s="44">
        <f>VLOOKUP(C13,Purchased!A:Q,14,0)</f>
        <v>0</v>
      </c>
      <c r="L13" s="44">
        <f>VLOOKUP(C13,Purchased!A:Q,15,0)</f>
        <v>0</v>
      </c>
      <c r="M13" s="44">
        <f>VLOOKUP(C13,Purchased!A:Q,16,0)</f>
        <v>0</v>
      </c>
      <c r="N13" s="45">
        <f>VLOOKUP(C13,Purchased!A:Q,17,0)</f>
        <v>0</v>
      </c>
      <c r="O13" s="45" t="e">
        <f t="shared" ca="1" si="3"/>
        <v>#VALUE!</v>
      </c>
      <c r="P13" s="49">
        <f>IFERROR(VLOOKUP(C13,Purchased!A:E,3,FALSE),"")</f>
        <v>0</v>
      </c>
      <c r="Q13" s="50">
        <f t="shared" si="4"/>
        <v>0</v>
      </c>
    </row>
    <row r="14" spans="1:17" s="2" customFormat="1" ht="12" customHeight="1">
      <c r="A14" s="4">
        <f t="shared" si="2"/>
        <v>310</v>
      </c>
      <c r="B14" s="2">
        <v>6</v>
      </c>
      <c r="C14" s="114">
        <v>3208208</v>
      </c>
      <c r="D14" s="268" t="str">
        <f>VLOOKUP(C14,Purchased!A:B,2,0)</f>
        <v>Four-conductor terminal block, PT 1,5/S-QUATTRO BU</v>
      </c>
      <c r="E14" s="269"/>
      <c r="F14" s="112" t="str">
        <f>VLOOKUP(C14,Purchased!A:Q,9,0)</f>
        <v>PHOENIX CONTACT</v>
      </c>
      <c r="G14" s="112" t="str">
        <f>VLOOKUP(C14,Purchased!A:Q,10,0)</f>
        <v>CRAVE</v>
      </c>
      <c r="H14" s="112">
        <f>VLOOKUP(C14,Purchased!A:Q,12,0)</f>
        <v>0</v>
      </c>
      <c r="I14" s="113"/>
      <c r="J14" s="44">
        <f>VLOOKUP(C14,Purchased!A:Q,13,0)</f>
        <v>0</v>
      </c>
      <c r="K14" s="44">
        <f>VLOOKUP(C14,Purchased!A:Q,14,0)</f>
        <v>0</v>
      </c>
      <c r="L14" s="44">
        <f>VLOOKUP(C14,Purchased!A:Q,15,0)</f>
        <v>0</v>
      </c>
      <c r="M14" s="44">
        <f>VLOOKUP(C14,Purchased!A:Q,16,0)</f>
        <v>0</v>
      </c>
      <c r="N14" s="45">
        <f>VLOOKUP(C14,Purchased!A:Q,17,0)</f>
        <v>0</v>
      </c>
      <c r="O14" s="45" t="e">
        <f t="shared" ca="1" si="3"/>
        <v>#VALUE!</v>
      </c>
      <c r="P14" s="49">
        <f>IFERROR(VLOOKUP(C14,Purchased!A:E,3,FALSE),"")</f>
        <v>0</v>
      </c>
      <c r="Q14" s="50">
        <f t="shared" si="4"/>
        <v>0</v>
      </c>
    </row>
    <row r="15" spans="1:17" s="2" customFormat="1" ht="12" customHeight="1">
      <c r="A15" s="4">
        <f t="shared" si="2"/>
        <v>311</v>
      </c>
      <c r="B15" s="2">
        <v>6</v>
      </c>
      <c r="C15" s="114">
        <v>3211797</v>
      </c>
      <c r="D15" s="268" t="str">
        <f>VLOOKUP(C15,Purchased!A:B,2,0)</f>
        <v>PT 4-QUATTRO; Feed-through terminal block, 32A, 24..10AWG, GY</v>
      </c>
      <c r="E15" s="269"/>
      <c r="F15" s="112" t="str">
        <f>VLOOKUP(C15,Purchased!A:Q,9,0)</f>
        <v>PHOENIX CONTACT</v>
      </c>
      <c r="G15" s="112" t="str">
        <f>VLOOKUP(C15,Purchased!A:Q,10,0)</f>
        <v>CRAVE</v>
      </c>
      <c r="H15" s="112">
        <f>VLOOKUP(C15,Purchased!A:Q,12,0)</f>
        <v>0</v>
      </c>
      <c r="I15" s="113"/>
      <c r="J15" s="44">
        <f>VLOOKUP(C15,Purchased!A:Q,13,0)</f>
        <v>0</v>
      </c>
      <c r="K15" s="44">
        <f>VLOOKUP(C15,Purchased!A:Q,14,0)</f>
        <v>0</v>
      </c>
      <c r="L15" s="44">
        <f>VLOOKUP(C15,Purchased!A:Q,15,0)</f>
        <v>0</v>
      </c>
      <c r="M15" s="44">
        <f>VLOOKUP(C15,Purchased!A:Q,16,0)</f>
        <v>0</v>
      </c>
      <c r="N15" s="45">
        <f>VLOOKUP(C15,Purchased!A:Q,17,0)</f>
        <v>0</v>
      </c>
      <c r="O15" s="45" t="e">
        <f t="shared" ca="1" si="3"/>
        <v>#VALUE!</v>
      </c>
      <c r="P15" s="49">
        <f>IFERROR(VLOOKUP(C15,Purchased!A:E,3,FALSE),"")</f>
        <v>0</v>
      </c>
      <c r="Q15" s="50">
        <f t="shared" si="4"/>
        <v>0</v>
      </c>
    </row>
    <row r="16" spans="1:17" s="2" customFormat="1" ht="12" customHeight="1">
      <c r="A16" s="4">
        <f t="shared" si="2"/>
        <v>312</v>
      </c>
      <c r="B16" s="2">
        <v>1</v>
      </c>
      <c r="C16" s="114">
        <v>1085343</v>
      </c>
      <c r="D16" s="268" t="str">
        <f>VLOOKUP(C16,Purchased!A:B,2,0)</f>
        <v>SAFETY RELAY, RLY3-OSSD1, 2 CHANNEL INPUTS W/EDM</v>
      </c>
      <c r="E16" s="269"/>
      <c r="F16" s="112" t="str">
        <f>VLOOKUP(C16,Purchased!A:Q,9,0)</f>
        <v>SICK</v>
      </c>
      <c r="G16" s="112" t="str">
        <f>VLOOKUP(C16,Purchased!A:Q,10,0)</f>
        <v>CRAVE</v>
      </c>
      <c r="H16" s="112">
        <f>VLOOKUP(C16,Purchased!A:Q,12,0)</f>
        <v>0</v>
      </c>
      <c r="I16" s="113"/>
      <c r="J16" s="44">
        <f>VLOOKUP(C16,Purchased!A:Q,13,0)</f>
        <v>0</v>
      </c>
      <c r="K16" s="44">
        <f>VLOOKUP(C16,Purchased!A:Q,14,0)</f>
        <v>0</v>
      </c>
      <c r="L16" s="44">
        <f>VLOOKUP(C16,Purchased!A:Q,15,0)</f>
        <v>0</v>
      </c>
      <c r="M16" s="44">
        <f>VLOOKUP(C16,Purchased!A:Q,16,0)</f>
        <v>0</v>
      </c>
      <c r="N16" s="45">
        <f>VLOOKUP(C16,Purchased!A:Q,17,0)</f>
        <v>0</v>
      </c>
      <c r="O16" s="45" t="e">
        <f t="shared" ca="1" si="3"/>
        <v>#VALUE!</v>
      </c>
      <c r="P16" s="49">
        <f>IFERROR(VLOOKUP(C16,Purchased!A:E,3,FALSE),"")</f>
        <v>0</v>
      </c>
      <c r="Q16" s="50">
        <f t="shared" si="4"/>
        <v>0</v>
      </c>
    </row>
    <row r="17" spans="1:17" s="2" customFormat="1" ht="12" customHeight="1">
      <c r="A17" s="4">
        <f t="shared" si="2"/>
        <v>313</v>
      </c>
      <c r="B17" s="2">
        <v>1</v>
      </c>
      <c r="C17" s="114" t="s">
        <v>157</v>
      </c>
      <c r="D17" s="268" t="str">
        <f>VLOOKUP(C17,Purchased!A:B,2,0)</f>
        <v>DISCONNECT SWITCH, FUSIBLE, 3-POLE, TYPE CC FUSES, 30A MAXIMUM RATING, 100KA SCCR</v>
      </c>
      <c r="E17" s="269"/>
      <c r="F17" s="112" t="str">
        <f>VLOOKUP(C17,Purchased!A:Q,9,0)</f>
        <v>EATON</v>
      </c>
      <c r="G17" s="112" t="str">
        <f>VLOOKUP(C17,Purchased!A:Q,10,0)</f>
        <v>CRAVE</v>
      </c>
      <c r="H17" s="112">
        <f>VLOOKUP(C17,Purchased!A:Q,12,0)</f>
        <v>0</v>
      </c>
      <c r="I17" s="113"/>
      <c r="J17" s="44">
        <f>VLOOKUP(C17,Purchased!A:Q,13,0)</f>
        <v>0</v>
      </c>
      <c r="K17" s="44">
        <f>VLOOKUP(C17,Purchased!A:Q,14,0)</f>
        <v>0</v>
      </c>
      <c r="L17" s="44">
        <f>VLOOKUP(C17,Purchased!A:Q,15,0)</f>
        <v>0</v>
      </c>
      <c r="M17" s="44">
        <f>VLOOKUP(C17,Purchased!A:Q,16,0)</f>
        <v>0</v>
      </c>
      <c r="N17" s="45">
        <f>VLOOKUP(C17,Purchased!A:Q,17,0)</f>
        <v>0</v>
      </c>
      <c r="O17" s="45" t="e">
        <f t="shared" ca="1" si="3"/>
        <v>#VALUE!</v>
      </c>
      <c r="P17" s="49">
        <f>IFERROR(VLOOKUP(C17,Purchased!A:E,3,FALSE),"")</f>
        <v>0</v>
      </c>
      <c r="Q17" s="50">
        <f t="shared" si="4"/>
        <v>0</v>
      </c>
    </row>
    <row r="18" spans="1:17" s="2" customFormat="1" ht="12" customHeight="1">
      <c r="A18" s="4">
        <f t="shared" si="2"/>
        <v>314</v>
      </c>
      <c r="B18" s="2">
        <v>1</v>
      </c>
      <c r="C18" s="114" t="s">
        <v>158</v>
      </c>
      <c r="D18" s="268" t="str">
        <f>VLOOKUP(C18,Purchased!A:B,2,0)</f>
        <v>SHAFT EXTENSTION, FOR PISTOL HANDLE, 400MM, FOR USE WITH PH1 HANDLES</v>
      </c>
      <c r="E18" s="269"/>
      <c r="F18" s="112" t="str">
        <f>VLOOKUP(C18,Purchased!A:Q,9,0)</f>
        <v>EATON</v>
      </c>
      <c r="G18" s="112" t="str">
        <f>VLOOKUP(C18,Purchased!A:Q,10,0)</f>
        <v>CRAVE</v>
      </c>
      <c r="H18" s="112">
        <f>VLOOKUP(C18,Purchased!A:Q,12,0)</f>
        <v>0</v>
      </c>
      <c r="I18" s="113"/>
      <c r="J18" s="44">
        <f>VLOOKUP(C18,Purchased!A:Q,13,0)</f>
        <v>0</v>
      </c>
      <c r="K18" s="44">
        <f>VLOOKUP(C18,Purchased!A:Q,14,0)</f>
        <v>0</v>
      </c>
      <c r="L18" s="44">
        <f>VLOOKUP(C18,Purchased!A:Q,15,0)</f>
        <v>0</v>
      </c>
      <c r="M18" s="44">
        <f>VLOOKUP(C18,Purchased!A:Q,16,0)</f>
        <v>0</v>
      </c>
      <c r="N18" s="45">
        <f>VLOOKUP(C18,Purchased!A:Q,17,0)</f>
        <v>0</v>
      </c>
      <c r="O18" s="45" t="e">
        <f t="shared" ca="1" si="3"/>
        <v>#VALUE!</v>
      </c>
      <c r="P18" s="49">
        <f>IFERROR(VLOOKUP(C18,Purchased!A:E,3,FALSE),"")</f>
        <v>0</v>
      </c>
      <c r="Q18" s="50">
        <f t="shared" si="4"/>
        <v>0</v>
      </c>
    </row>
    <row r="19" spans="1:17" s="2" customFormat="1" ht="12" customHeight="1">
      <c r="A19" s="4">
        <f t="shared" si="2"/>
        <v>315</v>
      </c>
      <c r="B19" s="2">
        <v>1</v>
      </c>
      <c r="C19" s="114" t="s">
        <v>159</v>
      </c>
      <c r="D19" s="268" t="str">
        <f>VLOOKUP(C19,Purchased!A:B,2,0)</f>
        <v>DOOR KIT, FOR R9, H-FRAME DISCONNECTS</v>
      </c>
      <c r="E19" s="269"/>
      <c r="F19" s="112" t="str">
        <f>VLOOKUP(C19,Purchased!A:Q,9,0)</f>
        <v>EATON</v>
      </c>
      <c r="G19" s="112" t="str">
        <f>VLOOKUP(C19,Purchased!A:Q,10,0)</f>
        <v>CRAVE</v>
      </c>
      <c r="H19" s="112">
        <f>VLOOKUP(C19,Purchased!A:Q,12,0)</f>
        <v>0</v>
      </c>
      <c r="I19" s="113"/>
      <c r="J19" s="44">
        <f>VLOOKUP(C19,Purchased!A:Q,13,0)</f>
        <v>0</v>
      </c>
      <c r="K19" s="44">
        <f>VLOOKUP(C19,Purchased!A:Q,14,0)</f>
        <v>0</v>
      </c>
      <c r="L19" s="44">
        <f>VLOOKUP(C19,Purchased!A:Q,15,0)</f>
        <v>0</v>
      </c>
      <c r="M19" s="44">
        <f>VLOOKUP(C19,Purchased!A:Q,16,0)</f>
        <v>0</v>
      </c>
      <c r="N19" s="45">
        <f>VLOOKUP(C19,Purchased!A:Q,17,0)</f>
        <v>0</v>
      </c>
      <c r="O19" s="45" t="e">
        <f t="shared" ca="1" si="3"/>
        <v>#VALUE!</v>
      </c>
      <c r="P19" s="49">
        <f>IFERROR(VLOOKUP(C19,Purchased!A:E,3,FALSE),"")</f>
        <v>0</v>
      </c>
      <c r="Q19" s="50">
        <f t="shared" si="4"/>
        <v>0</v>
      </c>
    </row>
    <row r="20" spans="1:17" s="2" customFormat="1" ht="12" customHeight="1">
      <c r="A20" s="4">
        <f t="shared" si="2"/>
        <v>316</v>
      </c>
      <c r="B20" s="2">
        <v>3</v>
      </c>
      <c r="C20" s="114" t="s">
        <v>160</v>
      </c>
      <c r="D20" s="268" t="str">
        <f>VLOOKUP(C20,Purchased!A:B,2,0)</f>
        <v>FUSE, TYPE CC, TIME DELAY, 6A</v>
      </c>
      <c r="E20" s="269"/>
      <c r="F20" s="112" t="str">
        <f>VLOOKUP(C20,Purchased!A:Q,9,0)</f>
        <v>BUSSMANN</v>
      </c>
      <c r="G20" s="112" t="str">
        <f>VLOOKUP(C20,Purchased!A:Q,10,0)</f>
        <v>CRAVE</v>
      </c>
      <c r="H20" s="112">
        <f>VLOOKUP(C20,Purchased!A:Q,12,0)</f>
        <v>0</v>
      </c>
      <c r="I20" s="113"/>
      <c r="J20" s="44">
        <f>VLOOKUP(C20,Purchased!A:Q,13,0)</f>
        <v>0</v>
      </c>
      <c r="K20" s="44">
        <f>VLOOKUP(C20,Purchased!A:Q,14,0)</f>
        <v>0</v>
      </c>
      <c r="L20" s="44">
        <f>VLOOKUP(C20,Purchased!A:Q,15,0)</f>
        <v>0</v>
      </c>
      <c r="M20" s="44">
        <f>VLOOKUP(C20,Purchased!A:Q,16,0)</f>
        <v>0</v>
      </c>
      <c r="N20" s="45">
        <f>VLOOKUP(C20,Purchased!A:Q,17,0)</f>
        <v>0</v>
      </c>
      <c r="O20" s="45" t="e">
        <f t="shared" ca="1" si="3"/>
        <v>#VALUE!</v>
      </c>
      <c r="P20" s="49">
        <f>IFERROR(VLOOKUP(C20,Purchased!A:E,3,FALSE),"")</f>
        <v>0</v>
      </c>
      <c r="Q20" s="50">
        <f t="shared" si="4"/>
        <v>0</v>
      </c>
    </row>
    <row r="21" spans="1:17" s="2" customFormat="1" ht="12" customHeight="1">
      <c r="A21" s="4">
        <f t="shared" si="2"/>
        <v>317</v>
      </c>
      <c r="B21" s="2">
        <v>1</v>
      </c>
      <c r="C21" s="114" t="s">
        <v>161</v>
      </c>
      <c r="D21" s="268" t="str">
        <f>VLOOKUP(C21,Purchased!A:B,2,0)</f>
        <v>Disconnect switch Pistol Handle, Black, Padlockable and Defeatable, TYPE 1, 3R, and 12</v>
      </c>
      <c r="E21" s="269"/>
      <c r="F21" s="112" t="str">
        <f>VLOOKUP(C21,Purchased!A:Q,9,0)</f>
        <v>EATON</v>
      </c>
      <c r="G21" s="112" t="str">
        <f>VLOOKUP(C21,Purchased!A:Q,10,0)</f>
        <v>CRAVE</v>
      </c>
      <c r="H21" s="112">
        <f>VLOOKUP(C21,Purchased!A:Q,12,0)</f>
        <v>0</v>
      </c>
      <c r="I21" s="113"/>
      <c r="J21" s="44">
        <f>VLOOKUP(C21,Purchased!A:Q,13,0)</f>
        <v>0</v>
      </c>
      <c r="K21" s="44">
        <f>VLOOKUP(C21,Purchased!A:Q,14,0)</f>
        <v>0</v>
      </c>
      <c r="L21" s="44">
        <f>VLOOKUP(C21,Purchased!A:Q,15,0)</f>
        <v>0</v>
      </c>
      <c r="M21" s="44">
        <f>VLOOKUP(C21,Purchased!A:Q,16,0)</f>
        <v>0</v>
      </c>
      <c r="N21" s="45">
        <f>VLOOKUP(C21,Purchased!A:Q,17,0)</f>
        <v>0</v>
      </c>
      <c r="O21" s="45" t="e">
        <f t="shared" ca="1" si="3"/>
        <v>#VALUE!</v>
      </c>
      <c r="P21" s="49">
        <f>IFERROR(VLOOKUP(C21,Purchased!A:E,3,FALSE),"")</f>
        <v>0</v>
      </c>
      <c r="Q21" s="50">
        <f t="shared" si="4"/>
        <v>0</v>
      </c>
    </row>
    <row r="22" spans="1:17" s="2" customFormat="1" ht="12" customHeight="1">
      <c r="A22" s="4">
        <f t="shared" si="2"/>
        <v>318</v>
      </c>
      <c r="B22" s="2">
        <v>1</v>
      </c>
      <c r="C22" s="114" t="s">
        <v>203</v>
      </c>
      <c r="D22" s="268" t="str">
        <f>VLOOKUP(C22,Purchased!A:B,2,0)</f>
        <v>CIRCUIT BREAKER, BK63HU 2P D15A 10kA 480Y/277VAC UL489</v>
      </c>
      <c r="E22" s="269"/>
      <c r="F22" s="112" t="str">
        <f>VLOOKUP(C22,Purchased!A:Q,9,0)</f>
        <v>LS ELECTRIC</v>
      </c>
      <c r="G22" s="112" t="str">
        <f>VLOOKUP(C22,Purchased!A:Q,10,0)</f>
        <v>CRAVE</v>
      </c>
      <c r="H22" s="112">
        <f>VLOOKUP(C22,Purchased!A:Q,12,0)</f>
        <v>0</v>
      </c>
      <c r="I22" s="113"/>
      <c r="J22" s="44">
        <f>VLOOKUP(C22,Purchased!A:Q,13,0)</f>
        <v>0</v>
      </c>
      <c r="K22" s="44">
        <f>VLOOKUP(C22,Purchased!A:Q,14,0)</f>
        <v>0</v>
      </c>
      <c r="L22" s="44">
        <f>VLOOKUP(C22,Purchased!A:Q,15,0)</f>
        <v>0</v>
      </c>
      <c r="M22" s="44">
        <f>VLOOKUP(C22,Purchased!A:Q,16,0)</f>
        <v>0</v>
      </c>
      <c r="N22" s="45">
        <f>VLOOKUP(C22,Purchased!A:Q,17,0)</f>
        <v>0</v>
      </c>
      <c r="O22" s="45" t="e">
        <f t="shared" ca="1" si="3"/>
        <v>#VALUE!</v>
      </c>
      <c r="P22" s="49">
        <f>IFERROR(VLOOKUP(C22,Purchased!A:E,3,FALSE),"")</f>
        <v>0</v>
      </c>
      <c r="Q22" s="50">
        <f t="shared" si="4"/>
        <v>0</v>
      </c>
    </row>
    <row r="23" spans="1:17" s="2" customFormat="1" ht="12" customHeight="1">
      <c r="A23" s="4">
        <f t="shared" si="2"/>
        <v>319</v>
      </c>
      <c r="B23" s="2">
        <v>3</v>
      </c>
      <c r="C23" s="114">
        <v>6030000200</v>
      </c>
      <c r="D23" s="268" t="str">
        <f>VLOOKUP(C23,Purchased!A:B,2,0)</f>
        <v>VFD, TYPE LSLV0008S100-2EONNS, 200V, 3PHASE, 1HP OUTPUT</v>
      </c>
      <c r="E23" s="269"/>
      <c r="F23" s="112" t="str">
        <f>VLOOKUP(C23,Purchased!A:Q,9,0)</f>
        <v>LS ELECTRIC</v>
      </c>
      <c r="G23" s="112" t="str">
        <f>VLOOKUP(C23,Purchased!A:Q,10,0)</f>
        <v>CRAVE</v>
      </c>
      <c r="H23" s="112">
        <f>VLOOKUP(C23,Purchased!A:Q,12,0)</f>
        <v>0</v>
      </c>
      <c r="I23" s="113"/>
      <c r="J23" s="44">
        <f>VLOOKUP(C23,Purchased!A:Q,13,0)</f>
        <v>0</v>
      </c>
      <c r="K23" s="44">
        <f>VLOOKUP(C23,Purchased!A:Q,14,0)</f>
        <v>0</v>
      </c>
      <c r="L23" s="44">
        <f>VLOOKUP(C23,Purchased!A:Q,15,0)</f>
        <v>0</v>
      </c>
      <c r="M23" s="44">
        <f>VLOOKUP(C23,Purchased!A:Q,16,0)</f>
        <v>0</v>
      </c>
      <c r="N23" s="45">
        <f>VLOOKUP(C23,Purchased!A:Q,17,0)</f>
        <v>0</v>
      </c>
      <c r="O23" s="45" t="e">
        <f t="shared" ca="1" si="3"/>
        <v>#VALUE!</v>
      </c>
      <c r="P23" s="49">
        <f>IFERROR(VLOOKUP(C23,Purchased!A:E,3,FALSE),"")</f>
        <v>0</v>
      </c>
      <c r="Q23" s="50">
        <f t="shared" si="4"/>
        <v>0</v>
      </c>
    </row>
    <row r="24" spans="1:17" s="2" customFormat="1" ht="12" customHeight="1">
      <c r="A24" s="4">
        <f t="shared" si="2"/>
        <v>320</v>
      </c>
      <c r="B24" s="2">
        <v>3</v>
      </c>
      <c r="C24" s="114">
        <v>64150003</v>
      </c>
      <c r="D24" s="268" t="str">
        <f>VLOOKUP(C24,Purchased!A:B,2,0)</f>
        <v>NETWORK FIELDBUS CARD, ETHERNET/IP</v>
      </c>
      <c r="E24" s="269"/>
      <c r="F24" s="112" t="str">
        <f>VLOOKUP(C24,Purchased!A:Q,9,0)</f>
        <v>LS ELECTRIC</v>
      </c>
      <c r="G24" s="112" t="str">
        <f>VLOOKUP(C24,Purchased!A:Q,10,0)</f>
        <v>CRAVE</v>
      </c>
      <c r="H24" s="112">
        <f>VLOOKUP(C24,Purchased!A:Q,12,0)</f>
        <v>0</v>
      </c>
      <c r="I24" s="113"/>
      <c r="J24" s="44">
        <f>VLOOKUP(C24,Purchased!A:Q,13,0)</f>
        <v>0</v>
      </c>
      <c r="K24" s="44">
        <f>VLOOKUP(C24,Purchased!A:Q,14,0)</f>
        <v>0</v>
      </c>
      <c r="L24" s="44">
        <f>VLOOKUP(C24,Purchased!A:Q,15,0)</f>
        <v>0</v>
      </c>
      <c r="M24" s="44">
        <f>VLOOKUP(C24,Purchased!A:Q,16,0)</f>
        <v>0</v>
      </c>
      <c r="N24" s="45">
        <f>VLOOKUP(C24,Purchased!A:Q,17,0)</f>
        <v>0</v>
      </c>
      <c r="O24" s="45" t="e">
        <f t="shared" ca="1" si="3"/>
        <v>#VALUE!</v>
      </c>
      <c r="P24" s="49">
        <f>IFERROR(VLOOKUP(C24,Purchased!A:E,3,FALSE),"")</f>
        <v>0</v>
      </c>
      <c r="Q24" s="50">
        <f t="shared" si="4"/>
        <v>0</v>
      </c>
    </row>
    <row r="25" spans="1:17" s="2" customFormat="1" ht="12" customHeight="1">
      <c r="A25" s="4">
        <f t="shared" si="2"/>
        <v>321</v>
      </c>
      <c r="B25" s="2">
        <v>1</v>
      </c>
      <c r="C25" s="114">
        <v>1085254</v>
      </c>
      <c r="D25" s="268" t="str">
        <f>VLOOKUP(C25,Purchased!A:B,2,0)</f>
        <v>1105N, 5-Port 10/100/1000Tx Port Industrial Ethernet Switch</v>
      </c>
      <c r="E25" s="269"/>
      <c r="F25" s="112" t="str">
        <f>VLOOKUP(C25,Purchased!A:Q,9,0)</f>
        <v>PHOENIX CONTACT</v>
      </c>
      <c r="G25" s="112" t="str">
        <f>VLOOKUP(C25,Purchased!A:Q,10,0)</f>
        <v>CRAVE</v>
      </c>
      <c r="H25" s="112">
        <f>VLOOKUP(C25,Purchased!A:Q,12,0)</f>
        <v>0</v>
      </c>
      <c r="I25" s="113"/>
      <c r="J25" s="44">
        <f>VLOOKUP(C25,Purchased!A:Q,13,0)</f>
        <v>0</v>
      </c>
      <c r="K25" s="44">
        <f>VLOOKUP(C25,Purchased!A:Q,14,0)</f>
        <v>0</v>
      </c>
      <c r="L25" s="44">
        <f>VLOOKUP(C25,Purchased!A:Q,15,0)</f>
        <v>0</v>
      </c>
      <c r="M25" s="44">
        <f>VLOOKUP(C25,Purchased!A:Q,16,0)</f>
        <v>0</v>
      </c>
      <c r="N25" s="45">
        <f>VLOOKUP(C25,Purchased!A:Q,17,0)</f>
        <v>0</v>
      </c>
      <c r="O25" s="45" t="e">
        <f t="shared" ca="1" si="3"/>
        <v>#VALUE!</v>
      </c>
      <c r="P25" s="49">
        <f>IFERROR(VLOOKUP(C25,Purchased!A:E,3,FALSE),"")</f>
        <v>0</v>
      </c>
      <c r="Q25" s="50">
        <f t="shared" si="4"/>
        <v>0</v>
      </c>
    </row>
    <row r="26" spans="1:17" s="2" customFormat="1" ht="12" customHeight="1">
      <c r="A26" s="4">
        <f t="shared" si="2"/>
        <v>322</v>
      </c>
      <c r="B26" s="2">
        <v>2</v>
      </c>
      <c r="C26" s="114">
        <v>3213014</v>
      </c>
      <c r="D26" s="268" t="str">
        <f>VLOOKUP(C26,Purchased!A:B,2,0)</f>
        <v>Plug-in bridge - FBS 2-3,5, 17.5A</v>
      </c>
      <c r="E26" s="269"/>
      <c r="F26" s="112" t="str">
        <f>VLOOKUP(C26,Purchased!A:Q,9,0)</f>
        <v>PHOENIX CONTACT</v>
      </c>
      <c r="G26" s="112" t="str">
        <f>VLOOKUP(C26,Purchased!A:Q,10,0)</f>
        <v>CRAVE</v>
      </c>
      <c r="H26" s="112">
        <f>VLOOKUP(C26,Purchased!A:Q,12,0)</f>
        <v>0</v>
      </c>
      <c r="I26" s="113"/>
      <c r="J26" s="44">
        <f>VLOOKUP(C26,Purchased!A:Q,13,0)</f>
        <v>0</v>
      </c>
      <c r="K26" s="44">
        <f>VLOOKUP(C26,Purchased!A:Q,14,0)</f>
        <v>0</v>
      </c>
      <c r="L26" s="44">
        <f>VLOOKUP(C26,Purchased!A:Q,15,0)</f>
        <v>0</v>
      </c>
      <c r="M26" s="44">
        <f>VLOOKUP(C26,Purchased!A:Q,16,0)</f>
        <v>0</v>
      </c>
      <c r="N26" s="45">
        <f>VLOOKUP(C26,Purchased!A:Q,17,0)</f>
        <v>0</v>
      </c>
      <c r="O26" s="45" t="e">
        <f t="shared" ca="1" si="3"/>
        <v>#VALUE!</v>
      </c>
      <c r="P26" s="49">
        <f>IFERROR(VLOOKUP(C26,Purchased!A:E,3,FALSE),"")</f>
        <v>0</v>
      </c>
      <c r="Q26" s="50">
        <f t="shared" si="4"/>
        <v>0</v>
      </c>
    </row>
    <row r="27" spans="1:17" s="2" customFormat="1" ht="12" customHeight="1">
      <c r="A27" s="4">
        <f t="shared" si="2"/>
        <v>323</v>
      </c>
      <c r="B27" s="2">
        <v>725</v>
      </c>
      <c r="C27" s="114">
        <v>801733</v>
      </c>
      <c r="D27" s="268" t="str">
        <f>VLOOKUP(C27,Purchased!A:B,2,0)</f>
        <v>NS 35/ 7,5 PERF 2000MM - DIN rail perforated</v>
      </c>
      <c r="E27" s="269"/>
      <c r="F27" s="112" t="str">
        <f>VLOOKUP(C27,Purchased!A:Q,9,0)</f>
        <v>Phoenix Contact</v>
      </c>
      <c r="G27" s="112" t="str">
        <f>VLOOKUP(C27,Purchased!A:Q,10,0)</f>
        <v>CRAVE</v>
      </c>
      <c r="H27" s="112">
        <f>VLOOKUP(C27,Purchased!A:Q,12,0)</f>
        <v>0</v>
      </c>
      <c r="I27" s="113"/>
      <c r="J27" s="44">
        <f>VLOOKUP(C27,Purchased!A:Q,13,0)</f>
        <v>0</v>
      </c>
      <c r="K27" s="44">
        <f>VLOOKUP(C27,Purchased!A:Q,14,0)</f>
        <v>0</v>
      </c>
      <c r="L27" s="44">
        <f>VLOOKUP(C27,Purchased!A:Q,15,0)</f>
        <v>0</v>
      </c>
      <c r="M27" s="44">
        <f>VLOOKUP(C27,Purchased!A:Q,16,0)</f>
        <v>0</v>
      </c>
      <c r="N27" s="45">
        <f>VLOOKUP(C27,Purchased!A:Q,17,0)</f>
        <v>0</v>
      </c>
      <c r="O27" s="45" t="e">
        <f t="shared" ca="1" si="3"/>
        <v>#VALUE!</v>
      </c>
      <c r="P27" s="49">
        <f>IFERROR(VLOOKUP(C27,Purchased!A:E,3,FALSE),"")</f>
        <v>0</v>
      </c>
      <c r="Q27" s="50">
        <f t="shared" si="4"/>
        <v>0</v>
      </c>
    </row>
    <row r="28" spans="1:17" s="2" customFormat="1" ht="12" customHeight="1">
      <c r="A28" s="4">
        <f t="shared" si="2"/>
        <v>324</v>
      </c>
      <c r="B28" s="2">
        <v>3</v>
      </c>
      <c r="C28" s="114">
        <v>3030336</v>
      </c>
      <c r="D28" s="268" t="str">
        <f>VLOOKUP(C28,Purchased!A:B,2,0)</f>
        <v>FBS 2-6; PLUG-IN BRIDGE, 2-POSITION, 6.2MM PITCH, RED</v>
      </c>
      <c r="E28" s="269"/>
      <c r="F28" s="112" t="str">
        <f>VLOOKUP(C28,Purchased!A:Q,9,0)</f>
        <v>PHOENIX CONTACT</v>
      </c>
      <c r="G28" s="112" t="str">
        <f>VLOOKUP(C28,Purchased!A:Q,10,0)</f>
        <v>CRAVE</v>
      </c>
      <c r="H28" s="112">
        <f>VLOOKUP(C28,Purchased!A:Q,12,0)</f>
        <v>0</v>
      </c>
      <c r="I28" s="113"/>
      <c r="J28" s="44">
        <f>VLOOKUP(C28,Purchased!A:Q,13,0)</f>
        <v>0</v>
      </c>
      <c r="K28" s="44">
        <f>VLOOKUP(C28,Purchased!A:Q,14,0)</f>
        <v>0</v>
      </c>
      <c r="L28" s="44">
        <f>VLOOKUP(C28,Purchased!A:Q,15,0)</f>
        <v>0</v>
      </c>
      <c r="M28" s="44">
        <f>VLOOKUP(C28,Purchased!A:Q,16,0)</f>
        <v>0</v>
      </c>
      <c r="N28" s="45">
        <f>VLOOKUP(C28,Purchased!A:Q,17,0)</f>
        <v>0</v>
      </c>
      <c r="O28" s="45" t="e">
        <f t="shared" ca="1" si="3"/>
        <v>#VALUE!</v>
      </c>
      <c r="P28" s="49">
        <f>IFERROR(VLOOKUP(C28,Purchased!A:E,3,FALSE),"")</f>
        <v>0</v>
      </c>
      <c r="Q28" s="50">
        <f t="shared" si="4"/>
        <v>0</v>
      </c>
    </row>
    <row r="29" spans="1:17" s="2" customFormat="1" ht="12" customHeight="1">
      <c r="A29" s="4">
        <f t="shared" si="2"/>
        <v>325</v>
      </c>
      <c r="B29" s="2">
        <v>1</v>
      </c>
      <c r="C29" s="114">
        <v>1029569</v>
      </c>
      <c r="D29" s="268" t="str">
        <f>VLOOKUP(C29,Purchased!A:B,2,0)</f>
        <v>End cover - D-PT 1,5/S-0,8 OG</v>
      </c>
      <c r="E29" s="269"/>
      <c r="F29" s="112" t="str">
        <f>VLOOKUP(C29,Purchased!A:Q,9,0)</f>
        <v>PHOENIX CONTACT</v>
      </c>
      <c r="G29" s="112" t="str">
        <f>VLOOKUP(C29,Purchased!A:Q,10,0)</f>
        <v>CRAVE</v>
      </c>
      <c r="H29" s="112">
        <f>VLOOKUP(C29,Purchased!A:Q,12,0)</f>
        <v>0</v>
      </c>
      <c r="I29" s="113"/>
      <c r="J29" s="44">
        <f>VLOOKUP(C29,Purchased!A:Q,13,0)</f>
        <v>0</v>
      </c>
      <c r="K29" s="44">
        <f>VLOOKUP(C29,Purchased!A:Q,14,0)</f>
        <v>0</v>
      </c>
      <c r="L29" s="44">
        <f>VLOOKUP(C29,Purchased!A:Q,15,0)</f>
        <v>0</v>
      </c>
      <c r="M29" s="44">
        <f>VLOOKUP(C29,Purchased!A:Q,16,0)</f>
        <v>0</v>
      </c>
      <c r="N29" s="45">
        <f>VLOOKUP(C29,Purchased!A:Q,17,0)</f>
        <v>0</v>
      </c>
      <c r="O29" s="45" t="e">
        <f t="shared" ca="1" si="3"/>
        <v>#VALUE!</v>
      </c>
      <c r="P29" s="49">
        <f>IFERROR(VLOOKUP(C29,Purchased!A:E,3,FALSE),"")</f>
        <v>0</v>
      </c>
      <c r="Q29" s="50">
        <f t="shared" si="4"/>
        <v>0</v>
      </c>
    </row>
    <row r="30" spans="1:17" s="2" customFormat="1" ht="12" customHeight="1">
      <c r="A30" s="4">
        <f t="shared" si="2"/>
        <v>326</v>
      </c>
      <c r="B30" s="2">
        <v>4</v>
      </c>
      <c r="C30" s="114">
        <v>3208126</v>
      </c>
      <c r="D30" s="268" t="str">
        <f>VLOOKUP(C30,Purchased!A:B,2,0)</f>
        <v>Feed-through terminal block - PT 1,5/S BU</v>
      </c>
      <c r="E30" s="269"/>
      <c r="F30" s="112" t="str">
        <f>VLOOKUP(C30,Purchased!A:Q,9,0)</f>
        <v>PHOENIX CONTACT</v>
      </c>
      <c r="G30" s="112" t="str">
        <f>VLOOKUP(C30,Purchased!A:Q,10,0)</f>
        <v>CRAVE</v>
      </c>
      <c r="H30" s="112">
        <f>VLOOKUP(C30,Purchased!A:Q,12,0)</f>
        <v>0</v>
      </c>
      <c r="I30" s="113"/>
      <c r="J30" s="44">
        <f>VLOOKUP(C30,Purchased!A:Q,13,0)</f>
        <v>0</v>
      </c>
      <c r="K30" s="44">
        <f>VLOOKUP(C30,Purchased!A:Q,14,0)</f>
        <v>0</v>
      </c>
      <c r="L30" s="44">
        <f>VLOOKUP(C30,Purchased!A:Q,15,0)</f>
        <v>0</v>
      </c>
      <c r="M30" s="44">
        <f>VLOOKUP(C30,Purchased!A:Q,16,0)</f>
        <v>0</v>
      </c>
      <c r="N30" s="45">
        <f>VLOOKUP(C30,Purchased!A:Q,17,0)</f>
        <v>0</v>
      </c>
      <c r="O30" s="45" t="e">
        <f t="shared" ca="1" si="3"/>
        <v>#VALUE!</v>
      </c>
      <c r="P30" s="49">
        <f>IFERROR(VLOOKUP(C30,Purchased!A:E,3,FALSE),"")</f>
        <v>0</v>
      </c>
      <c r="Q30" s="50">
        <f t="shared" si="4"/>
        <v>0</v>
      </c>
    </row>
    <row r="31" spans="1:17" s="2" customFormat="1" ht="12" customHeight="1">
      <c r="A31" s="4">
        <f t="shared" si="2"/>
        <v>327</v>
      </c>
      <c r="B31" s="2">
        <v>2</v>
      </c>
      <c r="C31" s="114">
        <v>3211809</v>
      </c>
      <c r="D31" s="268" t="str">
        <f>VLOOKUP(C31,Purchased!A:B,2,0)</f>
        <v>Ground modular terminal block, PT 4-QUATTRO-PE, 24..10AWG, GNYE</v>
      </c>
      <c r="E31" s="269"/>
      <c r="F31" s="112" t="str">
        <f>VLOOKUP(C31,Purchased!A:Q,9,0)</f>
        <v>PHOENIX CONTACT</v>
      </c>
      <c r="G31" s="112" t="str">
        <f>VLOOKUP(C31,Purchased!A:Q,10,0)</f>
        <v>CRAVE</v>
      </c>
      <c r="H31" s="112">
        <f>VLOOKUP(C31,Purchased!A:Q,12,0)</f>
        <v>0</v>
      </c>
      <c r="I31" s="113"/>
      <c r="J31" s="44">
        <f>VLOOKUP(C31,Purchased!A:Q,13,0)</f>
        <v>0</v>
      </c>
      <c r="K31" s="44">
        <f>VLOOKUP(C31,Purchased!A:Q,14,0)</f>
        <v>0</v>
      </c>
      <c r="L31" s="44">
        <f>VLOOKUP(C31,Purchased!A:Q,15,0)</f>
        <v>0</v>
      </c>
      <c r="M31" s="44">
        <f>VLOOKUP(C31,Purchased!A:Q,16,0)</f>
        <v>0</v>
      </c>
      <c r="N31" s="45">
        <f>VLOOKUP(C31,Purchased!A:Q,17,0)</f>
        <v>0</v>
      </c>
      <c r="O31" s="45" t="e">
        <f t="shared" ca="1" si="3"/>
        <v>#VALUE!</v>
      </c>
      <c r="P31" s="49">
        <f>IFERROR(VLOOKUP(C31,Purchased!A:E,3,FALSE),"")</f>
        <v>0</v>
      </c>
      <c r="Q31" s="50">
        <f t="shared" si="4"/>
        <v>0</v>
      </c>
    </row>
    <row r="32" spans="1:17" s="2" customFormat="1" ht="12" customHeight="1">
      <c r="A32" s="4">
        <f t="shared" si="2"/>
        <v>328</v>
      </c>
      <c r="B32" s="2">
        <v>1</v>
      </c>
      <c r="C32" s="114" t="s">
        <v>204</v>
      </c>
      <c r="D32" s="268" t="str">
        <f>VLOOKUP(C32,Purchased!A:B,2,0)</f>
        <v>LEGEND PLATE</v>
      </c>
      <c r="E32" s="269"/>
      <c r="F32" s="112" t="str">
        <f>VLOOKUP(C32,Purchased!A:Q,9,0)</f>
        <v>CRAVE</v>
      </c>
      <c r="G32" s="112" t="str">
        <f>VLOOKUP(C32,Purchased!A:Q,10,0)</f>
        <v>CRAVE</v>
      </c>
      <c r="H32" s="112">
        <f>VLOOKUP(C32,Purchased!A:Q,12,0)</f>
        <v>0</v>
      </c>
      <c r="I32" s="113"/>
      <c r="J32" s="44">
        <f>VLOOKUP(C32,Purchased!A:Q,13,0)</f>
        <v>0</v>
      </c>
      <c r="K32" s="44">
        <f>VLOOKUP(C32,Purchased!A:Q,14,0)</f>
        <v>0</v>
      </c>
      <c r="L32" s="44">
        <f>VLOOKUP(C32,Purchased!A:Q,15,0)</f>
        <v>0</v>
      </c>
      <c r="M32" s="44">
        <f>VLOOKUP(C32,Purchased!A:Q,16,0)</f>
        <v>0</v>
      </c>
      <c r="N32" s="45">
        <f>VLOOKUP(C32,Purchased!A:Q,17,0)</f>
        <v>0</v>
      </c>
      <c r="O32" s="45" t="e">
        <f t="shared" ca="1" si="3"/>
        <v>#VALUE!</v>
      </c>
      <c r="P32" s="49">
        <f>IFERROR(VLOOKUP(C32,Purchased!A:E,3,FALSE),"")</f>
        <v>0</v>
      </c>
      <c r="Q32" s="50">
        <f t="shared" si="4"/>
        <v>0</v>
      </c>
    </row>
    <row r="33" spans="1:17" s="2" customFormat="1" ht="12" customHeight="1" thickBot="1">
      <c r="A33" s="4">
        <f t="shared" si="2"/>
        <v>329</v>
      </c>
      <c r="B33" s="2">
        <v>1</v>
      </c>
      <c r="C33" s="114" t="s">
        <v>130</v>
      </c>
      <c r="D33" s="268" t="str">
        <f>VLOOKUP(C33,Purchased!A:B,2,0)</f>
        <v>CAUTION STICKER</v>
      </c>
      <c r="E33" s="269"/>
      <c r="F33" s="112" t="str">
        <f>VLOOKUP(C33,Purchased!A:Q,9,0)</f>
        <v>SAFETYSIGN.COM</v>
      </c>
      <c r="G33" s="112" t="str">
        <f>VLOOKUP(C33,Purchased!A:Q,10,0)</f>
        <v>CRAVE</v>
      </c>
      <c r="H33" s="112">
        <f>VLOOKUP(C33,Purchased!A:Q,12,0)</f>
        <v>0</v>
      </c>
      <c r="I33" s="113"/>
      <c r="J33" s="44">
        <f>VLOOKUP(C33,Purchased!A:Q,13,0)</f>
        <v>0</v>
      </c>
      <c r="K33" s="44">
        <f>VLOOKUP(C33,Purchased!A:Q,14,0)</f>
        <v>0</v>
      </c>
      <c r="L33" s="44">
        <f>VLOOKUP(C33,Purchased!A:Q,15,0)</f>
        <v>0</v>
      </c>
      <c r="M33" s="44">
        <f>VLOOKUP(C33,Purchased!A:Q,16,0)</f>
        <v>0</v>
      </c>
      <c r="N33" s="45">
        <f>VLOOKUP(C33,Purchased!A:Q,17,0)</f>
        <v>0</v>
      </c>
      <c r="O33" s="45" t="e">
        <f t="shared" ca="1" si="3"/>
        <v>#VALUE!</v>
      </c>
      <c r="P33" s="49">
        <f>IFERROR(VLOOKUP(C33,Purchased!A:E,3,FALSE),"")</f>
        <v>0</v>
      </c>
      <c r="Q33" s="50">
        <f t="shared" si="4"/>
        <v>0</v>
      </c>
    </row>
    <row r="34" spans="1:17" s="2" customFormat="1" ht="12.75" customHeight="1" thickBot="1">
      <c r="A34" s="34"/>
      <c r="B34" s="35"/>
      <c r="C34" s="35"/>
      <c r="D34" s="256"/>
      <c r="E34" s="257"/>
      <c r="F34" s="35"/>
      <c r="G34" s="35"/>
      <c r="H34" s="294"/>
      <c r="I34" s="295"/>
      <c r="J34" s="36"/>
      <c r="K34" s="36"/>
      <c r="L34" s="36"/>
      <c r="M34" s="37"/>
      <c r="N34" s="38"/>
      <c r="O34" s="38"/>
      <c r="P34" s="89" t="s">
        <v>43</v>
      </c>
      <c r="Q34" s="94">
        <f>SUM(Q5:Q7)</f>
        <v>813.83</v>
      </c>
    </row>
    <row r="35" spans="1:17" s="2" customFormat="1" ht="12" customHeight="1">
      <c r="D35" s="22"/>
      <c r="E35" s="22"/>
      <c r="J35" s="8"/>
      <c r="K35" s="8"/>
      <c r="L35" s="8"/>
      <c r="M35" s="8"/>
      <c r="N35" s="5"/>
      <c r="O35" s="5"/>
      <c r="P35" s="88"/>
      <c r="Q35" s="95"/>
    </row>
    <row r="36" spans="1:17" s="2" customFormat="1" ht="12" customHeight="1">
      <c r="D36" s="22"/>
      <c r="E36" s="22"/>
      <c r="J36" s="5"/>
      <c r="K36" s="5"/>
      <c r="L36" s="5"/>
      <c r="M36" s="5"/>
      <c r="N36" s="5"/>
      <c r="O36" s="5"/>
      <c r="P36" s="88"/>
      <c r="Q36" s="95"/>
    </row>
    <row r="37" spans="1:17" s="2" customFormat="1" ht="12" customHeight="1">
      <c r="D37" s="22"/>
      <c r="E37" s="22"/>
      <c r="J37" s="5"/>
      <c r="K37" s="5"/>
      <c r="L37" s="5"/>
      <c r="M37" s="5"/>
      <c r="N37" s="5"/>
      <c r="O37" s="5"/>
      <c r="P37" s="88"/>
      <c r="Q37" s="95"/>
    </row>
    <row r="38" spans="1:17" s="2" customFormat="1" ht="12" customHeight="1">
      <c r="D38" s="22"/>
      <c r="E38" s="22"/>
      <c r="J38" s="5"/>
      <c r="K38" s="5"/>
      <c r="L38" s="5"/>
      <c r="M38" s="5"/>
      <c r="N38" s="5"/>
      <c r="O38" s="5"/>
      <c r="P38" s="88"/>
      <c r="Q38" s="95"/>
    </row>
    <row r="39" spans="1:17" s="2" customFormat="1" ht="12" customHeight="1">
      <c r="D39" s="22"/>
      <c r="E39" s="22"/>
      <c r="J39" s="5"/>
      <c r="K39" s="5"/>
      <c r="L39" s="5"/>
      <c r="M39" s="5"/>
      <c r="N39" s="5"/>
      <c r="O39" s="5"/>
      <c r="P39" s="88"/>
      <c r="Q39" s="95"/>
    </row>
    <row r="40" spans="1:17" s="2" customFormat="1" ht="12" customHeight="1">
      <c r="D40" s="22"/>
      <c r="E40" s="22"/>
      <c r="J40" s="5"/>
      <c r="K40" s="5"/>
      <c r="L40" s="5"/>
      <c r="M40" s="5"/>
      <c r="N40" s="5"/>
      <c r="O40" s="5"/>
      <c r="P40" s="88"/>
      <c r="Q40" s="95"/>
    </row>
    <row r="41" spans="1:17" s="2" customFormat="1" ht="12" customHeight="1">
      <c r="D41" s="22"/>
      <c r="E41" s="22"/>
      <c r="J41" s="5"/>
      <c r="K41" s="5"/>
      <c r="L41" s="5"/>
      <c r="M41" s="5"/>
      <c r="N41" s="5"/>
      <c r="O41" s="5"/>
      <c r="P41" s="88"/>
      <c r="Q41" s="95"/>
    </row>
    <row r="42" spans="1:17" s="2" customFormat="1" ht="12" customHeight="1">
      <c r="D42" s="22"/>
      <c r="E42" s="22"/>
      <c r="J42" s="5"/>
      <c r="K42" s="5"/>
      <c r="L42" s="5"/>
      <c r="M42" s="5"/>
      <c r="N42" s="5"/>
      <c r="O42" s="5"/>
      <c r="P42" s="88"/>
      <c r="Q42" s="95"/>
    </row>
    <row r="43" spans="1:17" s="2" customFormat="1" ht="12" customHeight="1">
      <c r="D43" s="22"/>
      <c r="E43" s="22"/>
      <c r="J43" s="5"/>
      <c r="K43" s="5"/>
      <c r="L43" s="5"/>
      <c r="M43" s="5"/>
      <c r="N43" s="5"/>
      <c r="O43" s="5"/>
      <c r="P43" s="88"/>
      <c r="Q43" s="95"/>
    </row>
    <row r="44" spans="1:17" s="2" customFormat="1" ht="12" customHeight="1">
      <c r="D44" s="22"/>
      <c r="E44" s="22"/>
      <c r="J44" s="5"/>
      <c r="K44" s="5"/>
      <c r="L44" s="5"/>
      <c r="M44" s="5"/>
      <c r="N44" s="5"/>
      <c r="O44" s="5"/>
      <c r="P44" s="88"/>
      <c r="Q44" s="95"/>
    </row>
    <row r="45" spans="1:17" s="2" customFormat="1" ht="12" customHeight="1">
      <c r="D45" s="22"/>
      <c r="E45" s="22"/>
      <c r="J45" s="5"/>
      <c r="K45" s="5"/>
      <c r="L45" s="5"/>
      <c r="M45" s="5"/>
      <c r="N45" s="5"/>
      <c r="O45" s="5"/>
      <c r="P45" s="88"/>
      <c r="Q45" s="95"/>
    </row>
    <row r="46" spans="1:17" s="2" customFormat="1" ht="12" customHeight="1">
      <c r="D46" s="22"/>
      <c r="E46" s="22"/>
      <c r="J46" s="5"/>
      <c r="K46" s="5"/>
      <c r="L46" s="5"/>
      <c r="M46" s="5"/>
      <c r="N46" s="5"/>
      <c r="O46" s="5"/>
      <c r="P46" s="88"/>
      <c r="Q46" s="95"/>
    </row>
    <row r="47" spans="1:17" s="2" customFormat="1" ht="12" customHeight="1">
      <c r="D47" s="22"/>
      <c r="E47" s="22"/>
      <c r="J47" s="5"/>
      <c r="K47" s="5"/>
      <c r="L47" s="5"/>
      <c r="M47" s="5"/>
      <c r="N47" s="5"/>
      <c r="O47" s="5"/>
      <c r="P47" s="88"/>
      <c r="Q47" s="95"/>
    </row>
    <row r="48" spans="1:17" s="2" customFormat="1" ht="12" customHeight="1">
      <c r="D48" s="22"/>
      <c r="E48" s="22"/>
      <c r="J48" s="5"/>
      <c r="K48" s="5"/>
      <c r="L48" s="5"/>
      <c r="M48" s="5"/>
      <c r="N48" s="5"/>
      <c r="O48" s="5"/>
      <c r="P48" s="88"/>
      <c r="Q48" s="95"/>
    </row>
    <row r="49" spans="4:17" s="2" customFormat="1" ht="12" customHeight="1">
      <c r="D49" s="22"/>
      <c r="E49" s="22"/>
      <c r="J49" s="5"/>
      <c r="K49" s="5"/>
      <c r="L49" s="5"/>
      <c r="M49" s="5"/>
      <c r="N49" s="5"/>
      <c r="O49" s="5"/>
      <c r="P49" s="88"/>
      <c r="Q49" s="95"/>
    </row>
    <row r="50" spans="4:17" s="2" customFormat="1" ht="12" customHeight="1">
      <c r="D50" s="22"/>
      <c r="E50" s="22"/>
      <c r="J50" s="5"/>
      <c r="K50" s="5"/>
      <c r="L50" s="5"/>
      <c r="M50" s="5"/>
      <c r="N50" s="5"/>
      <c r="O50" s="5"/>
      <c r="P50" s="88"/>
      <c r="Q50" s="95"/>
    </row>
    <row r="51" spans="4:17" s="2" customFormat="1" ht="12" customHeight="1">
      <c r="D51" s="22"/>
      <c r="E51" s="22"/>
      <c r="J51" s="5"/>
      <c r="K51" s="5"/>
      <c r="L51" s="5"/>
      <c r="M51" s="5"/>
      <c r="N51" s="5"/>
      <c r="O51" s="5"/>
      <c r="P51" s="88"/>
      <c r="Q51" s="95"/>
    </row>
    <row r="52" spans="4:17" s="2" customFormat="1" ht="12" customHeight="1">
      <c r="D52" s="22"/>
      <c r="E52" s="22"/>
      <c r="J52" s="5"/>
      <c r="K52" s="5"/>
      <c r="L52" s="5"/>
      <c r="M52" s="5"/>
      <c r="N52" s="5"/>
      <c r="O52" s="5"/>
      <c r="P52" s="88"/>
      <c r="Q52" s="95"/>
    </row>
    <row r="53" spans="4:17" s="2" customFormat="1" ht="12" customHeight="1">
      <c r="D53" s="22"/>
      <c r="E53" s="22"/>
      <c r="J53" s="5"/>
      <c r="K53" s="5"/>
      <c r="L53" s="5"/>
      <c r="M53" s="5"/>
      <c r="N53" s="5"/>
      <c r="O53" s="5"/>
      <c r="P53" s="88"/>
      <c r="Q53" s="95"/>
    </row>
    <row r="54" spans="4:17" s="2" customFormat="1" ht="12" customHeight="1">
      <c r="D54" s="22"/>
      <c r="E54" s="22"/>
      <c r="J54" s="5"/>
      <c r="K54" s="5"/>
      <c r="L54" s="5"/>
      <c r="M54" s="5"/>
      <c r="N54" s="5"/>
      <c r="O54" s="5"/>
      <c r="P54" s="88"/>
      <c r="Q54" s="95"/>
    </row>
    <row r="55" spans="4:17" s="2" customFormat="1" ht="12" customHeight="1">
      <c r="D55" s="22"/>
      <c r="E55" s="22"/>
      <c r="J55" s="5"/>
      <c r="K55" s="5"/>
      <c r="L55" s="5"/>
      <c r="M55" s="5"/>
      <c r="N55" s="5"/>
      <c r="O55" s="5"/>
      <c r="P55" s="88"/>
      <c r="Q55" s="95"/>
    </row>
    <row r="56" spans="4:17" s="2" customFormat="1" ht="12" customHeight="1">
      <c r="D56" s="22"/>
      <c r="E56" s="22"/>
      <c r="J56" s="5"/>
      <c r="K56" s="5"/>
      <c r="L56" s="5"/>
      <c r="M56" s="5"/>
      <c r="N56" s="5"/>
      <c r="O56" s="5"/>
      <c r="P56" s="88"/>
      <c r="Q56" s="95"/>
    </row>
    <row r="57" spans="4:17" s="2" customFormat="1" ht="12" customHeight="1">
      <c r="D57" s="22"/>
      <c r="E57" s="22"/>
      <c r="J57" s="5"/>
      <c r="K57" s="5"/>
      <c r="L57" s="5"/>
      <c r="M57" s="5"/>
      <c r="N57" s="5"/>
      <c r="O57" s="5"/>
      <c r="P57" s="88"/>
      <c r="Q57" s="95"/>
    </row>
    <row r="58" spans="4:17" s="2" customFormat="1" ht="12" customHeight="1">
      <c r="D58" s="22"/>
      <c r="E58" s="22"/>
      <c r="J58" s="5"/>
      <c r="K58" s="5"/>
      <c r="L58" s="5"/>
      <c r="M58" s="5"/>
      <c r="N58" s="5"/>
      <c r="O58" s="5"/>
      <c r="P58" s="88"/>
      <c r="Q58" s="95"/>
    </row>
    <row r="59" spans="4:17" s="2" customFormat="1" ht="12" customHeight="1">
      <c r="D59" s="22"/>
      <c r="E59" s="22"/>
      <c r="J59" s="5"/>
      <c r="K59" s="5"/>
      <c r="L59" s="5"/>
      <c r="M59" s="5"/>
      <c r="N59" s="5"/>
      <c r="O59" s="5"/>
      <c r="P59" s="88"/>
      <c r="Q59" s="95"/>
    </row>
    <row r="60" spans="4:17" s="2" customFormat="1" ht="12" customHeight="1">
      <c r="D60" s="22"/>
      <c r="E60" s="22"/>
      <c r="J60" s="5"/>
      <c r="K60" s="5"/>
      <c r="L60" s="5"/>
      <c r="M60" s="5"/>
      <c r="N60" s="5"/>
      <c r="O60" s="5"/>
      <c r="P60" s="88"/>
      <c r="Q60" s="95"/>
    </row>
    <row r="61" spans="4:17" s="2" customFormat="1" ht="12" customHeight="1">
      <c r="D61" s="22"/>
      <c r="E61" s="22"/>
      <c r="J61" s="5"/>
      <c r="K61" s="5"/>
      <c r="L61" s="5"/>
      <c r="M61" s="5"/>
      <c r="N61" s="5"/>
      <c r="O61" s="5"/>
      <c r="P61" s="88"/>
      <c r="Q61" s="95"/>
    </row>
    <row r="62" spans="4:17" s="2" customFormat="1" ht="12" customHeight="1">
      <c r="D62" s="22"/>
      <c r="E62" s="22"/>
      <c r="J62" s="5"/>
      <c r="K62" s="5"/>
      <c r="L62" s="5"/>
      <c r="M62" s="5"/>
      <c r="N62" s="5"/>
      <c r="O62" s="5"/>
      <c r="P62" s="88"/>
      <c r="Q62" s="95"/>
    </row>
    <row r="63" spans="4:17" s="2" customFormat="1" ht="12" customHeight="1">
      <c r="D63" s="22"/>
      <c r="E63" s="22"/>
      <c r="J63" s="5"/>
      <c r="K63" s="5"/>
      <c r="L63" s="5"/>
      <c r="M63" s="5"/>
      <c r="N63" s="5"/>
      <c r="O63" s="5"/>
      <c r="P63" s="88"/>
      <c r="Q63" s="95"/>
    </row>
    <row r="64" spans="4:17" s="2" customFormat="1" ht="12" customHeight="1">
      <c r="D64" s="22"/>
      <c r="E64" s="22"/>
      <c r="J64" s="5"/>
      <c r="K64" s="5"/>
      <c r="L64" s="5"/>
      <c r="M64" s="5"/>
      <c r="N64" s="5"/>
      <c r="O64" s="5"/>
      <c r="P64" s="88"/>
      <c r="Q64" s="95"/>
    </row>
    <row r="65" spans="1:17" s="2" customFormat="1" ht="12" customHeight="1">
      <c r="D65" s="22"/>
      <c r="E65" s="22"/>
      <c r="J65" s="5"/>
      <c r="K65" s="5"/>
      <c r="L65" s="5"/>
      <c r="M65" s="5"/>
      <c r="N65" s="5"/>
      <c r="O65" s="5"/>
      <c r="P65" s="88"/>
      <c r="Q65" s="95"/>
    </row>
    <row r="66" spans="1:17" s="2" customFormat="1" ht="12" customHeight="1">
      <c r="D66" s="22"/>
      <c r="E66" s="22"/>
      <c r="J66" s="5"/>
      <c r="K66" s="5"/>
      <c r="L66" s="5"/>
      <c r="M66" s="5"/>
      <c r="N66" s="5"/>
      <c r="O66" s="5"/>
      <c r="P66" s="88"/>
      <c r="Q66" s="95"/>
    </row>
    <row r="67" spans="1:17" s="2" customFormat="1" ht="12" customHeight="1">
      <c r="D67" s="22"/>
      <c r="E67" s="22"/>
      <c r="J67" s="5"/>
      <c r="K67" s="5"/>
      <c r="L67" s="5"/>
      <c r="M67" s="5"/>
      <c r="N67" s="5"/>
      <c r="O67" s="5"/>
      <c r="P67" s="88"/>
      <c r="Q67" s="95"/>
    </row>
    <row r="68" spans="1:17" s="2" customFormat="1" ht="12" customHeight="1">
      <c r="D68" s="22"/>
      <c r="E68" s="22"/>
      <c r="J68" s="5"/>
      <c r="K68" s="5"/>
      <c r="L68" s="5"/>
      <c r="M68" s="5"/>
      <c r="N68" s="5"/>
      <c r="O68" s="5"/>
      <c r="P68" s="88"/>
      <c r="Q68" s="95"/>
    </row>
    <row r="69" spans="1:17" s="2" customFormat="1" ht="12" customHeight="1">
      <c r="D69" s="22"/>
      <c r="E69" s="22"/>
      <c r="J69" s="5"/>
      <c r="K69" s="5"/>
      <c r="L69" s="5"/>
      <c r="M69" s="5"/>
      <c r="N69" s="5"/>
      <c r="O69" s="5"/>
      <c r="P69" s="88"/>
      <c r="Q69" s="95"/>
    </row>
    <row r="70" spans="1:17" s="2" customFormat="1" ht="12" customHeight="1">
      <c r="D70" s="22"/>
      <c r="E70" s="22"/>
      <c r="J70" s="5"/>
      <c r="K70" s="5"/>
      <c r="L70" s="5"/>
      <c r="M70" s="5"/>
      <c r="N70" s="5"/>
      <c r="O70" s="5"/>
      <c r="P70" s="88"/>
      <c r="Q70" s="95"/>
    </row>
    <row r="71" spans="1:17" s="2" customFormat="1" ht="12" customHeight="1">
      <c r="D71" s="22"/>
      <c r="E71" s="22"/>
      <c r="J71" s="5"/>
      <c r="K71" s="5"/>
      <c r="L71" s="5"/>
      <c r="M71" s="5"/>
      <c r="N71" s="5"/>
      <c r="O71" s="5"/>
      <c r="P71" s="88"/>
      <c r="Q71" s="95"/>
    </row>
    <row r="72" spans="1:17" s="2" customFormat="1" ht="12" customHeight="1">
      <c r="D72" s="22"/>
      <c r="E72" s="22"/>
      <c r="J72" s="5"/>
      <c r="K72" s="5"/>
      <c r="L72" s="5"/>
      <c r="M72" s="5"/>
      <c r="N72" s="5"/>
      <c r="O72" s="5"/>
      <c r="P72" s="88"/>
      <c r="Q72" s="95"/>
    </row>
    <row r="73" spans="1:17" s="2" customFormat="1" ht="12" customHeight="1">
      <c r="D73" s="22"/>
      <c r="E73" s="22"/>
      <c r="J73" s="5"/>
      <c r="K73" s="5"/>
      <c r="L73" s="5"/>
      <c r="M73" s="5"/>
      <c r="N73" s="5"/>
      <c r="O73" s="5"/>
      <c r="P73" s="88"/>
      <c r="Q73" s="96"/>
    </row>
    <row r="74" spans="1:17" s="2" customFormat="1" ht="12" customHeight="1">
      <c r="D74" s="22"/>
      <c r="E74" s="22"/>
      <c r="J74" s="5"/>
      <c r="K74" s="5"/>
      <c r="L74" s="5"/>
      <c r="M74" s="5"/>
      <c r="N74" s="5"/>
      <c r="O74" s="5"/>
      <c r="P74" s="88"/>
      <c r="Q74" s="96"/>
    </row>
    <row r="75" spans="1:17" s="2" customFormat="1" ht="12" customHeight="1">
      <c r="D75" s="22"/>
      <c r="E75" s="22"/>
      <c r="J75" s="5"/>
      <c r="K75" s="5"/>
      <c r="L75" s="5"/>
      <c r="M75" s="5"/>
      <c r="N75" s="5"/>
      <c r="O75" s="5"/>
      <c r="P75" s="88"/>
      <c r="Q75" s="96"/>
    </row>
    <row r="76" spans="1:17" s="2" customFormat="1" ht="12" customHeight="1">
      <c r="D76" s="22"/>
      <c r="E76" s="22"/>
      <c r="J76" s="5"/>
      <c r="K76" s="5"/>
      <c r="L76" s="5"/>
      <c r="M76" s="5"/>
      <c r="N76" s="5"/>
      <c r="O76" s="5"/>
      <c r="P76" s="88"/>
      <c r="Q76" s="96"/>
    </row>
    <row r="77" spans="1:17" s="2" customFormat="1" ht="12" customHeight="1">
      <c r="A77"/>
      <c r="B77"/>
      <c r="C77"/>
      <c r="D77" s="23"/>
      <c r="E77" s="23"/>
      <c r="F77"/>
      <c r="G77"/>
      <c r="H77"/>
      <c r="I77"/>
      <c r="J77" s="19"/>
      <c r="K77" s="19"/>
      <c r="L77" s="19"/>
      <c r="M77" s="19"/>
      <c r="N77" s="19"/>
      <c r="O77" s="19"/>
      <c r="P77" s="90"/>
      <c r="Q77" s="96"/>
    </row>
    <row r="78" spans="1:17" s="2" customFormat="1" ht="12" customHeight="1">
      <c r="A78"/>
      <c r="B78"/>
      <c r="C78"/>
      <c r="D78" s="23"/>
      <c r="E78" s="23"/>
      <c r="F78"/>
      <c r="G78"/>
      <c r="H78"/>
      <c r="I78"/>
      <c r="J78" s="19"/>
      <c r="K78" s="19"/>
      <c r="L78" s="19"/>
      <c r="M78" s="19"/>
      <c r="N78" s="19"/>
      <c r="O78" s="19"/>
      <c r="P78" s="90"/>
      <c r="Q78" s="96"/>
    </row>
    <row r="79" spans="1:17" s="2" customFormat="1" ht="12" customHeight="1">
      <c r="A79"/>
      <c r="B79"/>
      <c r="C79"/>
      <c r="D79" s="23"/>
      <c r="E79" s="23"/>
      <c r="F79"/>
      <c r="G79"/>
      <c r="H79"/>
      <c r="I79"/>
      <c r="J79" s="19"/>
      <c r="K79" s="19"/>
      <c r="L79" s="19"/>
      <c r="M79" s="19"/>
      <c r="N79" s="19"/>
      <c r="O79" s="19"/>
      <c r="P79" s="90"/>
      <c r="Q79" s="96"/>
    </row>
    <row r="80" spans="1:17" s="2" customFormat="1" ht="12" customHeight="1">
      <c r="A80"/>
      <c r="B80"/>
      <c r="C80"/>
      <c r="D80" s="23"/>
      <c r="E80" s="23"/>
      <c r="F80"/>
      <c r="G80"/>
      <c r="H80"/>
      <c r="I80"/>
      <c r="J80" s="19"/>
      <c r="K80" s="19"/>
      <c r="L80" s="19"/>
      <c r="M80" s="19"/>
      <c r="N80" s="19"/>
      <c r="O80" s="19"/>
      <c r="P80" s="90"/>
      <c r="Q80" s="96"/>
    </row>
    <row r="81" spans="1:17" s="2" customFormat="1" ht="12" customHeight="1">
      <c r="A81"/>
      <c r="B81"/>
      <c r="C81"/>
      <c r="D81" s="23"/>
      <c r="E81" s="23"/>
      <c r="F81"/>
      <c r="G81"/>
      <c r="H81"/>
      <c r="I81"/>
      <c r="J81" s="19"/>
      <c r="K81" s="19"/>
      <c r="L81" s="19"/>
      <c r="M81" s="19"/>
      <c r="N81" s="19"/>
      <c r="O81" s="19"/>
      <c r="P81" s="90"/>
      <c r="Q81" s="96"/>
    </row>
    <row r="82" spans="1:17">
      <c r="Q82" s="96"/>
    </row>
    <row r="83" spans="1:17">
      <c r="Q83" s="96"/>
    </row>
    <row r="84" spans="1:17">
      <c r="Q84" s="96"/>
    </row>
    <row r="85" spans="1:17">
      <c r="Q85" s="96"/>
    </row>
    <row r="86" spans="1:17">
      <c r="Q86" s="96"/>
    </row>
    <row r="87" spans="1:17">
      <c r="Q87" s="96"/>
    </row>
    <row r="88" spans="1:17">
      <c r="Q88" s="96"/>
    </row>
    <row r="89" spans="1:17">
      <c r="Q89" s="96"/>
    </row>
    <row r="90" spans="1:17">
      <c r="Q90" s="96"/>
    </row>
    <row r="91" spans="1:17">
      <c r="Q91" s="96"/>
    </row>
    <row r="92" spans="1:17">
      <c r="Q92" s="96"/>
    </row>
    <row r="93" spans="1:17">
      <c r="Q93" s="96"/>
    </row>
    <row r="94" spans="1:17">
      <c r="Q94" s="96"/>
    </row>
    <row r="95" spans="1:17">
      <c r="Q95" s="96"/>
    </row>
    <row r="96" spans="1:17">
      <c r="Q96" s="96"/>
    </row>
    <row r="97" spans="17:17">
      <c r="Q97" s="96"/>
    </row>
    <row r="98" spans="17:17">
      <c r="Q98" s="96"/>
    </row>
    <row r="99" spans="17:17">
      <c r="Q99" s="96"/>
    </row>
    <row r="100" spans="17:17">
      <c r="Q100" s="96"/>
    </row>
    <row r="101" spans="17:17">
      <c r="Q101" s="96"/>
    </row>
    <row r="138" ht="12" customHeight="1"/>
    <row r="139" ht="12" customHeight="1"/>
    <row r="140" ht="12" customHeight="1"/>
    <row r="141" ht="12" customHeight="1"/>
    <row r="142" ht="12" customHeight="1"/>
    <row r="143" ht="12" customHeight="1"/>
    <row r="144" ht="12" customHeight="1"/>
    <row r="145" ht="12" customHeight="1"/>
    <row r="146" ht="12" customHeight="1"/>
    <row r="147" ht="12" customHeight="1"/>
    <row r="148" ht="12" customHeight="1"/>
    <row r="149" ht="12" customHeight="1"/>
    <row r="150" ht="12" customHeight="1"/>
    <row r="151" ht="12" customHeight="1"/>
    <row r="152" ht="12" customHeight="1"/>
    <row r="153" ht="12" customHeight="1"/>
    <row r="154" ht="12" customHeight="1"/>
    <row r="155" ht="12" customHeight="1"/>
    <row r="156" ht="12" customHeight="1"/>
    <row r="157" ht="12" customHeight="1"/>
    <row r="158" ht="12" customHeight="1"/>
    <row r="159" ht="12" customHeight="1"/>
    <row r="160" ht="12" customHeight="1"/>
    <row r="161" ht="12" customHeight="1"/>
    <row r="162" ht="12" customHeight="1"/>
    <row r="163" ht="12" customHeight="1"/>
    <row r="164" ht="12" customHeight="1"/>
    <row r="165" ht="12" customHeight="1"/>
    <row r="166" ht="12" customHeight="1"/>
    <row r="167" ht="12" customHeight="1"/>
    <row r="168" ht="12" customHeight="1"/>
    <row r="169" ht="12" customHeight="1"/>
    <row r="170" ht="12" customHeight="1"/>
    <row r="171" ht="12" customHeight="1"/>
    <row r="172" ht="12" customHeight="1"/>
    <row r="173" ht="12" customHeight="1"/>
    <row r="174" ht="12" customHeight="1"/>
    <row r="175" ht="12" customHeight="1"/>
    <row r="176" ht="12" customHeight="1"/>
    <row r="177" ht="12" customHeight="1"/>
    <row r="178" ht="12" customHeight="1"/>
    <row r="179" ht="12" customHeight="1"/>
    <row r="180" ht="12" customHeight="1"/>
    <row r="181" ht="12" customHeight="1"/>
    <row r="182" ht="12" customHeight="1"/>
    <row r="183" ht="12" customHeight="1"/>
    <row r="184" ht="12" customHeight="1"/>
    <row r="185" ht="12" customHeight="1"/>
    <row r="186" ht="12" customHeight="1"/>
    <row r="187" ht="12" customHeight="1"/>
  </sheetData>
  <mergeCells count="34">
    <mergeCell ref="D7:E7"/>
    <mergeCell ref="D34:E34"/>
    <mergeCell ref="H34:I34"/>
    <mergeCell ref="D1:E1"/>
    <mergeCell ref="D4:E4"/>
    <mergeCell ref="H4:I4"/>
    <mergeCell ref="D5:E5"/>
    <mergeCell ref="D6:E6"/>
    <mergeCell ref="D8:E8"/>
    <mergeCell ref="D9:E9"/>
    <mergeCell ref="D10:E10"/>
    <mergeCell ref="D11:E11"/>
    <mergeCell ref="D12:E12"/>
    <mergeCell ref="D13:E13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33:E33"/>
    <mergeCell ref="D30:E30"/>
    <mergeCell ref="D31:E31"/>
    <mergeCell ref="D32:E32"/>
    <mergeCell ref="D25:E25"/>
    <mergeCell ref="D26:E26"/>
    <mergeCell ref="D27:E27"/>
    <mergeCell ref="D28:E28"/>
    <mergeCell ref="D29:E29"/>
  </mergeCells>
  <conditionalFormatting sqref="M5:M33">
    <cfRule type="cellIs" dxfId="645" priority="4" stopIfTrue="1" operator="lessThanOrEqual">
      <formula>$L5</formula>
    </cfRule>
    <cfRule type="cellIs" dxfId="644" priority="5" operator="greaterThan">
      <formula>L5</formula>
    </cfRule>
  </conditionalFormatting>
  <conditionalFormatting sqref="C5:C33">
    <cfRule type="duplicateValues" dxfId="643" priority="468"/>
  </conditionalFormatting>
  <pageMargins left="0.7" right="0.7" top="0.75" bottom="0.75" header="0.3" footer="0.3"/>
  <pageSetup paperSize="3" fitToHeight="0" orientation="landscape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7A1CA11-D9FA-40EC-B136-9FC206A41C85}">
          <x14:formula1>
            <xm:f>Purchased!$A:$A</xm:f>
          </x14:formula1>
          <xm:sqref>C5:C33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894B40-6471-413B-9F8D-FF04333F1A84}">
  <sheetPr codeName="Sheet10">
    <tabColor theme="3" tint="0.39997558519241921"/>
    <pageSetUpPr fitToPage="1"/>
  </sheetPr>
  <dimension ref="A1:Q187"/>
  <sheetViews>
    <sheetView zoomScaleNormal="100" workbookViewId="0">
      <selection activeCell="D40" sqref="D40"/>
    </sheetView>
  </sheetViews>
  <sheetFormatPr defaultColWidth="9.140625" defaultRowHeight="15"/>
  <cols>
    <col min="1" max="1" width="5.7109375" customWidth="1"/>
    <col min="2" max="2" width="5.42578125" bestFit="1" customWidth="1"/>
    <col min="3" max="3" width="30.7109375" customWidth="1"/>
    <col min="4" max="5" width="20.7109375" style="23" customWidth="1"/>
    <col min="6" max="6" width="16.85546875" bestFit="1" customWidth="1"/>
    <col min="7" max="7" width="9.7109375" customWidth="1"/>
    <col min="8" max="8" width="8.7109375" customWidth="1"/>
    <col min="9" max="9" width="20.7109375" customWidth="1"/>
    <col min="10" max="13" width="11.7109375" style="19" customWidth="1"/>
    <col min="14" max="14" width="11.85546875" style="19" bestFit="1" customWidth="1"/>
    <col min="15" max="15" width="7.7109375" style="19" customWidth="1"/>
    <col min="16" max="16" width="10.7109375" style="90" customWidth="1"/>
    <col min="17" max="17" width="10.7109375" style="97" customWidth="1"/>
  </cols>
  <sheetData>
    <row r="1" spans="1:17" s="55" customFormat="1" ht="12" customHeight="1">
      <c r="A1" s="68" t="s">
        <v>0</v>
      </c>
      <c r="B1" s="69"/>
      <c r="C1" s="69"/>
      <c r="D1" s="262" t="s">
        <v>1</v>
      </c>
      <c r="E1" s="263"/>
      <c r="F1" s="70"/>
      <c r="G1" s="69"/>
      <c r="H1" s="70"/>
      <c r="I1" s="71"/>
      <c r="J1" s="72"/>
      <c r="K1" s="72"/>
      <c r="L1" s="72"/>
      <c r="M1" s="72"/>
      <c r="N1" s="72"/>
      <c r="O1" s="72"/>
      <c r="P1" s="85"/>
      <c r="Q1" s="91"/>
    </row>
    <row r="2" spans="1:17" s="55" customFormat="1" ht="12" customHeight="1">
      <c r="A2" s="74" t="s">
        <v>48</v>
      </c>
      <c r="B2" s="58"/>
      <c r="C2" s="57" t="e">
        <f ca="1">VLOOKUP(E3,Assemblies!B:F,4,0)</f>
        <v>#VALUE!</v>
      </c>
      <c r="D2" s="75" t="s">
        <v>3</v>
      </c>
      <c r="E2" s="76" t="e">
        <f ca="1">'GF12'!E2</f>
        <v>#VALUE!</v>
      </c>
      <c r="F2" s="77" t="s">
        <v>4</v>
      </c>
      <c r="G2" s="58" t="str">
        <f>'GF12'!G2</f>
        <v>GH</v>
      </c>
      <c r="H2" s="77" t="s">
        <v>6</v>
      </c>
      <c r="I2" s="59">
        <f>'GF12'!I2</f>
        <v>44775</v>
      </c>
      <c r="J2" s="39"/>
      <c r="K2" s="40" t="s">
        <v>49</v>
      </c>
      <c r="L2" s="41" t="e">
        <f ca="1">VLOOKUP(C2,Assemblies!E:G,3,0)</f>
        <v>#VALUE!</v>
      </c>
      <c r="M2" s="78"/>
      <c r="N2" s="78"/>
      <c r="O2" s="78"/>
      <c r="P2" s="86"/>
      <c r="Q2" s="92"/>
    </row>
    <row r="3" spans="1:17" s="55" customFormat="1" ht="12" customHeight="1" thickBot="1">
      <c r="A3" s="74" t="s">
        <v>7</v>
      </c>
      <c r="B3" s="58"/>
      <c r="C3" s="57" t="e">
        <f ca="1">VLOOKUP(E3,Assemblies!B:F,5,0)</f>
        <v>#VALUE!</v>
      </c>
      <c r="D3" s="75" t="s">
        <v>50</v>
      </c>
      <c r="E3" s="76" t="e">
        <f ca="1">MID(CELL("filename",A1),FIND("]",CELL("filename",A1))+1,256)</f>
        <v>#VALUE!</v>
      </c>
      <c r="F3" s="77" t="s">
        <v>11</v>
      </c>
      <c r="G3" s="58" t="str">
        <f>'GF12'!G3</f>
        <v>GH</v>
      </c>
      <c r="H3" s="77" t="s">
        <v>6</v>
      </c>
      <c r="I3" s="59">
        <f>'GF12'!I3</f>
        <v>44775</v>
      </c>
      <c r="J3" s="78"/>
      <c r="K3" s="78"/>
      <c r="L3" s="78"/>
      <c r="M3" s="78"/>
      <c r="N3" s="78"/>
      <c r="O3" s="78"/>
      <c r="P3" s="86"/>
      <c r="Q3" s="92"/>
    </row>
    <row r="4" spans="1:17" s="56" customFormat="1" ht="12.75" customHeight="1" thickBot="1">
      <c r="A4" s="80" t="s">
        <v>12</v>
      </c>
      <c r="B4" s="81" t="s">
        <v>13</v>
      </c>
      <c r="C4" s="81" t="s">
        <v>14</v>
      </c>
      <c r="D4" s="270" t="s">
        <v>15</v>
      </c>
      <c r="E4" s="271"/>
      <c r="F4" s="104" t="s">
        <v>16</v>
      </c>
      <c r="G4" s="81" t="s">
        <v>17</v>
      </c>
      <c r="H4" s="260" t="s">
        <v>18</v>
      </c>
      <c r="I4" s="261"/>
      <c r="J4" s="81" t="s">
        <v>51</v>
      </c>
      <c r="K4" s="81" t="s">
        <v>20</v>
      </c>
      <c r="L4" s="81" t="s">
        <v>21</v>
      </c>
      <c r="M4" s="81" t="s">
        <v>52</v>
      </c>
      <c r="N4" s="81" t="s">
        <v>22</v>
      </c>
      <c r="O4" s="81" t="s">
        <v>53</v>
      </c>
      <c r="P4" s="107" t="s">
        <v>26</v>
      </c>
      <c r="Q4" s="82" t="s">
        <v>27</v>
      </c>
    </row>
    <row r="5" spans="1:17" s="2" customFormat="1" ht="12.75" customHeight="1">
      <c r="A5" s="4">
        <v>301</v>
      </c>
      <c r="B5" s="2">
        <v>1</v>
      </c>
      <c r="C5" s="114" t="s">
        <v>201</v>
      </c>
      <c r="D5" s="268" t="str">
        <f>VLOOKUP(C5,Purchased!A:B,2,0)</f>
        <v>Saginaw EL LPPL Enclosure, 24H X 24W X 12D, RAL5005 Blue</v>
      </c>
      <c r="E5" s="269"/>
      <c r="F5" s="112" t="str">
        <f>VLOOKUP(C5,Purchased!A:Q,9,0)</f>
        <v>SAGINAW</v>
      </c>
      <c r="G5" s="112" t="str">
        <f>VLOOKUP(C5,Purchased!A:Q,10,0)</f>
        <v>SAGINAW</v>
      </c>
      <c r="H5" s="112" t="str">
        <f>VLOOKUP(C5,Purchased!A:Q,12,0)</f>
        <v xml:space="preserve"> </v>
      </c>
      <c r="I5" s="113"/>
      <c r="J5" s="44" t="str">
        <f>VLOOKUP(C5,Purchased!A:Q,13,0)</f>
        <v>N/A</v>
      </c>
      <c r="K5" s="44">
        <f>VLOOKUP(C5,Purchased!A:Q,14,0)</f>
        <v>45013</v>
      </c>
      <c r="L5" s="44">
        <f>VLOOKUP(C5,Purchased!A:Q,15,0)</f>
        <v>45043</v>
      </c>
      <c r="M5" s="44">
        <f>VLOOKUP(C5,Purchased!A:Q,16,0)</f>
        <v>45043</v>
      </c>
      <c r="N5" s="45">
        <f>VLOOKUP(C5,Purchased!A:Q,17,0)</f>
        <v>54830</v>
      </c>
      <c r="O5" s="45" t="e">
        <f t="shared" ref="O5:O7" ca="1" si="0">B5*$L$2</f>
        <v>#VALUE!</v>
      </c>
      <c r="P5" s="49">
        <f>IFERROR(VLOOKUP(C5,Purchased!A:E,3,FALSE),"")</f>
        <v>369.55</v>
      </c>
      <c r="Q5" s="50">
        <f t="shared" ref="Q5:Q7" si="1">IFERROR(B5*P5,"")</f>
        <v>369.55</v>
      </c>
    </row>
    <row r="6" spans="1:17" s="2" customFormat="1" ht="12" customHeight="1">
      <c r="A6" s="4">
        <f t="shared" ref="A6:A33" si="2">A5+1</f>
        <v>302</v>
      </c>
      <c r="B6" s="2">
        <v>1</v>
      </c>
      <c r="C6" s="114" t="s">
        <v>202</v>
      </c>
      <c r="D6" s="268" t="str">
        <f>VLOOKUP(C6,Purchased!A:B,2,0)</f>
        <v>Saginaw Subpanel, Bent Galvanized, 21H X 21W X 0.88D</v>
      </c>
      <c r="E6" s="269"/>
      <c r="F6" s="112" t="str">
        <f>VLOOKUP(C6,Purchased!A:Q,9,0)</f>
        <v>SAGINAW</v>
      </c>
      <c r="G6" s="112" t="str">
        <f>VLOOKUP(C6,Purchased!A:Q,10,0)</f>
        <v>SAGINAW</v>
      </c>
      <c r="H6" s="112" t="str">
        <f>VLOOKUP(C6,Purchased!A:Q,12,0)</f>
        <v xml:space="preserve"> </v>
      </c>
      <c r="I6" s="113"/>
      <c r="J6" s="44" t="str">
        <f>VLOOKUP(C6,Purchased!A:Q,13,0)</f>
        <v>N/A</v>
      </c>
      <c r="K6" s="44">
        <f>VLOOKUP(C6,Purchased!A:Q,14,0)</f>
        <v>45013</v>
      </c>
      <c r="L6" s="44">
        <f>VLOOKUP(C6,Purchased!A:Q,15,0)</f>
        <v>45043</v>
      </c>
      <c r="M6" s="44">
        <f>VLOOKUP(C6,Purchased!A:Q,16,0)</f>
        <v>45043</v>
      </c>
      <c r="N6" s="45">
        <f>VLOOKUP(C6,Purchased!A:Q,17,0)</f>
        <v>54831</v>
      </c>
      <c r="O6" s="45" t="e">
        <f t="shared" ca="1" si="0"/>
        <v>#VALUE!</v>
      </c>
      <c r="P6" s="49">
        <f>IFERROR(VLOOKUP(C6,Purchased!A:E,3,FALSE),"")</f>
        <v>46.6</v>
      </c>
      <c r="Q6" s="50">
        <f t="shared" si="1"/>
        <v>46.6</v>
      </c>
    </row>
    <row r="7" spans="1:17" s="2" customFormat="1" ht="12" customHeight="1">
      <c r="A7" s="4">
        <f t="shared" si="2"/>
        <v>303</v>
      </c>
      <c r="B7" s="2">
        <v>1</v>
      </c>
      <c r="C7" s="114" t="s">
        <v>91</v>
      </c>
      <c r="D7" s="268" t="str">
        <f>VLOOKUP(C7,Purchased!A:B,2,0)</f>
        <v>Panduit VeriSafe 1.0 AVT, 8' (2.4m) system cable, 10' (3m) sensor leads</v>
      </c>
      <c r="E7" s="269"/>
      <c r="F7" s="112" t="str">
        <f>VLOOKUP(C7,Purchased!A:Q,9,0)</f>
        <v>Panduit</v>
      </c>
      <c r="G7" s="112" t="str">
        <f>VLOOKUP(C7,Purchased!A:Q,10,0)</f>
        <v>OnlineComp</v>
      </c>
      <c r="H7" s="112" t="str">
        <f>VLOOKUP(C7,Purchased!A:Q,12,0)</f>
        <v xml:space="preserve"> </v>
      </c>
      <c r="I7" s="113"/>
      <c r="J7" s="44" t="str">
        <f>VLOOKUP(C7,Purchased!A:Q,13,0)</f>
        <v>N/A</v>
      </c>
      <c r="K7" s="44">
        <f>VLOOKUP(C7,Purchased!A:Q,14,0)</f>
        <v>45089</v>
      </c>
      <c r="L7" s="44">
        <f>VLOOKUP(C7,Purchased!A:Q,15,0)</f>
        <v>45096</v>
      </c>
      <c r="M7" s="44">
        <f>VLOOKUP(C7,Purchased!A:Q,16,0)</f>
        <v>45096</v>
      </c>
      <c r="N7" s="45">
        <f>VLOOKUP(C7,Purchased!A:Q,17,0)</f>
        <v>54932</v>
      </c>
      <c r="O7" s="45" t="e">
        <f t="shared" ca="1" si="0"/>
        <v>#VALUE!</v>
      </c>
      <c r="P7" s="49">
        <f>IFERROR(VLOOKUP(C7,Purchased!A:E,3,FALSE),"")</f>
        <v>397.68</v>
      </c>
      <c r="Q7" s="50">
        <f t="shared" si="1"/>
        <v>397.68</v>
      </c>
    </row>
    <row r="8" spans="1:17" s="2" customFormat="1" ht="12" customHeight="1">
      <c r="A8" s="4">
        <f t="shared" si="2"/>
        <v>304</v>
      </c>
      <c r="B8" s="2">
        <v>3</v>
      </c>
      <c r="C8" s="114" t="s">
        <v>112</v>
      </c>
      <c r="D8" s="268" t="str">
        <f>VLOOKUP(C8,Purchased!A:B,2,0)</f>
        <v>CIRCUIT BREAKER, BK63HU 3P C6A 10KA, 480Y/277VAC, 60VDC UL489</v>
      </c>
      <c r="E8" s="269"/>
      <c r="F8" s="112" t="str">
        <f>VLOOKUP(C8,Purchased!A:Q,9,0)</f>
        <v>LS ELECTRIC</v>
      </c>
      <c r="G8" s="112" t="str">
        <f>VLOOKUP(C8,Purchased!A:Q,10,0)</f>
        <v>CRAVE</v>
      </c>
      <c r="H8" s="112">
        <f>VLOOKUP(C8,Purchased!A:Q,12,0)</f>
        <v>0</v>
      </c>
      <c r="I8" s="113"/>
      <c r="J8" s="44">
        <f>VLOOKUP(C8,Purchased!A:Q,13,0)</f>
        <v>0</v>
      </c>
      <c r="K8" s="44">
        <f>VLOOKUP(C8,Purchased!A:Q,14,0)</f>
        <v>0</v>
      </c>
      <c r="L8" s="44">
        <f>VLOOKUP(C8,Purchased!A:Q,15,0)</f>
        <v>0</v>
      </c>
      <c r="M8" s="44">
        <f>VLOOKUP(C8,Purchased!A:Q,16,0)</f>
        <v>0</v>
      </c>
      <c r="N8" s="45">
        <f>VLOOKUP(C8,Purchased!A:Q,17,0)</f>
        <v>0</v>
      </c>
      <c r="O8" s="45" t="e">
        <f t="shared" ref="O8:O33" ca="1" si="3">B8*$L$2</f>
        <v>#VALUE!</v>
      </c>
      <c r="P8" s="49">
        <f>IFERROR(VLOOKUP(C8,Purchased!A:E,3,FALSE),"")</f>
        <v>0</v>
      </c>
      <c r="Q8" s="50">
        <f t="shared" ref="Q8:Q33" si="4">IFERROR(B8*P8,"")</f>
        <v>0</v>
      </c>
    </row>
    <row r="9" spans="1:17" s="2" customFormat="1" ht="12" customHeight="1">
      <c r="A9" s="4">
        <f t="shared" si="2"/>
        <v>305</v>
      </c>
      <c r="B9" s="2">
        <v>2500</v>
      </c>
      <c r="C9" s="114" t="s">
        <v>146</v>
      </c>
      <c r="D9" s="268" t="str">
        <f>VLOOKUP(C9,Purchased!A:B,2,0)</f>
        <v>Narrow Slot Wiring Duct, 25mm x 75mm</v>
      </c>
      <c r="E9" s="269"/>
      <c r="F9" s="112" t="str">
        <f>VLOOKUP(C9,Purchased!A:Q,9,0)</f>
        <v>PANDUIT</v>
      </c>
      <c r="G9" s="112" t="str">
        <f>VLOOKUP(C9,Purchased!A:Q,10,0)</f>
        <v>CRAVE</v>
      </c>
      <c r="H9" s="112">
        <f>VLOOKUP(C9,Purchased!A:Q,12,0)</f>
        <v>0</v>
      </c>
      <c r="I9" s="113"/>
      <c r="J9" s="44">
        <f>VLOOKUP(C9,Purchased!A:Q,13,0)</f>
        <v>0</v>
      </c>
      <c r="K9" s="44">
        <f>VLOOKUP(C9,Purchased!A:Q,14,0)</f>
        <v>0</v>
      </c>
      <c r="L9" s="44">
        <f>VLOOKUP(C9,Purchased!A:Q,15,0)</f>
        <v>0</v>
      </c>
      <c r="M9" s="44">
        <f>VLOOKUP(C9,Purchased!A:Q,16,0)</f>
        <v>0</v>
      </c>
      <c r="N9" s="45">
        <f>VLOOKUP(C9,Purchased!A:Q,17,0)</f>
        <v>0</v>
      </c>
      <c r="O9" s="45" t="e">
        <f t="shared" ca="1" si="3"/>
        <v>#VALUE!</v>
      </c>
      <c r="P9" s="49">
        <f>IFERROR(VLOOKUP(C9,Purchased!A:E,3,FALSE),"")</f>
        <v>0</v>
      </c>
      <c r="Q9" s="50">
        <f t="shared" si="4"/>
        <v>0</v>
      </c>
    </row>
    <row r="10" spans="1:17" s="2" customFormat="1" ht="12" customHeight="1">
      <c r="A10" s="4">
        <f t="shared" si="2"/>
        <v>306</v>
      </c>
      <c r="B10" s="2">
        <v>2500</v>
      </c>
      <c r="C10" s="114" t="s">
        <v>147</v>
      </c>
      <c r="D10" s="268" t="str">
        <f>VLOOKUP(C10,Purchased!A:B,2,0)</f>
        <v>Duct cover, 25mm</v>
      </c>
      <c r="E10" s="269"/>
      <c r="F10" s="112" t="str">
        <f>VLOOKUP(C10,Purchased!A:Q,9,0)</f>
        <v>PANDUIT</v>
      </c>
      <c r="G10" s="112" t="str">
        <f>VLOOKUP(C10,Purchased!A:Q,10,0)</f>
        <v>CRAVE</v>
      </c>
      <c r="H10" s="112">
        <f>VLOOKUP(C10,Purchased!A:Q,12,0)</f>
        <v>0</v>
      </c>
      <c r="I10" s="113"/>
      <c r="J10" s="44">
        <f>VLOOKUP(C10,Purchased!A:Q,13,0)</f>
        <v>0</v>
      </c>
      <c r="K10" s="44">
        <f>VLOOKUP(C10,Purchased!A:Q,14,0)</f>
        <v>0</v>
      </c>
      <c r="L10" s="44">
        <f>VLOOKUP(C10,Purchased!A:Q,15,0)</f>
        <v>0</v>
      </c>
      <c r="M10" s="44">
        <f>VLOOKUP(C10,Purchased!A:Q,16,0)</f>
        <v>0</v>
      </c>
      <c r="N10" s="45">
        <f>VLOOKUP(C10,Purchased!A:Q,17,0)</f>
        <v>0</v>
      </c>
      <c r="O10" s="45" t="e">
        <f t="shared" ca="1" si="3"/>
        <v>#VALUE!</v>
      </c>
      <c r="P10" s="49">
        <f>IFERROR(VLOOKUP(C10,Purchased!A:E,3,FALSE),"")</f>
        <v>0</v>
      </c>
      <c r="Q10" s="50">
        <f t="shared" si="4"/>
        <v>0</v>
      </c>
    </row>
    <row r="11" spans="1:17" s="2" customFormat="1" ht="12" customHeight="1">
      <c r="A11" s="4">
        <f t="shared" si="2"/>
        <v>307</v>
      </c>
      <c r="B11" s="2">
        <v>3</v>
      </c>
      <c r="C11" s="114">
        <v>1029591</v>
      </c>
      <c r="D11" s="268" t="str">
        <f>VLOOKUP(C11,Purchased!A:B,2,0)</f>
        <v>D-PT 1,5/S-QUATTRO-0,8 OG, END-COVER, OG</v>
      </c>
      <c r="E11" s="269"/>
      <c r="F11" s="112" t="str">
        <f>VLOOKUP(C11,Purchased!A:Q,9,0)</f>
        <v>PHOENIX CONTACT</v>
      </c>
      <c r="G11" s="112" t="str">
        <f>VLOOKUP(C11,Purchased!A:Q,10,0)</f>
        <v>CRAVE</v>
      </c>
      <c r="H11" s="112">
        <f>VLOOKUP(C11,Purchased!A:Q,12,0)</f>
        <v>0</v>
      </c>
      <c r="I11" s="113"/>
      <c r="J11" s="44">
        <f>VLOOKUP(C11,Purchased!A:Q,13,0)</f>
        <v>0</v>
      </c>
      <c r="K11" s="44">
        <f>VLOOKUP(C11,Purchased!A:Q,14,0)</f>
        <v>0</v>
      </c>
      <c r="L11" s="44">
        <f>VLOOKUP(C11,Purchased!A:Q,15,0)</f>
        <v>0</v>
      </c>
      <c r="M11" s="44">
        <f>VLOOKUP(C11,Purchased!A:Q,16,0)</f>
        <v>0</v>
      </c>
      <c r="N11" s="45">
        <f>VLOOKUP(C11,Purchased!A:Q,17,0)</f>
        <v>0</v>
      </c>
      <c r="O11" s="45" t="e">
        <f t="shared" ca="1" si="3"/>
        <v>#VALUE!</v>
      </c>
      <c r="P11" s="49">
        <f>IFERROR(VLOOKUP(C11,Purchased!A:E,3,FALSE),"")</f>
        <v>0</v>
      </c>
      <c r="Q11" s="50">
        <f t="shared" si="4"/>
        <v>0</v>
      </c>
    </row>
    <row r="12" spans="1:17" s="2" customFormat="1" ht="12" customHeight="1">
      <c r="A12" s="4">
        <f t="shared" si="2"/>
        <v>308</v>
      </c>
      <c r="B12" s="2">
        <v>4</v>
      </c>
      <c r="C12" s="114">
        <v>3022276</v>
      </c>
      <c r="D12" s="268" t="str">
        <f>VLOOKUP(C12,Purchased!A:B,2,0)</f>
        <v>CLIPFIX 35-5 - End clamp</v>
      </c>
      <c r="E12" s="269"/>
      <c r="F12" s="112" t="str">
        <f>VLOOKUP(C12,Purchased!A:Q,9,0)</f>
        <v>PHOENIX CONTACT</v>
      </c>
      <c r="G12" s="112" t="str">
        <f>VLOOKUP(C12,Purchased!A:Q,10,0)</f>
        <v>CRAVE</v>
      </c>
      <c r="H12" s="112">
        <f>VLOOKUP(C12,Purchased!A:Q,12,0)</f>
        <v>0</v>
      </c>
      <c r="I12" s="113"/>
      <c r="J12" s="44">
        <f>VLOOKUP(C12,Purchased!A:Q,13,0)</f>
        <v>0</v>
      </c>
      <c r="K12" s="44">
        <f>VLOOKUP(C12,Purchased!A:Q,14,0)</f>
        <v>0</v>
      </c>
      <c r="L12" s="44">
        <f>VLOOKUP(C12,Purchased!A:Q,15,0)</f>
        <v>0</v>
      </c>
      <c r="M12" s="44">
        <f>VLOOKUP(C12,Purchased!A:Q,16,0)</f>
        <v>0</v>
      </c>
      <c r="N12" s="45">
        <f>VLOOKUP(C12,Purchased!A:Q,17,0)</f>
        <v>0</v>
      </c>
      <c r="O12" s="45" t="e">
        <f t="shared" ca="1" si="3"/>
        <v>#VALUE!</v>
      </c>
      <c r="P12" s="49">
        <f>IFERROR(VLOOKUP(C12,Purchased!A:E,3,FALSE),"")</f>
        <v>0</v>
      </c>
      <c r="Q12" s="50">
        <f t="shared" si="4"/>
        <v>0</v>
      </c>
    </row>
    <row r="13" spans="1:17" s="2" customFormat="1" ht="12" customHeight="1">
      <c r="A13" s="4">
        <f t="shared" si="2"/>
        <v>309</v>
      </c>
      <c r="B13" s="2">
        <v>3</v>
      </c>
      <c r="C13" s="114">
        <v>3208979</v>
      </c>
      <c r="D13" s="268" t="str">
        <f>VLOOKUP(C13,Purchased!A:B,2,0)</f>
        <v>D-PT 4-QUATTRO; END COVER, GY</v>
      </c>
      <c r="E13" s="269"/>
      <c r="F13" s="112" t="str">
        <f>VLOOKUP(C13,Purchased!A:Q,9,0)</f>
        <v>PHOENIX CONTACT</v>
      </c>
      <c r="G13" s="112" t="str">
        <f>VLOOKUP(C13,Purchased!A:Q,10,0)</f>
        <v>CRAVE</v>
      </c>
      <c r="H13" s="112">
        <f>VLOOKUP(C13,Purchased!A:Q,12,0)</f>
        <v>0</v>
      </c>
      <c r="I13" s="113"/>
      <c r="J13" s="44">
        <f>VLOOKUP(C13,Purchased!A:Q,13,0)</f>
        <v>0</v>
      </c>
      <c r="K13" s="44">
        <f>VLOOKUP(C13,Purchased!A:Q,14,0)</f>
        <v>0</v>
      </c>
      <c r="L13" s="44">
        <f>VLOOKUP(C13,Purchased!A:Q,15,0)</f>
        <v>0</v>
      </c>
      <c r="M13" s="44">
        <f>VLOOKUP(C13,Purchased!A:Q,16,0)</f>
        <v>0</v>
      </c>
      <c r="N13" s="45">
        <f>VLOOKUP(C13,Purchased!A:Q,17,0)</f>
        <v>0</v>
      </c>
      <c r="O13" s="45" t="e">
        <f t="shared" ca="1" si="3"/>
        <v>#VALUE!</v>
      </c>
      <c r="P13" s="49">
        <f>IFERROR(VLOOKUP(C13,Purchased!A:E,3,FALSE),"")</f>
        <v>0</v>
      </c>
      <c r="Q13" s="50">
        <f t="shared" si="4"/>
        <v>0</v>
      </c>
    </row>
    <row r="14" spans="1:17" s="2" customFormat="1" ht="12" customHeight="1">
      <c r="A14" s="4">
        <f t="shared" si="2"/>
        <v>310</v>
      </c>
      <c r="B14" s="2">
        <v>6</v>
      </c>
      <c r="C14" s="114">
        <v>3208208</v>
      </c>
      <c r="D14" s="268" t="str">
        <f>VLOOKUP(C14,Purchased!A:B,2,0)</f>
        <v>Four-conductor terminal block, PT 1,5/S-QUATTRO BU</v>
      </c>
      <c r="E14" s="269"/>
      <c r="F14" s="112" t="str">
        <f>VLOOKUP(C14,Purchased!A:Q,9,0)</f>
        <v>PHOENIX CONTACT</v>
      </c>
      <c r="G14" s="112" t="str">
        <f>VLOOKUP(C14,Purchased!A:Q,10,0)</f>
        <v>CRAVE</v>
      </c>
      <c r="H14" s="112">
        <f>VLOOKUP(C14,Purchased!A:Q,12,0)</f>
        <v>0</v>
      </c>
      <c r="I14" s="113"/>
      <c r="J14" s="44">
        <f>VLOOKUP(C14,Purchased!A:Q,13,0)</f>
        <v>0</v>
      </c>
      <c r="K14" s="44">
        <f>VLOOKUP(C14,Purchased!A:Q,14,0)</f>
        <v>0</v>
      </c>
      <c r="L14" s="44">
        <f>VLOOKUP(C14,Purchased!A:Q,15,0)</f>
        <v>0</v>
      </c>
      <c r="M14" s="44">
        <f>VLOOKUP(C14,Purchased!A:Q,16,0)</f>
        <v>0</v>
      </c>
      <c r="N14" s="45">
        <f>VLOOKUP(C14,Purchased!A:Q,17,0)</f>
        <v>0</v>
      </c>
      <c r="O14" s="45" t="e">
        <f t="shared" ca="1" si="3"/>
        <v>#VALUE!</v>
      </c>
      <c r="P14" s="49">
        <f>IFERROR(VLOOKUP(C14,Purchased!A:E,3,FALSE),"")</f>
        <v>0</v>
      </c>
      <c r="Q14" s="50">
        <f t="shared" si="4"/>
        <v>0</v>
      </c>
    </row>
    <row r="15" spans="1:17" s="2" customFormat="1" ht="12" customHeight="1">
      <c r="A15" s="4">
        <f t="shared" si="2"/>
        <v>311</v>
      </c>
      <c r="B15" s="2">
        <v>6</v>
      </c>
      <c r="C15" s="114">
        <v>3211797</v>
      </c>
      <c r="D15" s="268" t="str">
        <f>VLOOKUP(C15,Purchased!A:B,2,0)</f>
        <v>PT 4-QUATTRO; Feed-through terminal block, 32A, 24..10AWG, GY</v>
      </c>
      <c r="E15" s="269"/>
      <c r="F15" s="112" t="str">
        <f>VLOOKUP(C15,Purchased!A:Q,9,0)</f>
        <v>PHOENIX CONTACT</v>
      </c>
      <c r="G15" s="112" t="str">
        <f>VLOOKUP(C15,Purchased!A:Q,10,0)</f>
        <v>CRAVE</v>
      </c>
      <c r="H15" s="112">
        <f>VLOOKUP(C15,Purchased!A:Q,12,0)</f>
        <v>0</v>
      </c>
      <c r="I15" s="113"/>
      <c r="J15" s="44">
        <f>VLOOKUP(C15,Purchased!A:Q,13,0)</f>
        <v>0</v>
      </c>
      <c r="K15" s="44">
        <f>VLOOKUP(C15,Purchased!A:Q,14,0)</f>
        <v>0</v>
      </c>
      <c r="L15" s="44">
        <f>VLOOKUP(C15,Purchased!A:Q,15,0)</f>
        <v>0</v>
      </c>
      <c r="M15" s="44">
        <f>VLOOKUP(C15,Purchased!A:Q,16,0)</f>
        <v>0</v>
      </c>
      <c r="N15" s="45">
        <f>VLOOKUP(C15,Purchased!A:Q,17,0)</f>
        <v>0</v>
      </c>
      <c r="O15" s="45" t="e">
        <f t="shared" ca="1" si="3"/>
        <v>#VALUE!</v>
      </c>
      <c r="P15" s="49">
        <f>IFERROR(VLOOKUP(C15,Purchased!A:E,3,FALSE),"")</f>
        <v>0</v>
      </c>
      <c r="Q15" s="50">
        <f t="shared" si="4"/>
        <v>0</v>
      </c>
    </row>
    <row r="16" spans="1:17" s="2" customFormat="1" ht="12" customHeight="1">
      <c r="A16" s="4">
        <f t="shared" si="2"/>
        <v>312</v>
      </c>
      <c r="B16" s="2">
        <v>1</v>
      </c>
      <c r="C16" s="114">
        <v>1085343</v>
      </c>
      <c r="D16" s="268" t="str">
        <f>VLOOKUP(C16,Purchased!A:B,2,0)</f>
        <v>SAFETY RELAY, RLY3-OSSD1, 2 CHANNEL INPUTS W/EDM</v>
      </c>
      <c r="E16" s="269"/>
      <c r="F16" s="112" t="str">
        <f>VLOOKUP(C16,Purchased!A:Q,9,0)</f>
        <v>SICK</v>
      </c>
      <c r="G16" s="112" t="str">
        <f>VLOOKUP(C16,Purchased!A:Q,10,0)</f>
        <v>CRAVE</v>
      </c>
      <c r="H16" s="112">
        <f>VLOOKUP(C16,Purchased!A:Q,12,0)</f>
        <v>0</v>
      </c>
      <c r="I16" s="113"/>
      <c r="J16" s="44">
        <f>VLOOKUP(C16,Purchased!A:Q,13,0)</f>
        <v>0</v>
      </c>
      <c r="K16" s="44">
        <f>VLOOKUP(C16,Purchased!A:Q,14,0)</f>
        <v>0</v>
      </c>
      <c r="L16" s="44">
        <f>VLOOKUP(C16,Purchased!A:Q,15,0)</f>
        <v>0</v>
      </c>
      <c r="M16" s="44">
        <f>VLOOKUP(C16,Purchased!A:Q,16,0)</f>
        <v>0</v>
      </c>
      <c r="N16" s="45">
        <f>VLOOKUP(C16,Purchased!A:Q,17,0)</f>
        <v>0</v>
      </c>
      <c r="O16" s="45" t="e">
        <f t="shared" ca="1" si="3"/>
        <v>#VALUE!</v>
      </c>
      <c r="P16" s="49">
        <f>IFERROR(VLOOKUP(C16,Purchased!A:E,3,FALSE),"")</f>
        <v>0</v>
      </c>
      <c r="Q16" s="50">
        <f t="shared" si="4"/>
        <v>0</v>
      </c>
    </row>
    <row r="17" spans="1:17" s="2" customFormat="1" ht="12" customHeight="1">
      <c r="A17" s="4">
        <f t="shared" si="2"/>
        <v>313</v>
      </c>
      <c r="B17" s="2">
        <v>1</v>
      </c>
      <c r="C17" s="114" t="s">
        <v>157</v>
      </c>
      <c r="D17" s="268" t="str">
        <f>VLOOKUP(C17,Purchased!A:B,2,0)</f>
        <v>DISCONNECT SWITCH, FUSIBLE, 3-POLE, TYPE CC FUSES, 30A MAXIMUM RATING, 100KA SCCR</v>
      </c>
      <c r="E17" s="269"/>
      <c r="F17" s="112" t="str">
        <f>VLOOKUP(C17,Purchased!A:Q,9,0)</f>
        <v>EATON</v>
      </c>
      <c r="G17" s="112" t="str">
        <f>VLOOKUP(C17,Purchased!A:Q,10,0)</f>
        <v>CRAVE</v>
      </c>
      <c r="H17" s="112">
        <f>VLOOKUP(C17,Purchased!A:Q,12,0)</f>
        <v>0</v>
      </c>
      <c r="I17" s="113"/>
      <c r="J17" s="44">
        <f>VLOOKUP(C17,Purchased!A:Q,13,0)</f>
        <v>0</v>
      </c>
      <c r="K17" s="44">
        <f>VLOOKUP(C17,Purchased!A:Q,14,0)</f>
        <v>0</v>
      </c>
      <c r="L17" s="44">
        <f>VLOOKUP(C17,Purchased!A:Q,15,0)</f>
        <v>0</v>
      </c>
      <c r="M17" s="44">
        <f>VLOOKUP(C17,Purchased!A:Q,16,0)</f>
        <v>0</v>
      </c>
      <c r="N17" s="45">
        <f>VLOOKUP(C17,Purchased!A:Q,17,0)</f>
        <v>0</v>
      </c>
      <c r="O17" s="45" t="e">
        <f t="shared" ca="1" si="3"/>
        <v>#VALUE!</v>
      </c>
      <c r="P17" s="49">
        <f>IFERROR(VLOOKUP(C17,Purchased!A:E,3,FALSE),"")</f>
        <v>0</v>
      </c>
      <c r="Q17" s="50">
        <f t="shared" si="4"/>
        <v>0</v>
      </c>
    </row>
    <row r="18" spans="1:17" s="2" customFormat="1" ht="12" customHeight="1">
      <c r="A18" s="4">
        <f t="shared" si="2"/>
        <v>314</v>
      </c>
      <c r="B18" s="2">
        <v>1</v>
      </c>
      <c r="C18" s="114" t="s">
        <v>158</v>
      </c>
      <c r="D18" s="268" t="str">
        <f>VLOOKUP(C18,Purchased!A:B,2,0)</f>
        <v>SHAFT EXTENSTION, FOR PISTOL HANDLE, 400MM, FOR USE WITH PH1 HANDLES</v>
      </c>
      <c r="E18" s="269"/>
      <c r="F18" s="112" t="str">
        <f>VLOOKUP(C18,Purchased!A:Q,9,0)</f>
        <v>EATON</v>
      </c>
      <c r="G18" s="112" t="str">
        <f>VLOOKUP(C18,Purchased!A:Q,10,0)</f>
        <v>CRAVE</v>
      </c>
      <c r="H18" s="112">
        <f>VLOOKUP(C18,Purchased!A:Q,12,0)</f>
        <v>0</v>
      </c>
      <c r="I18" s="113"/>
      <c r="J18" s="44">
        <f>VLOOKUP(C18,Purchased!A:Q,13,0)</f>
        <v>0</v>
      </c>
      <c r="K18" s="44">
        <f>VLOOKUP(C18,Purchased!A:Q,14,0)</f>
        <v>0</v>
      </c>
      <c r="L18" s="44">
        <f>VLOOKUP(C18,Purchased!A:Q,15,0)</f>
        <v>0</v>
      </c>
      <c r="M18" s="44">
        <f>VLOOKUP(C18,Purchased!A:Q,16,0)</f>
        <v>0</v>
      </c>
      <c r="N18" s="45">
        <f>VLOOKUP(C18,Purchased!A:Q,17,0)</f>
        <v>0</v>
      </c>
      <c r="O18" s="45" t="e">
        <f t="shared" ca="1" si="3"/>
        <v>#VALUE!</v>
      </c>
      <c r="P18" s="49">
        <f>IFERROR(VLOOKUP(C18,Purchased!A:E,3,FALSE),"")</f>
        <v>0</v>
      </c>
      <c r="Q18" s="50">
        <f t="shared" si="4"/>
        <v>0</v>
      </c>
    </row>
    <row r="19" spans="1:17" s="2" customFormat="1" ht="12" customHeight="1">
      <c r="A19" s="4">
        <f t="shared" si="2"/>
        <v>315</v>
      </c>
      <c r="B19" s="2">
        <v>1</v>
      </c>
      <c r="C19" s="114" t="s">
        <v>159</v>
      </c>
      <c r="D19" s="268" t="str">
        <f>VLOOKUP(C19,Purchased!A:B,2,0)</f>
        <v>DOOR KIT, FOR R9, H-FRAME DISCONNECTS</v>
      </c>
      <c r="E19" s="269"/>
      <c r="F19" s="112" t="str">
        <f>VLOOKUP(C19,Purchased!A:Q,9,0)</f>
        <v>EATON</v>
      </c>
      <c r="G19" s="112" t="str">
        <f>VLOOKUP(C19,Purchased!A:Q,10,0)</f>
        <v>CRAVE</v>
      </c>
      <c r="H19" s="112">
        <f>VLOOKUP(C19,Purchased!A:Q,12,0)</f>
        <v>0</v>
      </c>
      <c r="I19" s="113"/>
      <c r="J19" s="44">
        <f>VLOOKUP(C19,Purchased!A:Q,13,0)</f>
        <v>0</v>
      </c>
      <c r="K19" s="44">
        <f>VLOOKUP(C19,Purchased!A:Q,14,0)</f>
        <v>0</v>
      </c>
      <c r="L19" s="44">
        <f>VLOOKUP(C19,Purchased!A:Q,15,0)</f>
        <v>0</v>
      </c>
      <c r="M19" s="44">
        <f>VLOOKUP(C19,Purchased!A:Q,16,0)</f>
        <v>0</v>
      </c>
      <c r="N19" s="45">
        <f>VLOOKUP(C19,Purchased!A:Q,17,0)</f>
        <v>0</v>
      </c>
      <c r="O19" s="45" t="e">
        <f t="shared" ca="1" si="3"/>
        <v>#VALUE!</v>
      </c>
      <c r="P19" s="49">
        <f>IFERROR(VLOOKUP(C19,Purchased!A:E,3,FALSE),"")</f>
        <v>0</v>
      </c>
      <c r="Q19" s="50">
        <f t="shared" si="4"/>
        <v>0</v>
      </c>
    </row>
    <row r="20" spans="1:17" s="2" customFormat="1" ht="12" customHeight="1">
      <c r="A20" s="4">
        <f t="shared" si="2"/>
        <v>316</v>
      </c>
      <c r="B20" s="2">
        <v>3</v>
      </c>
      <c r="C20" s="114" t="s">
        <v>160</v>
      </c>
      <c r="D20" s="268" t="str">
        <f>VLOOKUP(C20,Purchased!A:B,2,0)</f>
        <v>FUSE, TYPE CC, TIME DELAY, 6A</v>
      </c>
      <c r="E20" s="269"/>
      <c r="F20" s="112" t="str">
        <f>VLOOKUP(C20,Purchased!A:Q,9,0)</f>
        <v>BUSSMANN</v>
      </c>
      <c r="G20" s="112" t="str">
        <f>VLOOKUP(C20,Purchased!A:Q,10,0)</f>
        <v>CRAVE</v>
      </c>
      <c r="H20" s="112">
        <f>VLOOKUP(C20,Purchased!A:Q,12,0)</f>
        <v>0</v>
      </c>
      <c r="I20" s="113"/>
      <c r="J20" s="44">
        <f>VLOOKUP(C20,Purchased!A:Q,13,0)</f>
        <v>0</v>
      </c>
      <c r="K20" s="44">
        <f>VLOOKUP(C20,Purchased!A:Q,14,0)</f>
        <v>0</v>
      </c>
      <c r="L20" s="44">
        <f>VLOOKUP(C20,Purchased!A:Q,15,0)</f>
        <v>0</v>
      </c>
      <c r="M20" s="44">
        <f>VLOOKUP(C20,Purchased!A:Q,16,0)</f>
        <v>0</v>
      </c>
      <c r="N20" s="45">
        <f>VLOOKUP(C20,Purchased!A:Q,17,0)</f>
        <v>0</v>
      </c>
      <c r="O20" s="45" t="e">
        <f t="shared" ca="1" si="3"/>
        <v>#VALUE!</v>
      </c>
      <c r="P20" s="49">
        <f>IFERROR(VLOOKUP(C20,Purchased!A:E,3,FALSE),"")</f>
        <v>0</v>
      </c>
      <c r="Q20" s="50">
        <f t="shared" si="4"/>
        <v>0</v>
      </c>
    </row>
    <row r="21" spans="1:17" s="2" customFormat="1" ht="12" customHeight="1">
      <c r="A21" s="4">
        <f t="shared" si="2"/>
        <v>317</v>
      </c>
      <c r="B21" s="2">
        <v>1</v>
      </c>
      <c r="C21" s="114" t="s">
        <v>161</v>
      </c>
      <c r="D21" s="268" t="str">
        <f>VLOOKUP(C21,Purchased!A:B,2,0)</f>
        <v>Disconnect switch Pistol Handle, Black, Padlockable and Defeatable, TYPE 1, 3R, and 12</v>
      </c>
      <c r="E21" s="269"/>
      <c r="F21" s="112" t="str">
        <f>VLOOKUP(C21,Purchased!A:Q,9,0)</f>
        <v>EATON</v>
      </c>
      <c r="G21" s="112" t="str">
        <f>VLOOKUP(C21,Purchased!A:Q,10,0)</f>
        <v>CRAVE</v>
      </c>
      <c r="H21" s="112">
        <f>VLOOKUP(C21,Purchased!A:Q,12,0)</f>
        <v>0</v>
      </c>
      <c r="I21" s="113"/>
      <c r="J21" s="44">
        <f>VLOOKUP(C21,Purchased!A:Q,13,0)</f>
        <v>0</v>
      </c>
      <c r="K21" s="44">
        <f>VLOOKUP(C21,Purchased!A:Q,14,0)</f>
        <v>0</v>
      </c>
      <c r="L21" s="44">
        <f>VLOOKUP(C21,Purchased!A:Q,15,0)</f>
        <v>0</v>
      </c>
      <c r="M21" s="44">
        <f>VLOOKUP(C21,Purchased!A:Q,16,0)</f>
        <v>0</v>
      </c>
      <c r="N21" s="45">
        <f>VLOOKUP(C21,Purchased!A:Q,17,0)</f>
        <v>0</v>
      </c>
      <c r="O21" s="45" t="e">
        <f t="shared" ca="1" si="3"/>
        <v>#VALUE!</v>
      </c>
      <c r="P21" s="49">
        <f>IFERROR(VLOOKUP(C21,Purchased!A:E,3,FALSE),"")</f>
        <v>0</v>
      </c>
      <c r="Q21" s="50">
        <f t="shared" si="4"/>
        <v>0</v>
      </c>
    </row>
    <row r="22" spans="1:17" s="2" customFormat="1" ht="12" customHeight="1">
      <c r="A22" s="4">
        <f t="shared" si="2"/>
        <v>318</v>
      </c>
      <c r="B22" s="2">
        <v>1</v>
      </c>
      <c r="C22" s="114" t="s">
        <v>203</v>
      </c>
      <c r="D22" s="268" t="str">
        <f>VLOOKUP(C22,Purchased!A:B,2,0)</f>
        <v>CIRCUIT BREAKER, BK63HU 2P D15A 10kA 480Y/277VAC UL489</v>
      </c>
      <c r="E22" s="269"/>
      <c r="F22" s="112" t="str">
        <f>VLOOKUP(C22,Purchased!A:Q,9,0)</f>
        <v>LS ELECTRIC</v>
      </c>
      <c r="G22" s="112" t="str">
        <f>VLOOKUP(C22,Purchased!A:Q,10,0)</f>
        <v>CRAVE</v>
      </c>
      <c r="H22" s="112">
        <f>VLOOKUP(C22,Purchased!A:Q,12,0)</f>
        <v>0</v>
      </c>
      <c r="I22" s="113"/>
      <c r="J22" s="44">
        <f>VLOOKUP(C22,Purchased!A:Q,13,0)</f>
        <v>0</v>
      </c>
      <c r="K22" s="44">
        <f>VLOOKUP(C22,Purchased!A:Q,14,0)</f>
        <v>0</v>
      </c>
      <c r="L22" s="44">
        <f>VLOOKUP(C22,Purchased!A:Q,15,0)</f>
        <v>0</v>
      </c>
      <c r="M22" s="44">
        <f>VLOOKUP(C22,Purchased!A:Q,16,0)</f>
        <v>0</v>
      </c>
      <c r="N22" s="45">
        <f>VLOOKUP(C22,Purchased!A:Q,17,0)</f>
        <v>0</v>
      </c>
      <c r="O22" s="45" t="e">
        <f t="shared" ca="1" si="3"/>
        <v>#VALUE!</v>
      </c>
      <c r="P22" s="49">
        <f>IFERROR(VLOOKUP(C22,Purchased!A:E,3,FALSE),"")</f>
        <v>0</v>
      </c>
      <c r="Q22" s="50">
        <f t="shared" si="4"/>
        <v>0</v>
      </c>
    </row>
    <row r="23" spans="1:17" s="2" customFormat="1" ht="12" customHeight="1">
      <c r="A23" s="4">
        <f t="shared" si="2"/>
        <v>319</v>
      </c>
      <c r="B23" s="2">
        <v>3</v>
      </c>
      <c r="C23" s="114">
        <v>6030000200</v>
      </c>
      <c r="D23" s="268" t="str">
        <f>VLOOKUP(C23,Purchased!A:B,2,0)</f>
        <v>VFD, TYPE LSLV0008S100-2EONNS, 200V, 3PHASE, 1HP OUTPUT</v>
      </c>
      <c r="E23" s="269"/>
      <c r="F23" s="112" t="str">
        <f>VLOOKUP(C23,Purchased!A:Q,9,0)</f>
        <v>LS ELECTRIC</v>
      </c>
      <c r="G23" s="112" t="str">
        <f>VLOOKUP(C23,Purchased!A:Q,10,0)</f>
        <v>CRAVE</v>
      </c>
      <c r="H23" s="112">
        <f>VLOOKUP(C23,Purchased!A:Q,12,0)</f>
        <v>0</v>
      </c>
      <c r="I23" s="113"/>
      <c r="J23" s="44">
        <f>VLOOKUP(C23,Purchased!A:Q,13,0)</f>
        <v>0</v>
      </c>
      <c r="K23" s="44">
        <f>VLOOKUP(C23,Purchased!A:Q,14,0)</f>
        <v>0</v>
      </c>
      <c r="L23" s="44">
        <f>VLOOKUP(C23,Purchased!A:Q,15,0)</f>
        <v>0</v>
      </c>
      <c r="M23" s="44">
        <f>VLOOKUP(C23,Purchased!A:Q,16,0)</f>
        <v>0</v>
      </c>
      <c r="N23" s="45">
        <f>VLOOKUP(C23,Purchased!A:Q,17,0)</f>
        <v>0</v>
      </c>
      <c r="O23" s="45" t="e">
        <f t="shared" ca="1" si="3"/>
        <v>#VALUE!</v>
      </c>
      <c r="P23" s="49">
        <f>IFERROR(VLOOKUP(C23,Purchased!A:E,3,FALSE),"")</f>
        <v>0</v>
      </c>
      <c r="Q23" s="50">
        <f t="shared" si="4"/>
        <v>0</v>
      </c>
    </row>
    <row r="24" spans="1:17" s="2" customFormat="1" ht="12" customHeight="1">
      <c r="A24" s="4">
        <f t="shared" si="2"/>
        <v>320</v>
      </c>
      <c r="B24" s="2">
        <v>3</v>
      </c>
      <c r="C24" s="114">
        <v>64150003</v>
      </c>
      <c r="D24" s="268" t="str">
        <f>VLOOKUP(C24,Purchased!A:B,2,0)</f>
        <v>NETWORK FIELDBUS CARD, ETHERNET/IP</v>
      </c>
      <c r="E24" s="269"/>
      <c r="F24" s="112" t="str">
        <f>VLOOKUP(C24,Purchased!A:Q,9,0)</f>
        <v>LS ELECTRIC</v>
      </c>
      <c r="G24" s="112" t="str">
        <f>VLOOKUP(C24,Purchased!A:Q,10,0)</f>
        <v>CRAVE</v>
      </c>
      <c r="H24" s="112">
        <f>VLOOKUP(C24,Purchased!A:Q,12,0)</f>
        <v>0</v>
      </c>
      <c r="I24" s="113"/>
      <c r="J24" s="44">
        <f>VLOOKUP(C24,Purchased!A:Q,13,0)</f>
        <v>0</v>
      </c>
      <c r="K24" s="44">
        <f>VLOOKUP(C24,Purchased!A:Q,14,0)</f>
        <v>0</v>
      </c>
      <c r="L24" s="44">
        <f>VLOOKUP(C24,Purchased!A:Q,15,0)</f>
        <v>0</v>
      </c>
      <c r="M24" s="44">
        <f>VLOOKUP(C24,Purchased!A:Q,16,0)</f>
        <v>0</v>
      </c>
      <c r="N24" s="45">
        <f>VLOOKUP(C24,Purchased!A:Q,17,0)</f>
        <v>0</v>
      </c>
      <c r="O24" s="45" t="e">
        <f t="shared" ca="1" si="3"/>
        <v>#VALUE!</v>
      </c>
      <c r="P24" s="49">
        <f>IFERROR(VLOOKUP(C24,Purchased!A:E,3,FALSE),"")</f>
        <v>0</v>
      </c>
      <c r="Q24" s="50">
        <f t="shared" si="4"/>
        <v>0</v>
      </c>
    </row>
    <row r="25" spans="1:17" s="2" customFormat="1" ht="12" customHeight="1">
      <c r="A25" s="4">
        <f t="shared" si="2"/>
        <v>321</v>
      </c>
      <c r="B25" s="2">
        <v>1</v>
      </c>
      <c r="C25" s="114">
        <v>1085254</v>
      </c>
      <c r="D25" s="268" t="str">
        <f>VLOOKUP(C25,Purchased!A:B,2,0)</f>
        <v>1105N, 5-Port 10/100/1000Tx Port Industrial Ethernet Switch</v>
      </c>
      <c r="E25" s="269"/>
      <c r="F25" s="112" t="str">
        <f>VLOOKUP(C25,Purchased!A:Q,9,0)</f>
        <v>PHOENIX CONTACT</v>
      </c>
      <c r="G25" s="112" t="str">
        <f>VLOOKUP(C25,Purchased!A:Q,10,0)</f>
        <v>CRAVE</v>
      </c>
      <c r="H25" s="112">
        <f>VLOOKUP(C25,Purchased!A:Q,12,0)</f>
        <v>0</v>
      </c>
      <c r="I25" s="113"/>
      <c r="J25" s="44">
        <f>VLOOKUP(C25,Purchased!A:Q,13,0)</f>
        <v>0</v>
      </c>
      <c r="K25" s="44">
        <f>VLOOKUP(C25,Purchased!A:Q,14,0)</f>
        <v>0</v>
      </c>
      <c r="L25" s="44">
        <f>VLOOKUP(C25,Purchased!A:Q,15,0)</f>
        <v>0</v>
      </c>
      <c r="M25" s="44">
        <f>VLOOKUP(C25,Purchased!A:Q,16,0)</f>
        <v>0</v>
      </c>
      <c r="N25" s="45">
        <f>VLOOKUP(C25,Purchased!A:Q,17,0)</f>
        <v>0</v>
      </c>
      <c r="O25" s="45" t="e">
        <f t="shared" ca="1" si="3"/>
        <v>#VALUE!</v>
      </c>
      <c r="P25" s="49">
        <f>IFERROR(VLOOKUP(C25,Purchased!A:E,3,FALSE),"")</f>
        <v>0</v>
      </c>
      <c r="Q25" s="50">
        <f t="shared" si="4"/>
        <v>0</v>
      </c>
    </row>
    <row r="26" spans="1:17" s="2" customFormat="1" ht="12" customHeight="1">
      <c r="A26" s="4">
        <f t="shared" si="2"/>
        <v>322</v>
      </c>
      <c r="B26" s="2">
        <v>2</v>
      </c>
      <c r="C26" s="114">
        <v>3213014</v>
      </c>
      <c r="D26" s="268" t="str">
        <f>VLOOKUP(C26,Purchased!A:B,2,0)</f>
        <v>Plug-in bridge - FBS 2-3,5, 17.5A</v>
      </c>
      <c r="E26" s="269"/>
      <c r="F26" s="112" t="str">
        <f>VLOOKUP(C26,Purchased!A:Q,9,0)</f>
        <v>PHOENIX CONTACT</v>
      </c>
      <c r="G26" s="112" t="str">
        <f>VLOOKUP(C26,Purchased!A:Q,10,0)</f>
        <v>CRAVE</v>
      </c>
      <c r="H26" s="112">
        <f>VLOOKUP(C26,Purchased!A:Q,12,0)</f>
        <v>0</v>
      </c>
      <c r="I26" s="113"/>
      <c r="J26" s="44">
        <f>VLOOKUP(C26,Purchased!A:Q,13,0)</f>
        <v>0</v>
      </c>
      <c r="K26" s="44">
        <f>VLOOKUP(C26,Purchased!A:Q,14,0)</f>
        <v>0</v>
      </c>
      <c r="L26" s="44">
        <f>VLOOKUP(C26,Purchased!A:Q,15,0)</f>
        <v>0</v>
      </c>
      <c r="M26" s="44">
        <f>VLOOKUP(C26,Purchased!A:Q,16,0)</f>
        <v>0</v>
      </c>
      <c r="N26" s="45">
        <f>VLOOKUP(C26,Purchased!A:Q,17,0)</f>
        <v>0</v>
      </c>
      <c r="O26" s="45" t="e">
        <f t="shared" ca="1" si="3"/>
        <v>#VALUE!</v>
      </c>
      <c r="P26" s="49">
        <f>IFERROR(VLOOKUP(C26,Purchased!A:E,3,FALSE),"")</f>
        <v>0</v>
      </c>
      <c r="Q26" s="50">
        <f t="shared" si="4"/>
        <v>0</v>
      </c>
    </row>
    <row r="27" spans="1:17" s="2" customFormat="1" ht="12" customHeight="1">
      <c r="A27" s="4">
        <f t="shared" si="2"/>
        <v>323</v>
      </c>
      <c r="B27" s="2">
        <v>725</v>
      </c>
      <c r="C27" s="114">
        <v>801733</v>
      </c>
      <c r="D27" s="268" t="str">
        <f>VLOOKUP(C27,Purchased!A:B,2,0)</f>
        <v>NS 35/ 7,5 PERF 2000MM - DIN rail perforated</v>
      </c>
      <c r="E27" s="269"/>
      <c r="F27" s="112" t="str">
        <f>VLOOKUP(C27,Purchased!A:Q,9,0)</f>
        <v>Phoenix Contact</v>
      </c>
      <c r="G27" s="112" t="str">
        <f>VLOOKUP(C27,Purchased!A:Q,10,0)</f>
        <v>CRAVE</v>
      </c>
      <c r="H27" s="112">
        <f>VLOOKUP(C27,Purchased!A:Q,12,0)</f>
        <v>0</v>
      </c>
      <c r="I27" s="113"/>
      <c r="J27" s="44">
        <f>VLOOKUP(C27,Purchased!A:Q,13,0)</f>
        <v>0</v>
      </c>
      <c r="K27" s="44">
        <f>VLOOKUP(C27,Purchased!A:Q,14,0)</f>
        <v>0</v>
      </c>
      <c r="L27" s="44">
        <f>VLOOKUP(C27,Purchased!A:Q,15,0)</f>
        <v>0</v>
      </c>
      <c r="M27" s="44">
        <f>VLOOKUP(C27,Purchased!A:Q,16,0)</f>
        <v>0</v>
      </c>
      <c r="N27" s="45">
        <f>VLOOKUP(C27,Purchased!A:Q,17,0)</f>
        <v>0</v>
      </c>
      <c r="O27" s="45" t="e">
        <f t="shared" ca="1" si="3"/>
        <v>#VALUE!</v>
      </c>
      <c r="P27" s="49">
        <f>IFERROR(VLOOKUP(C27,Purchased!A:E,3,FALSE),"")</f>
        <v>0</v>
      </c>
      <c r="Q27" s="50">
        <f t="shared" si="4"/>
        <v>0</v>
      </c>
    </row>
    <row r="28" spans="1:17" s="2" customFormat="1" ht="12" customHeight="1">
      <c r="A28" s="4">
        <f t="shared" si="2"/>
        <v>324</v>
      </c>
      <c r="B28" s="2">
        <v>3</v>
      </c>
      <c r="C28" s="114">
        <v>3030336</v>
      </c>
      <c r="D28" s="268" t="str">
        <f>VLOOKUP(C28,Purchased!A:B,2,0)</f>
        <v>FBS 2-6; PLUG-IN BRIDGE, 2-POSITION, 6.2MM PITCH, RED</v>
      </c>
      <c r="E28" s="269"/>
      <c r="F28" s="112" t="str">
        <f>VLOOKUP(C28,Purchased!A:Q,9,0)</f>
        <v>PHOENIX CONTACT</v>
      </c>
      <c r="G28" s="112" t="str">
        <f>VLOOKUP(C28,Purchased!A:Q,10,0)</f>
        <v>CRAVE</v>
      </c>
      <c r="H28" s="112">
        <f>VLOOKUP(C28,Purchased!A:Q,12,0)</f>
        <v>0</v>
      </c>
      <c r="I28" s="113"/>
      <c r="J28" s="44">
        <f>VLOOKUP(C28,Purchased!A:Q,13,0)</f>
        <v>0</v>
      </c>
      <c r="K28" s="44">
        <f>VLOOKUP(C28,Purchased!A:Q,14,0)</f>
        <v>0</v>
      </c>
      <c r="L28" s="44">
        <f>VLOOKUP(C28,Purchased!A:Q,15,0)</f>
        <v>0</v>
      </c>
      <c r="M28" s="44">
        <f>VLOOKUP(C28,Purchased!A:Q,16,0)</f>
        <v>0</v>
      </c>
      <c r="N28" s="45">
        <f>VLOOKUP(C28,Purchased!A:Q,17,0)</f>
        <v>0</v>
      </c>
      <c r="O28" s="45" t="e">
        <f t="shared" ca="1" si="3"/>
        <v>#VALUE!</v>
      </c>
      <c r="P28" s="49">
        <f>IFERROR(VLOOKUP(C28,Purchased!A:E,3,FALSE),"")</f>
        <v>0</v>
      </c>
      <c r="Q28" s="50">
        <f t="shared" si="4"/>
        <v>0</v>
      </c>
    </row>
    <row r="29" spans="1:17" s="2" customFormat="1" ht="12" customHeight="1">
      <c r="A29" s="4">
        <f t="shared" si="2"/>
        <v>325</v>
      </c>
      <c r="B29" s="2">
        <v>1</v>
      </c>
      <c r="C29" s="114">
        <v>1029569</v>
      </c>
      <c r="D29" s="268" t="str">
        <f>VLOOKUP(C29,Purchased!A:B,2,0)</f>
        <v>End cover - D-PT 1,5/S-0,8 OG</v>
      </c>
      <c r="E29" s="269"/>
      <c r="F29" s="112" t="str">
        <f>VLOOKUP(C29,Purchased!A:Q,9,0)</f>
        <v>PHOENIX CONTACT</v>
      </c>
      <c r="G29" s="112" t="str">
        <f>VLOOKUP(C29,Purchased!A:Q,10,0)</f>
        <v>CRAVE</v>
      </c>
      <c r="H29" s="112">
        <f>VLOOKUP(C29,Purchased!A:Q,12,0)</f>
        <v>0</v>
      </c>
      <c r="I29" s="113"/>
      <c r="J29" s="44">
        <f>VLOOKUP(C29,Purchased!A:Q,13,0)</f>
        <v>0</v>
      </c>
      <c r="K29" s="44">
        <f>VLOOKUP(C29,Purchased!A:Q,14,0)</f>
        <v>0</v>
      </c>
      <c r="L29" s="44">
        <f>VLOOKUP(C29,Purchased!A:Q,15,0)</f>
        <v>0</v>
      </c>
      <c r="M29" s="44">
        <f>VLOOKUP(C29,Purchased!A:Q,16,0)</f>
        <v>0</v>
      </c>
      <c r="N29" s="45">
        <f>VLOOKUP(C29,Purchased!A:Q,17,0)</f>
        <v>0</v>
      </c>
      <c r="O29" s="45" t="e">
        <f t="shared" ca="1" si="3"/>
        <v>#VALUE!</v>
      </c>
      <c r="P29" s="49">
        <f>IFERROR(VLOOKUP(C29,Purchased!A:E,3,FALSE),"")</f>
        <v>0</v>
      </c>
      <c r="Q29" s="50">
        <f t="shared" si="4"/>
        <v>0</v>
      </c>
    </row>
    <row r="30" spans="1:17" s="2" customFormat="1" ht="12" customHeight="1">
      <c r="A30" s="4">
        <f t="shared" si="2"/>
        <v>326</v>
      </c>
      <c r="B30" s="2">
        <v>4</v>
      </c>
      <c r="C30" s="114">
        <v>3208126</v>
      </c>
      <c r="D30" s="268" t="str">
        <f>VLOOKUP(C30,Purchased!A:B,2,0)</f>
        <v>Feed-through terminal block - PT 1,5/S BU</v>
      </c>
      <c r="E30" s="269"/>
      <c r="F30" s="112" t="str">
        <f>VLOOKUP(C30,Purchased!A:Q,9,0)</f>
        <v>PHOENIX CONTACT</v>
      </c>
      <c r="G30" s="112" t="str">
        <f>VLOOKUP(C30,Purchased!A:Q,10,0)</f>
        <v>CRAVE</v>
      </c>
      <c r="H30" s="112">
        <f>VLOOKUP(C30,Purchased!A:Q,12,0)</f>
        <v>0</v>
      </c>
      <c r="I30" s="113"/>
      <c r="J30" s="44">
        <f>VLOOKUP(C30,Purchased!A:Q,13,0)</f>
        <v>0</v>
      </c>
      <c r="K30" s="44">
        <f>VLOOKUP(C30,Purchased!A:Q,14,0)</f>
        <v>0</v>
      </c>
      <c r="L30" s="44">
        <f>VLOOKUP(C30,Purchased!A:Q,15,0)</f>
        <v>0</v>
      </c>
      <c r="M30" s="44">
        <f>VLOOKUP(C30,Purchased!A:Q,16,0)</f>
        <v>0</v>
      </c>
      <c r="N30" s="45">
        <f>VLOOKUP(C30,Purchased!A:Q,17,0)</f>
        <v>0</v>
      </c>
      <c r="O30" s="45" t="e">
        <f t="shared" ca="1" si="3"/>
        <v>#VALUE!</v>
      </c>
      <c r="P30" s="49">
        <f>IFERROR(VLOOKUP(C30,Purchased!A:E,3,FALSE),"")</f>
        <v>0</v>
      </c>
      <c r="Q30" s="50">
        <f t="shared" si="4"/>
        <v>0</v>
      </c>
    </row>
    <row r="31" spans="1:17" s="2" customFormat="1" ht="12" customHeight="1">
      <c r="A31" s="4">
        <f t="shared" si="2"/>
        <v>327</v>
      </c>
      <c r="B31" s="2">
        <v>2</v>
      </c>
      <c r="C31" s="114">
        <v>3211809</v>
      </c>
      <c r="D31" s="268" t="str">
        <f>VLOOKUP(C31,Purchased!A:B,2,0)</f>
        <v>Ground modular terminal block, PT 4-QUATTRO-PE, 24..10AWG, GNYE</v>
      </c>
      <c r="E31" s="269"/>
      <c r="F31" s="112" t="str">
        <f>VLOOKUP(C31,Purchased!A:Q,9,0)</f>
        <v>PHOENIX CONTACT</v>
      </c>
      <c r="G31" s="112" t="str">
        <f>VLOOKUP(C31,Purchased!A:Q,10,0)</f>
        <v>CRAVE</v>
      </c>
      <c r="H31" s="112">
        <f>VLOOKUP(C31,Purchased!A:Q,12,0)</f>
        <v>0</v>
      </c>
      <c r="I31" s="113"/>
      <c r="J31" s="44">
        <f>VLOOKUP(C31,Purchased!A:Q,13,0)</f>
        <v>0</v>
      </c>
      <c r="K31" s="44">
        <f>VLOOKUP(C31,Purchased!A:Q,14,0)</f>
        <v>0</v>
      </c>
      <c r="L31" s="44">
        <f>VLOOKUP(C31,Purchased!A:Q,15,0)</f>
        <v>0</v>
      </c>
      <c r="M31" s="44">
        <f>VLOOKUP(C31,Purchased!A:Q,16,0)</f>
        <v>0</v>
      </c>
      <c r="N31" s="45">
        <f>VLOOKUP(C31,Purchased!A:Q,17,0)</f>
        <v>0</v>
      </c>
      <c r="O31" s="45" t="e">
        <f t="shared" ca="1" si="3"/>
        <v>#VALUE!</v>
      </c>
      <c r="P31" s="49">
        <f>IFERROR(VLOOKUP(C31,Purchased!A:E,3,FALSE),"")</f>
        <v>0</v>
      </c>
      <c r="Q31" s="50">
        <f t="shared" si="4"/>
        <v>0</v>
      </c>
    </row>
    <row r="32" spans="1:17" s="2" customFormat="1" ht="12" customHeight="1">
      <c r="A32" s="4">
        <f t="shared" si="2"/>
        <v>328</v>
      </c>
      <c r="B32" s="2">
        <v>1</v>
      </c>
      <c r="C32" s="114" t="s">
        <v>205</v>
      </c>
      <c r="D32" s="268" t="str">
        <f>VLOOKUP(C32,Purchased!A:B,2,0)</f>
        <v>LEGEND PLATE</v>
      </c>
      <c r="E32" s="269"/>
      <c r="F32" s="112" t="str">
        <f>VLOOKUP(C32,Purchased!A:Q,9,0)</f>
        <v>CRAVE</v>
      </c>
      <c r="G32" s="112" t="str">
        <f>VLOOKUP(C32,Purchased!A:Q,10,0)</f>
        <v>CRAVE</v>
      </c>
      <c r="H32" s="112">
        <f>VLOOKUP(C32,Purchased!A:Q,12,0)</f>
        <v>0</v>
      </c>
      <c r="I32" s="113"/>
      <c r="J32" s="44">
        <f>VLOOKUP(C32,Purchased!A:Q,13,0)</f>
        <v>0</v>
      </c>
      <c r="K32" s="44">
        <f>VLOOKUP(C32,Purchased!A:Q,14,0)</f>
        <v>0</v>
      </c>
      <c r="L32" s="44">
        <f>VLOOKUP(C32,Purchased!A:Q,15,0)</f>
        <v>0</v>
      </c>
      <c r="M32" s="44">
        <f>VLOOKUP(C32,Purchased!A:Q,16,0)</f>
        <v>0</v>
      </c>
      <c r="N32" s="45">
        <f>VLOOKUP(C32,Purchased!A:Q,17,0)</f>
        <v>0</v>
      </c>
      <c r="O32" s="45" t="e">
        <f t="shared" ca="1" si="3"/>
        <v>#VALUE!</v>
      </c>
      <c r="P32" s="49">
        <f>IFERROR(VLOOKUP(C32,Purchased!A:E,3,FALSE),"")</f>
        <v>0</v>
      </c>
      <c r="Q32" s="50">
        <f t="shared" si="4"/>
        <v>0</v>
      </c>
    </row>
    <row r="33" spans="1:17" s="2" customFormat="1" ht="12" customHeight="1" thickBot="1">
      <c r="A33" s="4">
        <f t="shared" si="2"/>
        <v>329</v>
      </c>
      <c r="B33" s="2">
        <v>1</v>
      </c>
      <c r="C33" s="114" t="s">
        <v>130</v>
      </c>
      <c r="D33" s="268" t="str">
        <f>VLOOKUP(C33,Purchased!A:B,2,0)</f>
        <v>CAUTION STICKER</v>
      </c>
      <c r="E33" s="269"/>
      <c r="F33" s="112" t="str">
        <f>VLOOKUP(C33,Purchased!A:Q,9,0)</f>
        <v>SAFETYSIGN.COM</v>
      </c>
      <c r="G33" s="112" t="str">
        <f>VLOOKUP(C33,Purchased!A:Q,10,0)</f>
        <v>CRAVE</v>
      </c>
      <c r="H33" s="112">
        <f>VLOOKUP(C33,Purchased!A:Q,12,0)</f>
        <v>0</v>
      </c>
      <c r="I33" s="113"/>
      <c r="J33" s="44">
        <f>VLOOKUP(C33,Purchased!A:Q,13,0)</f>
        <v>0</v>
      </c>
      <c r="K33" s="44">
        <f>VLOOKUP(C33,Purchased!A:Q,14,0)</f>
        <v>0</v>
      </c>
      <c r="L33" s="44">
        <f>VLOOKUP(C33,Purchased!A:Q,15,0)</f>
        <v>0</v>
      </c>
      <c r="M33" s="44">
        <f>VLOOKUP(C33,Purchased!A:Q,16,0)</f>
        <v>0</v>
      </c>
      <c r="N33" s="45">
        <f>VLOOKUP(C33,Purchased!A:Q,17,0)</f>
        <v>0</v>
      </c>
      <c r="O33" s="45" t="e">
        <f t="shared" ca="1" si="3"/>
        <v>#VALUE!</v>
      </c>
      <c r="P33" s="49">
        <f>IFERROR(VLOOKUP(C33,Purchased!A:E,3,FALSE),"")</f>
        <v>0</v>
      </c>
      <c r="Q33" s="50">
        <f t="shared" si="4"/>
        <v>0</v>
      </c>
    </row>
    <row r="34" spans="1:17" s="2" customFormat="1" ht="12" customHeight="1" thickBot="1">
      <c r="A34" s="34"/>
      <c r="B34" s="35"/>
      <c r="C34" s="35"/>
      <c r="D34" s="256"/>
      <c r="E34" s="257"/>
      <c r="F34" s="35"/>
      <c r="G34" s="35"/>
      <c r="H34" s="294"/>
      <c r="I34" s="295"/>
      <c r="J34" s="36"/>
      <c r="K34" s="36"/>
      <c r="L34" s="36"/>
      <c r="M34" s="37"/>
      <c r="N34" s="38"/>
      <c r="O34" s="38"/>
      <c r="P34" s="89" t="s">
        <v>43</v>
      </c>
      <c r="Q34" s="94">
        <f>SUM(Q5:Q7)</f>
        <v>813.83</v>
      </c>
    </row>
    <row r="35" spans="1:17" s="2" customFormat="1" ht="12" customHeight="1">
      <c r="D35" s="22"/>
      <c r="E35" s="22"/>
      <c r="J35" s="8"/>
      <c r="K35" s="8"/>
      <c r="L35" s="8"/>
      <c r="M35" s="8"/>
      <c r="N35" s="5"/>
      <c r="O35" s="5"/>
      <c r="P35" s="88"/>
      <c r="Q35" s="95"/>
    </row>
    <row r="36" spans="1:17" s="2" customFormat="1" ht="12" customHeight="1">
      <c r="D36" s="22"/>
      <c r="E36" s="22"/>
      <c r="J36" s="5"/>
      <c r="K36" s="5"/>
      <c r="L36" s="5"/>
      <c r="M36" s="5"/>
      <c r="N36" s="5"/>
      <c r="O36" s="5"/>
      <c r="P36" s="88"/>
      <c r="Q36" s="95"/>
    </row>
    <row r="37" spans="1:17" s="2" customFormat="1" ht="12" customHeight="1">
      <c r="D37" s="22"/>
      <c r="E37" s="22"/>
      <c r="J37" s="5"/>
      <c r="K37" s="5"/>
      <c r="L37" s="5"/>
      <c r="M37" s="5"/>
      <c r="N37" s="5"/>
      <c r="O37" s="5"/>
      <c r="P37" s="88"/>
      <c r="Q37" s="95"/>
    </row>
    <row r="38" spans="1:17" s="2" customFormat="1" ht="12" customHeight="1">
      <c r="D38" s="22"/>
      <c r="E38" s="22"/>
      <c r="J38" s="5"/>
      <c r="K38" s="5"/>
      <c r="L38" s="5"/>
      <c r="M38" s="5"/>
      <c r="N38" s="5"/>
      <c r="O38" s="5"/>
      <c r="P38" s="88"/>
      <c r="Q38" s="95"/>
    </row>
    <row r="39" spans="1:17" s="2" customFormat="1" ht="12" customHeight="1">
      <c r="D39" s="22"/>
      <c r="E39" s="22"/>
      <c r="J39" s="5"/>
      <c r="K39" s="5"/>
      <c r="L39" s="5"/>
      <c r="M39" s="5"/>
      <c r="N39" s="5"/>
      <c r="O39" s="5"/>
      <c r="P39" s="88"/>
      <c r="Q39" s="95"/>
    </row>
    <row r="40" spans="1:17" s="2" customFormat="1" ht="12" customHeight="1">
      <c r="D40" s="22"/>
      <c r="E40" s="22"/>
      <c r="J40" s="5"/>
      <c r="K40" s="5"/>
      <c r="L40" s="5"/>
      <c r="M40" s="5"/>
      <c r="N40" s="5"/>
      <c r="O40" s="5"/>
      <c r="P40" s="88"/>
      <c r="Q40" s="95"/>
    </row>
    <row r="41" spans="1:17" s="2" customFormat="1" ht="12" customHeight="1">
      <c r="D41" s="22"/>
      <c r="E41" s="22"/>
      <c r="J41" s="5"/>
      <c r="K41" s="5"/>
      <c r="L41" s="5"/>
      <c r="M41" s="5"/>
      <c r="N41" s="5"/>
      <c r="O41" s="5"/>
      <c r="P41" s="88"/>
      <c r="Q41" s="95"/>
    </row>
    <row r="42" spans="1:17" s="2" customFormat="1" ht="12" customHeight="1">
      <c r="D42" s="22"/>
      <c r="E42" s="22"/>
      <c r="J42" s="5"/>
      <c r="K42" s="5"/>
      <c r="L42" s="5"/>
      <c r="M42" s="5"/>
      <c r="N42" s="5"/>
      <c r="O42" s="5"/>
      <c r="P42" s="88"/>
      <c r="Q42" s="95"/>
    </row>
    <row r="43" spans="1:17" s="2" customFormat="1" ht="12" customHeight="1">
      <c r="D43" s="22"/>
      <c r="E43" s="22"/>
      <c r="J43" s="5"/>
      <c r="K43" s="5"/>
      <c r="L43" s="5"/>
      <c r="M43" s="5"/>
      <c r="N43" s="5"/>
      <c r="O43" s="5"/>
      <c r="P43" s="88"/>
      <c r="Q43" s="95"/>
    </row>
    <row r="44" spans="1:17" s="2" customFormat="1" ht="12" customHeight="1">
      <c r="D44" s="22"/>
      <c r="E44" s="22"/>
      <c r="J44" s="5"/>
      <c r="K44" s="5"/>
      <c r="L44" s="5"/>
      <c r="M44" s="5"/>
      <c r="N44" s="5"/>
      <c r="O44" s="5"/>
      <c r="P44" s="88"/>
      <c r="Q44" s="95"/>
    </row>
    <row r="45" spans="1:17" s="2" customFormat="1" ht="12" customHeight="1">
      <c r="D45" s="22"/>
      <c r="E45" s="22"/>
      <c r="J45" s="5"/>
      <c r="K45" s="5"/>
      <c r="L45" s="5"/>
      <c r="M45" s="5"/>
      <c r="N45" s="5"/>
      <c r="O45" s="5"/>
      <c r="P45" s="88"/>
      <c r="Q45" s="95"/>
    </row>
    <row r="46" spans="1:17" s="2" customFormat="1" ht="12" customHeight="1">
      <c r="D46" s="22"/>
      <c r="E46" s="22"/>
      <c r="J46" s="5"/>
      <c r="K46" s="5"/>
      <c r="L46" s="5"/>
      <c r="M46" s="5"/>
      <c r="N46" s="5"/>
      <c r="O46" s="5"/>
      <c r="P46" s="88"/>
      <c r="Q46" s="95"/>
    </row>
    <row r="47" spans="1:17" s="2" customFormat="1" ht="12" customHeight="1">
      <c r="D47" s="22"/>
      <c r="E47" s="22"/>
      <c r="J47" s="5"/>
      <c r="K47" s="5"/>
      <c r="L47" s="5"/>
      <c r="M47" s="5"/>
      <c r="N47" s="5"/>
      <c r="O47" s="5"/>
      <c r="P47" s="88"/>
      <c r="Q47" s="95"/>
    </row>
    <row r="48" spans="1:17" s="2" customFormat="1" ht="12" customHeight="1">
      <c r="D48" s="22"/>
      <c r="E48" s="22"/>
      <c r="J48" s="5"/>
      <c r="K48" s="5"/>
      <c r="L48" s="5"/>
      <c r="M48" s="5"/>
      <c r="N48" s="5"/>
      <c r="O48" s="5"/>
      <c r="P48" s="88"/>
      <c r="Q48" s="95"/>
    </row>
    <row r="49" spans="4:17" s="2" customFormat="1" ht="12" customHeight="1">
      <c r="D49" s="22"/>
      <c r="E49" s="22"/>
      <c r="J49" s="5"/>
      <c r="K49" s="5"/>
      <c r="L49" s="5"/>
      <c r="M49" s="5"/>
      <c r="N49" s="5"/>
      <c r="O49" s="5"/>
      <c r="P49" s="88"/>
      <c r="Q49" s="95"/>
    </row>
    <row r="50" spans="4:17" s="2" customFormat="1" ht="12" customHeight="1">
      <c r="D50" s="22"/>
      <c r="E50" s="22"/>
      <c r="J50" s="5"/>
      <c r="K50" s="5"/>
      <c r="L50" s="5"/>
      <c r="M50" s="5"/>
      <c r="N50" s="5"/>
      <c r="O50" s="5"/>
      <c r="P50" s="88"/>
      <c r="Q50" s="95"/>
    </row>
    <row r="51" spans="4:17" s="2" customFormat="1" ht="12" customHeight="1">
      <c r="D51" s="22"/>
      <c r="E51" s="22"/>
      <c r="J51" s="5"/>
      <c r="K51" s="5"/>
      <c r="L51" s="5"/>
      <c r="M51" s="5"/>
      <c r="N51" s="5"/>
      <c r="O51" s="5"/>
      <c r="P51" s="88"/>
      <c r="Q51" s="95"/>
    </row>
    <row r="52" spans="4:17" s="2" customFormat="1" ht="12" customHeight="1">
      <c r="D52" s="22"/>
      <c r="E52" s="22"/>
      <c r="J52" s="5"/>
      <c r="K52" s="5"/>
      <c r="L52" s="5"/>
      <c r="M52" s="5"/>
      <c r="N52" s="5"/>
      <c r="O52" s="5"/>
      <c r="P52" s="88"/>
      <c r="Q52" s="95"/>
    </row>
    <row r="53" spans="4:17" s="2" customFormat="1" ht="12" customHeight="1">
      <c r="D53" s="22"/>
      <c r="E53" s="22"/>
      <c r="J53" s="5"/>
      <c r="K53" s="5"/>
      <c r="L53" s="5"/>
      <c r="M53" s="5"/>
      <c r="N53" s="5"/>
      <c r="O53" s="5"/>
      <c r="P53" s="88"/>
      <c r="Q53" s="95"/>
    </row>
    <row r="54" spans="4:17" s="2" customFormat="1" ht="12" customHeight="1">
      <c r="D54" s="22"/>
      <c r="E54" s="22"/>
      <c r="J54" s="5"/>
      <c r="K54" s="5"/>
      <c r="L54" s="5"/>
      <c r="M54" s="5"/>
      <c r="N54" s="5"/>
      <c r="O54" s="5"/>
      <c r="P54" s="88"/>
      <c r="Q54" s="95"/>
    </row>
    <row r="55" spans="4:17" s="2" customFormat="1" ht="12" customHeight="1">
      <c r="D55" s="22"/>
      <c r="E55" s="22"/>
      <c r="J55" s="5"/>
      <c r="K55" s="5"/>
      <c r="L55" s="5"/>
      <c r="M55" s="5"/>
      <c r="N55" s="5"/>
      <c r="O55" s="5"/>
      <c r="P55" s="88"/>
      <c r="Q55" s="95"/>
    </row>
    <row r="56" spans="4:17" s="2" customFormat="1" ht="12" customHeight="1">
      <c r="D56" s="22"/>
      <c r="E56" s="22"/>
      <c r="J56" s="5"/>
      <c r="K56" s="5"/>
      <c r="L56" s="5"/>
      <c r="M56" s="5"/>
      <c r="N56" s="5"/>
      <c r="O56" s="5"/>
      <c r="P56" s="88"/>
      <c r="Q56" s="95"/>
    </row>
    <row r="57" spans="4:17" s="2" customFormat="1" ht="12" customHeight="1">
      <c r="D57" s="22"/>
      <c r="E57" s="22"/>
      <c r="J57" s="5"/>
      <c r="K57" s="5"/>
      <c r="L57" s="5"/>
      <c r="M57" s="5"/>
      <c r="N57" s="5"/>
      <c r="O57" s="5"/>
      <c r="P57" s="88"/>
      <c r="Q57" s="95"/>
    </row>
    <row r="58" spans="4:17" s="2" customFormat="1" ht="12" customHeight="1">
      <c r="D58" s="22"/>
      <c r="E58" s="22"/>
      <c r="J58" s="5"/>
      <c r="K58" s="5"/>
      <c r="L58" s="5"/>
      <c r="M58" s="5"/>
      <c r="N58" s="5"/>
      <c r="O58" s="5"/>
      <c r="P58" s="88"/>
      <c r="Q58" s="95"/>
    </row>
    <row r="59" spans="4:17" s="2" customFormat="1" ht="12" customHeight="1">
      <c r="D59" s="22"/>
      <c r="E59" s="22"/>
      <c r="J59" s="5"/>
      <c r="K59" s="5"/>
      <c r="L59" s="5"/>
      <c r="M59" s="5"/>
      <c r="N59" s="5"/>
      <c r="O59" s="5"/>
      <c r="P59" s="88"/>
      <c r="Q59" s="95"/>
    </row>
    <row r="60" spans="4:17" s="2" customFormat="1" ht="12" customHeight="1">
      <c r="D60" s="22"/>
      <c r="E60" s="22"/>
      <c r="J60" s="5"/>
      <c r="K60" s="5"/>
      <c r="L60" s="5"/>
      <c r="M60" s="5"/>
      <c r="N60" s="5"/>
      <c r="O60" s="5"/>
      <c r="P60" s="88"/>
      <c r="Q60" s="95"/>
    </row>
    <row r="61" spans="4:17" s="2" customFormat="1" ht="12" customHeight="1">
      <c r="D61" s="22"/>
      <c r="E61" s="22"/>
      <c r="J61" s="5"/>
      <c r="K61" s="5"/>
      <c r="L61" s="5"/>
      <c r="M61" s="5"/>
      <c r="N61" s="5"/>
      <c r="O61" s="5"/>
      <c r="P61" s="88"/>
      <c r="Q61" s="95"/>
    </row>
    <row r="62" spans="4:17" s="2" customFormat="1" ht="12" customHeight="1">
      <c r="D62" s="22"/>
      <c r="E62" s="22"/>
      <c r="J62" s="5"/>
      <c r="K62" s="5"/>
      <c r="L62" s="5"/>
      <c r="M62" s="5"/>
      <c r="N62" s="5"/>
      <c r="O62" s="5"/>
      <c r="P62" s="88"/>
      <c r="Q62" s="95"/>
    </row>
    <row r="63" spans="4:17" s="2" customFormat="1" ht="12" customHeight="1">
      <c r="D63" s="22"/>
      <c r="E63" s="22"/>
      <c r="J63" s="5"/>
      <c r="K63" s="5"/>
      <c r="L63" s="5"/>
      <c r="M63" s="5"/>
      <c r="N63" s="5"/>
      <c r="O63" s="5"/>
      <c r="P63" s="88"/>
      <c r="Q63" s="95"/>
    </row>
    <row r="64" spans="4:17" s="2" customFormat="1" ht="12" customHeight="1">
      <c r="D64" s="22"/>
      <c r="E64" s="22"/>
      <c r="J64" s="5"/>
      <c r="K64" s="5"/>
      <c r="L64" s="5"/>
      <c r="M64" s="5"/>
      <c r="N64" s="5"/>
      <c r="O64" s="5"/>
      <c r="P64" s="88"/>
      <c r="Q64" s="95"/>
    </row>
    <row r="65" spans="1:17" s="2" customFormat="1" ht="12" customHeight="1">
      <c r="D65" s="22"/>
      <c r="E65" s="22"/>
      <c r="J65" s="5"/>
      <c r="K65" s="5"/>
      <c r="L65" s="5"/>
      <c r="M65" s="5"/>
      <c r="N65" s="5"/>
      <c r="O65" s="5"/>
      <c r="P65" s="88"/>
      <c r="Q65" s="95"/>
    </row>
    <row r="66" spans="1:17" s="2" customFormat="1" ht="12" customHeight="1">
      <c r="D66" s="22"/>
      <c r="E66" s="22"/>
      <c r="J66" s="5"/>
      <c r="K66" s="5"/>
      <c r="L66" s="5"/>
      <c r="M66" s="5"/>
      <c r="N66" s="5"/>
      <c r="O66" s="5"/>
      <c r="P66" s="88"/>
      <c r="Q66" s="95"/>
    </row>
    <row r="67" spans="1:17" s="2" customFormat="1" ht="12" customHeight="1">
      <c r="D67" s="22"/>
      <c r="E67" s="22"/>
      <c r="J67" s="5"/>
      <c r="K67" s="5"/>
      <c r="L67" s="5"/>
      <c r="M67" s="5"/>
      <c r="N67" s="5"/>
      <c r="O67" s="5"/>
      <c r="P67" s="88"/>
      <c r="Q67" s="95"/>
    </row>
    <row r="68" spans="1:17" s="2" customFormat="1" ht="12" customHeight="1">
      <c r="D68" s="22"/>
      <c r="E68" s="22"/>
      <c r="J68" s="5"/>
      <c r="K68" s="5"/>
      <c r="L68" s="5"/>
      <c r="M68" s="5"/>
      <c r="N68" s="5"/>
      <c r="O68" s="5"/>
      <c r="P68" s="88"/>
      <c r="Q68" s="95"/>
    </row>
    <row r="69" spans="1:17" s="2" customFormat="1" ht="12" customHeight="1">
      <c r="D69" s="22"/>
      <c r="E69" s="22"/>
      <c r="J69" s="5"/>
      <c r="K69" s="5"/>
      <c r="L69" s="5"/>
      <c r="M69" s="5"/>
      <c r="N69" s="5"/>
      <c r="O69" s="5"/>
      <c r="P69" s="88"/>
      <c r="Q69" s="95"/>
    </row>
    <row r="70" spans="1:17" s="2" customFormat="1" ht="12" customHeight="1">
      <c r="D70" s="22"/>
      <c r="E70" s="22"/>
      <c r="J70" s="5"/>
      <c r="K70" s="5"/>
      <c r="L70" s="5"/>
      <c r="M70" s="5"/>
      <c r="N70" s="5"/>
      <c r="O70" s="5"/>
      <c r="P70" s="88"/>
      <c r="Q70" s="95"/>
    </row>
    <row r="71" spans="1:17" s="2" customFormat="1" ht="12" customHeight="1">
      <c r="D71" s="22"/>
      <c r="E71" s="22"/>
      <c r="J71" s="5"/>
      <c r="K71" s="5"/>
      <c r="L71" s="5"/>
      <c r="M71" s="5"/>
      <c r="N71" s="5"/>
      <c r="O71" s="5"/>
      <c r="P71" s="88"/>
      <c r="Q71" s="95"/>
    </row>
    <row r="72" spans="1:17" s="2" customFormat="1" ht="12" customHeight="1">
      <c r="D72" s="22"/>
      <c r="E72" s="22"/>
      <c r="J72" s="5"/>
      <c r="K72" s="5"/>
      <c r="L72" s="5"/>
      <c r="M72" s="5"/>
      <c r="N72" s="5"/>
      <c r="O72" s="5"/>
      <c r="P72" s="88"/>
      <c r="Q72" s="95"/>
    </row>
    <row r="73" spans="1:17" s="2" customFormat="1" ht="12" customHeight="1">
      <c r="D73" s="22"/>
      <c r="E73" s="22"/>
      <c r="J73" s="5"/>
      <c r="K73" s="5"/>
      <c r="L73" s="5"/>
      <c r="M73" s="5"/>
      <c r="N73" s="5"/>
      <c r="O73" s="5"/>
      <c r="P73" s="88"/>
      <c r="Q73" s="96"/>
    </row>
    <row r="74" spans="1:17" s="2" customFormat="1" ht="12" customHeight="1">
      <c r="D74" s="22"/>
      <c r="E74" s="22"/>
      <c r="J74" s="5"/>
      <c r="K74" s="5"/>
      <c r="L74" s="5"/>
      <c r="M74" s="5"/>
      <c r="N74" s="5"/>
      <c r="O74" s="5"/>
      <c r="P74" s="88"/>
      <c r="Q74" s="96"/>
    </row>
    <row r="75" spans="1:17" s="2" customFormat="1" ht="12" customHeight="1">
      <c r="D75" s="22"/>
      <c r="E75" s="22"/>
      <c r="J75" s="5"/>
      <c r="K75" s="5"/>
      <c r="L75" s="5"/>
      <c r="M75" s="5"/>
      <c r="N75" s="5"/>
      <c r="O75" s="5"/>
      <c r="P75" s="88"/>
      <c r="Q75" s="96"/>
    </row>
    <row r="76" spans="1:17" s="2" customFormat="1" ht="12" customHeight="1">
      <c r="D76" s="22"/>
      <c r="E76" s="22"/>
      <c r="J76" s="5"/>
      <c r="K76" s="5"/>
      <c r="L76" s="5"/>
      <c r="M76" s="5"/>
      <c r="N76" s="5"/>
      <c r="O76" s="5"/>
      <c r="P76" s="88"/>
      <c r="Q76" s="96"/>
    </row>
    <row r="77" spans="1:17" s="2" customFormat="1" ht="12" customHeight="1">
      <c r="A77"/>
      <c r="B77"/>
      <c r="C77"/>
      <c r="D77" s="23"/>
      <c r="E77" s="23"/>
      <c r="F77"/>
      <c r="G77"/>
      <c r="H77"/>
      <c r="I77"/>
      <c r="J77" s="19"/>
      <c r="K77" s="19"/>
      <c r="L77" s="19"/>
      <c r="M77" s="19"/>
      <c r="N77" s="19"/>
      <c r="O77" s="19"/>
      <c r="P77" s="90"/>
      <c r="Q77" s="96"/>
    </row>
    <row r="78" spans="1:17" s="2" customFormat="1" ht="12" customHeight="1">
      <c r="A78"/>
      <c r="B78"/>
      <c r="C78"/>
      <c r="D78" s="23"/>
      <c r="E78" s="23"/>
      <c r="F78"/>
      <c r="G78"/>
      <c r="H78"/>
      <c r="I78"/>
      <c r="J78" s="19"/>
      <c r="K78" s="19"/>
      <c r="L78" s="19"/>
      <c r="M78" s="19"/>
      <c r="N78" s="19"/>
      <c r="O78" s="19"/>
      <c r="P78" s="90"/>
      <c r="Q78" s="96"/>
    </row>
    <row r="79" spans="1:17" s="2" customFormat="1" ht="12" customHeight="1">
      <c r="A79"/>
      <c r="B79"/>
      <c r="C79"/>
      <c r="D79" s="23"/>
      <c r="E79" s="23"/>
      <c r="F79"/>
      <c r="G79"/>
      <c r="H79"/>
      <c r="I79"/>
      <c r="J79" s="19"/>
      <c r="K79" s="19"/>
      <c r="L79" s="19"/>
      <c r="M79" s="19"/>
      <c r="N79" s="19"/>
      <c r="O79" s="19"/>
      <c r="P79" s="90"/>
      <c r="Q79" s="96"/>
    </row>
    <row r="80" spans="1:17" s="2" customFormat="1" ht="12" customHeight="1">
      <c r="A80"/>
      <c r="B80"/>
      <c r="C80"/>
      <c r="D80" s="23"/>
      <c r="E80" s="23"/>
      <c r="F80"/>
      <c r="G80"/>
      <c r="H80"/>
      <c r="I80"/>
      <c r="J80" s="19"/>
      <c r="K80" s="19"/>
      <c r="L80" s="19"/>
      <c r="M80" s="19"/>
      <c r="N80" s="19"/>
      <c r="O80" s="19"/>
      <c r="P80" s="90"/>
      <c r="Q80" s="96"/>
    </row>
    <row r="81" spans="1:17" s="2" customFormat="1" ht="12" customHeight="1">
      <c r="A81"/>
      <c r="B81"/>
      <c r="C81"/>
      <c r="D81" s="23"/>
      <c r="E81" s="23"/>
      <c r="F81"/>
      <c r="G81"/>
      <c r="H81"/>
      <c r="I81"/>
      <c r="J81" s="19"/>
      <c r="K81" s="19"/>
      <c r="L81" s="19"/>
      <c r="M81" s="19"/>
      <c r="N81" s="19"/>
      <c r="O81" s="19"/>
      <c r="P81" s="90"/>
      <c r="Q81" s="96"/>
    </row>
    <row r="82" spans="1:17">
      <c r="Q82" s="96"/>
    </row>
    <row r="83" spans="1:17">
      <c r="Q83" s="96"/>
    </row>
    <row r="84" spans="1:17">
      <c r="Q84" s="96"/>
    </row>
    <row r="85" spans="1:17">
      <c r="Q85" s="96"/>
    </row>
    <row r="86" spans="1:17">
      <c r="Q86" s="96"/>
    </row>
    <row r="87" spans="1:17">
      <c r="Q87" s="96"/>
    </row>
    <row r="88" spans="1:17">
      <c r="Q88" s="96"/>
    </row>
    <row r="89" spans="1:17">
      <c r="Q89" s="96"/>
    </row>
    <row r="90" spans="1:17">
      <c r="Q90" s="96"/>
    </row>
    <row r="91" spans="1:17">
      <c r="Q91" s="96"/>
    </row>
    <row r="92" spans="1:17">
      <c r="Q92" s="96"/>
    </row>
    <row r="93" spans="1:17">
      <c r="Q93" s="96"/>
    </row>
    <row r="94" spans="1:17">
      <c r="Q94" s="96"/>
    </row>
    <row r="95" spans="1:17">
      <c r="Q95" s="96"/>
    </row>
    <row r="96" spans="1:17">
      <c r="Q96" s="96"/>
    </row>
    <row r="97" spans="17:17">
      <c r="Q97" s="96"/>
    </row>
    <row r="98" spans="17:17">
      <c r="Q98" s="96"/>
    </row>
    <row r="99" spans="17:17">
      <c r="Q99" s="96"/>
    </row>
    <row r="100" spans="17:17">
      <c r="Q100" s="96"/>
    </row>
    <row r="101" spans="17:17">
      <c r="Q101" s="96"/>
    </row>
    <row r="138" ht="12" customHeight="1"/>
    <row r="139" ht="12" customHeight="1"/>
    <row r="140" ht="12" customHeight="1"/>
    <row r="141" ht="12" customHeight="1"/>
    <row r="142" ht="12" customHeight="1"/>
    <row r="143" ht="12" customHeight="1"/>
    <row r="144" ht="12" customHeight="1"/>
    <row r="145" ht="12" customHeight="1"/>
    <row r="146" ht="12" customHeight="1"/>
    <row r="147" ht="12" customHeight="1"/>
    <row r="148" ht="12" customHeight="1"/>
    <row r="149" ht="12" customHeight="1"/>
    <row r="150" ht="12" customHeight="1"/>
    <row r="151" ht="12" customHeight="1"/>
    <row r="152" ht="12" customHeight="1"/>
    <row r="153" ht="12" customHeight="1"/>
    <row r="154" ht="12" customHeight="1"/>
    <row r="155" ht="12" customHeight="1"/>
    <row r="156" ht="12" customHeight="1"/>
    <row r="157" ht="12" customHeight="1"/>
    <row r="158" ht="12" customHeight="1"/>
    <row r="159" ht="12" customHeight="1"/>
    <row r="160" ht="12" customHeight="1"/>
    <row r="161" ht="12" customHeight="1"/>
    <row r="162" ht="12" customHeight="1"/>
    <row r="163" ht="12" customHeight="1"/>
    <row r="164" ht="12" customHeight="1"/>
    <row r="165" ht="12" customHeight="1"/>
    <row r="166" ht="12" customHeight="1"/>
    <row r="167" ht="12" customHeight="1"/>
    <row r="168" ht="12" customHeight="1"/>
    <row r="169" ht="12" customHeight="1"/>
    <row r="170" ht="12" customHeight="1"/>
    <row r="171" ht="12" customHeight="1"/>
    <row r="172" ht="12" customHeight="1"/>
    <row r="173" ht="12" customHeight="1"/>
    <row r="174" ht="12" customHeight="1"/>
    <row r="175" ht="12" customHeight="1"/>
    <row r="176" ht="12" customHeight="1"/>
    <row r="177" ht="12" customHeight="1"/>
    <row r="178" ht="12" customHeight="1"/>
    <row r="179" ht="12" customHeight="1"/>
    <row r="180" ht="12" customHeight="1"/>
    <row r="181" ht="12" customHeight="1"/>
    <row r="182" ht="12" customHeight="1"/>
    <row r="183" ht="12" customHeight="1"/>
    <row r="184" ht="12" customHeight="1"/>
    <row r="185" ht="12" customHeight="1"/>
    <row r="186" ht="12" customHeight="1"/>
    <row r="187" ht="12" customHeight="1"/>
  </sheetData>
  <mergeCells count="34">
    <mergeCell ref="D7:E7"/>
    <mergeCell ref="D34:E34"/>
    <mergeCell ref="H34:I34"/>
    <mergeCell ref="D1:E1"/>
    <mergeCell ref="D4:E4"/>
    <mergeCell ref="H4:I4"/>
    <mergeCell ref="D5:E5"/>
    <mergeCell ref="D6:E6"/>
    <mergeCell ref="D8:E8"/>
    <mergeCell ref="D9:E9"/>
    <mergeCell ref="D10:E10"/>
    <mergeCell ref="D11:E11"/>
    <mergeCell ref="D12:E12"/>
    <mergeCell ref="D13:E13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25:E25"/>
    <mergeCell ref="D31:E31"/>
    <mergeCell ref="D32:E32"/>
    <mergeCell ref="D33:E33"/>
    <mergeCell ref="D26:E26"/>
    <mergeCell ref="D27:E27"/>
    <mergeCell ref="D28:E28"/>
    <mergeCell ref="D29:E29"/>
    <mergeCell ref="D30:E30"/>
  </mergeCells>
  <conditionalFormatting sqref="M5:M33">
    <cfRule type="cellIs" dxfId="642" priority="4" stopIfTrue="1" operator="lessThanOrEqual">
      <formula>$L5</formula>
    </cfRule>
    <cfRule type="cellIs" dxfId="641" priority="5" operator="greaterThan">
      <formula>L5</formula>
    </cfRule>
  </conditionalFormatting>
  <conditionalFormatting sqref="C5:C33">
    <cfRule type="duplicateValues" dxfId="640" priority="1"/>
  </conditionalFormatting>
  <pageMargins left="0.7" right="0.7" top="0.75" bottom="0.75" header="0.3" footer="0.3"/>
  <pageSetup paperSize="3" fitToHeight="0" orientation="landscape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DBB6F05-36A2-4556-A362-437D86CF2C70}">
          <x14:formula1>
            <xm:f>Purchased!$A:$A</xm:f>
          </x14:formula1>
          <xm:sqref>C5:C33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C66A51-B885-45E1-8AD4-2CD1FE26F3D0}">
  <sheetPr codeName="Sheet11">
    <tabColor theme="3" tint="0.39997558519241921"/>
    <pageSetUpPr fitToPage="1"/>
  </sheetPr>
  <dimension ref="A1:Q178"/>
  <sheetViews>
    <sheetView zoomScaleNormal="100" workbookViewId="0">
      <selection activeCell="G32" sqref="G32"/>
    </sheetView>
  </sheetViews>
  <sheetFormatPr defaultColWidth="9.140625" defaultRowHeight="15"/>
  <cols>
    <col min="1" max="1" width="5.7109375" customWidth="1"/>
    <col min="2" max="2" width="5.42578125" bestFit="1" customWidth="1"/>
    <col min="3" max="3" width="30.7109375" customWidth="1"/>
    <col min="4" max="5" width="20.7109375" style="23" customWidth="1"/>
    <col min="6" max="6" width="16.85546875" bestFit="1" customWidth="1"/>
    <col min="7" max="7" width="9.7109375" customWidth="1"/>
    <col min="8" max="8" width="8.7109375" customWidth="1"/>
    <col min="9" max="9" width="20.7109375" customWidth="1"/>
    <col min="10" max="13" width="11.7109375" style="19" customWidth="1"/>
    <col min="14" max="14" width="11.85546875" style="19" bestFit="1" customWidth="1"/>
    <col min="15" max="15" width="7.7109375" style="19" customWidth="1"/>
    <col min="16" max="16" width="10.7109375" style="90" customWidth="1"/>
    <col min="17" max="17" width="10.7109375" style="97" customWidth="1"/>
  </cols>
  <sheetData>
    <row r="1" spans="1:17" s="55" customFormat="1" ht="12" customHeight="1">
      <c r="A1" s="68" t="s">
        <v>0</v>
      </c>
      <c r="B1" s="69"/>
      <c r="C1" s="69"/>
      <c r="D1" s="262" t="s">
        <v>1</v>
      </c>
      <c r="E1" s="263"/>
      <c r="F1" s="70"/>
      <c r="G1" s="69"/>
      <c r="H1" s="70"/>
      <c r="I1" s="71"/>
      <c r="J1" s="72"/>
      <c r="K1" s="72"/>
      <c r="L1" s="72"/>
      <c r="M1" s="72"/>
      <c r="N1" s="72"/>
      <c r="O1" s="72"/>
      <c r="P1" s="85"/>
      <c r="Q1" s="91"/>
    </row>
    <row r="2" spans="1:17" s="55" customFormat="1" ht="12" customHeight="1">
      <c r="A2" s="74" t="s">
        <v>48</v>
      </c>
      <c r="B2" s="58"/>
      <c r="C2" s="57" t="e">
        <f ca="1">VLOOKUP(E3,Assemblies!B:F,4,0)</f>
        <v>#VALUE!</v>
      </c>
      <c r="D2" s="75" t="s">
        <v>3</v>
      </c>
      <c r="E2" s="76" t="e">
        <f ca="1">'GF12'!E2</f>
        <v>#VALUE!</v>
      </c>
      <c r="F2" s="77" t="s">
        <v>4</v>
      </c>
      <c r="G2" s="58" t="str">
        <f>'GF12'!G2</f>
        <v>GH</v>
      </c>
      <c r="H2" s="77" t="s">
        <v>6</v>
      </c>
      <c r="I2" s="59">
        <f>'GF12'!I2</f>
        <v>44775</v>
      </c>
      <c r="J2" s="39"/>
      <c r="K2" s="40" t="s">
        <v>49</v>
      </c>
      <c r="L2" s="41" t="e">
        <f ca="1">VLOOKUP(C2,Assemblies!E:G,3,0)</f>
        <v>#VALUE!</v>
      </c>
      <c r="M2" s="78"/>
      <c r="N2" s="78"/>
      <c r="O2" s="78"/>
      <c r="P2" s="86"/>
      <c r="Q2" s="92"/>
    </row>
    <row r="3" spans="1:17" s="55" customFormat="1" ht="12" customHeight="1" thickBot="1">
      <c r="A3" s="74" t="s">
        <v>7</v>
      </c>
      <c r="B3" s="58"/>
      <c r="C3" s="57" t="e">
        <f ca="1">VLOOKUP(E3,Assemblies!B:F,5,0)</f>
        <v>#VALUE!</v>
      </c>
      <c r="D3" s="75" t="s">
        <v>50</v>
      </c>
      <c r="E3" s="76" t="e">
        <f ca="1">MID(CELL("filename",A1),FIND("]",CELL("filename",A1))+1,256)</f>
        <v>#VALUE!</v>
      </c>
      <c r="F3" s="77" t="s">
        <v>11</v>
      </c>
      <c r="G3" s="58" t="str">
        <f>'GF12'!G3</f>
        <v>GH</v>
      </c>
      <c r="H3" s="77" t="s">
        <v>6</v>
      </c>
      <c r="I3" s="59">
        <f>'GF12'!I3</f>
        <v>44775</v>
      </c>
      <c r="J3" s="78"/>
      <c r="K3" s="78"/>
      <c r="L3" s="78"/>
      <c r="M3" s="78"/>
      <c r="N3" s="78"/>
      <c r="O3" s="78"/>
      <c r="P3" s="86"/>
      <c r="Q3" s="92"/>
    </row>
    <row r="4" spans="1:17" s="56" customFormat="1" ht="12.75" customHeight="1" thickBot="1">
      <c r="A4" s="80" t="s">
        <v>12</v>
      </c>
      <c r="B4" s="81" t="s">
        <v>13</v>
      </c>
      <c r="C4" s="81" t="s">
        <v>14</v>
      </c>
      <c r="D4" s="270" t="s">
        <v>15</v>
      </c>
      <c r="E4" s="271"/>
      <c r="F4" s="104" t="s">
        <v>16</v>
      </c>
      <c r="G4" s="81" t="s">
        <v>17</v>
      </c>
      <c r="H4" s="260" t="s">
        <v>18</v>
      </c>
      <c r="I4" s="261"/>
      <c r="J4" s="81" t="s">
        <v>51</v>
      </c>
      <c r="K4" s="81" t="s">
        <v>20</v>
      </c>
      <c r="L4" s="81" t="s">
        <v>21</v>
      </c>
      <c r="M4" s="81" t="s">
        <v>52</v>
      </c>
      <c r="N4" s="81" t="s">
        <v>22</v>
      </c>
      <c r="O4" s="81" t="s">
        <v>53</v>
      </c>
      <c r="P4" s="107" t="s">
        <v>26</v>
      </c>
      <c r="Q4" s="82" t="s">
        <v>27</v>
      </c>
    </row>
    <row r="5" spans="1:17" s="2" customFormat="1" ht="12.75" customHeight="1">
      <c r="A5" s="4">
        <v>301</v>
      </c>
      <c r="B5" s="2">
        <v>1</v>
      </c>
      <c r="C5" s="114" t="s">
        <v>206</v>
      </c>
      <c r="D5" s="268" t="str">
        <f>VLOOKUP(C5,Purchased!A:B,2,0)</f>
        <v>Saginaw SCE-16HMI2006LP</v>
      </c>
      <c r="E5" s="269"/>
      <c r="F5" s="112" t="str">
        <f>VLOOKUP(C5,Purchased!A:Q,9,0)</f>
        <v>SAGINAW</v>
      </c>
      <c r="G5" s="112" t="str">
        <f>VLOOKUP(C5,Purchased!A:Q,10,0)</f>
        <v>SAGINAW</v>
      </c>
      <c r="H5" s="112" t="str">
        <f>VLOOKUP(C5,Purchased!A:Q,12,0)</f>
        <v xml:space="preserve"> </v>
      </c>
      <c r="I5" s="113"/>
      <c r="J5" s="44" t="str">
        <f>VLOOKUP(C5,Purchased!A:Q,13,0)</f>
        <v>N/A</v>
      </c>
      <c r="K5" s="44">
        <f>VLOOKUP(C5,Purchased!A:Q,14,0)</f>
        <v>45013</v>
      </c>
      <c r="L5" s="44">
        <f>VLOOKUP(C5,Purchased!A:Q,15,0)</f>
        <v>45043</v>
      </c>
      <c r="M5" s="44">
        <f>VLOOKUP(C5,Purchased!A:Q,16,0)</f>
        <v>45043</v>
      </c>
      <c r="N5" s="45">
        <f>VLOOKUP(C5,Purchased!A:Q,17,0)</f>
        <v>54824</v>
      </c>
      <c r="O5" s="45" t="e">
        <f t="shared" ref="O5:O6" ca="1" si="0">B5*$L$2</f>
        <v>#VALUE!</v>
      </c>
      <c r="P5" s="49">
        <f>IFERROR(VLOOKUP(C5,Purchased!A:E,3,FALSE),"")</f>
        <v>367.49</v>
      </c>
      <c r="Q5" s="50">
        <f t="shared" ref="Q5:Q6" si="1">IFERROR(B5*P5,"")</f>
        <v>367.49</v>
      </c>
    </row>
    <row r="6" spans="1:17" s="2" customFormat="1" ht="12" customHeight="1">
      <c r="A6" s="4">
        <f t="shared" ref="A6:A24" si="2">A5+1</f>
        <v>302</v>
      </c>
      <c r="B6" s="2">
        <v>1</v>
      </c>
      <c r="C6" s="114" t="s">
        <v>163</v>
      </c>
      <c r="D6" s="268" t="str">
        <f>VLOOKUP(C6,Purchased!A:B,2,0)</f>
        <v>EXOR EX715U5P1 15in HMI</v>
      </c>
      <c r="E6" s="269"/>
      <c r="F6" s="112" t="str">
        <f>VLOOKUP(C6,Purchased!A:Q,9,0)</f>
        <v>EXOR</v>
      </c>
      <c r="G6" s="112" t="str">
        <f>VLOOKUP(C6,Purchased!A:Q,10,0)</f>
        <v>AAP</v>
      </c>
      <c r="H6" s="112" t="str">
        <f>VLOOKUP(C6,Purchased!A:Q,12,0)</f>
        <v xml:space="preserve"> </v>
      </c>
      <c r="I6" s="113"/>
      <c r="J6" s="44" t="str">
        <f>VLOOKUP(C6,Purchased!A:Q,13,0)</f>
        <v>N/A</v>
      </c>
      <c r="K6" s="44">
        <f>VLOOKUP(C6,Purchased!A:Q,14,0)</f>
        <v>45089</v>
      </c>
      <c r="L6" s="44">
        <f>VLOOKUP(C6,Purchased!A:Q,15,0)</f>
        <v>45119</v>
      </c>
      <c r="M6" s="44">
        <f>VLOOKUP(C6,Purchased!A:Q,16,0)</f>
        <v>45119</v>
      </c>
      <c r="N6" s="45">
        <f>VLOOKUP(C6,Purchased!A:Q,17,0)</f>
        <v>54930</v>
      </c>
      <c r="O6" s="45" t="e">
        <f t="shared" ca="1" si="0"/>
        <v>#VALUE!</v>
      </c>
      <c r="P6" s="49">
        <f>IFERROR(VLOOKUP(C6,Purchased!A:E,3,FALSE),"")</f>
        <v>3259.4792000000002</v>
      </c>
      <c r="Q6" s="50">
        <f t="shared" si="1"/>
        <v>3259.4792000000002</v>
      </c>
    </row>
    <row r="7" spans="1:17" s="2" customFormat="1" ht="12" customHeight="1">
      <c r="A7" s="4">
        <f t="shared" si="2"/>
        <v>303</v>
      </c>
      <c r="B7" s="2">
        <v>1</v>
      </c>
      <c r="C7" s="114" t="s">
        <v>207</v>
      </c>
      <c r="D7" s="268" t="str">
        <f>VLOOKUP(C7,Purchased!A:B,2,0)</f>
        <v>Saginaw SCE-AUHK</v>
      </c>
      <c r="E7" s="269"/>
      <c r="F7" s="112" t="str">
        <f>VLOOKUP(C7,Purchased!A:Q,9,0)</f>
        <v>SAGINAW</v>
      </c>
      <c r="G7" s="112" t="str">
        <f>VLOOKUP(C7,Purchased!A:Q,10,0)</f>
        <v>SAGINAW</v>
      </c>
      <c r="H7" s="112" t="str">
        <f>VLOOKUP(C7,Purchased!A:Q,12,0)</f>
        <v xml:space="preserve"> </v>
      </c>
      <c r="I7" s="113"/>
      <c r="J7" s="44" t="str">
        <f>VLOOKUP(C7,Purchased!A:Q,13,0)</f>
        <v>N/A</v>
      </c>
      <c r="K7" s="44">
        <f>VLOOKUP(C7,Purchased!A:Q,14,0)</f>
        <v>45013</v>
      </c>
      <c r="L7" s="44">
        <f>VLOOKUP(C7,Purchased!A:Q,15,0)</f>
        <v>45043</v>
      </c>
      <c r="M7" s="44">
        <f>VLOOKUP(C7,Purchased!A:Q,16,0)</f>
        <v>45043</v>
      </c>
      <c r="N7" s="45">
        <f>VLOOKUP(C7,Purchased!A:Q,17,0)</f>
        <v>54824</v>
      </c>
      <c r="O7" s="45" t="e">
        <f t="shared" ref="O7" ca="1" si="3">B7*$L$2</f>
        <v>#VALUE!</v>
      </c>
      <c r="P7" s="49">
        <f>IFERROR(VLOOKUP(C7,Purchased!A:E,3,FALSE),"")</f>
        <v>32.15</v>
      </c>
      <c r="Q7" s="50">
        <f t="shared" ref="Q7" si="4">IFERROR(B7*P7,"")</f>
        <v>32.15</v>
      </c>
    </row>
    <row r="8" spans="1:17" s="2" customFormat="1" ht="12" customHeight="1">
      <c r="A8" s="4">
        <f t="shared" si="2"/>
        <v>304</v>
      </c>
      <c r="B8" s="2">
        <v>1</v>
      </c>
      <c r="C8" s="114" t="s">
        <v>127</v>
      </c>
      <c r="D8" s="268" t="str">
        <f>VLOOKUP(C8,Purchased!A:B,2,0)</f>
        <v>Sick panel mount E-Stop</v>
      </c>
      <c r="E8" s="269"/>
      <c r="F8" s="112" t="str">
        <f>VLOOKUP(C8,Purchased!A:Q,9,0)</f>
        <v>Sick</v>
      </c>
      <c r="G8" s="112" t="str">
        <f>VLOOKUP(C8,Purchased!A:Q,10,0)</f>
        <v>CRAVE</v>
      </c>
      <c r="H8" s="112" t="str">
        <f>VLOOKUP(C8,Purchased!A:Q,12,0)</f>
        <v>Provided by CRAVE</v>
      </c>
      <c r="I8" s="113"/>
      <c r="J8" s="44" t="str">
        <f>VLOOKUP(C8,Purchased!A:Q,13,0)</f>
        <v>N/A</v>
      </c>
      <c r="K8" s="44" t="str">
        <f>VLOOKUP(C8,Purchased!A:Q,14,0)</f>
        <v>N/A</v>
      </c>
      <c r="L8" s="44" t="str">
        <f>VLOOKUP(C8,Purchased!A:Q,15,0)</f>
        <v>N/A</v>
      </c>
      <c r="M8" s="44" t="str">
        <f>VLOOKUP(C8,Purchased!A:Q,16,0)</f>
        <v>N/A</v>
      </c>
      <c r="N8" s="45" t="str">
        <f>VLOOKUP(C8,Purchased!A:Q,17,0)</f>
        <v>N/A</v>
      </c>
      <c r="O8" s="45" t="e">
        <f t="shared" ref="O8:O16" ca="1" si="5">B8*$L$2</f>
        <v>#VALUE!</v>
      </c>
      <c r="P8" s="49">
        <f>IFERROR(VLOOKUP(C8,Purchased!A:E,3,FALSE),"")</f>
        <v>0</v>
      </c>
      <c r="Q8" s="50">
        <f t="shared" ref="Q8:Q16" si="6">IFERROR(B8*P8,"")</f>
        <v>0</v>
      </c>
    </row>
    <row r="9" spans="1:17" s="2" customFormat="1" ht="12" customHeight="1">
      <c r="A9" s="4">
        <f t="shared" si="2"/>
        <v>305</v>
      </c>
      <c r="B9" s="2">
        <v>1</v>
      </c>
      <c r="C9" s="114" t="s">
        <v>208</v>
      </c>
      <c r="D9" s="268" t="str">
        <f>VLOOKUP(C9,Purchased!A:B,2,0)</f>
        <v>MOMENTARY PUSH BUTTON, ILLUMINATED, BLUE LED, 2NO CONTACT, 24VDC, TYPE 4</v>
      </c>
      <c r="E9" s="269"/>
      <c r="F9" s="112" t="str">
        <f>VLOOKUP(C9,Purchased!A:Q,9,0)</f>
        <v>EATON</v>
      </c>
      <c r="G9" s="112" t="str">
        <f>VLOOKUP(C9,Purchased!A:Q,10,0)</f>
        <v>CRAVE</v>
      </c>
      <c r="H9" s="112" t="str">
        <f>VLOOKUP(C9,Purchased!A:Q,12,0)</f>
        <v>Provided by CRAVE</v>
      </c>
      <c r="I9" s="113"/>
      <c r="J9" s="44" t="str">
        <f>VLOOKUP(C9,Purchased!A:Q,13,0)</f>
        <v>N/A</v>
      </c>
      <c r="K9" s="44" t="str">
        <f>VLOOKUP(C9,Purchased!A:Q,14,0)</f>
        <v>N/A</v>
      </c>
      <c r="L9" s="44" t="str">
        <f>VLOOKUP(C9,Purchased!A:Q,15,0)</f>
        <v>N/A</v>
      </c>
      <c r="M9" s="44" t="str">
        <f>VLOOKUP(C9,Purchased!A:Q,16,0)</f>
        <v>N/A</v>
      </c>
      <c r="N9" s="45" t="str">
        <f>VLOOKUP(C9,Purchased!A:Q,17,0)</f>
        <v>N/A</v>
      </c>
      <c r="O9" s="45" t="e">
        <f t="shared" ca="1" si="5"/>
        <v>#VALUE!</v>
      </c>
      <c r="P9" s="49">
        <f>IFERROR(VLOOKUP(C9,Purchased!A:E,3,FALSE),"")</f>
        <v>0</v>
      </c>
      <c r="Q9" s="50">
        <f t="shared" si="6"/>
        <v>0</v>
      </c>
    </row>
    <row r="10" spans="1:17" s="2" customFormat="1" ht="12" customHeight="1">
      <c r="A10" s="4">
        <f t="shared" si="2"/>
        <v>306</v>
      </c>
      <c r="B10" s="2">
        <v>1</v>
      </c>
      <c r="C10" s="114" t="s">
        <v>155</v>
      </c>
      <c r="D10" s="268" t="str">
        <f>VLOOKUP(C10,Purchased!A:B,2,0)</f>
        <v>MOMENTARY PUSH BUTTON, ILLUMINATED, GREEN LED, lNO CONTACT, 24VDC, NEMA 4</v>
      </c>
      <c r="E10" s="269"/>
      <c r="F10" s="112" t="str">
        <f>VLOOKUP(C10,Purchased!A:Q,9,0)</f>
        <v>EATON</v>
      </c>
      <c r="G10" s="112" t="str">
        <f>VLOOKUP(C10,Purchased!A:Q,10,0)</f>
        <v>CRAVE</v>
      </c>
      <c r="H10" s="112" t="str">
        <f>VLOOKUP(C10,Purchased!A:Q,12,0)</f>
        <v>Provided by CRAVE</v>
      </c>
      <c r="I10" s="113"/>
      <c r="J10" s="44" t="str">
        <f>VLOOKUP(C10,Purchased!A:Q,13,0)</f>
        <v>N/A</v>
      </c>
      <c r="K10" s="44" t="str">
        <f>VLOOKUP(C10,Purchased!A:Q,14,0)</f>
        <v>N/A</v>
      </c>
      <c r="L10" s="44" t="str">
        <f>VLOOKUP(C10,Purchased!A:Q,15,0)</f>
        <v>N/A</v>
      </c>
      <c r="M10" s="44" t="str">
        <f>VLOOKUP(C10,Purchased!A:Q,16,0)</f>
        <v>N/A</v>
      </c>
      <c r="N10" s="45" t="str">
        <f>VLOOKUP(C10,Purchased!A:Q,17,0)</f>
        <v>N/A</v>
      </c>
      <c r="O10" s="45" t="e">
        <f t="shared" ca="1" si="5"/>
        <v>#VALUE!</v>
      </c>
      <c r="P10" s="49">
        <f>IFERROR(VLOOKUP(C10,Purchased!A:E,3,FALSE),"")</f>
        <v>0</v>
      </c>
      <c r="Q10" s="50">
        <f t="shared" si="6"/>
        <v>0</v>
      </c>
    </row>
    <row r="11" spans="1:17" s="2" customFormat="1" ht="12" customHeight="1">
      <c r="A11" s="4">
        <f t="shared" si="2"/>
        <v>307</v>
      </c>
      <c r="B11" s="2">
        <v>1</v>
      </c>
      <c r="C11" s="114" t="s">
        <v>156</v>
      </c>
      <c r="D11" s="268" t="str">
        <f>VLOOKUP(C11,Purchased!A:B,2,0)</f>
        <v>MOMENTARY PUSH BUTTON, ILLUMINATED, RED LED, lNO CONTACT, 24VDC, NEMA 4</v>
      </c>
      <c r="E11" s="269"/>
      <c r="F11" s="112" t="str">
        <f>VLOOKUP(C11,Purchased!A:Q,9,0)</f>
        <v>EATON</v>
      </c>
      <c r="G11" s="112" t="str">
        <f>VLOOKUP(C11,Purchased!A:Q,10,0)</f>
        <v>CRAVE</v>
      </c>
      <c r="H11" s="112" t="str">
        <f>VLOOKUP(C11,Purchased!A:Q,12,0)</f>
        <v>Provided by CRAVE</v>
      </c>
      <c r="I11" s="113"/>
      <c r="J11" s="44" t="str">
        <f>VLOOKUP(C11,Purchased!A:Q,13,0)</f>
        <v>N/A</v>
      </c>
      <c r="K11" s="44" t="str">
        <f>VLOOKUP(C11,Purchased!A:Q,14,0)</f>
        <v>N/A</v>
      </c>
      <c r="L11" s="44" t="str">
        <f>VLOOKUP(C11,Purchased!A:Q,15,0)</f>
        <v>N/A</v>
      </c>
      <c r="M11" s="44" t="str">
        <f>VLOOKUP(C11,Purchased!A:Q,16,0)</f>
        <v>N/A</v>
      </c>
      <c r="N11" s="45" t="str">
        <f>VLOOKUP(C11,Purchased!A:Q,17,0)</f>
        <v>N/A</v>
      </c>
      <c r="O11" s="45" t="e">
        <f t="shared" ca="1" si="5"/>
        <v>#VALUE!</v>
      </c>
      <c r="P11" s="49">
        <f>IFERROR(VLOOKUP(C11,Purchased!A:E,3,FALSE),"")</f>
        <v>0</v>
      </c>
      <c r="Q11" s="50">
        <f t="shared" si="6"/>
        <v>0</v>
      </c>
    </row>
    <row r="12" spans="1:17" s="2" customFormat="1" ht="12" customHeight="1">
      <c r="A12" s="4">
        <f t="shared" si="2"/>
        <v>308</v>
      </c>
      <c r="B12" s="2">
        <v>1</v>
      </c>
      <c r="C12" s="114" t="s">
        <v>209</v>
      </c>
      <c r="D12" s="268" t="str">
        <f>VLOOKUP(C12,Purchased!A:B,2,0)</f>
        <v>CONTACT BLOCK, NO, 24VDC</v>
      </c>
      <c r="E12" s="269"/>
      <c r="F12" s="112" t="str">
        <f>VLOOKUP(C12,Purchased!A:Q,9,0)</f>
        <v>EATON</v>
      </c>
      <c r="G12" s="112" t="str">
        <f>VLOOKUP(C12,Purchased!A:Q,10,0)</f>
        <v>CRAVE</v>
      </c>
      <c r="H12" s="112" t="str">
        <f>VLOOKUP(C12,Purchased!A:Q,12,0)</f>
        <v>Provided by CRAVE</v>
      </c>
      <c r="I12" s="113"/>
      <c r="J12" s="44" t="str">
        <f>VLOOKUP(C12,Purchased!A:Q,13,0)</f>
        <v>N/A</v>
      </c>
      <c r="K12" s="44" t="str">
        <f>VLOOKUP(C12,Purchased!A:Q,14,0)</f>
        <v>N/A</v>
      </c>
      <c r="L12" s="44" t="str">
        <f>VLOOKUP(C12,Purchased!A:Q,15,0)</f>
        <v>N/A</v>
      </c>
      <c r="M12" s="44" t="str">
        <f>VLOOKUP(C12,Purchased!A:Q,16,0)</f>
        <v>N/A</v>
      </c>
      <c r="N12" s="45" t="str">
        <f>VLOOKUP(C12,Purchased!A:Q,17,0)</f>
        <v>N/A</v>
      </c>
      <c r="O12" s="45" t="e">
        <f t="shared" ca="1" si="5"/>
        <v>#VALUE!</v>
      </c>
      <c r="P12" s="49">
        <f>IFERROR(VLOOKUP(C12,Purchased!A:E,3,FALSE),"")</f>
        <v>0</v>
      </c>
      <c r="Q12" s="50">
        <f t="shared" si="6"/>
        <v>0</v>
      </c>
    </row>
    <row r="13" spans="1:17" s="2" customFormat="1" ht="12" customHeight="1">
      <c r="A13" s="4">
        <f t="shared" si="2"/>
        <v>309</v>
      </c>
      <c r="B13" s="2">
        <v>1</v>
      </c>
      <c r="C13" s="114" t="s">
        <v>210</v>
      </c>
      <c r="D13" s="268" t="str">
        <f>VLOOKUP(C13,Purchased!A:B,2,0)</f>
        <v>LED LAMP BLOCK, BLUE, 24VDC</v>
      </c>
      <c r="E13" s="269"/>
      <c r="F13" s="112" t="str">
        <f>VLOOKUP(C13,Purchased!A:Q,9,0)</f>
        <v>EATON</v>
      </c>
      <c r="G13" s="112" t="str">
        <f>VLOOKUP(C13,Purchased!A:Q,10,0)</f>
        <v>CRAVE</v>
      </c>
      <c r="H13" s="112" t="str">
        <f>VLOOKUP(C13,Purchased!A:Q,12,0)</f>
        <v>Provided by CRAVE</v>
      </c>
      <c r="I13" s="113"/>
      <c r="J13" s="44" t="str">
        <f>VLOOKUP(C13,Purchased!A:Q,13,0)</f>
        <v>N/A</v>
      </c>
      <c r="K13" s="44" t="str">
        <f>VLOOKUP(C13,Purchased!A:Q,14,0)</f>
        <v>N/A</v>
      </c>
      <c r="L13" s="44" t="str">
        <f>VLOOKUP(C13,Purchased!A:Q,15,0)</f>
        <v>N/A</v>
      </c>
      <c r="M13" s="44" t="str">
        <f>VLOOKUP(C13,Purchased!A:Q,16,0)</f>
        <v>N/A</v>
      </c>
      <c r="N13" s="45" t="str">
        <f>VLOOKUP(C13,Purchased!A:Q,17,0)</f>
        <v>N/A</v>
      </c>
      <c r="O13" s="45" t="e">
        <f t="shared" ca="1" si="5"/>
        <v>#VALUE!</v>
      </c>
      <c r="P13" s="49">
        <f>IFERROR(VLOOKUP(C13,Purchased!A:E,3,FALSE),"")</f>
        <v>0</v>
      </c>
      <c r="Q13" s="50">
        <f t="shared" si="6"/>
        <v>0</v>
      </c>
    </row>
    <row r="14" spans="1:17" s="2" customFormat="1" ht="12" customHeight="1">
      <c r="A14" s="4">
        <f t="shared" si="2"/>
        <v>310</v>
      </c>
      <c r="B14" s="2">
        <v>1</v>
      </c>
      <c r="C14" s="114" t="s">
        <v>134</v>
      </c>
      <c r="D14" s="268" t="str">
        <f>VLOOKUP(C14,Purchased!A:B,2,0)</f>
        <v>WERMA stack light 70mm buzzer element, 85 dB at 1m, continuous or pulse tone(s), 24 VAC/VDC, IP65.</v>
      </c>
      <c r="E14" s="269"/>
      <c r="F14" s="112" t="str">
        <f>VLOOKUP(C14,Purchased!A:Q,9,0)</f>
        <v>Werma</v>
      </c>
      <c r="G14" s="112" t="str">
        <f>VLOOKUP(C14,Purchased!A:Q,10,0)</f>
        <v>AutoDir</v>
      </c>
      <c r="H14" s="112" t="str">
        <f>VLOOKUP(C14,Purchased!A:Q,12,0)</f>
        <v xml:space="preserve"> </v>
      </c>
      <c r="I14" s="113"/>
      <c r="J14" s="44" t="str">
        <f>VLOOKUP(C14,Purchased!A:Q,13,0)</f>
        <v>N/A</v>
      </c>
      <c r="K14" s="44">
        <f>VLOOKUP(C14,Purchased!A:Q,14,0)</f>
        <v>45093</v>
      </c>
      <c r="L14" s="44">
        <f>VLOOKUP(C14,Purchased!A:Q,15,0)</f>
        <v>45100</v>
      </c>
      <c r="M14" s="44">
        <f>VLOOKUP(C14,Purchased!A:Q,16,0)</f>
        <v>45100</v>
      </c>
      <c r="N14" s="45">
        <f>VLOOKUP(C14,Purchased!A:Q,17,0)</f>
        <v>54941</v>
      </c>
      <c r="O14" s="45" t="e">
        <f t="shared" ca="1" si="5"/>
        <v>#VALUE!</v>
      </c>
      <c r="P14" s="49">
        <f>IFERROR(VLOOKUP(C14,Purchased!A:E,3,FALSE),"")</f>
        <v>55</v>
      </c>
      <c r="Q14" s="50">
        <f t="shared" si="6"/>
        <v>55</v>
      </c>
    </row>
    <row r="15" spans="1:17" s="2" customFormat="1" ht="12" customHeight="1">
      <c r="A15" s="4">
        <f t="shared" si="2"/>
        <v>311</v>
      </c>
      <c r="B15" s="2">
        <v>1</v>
      </c>
      <c r="C15" s="114" t="s">
        <v>135</v>
      </c>
      <c r="D15" s="268" t="str">
        <f>VLOOKUP(C15,Purchased!A:B,2,0)</f>
        <v>WERMA terminal element, 70mm diameter, cage clamp, base or bracket mount, IP65. Cap and seal included.</v>
      </c>
      <c r="E15" s="269"/>
      <c r="F15" s="112" t="str">
        <f>VLOOKUP(C15,Purchased!A:Q,9,0)</f>
        <v>Werma</v>
      </c>
      <c r="G15" s="112" t="str">
        <f>VLOOKUP(C15,Purchased!A:Q,10,0)</f>
        <v>AutoDir</v>
      </c>
      <c r="H15" s="112" t="str">
        <f>VLOOKUP(C15,Purchased!A:Q,12,0)</f>
        <v xml:space="preserve"> </v>
      </c>
      <c r="I15" s="113"/>
      <c r="J15" s="44" t="str">
        <f>VLOOKUP(C15,Purchased!A:Q,13,0)</f>
        <v>N/A</v>
      </c>
      <c r="K15" s="44">
        <f>VLOOKUP(C15,Purchased!A:Q,14,0)</f>
        <v>45093</v>
      </c>
      <c r="L15" s="44">
        <f>VLOOKUP(C15,Purchased!A:Q,15,0)</f>
        <v>45100</v>
      </c>
      <c r="M15" s="44">
        <f>VLOOKUP(C15,Purchased!A:Q,16,0)</f>
        <v>45100</v>
      </c>
      <c r="N15" s="45">
        <f>VLOOKUP(C15,Purchased!A:Q,17,0)</f>
        <v>54941</v>
      </c>
      <c r="O15" s="45" t="e">
        <f t="shared" ca="1" si="5"/>
        <v>#VALUE!</v>
      </c>
      <c r="P15" s="49">
        <f>IFERROR(VLOOKUP(C15,Purchased!A:E,3,FALSE),"")</f>
        <v>30</v>
      </c>
      <c r="Q15" s="50">
        <f t="shared" si="6"/>
        <v>30</v>
      </c>
    </row>
    <row r="16" spans="1:17" s="2" customFormat="1" ht="12" customHeight="1">
      <c r="A16" s="4">
        <f t="shared" si="2"/>
        <v>312</v>
      </c>
      <c r="B16" s="2">
        <v>1</v>
      </c>
      <c r="C16" s="109" t="s">
        <v>136</v>
      </c>
      <c r="D16" s="268" t="str">
        <f>VLOOKUP(C16,Purchased!A:B,2,0)</f>
        <v>WERMA incandescent light element, 70mm diameter, red, permanent light function, 12-240 VAC/VDC, colored lens, IP65. Purchase bulb separately.</v>
      </c>
      <c r="E16" s="269"/>
      <c r="F16" s="112" t="str">
        <f>VLOOKUP(C16,Purchased!A:Q,9,0)</f>
        <v>Werma</v>
      </c>
      <c r="G16" s="112" t="str">
        <f>VLOOKUP(C16,Purchased!A:Q,10,0)</f>
        <v>AutoDir</v>
      </c>
      <c r="H16" s="112" t="str">
        <f>VLOOKUP(C16,Purchased!A:Q,12,0)</f>
        <v xml:space="preserve"> </v>
      </c>
      <c r="I16" s="113"/>
      <c r="J16" s="44" t="str">
        <f>VLOOKUP(C16,Purchased!A:Q,13,0)</f>
        <v>N/A</v>
      </c>
      <c r="K16" s="44">
        <f>VLOOKUP(C16,Purchased!A:Q,14,0)</f>
        <v>45093</v>
      </c>
      <c r="L16" s="44">
        <f>VLOOKUP(C16,Purchased!A:Q,15,0)</f>
        <v>45100</v>
      </c>
      <c r="M16" s="44">
        <f>VLOOKUP(C16,Purchased!A:Q,16,0)</f>
        <v>45100</v>
      </c>
      <c r="N16" s="45">
        <f>VLOOKUP(C16,Purchased!A:Q,17,0)</f>
        <v>54941</v>
      </c>
      <c r="O16" s="45" t="e">
        <f t="shared" ca="1" si="5"/>
        <v>#VALUE!</v>
      </c>
      <c r="P16" s="49">
        <f>IFERROR(VLOOKUP(C16,Purchased!A:E,3,FALSE),"")</f>
        <v>23</v>
      </c>
      <c r="Q16" s="50">
        <f t="shared" si="6"/>
        <v>23</v>
      </c>
    </row>
    <row r="17" spans="1:17" s="2" customFormat="1" ht="12" customHeight="1">
      <c r="A17" s="4">
        <f t="shared" si="2"/>
        <v>313</v>
      </c>
      <c r="B17" s="2">
        <v>1</v>
      </c>
      <c r="C17" s="109" t="s">
        <v>137</v>
      </c>
      <c r="D17" s="268" t="str">
        <f>VLOOKUP(C17,Purchased!A:B,2,0)</f>
        <v>WERMA incandescent light element, 70mm diameter, green, permanent light function, 12-240 VAC/VDC, colored lens, IP65. Purchase bulb separately.</v>
      </c>
      <c r="E17" s="269"/>
      <c r="F17" s="112" t="str">
        <f>VLOOKUP(C17,Purchased!A:Q,9,0)</f>
        <v>Werma</v>
      </c>
      <c r="G17" s="112" t="str">
        <f>VLOOKUP(C17,Purchased!A:Q,10,0)</f>
        <v>AutoDir</v>
      </c>
      <c r="H17" s="112" t="str">
        <f>VLOOKUP(C17,Purchased!A:Q,12,0)</f>
        <v xml:space="preserve"> </v>
      </c>
      <c r="I17" s="113"/>
      <c r="J17" s="44" t="str">
        <f>VLOOKUP(C17,Purchased!A:Q,13,0)</f>
        <v>N/A</v>
      </c>
      <c r="K17" s="44">
        <f>VLOOKUP(C17,Purchased!A:Q,14,0)</f>
        <v>45093</v>
      </c>
      <c r="L17" s="44">
        <f>VLOOKUP(C17,Purchased!A:Q,15,0)</f>
        <v>45100</v>
      </c>
      <c r="M17" s="44">
        <f>VLOOKUP(C17,Purchased!A:Q,16,0)</f>
        <v>45100</v>
      </c>
      <c r="N17" s="45">
        <f>VLOOKUP(C17,Purchased!A:Q,17,0)</f>
        <v>54941</v>
      </c>
      <c r="O17" s="45" t="e">
        <f t="shared" ref="O17:O21" ca="1" si="7">B17*$L$2</f>
        <v>#VALUE!</v>
      </c>
      <c r="P17" s="49">
        <f>IFERROR(VLOOKUP(C17,Purchased!A:E,3,FALSE),"")</f>
        <v>23</v>
      </c>
      <c r="Q17" s="50">
        <f t="shared" ref="Q17:Q21" si="8">IFERROR(B17*P17,"")</f>
        <v>23</v>
      </c>
    </row>
    <row r="18" spans="1:17" s="2" customFormat="1" ht="12" customHeight="1">
      <c r="A18" s="4">
        <f t="shared" si="2"/>
        <v>314</v>
      </c>
      <c r="B18" s="2">
        <v>1</v>
      </c>
      <c r="C18" s="109" t="s">
        <v>138</v>
      </c>
      <c r="D18" s="268" t="str">
        <f>VLOOKUP(C18,Purchased!A:B,2,0)</f>
        <v>WERMA incandescent light element, 70mm diameter, yellow, permanent light function, 12-240 VAC/VDC, colored lens, IP65. Purchase bulb separately.</v>
      </c>
      <c r="E18" s="269"/>
      <c r="F18" s="112" t="str">
        <f>VLOOKUP(C18,Purchased!A:Q,9,0)</f>
        <v>Werma</v>
      </c>
      <c r="G18" s="112" t="str">
        <f>VLOOKUP(C18,Purchased!A:Q,10,0)</f>
        <v>AutoDir</v>
      </c>
      <c r="H18" s="112" t="str">
        <f>VLOOKUP(C18,Purchased!A:Q,12,0)</f>
        <v xml:space="preserve"> </v>
      </c>
      <c r="I18" s="113"/>
      <c r="J18" s="44" t="str">
        <f>VLOOKUP(C18,Purchased!A:Q,13,0)</f>
        <v>N/A</v>
      </c>
      <c r="K18" s="44">
        <f>VLOOKUP(C18,Purchased!A:Q,14,0)</f>
        <v>45093</v>
      </c>
      <c r="L18" s="44">
        <f>VLOOKUP(C18,Purchased!A:Q,15,0)</f>
        <v>45100</v>
      </c>
      <c r="M18" s="44">
        <f>VLOOKUP(C18,Purchased!A:Q,16,0)</f>
        <v>45100</v>
      </c>
      <c r="N18" s="45">
        <f>VLOOKUP(C18,Purchased!A:Q,17,0)</f>
        <v>54941</v>
      </c>
      <c r="O18" s="45" t="e">
        <f t="shared" ca="1" si="7"/>
        <v>#VALUE!</v>
      </c>
      <c r="P18" s="49">
        <f>IFERROR(VLOOKUP(C18,Purchased!A:E,3,FALSE),"")</f>
        <v>23</v>
      </c>
      <c r="Q18" s="50">
        <f t="shared" si="8"/>
        <v>23</v>
      </c>
    </row>
    <row r="19" spans="1:17" s="2" customFormat="1" ht="12" customHeight="1">
      <c r="A19" s="4">
        <f t="shared" si="2"/>
        <v>315</v>
      </c>
      <c r="B19" s="2">
        <v>3</v>
      </c>
      <c r="C19" s="109" t="s">
        <v>139</v>
      </c>
      <c r="D19" s="268" t="str">
        <f>VLOOKUP(C19,Purchased!A:B,2,0)</f>
        <v>WERMA bulb, incandescent, replacement, 24 VDC, BA15d bayonet, clear/white, 5W.</v>
      </c>
      <c r="E19" s="269"/>
      <c r="F19" s="112" t="str">
        <f>VLOOKUP(C19,Purchased!A:Q,9,0)</f>
        <v>Werma</v>
      </c>
      <c r="G19" s="112" t="str">
        <f>VLOOKUP(C19,Purchased!A:Q,10,0)</f>
        <v>AutoDir</v>
      </c>
      <c r="H19" s="112" t="str">
        <f>VLOOKUP(C19,Purchased!A:Q,12,0)</f>
        <v xml:space="preserve"> </v>
      </c>
      <c r="I19" s="113"/>
      <c r="J19" s="44" t="str">
        <f>VLOOKUP(C19,Purchased!A:Q,13,0)</f>
        <v>N/A</v>
      </c>
      <c r="K19" s="44">
        <f>VLOOKUP(C19,Purchased!A:Q,14,0)</f>
        <v>45093</v>
      </c>
      <c r="L19" s="44">
        <f>VLOOKUP(C19,Purchased!A:Q,15,0)</f>
        <v>45100</v>
      </c>
      <c r="M19" s="44">
        <f>VLOOKUP(C19,Purchased!A:Q,16,0)</f>
        <v>45100</v>
      </c>
      <c r="N19" s="45">
        <f>VLOOKUP(C19,Purchased!A:Q,17,0)</f>
        <v>54941</v>
      </c>
      <c r="O19" s="45" t="e">
        <f t="shared" ca="1" si="7"/>
        <v>#VALUE!</v>
      </c>
      <c r="P19" s="49">
        <f>IFERROR(VLOOKUP(C19,Purchased!A:E,3,FALSE),"")</f>
        <v>8.25</v>
      </c>
      <c r="Q19" s="50">
        <f t="shared" si="8"/>
        <v>24.75</v>
      </c>
    </row>
    <row r="20" spans="1:17" s="2" customFormat="1" ht="12" customHeight="1">
      <c r="A20" s="4">
        <f t="shared" si="2"/>
        <v>316</v>
      </c>
      <c r="B20" s="2">
        <v>1</v>
      </c>
      <c r="C20" s="109" t="s">
        <v>211</v>
      </c>
      <c r="D20" s="268" t="str">
        <f>VLOOKUP(C20,Purchased!A:B,2,0)</f>
        <v>WERMA mounting bracket, 1-sided mount, black, polyamide.</v>
      </c>
      <c r="E20" s="269"/>
      <c r="F20" s="112" t="str">
        <f>VLOOKUP(C20,Purchased!A:Q,9,0)</f>
        <v>WERMA</v>
      </c>
      <c r="G20" s="112" t="str">
        <f>VLOOKUP(C20,Purchased!A:Q,10,0)</f>
        <v>CRAVE</v>
      </c>
      <c r="H20" s="112" t="str">
        <f>VLOOKUP(C20,Purchased!A:Q,12,0)</f>
        <v>CRAVE BOUGHT THIS</v>
      </c>
      <c r="I20" s="113"/>
      <c r="J20" s="44" t="str">
        <f>VLOOKUP(C20,Purchased!A:Q,13,0)</f>
        <v>N/A</v>
      </c>
      <c r="K20" s="44" t="str">
        <f>VLOOKUP(C20,Purchased!A:Q,14,0)</f>
        <v>N/A</v>
      </c>
      <c r="L20" s="44" t="str">
        <f>VLOOKUP(C20,Purchased!A:Q,15,0)</f>
        <v>N/A</v>
      </c>
      <c r="M20" s="44" t="str">
        <f>VLOOKUP(C20,Purchased!A:Q,16,0)</f>
        <v>N/A</v>
      </c>
      <c r="N20" s="45" t="str">
        <f>VLOOKUP(C20,Purchased!A:Q,17,0)</f>
        <v>N/A</v>
      </c>
      <c r="O20" s="45" t="e">
        <f t="shared" ca="1" si="7"/>
        <v>#VALUE!</v>
      </c>
      <c r="P20" s="49">
        <f>IFERROR(VLOOKUP(C20,Purchased!A:E,3,FALSE),"")</f>
        <v>0</v>
      </c>
      <c r="Q20" s="50">
        <f t="shared" si="8"/>
        <v>0</v>
      </c>
    </row>
    <row r="21" spans="1:17" s="2" customFormat="1" ht="12" customHeight="1">
      <c r="A21" s="4">
        <f t="shared" si="2"/>
        <v>317</v>
      </c>
      <c r="B21" s="2">
        <v>1</v>
      </c>
      <c r="C21" s="109" t="s">
        <v>212</v>
      </c>
      <c r="D21" s="268" t="str">
        <f>VLOOKUP(C21,Purchased!A:B,2,0)</f>
        <v>LEGEND PLATE FOR 22MM PUSH BUTTON, NOTCHED, SS,CYCLE START</v>
      </c>
      <c r="E21" s="269"/>
      <c r="F21" s="112" t="str">
        <f>VLOOKUP(C21,Purchased!A:Q,9,0)</f>
        <v>CAROLINA LASER</v>
      </c>
      <c r="G21" s="112" t="str">
        <f>VLOOKUP(C21,Purchased!A:Q,10,0)</f>
        <v>CAROLINA LASER</v>
      </c>
      <c r="H21" s="112" t="str">
        <f>VLOOKUP(C21,Purchased!A:Q,12,0)</f>
        <v>Provided by CRAVE</v>
      </c>
      <c r="I21" s="113"/>
      <c r="J21" s="44" t="str">
        <f>VLOOKUP(C21,Purchased!A:Q,13,0)</f>
        <v>N/A</v>
      </c>
      <c r="K21" s="44" t="str">
        <f>VLOOKUP(C21,Purchased!A:Q,14,0)</f>
        <v>N/A</v>
      </c>
      <c r="L21" s="44" t="str">
        <f>VLOOKUP(C21,Purchased!A:Q,15,0)</f>
        <v>N/A</v>
      </c>
      <c r="M21" s="44" t="str">
        <f>VLOOKUP(C21,Purchased!A:Q,16,0)</f>
        <v>N/A</v>
      </c>
      <c r="N21" s="45" t="str">
        <f>VLOOKUP(C21,Purchased!A:Q,17,0)</f>
        <v>N/A</v>
      </c>
      <c r="O21" s="45" t="e">
        <f t="shared" ca="1" si="7"/>
        <v>#VALUE!</v>
      </c>
      <c r="P21" s="49">
        <f>IFERROR(VLOOKUP(C21,Purchased!A:E,3,FALSE),"")</f>
        <v>10</v>
      </c>
      <c r="Q21" s="50">
        <f t="shared" si="8"/>
        <v>10</v>
      </c>
    </row>
    <row r="22" spans="1:17" s="2" customFormat="1" ht="12" customHeight="1">
      <c r="A22" s="4">
        <f t="shared" si="2"/>
        <v>318</v>
      </c>
      <c r="B22" s="2">
        <v>1</v>
      </c>
      <c r="C22" s="109" t="s">
        <v>213</v>
      </c>
      <c r="D22" s="268" t="str">
        <f>VLOOKUP(C22,Purchased!A:B,2,0)</f>
        <v>LEGEND PLATE FOR 22MM PUSH BUTTON, NOTCHED, SS, CYCLE STOP</v>
      </c>
      <c r="E22" s="269"/>
      <c r="F22" s="112" t="str">
        <f>VLOOKUP(C22,Purchased!A:Q,9,0)</f>
        <v>CAROLINA LASER</v>
      </c>
      <c r="G22" s="112" t="str">
        <f>VLOOKUP(C22,Purchased!A:Q,10,0)</f>
        <v>CAROLINA LASER</v>
      </c>
      <c r="H22" s="112" t="str">
        <f>VLOOKUP(C22,Purchased!A:Q,12,0)</f>
        <v>Provided by CRAVE</v>
      </c>
      <c r="I22" s="113"/>
      <c r="J22" s="44" t="str">
        <f>VLOOKUP(C22,Purchased!A:Q,13,0)</f>
        <v>N/A</v>
      </c>
      <c r="K22" s="44" t="str">
        <f>VLOOKUP(C22,Purchased!A:Q,14,0)</f>
        <v>N/A</v>
      </c>
      <c r="L22" s="44" t="str">
        <f>VLOOKUP(C22,Purchased!A:Q,15,0)</f>
        <v>N/A</v>
      </c>
      <c r="M22" s="44" t="str">
        <f>VLOOKUP(C22,Purchased!A:Q,16,0)</f>
        <v>N/A</v>
      </c>
      <c r="N22" s="45" t="str">
        <f>VLOOKUP(C22,Purchased!A:Q,17,0)</f>
        <v>N/A</v>
      </c>
      <c r="O22" s="45" t="e">
        <f t="shared" ref="O22:O23" ca="1" si="9">B22*$L$2</f>
        <v>#VALUE!</v>
      </c>
      <c r="P22" s="49">
        <f>IFERROR(VLOOKUP(C22,Purchased!A:E,3,FALSE),"")</f>
        <v>10</v>
      </c>
      <c r="Q22" s="50">
        <f t="shared" ref="Q22:Q23" si="10">IFERROR(B22*P22,"")</f>
        <v>10</v>
      </c>
    </row>
    <row r="23" spans="1:17" s="2" customFormat="1" ht="12" customHeight="1">
      <c r="A23" s="4">
        <f t="shared" si="2"/>
        <v>319</v>
      </c>
      <c r="B23" s="2">
        <v>1</v>
      </c>
      <c r="C23" s="109" t="s">
        <v>214</v>
      </c>
      <c r="D23" s="268" t="str">
        <f>VLOOKUP(C23,Purchased!A:B,2,0)</f>
        <v>LEGEND PLATE FOR 22MM PUSH BUTTON, NOTCHED, SS, RESET</v>
      </c>
      <c r="E23" s="269"/>
      <c r="F23" s="112" t="str">
        <f>VLOOKUP(C23,Purchased!A:Q,9,0)</f>
        <v>CAROLINA LASER</v>
      </c>
      <c r="G23" s="112" t="str">
        <f>VLOOKUP(C23,Purchased!A:Q,10,0)</f>
        <v>CAROLINA LASER</v>
      </c>
      <c r="H23" s="112" t="str">
        <f>VLOOKUP(C23,Purchased!A:Q,12,0)</f>
        <v>Provided by CRAVE</v>
      </c>
      <c r="I23" s="113"/>
      <c r="J23" s="44" t="str">
        <f>VLOOKUP(C23,Purchased!A:Q,13,0)</f>
        <v>N/A</v>
      </c>
      <c r="K23" s="44" t="str">
        <f>VLOOKUP(C23,Purchased!A:Q,14,0)</f>
        <v>N/A</v>
      </c>
      <c r="L23" s="44" t="str">
        <f>VLOOKUP(C23,Purchased!A:Q,15,0)</f>
        <v>N/A</v>
      </c>
      <c r="M23" s="44" t="str">
        <f>VLOOKUP(C23,Purchased!A:Q,16,0)</f>
        <v>N/A</v>
      </c>
      <c r="N23" s="45" t="str">
        <f>VLOOKUP(C23,Purchased!A:Q,17,0)</f>
        <v>N/A</v>
      </c>
      <c r="O23" s="45" t="e">
        <f t="shared" ca="1" si="9"/>
        <v>#VALUE!</v>
      </c>
      <c r="P23" s="49">
        <f>IFERROR(VLOOKUP(C23,Purchased!A:E,3,FALSE),"")</f>
        <v>10</v>
      </c>
      <c r="Q23" s="50">
        <f t="shared" si="10"/>
        <v>10</v>
      </c>
    </row>
    <row r="24" spans="1:17" s="2" customFormat="1" ht="12" customHeight="1" thickBot="1">
      <c r="A24" s="4">
        <f t="shared" si="2"/>
        <v>320</v>
      </c>
      <c r="B24" s="2">
        <v>1</v>
      </c>
      <c r="C24" s="109" t="s">
        <v>215</v>
      </c>
      <c r="D24" s="268" t="str">
        <f>VLOOKUP(C24,Purchased!A:B,2,0)</f>
        <v>LEGEND PLATE</v>
      </c>
      <c r="E24" s="269"/>
      <c r="F24" s="112" t="str">
        <f>VLOOKUP(C24,Purchased!A:Q,9,0)</f>
        <v>CRAVE</v>
      </c>
      <c r="G24" s="112" t="str">
        <f>VLOOKUP(C24,Purchased!A:Q,10,0)</f>
        <v>CRAVE</v>
      </c>
      <c r="H24" s="112">
        <f>VLOOKUP(C24,Purchased!A:Q,12,0)</f>
        <v>0</v>
      </c>
      <c r="I24" s="113"/>
      <c r="J24" s="44">
        <f>VLOOKUP(C24,Purchased!A:Q,13,0)</f>
        <v>0</v>
      </c>
      <c r="K24" s="44">
        <f>VLOOKUP(C24,Purchased!A:Q,14,0)</f>
        <v>0</v>
      </c>
      <c r="L24" s="44">
        <f>VLOOKUP(C24,Purchased!A:Q,15,0)</f>
        <v>0</v>
      </c>
      <c r="M24" s="44">
        <f>VLOOKUP(C24,Purchased!A:Q,16,0)</f>
        <v>0</v>
      </c>
      <c r="N24" s="45">
        <f>VLOOKUP(C24,Purchased!A:Q,17,0)</f>
        <v>0</v>
      </c>
      <c r="O24" s="45" t="e">
        <f t="shared" ref="O24" ca="1" si="11">B24*$L$2</f>
        <v>#VALUE!</v>
      </c>
      <c r="P24" s="49">
        <f>IFERROR(VLOOKUP(C24,Purchased!A:E,3,FALSE),"")</f>
        <v>0</v>
      </c>
      <c r="Q24" s="50">
        <f t="shared" ref="Q24" si="12">IFERROR(B24*P24,"")</f>
        <v>0</v>
      </c>
    </row>
    <row r="25" spans="1:17" s="2" customFormat="1" ht="12.75" customHeight="1" thickBot="1">
      <c r="A25" s="34"/>
      <c r="B25" s="34"/>
      <c r="C25" s="34"/>
      <c r="D25" s="256"/>
      <c r="E25" s="257"/>
      <c r="F25" s="35"/>
      <c r="G25" s="35"/>
      <c r="H25" s="294"/>
      <c r="I25" s="295"/>
      <c r="J25" s="36"/>
      <c r="K25" s="36"/>
      <c r="L25" s="36"/>
      <c r="M25" s="37"/>
      <c r="N25" s="38"/>
      <c r="O25" s="38"/>
      <c r="P25" s="89" t="s">
        <v>43</v>
      </c>
      <c r="Q25" s="94">
        <f>SUM(Q5:Q6)</f>
        <v>3626.9692000000005</v>
      </c>
    </row>
    <row r="26" spans="1:17" s="2" customFormat="1" ht="12" customHeight="1">
      <c r="D26" s="22"/>
      <c r="E26" s="22"/>
      <c r="J26" s="8"/>
      <c r="K26" s="8"/>
      <c r="L26" s="8"/>
      <c r="M26" s="8"/>
      <c r="N26" s="5"/>
      <c r="O26" s="5"/>
      <c r="P26" s="88"/>
      <c r="Q26" s="95"/>
    </row>
    <row r="27" spans="1:17" s="2" customFormat="1" ht="12" customHeight="1">
      <c r="D27" s="22"/>
      <c r="E27" s="22"/>
      <c r="J27" s="5"/>
      <c r="K27" s="5"/>
      <c r="L27" s="5"/>
      <c r="M27" s="5"/>
      <c r="N27" s="5"/>
      <c r="O27" s="5"/>
      <c r="P27" s="88"/>
      <c r="Q27" s="95"/>
    </row>
    <row r="28" spans="1:17" s="2" customFormat="1" ht="12" customHeight="1">
      <c r="D28" s="22"/>
      <c r="E28" s="22"/>
      <c r="J28" s="5"/>
      <c r="K28" s="5"/>
      <c r="L28" s="5"/>
      <c r="M28" s="5"/>
      <c r="N28" s="5"/>
      <c r="O28" s="5"/>
      <c r="P28" s="88"/>
      <c r="Q28" s="95"/>
    </row>
    <row r="29" spans="1:17" s="2" customFormat="1" ht="12" customHeight="1">
      <c r="D29" s="22"/>
      <c r="E29" s="22"/>
      <c r="J29" s="5"/>
      <c r="K29" s="5"/>
      <c r="L29" s="5"/>
      <c r="M29" s="5"/>
      <c r="N29" s="5"/>
      <c r="O29" s="5"/>
      <c r="P29" s="88"/>
      <c r="Q29" s="95"/>
    </row>
    <row r="30" spans="1:17" s="2" customFormat="1" ht="12" customHeight="1">
      <c r="D30" s="22"/>
      <c r="E30" s="22"/>
      <c r="J30" s="5"/>
      <c r="K30" s="5"/>
      <c r="L30" s="5"/>
      <c r="M30" s="5"/>
      <c r="N30" s="5"/>
      <c r="O30" s="5"/>
      <c r="P30" s="88"/>
      <c r="Q30" s="95"/>
    </row>
    <row r="31" spans="1:17" s="2" customFormat="1" ht="12" customHeight="1">
      <c r="D31" s="22"/>
      <c r="E31" s="22"/>
      <c r="J31" s="5"/>
      <c r="K31" s="5"/>
      <c r="L31" s="5"/>
      <c r="M31" s="5"/>
      <c r="N31" s="5"/>
      <c r="O31" s="5"/>
      <c r="P31" s="88"/>
      <c r="Q31" s="95"/>
    </row>
    <row r="32" spans="1:17" s="2" customFormat="1" ht="12" customHeight="1">
      <c r="D32" s="22"/>
      <c r="E32" s="22"/>
      <c r="J32" s="5"/>
      <c r="K32" s="5"/>
      <c r="L32" s="5"/>
      <c r="M32" s="5"/>
      <c r="N32" s="5"/>
      <c r="O32" s="5"/>
      <c r="P32" s="88"/>
      <c r="Q32" s="95"/>
    </row>
    <row r="33" spans="4:17" s="2" customFormat="1" ht="12" customHeight="1">
      <c r="D33" s="22"/>
      <c r="E33" s="22"/>
      <c r="J33" s="5"/>
      <c r="K33" s="5"/>
      <c r="L33" s="5"/>
      <c r="M33" s="5"/>
      <c r="N33" s="5"/>
      <c r="O33" s="5"/>
      <c r="P33" s="88"/>
      <c r="Q33" s="95"/>
    </row>
    <row r="34" spans="4:17" s="2" customFormat="1" ht="12" customHeight="1">
      <c r="D34" s="22"/>
      <c r="E34" s="22"/>
      <c r="J34" s="5"/>
      <c r="K34" s="5"/>
      <c r="L34" s="5"/>
      <c r="M34" s="5"/>
      <c r="N34" s="5"/>
      <c r="O34" s="5"/>
      <c r="P34" s="88"/>
      <c r="Q34" s="95"/>
    </row>
    <row r="35" spans="4:17" s="2" customFormat="1" ht="12" customHeight="1">
      <c r="D35" s="22"/>
      <c r="E35" s="22"/>
      <c r="J35" s="5"/>
      <c r="K35" s="5"/>
      <c r="L35" s="5"/>
      <c r="M35" s="5"/>
      <c r="N35" s="5"/>
      <c r="O35" s="5"/>
      <c r="P35" s="88"/>
      <c r="Q35" s="95"/>
    </row>
    <row r="36" spans="4:17" s="2" customFormat="1" ht="12" customHeight="1">
      <c r="D36" s="22"/>
      <c r="E36" s="22"/>
      <c r="J36" s="5"/>
      <c r="K36" s="5"/>
      <c r="L36" s="5"/>
      <c r="M36" s="5"/>
      <c r="N36" s="5"/>
      <c r="O36" s="5"/>
      <c r="P36" s="88"/>
      <c r="Q36" s="95"/>
    </row>
    <row r="37" spans="4:17" s="2" customFormat="1" ht="12" customHeight="1">
      <c r="D37" s="22"/>
      <c r="E37" s="22"/>
      <c r="J37" s="5"/>
      <c r="K37" s="5"/>
      <c r="L37" s="5"/>
      <c r="M37" s="5"/>
      <c r="N37" s="5"/>
      <c r="O37" s="5"/>
      <c r="P37" s="88"/>
      <c r="Q37" s="95"/>
    </row>
    <row r="38" spans="4:17" s="2" customFormat="1" ht="12" customHeight="1">
      <c r="D38" s="22"/>
      <c r="E38" s="22"/>
      <c r="J38" s="5"/>
      <c r="K38" s="5"/>
      <c r="L38" s="5"/>
      <c r="M38" s="5"/>
      <c r="N38" s="5"/>
      <c r="O38" s="5"/>
      <c r="P38" s="88"/>
      <c r="Q38" s="95"/>
    </row>
    <row r="39" spans="4:17" s="2" customFormat="1" ht="12" customHeight="1">
      <c r="D39" s="22"/>
      <c r="E39" s="22"/>
      <c r="J39" s="5"/>
      <c r="K39" s="5"/>
      <c r="L39" s="5"/>
      <c r="M39" s="5"/>
      <c r="N39" s="5"/>
      <c r="O39" s="5"/>
      <c r="P39" s="88"/>
      <c r="Q39" s="95"/>
    </row>
    <row r="40" spans="4:17" s="2" customFormat="1" ht="12" customHeight="1">
      <c r="D40" s="22"/>
      <c r="E40" s="22"/>
      <c r="J40" s="5"/>
      <c r="K40" s="5"/>
      <c r="L40" s="5"/>
      <c r="M40" s="5"/>
      <c r="N40" s="5"/>
      <c r="O40" s="5"/>
      <c r="P40" s="88"/>
      <c r="Q40" s="95"/>
    </row>
    <row r="41" spans="4:17" s="2" customFormat="1" ht="12" customHeight="1">
      <c r="D41" s="22"/>
      <c r="E41" s="22"/>
      <c r="J41" s="5"/>
      <c r="K41" s="5"/>
      <c r="L41" s="5"/>
      <c r="M41" s="5"/>
      <c r="N41" s="5"/>
      <c r="O41" s="5"/>
      <c r="P41" s="88"/>
      <c r="Q41" s="95"/>
    </row>
    <row r="42" spans="4:17" s="2" customFormat="1" ht="12" customHeight="1">
      <c r="D42" s="22"/>
      <c r="E42" s="22"/>
      <c r="J42" s="5"/>
      <c r="K42" s="5"/>
      <c r="L42" s="5"/>
      <c r="M42" s="5"/>
      <c r="N42" s="5"/>
      <c r="O42" s="5"/>
      <c r="P42" s="88"/>
      <c r="Q42" s="95"/>
    </row>
    <row r="43" spans="4:17" s="2" customFormat="1" ht="12" customHeight="1">
      <c r="D43" s="22"/>
      <c r="E43" s="22"/>
      <c r="J43" s="5"/>
      <c r="K43" s="5"/>
      <c r="L43" s="5"/>
      <c r="M43" s="5"/>
      <c r="N43" s="5"/>
      <c r="O43" s="5"/>
      <c r="P43" s="88"/>
      <c r="Q43" s="95"/>
    </row>
    <row r="44" spans="4:17" s="2" customFormat="1" ht="12" customHeight="1">
      <c r="D44" s="22"/>
      <c r="E44" s="22"/>
      <c r="J44" s="5"/>
      <c r="K44" s="5"/>
      <c r="L44" s="5"/>
      <c r="M44" s="5"/>
      <c r="N44" s="5"/>
      <c r="O44" s="5"/>
      <c r="P44" s="88"/>
      <c r="Q44" s="95"/>
    </row>
    <row r="45" spans="4:17" s="2" customFormat="1" ht="12" customHeight="1">
      <c r="D45" s="22"/>
      <c r="E45" s="22"/>
      <c r="J45" s="5"/>
      <c r="K45" s="5"/>
      <c r="L45" s="5"/>
      <c r="M45" s="5"/>
      <c r="N45" s="5"/>
      <c r="O45" s="5"/>
      <c r="P45" s="88"/>
      <c r="Q45" s="95"/>
    </row>
    <row r="46" spans="4:17" s="2" customFormat="1" ht="12" customHeight="1">
      <c r="D46" s="22"/>
      <c r="E46" s="22"/>
      <c r="J46" s="5"/>
      <c r="K46" s="5"/>
      <c r="L46" s="5"/>
      <c r="M46" s="5"/>
      <c r="N46" s="5"/>
      <c r="O46" s="5"/>
      <c r="P46" s="88"/>
      <c r="Q46" s="95"/>
    </row>
    <row r="47" spans="4:17" s="2" customFormat="1" ht="12" customHeight="1">
      <c r="D47" s="22"/>
      <c r="E47" s="22"/>
      <c r="J47" s="5"/>
      <c r="K47" s="5"/>
      <c r="L47" s="5"/>
      <c r="M47" s="5"/>
      <c r="N47" s="5"/>
      <c r="O47" s="5"/>
      <c r="P47" s="88"/>
      <c r="Q47" s="95"/>
    </row>
    <row r="48" spans="4:17" s="2" customFormat="1" ht="12" customHeight="1">
      <c r="D48" s="22"/>
      <c r="E48" s="22"/>
      <c r="J48" s="5"/>
      <c r="K48" s="5"/>
      <c r="L48" s="5"/>
      <c r="M48" s="5"/>
      <c r="N48" s="5"/>
      <c r="O48" s="5"/>
      <c r="P48" s="88"/>
      <c r="Q48" s="95"/>
    </row>
    <row r="49" spans="4:17" s="2" customFormat="1" ht="12" customHeight="1">
      <c r="D49" s="22"/>
      <c r="E49" s="22"/>
      <c r="J49" s="5"/>
      <c r="K49" s="5"/>
      <c r="L49" s="5"/>
      <c r="M49" s="5"/>
      <c r="N49" s="5"/>
      <c r="O49" s="5"/>
      <c r="P49" s="88"/>
      <c r="Q49" s="95"/>
    </row>
    <row r="50" spans="4:17" s="2" customFormat="1" ht="12" customHeight="1">
      <c r="D50" s="22"/>
      <c r="E50" s="22"/>
      <c r="J50" s="5"/>
      <c r="K50" s="5"/>
      <c r="L50" s="5"/>
      <c r="M50" s="5"/>
      <c r="N50" s="5"/>
      <c r="O50" s="5"/>
      <c r="P50" s="88"/>
      <c r="Q50" s="95"/>
    </row>
    <row r="51" spans="4:17" s="2" customFormat="1" ht="12" customHeight="1">
      <c r="D51" s="22"/>
      <c r="E51" s="22"/>
      <c r="J51" s="5"/>
      <c r="K51" s="5"/>
      <c r="L51" s="5"/>
      <c r="M51" s="5"/>
      <c r="N51" s="5"/>
      <c r="O51" s="5"/>
      <c r="P51" s="88"/>
      <c r="Q51" s="95"/>
    </row>
    <row r="52" spans="4:17" s="2" customFormat="1" ht="12" customHeight="1">
      <c r="D52" s="22"/>
      <c r="E52" s="22"/>
      <c r="J52" s="5"/>
      <c r="K52" s="5"/>
      <c r="L52" s="5"/>
      <c r="M52" s="5"/>
      <c r="N52" s="5"/>
      <c r="O52" s="5"/>
      <c r="P52" s="88"/>
      <c r="Q52" s="95"/>
    </row>
    <row r="53" spans="4:17" s="2" customFormat="1" ht="12" customHeight="1">
      <c r="D53" s="22"/>
      <c r="E53" s="22"/>
      <c r="J53" s="5"/>
      <c r="K53" s="5"/>
      <c r="L53" s="5"/>
      <c r="M53" s="5"/>
      <c r="N53" s="5"/>
      <c r="O53" s="5"/>
      <c r="P53" s="88"/>
      <c r="Q53" s="95"/>
    </row>
    <row r="54" spans="4:17" s="2" customFormat="1" ht="12" customHeight="1">
      <c r="D54" s="22"/>
      <c r="E54" s="22"/>
      <c r="J54" s="5"/>
      <c r="K54" s="5"/>
      <c r="L54" s="5"/>
      <c r="M54" s="5"/>
      <c r="N54" s="5"/>
      <c r="O54" s="5"/>
      <c r="P54" s="88"/>
      <c r="Q54" s="95"/>
    </row>
    <row r="55" spans="4:17" s="2" customFormat="1" ht="12" customHeight="1">
      <c r="D55" s="22"/>
      <c r="E55" s="22"/>
      <c r="J55" s="5"/>
      <c r="K55" s="5"/>
      <c r="L55" s="5"/>
      <c r="M55" s="5"/>
      <c r="N55" s="5"/>
      <c r="O55" s="5"/>
      <c r="P55" s="88"/>
      <c r="Q55" s="95"/>
    </row>
    <row r="56" spans="4:17" s="2" customFormat="1" ht="12" customHeight="1">
      <c r="D56" s="22"/>
      <c r="E56" s="22"/>
      <c r="J56" s="5"/>
      <c r="K56" s="5"/>
      <c r="L56" s="5"/>
      <c r="M56" s="5"/>
      <c r="N56" s="5"/>
      <c r="O56" s="5"/>
      <c r="P56" s="88"/>
      <c r="Q56" s="95"/>
    </row>
    <row r="57" spans="4:17" s="2" customFormat="1" ht="12" customHeight="1">
      <c r="D57" s="22"/>
      <c r="E57" s="22"/>
      <c r="J57" s="5"/>
      <c r="K57" s="5"/>
      <c r="L57" s="5"/>
      <c r="M57" s="5"/>
      <c r="N57" s="5"/>
      <c r="O57" s="5"/>
      <c r="P57" s="88"/>
      <c r="Q57" s="95"/>
    </row>
    <row r="58" spans="4:17" s="2" customFormat="1" ht="12" customHeight="1">
      <c r="D58" s="22"/>
      <c r="E58" s="22"/>
      <c r="J58" s="5"/>
      <c r="K58" s="5"/>
      <c r="L58" s="5"/>
      <c r="M58" s="5"/>
      <c r="N58" s="5"/>
      <c r="O58" s="5"/>
      <c r="P58" s="88"/>
      <c r="Q58" s="95"/>
    </row>
    <row r="59" spans="4:17" s="2" customFormat="1" ht="12" customHeight="1">
      <c r="D59" s="22"/>
      <c r="E59" s="22"/>
      <c r="J59" s="5"/>
      <c r="K59" s="5"/>
      <c r="L59" s="5"/>
      <c r="M59" s="5"/>
      <c r="N59" s="5"/>
      <c r="O59" s="5"/>
      <c r="P59" s="88"/>
      <c r="Q59" s="95"/>
    </row>
    <row r="60" spans="4:17" s="2" customFormat="1" ht="12" customHeight="1">
      <c r="D60" s="22"/>
      <c r="E60" s="22"/>
      <c r="J60" s="5"/>
      <c r="K60" s="5"/>
      <c r="L60" s="5"/>
      <c r="M60" s="5"/>
      <c r="N60" s="5"/>
      <c r="O60" s="5"/>
      <c r="P60" s="88"/>
      <c r="Q60" s="95"/>
    </row>
    <row r="61" spans="4:17" s="2" customFormat="1" ht="12" customHeight="1">
      <c r="D61" s="22"/>
      <c r="E61" s="22"/>
      <c r="J61" s="5"/>
      <c r="K61" s="5"/>
      <c r="L61" s="5"/>
      <c r="M61" s="5"/>
      <c r="N61" s="5"/>
      <c r="O61" s="5"/>
      <c r="P61" s="88"/>
      <c r="Q61" s="95"/>
    </row>
    <row r="62" spans="4:17" s="2" customFormat="1" ht="12" customHeight="1">
      <c r="D62" s="22"/>
      <c r="E62" s="22"/>
      <c r="J62" s="5"/>
      <c r="K62" s="5"/>
      <c r="L62" s="5"/>
      <c r="M62" s="5"/>
      <c r="N62" s="5"/>
      <c r="O62" s="5"/>
      <c r="P62" s="88"/>
      <c r="Q62" s="95"/>
    </row>
    <row r="63" spans="4:17" s="2" customFormat="1" ht="12" customHeight="1">
      <c r="D63" s="22"/>
      <c r="E63" s="22"/>
      <c r="J63" s="5"/>
      <c r="K63" s="5"/>
      <c r="L63" s="5"/>
      <c r="M63" s="5"/>
      <c r="N63" s="5"/>
      <c r="O63" s="5"/>
      <c r="P63" s="88"/>
      <c r="Q63" s="95"/>
    </row>
    <row r="64" spans="4:17" s="2" customFormat="1" ht="12" customHeight="1">
      <c r="D64" s="22"/>
      <c r="E64" s="22"/>
      <c r="J64" s="5"/>
      <c r="K64" s="5"/>
      <c r="L64" s="5"/>
      <c r="M64" s="5"/>
      <c r="N64" s="5"/>
      <c r="O64" s="5"/>
      <c r="P64" s="88"/>
      <c r="Q64" s="96"/>
    </row>
    <row r="65" spans="1:17" s="2" customFormat="1" ht="12" customHeight="1">
      <c r="D65" s="22"/>
      <c r="E65" s="22"/>
      <c r="J65" s="5"/>
      <c r="K65" s="5"/>
      <c r="L65" s="5"/>
      <c r="M65" s="5"/>
      <c r="N65" s="5"/>
      <c r="O65" s="5"/>
      <c r="P65" s="88"/>
      <c r="Q65" s="96"/>
    </row>
    <row r="66" spans="1:17" s="2" customFormat="1" ht="12" customHeight="1">
      <c r="D66" s="22"/>
      <c r="E66" s="22"/>
      <c r="J66" s="5"/>
      <c r="K66" s="5"/>
      <c r="L66" s="5"/>
      <c r="M66" s="5"/>
      <c r="N66" s="5"/>
      <c r="O66" s="5"/>
      <c r="P66" s="88"/>
      <c r="Q66" s="96"/>
    </row>
    <row r="67" spans="1:17" s="2" customFormat="1" ht="12" customHeight="1">
      <c r="D67" s="22"/>
      <c r="E67" s="22"/>
      <c r="J67" s="5"/>
      <c r="K67" s="5"/>
      <c r="L67" s="5"/>
      <c r="M67" s="5"/>
      <c r="N67" s="5"/>
      <c r="O67" s="5"/>
      <c r="P67" s="88"/>
      <c r="Q67" s="96"/>
    </row>
    <row r="68" spans="1:17" s="2" customFormat="1" ht="12" customHeight="1">
      <c r="A68"/>
      <c r="B68"/>
      <c r="C68"/>
      <c r="D68" s="23"/>
      <c r="E68" s="23"/>
      <c r="F68"/>
      <c r="G68"/>
      <c r="H68"/>
      <c r="I68"/>
      <c r="J68" s="19"/>
      <c r="K68" s="19"/>
      <c r="L68" s="19"/>
      <c r="M68" s="19"/>
      <c r="N68" s="19"/>
      <c r="O68" s="19"/>
      <c r="P68" s="90"/>
      <c r="Q68" s="96"/>
    </row>
    <row r="69" spans="1:17" s="2" customFormat="1" ht="12" customHeight="1">
      <c r="A69"/>
      <c r="B69"/>
      <c r="C69"/>
      <c r="D69" s="23"/>
      <c r="E69" s="23"/>
      <c r="F69"/>
      <c r="G69"/>
      <c r="H69"/>
      <c r="I69"/>
      <c r="J69" s="19"/>
      <c r="K69" s="19"/>
      <c r="L69" s="19"/>
      <c r="M69" s="19"/>
      <c r="N69" s="19"/>
      <c r="O69" s="19"/>
      <c r="P69" s="90"/>
      <c r="Q69" s="96"/>
    </row>
    <row r="70" spans="1:17" s="2" customFormat="1" ht="12" customHeight="1">
      <c r="A70"/>
      <c r="B70"/>
      <c r="C70"/>
      <c r="D70" s="23"/>
      <c r="E70" s="23"/>
      <c r="F70"/>
      <c r="G70"/>
      <c r="H70"/>
      <c r="I70"/>
      <c r="J70" s="19"/>
      <c r="K70" s="19"/>
      <c r="L70" s="19"/>
      <c r="M70" s="19"/>
      <c r="N70" s="19"/>
      <c r="O70" s="19"/>
      <c r="P70" s="90"/>
      <c r="Q70" s="96"/>
    </row>
    <row r="71" spans="1:17" s="2" customFormat="1" ht="12" customHeight="1">
      <c r="A71"/>
      <c r="B71"/>
      <c r="C71"/>
      <c r="D71" s="23"/>
      <c r="E71" s="23"/>
      <c r="F71"/>
      <c r="G71"/>
      <c r="H71"/>
      <c r="I71"/>
      <c r="J71" s="19"/>
      <c r="K71" s="19"/>
      <c r="L71" s="19"/>
      <c r="M71" s="19"/>
      <c r="N71" s="19"/>
      <c r="O71" s="19"/>
      <c r="P71" s="90"/>
      <c r="Q71" s="96"/>
    </row>
    <row r="72" spans="1:17" s="2" customFormat="1" ht="12" customHeight="1">
      <c r="A72"/>
      <c r="B72"/>
      <c r="C72"/>
      <c r="D72" s="23"/>
      <c r="E72" s="23"/>
      <c r="F72"/>
      <c r="G72"/>
      <c r="H72"/>
      <c r="I72"/>
      <c r="J72" s="19"/>
      <c r="K72" s="19"/>
      <c r="L72" s="19"/>
      <c r="M72" s="19"/>
      <c r="N72" s="19"/>
      <c r="O72" s="19"/>
      <c r="P72" s="90"/>
      <c r="Q72" s="96"/>
    </row>
    <row r="73" spans="1:17">
      <c r="Q73" s="96"/>
    </row>
    <row r="74" spans="1:17">
      <c r="Q74" s="96"/>
    </row>
    <row r="75" spans="1:17">
      <c r="Q75" s="96"/>
    </row>
    <row r="76" spans="1:17">
      <c r="Q76" s="96"/>
    </row>
    <row r="77" spans="1:17">
      <c r="Q77" s="96"/>
    </row>
    <row r="78" spans="1:17">
      <c r="Q78" s="96"/>
    </row>
    <row r="79" spans="1:17">
      <c r="Q79" s="96"/>
    </row>
    <row r="80" spans="1:17">
      <c r="Q80" s="96"/>
    </row>
    <row r="81" spans="17:17">
      <c r="Q81" s="96"/>
    </row>
    <row r="82" spans="17:17">
      <c r="Q82" s="96"/>
    </row>
    <row r="83" spans="17:17">
      <c r="Q83" s="96"/>
    </row>
    <row r="84" spans="17:17">
      <c r="Q84" s="96"/>
    </row>
    <row r="85" spans="17:17">
      <c r="Q85" s="96"/>
    </row>
    <row r="86" spans="17:17">
      <c r="Q86" s="96"/>
    </row>
    <row r="87" spans="17:17">
      <c r="Q87" s="96"/>
    </row>
    <row r="88" spans="17:17">
      <c r="Q88" s="96"/>
    </row>
    <row r="89" spans="17:17">
      <c r="Q89" s="96"/>
    </row>
    <row r="90" spans="17:17">
      <c r="Q90" s="96"/>
    </row>
    <row r="91" spans="17:17">
      <c r="Q91" s="96"/>
    </row>
    <row r="92" spans="17:17">
      <c r="Q92" s="96"/>
    </row>
    <row r="129" ht="12" customHeight="1"/>
    <row r="130" ht="12" customHeight="1"/>
    <row r="131" ht="12" customHeight="1"/>
    <row r="132" ht="12" customHeight="1"/>
    <row r="133" ht="12" customHeight="1"/>
    <row r="134" ht="12" customHeight="1"/>
    <row r="135" ht="12" customHeight="1"/>
    <row r="136" ht="12" customHeight="1"/>
    <row r="137" ht="12" customHeight="1"/>
    <row r="138" ht="12" customHeight="1"/>
    <row r="139" ht="12" customHeight="1"/>
    <row r="140" ht="12" customHeight="1"/>
    <row r="141" ht="12" customHeight="1"/>
    <row r="142" ht="12" customHeight="1"/>
    <row r="143" ht="12" customHeight="1"/>
    <row r="144" ht="12" customHeight="1"/>
    <row r="145" ht="12" customHeight="1"/>
    <row r="146" ht="12" customHeight="1"/>
    <row r="147" ht="12" customHeight="1"/>
    <row r="148" ht="12" customHeight="1"/>
    <row r="149" ht="12" customHeight="1"/>
    <row r="150" ht="12" customHeight="1"/>
    <row r="151" ht="12" customHeight="1"/>
    <row r="152" ht="12" customHeight="1"/>
    <row r="153" ht="12" customHeight="1"/>
    <row r="154" ht="12" customHeight="1"/>
    <row r="155" ht="12" customHeight="1"/>
    <row r="156" ht="12" customHeight="1"/>
    <row r="157" ht="12" customHeight="1"/>
    <row r="158" ht="12" customHeight="1"/>
    <row r="159" ht="12" customHeight="1"/>
    <row r="160" ht="12" customHeight="1"/>
    <row r="161" ht="12" customHeight="1"/>
    <row r="162" ht="12" customHeight="1"/>
    <row r="163" ht="12" customHeight="1"/>
    <row r="164" ht="12" customHeight="1"/>
    <row r="165" ht="12" customHeight="1"/>
    <row r="166" ht="12" customHeight="1"/>
    <row r="167" ht="12" customHeight="1"/>
    <row r="168" ht="12" customHeight="1"/>
    <row r="169" ht="12" customHeight="1"/>
    <row r="170" ht="12" customHeight="1"/>
    <row r="171" ht="12" customHeight="1"/>
    <row r="172" ht="12" customHeight="1"/>
    <row r="173" ht="12" customHeight="1"/>
    <row r="174" ht="12" customHeight="1"/>
    <row r="175" ht="12" customHeight="1"/>
    <row r="176" ht="12" customHeight="1"/>
    <row r="177" ht="12" customHeight="1"/>
    <row r="178" ht="12" customHeight="1"/>
  </sheetData>
  <mergeCells count="25">
    <mergeCell ref="D15:E15"/>
    <mergeCell ref="D22:E22"/>
    <mergeCell ref="D23:E23"/>
    <mergeCell ref="D16:E16"/>
    <mergeCell ref="D17:E17"/>
    <mergeCell ref="D18:E18"/>
    <mergeCell ref="D19:E19"/>
    <mergeCell ref="D20:E20"/>
    <mergeCell ref="D21:E21"/>
    <mergeCell ref="D24:E24"/>
    <mergeCell ref="D25:E25"/>
    <mergeCell ref="H25:I25"/>
    <mergeCell ref="D1:E1"/>
    <mergeCell ref="D4:E4"/>
    <mergeCell ref="H4:I4"/>
    <mergeCell ref="D5:E5"/>
    <mergeCell ref="D6:E6"/>
    <mergeCell ref="D7:E7"/>
    <mergeCell ref="D8:E8"/>
    <mergeCell ref="D9:E9"/>
    <mergeCell ref="D10:E10"/>
    <mergeCell ref="D11:E11"/>
    <mergeCell ref="D12:E12"/>
    <mergeCell ref="D13:E13"/>
    <mergeCell ref="D14:E14"/>
  </mergeCells>
  <conditionalFormatting sqref="M5:M24">
    <cfRule type="cellIs" dxfId="639" priority="3" stopIfTrue="1" operator="lessThanOrEqual">
      <formula>$L5</formula>
    </cfRule>
    <cfRule type="cellIs" dxfId="638" priority="4" operator="greaterThan">
      <formula>L5</formula>
    </cfRule>
  </conditionalFormatting>
  <pageMargins left="0.7" right="0.7" top="0.75" bottom="0.75" header="0.3" footer="0.3"/>
  <pageSetup paperSize="3" fitToHeight="0" orientation="landscape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BA392953-75FB-4F93-957B-7A1919B780B8}">
          <x14:formula1>
            <xm:f>Purchased!$A:$A</xm:f>
          </x14:formula1>
          <xm:sqref>C5:C24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>
    <tabColor theme="3" tint="0.39997558519241921"/>
    <pageSetUpPr fitToPage="1"/>
  </sheetPr>
  <dimension ref="A1:Q167"/>
  <sheetViews>
    <sheetView zoomScaleNormal="100" workbookViewId="0">
      <selection activeCell="Q19" sqref="Q19"/>
    </sheetView>
  </sheetViews>
  <sheetFormatPr defaultColWidth="9.140625" defaultRowHeight="15"/>
  <cols>
    <col min="1" max="1" width="5.7109375" customWidth="1"/>
    <col min="2" max="2" width="5.42578125" bestFit="1" customWidth="1"/>
    <col min="3" max="3" width="30.7109375" customWidth="1"/>
    <col min="4" max="5" width="20.7109375" style="23" customWidth="1"/>
    <col min="6" max="6" width="16.85546875" bestFit="1" customWidth="1"/>
    <col min="7" max="7" width="9.7109375" customWidth="1"/>
    <col min="8" max="8" width="8.7109375" customWidth="1"/>
    <col min="9" max="9" width="20.7109375" customWidth="1"/>
    <col min="10" max="13" width="11.7109375" style="19" customWidth="1"/>
    <col min="14" max="14" width="11.85546875" style="19" bestFit="1" customWidth="1"/>
    <col min="15" max="15" width="7.7109375" style="19" customWidth="1"/>
    <col min="16" max="16" width="10.7109375" style="90" customWidth="1"/>
    <col min="17" max="17" width="10.7109375" style="97" customWidth="1"/>
  </cols>
  <sheetData>
    <row r="1" spans="1:17" s="55" customFormat="1" ht="12" customHeight="1">
      <c r="A1" s="68" t="s">
        <v>0</v>
      </c>
      <c r="B1" s="69"/>
      <c r="C1" s="69"/>
      <c r="D1" s="262" t="s">
        <v>1</v>
      </c>
      <c r="E1" s="263"/>
      <c r="F1" s="70"/>
      <c r="G1" s="69"/>
      <c r="H1" s="70"/>
      <c r="I1" s="71"/>
      <c r="J1" s="72"/>
      <c r="K1" s="72"/>
      <c r="L1" s="72"/>
      <c r="M1" s="72"/>
      <c r="N1" s="72"/>
      <c r="O1" s="72"/>
      <c r="P1" s="85"/>
      <c r="Q1" s="91"/>
    </row>
    <row r="2" spans="1:17" s="55" customFormat="1" ht="12" customHeight="1">
      <c r="A2" s="74" t="s">
        <v>48</v>
      </c>
      <c r="B2" s="58"/>
      <c r="C2" s="57" t="e">
        <f ca="1">VLOOKUP(E3,Assemblies!B:F,4,0)</f>
        <v>#VALUE!</v>
      </c>
      <c r="D2" s="75" t="s">
        <v>3</v>
      </c>
      <c r="E2" s="76" t="e">
        <f ca="1">'GF12'!E2</f>
        <v>#VALUE!</v>
      </c>
      <c r="F2" s="77" t="s">
        <v>4</v>
      </c>
      <c r="G2" s="58" t="str">
        <f>'GF12'!G2</f>
        <v>GH</v>
      </c>
      <c r="H2" s="77" t="s">
        <v>6</v>
      </c>
      <c r="I2" s="59">
        <f>'GF12'!I2</f>
        <v>44775</v>
      </c>
      <c r="J2" s="39"/>
      <c r="K2" s="40" t="s">
        <v>49</v>
      </c>
      <c r="L2" s="41" t="e">
        <f ca="1">VLOOKUP(C2,Assemblies!E:G,3,0)</f>
        <v>#VALUE!</v>
      </c>
      <c r="M2" s="78"/>
      <c r="N2" s="78"/>
      <c r="O2" s="78"/>
      <c r="P2" s="86"/>
      <c r="Q2" s="92"/>
    </row>
    <row r="3" spans="1:17" s="55" customFormat="1" ht="12" customHeight="1" thickBot="1">
      <c r="A3" s="74" t="s">
        <v>7</v>
      </c>
      <c r="B3" s="58"/>
      <c r="C3" s="57" t="e">
        <f ca="1">VLOOKUP(E3,Assemblies!B:F,5,0)</f>
        <v>#VALUE!</v>
      </c>
      <c r="D3" s="75" t="s">
        <v>50</v>
      </c>
      <c r="E3" s="76" t="e">
        <f ca="1">MID(CELL("filename",A1),FIND("]",CELL("filename",A1))+1,256)</f>
        <v>#VALUE!</v>
      </c>
      <c r="F3" s="77" t="s">
        <v>11</v>
      </c>
      <c r="G3" s="58" t="str">
        <f>'GF12'!G3</f>
        <v>GH</v>
      </c>
      <c r="H3" s="77" t="s">
        <v>6</v>
      </c>
      <c r="I3" s="59">
        <f>'GF12'!I3</f>
        <v>44775</v>
      </c>
      <c r="J3" s="78"/>
      <c r="K3" s="78"/>
      <c r="L3" s="78"/>
      <c r="M3" s="78"/>
      <c r="N3" s="78"/>
      <c r="O3" s="78"/>
      <c r="P3" s="86"/>
      <c r="Q3" s="92"/>
    </row>
    <row r="4" spans="1:17" s="56" customFormat="1" ht="12.75" customHeight="1" thickBot="1">
      <c r="A4" s="80" t="s">
        <v>12</v>
      </c>
      <c r="B4" s="81" t="s">
        <v>13</v>
      </c>
      <c r="C4" s="81" t="s">
        <v>14</v>
      </c>
      <c r="D4" s="270" t="s">
        <v>15</v>
      </c>
      <c r="E4" s="271"/>
      <c r="F4" s="104" t="s">
        <v>16</v>
      </c>
      <c r="G4" s="81" t="s">
        <v>17</v>
      </c>
      <c r="H4" s="260" t="s">
        <v>18</v>
      </c>
      <c r="I4" s="261"/>
      <c r="J4" s="81" t="s">
        <v>51</v>
      </c>
      <c r="K4" s="81" t="s">
        <v>20</v>
      </c>
      <c r="L4" s="81" t="s">
        <v>21</v>
      </c>
      <c r="M4" s="81" t="s">
        <v>52</v>
      </c>
      <c r="N4" s="81" t="s">
        <v>22</v>
      </c>
      <c r="O4" s="81" t="s">
        <v>53</v>
      </c>
      <c r="P4" s="107" t="s">
        <v>26</v>
      </c>
      <c r="Q4" s="82" t="s">
        <v>27</v>
      </c>
    </row>
    <row r="5" spans="1:17" s="21" customFormat="1" ht="12.75" customHeight="1">
      <c r="A5" s="66" t="s">
        <v>54</v>
      </c>
      <c r="B5" s="1">
        <v>1</v>
      </c>
      <c r="C5" s="67" t="s">
        <v>216</v>
      </c>
      <c r="D5" s="277" t="e">
        <f ca="1">VLOOKUP(C5,Assemblies!E:S,2,0)</f>
        <v>#N/A</v>
      </c>
      <c r="E5" s="278"/>
      <c r="F5" s="32"/>
      <c r="G5" s="32"/>
      <c r="H5" s="292"/>
      <c r="I5" s="293"/>
      <c r="J5" s="28"/>
      <c r="K5" s="28"/>
      <c r="L5" s="28"/>
      <c r="M5" s="28"/>
      <c r="N5" s="33"/>
      <c r="O5" s="46" t="e">
        <f t="shared" ref="O5:O6" ca="1" si="0">B5*$L$2</f>
        <v>#VALUE!</v>
      </c>
      <c r="P5" s="87">
        <f>'110'!Q33</f>
        <v>15341.973828325668</v>
      </c>
      <c r="Q5" s="93">
        <f t="shared" ref="Q5:Q7" si="1">B5*P5</f>
        <v>15341.973828325668</v>
      </c>
    </row>
    <row r="6" spans="1:17" s="21" customFormat="1" ht="12.75" customHeight="1">
      <c r="A6" s="66" t="s">
        <v>56</v>
      </c>
      <c r="B6" s="1">
        <v>1</v>
      </c>
      <c r="C6" s="67" t="s">
        <v>217</v>
      </c>
      <c r="D6" s="277" t="e">
        <f ca="1">VLOOKUP(C6,Assemblies!E:S,2,0)</f>
        <v>#N/A</v>
      </c>
      <c r="E6" s="278"/>
      <c r="F6" s="32"/>
      <c r="G6" s="32"/>
      <c r="H6" s="292"/>
      <c r="I6" s="293"/>
      <c r="J6" s="28"/>
      <c r="K6" s="28"/>
      <c r="L6" s="28"/>
      <c r="M6" s="28"/>
      <c r="N6" s="33"/>
      <c r="O6" s="46" t="e">
        <f t="shared" ca="1" si="0"/>
        <v>#VALUE!</v>
      </c>
      <c r="P6" s="87">
        <f>'120'!Q51</f>
        <v>27430.216448354702</v>
      </c>
      <c r="Q6" s="93">
        <f t="shared" si="1"/>
        <v>27430.216448354702</v>
      </c>
    </row>
    <row r="7" spans="1:17" s="21" customFormat="1" ht="12.75" customHeight="1">
      <c r="A7" s="66" t="s">
        <v>58</v>
      </c>
      <c r="B7" s="1">
        <v>3</v>
      </c>
      <c r="C7" s="67" t="s">
        <v>218</v>
      </c>
      <c r="D7" s="277" t="e">
        <f ca="1">VLOOKUP(C7,Assemblies!E:S,2,0)</f>
        <v>#N/A</v>
      </c>
      <c r="E7" s="278"/>
      <c r="F7" s="32"/>
      <c r="G7" s="32"/>
      <c r="H7" s="292"/>
      <c r="I7" s="293"/>
      <c r="J7" s="28"/>
      <c r="K7" s="28"/>
      <c r="L7" s="28"/>
      <c r="M7" s="28"/>
      <c r="N7" s="33"/>
      <c r="O7" s="46" t="e">
        <f t="shared" ref="O7:O9" ca="1" si="2">B7*$L$2</f>
        <v>#VALUE!</v>
      </c>
      <c r="P7" s="87">
        <f>'130'!Q64</f>
        <v>15864.374699999998</v>
      </c>
      <c r="Q7" s="93">
        <f t="shared" si="1"/>
        <v>47593.124099999994</v>
      </c>
    </row>
    <row r="8" spans="1:17" s="21" customFormat="1" ht="12.75" customHeight="1">
      <c r="A8" s="66" t="s">
        <v>60</v>
      </c>
      <c r="B8" s="1">
        <v>1</v>
      </c>
      <c r="C8" s="67" t="s">
        <v>219</v>
      </c>
      <c r="D8" s="277" t="e">
        <f ca="1">VLOOKUP(C8,Assemblies!E:S,2,0)</f>
        <v>#N/A</v>
      </c>
      <c r="E8" s="278"/>
      <c r="F8" s="32"/>
      <c r="G8" s="32"/>
      <c r="H8" s="292"/>
      <c r="I8" s="293"/>
      <c r="J8" s="28"/>
      <c r="K8" s="28"/>
      <c r="L8" s="28"/>
      <c r="M8" s="28"/>
      <c r="N8" s="33"/>
      <c r="O8" s="46" t="e">
        <f ca="1">B8*$L$2</f>
        <v>#VALUE!</v>
      </c>
      <c r="P8" s="87">
        <f>'140'!Q51</f>
        <v>2587.4460129500003</v>
      </c>
      <c r="Q8" s="93">
        <f>B8*P8</f>
        <v>2587.4460129500003</v>
      </c>
    </row>
    <row r="9" spans="1:17" s="21" customFormat="1" ht="12.75" customHeight="1">
      <c r="A9" s="66" t="s">
        <v>62</v>
      </c>
      <c r="B9" s="1">
        <v>1</v>
      </c>
      <c r="C9" s="67" t="s">
        <v>220</v>
      </c>
      <c r="D9" s="277" t="e">
        <f ca="1">VLOOKUP(C9,Assemblies!E:S,2,0)</f>
        <v>#N/A</v>
      </c>
      <c r="E9" s="278"/>
      <c r="F9" s="32"/>
      <c r="G9" s="32"/>
      <c r="H9" s="292"/>
      <c r="I9" s="293"/>
      <c r="J9" s="28"/>
      <c r="K9" s="28"/>
      <c r="L9" s="28"/>
      <c r="M9" s="28"/>
      <c r="N9" s="33"/>
      <c r="O9" s="46" t="e">
        <f t="shared" ca="1" si="2"/>
        <v>#VALUE!</v>
      </c>
      <c r="P9" s="87">
        <f>'150'!Q17</f>
        <v>4310.4799999999996</v>
      </c>
      <c r="Q9" s="93">
        <f t="shared" ref="Q9" si="3">B9*P9</f>
        <v>4310.4799999999996</v>
      </c>
    </row>
    <row r="10" spans="1:17" s="21" customFormat="1" ht="12.75" customHeight="1">
      <c r="A10" s="66" t="s">
        <v>64</v>
      </c>
      <c r="B10" s="1">
        <v>1</v>
      </c>
      <c r="C10" s="67" t="s">
        <v>221</v>
      </c>
      <c r="D10" s="277" t="e">
        <f ca="1">VLOOKUP(C10,Assemblies!E:S,2,0)</f>
        <v>#N/A</v>
      </c>
      <c r="E10" s="278"/>
      <c r="F10" s="32"/>
      <c r="G10" s="32"/>
      <c r="H10" s="32"/>
      <c r="I10" s="179"/>
      <c r="J10" s="28"/>
      <c r="K10" s="28"/>
      <c r="L10" s="28"/>
      <c r="M10" s="28"/>
      <c r="N10" s="33"/>
      <c r="O10" s="46" t="e">
        <f ca="1">B10*$L$2</f>
        <v>#VALUE!</v>
      </c>
      <c r="P10" s="87">
        <f>'160'!Q23</f>
        <v>522.67719999999997</v>
      </c>
      <c r="Q10" s="93">
        <f>B10*P10</f>
        <v>522.67719999999997</v>
      </c>
    </row>
    <row r="11" spans="1:17" s="21" customFormat="1" ht="12.75" customHeight="1">
      <c r="A11" s="66" t="s">
        <v>66</v>
      </c>
      <c r="B11" s="1">
        <v>1</v>
      </c>
      <c r="C11" s="67" t="s">
        <v>222</v>
      </c>
      <c r="D11" s="277" t="e">
        <f ca="1">VLOOKUP(C11,Assemblies!E:S,2,0)</f>
        <v>#N/A</v>
      </c>
      <c r="E11" s="278"/>
      <c r="F11" s="32"/>
      <c r="G11" s="32"/>
      <c r="H11" s="32"/>
      <c r="I11" s="179"/>
      <c r="J11" s="28"/>
      <c r="K11" s="28"/>
      <c r="L11" s="28"/>
      <c r="M11" s="28"/>
      <c r="N11" s="33"/>
      <c r="O11" s="46" t="e">
        <f ca="1">B11*$L$2</f>
        <v>#VALUE!</v>
      </c>
      <c r="P11" s="87">
        <f>'170'!Q20</f>
        <v>1521.3995</v>
      </c>
      <c r="Q11" s="93">
        <f>B11*P11</f>
        <v>1521.3995</v>
      </c>
    </row>
    <row r="12" spans="1:17" s="21" customFormat="1" ht="12.75" customHeight="1">
      <c r="A12" s="66" t="s">
        <v>68</v>
      </c>
      <c r="B12" s="1">
        <v>1</v>
      </c>
      <c r="C12" s="67" t="s">
        <v>223</v>
      </c>
      <c r="D12" s="277" t="e">
        <f ca="1">VLOOKUP(C12,Assemblies!E:S,2,0)</f>
        <v>#N/A</v>
      </c>
      <c r="E12" s="278"/>
      <c r="F12" s="32"/>
      <c r="G12" s="32"/>
      <c r="H12" s="32"/>
      <c r="I12" s="179"/>
      <c r="J12" s="28"/>
      <c r="K12" s="28"/>
      <c r="L12" s="28"/>
      <c r="M12" s="28"/>
      <c r="N12" s="33"/>
      <c r="O12" s="46" t="e">
        <f ca="1">B12*$L$2</f>
        <v>#VALUE!</v>
      </c>
      <c r="P12" s="87">
        <f>'180'!Q34</f>
        <v>1738.0926574866667</v>
      </c>
      <c r="Q12" s="93">
        <f>B12*P12</f>
        <v>1738.0926574866667</v>
      </c>
    </row>
    <row r="13" spans="1:17" s="21" customFormat="1" ht="12.75" customHeight="1" thickBot="1">
      <c r="A13" s="66" t="s">
        <v>224</v>
      </c>
      <c r="B13" s="1">
        <v>1</v>
      </c>
      <c r="C13" s="67" t="s">
        <v>225</v>
      </c>
      <c r="D13" s="277" t="e">
        <f ca="1">VLOOKUP(C13,Assemblies!E:S,2,0)</f>
        <v>#N/A</v>
      </c>
      <c r="E13" s="278"/>
      <c r="F13" s="32"/>
      <c r="G13" s="32"/>
      <c r="H13" s="32"/>
      <c r="I13" s="179"/>
      <c r="J13" s="28"/>
      <c r="K13" s="28"/>
      <c r="L13" s="28"/>
      <c r="M13" s="28"/>
      <c r="N13" s="33"/>
      <c r="O13" s="46" t="e">
        <f ca="1">B13*$L$2</f>
        <v>#VALUE!</v>
      </c>
      <c r="P13" s="87">
        <f>'001'!Q110</f>
        <v>42140.30539999999</v>
      </c>
      <c r="Q13" s="93">
        <f>B13*P13</f>
        <v>42140.30539999999</v>
      </c>
    </row>
    <row r="14" spans="1:17" s="2" customFormat="1" ht="12.75" customHeight="1" thickBot="1">
      <c r="A14" s="34"/>
      <c r="B14" s="35"/>
      <c r="C14" s="35"/>
      <c r="D14" s="256"/>
      <c r="E14" s="257"/>
      <c r="F14" s="35"/>
      <c r="G14" s="35"/>
      <c r="H14" s="294"/>
      <c r="I14" s="295"/>
      <c r="J14" s="36"/>
      <c r="K14" s="36"/>
      <c r="L14" s="36"/>
      <c r="M14" s="37"/>
      <c r="N14" s="38"/>
      <c r="O14" s="38"/>
      <c r="P14" s="89" t="s">
        <v>43</v>
      </c>
      <c r="Q14" s="94">
        <f>SUM(Q5:Q10)</f>
        <v>97785.917589630364</v>
      </c>
    </row>
    <row r="15" spans="1:17" s="2" customFormat="1" ht="12" customHeight="1">
      <c r="D15" s="22"/>
      <c r="E15" s="22"/>
      <c r="J15" s="8"/>
      <c r="K15" s="8"/>
      <c r="L15" s="8"/>
      <c r="M15" s="8"/>
      <c r="N15" s="5"/>
      <c r="O15" s="5"/>
      <c r="P15" s="88"/>
      <c r="Q15" s="95"/>
    </row>
    <row r="16" spans="1:17" s="2" customFormat="1" ht="12" customHeight="1">
      <c r="D16" s="22"/>
      <c r="E16" s="22"/>
      <c r="J16" s="5"/>
      <c r="K16" s="5"/>
      <c r="L16" s="5"/>
      <c r="M16" s="5"/>
      <c r="N16" s="5"/>
      <c r="O16" s="5"/>
      <c r="P16" s="88"/>
      <c r="Q16" s="95"/>
    </row>
    <row r="17" spans="4:17" s="2" customFormat="1" ht="12" customHeight="1">
      <c r="D17" s="22"/>
      <c r="E17" s="22"/>
      <c r="J17" s="5"/>
      <c r="K17" s="5"/>
      <c r="L17" s="5"/>
      <c r="M17" s="5"/>
      <c r="N17" s="5"/>
      <c r="O17" s="5"/>
      <c r="P17" s="88"/>
      <c r="Q17" s="95"/>
    </row>
    <row r="18" spans="4:17" s="2" customFormat="1" ht="12" customHeight="1">
      <c r="D18" s="22"/>
      <c r="E18" s="22"/>
      <c r="J18" s="5"/>
      <c r="K18" s="5"/>
      <c r="L18" s="5"/>
      <c r="M18" s="5"/>
      <c r="N18" s="5"/>
      <c r="O18" s="5"/>
      <c r="P18" s="88"/>
      <c r="Q18" s="95"/>
    </row>
    <row r="19" spans="4:17" s="2" customFormat="1" ht="12" customHeight="1">
      <c r="D19" s="22"/>
      <c r="E19" s="22"/>
      <c r="J19" s="5"/>
      <c r="K19" s="5"/>
      <c r="L19" s="5"/>
      <c r="M19" s="5"/>
      <c r="N19" s="5"/>
      <c r="O19" s="5"/>
      <c r="P19" s="88"/>
      <c r="Q19" s="95"/>
    </row>
    <row r="20" spans="4:17" s="2" customFormat="1" ht="12" customHeight="1">
      <c r="D20" s="22"/>
      <c r="E20" s="22"/>
      <c r="J20" s="5"/>
      <c r="K20" s="5"/>
      <c r="L20" s="5"/>
      <c r="M20" s="5"/>
      <c r="N20" s="5"/>
      <c r="O20" s="5"/>
      <c r="P20" s="88"/>
      <c r="Q20" s="95"/>
    </row>
    <row r="21" spans="4:17" s="2" customFormat="1" ht="12" customHeight="1">
      <c r="D21" s="22"/>
      <c r="E21" s="22"/>
      <c r="J21" s="5"/>
      <c r="K21" s="5"/>
      <c r="L21" s="5"/>
      <c r="M21" s="5"/>
      <c r="N21" s="5"/>
      <c r="O21" s="5"/>
      <c r="P21" s="88"/>
      <c r="Q21" s="95"/>
    </row>
    <row r="22" spans="4:17" s="2" customFormat="1" ht="12" customHeight="1">
      <c r="D22" s="22"/>
      <c r="E22" s="22"/>
      <c r="J22" s="5"/>
      <c r="K22" s="5"/>
      <c r="L22" s="5"/>
      <c r="M22" s="5"/>
      <c r="N22" s="5"/>
      <c r="O22" s="5"/>
      <c r="P22" s="88"/>
      <c r="Q22" s="95"/>
    </row>
    <row r="23" spans="4:17" s="2" customFormat="1" ht="12" customHeight="1">
      <c r="D23" s="22"/>
      <c r="E23" s="22"/>
      <c r="J23" s="5"/>
      <c r="K23" s="5"/>
      <c r="L23" s="5"/>
      <c r="M23" s="5"/>
      <c r="N23" s="5"/>
      <c r="O23" s="5"/>
      <c r="P23" s="88"/>
      <c r="Q23" s="95"/>
    </row>
    <row r="24" spans="4:17" s="2" customFormat="1" ht="12" customHeight="1">
      <c r="D24" s="22"/>
      <c r="E24" s="22"/>
      <c r="J24" s="5"/>
      <c r="K24" s="5"/>
      <c r="L24" s="5"/>
      <c r="M24" s="5"/>
      <c r="N24" s="5"/>
      <c r="O24" s="5"/>
      <c r="P24" s="88"/>
      <c r="Q24" s="95"/>
    </row>
    <row r="25" spans="4:17" s="2" customFormat="1" ht="12" customHeight="1">
      <c r="D25" s="22"/>
      <c r="E25" s="22"/>
      <c r="J25" s="5"/>
      <c r="K25" s="5"/>
      <c r="L25" s="5"/>
      <c r="M25" s="5"/>
      <c r="N25" s="5"/>
      <c r="O25" s="5"/>
      <c r="P25" s="88"/>
      <c r="Q25" s="95"/>
    </row>
    <row r="26" spans="4:17" s="2" customFormat="1" ht="12" customHeight="1">
      <c r="D26" s="22"/>
      <c r="E26" s="22"/>
      <c r="J26" s="5"/>
      <c r="K26" s="5"/>
      <c r="L26" s="5"/>
      <c r="M26" s="5"/>
      <c r="N26" s="5"/>
      <c r="O26" s="5"/>
      <c r="P26" s="88"/>
      <c r="Q26" s="95"/>
    </row>
    <row r="27" spans="4:17" s="2" customFormat="1" ht="12" customHeight="1">
      <c r="D27" s="22"/>
      <c r="E27" s="22"/>
      <c r="J27" s="5"/>
      <c r="K27" s="5"/>
      <c r="L27" s="5"/>
      <c r="M27" s="5"/>
      <c r="N27" s="5"/>
      <c r="O27" s="5"/>
      <c r="P27" s="88"/>
      <c r="Q27" s="95"/>
    </row>
    <row r="28" spans="4:17" s="2" customFormat="1" ht="12" customHeight="1">
      <c r="D28" s="22"/>
      <c r="E28" s="22"/>
      <c r="J28" s="5"/>
      <c r="K28" s="5"/>
      <c r="L28" s="5"/>
      <c r="M28" s="5"/>
      <c r="N28" s="5"/>
      <c r="O28" s="5"/>
      <c r="P28" s="88"/>
      <c r="Q28" s="95"/>
    </row>
    <row r="29" spans="4:17" s="2" customFormat="1" ht="12" customHeight="1">
      <c r="D29" s="22"/>
      <c r="E29" s="22"/>
      <c r="J29" s="5"/>
      <c r="K29" s="5"/>
      <c r="L29" s="5"/>
      <c r="M29" s="5"/>
      <c r="N29" s="5"/>
      <c r="O29" s="5"/>
      <c r="P29" s="88"/>
      <c r="Q29" s="95"/>
    </row>
    <row r="30" spans="4:17" s="2" customFormat="1" ht="12" customHeight="1">
      <c r="D30" s="22"/>
      <c r="E30" s="22"/>
      <c r="J30" s="5"/>
      <c r="K30" s="5"/>
      <c r="L30" s="5"/>
      <c r="M30" s="5"/>
      <c r="N30" s="5"/>
      <c r="O30" s="5"/>
      <c r="P30" s="88"/>
      <c r="Q30" s="95"/>
    </row>
    <row r="31" spans="4:17" s="2" customFormat="1" ht="12" customHeight="1">
      <c r="D31" s="22"/>
      <c r="E31" s="22"/>
      <c r="J31" s="5"/>
      <c r="K31" s="5"/>
      <c r="L31" s="5"/>
      <c r="M31" s="5"/>
      <c r="N31" s="5"/>
      <c r="O31" s="5"/>
      <c r="P31" s="88"/>
      <c r="Q31" s="95"/>
    </row>
    <row r="32" spans="4:17" s="2" customFormat="1" ht="12" customHeight="1">
      <c r="D32" s="22"/>
      <c r="E32" s="22"/>
      <c r="J32" s="5"/>
      <c r="K32" s="5"/>
      <c r="L32" s="5"/>
      <c r="M32" s="5"/>
      <c r="N32" s="5"/>
      <c r="O32" s="5"/>
      <c r="P32" s="88"/>
      <c r="Q32" s="95"/>
    </row>
    <row r="33" spans="4:17" s="2" customFormat="1" ht="12" customHeight="1">
      <c r="D33" s="22"/>
      <c r="E33" s="22"/>
      <c r="J33" s="5"/>
      <c r="K33" s="5"/>
      <c r="L33" s="5"/>
      <c r="M33" s="5"/>
      <c r="N33" s="5"/>
      <c r="O33" s="5"/>
      <c r="P33" s="88"/>
      <c r="Q33" s="95"/>
    </row>
    <row r="34" spans="4:17" s="2" customFormat="1" ht="12" customHeight="1">
      <c r="D34" s="22"/>
      <c r="E34" s="22"/>
      <c r="J34" s="5"/>
      <c r="K34" s="5"/>
      <c r="L34" s="5"/>
      <c r="M34" s="5"/>
      <c r="N34" s="5"/>
      <c r="O34" s="5"/>
      <c r="P34" s="88"/>
      <c r="Q34" s="95"/>
    </row>
    <row r="35" spans="4:17" s="2" customFormat="1" ht="12" customHeight="1">
      <c r="D35" s="22"/>
      <c r="E35" s="22"/>
      <c r="J35" s="5"/>
      <c r="K35" s="5"/>
      <c r="L35" s="5"/>
      <c r="M35" s="5"/>
      <c r="N35" s="5"/>
      <c r="O35" s="5"/>
      <c r="P35" s="88"/>
      <c r="Q35" s="95"/>
    </row>
    <row r="36" spans="4:17" s="2" customFormat="1" ht="12" customHeight="1">
      <c r="D36" s="22"/>
      <c r="E36" s="22"/>
      <c r="J36" s="5"/>
      <c r="K36" s="5"/>
      <c r="L36" s="5"/>
      <c r="M36" s="5"/>
      <c r="N36" s="5"/>
      <c r="O36" s="5"/>
      <c r="P36" s="88"/>
      <c r="Q36" s="95"/>
    </row>
    <row r="37" spans="4:17" s="2" customFormat="1" ht="12" customHeight="1">
      <c r="D37" s="22"/>
      <c r="E37" s="22"/>
      <c r="J37" s="5"/>
      <c r="K37" s="5"/>
      <c r="L37" s="5"/>
      <c r="M37" s="5"/>
      <c r="N37" s="5"/>
      <c r="O37" s="5"/>
      <c r="P37" s="88"/>
      <c r="Q37" s="95"/>
    </row>
    <row r="38" spans="4:17" s="2" customFormat="1" ht="12" customHeight="1">
      <c r="D38" s="22"/>
      <c r="E38" s="22"/>
      <c r="J38" s="5"/>
      <c r="K38" s="5"/>
      <c r="L38" s="5"/>
      <c r="M38" s="5"/>
      <c r="N38" s="5"/>
      <c r="O38" s="5"/>
      <c r="P38" s="88"/>
      <c r="Q38" s="95"/>
    </row>
    <row r="39" spans="4:17" s="2" customFormat="1" ht="12" customHeight="1">
      <c r="D39" s="22"/>
      <c r="E39" s="22"/>
      <c r="J39" s="5"/>
      <c r="K39" s="5"/>
      <c r="L39" s="5"/>
      <c r="M39" s="5"/>
      <c r="N39" s="5"/>
      <c r="O39" s="5"/>
      <c r="P39" s="88"/>
      <c r="Q39" s="95"/>
    </row>
    <row r="40" spans="4:17" s="2" customFormat="1" ht="12" customHeight="1">
      <c r="D40" s="22"/>
      <c r="E40" s="22"/>
      <c r="J40" s="5"/>
      <c r="K40" s="5"/>
      <c r="L40" s="5"/>
      <c r="M40" s="5"/>
      <c r="N40" s="5"/>
      <c r="O40" s="5"/>
      <c r="P40" s="88"/>
      <c r="Q40" s="95"/>
    </row>
    <row r="41" spans="4:17" s="2" customFormat="1" ht="12" customHeight="1">
      <c r="D41" s="22"/>
      <c r="E41" s="22"/>
      <c r="J41" s="5"/>
      <c r="K41" s="5"/>
      <c r="L41" s="5"/>
      <c r="M41" s="5"/>
      <c r="N41" s="5"/>
      <c r="O41" s="5"/>
      <c r="P41" s="88"/>
      <c r="Q41" s="95"/>
    </row>
    <row r="42" spans="4:17" s="2" customFormat="1" ht="12" customHeight="1">
      <c r="D42" s="22"/>
      <c r="E42" s="22"/>
      <c r="J42" s="5"/>
      <c r="K42" s="5"/>
      <c r="L42" s="5"/>
      <c r="M42" s="5"/>
      <c r="N42" s="5"/>
      <c r="O42" s="5"/>
      <c r="P42" s="88"/>
      <c r="Q42" s="95"/>
    </row>
    <row r="43" spans="4:17" s="2" customFormat="1" ht="12" customHeight="1">
      <c r="D43" s="22"/>
      <c r="E43" s="22"/>
      <c r="J43" s="5"/>
      <c r="K43" s="5"/>
      <c r="L43" s="5"/>
      <c r="M43" s="5"/>
      <c r="N43" s="5"/>
      <c r="O43" s="5"/>
      <c r="P43" s="88"/>
      <c r="Q43" s="95"/>
    </row>
    <row r="44" spans="4:17" s="2" customFormat="1" ht="12" customHeight="1">
      <c r="D44" s="22"/>
      <c r="E44" s="22"/>
      <c r="J44" s="5"/>
      <c r="K44" s="5"/>
      <c r="L44" s="5"/>
      <c r="M44" s="5"/>
      <c r="N44" s="5"/>
      <c r="O44" s="5"/>
      <c r="P44" s="88"/>
      <c r="Q44" s="95"/>
    </row>
    <row r="45" spans="4:17" s="2" customFormat="1" ht="12" customHeight="1">
      <c r="D45" s="22"/>
      <c r="E45" s="22"/>
      <c r="J45" s="5"/>
      <c r="K45" s="5"/>
      <c r="L45" s="5"/>
      <c r="M45" s="5"/>
      <c r="N45" s="5"/>
      <c r="O45" s="5"/>
      <c r="P45" s="88"/>
      <c r="Q45" s="95"/>
    </row>
    <row r="46" spans="4:17" s="2" customFormat="1" ht="12" customHeight="1">
      <c r="D46" s="22"/>
      <c r="E46" s="22"/>
      <c r="J46" s="5"/>
      <c r="K46" s="5"/>
      <c r="L46" s="5"/>
      <c r="M46" s="5"/>
      <c r="N46" s="5"/>
      <c r="O46" s="5"/>
      <c r="P46" s="88"/>
      <c r="Q46" s="95"/>
    </row>
    <row r="47" spans="4:17" s="2" customFormat="1" ht="12" customHeight="1">
      <c r="D47" s="22"/>
      <c r="E47" s="22"/>
      <c r="J47" s="5"/>
      <c r="K47" s="5"/>
      <c r="L47" s="5"/>
      <c r="M47" s="5"/>
      <c r="N47" s="5"/>
      <c r="O47" s="5"/>
      <c r="P47" s="88"/>
      <c r="Q47" s="95"/>
    </row>
    <row r="48" spans="4:17" s="2" customFormat="1" ht="12" customHeight="1">
      <c r="D48" s="22"/>
      <c r="E48" s="22"/>
      <c r="J48" s="5"/>
      <c r="K48" s="5"/>
      <c r="L48" s="5"/>
      <c r="M48" s="5"/>
      <c r="N48" s="5"/>
      <c r="O48" s="5"/>
      <c r="P48" s="88"/>
      <c r="Q48" s="95"/>
    </row>
    <row r="49" spans="1:17" s="2" customFormat="1" ht="12" customHeight="1">
      <c r="D49" s="22"/>
      <c r="E49" s="22"/>
      <c r="J49" s="5"/>
      <c r="K49" s="5"/>
      <c r="L49" s="5"/>
      <c r="M49" s="5"/>
      <c r="N49" s="5"/>
      <c r="O49" s="5"/>
      <c r="P49" s="88"/>
      <c r="Q49" s="95"/>
    </row>
    <row r="50" spans="1:17" s="2" customFormat="1" ht="12" customHeight="1">
      <c r="D50" s="22"/>
      <c r="E50" s="22"/>
      <c r="J50" s="5"/>
      <c r="K50" s="5"/>
      <c r="L50" s="5"/>
      <c r="M50" s="5"/>
      <c r="N50" s="5"/>
      <c r="O50" s="5"/>
      <c r="P50" s="88"/>
      <c r="Q50" s="95"/>
    </row>
    <row r="51" spans="1:17" s="2" customFormat="1" ht="12" customHeight="1">
      <c r="D51" s="22"/>
      <c r="E51" s="22"/>
      <c r="J51" s="5"/>
      <c r="K51" s="5"/>
      <c r="L51" s="5"/>
      <c r="M51" s="5"/>
      <c r="N51" s="5"/>
      <c r="O51" s="5"/>
      <c r="P51" s="88"/>
      <c r="Q51" s="95"/>
    </row>
    <row r="52" spans="1:17" s="2" customFormat="1" ht="12" customHeight="1">
      <c r="D52" s="22"/>
      <c r="E52" s="22"/>
      <c r="J52" s="5"/>
      <c r="K52" s="5"/>
      <c r="L52" s="5"/>
      <c r="M52" s="5"/>
      <c r="N52" s="5"/>
      <c r="O52" s="5"/>
      <c r="P52" s="88"/>
      <c r="Q52" s="95"/>
    </row>
    <row r="53" spans="1:17" s="2" customFormat="1" ht="12" customHeight="1">
      <c r="D53" s="22"/>
      <c r="E53" s="22"/>
      <c r="J53" s="5"/>
      <c r="K53" s="5"/>
      <c r="L53" s="5"/>
      <c r="M53" s="5"/>
      <c r="N53" s="5"/>
      <c r="O53" s="5"/>
      <c r="P53" s="88"/>
      <c r="Q53" s="96"/>
    </row>
    <row r="54" spans="1:17" s="2" customFormat="1" ht="12" customHeight="1">
      <c r="D54" s="22"/>
      <c r="E54" s="22"/>
      <c r="J54" s="5"/>
      <c r="K54" s="5"/>
      <c r="L54" s="5"/>
      <c r="M54" s="5"/>
      <c r="N54" s="5"/>
      <c r="O54" s="5"/>
      <c r="P54" s="88"/>
      <c r="Q54" s="96"/>
    </row>
    <row r="55" spans="1:17" s="2" customFormat="1" ht="12" customHeight="1">
      <c r="D55" s="22"/>
      <c r="E55" s="22"/>
      <c r="J55" s="5"/>
      <c r="K55" s="5"/>
      <c r="L55" s="5"/>
      <c r="M55" s="5"/>
      <c r="N55" s="5"/>
      <c r="O55" s="5"/>
      <c r="P55" s="88"/>
      <c r="Q55" s="96"/>
    </row>
    <row r="56" spans="1:17" s="2" customFormat="1" ht="12" customHeight="1">
      <c r="D56" s="22"/>
      <c r="E56" s="22"/>
      <c r="J56" s="5"/>
      <c r="K56" s="5"/>
      <c r="L56" s="5"/>
      <c r="M56" s="5"/>
      <c r="N56" s="5"/>
      <c r="O56" s="5"/>
      <c r="P56" s="88"/>
      <c r="Q56" s="96"/>
    </row>
    <row r="57" spans="1:17" s="2" customFormat="1" ht="12" customHeight="1">
      <c r="A57"/>
      <c r="B57"/>
      <c r="C57"/>
      <c r="D57" s="23"/>
      <c r="E57" s="23"/>
      <c r="F57"/>
      <c r="G57"/>
      <c r="H57"/>
      <c r="I57"/>
      <c r="J57" s="19"/>
      <c r="K57" s="19"/>
      <c r="L57" s="19"/>
      <c r="M57" s="19"/>
      <c r="N57" s="19"/>
      <c r="O57" s="19"/>
      <c r="P57" s="90"/>
      <c r="Q57" s="96"/>
    </row>
    <row r="58" spans="1:17" s="2" customFormat="1" ht="12" customHeight="1">
      <c r="A58"/>
      <c r="B58"/>
      <c r="C58"/>
      <c r="D58" s="23"/>
      <c r="E58" s="23"/>
      <c r="F58"/>
      <c r="G58"/>
      <c r="H58"/>
      <c r="I58"/>
      <c r="J58" s="19"/>
      <c r="K58" s="19"/>
      <c r="L58" s="19"/>
      <c r="M58" s="19"/>
      <c r="N58" s="19"/>
      <c r="O58" s="19"/>
      <c r="P58" s="90"/>
      <c r="Q58" s="96"/>
    </row>
    <row r="59" spans="1:17" s="2" customFormat="1" ht="12" customHeight="1">
      <c r="A59"/>
      <c r="B59"/>
      <c r="C59"/>
      <c r="D59" s="23"/>
      <c r="E59" s="23"/>
      <c r="F59"/>
      <c r="G59"/>
      <c r="H59"/>
      <c r="I59"/>
      <c r="J59" s="19"/>
      <c r="K59" s="19"/>
      <c r="L59" s="19"/>
      <c r="M59" s="19"/>
      <c r="N59" s="19"/>
      <c r="O59" s="19"/>
      <c r="P59" s="90"/>
      <c r="Q59" s="96"/>
    </row>
    <row r="60" spans="1:17" s="2" customFormat="1" ht="12" customHeight="1">
      <c r="A60"/>
      <c r="B60"/>
      <c r="C60"/>
      <c r="D60" s="23"/>
      <c r="E60" s="23"/>
      <c r="F60"/>
      <c r="G60"/>
      <c r="H60"/>
      <c r="I60"/>
      <c r="J60" s="19"/>
      <c r="K60" s="19"/>
      <c r="L60" s="19"/>
      <c r="M60" s="19"/>
      <c r="N60" s="19"/>
      <c r="O60" s="19"/>
      <c r="P60" s="90"/>
      <c r="Q60" s="96"/>
    </row>
    <row r="61" spans="1:17" s="2" customFormat="1" ht="12" customHeight="1">
      <c r="A61"/>
      <c r="B61"/>
      <c r="C61"/>
      <c r="D61" s="23"/>
      <c r="E61" s="23"/>
      <c r="F61"/>
      <c r="G61"/>
      <c r="H61"/>
      <c r="I61"/>
      <c r="J61" s="19"/>
      <c r="K61" s="19"/>
      <c r="L61" s="19"/>
      <c r="M61" s="19"/>
      <c r="N61" s="19"/>
      <c r="O61" s="19"/>
      <c r="P61" s="90"/>
      <c r="Q61" s="96"/>
    </row>
    <row r="62" spans="1:17">
      <c r="Q62" s="96"/>
    </row>
    <row r="63" spans="1:17">
      <c r="Q63" s="96"/>
    </row>
    <row r="64" spans="1:17">
      <c r="Q64" s="96"/>
    </row>
    <row r="65" spans="17:17">
      <c r="Q65" s="96"/>
    </row>
    <row r="66" spans="17:17">
      <c r="Q66" s="96"/>
    </row>
    <row r="67" spans="17:17">
      <c r="Q67" s="96"/>
    </row>
    <row r="68" spans="17:17">
      <c r="Q68" s="96"/>
    </row>
    <row r="69" spans="17:17">
      <c r="Q69" s="96"/>
    </row>
    <row r="70" spans="17:17">
      <c r="Q70" s="96"/>
    </row>
    <row r="71" spans="17:17">
      <c r="Q71" s="96"/>
    </row>
    <row r="72" spans="17:17">
      <c r="Q72" s="96"/>
    </row>
    <row r="73" spans="17:17">
      <c r="Q73" s="96"/>
    </row>
    <row r="74" spans="17:17">
      <c r="Q74" s="96"/>
    </row>
    <row r="75" spans="17:17">
      <c r="Q75" s="96"/>
    </row>
    <row r="76" spans="17:17">
      <c r="Q76" s="96"/>
    </row>
    <row r="77" spans="17:17">
      <c r="Q77" s="96"/>
    </row>
    <row r="78" spans="17:17">
      <c r="Q78" s="96"/>
    </row>
    <row r="79" spans="17:17">
      <c r="Q79" s="96"/>
    </row>
    <row r="80" spans="17:17">
      <c r="Q80" s="96"/>
    </row>
    <row r="81" spans="17:17">
      <c r="Q81" s="96"/>
    </row>
    <row r="118" ht="12" customHeight="1"/>
    <row r="119" ht="12" customHeight="1"/>
    <row r="120" ht="12" customHeight="1"/>
    <row r="121" ht="12" customHeight="1"/>
    <row r="122" ht="12" customHeight="1"/>
    <row r="123" ht="12" customHeight="1"/>
    <row r="124" ht="12" customHeight="1"/>
    <row r="125" ht="12" customHeight="1"/>
    <row r="126" ht="12" customHeight="1"/>
    <row r="127" ht="12" customHeight="1"/>
    <row r="128" ht="12" customHeight="1"/>
    <row r="129" ht="12" customHeight="1"/>
    <row r="130" ht="12" customHeight="1"/>
    <row r="131" ht="12" customHeight="1"/>
    <row r="132" ht="12" customHeight="1"/>
    <row r="133" ht="12" customHeight="1"/>
    <row r="134" ht="12" customHeight="1"/>
    <row r="135" ht="12" customHeight="1"/>
    <row r="136" ht="12" customHeight="1"/>
    <row r="137" ht="12" customHeight="1"/>
    <row r="138" ht="12" customHeight="1"/>
    <row r="139" ht="12" customHeight="1"/>
    <row r="140" ht="12" customHeight="1"/>
    <row r="141" ht="12" customHeight="1"/>
    <row r="142" ht="12" customHeight="1"/>
    <row r="143" ht="12" customHeight="1"/>
    <row r="144" ht="12" customHeight="1"/>
    <row r="145" ht="12" customHeight="1"/>
    <row r="146" ht="12" customHeight="1"/>
    <row r="147" ht="12" customHeight="1"/>
    <row r="148" ht="12" customHeight="1"/>
    <row r="149" ht="12" customHeight="1"/>
    <row r="150" ht="12" customHeight="1"/>
    <row r="151" ht="12" customHeight="1"/>
    <row r="152" ht="12" customHeight="1"/>
    <row r="153" ht="12" customHeight="1"/>
    <row r="154" ht="12" customHeight="1"/>
    <row r="155" ht="12" customHeight="1"/>
    <row r="156" ht="12" customHeight="1"/>
    <row r="157" ht="12" customHeight="1"/>
    <row r="158" ht="12" customHeight="1"/>
    <row r="159" ht="12" customHeight="1"/>
    <row r="160" ht="12" customHeight="1"/>
    <row r="161" ht="12" customHeight="1"/>
    <row r="162" ht="12" customHeight="1"/>
    <row r="163" ht="12" customHeight="1"/>
    <row r="164" ht="12" customHeight="1"/>
    <row r="165" ht="12" customHeight="1"/>
    <row r="166" ht="12" customHeight="1"/>
    <row r="167" ht="12" customHeight="1"/>
  </sheetData>
  <sheetProtection selectLockedCells="1"/>
  <mergeCells count="19">
    <mergeCell ref="D10:E10"/>
    <mergeCell ref="D11:E11"/>
    <mergeCell ref="D14:E14"/>
    <mergeCell ref="H14:I14"/>
    <mergeCell ref="D9:E9"/>
    <mergeCell ref="D12:E12"/>
    <mergeCell ref="D13:E13"/>
    <mergeCell ref="D8:E8"/>
    <mergeCell ref="H8:I8"/>
    <mergeCell ref="H9:I9"/>
    <mergeCell ref="D1:E1"/>
    <mergeCell ref="D4:E4"/>
    <mergeCell ref="H4:I4"/>
    <mergeCell ref="D7:E7"/>
    <mergeCell ref="H7:I7"/>
    <mergeCell ref="D5:E5"/>
    <mergeCell ref="H5:I5"/>
    <mergeCell ref="D6:E6"/>
    <mergeCell ref="H6:I6"/>
  </mergeCells>
  <pageMargins left="0.7" right="0.7" top="0.75" bottom="0.75" header="0.3" footer="0.3"/>
  <pageSetup paperSize="3" fitToHeight="0" orientation="landscape" horizontalDpi="1200" verticalDpi="1200" r:id="rId1"/>
  <ignoredErrors>
    <ignoredError sqref="Q14" evalError="1"/>
  </ignoredError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C3D01398-3AB6-4108-997D-B8325342A229}">
          <x14:formula1>
            <xm:f>Assemblies!$E:$E</xm:f>
          </x14:formula1>
          <xm:sqref>C5:C13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1B60B-94EE-49ED-81C0-8CD03D9ADFA6}">
  <sheetPr codeName="Sheet13">
    <tabColor theme="3" tint="0.59999389629810485"/>
    <pageSetUpPr fitToPage="1"/>
  </sheetPr>
  <dimension ref="A1:R186"/>
  <sheetViews>
    <sheetView zoomScaleNormal="100" workbookViewId="0">
      <selection activeCell="D16" sqref="D16:E16"/>
    </sheetView>
  </sheetViews>
  <sheetFormatPr defaultColWidth="9.140625" defaultRowHeight="15"/>
  <cols>
    <col min="1" max="1" width="5.7109375" customWidth="1"/>
    <col min="2" max="2" width="5.42578125" bestFit="1" customWidth="1"/>
    <col min="3" max="3" width="30.7109375" customWidth="1"/>
    <col min="4" max="5" width="20.7109375" style="23" customWidth="1"/>
    <col min="6" max="6" width="16.85546875" bestFit="1" customWidth="1"/>
    <col min="7" max="7" width="9.7109375" customWidth="1"/>
    <col min="8" max="8" width="8.7109375" customWidth="1"/>
    <col min="9" max="9" width="20.7109375" customWidth="1"/>
    <col min="10" max="13" width="11.7109375" style="19" customWidth="1"/>
    <col min="14" max="14" width="11.85546875" style="19" bestFit="1" customWidth="1"/>
    <col min="15" max="15" width="7.7109375" style="19" customWidth="1"/>
    <col min="16" max="16" width="10.7109375" style="90" customWidth="1"/>
    <col min="17" max="17" width="10.7109375" style="97" customWidth="1"/>
  </cols>
  <sheetData>
    <row r="1" spans="1:17" s="55" customFormat="1" ht="12" customHeight="1">
      <c r="A1" s="68" t="s">
        <v>0</v>
      </c>
      <c r="B1" s="69"/>
      <c r="C1" s="69"/>
      <c r="D1" s="262" t="s">
        <v>1</v>
      </c>
      <c r="E1" s="263"/>
      <c r="F1" s="70"/>
      <c r="G1" s="69"/>
      <c r="H1" s="70"/>
      <c r="I1" s="71"/>
      <c r="J1" s="72"/>
      <c r="K1" s="72"/>
      <c r="L1" s="72"/>
      <c r="M1" s="72"/>
      <c r="N1" s="72"/>
      <c r="O1" s="72"/>
      <c r="P1" s="85"/>
      <c r="Q1" s="91"/>
    </row>
    <row r="2" spans="1:17" s="55" customFormat="1" ht="12" customHeight="1">
      <c r="A2" s="74" t="s">
        <v>48</v>
      </c>
      <c r="B2" s="58"/>
      <c r="C2" s="57" t="e">
        <f ca="1">VLOOKUP(E3,Assemblies!B:F,4,0)</f>
        <v>#VALUE!</v>
      </c>
      <c r="D2" s="75" t="s">
        <v>3</v>
      </c>
      <c r="E2" s="76" t="e">
        <f ca="1">'GF12'!E2</f>
        <v>#VALUE!</v>
      </c>
      <c r="F2" s="77" t="s">
        <v>4</v>
      </c>
      <c r="G2" s="58" t="str">
        <f>'GF12'!G2</f>
        <v>GH</v>
      </c>
      <c r="H2" s="77" t="s">
        <v>6</v>
      </c>
      <c r="I2" s="59">
        <f>'GF12'!I2</f>
        <v>44775</v>
      </c>
      <c r="J2" s="39"/>
      <c r="K2" s="40" t="s">
        <v>49</v>
      </c>
      <c r="L2" s="41" t="e">
        <f ca="1">VLOOKUP(C2,Assemblies!E:G,3,0)</f>
        <v>#VALUE!</v>
      </c>
      <c r="M2" s="78"/>
      <c r="N2" s="78"/>
      <c r="O2" s="78"/>
      <c r="P2" s="86"/>
      <c r="Q2" s="92"/>
    </row>
    <row r="3" spans="1:17" s="55" customFormat="1" ht="12" customHeight="1" thickBot="1">
      <c r="A3" s="74" t="s">
        <v>7</v>
      </c>
      <c r="B3" s="58"/>
      <c r="C3" s="57" t="e">
        <f ca="1">VLOOKUP(E3,Assemblies!B:F,5,0)</f>
        <v>#VALUE!</v>
      </c>
      <c r="D3" s="75" t="s">
        <v>50</v>
      </c>
      <c r="E3" s="76" t="e">
        <f ca="1">MID(CELL("filename",A1),FIND("]",CELL("filename",A1))+1,256)</f>
        <v>#VALUE!</v>
      </c>
      <c r="F3" s="77" t="s">
        <v>11</v>
      </c>
      <c r="G3" s="58" t="str">
        <f>'GF12'!G3</f>
        <v>GH</v>
      </c>
      <c r="H3" s="77" t="s">
        <v>6</v>
      </c>
      <c r="I3" s="59">
        <f>'GF12'!I3</f>
        <v>44775</v>
      </c>
      <c r="J3" s="78"/>
      <c r="K3" s="78"/>
      <c r="L3" s="78"/>
      <c r="M3" s="78"/>
      <c r="N3" s="78"/>
      <c r="O3" s="78"/>
      <c r="P3" s="86"/>
      <c r="Q3" s="92"/>
    </row>
    <row r="4" spans="1:17" s="56" customFormat="1" ht="12.75" customHeight="1" thickBot="1">
      <c r="A4" s="80" t="s">
        <v>12</v>
      </c>
      <c r="B4" s="81" t="s">
        <v>13</v>
      </c>
      <c r="C4" s="81" t="s">
        <v>14</v>
      </c>
      <c r="D4" s="270" t="s">
        <v>15</v>
      </c>
      <c r="E4" s="271"/>
      <c r="F4" s="104" t="s">
        <v>16</v>
      </c>
      <c r="G4" s="81" t="s">
        <v>17</v>
      </c>
      <c r="H4" s="260" t="s">
        <v>18</v>
      </c>
      <c r="I4" s="261"/>
      <c r="J4" s="81" t="s">
        <v>51</v>
      </c>
      <c r="K4" s="81" t="s">
        <v>20</v>
      </c>
      <c r="L4" s="81" t="s">
        <v>21</v>
      </c>
      <c r="M4" s="81" t="s">
        <v>52</v>
      </c>
      <c r="N4" s="81" t="s">
        <v>22</v>
      </c>
      <c r="O4" s="81" t="s">
        <v>53</v>
      </c>
      <c r="P4" s="107" t="s">
        <v>26</v>
      </c>
      <c r="Q4" s="82" t="s">
        <v>27</v>
      </c>
    </row>
    <row r="5" spans="1:17" s="21" customFormat="1" ht="12.75" customHeight="1">
      <c r="A5" s="66" t="s">
        <v>54</v>
      </c>
      <c r="B5" s="1">
        <v>16</v>
      </c>
      <c r="C5" s="67" t="s">
        <v>226</v>
      </c>
      <c r="D5" s="277" t="e">
        <f ca="1">VLOOKUP(C5,Assemblies!E:S,2,0)</f>
        <v>#N/A</v>
      </c>
      <c r="E5" s="278"/>
      <c r="F5" s="32"/>
      <c r="G5" s="32"/>
      <c r="H5" s="292"/>
      <c r="I5" s="293"/>
      <c r="J5" s="28"/>
      <c r="K5" s="28"/>
      <c r="L5" s="28"/>
      <c r="M5" s="28"/>
      <c r="N5" s="33"/>
      <c r="O5" s="46" t="e">
        <f t="shared" ref="O5:O11" ca="1" si="0">B5*$L$2</f>
        <v>#VALUE!</v>
      </c>
      <c r="P5" s="87">
        <f>'111'!Q11</f>
        <v>60.451599999999999</v>
      </c>
      <c r="Q5" s="93">
        <f t="shared" ref="Q5:Q11" si="1">B5*P5</f>
        <v>967.22559999999999</v>
      </c>
    </row>
    <row r="6" spans="1:17" s="21" customFormat="1" ht="12.75" customHeight="1">
      <c r="A6" s="66" t="s">
        <v>56</v>
      </c>
      <c r="B6" s="1">
        <v>4</v>
      </c>
      <c r="C6" s="67" t="s">
        <v>227</v>
      </c>
      <c r="D6" s="277" t="e">
        <f ca="1">VLOOKUP(C6,Assemblies!E:S,2,0)</f>
        <v>#N/A</v>
      </c>
      <c r="E6" s="278"/>
      <c r="F6" s="32"/>
      <c r="G6" s="32"/>
      <c r="H6" s="292"/>
      <c r="I6" s="293"/>
      <c r="J6" s="28"/>
      <c r="K6" s="28"/>
      <c r="L6" s="28"/>
      <c r="M6" s="28"/>
      <c r="N6" s="33"/>
      <c r="O6" s="46" t="e">
        <f t="shared" ca="1" si="0"/>
        <v>#VALUE!</v>
      </c>
      <c r="P6" s="87">
        <f>'112'!Q10</f>
        <v>78.143200000000007</v>
      </c>
      <c r="Q6" s="93">
        <f t="shared" si="1"/>
        <v>312.57280000000003</v>
      </c>
    </row>
    <row r="7" spans="1:17" s="21" customFormat="1" ht="12.75" customHeight="1">
      <c r="A7" s="66" t="s">
        <v>58</v>
      </c>
      <c r="B7" s="1">
        <v>4</v>
      </c>
      <c r="C7" s="67" t="s">
        <v>228</v>
      </c>
      <c r="D7" s="277" t="e">
        <f ca="1">VLOOKUP(C7,Assemblies!E:S,2,0)</f>
        <v>#N/A</v>
      </c>
      <c r="E7" s="278"/>
      <c r="F7" s="32"/>
      <c r="G7" s="32"/>
      <c r="H7" s="292"/>
      <c r="I7" s="293"/>
      <c r="J7" s="28"/>
      <c r="K7" s="28"/>
      <c r="L7" s="28"/>
      <c r="M7" s="28"/>
      <c r="N7" s="33"/>
      <c r="O7" s="46" t="e">
        <f t="shared" ca="1" si="0"/>
        <v>#VALUE!</v>
      </c>
      <c r="P7" s="87">
        <f>'113'!Q15</f>
        <v>1323.6725000000001</v>
      </c>
      <c r="Q7" s="93">
        <f t="shared" si="1"/>
        <v>5294.6900000000005</v>
      </c>
    </row>
    <row r="8" spans="1:17" s="21" customFormat="1" ht="12.75" customHeight="1">
      <c r="A8" s="66" t="s">
        <v>60</v>
      </c>
      <c r="B8" s="1">
        <v>2</v>
      </c>
      <c r="C8" s="67" t="s">
        <v>229</v>
      </c>
      <c r="D8" s="277" t="e">
        <f ca="1">VLOOKUP(C8,Assemblies!E:S,2,0)</f>
        <v>#N/A</v>
      </c>
      <c r="E8" s="278"/>
      <c r="F8" s="32"/>
      <c r="G8" s="32"/>
      <c r="H8" s="292"/>
      <c r="I8" s="293"/>
      <c r="J8" s="28"/>
      <c r="K8" s="28"/>
      <c r="L8" s="28"/>
      <c r="M8" s="28"/>
      <c r="N8" s="33"/>
      <c r="O8" s="46" t="e">
        <f t="shared" ca="1" si="0"/>
        <v>#VALUE!</v>
      </c>
      <c r="P8" s="87">
        <f>'114'!Q15</f>
        <v>494.19560000000001</v>
      </c>
      <c r="Q8" s="93">
        <f t="shared" si="1"/>
        <v>988.39120000000003</v>
      </c>
    </row>
    <row r="9" spans="1:17" s="21" customFormat="1" ht="12.75" customHeight="1">
      <c r="A9" s="66" t="s">
        <v>62</v>
      </c>
      <c r="B9" s="1">
        <v>2</v>
      </c>
      <c r="C9" s="67" t="s">
        <v>230</v>
      </c>
      <c r="D9" s="277" t="e">
        <f ca="1">VLOOKUP(C9,Assemblies!E:S,2,0)</f>
        <v>#N/A</v>
      </c>
      <c r="E9" s="278"/>
      <c r="F9" s="32"/>
      <c r="G9" s="32"/>
      <c r="H9" s="292"/>
      <c r="I9" s="293"/>
      <c r="J9" s="28"/>
      <c r="K9" s="28"/>
      <c r="L9" s="28"/>
      <c r="M9" s="28"/>
      <c r="N9" s="33"/>
      <c r="O9" s="46" t="e">
        <f t="shared" ca="1" si="0"/>
        <v>#VALUE!</v>
      </c>
      <c r="P9" s="87">
        <f>'115'!Q13</f>
        <v>313.47559999999999</v>
      </c>
      <c r="Q9" s="93">
        <f t="shared" si="1"/>
        <v>626.95119999999997</v>
      </c>
    </row>
    <row r="10" spans="1:17" s="21" customFormat="1" ht="12.75" customHeight="1">
      <c r="A10" s="66" t="s">
        <v>64</v>
      </c>
      <c r="B10" s="1">
        <v>3</v>
      </c>
      <c r="C10" s="67" t="s">
        <v>231</v>
      </c>
      <c r="D10" s="277" t="e">
        <f ca="1">VLOOKUP(C10,Assemblies!E:S,2,0)</f>
        <v>#N/A</v>
      </c>
      <c r="E10" s="278"/>
      <c r="F10" s="32"/>
      <c r="G10" s="32"/>
      <c r="H10" s="292"/>
      <c r="I10" s="293"/>
      <c r="J10" s="28"/>
      <c r="K10" s="28"/>
      <c r="L10" s="28"/>
      <c r="M10" s="28"/>
      <c r="N10" s="33"/>
      <c r="O10" s="46" t="e">
        <f t="shared" ref="O10" ca="1" si="2">B10*$L$2</f>
        <v>#VALUE!</v>
      </c>
      <c r="P10" s="87">
        <f>'116'!Q15</f>
        <v>223.33159999999998</v>
      </c>
      <c r="Q10" s="93">
        <f t="shared" ref="Q10" si="3">B10*P10</f>
        <v>669.99479999999994</v>
      </c>
    </row>
    <row r="11" spans="1:17" s="21" customFormat="1" ht="12.75" customHeight="1">
      <c r="A11" s="66" t="s">
        <v>66</v>
      </c>
      <c r="B11" s="1">
        <v>17</v>
      </c>
      <c r="C11" s="67" t="s">
        <v>232</v>
      </c>
      <c r="D11" s="277" t="e">
        <f ca="1">VLOOKUP(C11,Assemblies!E:S,2,0)</f>
        <v>#N/A</v>
      </c>
      <c r="E11" s="278"/>
      <c r="F11" s="32"/>
      <c r="G11" s="32"/>
      <c r="H11" s="292"/>
      <c r="I11" s="293"/>
      <c r="J11" s="28"/>
      <c r="K11" s="28"/>
      <c r="L11" s="28"/>
      <c r="M11" s="28"/>
      <c r="N11" s="33"/>
      <c r="O11" s="46" t="e">
        <f t="shared" ca="1" si="0"/>
        <v>#VALUE!</v>
      </c>
      <c r="P11" s="87">
        <f>'117'!Q10</f>
        <v>26.688399999999998</v>
      </c>
      <c r="Q11" s="93">
        <f t="shared" si="1"/>
        <v>453.70279999999997</v>
      </c>
    </row>
    <row r="12" spans="1:17" s="21" customFormat="1" ht="12.75" customHeight="1">
      <c r="A12" s="66" t="s">
        <v>68</v>
      </c>
      <c r="B12" s="1">
        <v>1</v>
      </c>
      <c r="C12" s="67" t="s">
        <v>233</v>
      </c>
      <c r="D12" s="277" t="e">
        <f ca="1">VLOOKUP(C12,Assemblies!E:S,2,0)</f>
        <v>#N/A</v>
      </c>
      <c r="E12" s="278"/>
      <c r="F12" s="32"/>
      <c r="G12" s="32"/>
      <c r="H12" s="292"/>
      <c r="I12" s="293"/>
      <c r="J12" s="28"/>
      <c r="K12" s="28"/>
      <c r="L12" s="28"/>
      <c r="M12" s="28"/>
      <c r="N12" s="33"/>
      <c r="O12" s="46" t="e">
        <f t="shared" ref="O12" ca="1" si="4">B12*$L$2</f>
        <v>#VALUE!</v>
      </c>
      <c r="P12" s="87">
        <f>'472'!Q13</f>
        <v>197.24940000000001</v>
      </c>
      <c r="Q12" s="93">
        <f t="shared" ref="Q12" si="5">B12*P12</f>
        <v>197.24940000000001</v>
      </c>
    </row>
    <row r="13" spans="1:17" s="21" customFormat="1" ht="12.75" customHeight="1">
      <c r="A13" s="66" t="s">
        <v>224</v>
      </c>
      <c r="B13" s="1">
        <v>1</v>
      </c>
      <c r="C13" s="67" t="s">
        <v>234</v>
      </c>
      <c r="D13" s="277" t="e">
        <f ca="1">VLOOKUP(C13,Assemblies!E:S,2,0)</f>
        <v>#N/A</v>
      </c>
      <c r="E13" s="278"/>
      <c r="F13" s="32"/>
      <c r="G13" s="32"/>
      <c r="H13" s="292"/>
      <c r="I13" s="293"/>
      <c r="J13" s="28"/>
      <c r="K13" s="28"/>
      <c r="L13" s="28"/>
      <c r="M13" s="28"/>
      <c r="N13" s="33"/>
      <c r="O13" s="46" t="e">
        <f t="shared" ref="O13:O14" ca="1" si="6">B13*$L$2</f>
        <v>#VALUE!</v>
      </c>
      <c r="P13" s="87">
        <f>'472'!Q14</f>
        <v>0</v>
      </c>
      <c r="Q13" s="93">
        <f t="shared" ref="Q13:Q14" si="7">B13*P13</f>
        <v>0</v>
      </c>
    </row>
    <row r="14" spans="1:17" s="21" customFormat="1" ht="12.75" customHeight="1">
      <c r="A14" s="66" t="s">
        <v>235</v>
      </c>
      <c r="B14" s="1">
        <v>1</v>
      </c>
      <c r="C14" s="67" t="s">
        <v>236</v>
      </c>
      <c r="D14" s="277" t="e">
        <f ca="1">VLOOKUP(C14,Assemblies!E:S,2,0)</f>
        <v>#N/A</v>
      </c>
      <c r="E14" s="278"/>
      <c r="F14" s="32"/>
      <c r="G14" s="32"/>
      <c r="H14" s="292"/>
      <c r="I14" s="293"/>
      <c r="J14" s="28"/>
      <c r="K14" s="28"/>
      <c r="L14" s="28"/>
      <c r="M14" s="28"/>
      <c r="N14" s="33"/>
      <c r="O14" s="46" t="e">
        <f t="shared" ca="1" si="6"/>
        <v>#VALUE!</v>
      </c>
      <c r="P14" s="87">
        <f>'472'!Q15</f>
        <v>0</v>
      </c>
      <c r="Q14" s="93">
        <f t="shared" si="7"/>
        <v>0</v>
      </c>
    </row>
    <row r="15" spans="1:17" s="21" customFormat="1" ht="12.75" customHeight="1">
      <c r="A15" s="66" t="s">
        <v>237</v>
      </c>
      <c r="B15" s="1">
        <v>1</v>
      </c>
      <c r="C15" s="67" t="s">
        <v>238</v>
      </c>
      <c r="D15" s="277" t="e">
        <f ca="1">VLOOKUP(C15,Assemblies!E:S,2,0)</f>
        <v>#N/A</v>
      </c>
      <c r="E15" s="278"/>
      <c r="F15" s="32"/>
      <c r="G15" s="32"/>
      <c r="H15" s="292"/>
      <c r="I15" s="293"/>
      <c r="J15" s="28"/>
      <c r="K15" s="28"/>
      <c r="L15" s="28"/>
      <c r="M15" s="28"/>
      <c r="N15" s="33"/>
      <c r="O15" s="46" t="e">
        <f t="shared" ref="O15:O16" ca="1" si="8">B15*$L$2</f>
        <v>#VALUE!</v>
      </c>
      <c r="P15" s="87">
        <f>'472'!Q16</f>
        <v>0</v>
      </c>
      <c r="Q15" s="93">
        <f t="shared" ref="Q15:Q16" si="9">B15*P15</f>
        <v>0</v>
      </c>
    </row>
    <row r="16" spans="1:17" s="21" customFormat="1" ht="12.75" customHeight="1">
      <c r="A16" s="66" t="s">
        <v>239</v>
      </c>
      <c r="B16" s="1">
        <v>6</v>
      </c>
      <c r="C16" s="67" t="s">
        <v>240</v>
      </c>
      <c r="D16" s="277" t="e">
        <f ca="1">VLOOKUP(C16,Assemblies!E:S,2,0)</f>
        <v>#N/A</v>
      </c>
      <c r="E16" s="278"/>
      <c r="F16" s="32"/>
      <c r="G16" s="32"/>
      <c r="H16" s="292"/>
      <c r="I16" s="293"/>
      <c r="J16" s="28"/>
      <c r="K16" s="28"/>
      <c r="L16" s="28"/>
      <c r="M16" s="28"/>
      <c r="N16" s="33"/>
      <c r="O16" s="46" t="e">
        <f t="shared" ca="1" si="8"/>
        <v>#VALUE!</v>
      </c>
      <c r="P16" s="87">
        <f>'472'!Q17</f>
        <v>0</v>
      </c>
      <c r="Q16" s="93">
        <f t="shared" si="9"/>
        <v>0</v>
      </c>
    </row>
    <row r="17" spans="1:18" s="21" customFormat="1" ht="12.75" customHeight="1">
      <c r="A17" s="25"/>
      <c r="B17" s="26"/>
      <c r="C17" s="26"/>
      <c r="D17" s="272"/>
      <c r="E17" s="273"/>
      <c r="F17" s="26"/>
      <c r="G17" s="26"/>
      <c r="H17" s="274"/>
      <c r="I17" s="275"/>
      <c r="J17" s="27"/>
      <c r="K17" s="27"/>
      <c r="L17" s="27"/>
      <c r="M17" s="28"/>
      <c r="N17" s="29"/>
      <c r="O17" s="29"/>
      <c r="P17" s="141"/>
      <c r="Q17" s="142"/>
      <c r="R17" s="20"/>
    </row>
    <row r="18" spans="1:18" s="2" customFormat="1" ht="12.75" customHeight="1">
      <c r="A18" s="127">
        <v>1</v>
      </c>
      <c r="B18" s="21">
        <v>2</v>
      </c>
      <c r="C18" s="108" t="s">
        <v>241</v>
      </c>
      <c r="D18" s="298" t="str">
        <f>VLOOKUP(C18,Machined!C:Q,2,0)</f>
        <v>MODIFIED BRX 90x90 -I- 
3936MM</v>
      </c>
      <c r="E18" s="299"/>
      <c r="F18" s="131" t="str">
        <f>VLOOKUP(C18,Machined!C:R,7,0)</f>
        <v>BRX</v>
      </c>
      <c r="G18" s="131" t="str">
        <f>VLOOKUP(C18,Machined!C:R,10,0)</f>
        <v>BRX, NULINE</v>
      </c>
      <c r="H18" s="131" t="str">
        <f>VLOOKUP(C18,Machined!C:R,11,0)</f>
        <v xml:space="preserve"> </v>
      </c>
      <c r="I18" s="131"/>
      <c r="J18" s="42" t="str">
        <f>VLOOKUP(C18,Machined!C:R,12,0)</f>
        <v>N/A</v>
      </c>
      <c r="K18" s="42" t="str">
        <f>VLOOKUP(C18,Machined!C:R,13,0)</f>
        <v>N/A</v>
      </c>
      <c r="L18" s="42" t="str">
        <f>VLOOKUP(C18,Machined!C:R,14,0)</f>
        <v>N/A</v>
      </c>
      <c r="M18" s="42" t="str">
        <f>VLOOKUP(C18,Machined!C:R,15,0)</f>
        <v>N/A</v>
      </c>
      <c r="N18" s="43" t="str">
        <f>VLOOKUP(C18,Machined!C:R,16,0)</f>
        <v>N/A</v>
      </c>
      <c r="O18" s="43" t="e">
        <f t="shared" ref="O18" ca="1" si="10">B18*$L$2</f>
        <v>#VALUE!</v>
      </c>
      <c r="P18" s="47">
        <f>IFERROR(VLOOKUP(C18,Machined!C:F,3,0),"")</f>
        <v>0</v>
      </c>
      <c r="Q18" s="48">
        <f t="shared" ref="Q18" si="11">IFERROR(B18*P18,"")</f>
        <v>0</v>
      </c>
    </row>
    <row r="19" spans="1:18" s="2" customFormat="1" ht="12.75" customHeight="1">
      <c r="A19" s="127">
        <v>2</v>
      </c>
      <c r="B19" s="21">
        <v>2</v>
      </c>
      <c r="C19" s="108" t="s">
        <v>242</v>
      </c>
      <c r="D19" s="277" t="str">
        <f>VLOOKUP(C19,Machined!C:Q,2,0)</f>
        <v>MODIFIED BRX 90X90 -I- 3282.92MM</v>
      </c>
      <c r="E19" s="278"/>
      <c r="F19" s="131" t="str">
        <f>VLOOKUP(C19,Machined!C:R,7,0)</f>
        <v>BRX</v>
      </c>
      <c r="G19" s="131" t="str">
        <f>VLOOKUP(C19,Machined!C:R,10,0)</f>
        <v>BRX, NULINE</v>
      </c>
      <c r="H19" s="131" t="str">
        <f>VLOOKUP(C19,Machined!C:R,11,0)</f>
        <v xml:space="preserve"> </v>
      </c>
      <c r="I19" s="131"/>
      <c r="J19" s="42" t="str">
        <f>VLOOKUP(C19,Machined!C:R,12,0)</f>
        <v>N/A</v>
      </c>
      <c r="K19" s="42" t="str">
        <f>VLOOKUP(C19,Machined!C:R,13,0)</f>
        <v>N/A</v>
      </c>
      <c r="L19" s="42" t="str">
        <f>VLOOKUP(C19,Machined!C:R,14,0)</f>
        <v>N/A</v>
      </c>
      <c r="M19" s="42" t="str">
        <f>VLOOKUP(C19,Machined!C:R,15,0)</f>
        <v>N/A</v>
      </c>
      <c r="N19" s="43" t="str">
        <f>VLOOKUP(C19,Machined!C:R,16,0)</f>
        <v>N/A</v>
      </c>
      <c r="O19" s="43" t="e">
        <f t="shared" ref="O19" ca="1" si="12">B19*$L$2</f>
        <v>#VALUE!</v>
      </c>
      <c r="P19" s="47">
        <f>IFERROR(VLOOKUP(C19,Machined!C:F,3,0),"")</f>
        <v>0</v>
      </c>
      <c r="Q19" s="48">
        <f t="shared" ref="Q19" si="13">IFERROR(B19*P19,"")</f>
        <v>0</v>
      </c>
    </row>
    <row r="20" spans="1:18" s="2" customFormat="1" ht="12.75" customHeight="1">
      <c r="A20" s="143"/>
      <c r="B20" s="26"/>
      <c r="C20" s="26"/>
      <c r="D20" s="272"/>
      <c r="E20" s="273"/>
      <c r="F20" s="26"/>
      <c r="G20" s="26"/>
      <c r="H20" s="274"/>
      <c r="I20" s="275"/>
      <c r="J20" s="27"/>
      <c r="K20" s="27"/>
      <c r="L20" s="27"/>
      <c r="M20" s="28"/>
      <c r="N20" s="29"/>
      <c r="O20" s="29"/>
      <c r="P20" s="141"/>
      <c r="Q20" s="142"/>
    </row>
    <row r="21" spans="1:18" s="2" customFormat="1" ht="12.75" customHeight="1">
      <c r="A21" s="4">
        <v>301</v>
      </c>
      <c r="B21" s="2">
        <v>60</v>
      </c>
      <c r="C21" s="114" t="s">
        <v>243</v>
      </c>
      <c r="D21" s="268" t="str">
        <f>VLOOKUP(C21,Purchased!A:B,2,0)</f>
        <v>BRX GOTO QUICK CONNECTOR N10 90°</v>
      </c>
      <c r="E21" s="269"/>
      <c r="F21" s="112" t="str">
        <f>VLOOKUP(C21,Purchased!A:Q,9,0)</f>
        <v>BRX</v>
      </c>
      <c r="G21" s="112" t="str">
        <f>VLOOKUP(C21,Purchased!A:Q,10,0)</f>
        <v>AAP</v>
      </c>
      <c r="H21" s="112" t="str">
        <f>VLOOKUP(C21,Purchased!A:Q,12,0)</f>
        <v xml:space="preserve">  </v>
      </c>
      <c r="I21" s="113"/>
      <c r="J21" s="44" t="str">
        <f>VLOOKUP(C21,Purchased!A:Q,13,0)</f>
        <v>N/A</v>
      </c>
      <c r="K21" s="44">
        <f>VLOOKUP(C21,Purchased!A:Q,14,0)</f>
        <v>45089</v>
      </c>
      <c r="L21" s="44">
        <f>VLOOKUP(C21,Purchased!A:Q,15,0)</f>
        <v>45124</v>
      </c>
      <c r="M21" s="44">
        <f>VLOOKUP(C21,Purchased!A:Q,16,0)</f>
        <v>45124</v>
      </c>
      <c r="N21" s="45">
        <f>VLOOKUP(C21,Purchased!A:Q,17,0)</f>
        <v>54927</v>
      </c>
      <c r="O21" s="45" t="e">
        <f t="shared" ref="O21:O22" ca="1" si="14">B21*$L$2</f>
        <v>#VALUE!</v>
      </c>
      <c r="P21" s="49">
        <f>IFERROR(VLOOKUP(C21,Purchased!A:E,3,FALSE),"")</f>
        <v>5.2857000000000003</v>
      </c>
      <c r="Q21" s="50">
        <f t="shared" ref="Q21:Q22" si="15">IFERROR(B21*P21,"")</f>
        <v>317.142</v>
      </c>
    </row>
    <row r="22" spans="1:18" s="2" customFormat="1" ht="12" customHeight="1">
      <c r="A22" s="4">
        <v>302</v>
      </c>
      <c r="B22" s="2">
        <v>194</v>
      </c>
      <c r="C22" s="114" t="s">
        <v>244</v>
      </c>
      <c r="D22" s="268" t="str">
        <f>VLOOKUP(C22,Purchased!A:B,2,0)</f>
        <v>BRX GOTO QUICK CONNECTOR N10 0°</v>
      </c>
      <c r="E22" s="269"/>
      <c r="F22" s="112" t="str">
        <f>VLOOKUP(C22,Purchased!A:Q,9,0)</f>
        <v>BRX</v>
      </c>
      <c r="G22" s="112" t="str">
        <f>VLOOKUP(C22,Purchased!A:Q,10,0)</f>
        <v>AAP</v>
      </c>
      <c r="H22" s="112" t="str">
        <f>VLOOKUP(C22,Purchased!A:Q,12,0)</f>
        <v>17 in stock</v>
      </c>
      <c r="I22" s="113"/>
      <c r="J22" s="44" t="str">
        <f>VLOOKUP(C22,Purchased!A:Q,13,0)</f>
        <v>N/A</v>
      </c>
      <c r="K22" s="44">
        <f>VLOOKUP(C22,Purchased!A:Q,14,0)</f>
        <v>45089</v>
      </c>
      <c r="L22" s="44">
        <f>VLOOKUP(C22,Purchased!A:Q,15,0)</f>
        <v>45124</v>
      </c>
      <c r="M22" s="44">
        <f>VLOOKUP(C22,Purchased!A:Q,16,0)</f>
        <v>45124</v>
      </c>
      <c r="N22" s="45" t="str">
        <f>VLOOKUP(C22,Purchased!A:Q,17,0)</f>
        <v>500x54927, 500x55060</v>
      </c>
      <c r="O22" s="45" t="e">
        <f t="shared" ca="1" si="14"/>
        <v>#VALUE!</v>
      </c>
      <c r="P22" s="49">
        <f>IFERROR(VLOOKUP(C22,Purchased!A:E,3,FALSE),"")</f>
        <v>5.2857000000000003</v>
      </c>
      <c r="Q22" s="50">
        <f t="shared" si="15"/>
        <v>1025.4258</v>
      </c>
    </row>
    <row r="23" spans="1:18" s="2" customFormat="1" ht="12" customHeight="1">
      <c r="A23" s="241">
        <v>303</v>
      </c>
      <c r="B23" s="240">
        <v>12</v>
      </c>
      <c r="C23" s="114" t="s">
        <v>245</v>
      </c>
      <c r="D23" s="268" t="str">
        <f>VLOOKUP(C23,Purchased!A:B,2,0)</f>
        <v>BRX 3842548758 Cover Cap 90x90 Grey</v>
      </c>
      <c r="E23" s="269"/>
      <c r="F23" s="112" t="str">
        <f>VLOOKUP(C23,Purchased!A:Q,9,0)</f>
        <v>BRX</v>
      </c>
      <c r="G23" s="112" t="str">
        <f>VLOOKUP(C23,Purchased!A:Q,10,0)</f>
        <v>AAP</v>
      </c>
      <c r="H23" s="112" t="str">
        <f>VLOOKUP(C23,Purchased!A:Q,12,0)</f>
        <v xml:space="preserve"> </v>
      </c>
      <c r="I23" s="113"/>
      <c r="J23" s="44" t="str">
        <f>VLOOKUP(C23,Purchased!A:Q,13,0)</f>
        <v>N/A</v>
      </c>
      <c r="K23" s="44">
        <f>VLOOKUP(C23,Purchased!A:Q,14,0)</f>
        <v>45162</v>
      </c>
      <c r="L23" s="44">
        <f>VLOOKUP(C23,Purchased!A:Q,15,0)</f>
        <v>45184</v>
      </c>
      <c r="M23" s="44">
        <f>VLOOKUP(C23,Purchased!A:Q,16,0)</f>
        <v>45197</v>
      </c>
      <c r="N23" s="45">
        <f>VLOOKUP(C23,Purchased!A:Q,17,0)</f>
        <v>55073</v>
      </c>
      <c r="O23" s="45" t="e">
        <f t="shared" ref="O23" ca="1" si="16">B23*$L$2</f>
        <v>#VALUE!</v>
      </c>
      <c r="P23" s="49">
        <f>IFERROR(VLOOKUP(C23,Purchased!A:E,3,FALSE),"")</f>
        <v>3.2429000000000001</v>
      </c>
      <c r="Q23" s="50">
        <f t="shared" ref="Q23" si="17">IFERROR(B23*P23,"")</f>
        <v>38.9148</v>
      </c>
    </row>
    <row r="24" spans="1:18" s="2" customFormat="1" ht="12.75" customHeight="1">
      <c r="A24" s="143"/>
      <c r="B24" s="26"/>
      <c r="C24" s="26"/>
      <c r="D24" s="272"/>
      <c r="E24" s="273"/>
      <c r="F24" s="26"/>
      <c r="G24" s="26"/>
      <c r="H24" s="274"/>
      <c r="I24" s="275"/>
      <c r="J24" s="27"/>
      <c r="K24" s="27"/>
      <c r="L24" s="27"/>
      <c r="M24" s="28"/>
      <c r="N24" s="29"/>
      <c r="O24" s="29"/>
      <c r="P24" s="141"/>
      <c r="Q24" s="142"/>
    </row>
    <row r="25" spans="1:18" s="2" customFormat="1" ht="12.75" customHeight="1">
      <c r="A25" s="4">
        <v>701</v>
      </c>
      <c r="B25" s="2">
        <v>9</v>
      </c>
      <c r="C25" s="111" t="s">
        <v>246</v>
      </c>
      <c r="D25" s="268" t="str">
        <f>VLOOKUP(C25,Extrusion!B:C,2,0)</f>
        <v>Assy .110</v>
      </c>
      <c r="E25" s="269"/>
      <c r="F25" s="112" t="str">
        <f>VLOOKUP(C25,Extrusion!B:M,6,0)</f>
        <v>BOSCH</v>
      </c>
      <c r="G25" s="112" t="str">
        <f>VLOOKUP(C25,Extrusion!B:M,7,0)</f>
        <v>NULINE</v>
      </c>
      <c r="H25" s="112" t="str">
        <f>VLOOKUP(C25,Extrusion!B:M,8,0)</f>
        <v xml:space="preserve"> </v>
      </c>
      <c r="I25" s="113"/>
      <c r="J25" s="44" t="str">
        <f>VLOOKUP(C25,Extrusion!B:M,9,0)</f>
        <v>N/A</v>
      </c>
      <c r="K25" s="44">
        <f>VLOOKUP(C25,Extrusion!B:M,10,0)</f>
        <v>44894</v>
      </c>
      <c r="L25" s="44">
        <f>VLOOKUP(C25,Extrusion!B:M,11,0)</f>
        <v>44970</v>
      </c>
      <c r="M25" s="44">
        <f>VLOOKUP(C25,Extrusion!B:M,12,0)</f>
        <v>44970</v>
      </c>
      <c r="N25" s="45">
        <f>VLOOKUP(C25,Extrusion!B:N,13,0)</f>
        <v>54598</v>
      </c>
      <c r="O25" s="45" t="e">
        <f t="shared" ref="O25:O31" ca="1" si="18">B25*$L$2</f>
        <v>#VALUE!</v>
      </c>
      <c r="P25" s="49">
        <f>IFERROR(VLOOKUP(C25,Extrusion!B:F,5,0),"")</f>
        <v>151.835352</v>
      </c>
      <c r="Q25" s="50">
        <f t="shared" ref="Q25:Q31" si="19">IFERROR(B25*P25,"")</f>
        <v>1366.5181680000001</v>
      </c>
    </row>
    <row r="26" spans="1:18" s="2" customFormat="1" ht="12" customHeight="1">
      <c r="A26" s="4">
        <f t="shared" ref="A26:A31" si="20">A25+1</f>
        <v>702</v>
      </c>
      <c r="B26" s="2">
        <v>18</v>
      </c>
      <c r="C26" s="111" t="s">
        <v>247</v>
      </c>
      <c r="D26" s="268" t="str">
        <f>VLOOKUP(C26,Extrusion!B:C,2,0)</f>
        <v>Assy .110</v>
      </c>
      <c r="E26" s="269"/>
      <c r="F26" s="112" t="str">
        <f>VLOOKUP(C26,Extrusion!B:M,6,0)</f>
        <v>BOSCH</v>
      </c>
      <c r="G26" s="112" t="str">
        <f>VLOOKUP(C26,Extrusion!B:M,7,0)</f>
        <v>NULINE</v>
      </c>
      <c r="H26" s="112" t="str">
        <f>VLOOKUP(C26,Extrusion!B:M,8,0)</f>
        <v xml:space="preserve"> </v>
      </c>
      <c r="I26" s="113"/>
      <c r="J26" s="44" t="str">
        <f>VLOOKUP(C26,Extrusion!B:M,9,0)</f>
        <v>N/A</v>
      </c>
      <c r="K26" s="44">
        <f>VLOOKUP(C26,Extrusion!B:M,10,0)</f>
        <v>44894</v>
      </c>
      <c r="L26" s="44">
        <f>VLOOKUP(C26,Extrusion!B:M,11,0)</f>
        <v>44970</v>
      </c>
      <c r="M26" s="44">
        <f>VLOOKUP(C26,Extrusion!B:M,12,0)</f>
        <v>44970</v>
      </c>
      <c r="N26" s="45">
        <f>VLOOKUP(C26,Extrusion!B:N,13,0)</f>
        <v>54598</v>
      </c>
      <c r="O26" s="45" t="e">
        <f t="shared" ca="1" si="18"/>
        <v>#VALUE!</v>
      </c>
      <c r="P26" s="49">
        <f>IFERROR(VLOOKUP(C26,Extrusion!B:F,5,0),"")</f>
        <v>75.568591499999997</v>
      </c>
      <c r="Q26" s="50">
        <f t="shared" si="19"/>
        <v>1360.234647</v>
      </c>
    </row>
    <row r="27" spans="1:18" s="2" customFormat="1" ht="12" customHeight="1">
      <c r="A27" s="4">
        <f t="shared" si="20"/>
        <v>703</v>
      </c>
      <c r="B27" s="2">
        <v>4</v>
      </c>
      <c r="C27" s="111" t="s">
        <v>248</v>
      </c>
      <c r="D27" s="268" t="str">
        <f>VLOOKUP(C27,Extrusion!B:C,2,0)</f>
        <v>Assy .110</v>
      </c>
      <c r="E27" s="269"/>
      <c r="F27" s="112" t="str">
        <f>VLOOKUP(C27,Extrusion!B:M,6,0)</f>
        <v>BOSCH</v>
      </c>
      <c r="G27" s="112" t="str">
        <f>VLOOKUP(C27,Extrusion!B:M,7,0)</f>
        <v>NULINE</v>
      </c>
      <c r="H27" s="112" t="str">
        <f>VLOOKUP(C27,Extrusion!B:M,8,0)</f>
        <v xml:space="preserve"> </v>
      </c>
      <c r="I27" s="113"/>
      <c r="J27" s="44" t="str">
        <f>VLOOKUP(C27,Extrusion!B:M,9,0)</f>
        <v>N/A</v>
      </c>
      <c r="K27" s="44">
        <f>VLOOKUP(C27,Extrusion!B:M,10,0)</f>
        <v>44894</v>
      </c>
      <c r="L27" s="44">
        <f>VLOOKUP(C27,Extrusion!B:M,11,0)</f>
        <v>44970</v>
      </c>
      <c r="M27" s="44">
        <f>VLOOKUP(C27,Extrusion!B:M,12,0)</f>
        <v>44970</v>
      </c>
      <c r="N27" s="45">
        <f>VLOOKUP(C27,Extrusion!B:N,13,0)</f>
        <v>54598</v>
      </c>
      <c r="O27" s="45" t="e">
        <f t="shared" ca="1" si="18"/>
        <v>#VALUE!</v>
      </c>
      <c r="P27" s="49">
        <f>IFERROR(VLOOKUP(C27,Extrusion!B:F,5,0),"")</f>
        <v>43.966889199999997</v>
      </c>
      <c r="Q27" s="50">
        <f t="shared" si="19"/>
        <v>175.86755679999999</v>
      </c>
    </row>
    <row r="28" spans="1:18" s="2" customFormat="1" ht="12" customHeight="1">
      <c r="A28" s="4">
        <f t="shared" si="20"/>
        <v>704</v>
      </c>
      <c r="B28" s="2">
        <v>8</v>
      </c>
      <c r="C28" s="111" t="s">
        <v>249</v>
      </c>
      <c r="D28" s="268" t="str">
        <f>VLOOKUP(C28,Extrusion!B:C,2,0)</f>
        <v>Assy .110</v>
      </c>
      <c r="E28" s="269"/>
      <c r="F28" s="112" t="str">
        <f>VLOOKUP(C28,Extrusion!B:M,6,0)</f>
        <v>BOSCH</v>
      </c>
      <c r="G28" s="112" t="str">
        <f>VLOOKUP(C28,Extrusion!B:M,7,0)</f>
        <v>NULINE</v>
      </c>
      <c r="H28" s="112" t="str">
        <f>VLOOKUP(C28,Extrusion!B:M,8,0)</f>
        <v xml:space="preserve"> </v>
      </c>
      <c r="I28" s="113"/>
      <c r="J28" s="44" t="str">
        <f>VLOOKUP(C28,Extrusion!B:M,9,0)</f>
        <v>N/A</v>
      </c>
      <c r="K28" s="44">
        <f>VLOOKUP(C28,Extrusion!B:M,10,0)</f>
        <v>44894</v>
      </c>
      <c r="L28" s="44">
        <f>VLOOKUP(C28,Extrusion!B:M,11,0)</f>
        <v>44970</v>
      </c>
      <c r="M28" s="44">
        <f>VLOOKUP(C28,Extrusion!B:M,12,0)</f>
        <v>44970</v>
      </c>
      <c r="N28" s="45">
        <f>VLOOKUP(C28,Extrusion!B:N,13,0)</f>
        <v>54598</v>
      </c>
      <c r="O28" s="45" t="e">
        <f t="shared" ca="1" si="18"/>
        <v>#VALUE!</v>
      </c>
      <c r="P28" s="49">
        <f>IFERROR(VLOOKUP(C28,Extrusion!B:F,5,0),"")</f>
        <v>32.898131499999998</v>
      </c>
      <c r="Q28" s="50">
        <f t="shared" si="19"/>
        <v>263.18505199999998</v>
      </c>
    </row>
    <row r="29" spans="1:18" s="2" customFormat="1" ht="12" customHeight="1">
      <c r="A29" s="4">
        <f t="shared" si="20"/>
        <v>705</v>
      </c>
      <c r="B29" s="2">
        <v>1</v>
      </c>
      <c r="C29" s="111" t="s">
        <v>250</v>
      </c>
      <c r="D29" s="268" t="str">
        <f>VLOOKUP(C29,Extrusion!B:C,2,0)</f>
        <v>Assy .110</v>
      </c>
      <c r="E29" s="269"/>
      <c r="F29" s="112" t="str">
        <f>VLOOKUP(C29,Extrusion!B:M,6,0)</f>
        <v>BOSCH</v>
      </c>
      <c r="G29" s="112" t="str">
        <f>VLOOKUP(C29,Extrusion!B:M,7,0)</f>
        <v>NULINE</v>
      </c>
      <c r="H29" s="112" t="str">
        <f>VLOOKUP(C29,Extrusion!B:M,8,0)</f>
        <v xml:space="preserve"> </v>
      </c>
      <c r="I29" s="113"/>
      <c r="J29" s="44" t="str">
        <f>VLOOKUP(C29,Extrusion!B:M,9,0)</f>
        <v>N/A</v>
      </c>
      <c r="K29" s="44">
        <f>VLOOKUP(C29,Extrusion!B:M,10,0)</f>
        <v>44894</v>
      </c>
      <c r="L29" s="44">
        <f>VLOOKUP(C29,Extrusion!B:M,11,0)</f>
        <v>44970</v>
      </c>
      <c r="M29" s="44">
        <f>VLOOKUP(C29,Extrusion!B:M,12,0)</f>
        <v>44970</v>
      </c>
      <c r="N29" s="45">
        <f>VLOOKUP(C29,Extrusion!B:N,13,0)</f>
        <v>54598</v>
      </c>
      <c r="O29" s="45" t="e">
        <f t="shared" ca="1" si="18"/>
        <v>#VALUE!</v>
      </c>
      <c r="P29" s="49">
        <f>IFERROR(VLOOKUP(C29,Extrusion!B:F,5,0),"")</f>
        <v>53.693945882999991</v>
      </c>
      <c r="Q29" s="50">
        <f t="shared" si="19"/>
        <v>53.693945882999991</v>
      </c>
    </row>
    <row r="30" spans="1:18" s="2" customFormat="1" ht="12" customHeight="1">
      <c r="A30" s="4">
        <f t="shared" si="20"/>
        <v>706</v>
      </c>
      <c r="B30" s="2">
        <v>2</v>
      </c>
      <c r="C30" s="111" t="s">
        <v>251</v>
      </c>
      <c r="D30" s="268" t="str">
        <f>VLOOKUP(C30,Extrusion!B:C,2,0)</f>
        <v>Assy .110</v>
      </c>
      <c r="E30" s="269"/>
      <c r="F30" s="112" t="str">
        <f>VLOOKUP(C30,Extrusion!B:M,6,0)</f>
        <v>BOSCH</v>
      </c>
      <c r="G30" s="112" t="str">
        <f>VLOOKUP(C30,Extrusion!B:M,7,0)</f>
        <v>NULINE</v>
      </c>
      <c r="H30" s="112" t="str">
        <f>VLOOKUP(C30,Extrusion!B:M,8,0)</f>
        <v xml:space="preserve"> </v>
      </c>
      <c r="I30" s="113"/>
      <c r="J30" s="44" t="str">
        <f>VLOOKUP(C30,Extrusion!B:M,9,0)</f>
        <v>N/A</v>
      </c>
      <c r="K30" s="44">
        <f>VLOOKUP(C30,Extrusion!B:M,10,0)</f>
        <v>44894</v>
      </c>
      <c r="L30" s="44">
        <f>VLOOKUP(C30,Extrusion!B:M,11,0)</f>
        <v>44970</v>
      </c>
      <c r="M30" s="44">
        <f>VLOOKUP(C30,Extrusion!B:M,12,0)</f>
        <v>44970</v>
      </c>
      <c r="N30" s="45">
        <f>VLOOKUP(C30,Extrusion!B:N,13,0)</f>
        <v>54598</v>
      </c>
      <c r="O30" s="45" t="e">
        <f t="shared" ca="1" si="18"/>
        <v>#VALUE!</v>
      </c>
      <c r="P30" s="49">
        <f>IFERROR(VLOOKUP(C30,Extrusion!B:F,5,0),"")</f>
        <v>333.90711040000002</v>
      </c>
      <c r="Q30" s="50">
        <f t="shared" si="19"/>
        <v>667.81422080000004</v>
      </c>
    </row>
    <row r="31" spans="1:18" s="2" customFormat="1" ht="12" customHeight="1">
      <c r="A31" s="4">
        <f t="shared" si="20"/>
        <v>707</v>
      </c>
      <c r="B31" s="2">
        <v>2</v>
      </c>
      <c r="C31" s="111" t="s">
        <v>252</v>
      </c>
      <c r="D31" s="268" t="str">
        <f>VLOOKUP(C31,Extrusion!B:C,2,0)</f>
        <v>Assy .110</v>
      </c>
      <c r="E31" s="269"/>
      <c r="F31" s="112" t="str">
        <f>VLOOKUP(C31,Extrusion!B:M,6,0)</f>
        <v>BOSCH</v>
      </c>
      <c r="G31" s="112" t="str">
        <f>VLOOKUP(C31,Extrusion!B:M,7,0)</f>
        <v>NULINE</v>
      </c>
      <c r="H31" s="112" t="str">
        <f>VLOOKUP(C31,Extrusion!B:M,8,0)</f>
        <v xml:space="preserve"> </v>
      </c>
      <c r="I31" s="113"/>
      <c r="J31" s="44" t="str">
        <f>VLOOKUP(C31,Extrusion!B:M,9,0)</f>
        <v>N/A</v>
      </c>
      <c r="K31" s="44">
        <f>VLOOKUP(C31,Extrusion!B:M,10,0)</f>
        <v>44894</v>
      </c>
      <c r="L31" s="44">
        <f>VLOOKUP(C31,Extrusion!B:M,11,0)</f>
        <v>44970</v>
      </c>
      <c r="M31" s="44">
        <f>VLOOKUP(C31,Extrusion!B:M,12,0)</f>
        <v>44970</v>
      </c>
      <c r="N31" s="45">
        <f>VLOOKUP(C31,Extrusion!B:N,13,0)</f>
        <v>54598</v>
      </c>
      <c r="O31" s="45" t="e">
        <f t="shared" ca="1" si="18"/>
        <v>#VALUE!</v>
      </c>
      <c r="P31" s="49">
        <f>IFERROR(VLOOKUP(C31,Extrusion!B:F,5,0),"")</f>
        <v>281.19991892133334</v>
      </c>
      <c r="Q31" s="50">
        <f t="shared" si="19"/>
        <v>562.39983784266667</v>
      </c>
    </row>
    <row r="32" spans="1:18" s="2" customFormat="1" ht="12" customHeight="1" thickBot="1">
      <c r="A32" s="241">
        <v>708</v>
      </c>
      <c r="B32" s="240">
        <v>8</v>
      </c>
      <c r="C32" s="111" t="s">
        <v>253</v>
      </c>
      <c r="D32" s="268" t="str">
        <f>VLOOKUP(C32,Extrusion!B:C,2,0)</f>
        <v>Assy .110</v>
      </c>
      <c r="E32" s="269"/>
      <c r="F32" s="112" t="str">
        <f>VLOOKUP(C32,Extrusion!B:M,6,0)</f>
        <v>BOSCH</v>
      </c>
      <c r="G32" s="112" t="str">
        <f>VLOOKUP(C32,Extrusion!B:M,7,0)</f>
        <v>NULINE</v>
      </c>
      <c r="H32" s="112" t="str">
        <f>VLOOKUP(C32,Extrusion!B:M,8,0)</f>
        <v xml:space="preserve"> </v>
      </c>
      <c r="I32" s="113"/>
      <c r="J32" s="44" t="str">
        <f>VLOOKUP(C32,Extrusion!B:M,9,0)</f>
        <v>N/A</v>
      </c>
      <c r="K32" s="44">
        <f>VLOOKUP(C32,Extrusion!B:M,10,0)</f>
        <v>44894</v>
      </c>
      <c r="L32" s="44">
        <f>VLOOKUP(C32,Extrusion!B:M,11,0)</f>
        <v>44970</v>
      </c>
      <c r="M32" s="44">
        <f>VLOOKUP(C32,Extrusion!B:M,12,0)</f>
        <v>44970</v>
      </c>
      <c r="N32" s="45">
        <f>VLOOKUP(C32,Extrusion!B:N,13,0)</f>
        <v>54598</v>
      </c>
      <c r="O32" s="45" t="e">
        <f t="shared" ref="O32" ca="1" si="21">B32*$L$2</f>
        <v>#VALUE!</v>
      </c>
      <c r="P32" s="49">
        <f>IFERROR(VLOOKUP(C32,Extrusion!B:F,5,0),"")</f>
        <v>32.189349416666666</v>
      </c>
      <c r="Q32" s="50">
        <f t="shared" ref="Q32" si="22">IFERROR(B32*P32,"")</f>
        <v>257.51479533333332</v>
      </c>
    </row>
    <row r="33" spans="1:17" s="2" customFormat="1" ht="12.75" customHeight="1" thickBot="1">
      <c r="A33" s="34"/>
      <c r="B33" s="35"/>
      <c r="C33" s="35"/>
      <c r="D33" s="256"/>
      <c r="E33" s="257"/>
      <c r="F33" s="35"/>
      <c r="G33" s="35"/>
      <c r="H33" s="294"/>
      <c r="I33" s="295"/>
      <c r="J33" s="36"/>
      <c r="K33" s="36"/>
      <c r="L33" s="36"/>
      <c r="M33" s="37"/>
      <c r="N33" s="38"/>
      <c r="O33" s="38"/>
      <c r="P33" s="89" t="s">
        <v>43</v>
      </c>
      <c r="Q33" s="94">
        <f>SUM(Q5:Q31)</f>
        <v>15341.973828325668</v>
      </c>
    </row>
    <row r="34" spans="1:17" s="2" customFormat="1" ht="12" customHeight="1">
      <c r="D34" s="22"/>
      <c r="E34" s="22"/>
      <c r="J34" s="8"/>
      <c r="K34" s="8"/>
      <c r="L34" s="8"/>
      <c r="M34" s="8"/>
      <c r="N34" s="5"/>
      <c r="O34" s="5"/>
      <c r="P34" s="88"/>
      <c r="Q34" s="95"/>
    </row>
    <row r="35" spans="1:17" s="2" customFormat="1" ht="12" customHeight="1">
      <c r="D35" s="22"/>
      <c r="E35" s="22"/>
      <c r="J35" s="5"/>
      <c r="K35" s="5"/>
      <c r="L35" s="5"/>
      <c r="M35" s="5"/>
      <c r="N35" s="5"/>
      <c r="O35" s="5"/>
      <c r="P35" s="88"/>
      <c r="Q35" s="95"/>
    </row>
    <row r="36" spans="1:17" s="2" customFormat="1" ht="12" customHeight="1">
      <c r="D36" s="22"/>
      <c r="E36" s="22"/>
      <c r="J36" s="5"/>
      <c r="K36" s="5"/>
      <c r="L36" s="5"/>
      <c r="M36" s="5"/>
      <c r="N36" s="5"/>
      <c r="O36" s="5"/>
      <c r="P36" s="88"/>
      <c r="Q36" s="95"/>
    </row>
    <row r="37" spans="1:17" s="2" customFormat="1" ht="12" customHeight="1">
      <c r="D37" s="22"/>
      <c r="E37" s="22"/>
      <c r="J37" s="5"/>
      <c r="K37" s="5"/>
      <c r="L37" s="5"/>
      <c r="M37" s="5"/>
      <c r="N37" s="5"/>
      <c r="O37" s="5"/>
      <c r="P37" s="88"/>
      <c r="Q37" s="95"/>
    </row>
    <row r="38" spans="1:17" s="2" customFormat="1" ht="12" customHeight="1">
      <c r="D38" s="22"/>
      <c r="E38" s="22"/>
      <c r="J38" s="5"/>
      <c r="K38" s="5"/>
      <c r="L38" s="5"/>
      <c r="M38" s="5"/>
      <c r="N38" s="5"/>
      <c r="O38" s="5"/>
      <c r="P38" s="88"/>
      <c r="Q38" s="95"/>
    </row>
    <row r="39" spans="1:17" s="2" customFormat="1" ht="12" customHeight="1">
      <c r="D39" s="22"/>
      <c r="E39" s="22"/>
      <c r="J39" s="5"/>
      <c r="K39" s="5"/>
      <c r="L39" s="5"/>
      <c r="M39" s="5"/>
      <c r="N39" s="5"/>
      <c r="O39" s="5"/>
      <c r="P39" s="88"/>
      <c r="Q39" s="95"/>
    </row>
    <row r="40" spans="1:17" s="2" customFormat="1" ht="12" customHeight="1">
      <c r="D40" s="22"/>
      <c r="E40" s="22"/>
      <c r="J40" s="5"/>
      <c r="K40" s="5"/>
      <c r="L40" s="5"/>
      <c r="M40" s="5"/>
      <c r="N40" s="5"/>
      <c r="O40" s="5"/>
      <c r="P40" s="88"/>
      <c r="Q40" s="95"/>
    </row>
    <row r="41" spans="1:17" s="2" customFormat="1" ht="12" customHeight="1">
      <c r="D41" s="22"/>
      <c r="E41" s="22"/>
      <c r="J41" s="5"/>
      <c r="K41" s="5"/>
      <c r="L41" s="5"/>
      <c r="M41" s="5"/>
      <c r="N41" s="5"/>
      <c r="O41" s="5"/>
      <c r="P41" s="88"/>
      <c r="Q41" s="95"/>
    </row>
    <row r="42" spans="1:17" s="2" customFormat="1" ht="12" customHeight="1">
      <c r="D42" s="22"/>
      <c r="E42" s="22"/>
      <c r="J42" s="5"/>
      <c r="K42" s="5"/>
      <c r="L42" s="5"/>
      <c r="M42" s="5"/>
      <c r="N42" s="5"/>
      <c r="O42" s="5"/>
      <c r="P42" s="88"/>
      <c r="Q42" s="95"/>
    </row>
    <row r="43" spans="1:17" s="2" customFormat="1" ht="12" customHeight="1">
      <c r="D43" s="22"/>
      <c r="E43" s="22"/>
      <c r="J43" s="5"/>
      <c r="K43" s="5"/>
      <c r="L43" s="5"/>
      <c r="M43" s="5"/>
      <c r="N43" s="5"/>
      <c r="O43" s="5"/>
      <c r="P43" s="88"/>
      <c r="Q43" s="95"/>
    </row>
    <row r="44" spans="1:17" s="2" customFormat="1" ht="12" customHeight="1">
      <c r="D44" s="22"/>
      <c r="E44" s="22"/>
      <c r="J44" s="5"/>
      <c r="K44" s="5"/>
      <c r="L44" s="5"/>
      <c r="M44" s="5"/>
      <c r="N44" s="5"/>
      <c r="O44" s="5"/>
      <c r="P44" s="88"/>
      <c r="Q44" s="95"/>
    </row>
    <row r="45" spans="1:17" s="2" customFormat="1" ht="12" customHeight="1">
      <c r="D45" s="22"/>
      <c r="E45" s="22"/>
      <c r="J45" s="5"/>
      <c r="K45" s="5"/>
      <c r="L45" s="5"/>
      <c r="M45" s="5"/>
      <c r="N45" s="5"/>
      <c r="O45" s="5"/>
      <c r="P45" s="88"/>
      <c r="Q45" s="95"/>
    </row>
    <row r="46" spans="1:17" s="2" customFormat="1" ht="12" customHeight="1">
      <c r="D46" s="22"/>
      <c r="E46" s="22"/>
      <c r="J46" s="5"/>
      <c r="K46" s="5"/>
      <c r="L46" s="5"/>
      <c r="M46" s="5"/>
      <c r="N46" s="5"/>
      <c r="O46" s="5"/>
      <c r="P46" s="88"/>
      <c r="Q46" s="95"/>
    </row>
    <row r="47" spans="1:17" s="2" customFormat="1" ht="12" customHeight="1">
      <c r="D47" s="22"/>
      <c r="E47" s="22"/>
      <c r="J47" s="5"/>
      <c r="K47" s="5"/>
      <c r="L47" s="5"/>
      <c r="M47" s="5"/>
      <c r="N47" s="5"/>
      <c r="O47" s="5"/>
      <c r="P47" s="88"/>
      <c r="Q47" s="95"/>
    </row>
    <row r="48" spans="1:17" s="2" customFormat="1" ht="12" customHeight="1">
      <c r="D48" s="22"/>
      <c r="E48" s="22"/>
      <c r="J48" s="5"/>
      <c r="K48" s="5"/>
      <c r="L48" s="5"/>
      <c r="M48" s="5"/>
      <c r="N48" s="5"/>
      <c r="O48" s="5"/>
      <c r="P48" s="88"/>
      <c r="Q48" s="95"/>
    </row>
    <row r="49" spans="4:17" s="2" customFormat="1" ht="12" customHeight="1">
      <c r="D49" s="22"/>
      <c r="E49" s="22"/>
      <c r="J49" s="5"/>
      <c r="K49" s="5"/>
      <c r="L49" s="5"/>
      <c r="M49" s="5"/>
      <c r="N49" s="5"/>
      <c r="O49" s="5"/>
      <c r="P49" s="88"/>
      <c r="Q49" s="95"/>
    </row>
    <row r="50" spans="4:17" s="2" customFormat="1" ht="12" customHeight="1">
      <c r="D50" s="22"/>
      <c r="E50" s="22"/>
      <c r="J50" s="5"/>
      <c r="K50" s="5"/>
      <c r="L50" s="5"/>
      <c r="M50" s="5"/>
      <c r="N50" s="5"/>
      <c r="O50" s="5"/>
      <c r="P50" s="88"/>
      <c r="Q50" s="95"/>
    </row>
    <row r="51" spans="4:17" s="2" customFormat="1" ht="12" customHeight="1">
      <c r="D51" s="22"/>
      <c r="E51" s="22"/>
      <c r="J51" s="5"/>
      <c r="K51" s="5"/>
      <c r="L51" s="5"/>
      <c r="M51" s="5"/>
      <c r="N51" s="5"/>
      <c r="O51" s="5"/>
      <c r="P51" s="88"/>
      <c r="Q51" s="95"/>
    </row>
    <row r="52" spans="4:17" s="2" customFormat="1" ht="12" customHeight="1">
      <c r="D52" s="22"/>
      <c r="E52" s="22"/>
      <c r="J52" s="5"/>
      <c r="K52" s="5"/>
      <c r="L52" s="5"/>
      <c r="M52" s="5"/>
      <c r="N52" s="5"/>
      <c r="O52" s="5"/>
      <c r="P52" s="88"/>
      <c r="Q52" s="95"/>
    </row>
    <row r="53" spans="4:17" s="2" customFormat="1" ht="12" customHeight="1">
      <c r="D53" s="22"/>
      <c r="E53" s="22"/>
      <c r="J53" s="5"/>
      <c r="K53" s="5"/>
      <c r="L53" s="5"/>
      <c r="M53" s="5"/>
      <c r="N53" s="5"/>
      <c r="O53" s="5"/>
      <c r="P53" s="88"/>
      <c r="Q53" s="95"/>
    </row>
    <row r="54" spans="4:17" s="2" customFormat="1" ht="12" customHeight="1">
      <c r="D54" s="22"/>
      <c r="E54" s="22"/>
      <c r="J54" s="5"/>
      <c r="K54" s="5"/>
      <c r="L54" s="5"/>
      <c r="M54" s="5"/>
      <c r="N54" s="5"/>
      <c r="O54" s="5"/>
      <c r="P54" s="88"/>
      <c r="Q54" s="95"/>
    </row>
    <row r="55" spans="4:17" s="2" customFormat="1" ht="12" customHeight="1">
      <c r="D55" s="22"/>
      <c r="E55" s="22"/>
      <c r="J55" s="5"/>
      <c r="K55" s="5"/>
      <c r="L55" s="5"/>
      <c r="M55" s="5"/>
      <c r="N55" s="5"/>
      <c r="O55" s="5"/>
      <c r="P55" s="88"/>
      <c r="Q55" s="95"/>
    </row>
    <row r="56" spans="4:17" s="2" customFormat="1" ht="12" customHeight="1">
      <c r="D56" s="22"/>
      <c r="E56" s="22"/>
      <c r="J56" s="5"/>
      <c r="K56" s="5"/>
      <c r="L56" s="5"/>
      <c r="M56" s="5"/>
      <c r="N56" s="5"/>
      <c r="O56" s="5"/>
      <c r="P56" s="88"/>
      <c r="Q56" s="95"/>
    </row>
    <row r="57" spans="4:17" s="2" customFormat="1" ht="12" customHeight="1">
      <c r="D57" s="22"/>
      <c r="E57" s="22"/>
      <c r="J57" s="5"/>
      <c r="K57" s="5"/>
      <c r="L57" s="5"/>
      <c r="M57" s="5"/>
      <c r="N57" s="5"/>
      <c r="O57" s="5"/>
      <c r="P57" s="88"/>
      <c r="Q57" s="95"/>
    </row>
    <row r="58" spans="4:17" s="2" customFormat="1" ht="12" customHeight="1">
      <c r="D58" s="22"/>
      <c r="E58" s="22"/>
      <c r="J58" s="5"/>
      <c r="K58" s="5"/>
      <c r="L58" s="5"/>
      <c r="M58" s="5"/>
      <c r="N58" s="5"/>
      <c r="O58" s="5"/>
      <c r="P58" s="88"/>
      <c r="Q58" s="95"/>
    </row>
    <row r="59" spans="4:17" s="2" customFormat="1" ht="12" customHeight="1">
      <c r="D59" s="22"/>
      <c r="E59" s="22"/>
      <c r="J59" s="5"/>
      <c r="K59" s="5"/>
      <c r="L59" s="5"/>
      <c r="M59" s="5"/>
      <c r="N59" s="5"/>
      <c r="O59" s="5"/>
      <c r="P59" s="88"/>
      <c r="Q59" s="95"/>
    </row>
    <row r="60" spans="4:17" s="2" customFormat="1" ht="12" customHeight="1">
      <c r="D60" s="22"/>
      <c r="E60" s="22"/>
      <c r="J60" s="5"/>
      <c r="K60" s="5"/>
      <c r="L60" s="5"/>
      <c r="M60" s="5"/>
      <c r="N60" s="5"/>
      <c r="O60" s="5"/>
      <c r="P60" s="88"/>
      <c r="Q60" s="95"/>
    </row>
    <row r="61" spans="4:17" s="2" customFormat="1" ht="12" customHeight="1">
      <c r="D61" s="22"/>
      <c r="E61" s="22"/>
      <c r="J61" s="5"/>
      <c r="K61" s="5"/>
      <c r="L61" s="5"/>
      <c r="M61" s="5"/>
      <c r="N61" s="5"/>
      <c r="O61" s="5"/>
      <c r="P61" s="88"/>
      <c r="Q61" s="95"/>
    </row>
    <row r="62" spans="4:17" s="2" customFormat="1" ht="12" customHeight="1">
      <c r="D62" s="22"/>
      <c r="E62" s="22"/>
      <c r="J62" s="5"/>
      <c r="K62" s="5"/>
      <c r="L62" s="5"/>
      <c r="M62" s="5"/>
      <c r="N62" s="5"/>
      <c r="O62" s="5"/>
      <c r="P62" s="88"/>
      <c r="Q62" s="95"/>
    </row>
    <row r="63" spans="4:17" s="2" customFormat="1" ht="12" customHeight="1">
      <c r="D63" s="22"/>
      <c r="E63" s="22"/>
      <c r="J63" s="5"/>
      <c r="K63" s="5"/>
      <c r="L63" s="5"/>
      <c r="M63" s="5"/>
      <c r="N63" s="5"/>
      <c r="O63" s="5"/>
      <c r="P63" s="88"/>
      <c r="Q63" s="95"/>
    </row>
    <row r="64" spans="4:17" s="2" customFormat="1" ht="12" customHeight="1">
      <c r="D64" s="22"/>
      <c r="E64" s="22"/>
      <c r="J64" s="5"/>
      <c r="K64" s="5"/>
      <c r="L64" s="5"/>
      <c r="M64" s="5"/>
      <c r="N64" s="5"/>
      <c r="O64" s="5"/>
      <c r="P64" s="88"/>
      <c r="Q64" s="95"/>
    </row>
    <row r="65" spans="1:17" s="2" customFormat="1" ht="12" customHeight="1">
      <c r="D65" s="22"/>
      <c r="E65" s="22"/>
      <c r="J65" s="5"/>
      <c r="K65" s="5"/>
      <c r="L65" s="5"/>
      <c r="M65" s="5"/>
      <c r="N65" s="5"/>
      <c r="O65" s="5"/>
      <c r="P65" s="88"/>
      <c r="Q65" s="95"/>
    </row>
    <row r="66" spans="1:17" s="2" customFormat="1" ht="12" customHeight="1">
      <c r="D66" s="22"/>
      <c r="E66" s="22"/>
      <c r="J66" s="5"/>
      <c r="K66" s="5"/>
      <c r="L66" s="5"/>
      <c r="M66" s="5"/>
      <c r="N66" s="5"/>
      <c r="O66" s="5"/>
      <c r="P66" s="88"/>
      <c r="Q66" s="95"/>
    </row>
    <row r="67" spans="1:17" s="2" customFormat="1" ht="12" customHeight="1">
      <c r="D67" s="22"/>
      <c r="E67" s="22"/>
      <c r="J67" s="5"/>
      <c r="K67" s="5"/>
      <c r="L67" s="5"/>
      <c r="M67" s="5"/>
      <c r="N67" s="5"/>
      <c r="O67" s="5"/>
      <c r="P67" s="88"/>
      <c r="Q67" s="95"/>
    </row>
    <row r="68" spans="1:17" s="2" customFormat="1" ht="12" customHeight="1">
      <c r="D68" s="22"/>
      <c r="E68" s="22"/>
      <c r="J68" s="5"/>
      <c r="K68" s="5"/>
      <c r="L68" s="5"/>
      <c r="M68" s="5"/>
      <c r="N68" s="5"/>
      <c r="O68" s="5"/>
      <c r="P68" s="88"/>
      <c r="Q68" s="95"/>
    </row>
    <row r="69" spans="1:17" s="2" customFormat="1" ht="12" customHeight="1">
      <c r="D69" s="22"/>
      <c r="E69" s="22"/>
      <c r="J69" s="5"/>
      <c r="K69" s="5"/>
      <c r="L69" s="5"/>
      <c r="M69" s="5"/>
      <c r="N69" s="5"/>
      <c r="O69" s="5"/>
      <c r="P69" s="88"/>
      <c r="Q69" s="95"/>
    </row>
    <row r="70" spans="1:17" s="2" customFormat="1" ht="12" customHeight="1">
      <c r="D70" s="22"/>
      <c r="E70" s="22"/>
      <c r="J70" s="5"/>
      <c r="K70" s="5"/>
      <c r="L70" s="5"/>
      <c r="M70" s="5"/>
      <c r="N70" s="5"/>
      <c r="O70" s="5"/>
      <c r="P70" s="88"/>
      <c r="Q70" s="95"/>
    </row>
    <row r="71" spans="1:17" s="2" customFormat="1" ht="12" customHeight="1">
      <c r="D71" s="22"/>
      <c r="E71" s="22"/>
      <c r="J71" s="5"/>
      <c r="K71" s="5"/>
      <c r="L71" s="5"/>
      <c r="M71" s="5"/>
      <c r="N71" s="5"/>
      <c r="O71" s="5"/>
      <c r="P71" s="88"/>
      <c r="Q71" s="95"/>
    </row>
    <row r="72" spans="1:17" s="2" customFormat="1" ht="12" customHeight="1">
      <c r="D72" s="22"/>
      <c r="E72" s="22"/>
      <c r="J72" s="5"/>
      <c r="K72" s="5"/>
      <c r="L72" s="5"/>
      <c r="M72" s="5"/>
      <c r="N72" s="5"/>
      <c r="O72" s="5"/>
      <c r="P72" s="88"/>
      <c r="Q72" s="96"/>
    </row>
    <row r="73" spans="1:17" s="2" customFormat="1" ht="12" customHeight="1">
      <c r="D73" s="22"/>
      <c r="E73" s="22"/>
      <c r="J73" s="5"/>
      <c r="K73" s="5"/>
      <c r="L73" s="5"/>
      <c r="M73" s="5"/>
      <c r="N73" s="5"/>
      <c r="O73" s="5"/>
      <c r="P73" s="88"/>
      <c r="Q73" s="96"/>
    </row>
    <row r="74" spans="1:17" s="2" customFormat="1" ht="12" customHeight="1">
      <c r="D74" s="22"/>
      <c r="E74" s="22"/>
      <c r="J74" s="5"/>
      <c r="K74" s="5"/>
      <c r="L74" s="5"/>
      <c r="M74" s="5"/>
      <c r="N74" s="5"/>
      <c r="O74" s="5"/>
      <c r="P74" s="88"/>
      <c r="Q74" s="96"/>
    </row>
    <row r="75" spans="1:17" s="2" customFormat="1" ht="12" customHeight="1">
      <c r="D75" s="22"/>
      <c r="E75" s="22"/>
      <c r="J75" s="5"/>
      <c r="K75" s="5"/>
      <c r="L75" s="5"/>
      <c r="M75" s="5"/>
      <c r="N75" s="5"/>
      <c r="O75" s="5"/>
      <c r="P75" s="88"/>
      <c r="Q75" s="96"/>
    </row>
    <row r="76" spans="1:17" s="2" customFormat="1" ht="12" customHeight="1">
      <c r="A76"/>
      <c r="B76"/>
      <c r="C76"/>
      <c r="D76" s="23"/>
      <c r="E76" s="23"/>
      <c r="F76"/>
      <c r="G76"/>
      <c r="H76"/>
      <c r="I76"/>
      <c r="J76" s="19"/>
      <c r="K76" s="19"/>
      <c r="L76" s="19"/>
      <c r="M76" s="19"/>
      <c r="N76" s="19"/>
      <c r="O76" s="19"/>
      <c r="P76" s="90"/>
      <c r="Q76" s="96"/>
    </row>
    <row r="77" spans="1:17" s="2" customFormat="1" ht="12" customHeight="1">
      <c r="A77"/>
      <c r="B77"/>
      <c r="C77"/>
      <c r="D77" s="23"/>
      <c r="E77" s="23"/>
      <c r="F77"/>
      <c r="G77"/>
      <c r="H77"/>
      <c r="I77"/>
      <c r="J77" s="19"/>
      <c r="K77" s="19"/>
      <c r="L77" s="19"/>
      <c r="M77" s="19"/>
      <c r="N77" s="19"/>
      <c r="O77" s="19"/>
      <c r="P77" s="90"/>
      <c r="Q77" s="96"/>
    </row>
    <row r="78" spans="1:17" s="2" customFormat="1" ht="12" customHeight="1">
      <c r="A78"/>
      <c r="B78"/>
      <c r="C78"/>
      <c r="D78" s="23"/>
      <c r="E78" s="23"/>
      <c r="F78"/>
      <c r="G78"/>
      <c r="H78"/>
      <c r="I78"/>
      <c r="J78" s="19"/>
      <c r="K78" s="19"/>
      <c r="L78" s="19"/>
      <c r="M78" s="19"/>
      <c r="N78" s="19"/>
      <c r="O78" s="19"/>
      <c r="P78" s="90"/>
      <c r="Q78" s="96"/>
    </row>
    <row r="79" spans="1:17" s="2" customFormat="1" ht="12" customHeight="1">
      <c r="A79"/>
      <c r="B79"/>
      <c r="C79"/>
      <c r="D79" s="23"/>
      <c r="E79" s="23"/>
      <c r="F79"/>
      <c r="G79"/>
      <c r="H79"/>
      <c r="I79"/>
      <c r="J79" s="19"/>
      <c r="K79" s="19"/>
      <c r="L79" s="19"/>
      <c r="M79" s="19"/>
      <c r="N79" s="19"/>
      <c r="O79" s="19"/>
      <c r="P79" s="90"/>
      <c r="Q79" s="96"/>
    </row>
    <row r="80" spans="1:17" s="2" customFormat="1" ht="12" customHeight="1">
      <c r="A80"/>
      <c r="B80"/>
      <c r="C80"/>
      <c r="D80" s="23"/>
      <c r="E80" s="23"/>
      <c r="F80"/>
      <c r="G80"/>
      <c r="H80"/>
      <c r="I80"/>
      <c r="J80" s="19"/>
      <c r="K80" s="19"/>
      <c r="L80" s="19"/>
      <c r="M80" s="19"/>
      <c r="N80" s="19"/>
      <c r="O80" s="19"/>
      <c r="P80" s="90"/>
      <c r="Q80" s="96"/>
    </row>
    <row r="81" spans="17:17">
      <c r="Q81" s="96"/>
    </row>
    <row r="82" spans="17:17">
      <c r="Q82" s="96"/>
    </row>
    <row r="83" spans="17:17">
      <c r="Q83" s="96"/>
    </row>
    <row r="84" spans="17:17">
      <c r="Q84" s="96"/>
    </row>
    <row r="85" spans="17:17">
      <c r="Q85" s="96"/>
    </row>
    <row r="86" spans="17:17">
      <c r="Q86" s="96"/>
    </row>
    <row r="87" spans="17:17">
      <c r="Q87" s="96"/>
    </row>
    <row r="88" spans="17:17">
      <c r="Q88" s="96"/>
    </row>
    <row r="89" spans="17:17">
      <c r="Q89" s="96"/>
    </row>
    <row r="90" spans="17:17">
      <c r="Q90" s="96"/>
    </row>
    <row r="91" spans="17:17">
      <c r="Q91" s="96"/>
    </row>
    <row r="92" spans="17:17">
      <c r="Q92" s="96"/>
    </row>
    <row r="93" spans="17:17">
      <c r="Q93" s="96"/>
    </row>
    <row r="94" spans="17:17">
      <c r="Q94" s="96"/>
    </row>
    <row r="95" spans="17:17">
      <c r="Q95" s="96"/>
    </row>
    <row r="96" spans="17:17">
      <c r="Q96" s="96"/>
    </row>
    <row r="97" spans="17:17">
      <c r="Q97" s="96"/>
    </row>
    <row r="98" spans="17:17">
      <c r="Q98" s="96"/>
    </row>
    <row r="99" spans="17:17">
      <c r="Q99" s="96"/>
    </row>
    <row r="100" spans="17:17">
      <c r="Q100" s="96"/>
    </row>
    <row r="137" ht="12" customHeight="1"/>
    <row r="138" ht="12" customHeight="1"/>
    <row r="139" ht="12" customHeight="1"/>
    <row r="140" ht="12" customHeight="1"/>
    <row r="141" ht="12" customHeight="1"/>
    <row r="142" ht="12" customHeight="1"/>
    <row r="143" ht="12" customHeight="1"/>
    <row r="144" ht="12" customHeight="1"/>
    <row r="145" ht="12" customHeight="1"/>
    <row r="146" ht="12" customHeight="1"/>
    <row r="147" ht="12" customHeight="1"/>
    <row r="148" ht="12" customHeight="1"/>
    <row r="149" ht="12" customHeight="1"/>
    <row r="150" ht="12" customHeight="1"/>
    <row r="151" ht="12" customHeight="1"/>
    <row r="152" ht="12" customHeight="1"/>
    <row r="153" ht="12" customHeight="1"/>
    <row r="154" ht="12" customHeight="1"/>
    <row r="155" ht="12" customHeight="1"/>
    <row r="156" ht="12" customHeight="1"/>
    <row r="157" ht="12" customHeight="1"/>
    <row r="158" ht="12" customHeight="1"/>
    <row r="159" ht="12" customHeight="1"/>
    <row r="160" ht="12" customHeight="1"/>
    <row r="161" ht="12" customHeight="1"/>
    <row r="162" ht="12" customHeight="1"/>
    <row r="163" ht="12" customHeight="1"/>
    <row r="164" ht="12" customHeight="1"/>
    <row r="165" ht="12" customHeight="1"/>
    <row r="166" ht="12" customHeight="1"/>
    <row r="167" ht="12" customHeight="1"/>
    <row r="168" ht="12" customHeight="1"/>
    <row r="169" ht="12" customHeight="1"/>
    <row r="170" ht="12" customHeight="1"/>
    <row r="171" ht="12" customHeight="1"/>
    <row r="172" ht="12" customHeight="1"/>
    <row r="173" ht="12" customHeight="1"/>
    <row r="174" ht="12" customHeight="1"/>
    <row r="175" ht="12" customHeight="1"/>
    <row r="176" ht="12" customHeight="1"/>
    <row r="177" ht="12" customHeight="1"/>
    <row r="178" ht="12" customHeight="1"/>
    <row r="179" ht="12" customHeight="1"/>
    <row r="180" ht="12" customHeight="1"/>
    <row r="181" ht="12" customHeight="1"/>
    <row r="182" ht="12" customHeight="1"/>
    <row r="183" ht="12" customHeight="1"/>
    <row r="184" ht="12" customHeight="1"/>
    <row r="185" ht="12" customHeight="1"/>
    <row r="186" ht="12" customHeight="1"/>
  </sheetData>
  <mergeCells count="48">
    <mergeCell ref="D33:E33"/>
    <mergeCell ref="H33:I33"/>
    <mergeCell ref="D25:E25"/>
    <mergeCell ref="D26:E26"/>
    <mergeCell ref="D27:E27"/>
    <mergeCell ref="D28:E28"/>
    <mergeCell ref="D29:E29"/>
    <mergeCell ref="D30:E30"/>
    <mergeCell ref="D31:E31"/>
    <mergeCell ref="D32:E32"/>
    <mergeCell ref="D24:E24"/>
    <mergeCell ref="H24:I24"/>
    <mergeCell ref="D11:E11"/>
    <mergeCell ref="H11:I11"/>
    <mergeCell ref="D17:E17"/>
    <mergeCell ref="H17:I17"/>
    <mergeCell ref="D20:E20"/>
    <mergeCell ref="H20:I20"/>
    <mergeCell ref="D21:E21"/>
    <mergeCell ref="D22:E22"/>
    <mergeCell ref="D19:E19"/>
    <mergeCell ref="D23:E23"/>
    <mergeCell ref="H14:I14"/>
    <mergeCell ref="D15:E15"/>
    <mergeCell ref="H15:I15"/>
    <mergeCell ref="D16:E16"/>
    <mergeCell ref="D18:E18"/>
    <mergeCell ref="D7:E7"/>
    <mergeCell ref="H7:I7"/>
    <mergeCell ref="D8:E8"/>
    <mergeCell ref="H8:I8"/>
    <mergeCell ref="D9:E9"/>
    <mergeCell ref="H9:I9"/>
    <mergeCell ref="D10:E10"/>
    <mergeCell ref="H10:I10"/>
    <mergeCell ref="D12:E12"/>
    <mergeCell ref="H12:I12"/>
    <mergeCell ref="D13:E13"/>
    <mergeCell ref="H13:I13"/>
    <mergeCell ref="D14:E14"/>
    <mergeCell ref="H16:I16"/>
    <mergeCell ref="D6:E6"/>
    <mergeCell ref="H6:I6"/>
    <mergeCell ref="D1:E1"/>
    <mergeCell ref="D4:E4"/>
    <mergeCell ref="H4:I4"/>
    <mergeCell ref="D5:E5"/>
    <mergeCell ref="H5:I5"/>
  </mergeCells>
  <conditionalFormatting sqref="M18:M19 M21:M23">
    <cfRule type="cellIs" dxfId="637" priority="3" stopIfTrue="1" operator="lessThanOrEqual">
      <formula>$L18</formula>
    </cfRule>
    <cfRule type="cellIs" dxfId="636" priority="4" operator="greaterThan">
      <formula>L18</formula>
    </cfRule>
  </conditionalFormatting>
  <conditionalFormatting sqref="M25:M32">
    <cfRule type="cellIs" dxfId="635" priority="1" stopIfTrue="1" operator="lessThanOrEqual">
      <formula>$L25</formula>
    </cfRule>
    <cfRule type="cellIs" dxfId="634" priority="2" operator="greaterThan">
      <formula>L25</formula>
    </cfRule>
  </conditionalFormatting>
  <pageMargins left="0.7" right="0.7" top="0.75" bottom="0.75" header="0.3" footer="0.3"/>
  <pageSetup paperSize="3" fitToHeight="0" orientation="landscape" horizontalDpi="1200" verticalDpi="1200" r:id="rId1"/>
  <ignoredErrors>
    <ignoredError sqref="C21:C22" numberStoredAsText="1"/>
  </ignoredErrors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 xr:uid="{9FF54679-764F-40A7-AFB7-AAD272B298CB}">
          <x14:formula1>
            <xm:f>Assemblies!$E:$E</xm:f>
          </x14:formula1>
          <xm:sqref>C5:C16</xm:sqref>
        </x14:dataValidation>
        <x14:dataValidation type="list" allowBlank="1" showInputMessage="1" showErrorMessage="1" xr:uid="{35B0226E-73FA-4E2D-8526-B1938E450CE7}">
          <x14:formula1>
            <xm:f>Purchased!$A:$A</xm:f>
          </x14:formula1>
          <xm:sqref>C21:C23</xm:sqref>
        </x14:dataValidation>
        <x14:dataValidation type="list" allowBlank="1" showInputMessage="1" showErrorMessage="1" xr:uid="{7BFD0EE4-E16C-4AC6-9BA9-4C0D3F5594D1}">
          <x14:formula1>
            <xm:f>Extrusion!$B:$B</xm:f>
          </x14:formula1>
          <xm:sqref>C25:C32</xm:sqref>
        </x14:dataValidation>
        <x14:dataValidation type="list" allowBlank="1" showInputMessage="1" showErrorMessage="1" xr:uid="{81E34AC3-3C42-4CB9-A953-779E7C6110F9}">
          <x14:formula1>
            <xm:f>Machined!$C:$C</xm:f>
          </x14:formula1>
          <xm:sqref>C18:C19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D30910-045D-48F9-9AF0-F8932D1E0178}">
  <sheetPr codeName="Sheet14">
    <tabColor theme="3" tint="0.79998168889431442"/>
    <pageSetUpPr fitToPage="1"/>
  </sheetPr>
  <dimension ref="A1:Q164"/>
  <sheetViews>
    <sheetView zoomScaleNormal="100" workbookViewId="0">
      <selection activeCell="G40" sqref="G40"/>
    </sheetView>
  </sheetViews>
  <sheetFormatPr defaultColWidth="9.140625" defaultRowHeight="15"/>
  <cols>
    <col min="1" max="1" width="5.7109375" customWidth="1"/>
    <col min="2" max="2" width="5.42578125" bestFit="1" customWidth="1"/>
    <col min="3" max="3" width="30.7109375" customWidth="1"/>
    <col min="4" max="5" width="20.7109375" style="23" customWidth="1"/>
    <col min="6" max="6" width="16.85546875" bestFit="1" customWidth="1"/>
    <col min="7" max="7" width="9.7109375" customWidth="1"/>
    <col min="8" max="8" width="8.7109375" customWidth="1"/>
    <col min="9" max="9" width="20.7109375" customWidth="1"/>
    <col min="10" max="13" width="11.7109375" style="19" customWidth="1"/>
    <col min="14" max="14" width="11.85546875" style="19" bestFit="1" customWidth="1"/>
    <col min="15" max="15" width="7.7109375" style="19" customWidth="1"/>
    <col min="16" max="16" width="10.7109375" style="90" customWidth="1"/>
    <col min="17" max="17" width="10.7109375" style="97" customWidth="1"/>
  </cols>
  <sheetData>
    <row r="1" spans="1:17" s="55" customFormat="1" ht="12" customHeight="1">
      <c r="A1" s="68" t="s">
        <v>0</v>
      </c>
      <c r="B1" s="69"/>
      <c r="C1" s="69"/>
      <c r="D1" s="262" t="s">
        <v>1</v>
      </c>
      <c r="E1" s="263"/>
      <c r="F1" s="70"/>
      <c r="G1" s="69"/>
      <c r="H1" s="70"/>
      <c r="I1" s="71"/>
      <c r="J1" s="72"/>
      <c r="K1" s="72"/>
      <c r="L1" s="72"/>
      <c r="M1" s="72"/>
      <c r="N1" s="72"/>
      <c r="O1" s="72"/>
      <c r="P1" s="85"/>
      <c r="Q1" s="91"/>
    </row>
    <row r="2" spans="1:17" s="55" customFormat="1" ht="12" customHeight="1">
      <c r="A2" s="74" t="s">
        <v>48</v>
      </c>
      <c r="B2" s="58"/>
      <c r="C2" s="57" t="e">
        <f ca="1">VLOOKUP(E3,Assemblies!B:F,4,0)</f>
        <v>#VALUE!</v>
      </c>
      <c r="D2" s="75" t="s">
        <v>3</v>
      </c>
      <c r="E2" s="76" t="e">
        <f ca="1">'GF12'!E2</f>
        <v>#VALUE!</v>
      </c>
      <c r="F2" s="77" t="s">
        <v>4</v>
      </c>
      <c r="G2" s="58" t="str">
        <f>'GF12'!G2</f>
        <v>GH</v>
      </c>
      <c r="H2" s="77" t="s">
        <v>6</v>
      </c>
      <c r="I2" s="59">
        <f>'GF12'!I2</f>
        <v>44775</v>
      </c>
      <c r="J2" s="39"/>
      <c r="K2" s="40" t="s">
        <v>49</v>
      </c>
      <c r="L2" s="41" t="e">
        <f ca="1">VLOOKUP(C2,Assemblies!E:G,3,0)</f>
        <v>#VALUE!</v>
      </c>
      <c r="M2" s="78"/>
      <c r="N2" s="78"/>
      <c r="O2" s="78"/>
      <c r="P2" s="86"/>
      <c r="Q2" s="92"/>
    </row>
    <row r="3" spans="1:17" s="55" customFormat="1" ht="12" customHeight="1" thickBot="1">
      <c r="A3" s="74" t="s">
        <v>7</v>
      </c>
      <c r="B3" s="58"/>
      <c r="C3" s="57" t="e">
        <f ca="1">VLOOKUP(E3,Assemblies!B:F,5,0)</f>
        <v>#VALUE!</v>
      </c>
      <c r="D3" s="75" t="s">
        <v>50</v>
      </c>
      <c r="E3" s="76" t="e">
        <f ca="1">MID(CELL("filename",A1),FIND("]",CELL("filename",A1))+1,256)</f>
        <v>#VALUE!</v>
      </c>
      <c r="F3" s="77" t="s">
        <v>11</v>
      </c>
      <c r="G3" s="58" t="str">
        <f>'GF12'!G3</f>
        <v>GH</v>
      </c>
      <c r="H3" s="77" t="s">
        <v>6</v>
      </c>
      <c r="I3" s="59">
        <f>'GF12'!I3</f>
        <v>44775</v>
      </c>
      <c r="J3" s="78"/>
      <c r="K3" s="78"/>
      <c r="L3" s="78"/>
      <c r="M3" s="78"/>
      <c r="N3" s="78"/>
      <c r="O3" s="78"/>
      <c r="P3" s="86"/>
      <c r="Q3" s="92"/>
    </row>
    <row r="4" spans="1:17" s="56" customFormat="1" ht="12.75" customHeight="1" thickBot="1">
      <c r="A4" s="80" t="s">
        <v>12</v>
      </c>
      <c r="B4" s="81" t="s">
        <v>13</v>
      </c>
      <c r="C4" s="81" t="s">
        <v>14</v>
      </c>
      <c r="D4" s="270" t="s">
        <v>15</v>
      </c>
      <c r="E4" s="271"/>
      <c r="F4" s="104" t="s">
        <v>16</v>
      </c>
      <c r="G4" s="81" t="s">
        <v>17</v>
      </c>
      <c r="H4" s="260" t="s">
        <v>18</v>
      </c>
      <c r="I4" s="261"/>
      <c r="J4" s="81" t="s">
        <v>51</v>
      </c>
      <c r="K4" s="81" t="s">
        <v>20</v>
      </c>
      <c r="L4" s="81" t="s">
        <v>21</v>
      </c>
      <c r="M4" s="81" t="s">
        <v>52</v>
      </c>
      <c r="N4" s="81" t="s">
        <v>22</v>
      </c>
      <c r="O4" s="81" t="s">
        <v>53</v>
      </c>
      <c r="P4" s="107" t="s">
        <v>26</v>
      </c>
      <c r="Q4" s="82" t="s">
        <v>27</v>
      </c>
    </row>
    <row r="5" spans="1:17" s="2" customFormat="1" ht="12.75" customHeight="1">
      <c r="A5" s="127">
        <v>1</v>
      </c>
      <c r="B5" s="21">
        <v>1</v>
      </c>
      <c r="C5" s="108" t="s">
        <v>254</v>
      </c>
      <c r="D5" s="277" t="str">
        <f>VLOOKUP(C5,Machined!C:Q,2,0)</f>
        <v>M8 Leveling Foot Plate</v>
      </c>
      <c r="E5" s="278"/>
      <c r="F5" s="131" t="str">
        <f>VLOOKUP(C5,Machined!C:R,7,0)</f>
        <v>Big Sky</v>
      </c>
      <c r="G5" s="131" t="str">
        <f>VLOOKUP(C5,Machined!C:R,10,0)</f>
        <v>Big Sky</v>
      </c>
      <c r="H5" s="131" t="str">
        <f>VLOOKUP(C5,Machined!C:R,11,0)</f>
        <v>$68 ea for Qty 4x on PO 55032; $37.5 ea for 14x on PO 54923</v>
      </c>
      <c r="I5" s="131"/>
      <c r="J5" s="42">
        <f>VLOOKUP(C5,Machined!C:R,12,0)</f>
        <v>45083</v>
      </c>
      <c r="K5" s="42">
        <f>VLOOKUP(C5,Machined!C:R,13,0)</f>
        <v>45084</v>
      </c>
      <c r="L5" s="42">
        <f>VLOOKUP(C5,Machined!C:R,14,0)</f>
        <v>45093</v>
      </c>
      <c r="M5" s="42">
        <f>VLOOKUP(C5,Machined!C:R,15,0)</f>
        <v>45093</v>
      </c>
      <c r="N5" s="43" t="str">
        <f>VLOOKUP(C5,Machined!C:R,16,0)</f>
        <v>54923, 55032</v>
      </c>
      <c r="O5" s="43" t="e">
        <f t="shared" ref="O5" ca="1" si="0">B5*$L$2</f>
        <v>#VALUE!</v>
      </c>
      <c r="P5" s="47">
        <f>IFERROR(VLOOKUP(C5,Machined!C:F,3,0),"")</f>
        <v>37.5</v>
      </c>
      <c r="Q5" s="48">
        <f t="shared" ref="Q5" si="1">IFERROR(B5*P5,"")</f>
        <v>37.5</v>
      </c>
    </row>
    <row r="6" spans="1:17" s="2" customFormat="1" ht="12.75" customHeight="1">
      <c r="A6" s="143"/>
      <c r="B6" s="26"/>
      <c r="C6" s="26"/>
      <c r="D6" s="272"/>
      <c r="E6" s="273"/>
      <c r="F6" s="26"/>
      <c r="G6" s="26"/>
      <c r="H6" s="274"/>
      <c r="I6" s="275"/>
      <c r="J6" s="27"/>
      <c r="K6" s="27"/>
      <c r="L6" s="27"/>
      <c r="M6" s="28"/>
      <c r="N6" s="29"/>
      <c r="O6" s="29"/>
      <c r="P6" s="141"/>
      <c r="Q6" s="142"/>
    </row>
    <row r="7" spans="1:17" s="2" customFormat="1" ht="12.75" customHeight="1">
      <c r="A7" s="4">
        <v>301</v>
      </c>
      <c r="B7" s="2">
        <v>1</v>
      </c>
      <c r="C7" s="114" t="s">
        <v>255</v>
      </c>
      <c r="D7" s="268" t="str">
        <f>VLOOKUP(C7,Purchased!A:B,2,0)</f>
        <v>ELESA LMR.F-80-AS-M16x125</v>
      </c>
      <c r="E7" s="269"/>
      <c r="F7" s="112" t="str">
        <f>VLOOKUP(C7,Purchased!A:Q,9,0)</f>
        <v>ELESA</v>
      </c>
      <c r="G7" s="112" t="str">
        <f>VLOOKUP(C7,Purchased!A:Q,10,0)</f>
        <v>ELESA</v>
      </c>
      <c r="H7" s="112" t="str">
        <f>VLOOKUP(C7,Purchased!A:Q,12,0)</f>
        <v xml:space="preserve"> </v>
      </c>
      <c r="I7" s="113"/>
      <c r="J7" s="44">
        <f>VLOOKUP(C7,Purchased!A:Q,13,0)</f>
        <v>45083</v>
      </c>
      <c r="K7" s="44">
        <f>VLOOKUP(C7,Purchased!A:Q,14,0)</f>
        <v>45084</v>
      </c>
      <c r="L7" s="44">
        <f>VLOOKUP(C7,Purchased!A:Q,15,0)</f>
        <v>45168</v>
      </c>
      <c r="M7" s="44">
        <f>VLOOKUP(C7,Purchased!A:Q,16,0)</f>
        <v>45168</v>
      </c>
      <c r="N7" s="45" t="str">
        <f>VLOOKUP(C7,Purchased!A:Q,17,0)</f>
        <v>42x54922, 8x55056</v>
      </c>
      <c r="O7" s="45" t="e">
        <f t="shared" ref="O7:O8" ca="1" si="2">B7*$L$2</f>
        <v>#VALUE!</v>
      </c>
      <c r="P7" s="49">
        <f>IFERROR(VLOOKUP(C7,Purchased!A:E,3,FALSE),"")</f>
        <v>20.38</v>
      </c>
      <c r="Q7" s="50">
        <f t="shared" ref="Q7:Q8" si="3">IFERROR(B7*P7,"")</f>
        <v>20.38</v>
      </c>
    </row>
    <row r="8" spans="1:17" s="2" customFormat="1" ht="12" customHeight="1">
      <c r="A8" s="4">
        <f t="shared" ref="A8" si="4">A7+1</f>
        <v>302</v>
      </c>
      <c r="B8" s="2">
        <v>4</v>
      </c>
      <c r="C8" s="114" t="s">
        <v>256</v>
      </c>
      <c r="D8" s="268" t="str">
        <f>VLOOKUP(C8,Purchased!A:B,2,0)</f>
        <v>BRX GOTO T-NUT 10 M8</v>
      </c>
      <c r="E8" s="269"/>
      <c r="F8" s="112" t="str">
        <f>VLOOKUP(C8,Purchased!A:Q,9,0)</f>
        <v>BRX</v>
      </c>
      <c r="G8" s="112" t="str">
        <f>VLOOKUP(C8,Purchased!A:Q,10,0)</f>
        <v>AAP</v>
      </c>
      <c r="H8" s="112" t="str">
        <f>VLOOKUP(C8,Purchased!A:Q,12,0)</f>
        <v xml:space="preserve">  </v>
      </c>
      <c r="I8" s="113"/>
      <c r="J8" s="44">
        <f>VLOOKUP(C8,Purchased!A:Q,13,0)</f>
        <v>45104</v>
      </c>
      <c r="K8" s="44">
        <f>VLOOKUP(C8,Purchased!A:Q,14,0)</f>
        <v>45105</v>
      </c>
      <c r="L8" s="44">
        <f>VLOOKUP(C8,Purchased!A:Q,15,0)</f>
        <v>45133</v>
      </c>
      <c r="M8" s="44">
        <f>VLOOKUP(C8,Purchased!A:Q,16,0)</f>
        <v>45133</v>
      </c>
      <c r="N8" s="45" t="str">
        <f>VLOOKUP(C8,Purchased!A:Q,17,0)</f>
        <v>54968, 55147</v>
      </c>
      <c r="O8" s="45" t="e">
        <f t="shared" ca="1" si="2"/>
        <v>#VALUE!</v>
      </c>
      <c r="P8" s="49">
        <f>IFERROR(VLOOKUP(C8,Purchased!A:E,3,FALSE),"")</f>
        <v>0.64290000000000003</v>
      </c>
      <c r="Q8" s="50">
        <f t="shared" si="3"/>
        <v>2.5716000000000001</v>
      </c>
    </row>
    <row r="9" spans="1:17" s="2" customFormat="1" ht="12.75" customHeight="1">
      <c r="A9" s="25"/>
      <c r="B9" s="26"/>
      <c r="C9" s="26"/>
      <c r="D9" s="272"/>
      <c r="E9" s="273"/>
      <c r="F9" s="26"/>
      <c r="G9" s="26"/>
      <c r="H9" s="274"/>
      <c r="I9" s="275"/>
      <c r="J9" s="27"/>
      <c r="K9" s="27"/>
      <c r="L9" s="27"/>
      <c r="M9" s="28"/>
      <c r="N9" s="29"/>
      <c r="O9" s="29" t="e">
        <f t="shared" ref="O9:O10" ca="1" si="5">B9*$L$2</f>
        <v>#VALUE!</v>
      </c>
      <c r="P9" s="141"/>
      <c r="Q9" s="142"/>
    </row>
    <row r="10" spans="1:17" s="2" customFormat="1" ht="12.75" customHeight="1" thickBot="1">
      <c r="A10" s="4">
        <v>501</v>
      </c>
      <c r="B10" s="2">
        <v>4</v>
      </c>
      <c r="C10" s="110" t="s">
        <v>257</v>
      </c>
      <c r="D10" s="268"/>
      <c r="E10" s="276"/>
      <c r="F10" s="112" t="str">
        <f>VLOOKUP(C10,Bolts!A:L,5,0)</f>
        <v xml:space="preserve">  </v>
      </c>
      <c r="G10" s="112" t="str">
        <f>VLOOKUP(C10,Bolts!A:L,6,0)</f>
        <v>Monroe Fasteners</v>
      </c>
      <c r="H10" s="112" t="str">
        <f>VLOOKUP(C10,Bolts!A:L,7,0)</f>
        <v xml:space="preserve">  </v>
      </c>
      <c r="I10" s="112"/>
      <c r="J10" s="44" t="str">
        <f>VLOOKUP(C10,Bolts!A:L,8,0)</f>
        <v xml:space="preserve"> </v>
      </c>
      <c r="K10" s="44" t="str">
        <f>VLOOKUP(C10,Bolts!A:L,9,0)</f>
        <v xml:space="preserve"> </v>
      </c>
      <c r="L10" s="44" t="str">
        <f>VLOOKUP(C10,Bolts!A:L,10,0)</f>
        <v xml:space="preserve"> </v>
      </c>
      <c r="M10" s="44" t="str">
        <f>VLOOKUP(C10,Bolts!A:L,11,0)</f>
        <v xml:space="preserve"> </v>
      </c>
      <c r="N10" s="45" t="str">
        <f>VLOOKUP(C10,Bolts!A:L,12,0)</f>
        <v xml:space="preserve"> </v>
      </c>
      <c r="O10" s="45" t="e">
        <f t="shared" ca="1" si="5"/>
        <v>#VALUE!</v>
      </c>
      <c r="P10" s="49" t="str">
        <f>IFERROR(VLOOKUP(C10,Bolts!A:B,2,FALSE),"")</f>
        <v xml:space="preserve"> </v>
      </c>
      <c r="Q10" s="50" t="str">
        <f t="shared" ref="Q10" si="6">IFERROR(B10*P10,"")</f>
        <v/>
      </c>
    </row>
    <row r="11" spans="1:17" s="2" customFormat="1" ht="12.75" customHeight="1" thickBot="1">
      <c r="A11" s="34"/>
      <c r="B11" s="35"/>
      <c r="C11" s="35"/>
      <c r="D11" s="256"/>
      <c r="E11" s="257"/>
      <c r="F11" s="35"/>
      <c r="G11" s="35"/>
      <c r="H11" s="294"/>
      <c r="I11" s="295"/>
      <c r="J11" s="36"/>
      <c r="K11" s="36"/>
      <c r="L11" s="36"/>
      <c r="M11" s="37"/>
      <c r="N11" s="38"/>
      <c r="O11" s="38"/>
      <c r="P11" s="89" t="s">
        <v>43</v>
      </c>
      <c r="Q11" s="94">
        <f>SUM(Q5:Q10)</f>
        <v>60.451599999999999</v>
      </c>
    </row>
    <row r="12" spans="1:17" s="2" customFormat="1" ht="12" customHeight="1">
      <c r="D12" s="22"/>
      <c r="E12" s="22"/>
      <c r="J12" s="8"/>
      <c r="K12" s="8"/>
      <c r="L12" s="8"/>
      <c r="M12" s="8"/>
      <c r="N12" s="5"/>
      <c r="O12" s="5"/>
      <c r="P12" s="88"/>
      <c r="Q12" s="95"/>
    </row>
    <row r="13" spans="1:17" s="2" customFormat="1" ht="12" customHeight="1">
      <c r="D13" s="22"/>
      <c r="E13" s="22"/>
      <c r="J13" s="5"/>
      <c r="K13" s="5"/>
      <c r="L13" s="5"/>
      <c r="M13" s="5"/>
      <c r="N13" s="5"/>
      <c r="O13" s="5"/>
      <c r="P13" s="88"/>
      <c r="Q13" s="95"/>
    </row>
    <row r="14" spans="1:17" s="2" customFormat="1" ht="12" customHeight="1">
      <c r="D14" s="22"/>
      <c r="E14" s="22"/>
      <c r="J14" s="5"/>
      <c r="K14" s="5"/>
      <c r="L14" s="5"/>
      <c r="M14" s="5"/>
      <c r="N14" s="5"/>
      <c r="O14" s="5"/>
      <c r="P14" s="88"/>
      <c r="Q14" s="95"/>
    </row>
    <row r="15" spans="1:17" s="2" customFormat="1" ht="12" customHeight="1">
      <c r="D15" s="22"/>
      <c r="E15" s="22"/>
      <c r="J15" s="5"/>
      <c r="K15" s="5"/>
      <c r="L15" s="5"/>
      <c r="M15" s="5"/>
      <c r="N15" s="5"/>
      <c r="O15" s="5"/>
      <c r="P15" s="88"/>
      <c r="Q15" s="95"/>
    </row>
    <row r="16" spans="1:17" s="2" customFormat="1" ht="12" customHeight="1">
      <c r="D16" s="22"/>
      <c r="E16" s="22"/>
      <c r="J16" s="5"/>
      <c r="K16" s="5"/>
      <c r="L16" s="5"/>
      <c r="M16" s="5"/>
      <c r="N16" s="5"/>
      <c r="O16" s="5"/>
      <c r="P16" s="88"/>
      <c r="Q16" s="95"/>
    </row>
    <row r="17" spans="4:17" s="2" customFormat="1" ht="12" customHeight="1">
      <c r="D17" s="22"/>
      <c r="E17" s="22"/>
      <c r="J17" s="5"/>
      <c r="K17" s="5"/>
      <c r="L17" s="5"/>
      <c r="M17" s="5"/>
      <c r="N17" s="5"/>
      <c r="O17" s="5"/>
      <c r="P17" s="88"/>
      <c r="Q17" s="95"/>
    </row>
    <row r="18" spans="4:17" s="2" customFormat="1" ht="12" customHeight="1">
      <c r="D18" s="22"/>
      <c r="E18" s="22"/>
      <c r="J18" s="5"/>
      <c r="K18" s="5"/>
      <c r="L18" s="5"/>
      <c r="M18" s="5"/>
      <c r="N18" s="5"/>
      <c r="O18" s="5"/>
      <c r="P18" s="88"/>
      <c r="Q18" s="95"/>
    </row>
    <row r="19" spans="4:17" s="2" customFormat="1" ht="12" customHeight="1">
      <c r="D19" s="22"/>
      <c r="E19" s="22"/>
      <c r="J19" s="5"/>
      <c r="K19" s="5"/>
      <c r="L19" s="5"/>
      <c r="M19" s="5"/>
      <c r="N19" s="5"/>
      <c r="O19" s="5"/>
      <c r="P19" s="88"/>
      <c r="Q19" s="95"/>
    </row>
    <row r="20" spans="4:17" s="2" customFormat="1" ht="12" customHeight="1">
      <c r="D20" s="22"/>
      <c r="E20" s="22"/>
      <c r="J20" s="5"/>
      <c r="K20" s="5"/>
      <c r="L20" s="5"/>
      <c r="M20" s="5"/>
      <c r="N20" s="5"/>
      <c r="O20" s="5"/>
      <c r="P20" s="88"/>
      <c r="Q20" s="95"/>
    </row>
    <row r="21" spans="4:17" s="2" customFormat="1" ht="12" customHeight="1">
      <c r="D21" s="22"/>
      <c r="E21" s="22"/>
      <c r="J21" s="5"/>
      <c r="K21" s="5"/>
      <c r="L21" s="5"/>
      <c r="M21" s="5"/>
      <c r="N21" s="5"/>
      <c r="O21" s="5"/>
      <c r="P21" s="88"/>
      <c r="Q21" s="95"/>
    </row>
    <row r="22" spans="4:17" s="2" customFormat="1" ht="12" customHeight="1">
      <c r="D22" s="22"/>
      <c r="E22" s="22"/>
      <c r="J22" s="5"/>
      <c r="K22" s="5"/>
      <c r="L22" s="5"/>
      <c r="M22" s="5"/>
      <c r="N22" s="5"/>
      <c r="O22" s="5"/>
      <c r="P22" s="88"/>
      <c r="Q22" s="95"/>
    </row>
    <row r="23" spans="4:17" s="2" customFormat="1" ht="12" customHeight="1">
      <c r="D23" s="22"/>
      <c r="E23" s="22"/>
      <c r="J23" s="5"/>
      <c r="K23" s="5"/>
      <c r="L23" s="5"/>
      <c r="M23" s="5"/>
      <c r="N23" s="5"/>
      <c r="O23" s="5"/>
      <c r="P23" s="88"/>
      <c r="Q23" s="95"/>
    </row>
    <row r="24" spans="4:17" s="2" customFormat="1" ht="12" customHeight="1">
      <c r="D24" s="22"/>
      <c r="E24" s="22"/>
      <c r="J24" s="5"/>
      <c r="K24" s="5"/>
      <c r="L24" s="5"/>
      <c r="M24" s="5"/>
      <c r="N24" s="5"/>
      <c r="O24" s="5"/>
      <c r="P24" s="88"/>
      <c r="Q24" s="95"/>
    </row>
    <row r="25" spans="4:17" s="2" customFormat="1" ht="12" customHeight="1">
      <c r="D25" s="22"/>
      <c r="E25" s="22"/>
      <c r="J25" s="5"/>
      <c r="K25" s="5"/>
      <c r="L25" s="5"/>
      <c r="M25" s="5"/>
      <c r="N25" s="5"/>
      <c r="O25" s="5"/>
      <c r="P25" s="88"/>
      <c r="Q25" s="95"/>
    </row>
    <row r="26" spans="4:17" s="2" customFormat="1" ht="12" customHeight="1">
      <c r="D26" s="22"/>
      <c r="E26" s="22"/>
      <c r="J26" s="5"/>
      <c r="K26" s="5"/>
      <c r="L26" s="5"/>
      <c r="M26" s="5"/>
      <c r="N26" s="5"/>
      <c r="O26" s="5"/>
      <c r="P26" s="88"/>
      <c r="Q26" s="95"/>
    </row>
    <row r="27" spans="4:17" s="2" customFormat="1" ht="12" customHeight="1">
      <c r="D27" s="22"/>
      <c r="E27" s="22"/>
      <c r="J27" s="5"/>
      <c r="K27" s="5"/>
      <c r="L27" s="5"/>
      <c r="M27" s="5"/>
      <c r="N27" s="5"/>
      <c r="O27" s="5"/>
      <c r="P27" s="88"/>
      <c r="Q27" s="95"/>
    </row>
    <row r="28" spans="4:17" s="2" customFormat="1" ht="12" customHeight="1">
      <c r="D28" s="22"/>
      <c r="E28" s="22"/>
      <c r="J28" s="5"/>
      <c r="K28" s="5"/>
      <c r="L28" s="5"/>
      <c r="M28" s="5"/>
      <c r="N28" s="5"/>
      <c r="O28" s="5"/>
      <c r="P28" s="88"/>
      <c r="Q28" s="95"/>
    </row>
    <row r="29" spans="4:17" s="2" customFormat="1" ht="12" customHeight="1">
      <c r="D29" s="22"/>
      <c r="E29" s="22"/>
      <c r="J29" s="5"/>
      <c r="K29" s="5"/>
      <c r="L29" s="5"/>
      <c r="M29" s="5"/>
      <c r="N29" s="5"/>
      <c r="O29" s="5"/>
      <c r="P29" s="88"/>
      <c r="Q29" s="95"/>
    </row>
    <row r="30" spans="4:17" s="2" customFormat="1" ht="12" customHeight="1">
      <c r="D30" s="22"/>
      <c r="E30" s="22"/>
      <c r="J30" s="5"/>
      <c r="K30" s="5"/>
      <c r="L30" s="5"/>
      <c r="M30" s="5"/>
      <c r="N30" s="5"/>
      <c r="O30" s="5"/>
      <c r="P30" s="88"/>
      <c r="Q30" s="95"/>
    </row>
    <row r="31" spans="4:17" s="2" customFormat="1" ht="12" customHeight="1">
      <c r="D31" s="22"/>
      <c r="E31" s="22"/>
      <c r="J31" s="5"/>
      <c r="K31" s="5"/>
      <c r="L31" s="5"/>
      <c r="M31" s="5"/>
      <c r="N31" s="5"/>
      <c r="O31" s="5"/>
      <c r="P31" s="88"/>
      <c r="Q31" s="95"/>
    </row>
    <row r="32" spans="4:17" s="2" customFormat="1" ht="12" customHeight="1">
      <c r="D32" s="22"/>
      <c r="E32" s="22"/>
      <c r="J32" s="5"/>
      <c r="K32" s="5"/>
      <c r="L32" s="5"/>
      <c r="M32" s="5"/>
      <c r="N32" s="5"/>
      <c r="O32" s="5"/>
      <c r="P32" s="88"/>
      <c r="Q32" s="95"/>
    </row>
    <row r="33" spans="4:17" s="2" customFormat="1" ht="12" customHeight="1">
      <c r="D33" s="22"/>
      <c r="E33" s="22"/>
      <c r="J33" s="5"/>
      <c r="K33" s="5"/>
      <c r="L33" s="5"/>
      <c r="M33" s="5"/>
      <c r="N33" s="5"/>
      <c r="O33" s="5"/>
      <c r="P33" s="88"/>
      <c r="Q33" s="95"/>
    </row>
    <row r="34" spans="4:17" s="2" customFormat="1" ht="12" customHeight="1">
      <c r="D34" s="22"/>
      <c r="E34" s="22"/>
      <c r="J34" s="5"/>
      <c r="K34" s="5"/>
      <c r="L34" s="5"/>
      <c r="M34" s="5"/>
      <c r="N34" s="5"/>
      <c r="O34" s="5"/>
      <c r="P34" s="88"/>
      <c r="Q34" s="95"/>
    </row>
    <row r="35" spans="4:17" s="2" customFormat="1" ht="12" customHeight="1">
      <c r="D35" s="22"/>
      <c r="E35" s="22"/>
      <c r="J35" s="5"/>
      <c r="K35" s="5"/>
      <c r="L35" s="5"/>
      <c r="M35" s="5"/>
      <c r="N35" s="5"/>
      <c r="O35" s="5"/>
      <c r="P35" s="88"/>
      <c r="Q35" s="95"/>
    </row>
    <row r="36" spans="4:17" s="2" customFormat="1" ht="12" customHeight="1">
      <c r="D36" s="22"/>
      <c r="E36" s="22"/>
      <c r="J36" s="5"/>
      <c r="K36" s="5"/>
      <c r="L36" s="5"/>
      <c r="M36" s="5"/>
      <c r="N36" s="5"/>
      <c r="O36" s="5"/>
      <c r="P36" s="88"/>
      <c r="Q36" s="95"/>
    </row>
    <row r="37" spans="4:17" s="2" customFormat="1" ht="12" customHeight="1">
      <c r="D37" s="22"/>
      <c r="E37" s="22"/>
      <c r="J37" s="5"/>
      <c r="K37" s="5"/>
      <c r="L37" s="5"/>
      <c r="M37" s="5"/>
      <c r="N37" s="5"/>
      <c r="O37" s="5"/>
      <c r="P37" s="88"/>
      <c r="Q37" s="95"/>
    </row>
    <row r="38" spans="4:17" s="2" customFormat="1" ht="12" customHeight="1">
      <c r="D38" s="22"/>
      <c r="E38" s="22"/>
      <c r="J38" s="5"/>
      <c r="K38" s="5"/>
      <c r="L38" s="5"/>
      <c r="M38" s="5"/>
      <c r="N38" s="5"/>
      <c r="O38" s="5"/>
      <c r="P38" s="88"/>
      <c r="Q38" s="95"/>
    </row>
    <row r="39" spans="4:17" s="2" customFormat="1" ht="12" customHeight="1">
      <c r="D39" s="22"/>
      <c r="E39" s="22"/>
      <c r="J39" s="5"/>
      <c r="K39" s="5"/>
      <c r="L39" s="5"/>
      <c r="M39" s="5"/>
      <c r="N39" s="5"/>
      <c r="O39" s="5"/>
      <c r="P39" s="88"/>
      <c r="Q39" s="95"/>
    </row>
    <row r="40" spans="4:17" s="2" customFormat="1" ht="12" customHeight="1">
      <c r="D40" s="22"/>
      <c r="E40" s="22"/>
      <c r="J40" s="5"/>
      <c r="K40" s="5"/>
      <c r="L40" s="5"/>
      <c r="M40" s="5"/>
      <c r="N40" s="5"/>
      <c r="O40" s="5"/>
      <c r="P40" s="88"/>
      <c r="Q40" s="95"/>
    </row>
    <row r="41" spans="4:17" s="2" customFormat="1" ht="12" customHeight="1">
      <c r="D41" s="22"/>
      <c r="E41" s="22"/>
      <c r="J41" s="5"/>
      <c r="K41" s="5"/>
      <c r="L41" s="5"/>
      <c r="M41" s="5"/>
      <c r="N41" s="5"/>
      <c r="O41" s="5"/>
      <c r="P41" s="88"/>
      <c r="Q41" s="95"/>
    </row>
    <row r="42" spans="4:17" s="2" customFormat="1" ht="12" customHeight="1">
      <c r="D42" s="22"/>
      <c r="E42" s="22"/>
      <c r="J42" s="5"/>
      <c r="K42" s="5"/>
      <c r="L42" s="5"/>
      <c r="M42" s="5"/>
      <c r="N42" s="5"/>
      <c r="O42" s="5"/>
      <c r="P42" s="88"/>
      <c r="Q42" s="95"/>
    </row>
    <row r="43" spans="4:17" s="2" customFormat="1" ht="12" customHeight="1">
      <c r="D43" s="22"/>
      <c r="E43" s="22"/>
      <c r="J43" s="5"/>
      <c r="K43" s="5"/>
      <c r="L43" s="5"/>
      <c r="M43" s="5"/>
      <c r="N43" s="5"/>
      <c r="O43" s="5"/>
      <c r="P43" s="88"/>
      <c r="Q43" s="95"/>
    </row>
    <row r="44" spans="4:17" s="2" customFormat="1" ht="12" customHeight="1">
      <c r="D44" s="22"/>
      <c r="E44" s="22"/>
      <c r="J44" s="5"/>
      <c r="K44" s="5"/>
      <c r="L44" s="5"/>
      <c r="M44" s="5"/>
      <c r="N44" s="5"/>
      <c r="O44" s="5"/>
      <c r="P44" s="88"/>
      <c r="Q44" s="95"/>
    </row>
    <row r="45" spans="4:17" s="2" customFormat="1" ht="12" customHeight="1">
      <c r="D45" s="22"/>
      <c r="E45" s="22"/>
      <c r="J45" s="5"/>
      <c r="K45" s="5"/>
      <c r="L45" s="5"/>
      <c r="M45" s="5"/>
      <c r="N45" s="5"/>
      <c r="O45" s="5"/>
      <c r="P45" s="88"/>
      <c r="Q45" s="95"/>
    </row>
    <row r="46" spans="4:17" s="2" customFormat="1" ht="12" customHeight="1">
      <c r="D46" s="22"/>
      <c r="E46" s="22"/>
      <c r="J46" s="5"/>
      <c r="K46" s="5"/>
      <c r="L46" s="5"/>
      <c r="M46" s="5"/>
      <c r="N46" s="5"/>
      <c r="O46" s="5"/>
      <c r="P46" s="88"/>
      <c r="Q46" s="95"/>
    </row>
    <row r="47" spans="4:17" s="2" customFormat="1" ht="12" customHeight="1">
      <c r="D47" s="22"/>
      <c r="E47" s="22"/>
      <c r="J47" s="5"/>
      <c r="K47" s="5"/>
      <c r="L47" s="5"/>
      <c r="M47" s="5"/>
      <c r="N47" s="5"/>
      <c r="O47" s="5"/>
      <c r="P47" s="88"/>
      <c r="Q47" s="95"/>
    </row>
    <row r="48" spans="4:17" s="2" customFormat="1" ht="12" customHeight="1">
      <c r="D48" s="22"/>
      <c r="E48" s="22"/>
      <c r="J48" s="5"/>
      <c r="K48" s="5"/>
      <c r="L48" s="5"/>
      <c r="M48" s="5"/>
      <c r="N48" s="5"/>
      <c r="O48" s="5"/>
      <c r="P48" s="88"/>
      <c r="Q48" s="95"/>
    </row>
    <row r="49" spans="1:17" s="2" customFormat="1" ht="12" customHeight="1">
      <c r="D49" s="22"/>
      <c r="E49" s="22"/>
      <c r="J49" s="5"/>
      <c r="K49" s="5"/>
      <c r="L49" s="5"/>
      <c r="M49" s="5"/>
      <c r="N49" s="5"/>
      <c r="O49" s="5"/>
      <c r="P49" s="88"/>
      <c r="Q49" s="95"/>
    </row>
    <row r="50" spans="1:17" s="2" customFormat="1" ht="12" customHeight="1">
      <c r="D50" s="22"/>
      <c r="E50" s="22"/>
      <c r="J50" s="5"/>
      <c r="K50" s="5"/>
      <c r="L50" s="5"/>
      <c r="M50" s="5"/>
      <c r="N50" s="5"/>
      <c r="O50" s="5"/>
      <c r="P50" s="88"/>
      <c r="Q50" s="96"/>
    </row>
    <row r="51" spans="1:17" s="2" customFormat="1" ht="12" customHeight="1">
      <c r="D51" s="22"/>
      <c r="E51" s="22"/>
      <c r="J51" s="5"/>
      <c r="K51" s="5"/>
      <c r="L51" s="5"/>
      <c r="M51" s="5"/>
      <c r="N51" s="5"/>
      <c r="O51" s="5"/>
      <c r="P51" s="88"/>
      <c r="Q51" s="96"/>
    </row>
    <row r="52" spans="1:17" s="2" customFormat="1" ht="12" customHeight="1">
      <c r="D52" s="22"/>
      <c r="E52" s="22"/>
      <c r="J52" s="5"/>
      <c r="K52" s="5"/>
      <c r="L52" s="5"/>
      <c r="M52" s="5"/>
      <c r="N52" s="5"/>
      <c r="O52" s="5"/>
      <c r="P52" s="88"/>
      <c r="Q52" s="96"/>
    </row>
    <row r="53" spans="1:17" s="2" customFormat="1" ht="12" customHeight="1">
      <c r="D53" s="22"/>
      <c r="E53" s="22"/>
      <c r="J53" s="5"/>
      <c r="K53" s="5"/>
      <c r="L53" s="5"/>
      <c r="M53" s="5"/>
      <c r="N53" s="5"/>
      <c r="O53" s="5"/>
      <c r="P53" s="88"/>
      <c r="Q53" s="96"/>
    </row>
    <row r="54" spans="1:17" s="2" customFormat="1" ht="12" customHeight="1">
      <c r="A54"/>
      <c r="B54"/>
      <c r="C54"/>
      <c r="D54" s="23"/>
      <c r="E54" s="23"/>
      <c r="F54"/>
      <c r="G54"/>
      <c r="H54"/>
      <c r="I54"/>
      <c r="J54" s="19"/>
      <c r="K54" s="19"/>
      <c r="L54" s="19"/>
      <c r="M54" s="19"/>
      <c r="N54" s="19"/>
      <c r="O54" s="19"/>
      <c r="P54" s="90"/>
      <c r="Q54" s="96"/>
    </row>
    <row r="55" spans="1:17" s="2" customFormat="1" ht="12" customHeight="1">
      <c r="A55"/>
      <c r="B55"/>
      <c r="C55"/>
      <c r="D55" s="23"/>
      <c r="E55" s="23"/>
      <c r="F55"/>
      <c r="G55"/>
      <c r="H55"/>
      <c r="I55"/>
      <c r="J55" s="19"/>
      <c r="K55" s="19"/>
      <c r="L55" s="19"/>
      <c r="M55" s="19"/>
      <c r="N55" s="19"/>
      <c r="O55" s="19"/>
      <c r="P55" s="90"/>
      <c r="Q55" s="96"/>
    </row>
    <row r="56" spans="1:17" s="2" customFormat="1" ht="12" customHeight="1">
      <c r="A56"/>
      <c r="B56"/>
      <c r="C56"/>
      <c r="D56" s="23"/>
      <c r="E56" s="23"/>
      <c r="F56"/>
      <c r="G56"/>
      <c r="H56"/>
      <c r="I56"/>
      <c r="J56" s="19"/>
      <c r="K56" s="19"/>
      <c r="L56" s="19"/>
      <c r="M56" s="19"/>
      <c r="N56" s="19"/>
      <c r="O56" s="19"/>
      <c r="P56" s="90"/>
      <c r="Q56" s="96"/>
    </row>
    <row r="57" spans="1:17" s="2" customFormat="1" ht="12" customHeight="1">
      <c r="A57"/>
      <c r="B57"/>
      <c r="C57"/>
      <c r="D57" s="23"/>
      <c r="E57" s="23"/>
      <c r="F57"/>
      <c r="G57"/>
      <c r="H57"/>
      <c r="I57"/>
      <c r="J57" s="19"/>
      <c r="K57" s="19"/>
      <c r="L57" s="19"/>
      <c r="M57" s="19"/>
      <c r="N57" s="19"/>
      <c r="O57" s="19"/>
      <c r="P57" s="90"/>
      <c r="Q57" s="96"/>
    </row>
    <row r="58" spans="1:17" s="2" customFormat="1" ht="12" customHeight="1">
      <c r="A58"/>
      <c r="B58"/>
      <c r="C58"/>
      <c r="D58" s="23"/>
      <c r="E58" s="23"/>
      <c r="F58"/>
      <c r="G58"/>
      <c r="H58"/>
      <c r="I58"/>
      <c r="J58" s="19"/>
      <c r="K58" s="19"/>
      <c r="L58" s="19"/>
      <c r="M58" s="19"/>
      <c r="N58" s="19"/>
      <c r="O58" s="19"/>
      <c r="P58" s="90"/>
      <c r="Q58" s="96"/>
    </row>
    <row r="59" spans="1:17">
      <c r="Q59" s="96"/>
    </row>
    <row r="60" spans="1:17">
      <c r="Q60" s="96"/>
    </row>
    <row r="61" spans="1:17">
      <c r="Q61" s="96"/>
    </row>
    <row r="62" spans="1:17">
      <c r="Q62" s="96"/>
    </row>
    <row r="63" spans="1:17">
      <c r="Q63" s="96"/>
    </row>
    <row r="64" spans="1:17">
      <c r="Q64" s="96"/>
    </row>
    <row r="65" spans="17:17">
      <c r="Q65" s="96"/>
    </row>
    <row r="66" spans="17:17">
      <c r="Q66" s="96"/>
    </row>
    <row r="67" spans="17:17">
      <c r="Q67" s="96"/>
    </row>
    <row r="68" spans="17:17">
      <c r="Q68" s="96"/>
    </row>
    <row r="69" spans="17:17">
      <c r="Q69" s="96"/>
    </row>
    <row r="70" spans="17:17">
      <c r="Q70" s="96"/>
    </row>
    <row r="71" spans="17:17">
      <c r="Q71" s="96"/>
    </row>
    <row r="72" spans="17:17">
      <c r="Q72" s="96"/>
    </row>
    <row r="73" spans="17:17">
      <c r="Q73" s="96"/>
    </row>
    <row r="74" spans="17:17">
      <c r="Q74" s="96"/>
    </row>
    <row r="75" spans="17:17">
      <c r="Q75" s="96"/>
    </row>
    <row r="76" spans="17:17">
      <c r="Q76" s="96"/>
    </row>
    <row r="77" spans="17:17">
      <c r="Q77" s="96"/>
    </row>
    <row r="78" spans="17:17">
      <c r="Q78" s="96"/>
    </row>
    <row r="115" ht="12" customHeight="1"/>
    <row r="116" ht="12" customHeight="1"/>
    <row r="117" ht="12" customHeight="1"/>
    <row r="118" ht="12" customHeight="1"/>
    <row r="119" ht="12" customHeight="1"/>
    <row r="120" ht="12" customHeight="1"/>
    <row r="121" ht="12" customHeight="1"/>
    <row r="122" ht="12" customHeight="1"/>
    <row r="123" ht="12" customHeight="1"/>
    <row r="124" ht="12" customHeight="1"/>
    <row r="125" ht="12" customHeight="1"/>
    <row r="126" ht="12" customHeight="1"/>
    <row r="127" ht="12" customHeight="1"/>
    <row r="128" ht="12" customHeight="1"/>
    <row r="129" ht="12" customHeight="1"/>
    <row r="130" ht="12" customHeight="1"/>
    <row r="131" ht="12" customHeight="1"/>
    <row r="132" ht="12" customHeight="1"/>
    <row r="133" ht="12" customHeight="1"/>
    <row r="134" ht="12" customHeight="1"/>
    <row r="135" ht="12" customHeight="1"/>
    <row r="136" ht="12" customHeight="1"/>
    <row r="137" ht="12" customHeight="1"/>
    <row r="138" ht="12" customHeight="1"/>
    <row r="139" ht="12" customHeight="1"/>
    <row r="140" ht="12" customHeight="1"/>
    <row r="141" ht="12" customHeight="1"/>
    <row r="142" ht="12" customHeight="1"/>
    <row r="143" ht="12" customHeight="1"/>
    <row r="144" ht="12" customHeight="1"/>
    <row r="145" ht="12" customHeight="1"/>
    <row r="146" ht="12" customHeight="1"/>
    <row r="147" ht="12" customHeight="1"/>
    <row r="148" ht="12" customHeight="1"/>
    <row r="149" ht="12" customHeight="1"/>
    <row r="150" ht="12" customHeight="1"/>
    <row r="151" ht="12" customHeight="1"/>
    <row r="152" ht="12" customHeight="1"/>
    <row r="153" ht="12" customHeight="1"/>
    <row r="154" ht="12" customHeight="1"/>
    <row r="155" ht="12" customHeight="1"/>
    <row r="156" ht="12" customHeight="1"/>
    <row r="157" ht="12" customHeight="1"/>
    <row r="158" ht="12" customHeight="1"/>
    <row r="159" ht="12" customHeight="1"/>
    <row r="160" ht="12" customHeight="1"/>
    <row r="161" ht="12" customHeight="1"/>
    <row r="162" ht="12" customHeight="1"/>
    <row r="163" ht="12" customHeight="1"/>
    <row r="164" ht="12" customHeight="1"/>
  </sheetData>
  <mergeCells count="13">
    <mergeCell ref="D1:E1"/>
    <mergeCell ref="D4:E4"/>
    <mergeCell ref="D11:E11"/>
    <mergeCell ref="H11:I11"/>
    <mergeCell ref="D10:E10"/>
    <mergeCell ref="D9:E9"/>
    <mergeCell ref="H9:I9"/>
    <mergeCell ref="H4:I4"/>
    <mergeCell ref="D6:E6"/>
    <mergeCell ref="H6:I6"/>
    <mergeCell ref="D7:E7"/>
    <mergeCell ref="D8:E8"/>
    <mergeCell ref="D5:E5"/>
  </mergeCells>
  <conditionalFormatting sqref="M5">
    <cfRule type="cellIs" dxfId="633" priority="1" stopIfTrue="1" operator="lessThanOrEqual">
      <formula>$L5</formula>
    </cfRule>
    <cfRule type="cellIs" dxfId="632" priority="2" operator="greaterThan">
      <formula>L5</formula>
    </cfRule>
  </conditionalFormatting>
  <conditionalFormatting sqref="M7:M8 M10">
    <cfRule type="cellIs" dxfId="631" priority="3" stopIfTrue="1" operator="lessThanOrEqual">
      <formula>$L7</formula>
    </cfRule>
    <cfRule type="cellIs" dxfId="630" priority="4" operator="greaterThan">
      <formula>L7</formula>
    </cfRule>
  </conditionalFormatting>
  <pageMargins left="0.7" right="0.7" top="0.75" bottom="0.75" header="0.3" footer="0.3"/>
  <pageSetup paperSize="3" fitToHeight="0" orientation="landscape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463ED0F-4567-4761-AC9F-75F6C5418122}">
          <x14:formula1>
            <xm:f>Bolts!$A:$A</xm:f>
          </x14:formula1>
          <xm:sqref>C10</xm:sqref>
        </x14:dataValidation>
        <x14:dataValidation type="list" allowBlank="1" showInputMessage="1" showErrorMessage="1" xr:uid="{8BC158A0-3443-42F4-9185-3BACBE2B0B5D}">
          <x14:formula1>
            <xm:f>Purchased!$A:$A</xm:f>
          </x14:formula1>
          <xm:sqref>C7:C8</xm:sqref>
        </x14:dataValidation>
        <x14:dataValidation type="list" allowBlank="1" showInputMessage="1" showErrorMessage="1" xr:uid="{E379F9C3-6141-4A34-A80D-E9B2934D2049}">
          <x14:formula1>
            <xm:f>Machined!$C:$C</xm:f>
          </x14:formula1>
          <xm:sqref>C5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AF67D4-D2E8-4587-993D-ACFD3F82D5E4}">
  <sheetPr codeName="Sheet15">
    <tabColor theme="3" tint="0.79998168889431442"/>
    <pageSetUpPr fitToPage="1"/>
  </sheetPr>
  <dimension ref="A1:Q163"/>
  <sheetViews>
    <sheetView zoomScaleNormal="100" workbookViewId="0">
      <selection activeCell="G23" sqref="G23"/>
    </sheetView>
  </sheetViews>
  <sheetFormatPr defaultColWidth="9.140625" defaultRowHeight="15"/>
  <cols>
    <col min="1" max="1" width="5.7109375" customWidth="1"/>
    <col min="2" max="2" width="5.42578125" bestFit="1" customWidth="1"/>
    <col min="3" max="3" width="30.7109375" customWidth="1"/>
    <col min="4" max="5" width="20.7109375" style="23" customWidth="1"/>
    <col min="6" max="6" width="16.85546875" bestFit="1" customWidth="1"/>
    <col min="7" max="7" width="9.7109375" customWidth="1"/>
    <col min="8" max="8" width="8.7109375" customWidth="1"/>
    <col min="9" max="9" width="20.7109375" customWidth="1"/>
    <col min="10" max="13" width="11.7109375" style="19" customWidth="1"/>
    <col min="14" max="14" width="11.85546875" style="19" bestFit="1" customWidth="1"/>
    <col min="15" max="15" width="7.7109375" style="19" customWidth="1"/>
    <col min="16" max="16" width="10.7109375" style="90" customWidth="1"/>
    <col min="17" max="17" width="10.7109375" style="97" customWidth="1"/>
  </cols>
  <sheetData>
    <row r="1" spans="1:17" s="55" customFormat="1" ht="12" customHeight="1">
      <c r="A1" s="68" t="s">
        <v>0</v>
      </c>
      <c r="B1" s="69"/>
      <c r="C1" s="69"/>
      <c r="D1" s="262" t="s">
        <v>1</v>
      </c>
      <c r="E1" s="263"/>
      <c r="F1" s="70"/>
      <c r="G1" s="69"/>
      <c r="H1" s="70"/>
      <c r="I1" s="71"/>
      <c r="J1" s="72"/>
      <c r="K1" s="72"/>
      <c r="L1" s="72"/>
      <c r="M1" s="72"/>
      <c r="N1" s="72"/>
      <c r="O1" s="72"/>
      <c r="P1" s="85"/>
      <c r="Q1" s="91"/>
    </row>
    <row r="2" spans="1:17" s="55" customFormat="1" ht="12" customHeight="1">
      <c r="A2" s="74" t="s">
        <v>48</v>
      </c>
      <c r="B2" s="58"/>
      <c r="C2" s="57" t="e">
        <f ca="1">VLOOKUP(E3,Assemblies!B:F,4,0)</f>
        <v>#VALUE!</v>
      </c>
      <c r="D2" s="75" t="s">
        <v>3</v>
      </c>
      <c r="E2" s="76" t="e">
        <f ca="1">'GF12'!E2</f>
        <v>#VALUE!</v>
      </c>
      <c r="F2" s="77" t="s">
        <v>4</v>
      </c>
      <c r="G2" s="58" t="str">
        <f>'GF12'!G2</f>
        <v>GH</v>
      </c>
      <c r="H2" s="77" t="s">
        <v>6</v>
      </c>
      <c r="I2" s="59">
        <f>'GF12'!I2</f>
        <v>44775</v>
      </c>
      <c r="J2" s="39"/>
      <c r="K2" s="40" t="s">
        <v>49</v>
      </c>
      <c r="L2" s="41" t="e">
        <f ca="1">VLOOKUP(C2,Assemblies!E:G,3,0)</f>
        <v>#VALUE!</v>
      </c>
      <c r="M2" s="78"/>
      <c r="N2" s="78"/>
      <c r="O2" s="78"/>
      <c r="P2" s="86"/>
      <c r="Q2" s="92"/>
    </row>
    <row r="3" spans="1:17" s="55" customFormat="1" ht="12" customHeight="1" thickBot="1">
      <c r="A3" s="74" t="s">
        <v>7</v>
      </c>
      <c r="B3" s="58"/>
      <c r="C3" s="57" t="e">
        <f ca="1">VLOOKUP(E3,Assemblies!B:F,5,0)</f>
        <v>#VALUE!</v>
      </c>
      <c r="D3" s="75" t="s">
        <v>50</v>
      </c>
      <c r="E3" s="76" t="e">
        <f ca="1">MID(CELL("filename",A1),FIND("]",CELL("filename",A1))+1,256)</f>
        <v>#VALUE!</v>
      </c>
      <c r="F3" s="77" t="s">
        <v>11</v>
      </c>
      <c r="G3" s="58" t="str">
        <f>'GF12'!G3</f>
        <v>GH</v>
      </c>
      <c r="H3" s="77" t="s">
        <v>6</v>
      </c>
      <c r="I3" s="59">
        <f>'GF12'!I3</f>
        <v>44775</v>
      </c>
      <c r="J3" s="78"/>
      <c r="K3" s="78"/>
      <c r="L3" s="78"/>
      <c r="M3" s="78"/>
      <c r="N3" s="78"/>
      <c r="O3" s="78"/>
      <c r="P3" s="86"/>
      <c r="Q3" s="92"/>
    </row>
    <row r="4" spans="1:17" s="56" customFormat="1" ht="12.75" customHeight="1" thickBot="1">
      <c r="A4" s="80" t="s">
        <v>12</v>
      </c>
      <c r="B4" s="81" t="s">
        <v>13</v>
      </c>
      <c r="C4" s="81" t="s">
        <v>14</v>
      </c>
      <c r="D4" s="270" t="s">
        <v>15</v>
      </c>
      <c r="E4" s="271"/>
      <c r="F4" s="104" t="s">
        <v>16</v>
      </c>
      <c r="G4" s="81" t="s">
        <v>17</v>
      </c>
      <c r="H4" s="260" t="s">
        <v>18</v>
      </c>
      <c r="I4" s="261"/>
      <c r="J4" s="81" t="s">
        <v>51</v>
      </c>
      <c r="K4" s="81" t="s">
        <v>20</v>
      </c>
      <c r="L4" s="81" t="s">
        <v>21</v>
      </c>
      <c r="M4" s="81" t="s">
        <v>52</v>
      </c>
      <c r="N4" s="81" t="s">
        <v>22</v>
      </c>
      <c r="O4" s="81" t="s">
        <v>53</v>
      </c>
      <c r="P4" s="107" t="s">
        <v>26</v>
      </c>
      <c r="Q4" s="82" t="s">
        <v>27</v>
      </c>
    </row>
    <row r="5" spans="1:17" s="2" customFormat="1" ht="12.75" customHeight="1">
      <c r="A5" s="127">
        <v>1</v>
      </c>
      <c r="B5" s="21">
        <v>1</v>
      </c>
      <c r="C5" s="108" t="s">
        <v>258</v>
      </c>
      <c r="D5" s="277" t="str">
        <f>VLOOKUP(C5,Machined!C:Q,2,0)</f>
        <v>Joining Plate</v>
      </c>
      <c r="E5" s="278"/>
      <c r="F5" s="131" t="str">
        <f>VLOOKUP(C5,Machined!C:R,7,0)</f>
        <v>1018 CRS</v>
      </c>
      <c r="G5" s="131" t="str">
        <f>VLOOKUP(C5,Machined!C:R,10,0)</f>
        <v>BIG SKY</v>
      </c>
      <c r="H5" s="131" t="str">
        <f>VLOOKUP(C5,Machined!C:R,11,0)</f>
        <v xml:space="preserve">  </v>
      </c>
      <c r="I5" s="131"/>
      <c r="J5" s="42">
        <f>VLOOKUP(C5,Machined!C:R,12,0)</f>
        <v>45142</v>
      </c>
      <c r="K5" s="42">
        <f>VLOOKUP(C5,Machined!C:R,13,0)</f>
        <v>45146</v>
      </c>
      <c r="L5" s="42">
        <f>VLOOKUP(C5,Machined!C:R,14,0)</f>
        <v>45176</v>
      </c>
      <c r="M5" s="42">
        <f>VLOOKUP(C5,Machined!C:R,15,0)</f>
        <v>45176</v>
      </c>
      <c r="N5" s="43">
        <f>VLOOKUP(C5,Machined!C:R,16,0)</f>
        <v>55032</v>
      </c>
      <c r="O5" s="43" t="e">
        <f t="shared" ref="O5" ca="1" si="0">B5*$L$2</f>
        <v>#VALUE!</v>
      </c>
      <c r="P5" s="47">
        <f>IFERROR(VLOOKUP(C5,Machined!C:F,3,0),"")</f>
        <v>73</v>
      </c>
      <c r="Q5" s="48">
        <f t="shared" ref="Q5" si="1">IFERROR(B5*P5,"")</f>
        <v>73</v>
      </c>
    </row>
    <row r="6" spans="1:17" s="2" customFormat="1" ht="12.75" customHeight="1">
      <c r="A6" s="143"/>
      <c r="B6" s="26"/>
      <c r="C6" s="26"/>
      <c r="D6" s="272"/>
      <c r="E6" s="273"/>
      <c r="F6" s="26"/>
      <c r="G6" s="26"/>
      <c r="H6" s="274"/>
      <c r="I6" s="275"/>
      <c r="J6" s="27"/>
      <c r="K6" s="27"/>
      <c r="L6" s="27"/>
      <c r="M6" s="28"/>
      <c r="N6" s="29"/>
      <c r="O6" s="29"/>
      <c r="P6" s="141"/>
      <c r="Q6" s="142"/>
    </row>
    <row r="7" spans="1:17" s="2" customFormat="1" ht="12.75" customHeight="1">
      <c r="A7" s="4">
        <v>301</v>
      </c>
      <c r="B7" s="2">
        <v>8</v>
      </c>
      <c r="C7" s="114" t="s">
        <v>256</v>
      </c>
      <c r="D7" s="268" t="str">
        <f>VLOOKUP(C7,Purchased!A:B,2,0)</f>
        <v>BRX GOTO T-NUT 10 M8</v>
      </c>
      <c r="E7" s="269"/>
      <c r="F7" s="112" t="str">
        <f>VLOOKUP(C7,Purchased!A:Q,9,0)</f>
        <v>BRX</v>
      </c>
      <c r="G7" s="112" t="str">
        <f>VLOOKUP(C7,Purchased!A:Q,10,0)</f>
        <v>AAP</v>
      </c>
      <c r="H7" s="112" t="str">
        <f>VLOOKUP(C7,Purchased!A:Q,12,0)</f>
        <v xml:space="preserve">  </v>
      </c>
      <c r="I7" s="113"/>
      <c r="J7" s="44">
        <f>VLOOKUP(C7,Purchased!A:Q,13,0)</f>
        <v>45104</v>
      </c>
      <c r="K7" s="44">
        <f>VLOOKUP(C7,Purchased!A:Q,14,0)</f>
        <v>45105</v>
      </c>
      <c r="L7" s="44">
        <f>VLOOKUP(C7,Purchased!A:Q,15,0)</f>
        <v>45133</v>
      </c>
      <c r="M7" s="44">
        <f>VLOOKUP(C7,Purchased!A:Q,16,0)</f>
        <v>45133</v>
      </c>
      <c r="N7" s="45" t="str">
        <f>VLOOKUP(C7,Purchased!A:Q,17,0)</f>
        <v>54968, 55147</v>
      </c>
      <c r="O7" s="45" t="e">
        <f t="shared" ref="O7" ca="1" si="2">B7*$L$2</f>
        <v>#VALUE!</v>
      </c>
      <c r="P7" s="49">
        <f>IFERROR(VLOOKUP(C7,Purchased!A:E,3,FALSE),"")</f>
        <v>0.64290000000000003</v>
      </c>
      <c r="Q7" s="50">
        <f t="shared" ref="Q7" si="3">IFERROR(B7*P7,"")</f>
        <v>5.1432000000000002</v>
      </c>
    </row>
    <row r="8" spans="1:17" s="2" customFormat="1" ht="12.75" customHeight="1">
      <c r="A8" s="25"/>
      <c r="B8" s="26"/>
      <c r="C8" s="26"/>
      <c r="D8" s="272"/>
      <c r="E8" s="273"/>
      <c r="F8" s="26"/>
      <c r="G8" s="26"/>
      <c r="H8" s="274"/>
      <c r="I8" s="275"/>
      <c r="J8" s="27"/>
      <c r="K8" s="27"/>
      <c r="L8" s="27"/>
      <c r="M8" s="28"/>
      <c r="N8" s="29"/>
      <c r="O8" s="29" t="e">
        <f t="shared" ref="O8:O9" ca="1" si="4">B8*$L$2</f>
        <v>#VALUE!</v>
      </c>
      <c r="P8" s="141"/>
      <c r="Q8" s="142"/>
    </row>
    <row r="9" spans="1:17" s="2" customFormat="1" ht="12.75" customHeight="1" thickBot="1">
      <c r="A9" s="4">
        <v>501</v>
      </c>
      <c r="B9" s="2">
        <v>8</v>
      </c>
      <c r="C9" s="110" t="s">
        <v>259</v>
      </c>
      <c r="D9" s="268"/>
      <c r="E9" s="276"/>
      <c r="F9" s="112" t="str">
        <f>VLOOKUP(C9,Bolts!A:L,5,0)</f>
        <v xml:space="preserve">  </v>
      </c>
      <c r="G9" s="112" t="str">
        <f>VLOOKUP(C9,Bolts!A:L,6,0)</f>
        <v>Monroe Fasteners</v>
      </c>
      <c r="H9" s="112" t="str">
        <f>VLOOKUP(C9,Bolts!A:L,7,0)</f>
        <v xml:space="preserve">  </v>
      </c>
      <c r="I9" s="112"/>
      <c r="J9" s="44" t="str">
        <f>VLOOKUP(C9,Bolts!A:L,8,0)</f>
        <v xml:space="preserve"> </v>
      </c>
      <c r="K9" s="44" t="str">
        <f>VLOOKUP(C9,Bolts!A:L,9,0)</f>
        <v xml:space="preserve"> </v>
      </c>
      <c r="L9" s="44" t="str">
        <f>VLOOKUP(C9,Bolts!A:L,10,0)</f>
        <v xml:space="preserve"> </v>
      </c>
      <c r="M9" s="44" t="str">
        <f>VLOOKUP(C9,Bolts!A:L,11,0)</f>
        <v xml:space="preserve"> </v>
      </c>
      <c r="N9" s="45" t="str">
        <f>VLOOKUP(C9,Bolts!A:L,12,0)</f>
        <v xml:space="preserve"> </v>
      </c>
      <c r="O9" s="45" t="e">
        <f t="shared" ca="1" si="4"/>
        <v>#VALUE!</v>
      </c>
      <c r="P9" s="49" t="str">
        <f>IFERROR(VLOOKUP(C9,Bolts!A:B,2,FALSE),"")</f>
        <v xml:space="preserve"> </v>
      </c>
      <c r="Q9" s="50" t="str">
        <f t="shared" ref="Q9" si="5">IFERROR(B9*P9,"")</f>
        <v/>
      </c>
    </row>
    <row r="10" spans="1:17" s="2" customFormat="1" ht="12.75" customHeight="1" thickBot="1">
      <c r="A10" s="34"/>
      <c r="B10" s="35"/>
      <c r="C10" s="35"/>
      <c r="D10" s="256"/>
      <c r="E10" s="257"/>
      <c r="F10" s="35"/>
      <c r="G10" s="35"/>
      <c r="H10" s="294"/>
      <c r="I10" s="295"/>
      <c r="J10" s="36"/>
      <c r="K10" s="36"/>
      <c r="L10" s="36"/>
      <c r="M10" s="37"/>
      <c r="N10" s="38"/>
      <c r="O10" s="38"/>
      <c r="P10" s="89" t="s">
        <v>43</v>
      </c>
      <c r="Q10" s="94">
        <f>SUM(Q5:Q9)</f>
        <v>78.143200000000007</v>
      </c>
    </row>
    <row r="11" spans="1:17" s="2" customFormat="1" ht="12" customHeight="1">
      <c r="D11" s="22"/>
      <c r="E11" s="22"/>
      <c r="J11" s="8"/>
      <c r="K11" s="8"/>
      <c r="L11" s="8"/>
      <c r="M11" s="8"/>
      <c r="N11" s="5"/>
      <c r="O11" s="5"/>
      <c r="P11" s="88"/>
      <c r="Q11" s="95"/>
    </row>
    <row r="12" spans="1:17" s="2" customFormat="1" ht="12" customHeight="1">
      <c r="D12" s="22"/>
      <c r="E12" s="22"/>
      <c r="J12" s="5"/>
      <c r="K12" s="5"/>
      <c r="L12" s="5"/>
      <c r="M12" s="5"/>
      <c r="N12" s="5"/>
      <c r="O12" s="5"/>
      <c r="P12" s="88"/>
      <c r="Q12" s="95"/>
    </row>
    <row r="13" spans="1:17" s="2" customFormat="1" ht="12" customHeight="1">
      <c r="D13" s="22"/>
      <c r="E13" s="22"/>
      <c r="J13" s="5"/>
      <c r="K13" s="5"/>
      <c r="L13" s="5"/>
      <c r="M13" s="5"/>
      <c r="N13" s="5"/>
      <c r="O13" s="5"/>
      <c r="P13" s="88"/>
      <c r="Q13" s="95"/>
    </row>
    <row r="14" spans="1:17" s="2" customFormat="1" ht="12" customHeight="1">
      <c r="D14" s="22"/>
      <c r="E14" s="22"/>
      <c r="J14" s="5"/>
      <c r="K14" s="5"/>
      <c r="L14" s="5"/>
      <c r="M14" s="5"/>
      <c r="N14" s="5"/>
      <c r="O14" s="5"/>
      <c r="P14" s="88"/>
      <c r="Q14" s="95"/>
    </row>
    <row r="15" spans="1:17" s="2" customFormat="1" ht="12" customHeight="1">
      <c r="D15" s="22"/>
      <c r="E15" s="22"/>
      <c r="J15" s="5"/>
      <c r="K15" s="5"/>
      <c r="L15" s="5"/>
      <c r="M15" s="5"/>
      <c r="N15" s="5"/>
      <c r="O15" s="5"/>
      <c r="P15" s="88"/>
      <c r="Q15" s="95"/>
    </row>
    <row r="16" spans="1:17" s="2" customFormat="1" ht="12" customHeight="1">
      <c r="D16" s="22"/>
      <c r="E16" s="22"/>
      <c r="J16" s="5"/>
      <c r="K16" s="5"/>
      <c r="L16" s="5"/>
      <c r="M16" s="5"/>
      <c r="N16" s="5"/>
      <c r="O16" s="5"/>
      <c r="P16" s="88"/>
      <c r="Q16" s="95"/>
    </row>
    <row r="17" spans="4:17" s="2" customFormat="1" ht="12" customHeight="1">
      <c r="D17" s="22"/>
      <c r="E17" s="22"/>
      <c r="J17" s="5"/>
      <c r="K17" s="5"/>
      <c r="L17" s="5"/>
      <c r="M17" s="5"/>
      <c r="N17" s="5"/>
      <c r="O17" s="5"/>
      <c r="P17" s="88"/>
      <c r="Q17" s="95"/>
    </row>
    <row r="18" spans="4:17" s="2" customFormat="1" ht="12" customHeight="1">
      <c r="D18" s="22"/>
      <c r="E18" s="22"/>
      <c r="J18" s="5"/>
      <c r="K18" s="5"/>
      <c r="L18" s="5"/>
      <c r="M18" s="5"/>
      <c r="N18" s="5"/>
      <c r="O18" s="5"/>
      <c r="P18" s="88"/>
      <c r="Q18" s="95"/>
    </row>
    <row r="19" spans="4:17" s="2" customFormat="1" ht="12" customHeight="1">
      <c r="D19" s="22"/>
      <c r="E19" s="22"/>
      <c r="J19" s="5"/>
      <c r="K19" s="5"/>
      <c r="L19" s="5"/>
      <c r="M19" s="5"/>
      <c r="N19" s="5"/>
      <c r="O19" s="5"/>
      <c r="P19" s="88"/>
      <c r="Q19" s="95"/>
    </row>
    <row r="20" spans="4:17" s="2" customFormat="1" ht="12" customHeight="1">
      <c r="D20" s="22"/>
      <c r="E20" s="22"/>
      <c r="J20" s="5"/>
      <c r="K20" s="5"/>
      <c r="L20" s="5"/>
      <c r="M20" s="5"/>
      <c r="N20" s="5"/>
      <c r="O20" s="5"/>
      <c r="P20" s="88"/>
      <c r="Q20" s="95"/>
    </row>
    <row r="21" spans="4:17" s="2" customFormat="1" ht="12" customHeight="1">
      <c r="D21" s="22"/>
      <c r="E21" s="22"/>
      <c r="J21" s="5"/>
      <c r="K21" s="5"/>
      <c r="L21" s="5"/>
      <c r="M21" s="5"/>
      <c r="N21" s="5"/>
      <c r="O21" s="5"/>
      <c r="P21" s="88"/>
      <c r="Q21" s="95"/>
    </row>
    <row r="22" spans="4:17" s="2" customFormat="1" ht="12" customHeight="1">
      <c r="D22" s="22"/>
      <c r="E22" s="22"/>
      <c r="J22" s="5"/>
      <c r="K22" s="5"/>
      <c r="L22" s="5"/>
      <c r="M22" s="5"/>
      <c r="N22" s="5"/>
      <c r="O22" s="5"/>
      <c r="P22" s="88"/>
      <c r="Q22" s="95"/>
    </row>
    <row r="23" spans="4:17" s="2" customFormat="1" ht="12" customHeight="1">
      <c r="D23" s="22"/>
      <c r="E23" s="22"/>
      <c r="J23" s="5"/>
      <c r="K23" s="5"/>
      <c r="L23" s="5"/>
      <c r="M23" s="5"/>
      <c r="N23" s="5"/>
      <c r="O23" s="5"/>
      <c r="P23" s="88"/>
      <c r="Q23" s="95"/>
    </row>
    <row r="24" spans="4:17" s="2" customFormat="1" ht="12" customHeight="1">
      <c r="D24" s="22"/>
      <c r="E24" s="22"/>
      <c r="J24" s="5"/>
      <c r="K24" s="5"/>
      <c r="L24" s="5"/>
      <c r="M24" s="5"/>
      <c r="N24" s="5"/>
      <c r="O24" s="5"/>
      <c r="P24" s="88"/>
      <c r="Q24" s="95"/>
    </row>
    <row r="25" spans="4:17" s="2" customFormat="1" ht="12" customHeight="1">
      <c r="D25" s="22"/>
      <c r="E25" s="22"/>
      <c r="J25" s="5"/>
      <c r="K25" s="5"/>
      <c r="L25" s="5"/>
      <c r="M25" s="5"/>
      <c r="N25" s="5"/>
      <c r="O25" s="5"/>
      <c r="P25" s="88"/>
      <c r="Q25" s="95"/>
    </row>
    <row r="26" spans="4:17" s="2" customFormat="1" ht="12" customHeight="1">
      <c r="D26" s="22"/>
      <c r="E26" s="22"/>
      <c r="J26" s="5"/>
      <c r="K26" s="5"/>
      <c r="L26" s="5"/>
      <c r="M26" s="5"/>
      <c r="N26" s="5"/>
      <c r="O26" s="5"/>
      <c r="P26" s="88"/>
      <c r="Q26" s="95"/>
    </row>
    <row r="27" spans="4:17" s="2" customFormat="1" ht="12" customHeight="1">
      <c r="D27" s="22"/>
      <c r="E27" s="22"/>
      <c r="J27" s="5"/>
      <c r="K27" s="5"/>
      <c r="L27" s="5"/>
      <c r="M27" s="5"/>
      <c r="N27" s="5"/>
      <c r="O27" s="5"/>
      <c r="P27" s="88"/>
      <c r="Q27" s="95"/>
    </row>
    <row r="28" spans="4:17" s="2" customFormat="1" ht="12" customHeight="1">
      <c r="D28" s="22"/>
      <c r="E28" s="22"/>
      <c r="J28" s="5"/>
      <c r="K28" s="5"/>
      <c r="L28" s="5"/>
      <c r="M28" s="5"/>
      <c r="N28" s="5"/>
      <c r="O28" s="5"/>
      <c r="P28" s="88"/>
      <c r="Q28" s="95"/>
    </row>
    <row r="29" spans="4:17" s="2" customFormat="1" ht="12" customHeight="1">
      <c r="D29" s="22"/>
      <c r="E29" s="22"/>
      <c r="J29" s="5"/>
      <c r="K29" s="5"/>
      <c r="L29" s="5"/>
      <c r="M29" s="5"/>
      <c r="N29" s="5"/>
      <c r="O29" s="5"/>
      <c r="P29" s="88"/>
      <c r="Q29" s="95"/>
    </row>
    <row r="30" spans="4:17" s="2" customFormat="1" ht="12" customHeight="1">
      <c r="D30" s="22"/>
      <c r="E30" s="22"/>
      <c r="J30" s="5"/>
      <c r="K30" s="5"/>
      <c r="L30" s="5"/>
      <c r="M30" s="5"/>
      <c r="N30" s="5"/>
      <c r="O30" s="5"/>
      <c r="P30" s="88"/>
      <c r="Q30" s="95"/>
    </row>
    <row r="31" spans="4:17" s="2" customFormat="1" ht="12" customHeight="1">
      <c r="D31" s="22"/>
      <c r="E31" s="22"/>
      <c r="J31" s="5"/>
      <c r="K31" s="5"/>
      <c r="L31" s="5"/>
      <c r="M31" s="5"/>
      <c r="N31" s="5"/>
      <c r="O31" s="5"/>
      <c r="P31" s="88"/>
      <c r="Q31" s="95"/>
    </row>
    <row r="32" spans="4:17" s="2" customFormat="1" ht="12" customHeight="1">
      <c r="D32" s="22"/>
      <c r="E32" s="22"/>
      <c r="J32" s="5"/>
      <c r="K32" s="5"/>
      <c r="L32" s="5"/>
      <c r="M32" s="5"/>
      <c r="N32" s="5"/>
      <c r="O32" s="5"/>
      <c r="P32" s="88"/>
      <c r="Q32" s="95"/>
    </row>
    <row r="33" spans="4:17" s="2" customFormat="1" ht="12" customHeight="1">
      <c r="D33" s="22"/>
      <c r="E33" s="22"/>
      <c r="J33" s="5"/>
      <c r="K33" s="5"/>
      <c r="L33" s="5"/>
      <c r="M33" s="5"/>
      <c r="N33" s="5"/>
      <c r="O33" s="5"/>
      <c r="P33" s="88"/>
      <c r="Q33" s="95"/>
    </row>
    <row r="34" spans="4:17" s="2" customFormat="1" ht="12" customHeight="1">
      <c r="D34" s="22"/>
      <c r="E34" s="22"/>
      <c r="J34" s="5"/>
      <c r="K34" s="5"/>
      <c r="L34" s="5"/>
      <c r="M34" s="5"/>
      <c r="N34" s="5"/>
      <c r="O34" s="5"/>
      <c r="P34" s="88"/>
      <c r="Q34" s="95"/>
    </row>
    <row r="35" spans="4:17" s="2" customFormat="1" ht="12" customHeight="1">
      <c r="D35" s="22"/>
      <c r="E35" s="22"/>
      <c r="J35" s="5"/>
      <c r="K35" s="5"/>
      <c r="L35" s="5"/>
      <c r="M35" s="5"/>
      <c r="N35" s="5"/>
      <c r="O35" s="5"/>
      <c r="P35" s="88"/>
      <c r="Q35" s="95"/>
    </row>
    <row r="36" spans="4:17" s="2" customFormat="1" ht="12" customHeight="1">
      <c r="D36" s="22"/>
      <c r="E36" s="22"/>
      <c r="J36" s="5"/>
      <c r="K36" s="5"/>
      <c r="L36" s="5"/>
      <c r="M36" s="5"/>
      <c r="N36" s="5"/>
      <c r="O36" s="5"/>
      <c r="P36" s="88"/>
      <c r="Q36" s="95"/>
    </row>
    <row r="37" spans="4:17" s="2" customFormat="1" ht="12" customHeight="1">
      <c r="D37" s="22"/>
      <c r="E37" s="22"/>
      <c r="J37" s="5"/>
      <c r="K37" s="5"/>
      <c r="L37" s="5"/>
      <c r="M37" s="5"/>
      <c r="N37" s="5"/>
      <c r="O37" s="5"/>
      <c r="P37" s="88"/>
      <c r="Q37" s="95"/>
    </row>
    <row r="38" spans="4:17" s="2" customFormat="1" ht="12" customHeight="1">
      <c r="D38" s="22"/>
      <c r="E38" s="22"/>
      <c r="J38" s="5"/>
      <c r="K38" s="5"/>
      <c r="L38" s="5"/>
      <c r="M38" s="5"/>
      <c r="N38" s="5"/>
      <c r="O38" s="5"/>
      <c r="P38" s="88"/>
      <c r="Q38" s="95"/>
    </row>
    <row r="39" spans="4:17" s="2" customFormat="1" ht="12" customHeight="1">
      <c r="D39" s="22"/>
      <c r="E39" s="22"/>
      <c r="J39" s="5"/>
      <c r="K39" s="5"/>
      <c r="L39" s="5"/>
      <c r="M39" s="5"/>
      <c r="N39" s="5"/>
      <c r="O39" s="5"/>
      <c r="P39" s="88"/>
      <c r="Q39" s="95"/>
    </row>
    <row r="40" spans="4:17" s="2" customFormat="1" ht="12" customHeight="1">
      <c r="D40" s="22"/>
      <c r="E40" s="22"/>
      <c r="J40" s="5"/>
      <c r="K40" s="5"/>
      <c r="L40" s="5"/>
      <c r="M40" s="5"/>
      <c r="N40" s="5"/>
      <c r="O40" s="5"/>
      <c r="P40" s="88"/>
      <c r="Q40" s="95"/>
    </row>
    <row r="41" spans="4:17" s="2" customFormat="1" ht="12" customHeight="1">
      <c r="D41" s="22"/>
      <c r="E41" s="22"/>
      <c r="J41" s="5"/>
      <c r="K41" s="5"/>
      <c r="L41" s="5"/>
      <c r="M41" s="5"/>
      <c r="N41" s="5"/>
      <c r="O41" s="5"/>
      <c r="P41" s="88"/>
      <c r="Q41" s="95"/>
    </row>
    <row r="42" spans="4:17" s="2" customFormat="1" ht="12" customHeight="1">
      <c r="D42" s="22"/>
      <c r="E42" s="22"/>
      <c r="J42" s="5"/>
      <c r="K42" s="5"/>
      <c r="L42" s="5"/>
      <c r="M42" s="5"/>
      <c r="N42" s="5"/>
      <c r="O42" s="5"/>
      <c r="P42" s="88"/>
      <c r="Q42" s="95"/>
    </row>
    <row r="43" spans="4:17" s="2" customFormat="1" ht="12" customHeight="1">
      <c r="D43" s="22"/>
      <c r="E43" s="22"/>
      <c r="J43" s="5"/>
      <c r="K43" s="5"/>
      <c r="L43" s="5"/>
      <c r="M43" s="5"/>
      <c r="N43" s="5"/>
      <c r="O43" s="5"/>
      <c r="P43" s="88"/>
      <c r="Q43" s="95"/>
    </row>
    <row r="44" spans="4:17" s="2" customFormat="1" ht="12" customHeight="1">
      <c r="D44" s="22"/>
      <c r="E44" s="22"/>
      <c r="J44" s="5"/>
      <c r="K44" s="5"/>
      <c r="L44" s="5"/>
      <c r="M44" s="5"/>
      <c r="N44" s="5"/>
      <c r="O44" s="5"/>
      <c r="P44" s="88"/>
      <c r="Q44" s="95"/>
    </row>
    <row r="45" spans="4:17" s="2" customFormat="1" ht="12" customHeight="1">
      <c r="D45" s="22"/>
      <c r="E45" s="22"/>
      <c r="J45" s="5"/>
      <c r="K45" s="5"/>
      <c r="L45" s="5"/>
      <c r="M45" s="5"/>
      <c r="N45" s="5"/>
      <c r="O45" s="5"/>
      <c r="P45" s="88"/>
      <c r="Q45" s="95"/>
    </row>
    <row r="46" spans="4:17" s="2" customFormat="1" ht="12" customHeight="1">
      <c r="D46" s="22"/>
      <c r="E46" s="22"/>
      <c r="J46" s="5"/>
      <c r="K46" s="5"/>
      <c r="L46" s="5"/>
      <c r="M46" s="5"/>
      <c r="N46" s="5"/>
      <c r="O46" s="5"/>
      <c r="P46" s="88"/>
      <c r="Q46" s="95"/>
    </row>
    <row r="47" spans="4:17" s="2" customFormat="1" ht="12" customHeight="1">
      <c r="D47" s="22"/>
      <c r="E47" s="22"/>
      <c r="J47" s="5"/>
      <c r="K47" s="5"/>
      <c r="L47" s="5"/>
      <c r="M47" s="5"/>
      <c r="N47" s="5"/>
      <c r="O47" s="5"/>
      <c r="P47" s="88"/>
      <c r="Q47" s="95"/>
    </row>
    <row r="48" spans="4:17" s="2" customFormat="1" ht="12" customHeight="1">
      <c r="D48" s="22"/>
      <c r="E48" s="22"/>
      <c r="J48" s="5"/>
      <c r="K48" s="5"/>
      <c r="L48" s="5"/>
      <c r="M48" s="5"/>
      <c r="N48" s="5"/>
      <c r="O48" s="5"/>
      <c r="P48" s="88"/>
      <c r="Q48" s="95"/>
    </row>
    <row r="49" spans="1:17" s="2" customFormat="1" ht="12" customHeight="1">
      <c r="D49" s="22"/>
      <c r="E49" s="22"/>
      <c r="J49" s="5"/>
      <c r="K49" s="5"/>
      <c r="L49" s="5"/>
      <c r="M49" s="5"/>
      <c r="N49" s="5"/>
      <c r="O49" s="5"/>
      <c r="P49" s="88"/>
      <c r="Q49" s="96"/>
    </row>
    <row r="50" spans="1:17" s="2" customFormat="1" ht="12" customHeight="1">
      <c r="D50" s="22"/>
      <c r="E50" s="22"/>
      <c r="J50" s="5"/>
      <c r="K50" s="5"/>
      <c r="L50" s="5"/>
      <c r="M50" s="5"/>
      <c r="N50" s="5"/>
      <c r="O50" s="5"/>
      <c r="P50" s="88"/>
      <c r="Q50" s="96"/>
    </row>
    <row r="51" spans="1:17" s="2" customFormat="1" ht="12" customHeight="1">
      <c r="D51" s="22"/>
      <c r="E51" s="22"/>
      <c r="J51" s="5"/>
      <c r="K51" s="5"/>
      <c r="L51" s="5"/>
      <c r="M51" s="5"/>
      <c r="N51" s="5"/>
      <c r="O51" s="5"/>
      <c r="P51" s="88"/>
      <c r="Q51" s="96"/>
    </row>
    <row r="52" spans="1:17" s="2" customFormat="1" ht="12" customHeight="1">
      <c r="D52" s="22"/>
      <c r="E52" s="22"/>
      <c r="J52" s="5"/>
      <c r="K52" s="5"/>
      <c r="L52" s="5"/>
      <c r="M52" s="5"/>
      <c r="N52" s="5"/>
      <c r="O52" s="5"/>
      <c r="P52" s="88"/>
      <c r="Q52" s="96"/>
    </row>
    <row r="53" spans="1:17" s="2" customFormat="1" ht="12" customHeight="1">
      <c r="A53"/>
      <c r="B53"/>
      <c r="C53"/>
      <c r="D53" s="23"/>
      <c r="E53" s="23"/>
      <c r="F53"/>
      <c r="G53"/>
      <c r="H53"/>
      <c r="I53"/>
      <c r="J53" s="19"/>
      <c r="K53" s="19"/>
      <c r="L53" s="19"/>
      <c r="M53" s="19"/>
      <c r="N53" s="19"/>
      <c r="O53" s="19"/>
      <c r="P53" s="90"/>
      <c r="Q53" s="96"/>
    </row>
    <row r="54" spans="1:17" s="2" customFormat="1" ht="12" customHeight="1">
      <c r="A54"/>
      <c r="B54"/>
      <c r="C54"/>
      <c r="D54" s="23"/>
      <c r="E54" s="23"/>
      <c r="F54"/>
      <c r="G54"/>
      <c r="H54"/>
      <c r="I54"/>
      <c r="J54" s="19"/>
      <c r="K54" s="19"/>
      <c r="L54" s="19"/>
      <c r="M54" s="19"/>
      <c r="N54" s="19"/>
      <c r="O54" s="19"/>
      <c r="P54" s="90"/>
      <c r="Q54" s="96"/>
    </row>
    <row r="55" spans="1:17" s="2" customFormat="1" ht="12" customHeight="1">
      <c r="A55"/>
      <c r="B55"/>
      <c r="C55"/>
      <c r="D55" s="23"/>
      <c r="E55" s="23"/>
      <c r="F55"/>
      <c r="G55"/>
      <c r="H55"/>
      <c r="I55"/>
      <c r="J55" s="19"/>
      <c r="K55" s="19"/>
      <c r="L55" s="19"/>
      <c r="M55" s="19"/>
      <c r="N55" s="19"/>
      <c r="O55" s="19"/>
      <c r="P55" s="90"/>
      <c r="Q55" s="96"/>
    </row>
    <row r="56" spans="1:17" s="2" customFormat="1" ht="12" customHeight="1">
      <c r="A56"/>
      <c r="B56"/>
      <c r="C56"/>
      <c r="D56" s="23"/>
      <c r="E56" s="23"/>
      <c r="F56"/>
      <c r="G56"/>
      <c r="H56"/>
      <c r="I56"/>
      <c r="J56" s="19"/>
      <c r="K56" s="19"/>
      <c r="L56" s="19"/>
      <c r="M56" s="19"/>
      <c r="N56" s="19"/>
      <c r="O56" s="19"/>
      <c r="P56" s="90"/>
      <c r="Q56" s="96"/>
    </row>
    <row r="57" spans="1:17" s="2" customFormat="1" ht="12" customHeight="1">
      <c r="A57"/>
      <c r="B57"/>
      <c r="C57"/>
      <c r="D57" s="23"/>
      <c r="E57" s="23"/>
      <c r="F57"/>
      <c r="G57"/>
      <c r="H57"/>
      <c r="I57"/>
      <c r="J57" s="19"/>
      <c r="K57" s="19"/>
      <c r="L57" s="19"/>
      <c r="M57" s="19"/>
      <c r="N57" s="19"/>
      <c r="O57" s="19"/>
      <c r="P57" s="90"/>
      <c r="Q57" s="96"/>
    </row>
    <row r="58" spans="1:17">
      <c r="Q58" s="96"/>
    </row>
    <row r="59" spans="1:17">
      <c r="Q59" s="96"/>
    </row>
    <row r="60" spans="1:17">
      <c r="Q60" s="96"/>
    </row>
    <row r="61" spans="1:17">
      <c r="Q61" s="96"/>
    </row>
    <row r="62" spans="1:17">
      <c r="Q62" s="96"/>
    </row>
    <row r="63" spans="1:17">
      <c r="Q63" s="96"/>
    </row>
    <row r="64" spans="1:17">
      <c r="Q64" s="96"/>
    </row>
    <row r="65" spans="17:17">
      <c r="Q65" s="96"/>
    </row>
    <row r="66" spans="17:17">
      <c r="Q66" s="96"/>
    </row>
    <row r="67" spans="17:17">
      <c r="Q67" s="96"/>
    </row>
    <row r="68" spans="17:17">
      <c r="Q68" s="96"/>
    </row>
    <row r="69" spans="17:17">
      <c r="Q69" s="96"/>
    </row>
    <row r="70" spans="17:17">
      <c r="Q70" s="96"/>
    </row>
    <row r="71" spans="17:17">
      <c r="Q71" s="96"/>
    </row>
    <row r="72" spans="17:17">
      <c r="Q72" s="96"/>
    </row>
    <row r="73" spans="17:17">
      <c r="Q73" s="96"/>
    </row>
    <row r="74" spans="17:17">
      <c r="Q74" s="96"/>
    </row>
    <row r="75" spans="17:17">
      <c r="Q75" s="96"/>
    </row>
    <row r="76" spans="17:17">
      <c r="Q76" s="96"/>
    </row>
    <row r="77" spans="17:17">
      <c r="Q77" s="96"/>
    </row>
    <row r="114" ht="12" customHeight="1"/>
    <row r="115" ht="12" customHeight="1"/>
    <row r="116" ht="12" customHeight="1"/>
    <row r="117" ht="12" customHeight="1"/>
    <row r="118" ht="12" customHeight="1"/>
    <row r="119" ht="12" customHeight="1"/>
    <row r="120" ht="12" customHeight="1"/>
    <row r="121" ht="12" customHeight="1"/>
    <row r="122" ht="12" customHeight="1"/>
    <row r="123" ht="12" customHeight="1"/>
    <row r="124" ht="12" customHeight="1"/>
    <row r="125" ht="12" customHeight="1"/>
    <row r="126" ht="12" customHeight="1"/>
    <row r="127" ht="12" customHeight="1"/>
    <row r="128" ht="12" customHeight="1"/>
    <row r="129" ht="12" customHeight="1"/>
    <row r="130" ht="12" customHeight="1"/>
    <row r="131" ht="12" customHeight="1"/>
    <row r="132" ht="12" customHeight="1"/>
    <row r="133" ht="12" customHeight="1"/>
    <row r="134" ht="12" customHeight="1"/>
    <row r="135" ht="12" customHeight="1"/>
    <row r="136" ht="12" customHeight="1"/>
    <row r="137" ht="12" customHeight="1"/>
    <row r="138" ht="12" customHeight="1"/>
    <row r="139" ht="12" customHeight="1"/>
    <row r="140" ht="12" customHeight="1"/>
    <row r="141" ht="12" customHeight="1"/>
    <row r="142" ht="12" customHeight="1"/>
    <row r="143" ht="12" customHeight="1"/>
    <row r="144" ht="12" customHeight="1"/>
    <row r="145" ht="12" customHeight="1"/>
    <row r="146" ht="12" customHeight="1"/>
    <row r="147" ht="12" customHeight="1"/>
    <row r="148" ht="12" customHeight="1"/>
    <row r="149" ht="12" customHeight="1"/>
    <row r="150" ht="12" customHeight="1"/>
    <row r="151" ht="12" customHeight="1"/>
    <row r="152" ht="12" customHeight="1"/>
    <row r="153" ht="12" customHeight="1"/>
    <row r="154" ht="12" customHeight="1"/>
    <row r="155" ht="12" customHeight="1"/>
    <row r="156" ht="12" customHeight="1"/>
    <row r="157" ht="12" customHeight="1"/>
    <row r="158" ht="12" customHeight="1"/>
    <row r="159" ht="12" customHeight="1"/>
    <row r="160" ht="12" customHeight="1"/>
    <row r="161" ht="12" customHeight="1"/>
    <row r="162" ht="12" customHeight="1"/>
    <row r="163" ht="12" customHeight="1"/>
  </sheetData>
  <mergeCells count="12">
    <mergeCell ref="D8:E8"/>
    <mergeCell ref="D10:E10"/>
    <mergeCell ref="H10:I10"/>
    <mergeCell ref="D7:E7"/>
    <mergeCell ref="H8:I8"/>
    <mergeCell ref="D9:E9"/>
    <mergeCell ref="D1:E1"/>
    <mergeCell ref="D4:E4"/>
    <mergeCell ref="H4:I4"/>
    <mergeCell ref="D5:E5"/>
    <mergeCell ref="D6:E6"/>
    <mergeCell ref="H6:I6"/>
  </mergeCells>
  <conditionalFormatting sqref="M5">
    <cfRule type="cellIs" dxfId="629" priority="1" stopIfTrue="1" operator="lessThanOrEqual">
      <formula>$L5</formula>
    </cfRule>
    <cfRule type="cellIs" dxfId="628" priority="2" operator="greaterThan">
      <formula>L5</formula>
    </cfRule>
  </conditionalFormatting>
  <conditionalFormatting sqref="M7 M9">
    <cfRule type="cellIs" dxfId="627" priority="3" stopIfTrue="1" operator="lessThanOrEqual">
      <formula>$L7</formula>
    </cfRule>
    <cfRule type="cellIs" dxfId="626" priority="4" operator="greaterThan">
      <formula>L7</formula>
    </cfRule>
  </conditionalFormatting>
  <pageMargins left="0.7" right="0.7" top="0.75" bottom="0.75" header="0.3" footer="0.3"/>
  <pageSetup paperSize="3" fitToHeight="0" orientation="landscape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829E022-82C0-407D-B9EA-824B52E05FC0}">
          <x14:formula1>
            <xm:f>Bolts!$A:$A</xm:f>
          </x14:formula1>
          <xm:sqref>C9</xm:sqref>
        </x14:dataValidation>
        <x14:dataValidation type="list" allowBlank="1" showInputMessage="1" showErrorMessage="1" xr:uid="{68A5AA23-C76F-4FE6-AB56-9650EEF4897E}">
          <x14:formula1>
            <xm:f>Purchased!$A:$A</xm:f>
          </x14:formula1>
          <xm:sqref>C7</xm:sqref>
        </x14:dataValidation>
        <x14:dataValidation type="list" allowBlank="1" showInputMessage="1" showErrorMessage="1" xr:uid="{CAC45D3C-21C5-4C29-A970-0A967854C460}">
          <x14:formula1>
            <xm:f>Machined!$C:$C</xm:f>
          </x14:formula1>
          <xm:sqref>C5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1929E5-A7CB-438B-8CD1-020B3B207139}">
  <sheetPr codeName="Sheet16">
    <tabColor theme="3" tint="0.79998168889431442"/>
    <pageSetUpPr fitToPage="1"/>
  </sheetPr>
  <dimension ref="A1:Q168"/>
  <sheetViews>
    <sheetView zoomScaleNormal="100" workbookViewId="0">
      <selection activeCell="C18" sqref="C18"/>
    </sheetView>
  </sheetViews>
  <sheetFormatPr defaultColWidth="9.140625" defaultRowHeight="15"/>
  <cols>
    <col min="1" max="1" width="5.7109375" customWidth="1"/>
    <col min="2" max="2" width="5.42578125" bestFit="1" customWidth="1"/>
    <col min="3" max="3" width="30.7109375" customWidth="1"/>
    <col min="4" max="5" width="20.7109375" style="23" customWidth="1"/>
    <col min="6" max="6" width="16.85546875" bestFit="1" customWidth="1"/>
    <col min="7" max="7" width="9.7109375" customWidth="1"/>
    <col min="8" max="8" width="8.7109375" customWidth="1"/>
    <col min="9" max="9" width="20.7109375" customWidth="1"/>
    <col min="10" max="13" width="11.7109375" style="19" customWidth="1"/>
    <col min="14" max="14" width="11.85546875" style="19" bestFit="1" customWidth="1"/>
    <col min="15" max="15" width="7.7109375" style="19" customWidth="1"/>
    <col min="16" max="16" width="10.7109375" style="90" customWidth="1"/>
    <col min="17" max="17" width="10.7109375" style="97" customWidth="1"/>
  </cols>
  <sheetData>
    <row r="1" spans="1:17" s="55" customFormat="1" ht="12" customHeight="1">
      <c r="A1" s="68" t="s">
        <v>0</v>
      </c>
      <c r="B1" s="69"/>
      <c r="C1" s="69"/>
      <c r="D1" s="262" t="s">
        <v>1</v>
      </c>
      <c r="E1" s="263"/>
      <c r="F1" s="70"/>
      <c r="G1" s="69"/>
      <c r="H1" s="70"/>
      <c r="I1" s="71"/>
      <c r="J1" s="72"/>
      <c r="K1" s="72"/>
      <c r="L1" s="72"/>
      <c r="M1" s="72"/>
      <c r="N1" s="72"/>
      <c r="O1" s="72"/>
      <c r="P1" s="85"/>
      <c r="Q1" s="91"/>
    </row>
    <row r="2" spans="1:17" s="55" customFormat="1" ht="12" customHeight="1">
      <c r="A2" s="74" t="s">
        <v>48</v>
      </c>
      <c r="B2" s="58"/>
      <c r="C2" s="57" t="e">
        <f ca="1">VLOOKUP(E3,Assemblies!B:F,4,0)</f>
        <v>#VALUE!</v>
      </c>
      <c r="D2" s="75" t="s">
        <v>3</v>
      </c>
      <c r="E2" s="76" t="e">
        <f ca="1">'GF12'!E2</f>
        <v>#VALUE!</v>
      </c>
      <c r="F2" s="77" t="s">
        <v>4</v>
      </c>
      <c r="G2" s="58" t="str">
        <f>'GF12'!G2</f>
        <v>GH</v>
      </c>
      <c r="H2" s="77" t="s">
        <v>6</v>
      </c>
      <c r="I2" s="59">
        <f>'GF12'!I2</f>
        <v>44775</v>
      </c>
      <c r="J2" s="39"/>
      <c r="K2" s="40" t="s">
        <v>49</v>
      </c>
      <c r="L2" s="41" t="e">
        <f ca="1">VLOOKUP(C2,Assemblies!E:G,3,0)</f>
        <v>#VALUE!</v>
      </c>
      <c r="M2" s="78"/>
      <c r="N2" s="78"/>
      <c r="O2" s="78"/>
      <c r="P2" s="86"/>
      <c r="Q2" s="92"/>
    </row>
    <row r="3" spans="1:17" s="55" customFormat="1" ht="12" customHeight="1" thickBot="1">
      <c r="A3" s="74" t="s">
        <v>7</v>
      </c>
      <c r="B3" s="58"/>
      <c r="C3" s="57" t="e">
        <f ca="1">VLOOKUP(E3,Assemblies!B:F,5,0)</f>
        <v>#VALUE!</v>
      </c>
      <c r="D3" s="75" t="s">
        <v>50</v>
      </c>
      <c r="E3" s="76" t="e">
        <f ca="1">MID(CELL("filename",A1),FIND("]",CELL("filename",A1))+1,256)</f>
        <v>#VALUE!</v>
      </c>
      <c r="F3" s="77" t="s">
        <v>11</v>
      </c>
      <c r="G3" s="58" t="str">
        <f>'GF12'!G3</f>
        <v>GH</v>
      </c>
      <c r="H3" s="77" t="s">
        <v>6</v>
      </c>
      <c r="I3" s="59">
        <f>'GF12'!I3</f>
        <v>44775</v>
      </c>
      <c r="J3" s="78"/>
      <c r="K3" s="78"/>
      <c r="L3" s="78"/>
      <c r="M3" s="78"/>
      <c r="N3" s="78"/>
      <c r="O3" s="78"/>
      <c r="P3" s="86"/>
      <c r="Q3" s="92"/>
    </row>
    <row r="4" spans="1:17" s="56" customFormat="1" ht="12.75" customHeight="1" thickBot="1">
      <c r="A4" s="80" t="s">
        <v>12</v>
      </c>
      <c r="B4" s="81" t="s">
        <v>13</v>
      </c>
      <c r="C4" s="81" t="s">
        <v>14</v>
      </c>
      <c r="D4" s="270" t="s">
        <v>15</v>
      </c>
      <c r="E4" s="271"/>
      <c r="F4" s="104" t="s">
        <v>16</v>
      </c>
      <c r="G4" s="81" t="s">
        <v>17</v>
      </c>
      <c r="H4" s="260" t="s">
        <v>18</v>
      </c>
      <c r="I4" s="261"/>
      <c r="J4" s="81" t="s">
        <v>51</v>
      </c>
      <c r="K4" s="81" t="s">
        <v>20</v>
      </c>
      <c r="L4" s="81" t="s">
        <v>21</v>
      </c>
      <c r="M4" s="81" t="s">
        <v>52</v>
      </c>
      <c r="N4" s="81" t="s">
        <v>22</v>
      </c>
      <c r="O4" s="81" t="s">
        <v>53</v>
      </c>
      <c r="P4" s="107" t="s">
        <v>26</v>
      </c>
      <c r="Q4" s="82" t="s">
        <v>27</v>
      </c>
    </row>
    <row r="5" spans="1:17" s="2" customFormat="1" ht="12.75" customHeight="1">
      <c r="A5" s="127">
        <v>1</v>
      </c>
      <c r="B5" s="21">
        <v>1</v>
      </c>
      <c r="C5" s="108" t="s">
        <v>260</v>
      </c>
      <c r="D5" s="277" t="str">
        <f>VLOOKUP(C5,Machined!C:Q,2,0)</f>
        <v>.300, .600 RAIL PLATE</v>
      </c>
      <c r="E5" s="278"/>
      <c r="F5" s="131" t="str">
        <f>VLOOKUP(C5,Machined!C:R,7,0)</f>
        <v>MIC 6</v>
      </c>
      <c r="G5" s="131" t="str">
        <f>VLOOKUP(C5,Machined!C:R,10,0)</f>
        <v>BEMOX</v>
      </c>
      <c r="H5" s="131" t="str">
        <f>VLOOKUP(C5,Machined!C:R,11,0)</f>
        <v xml:space="preserve">  </v>
      </c>
      <c r="I5" s="131"/>
      <c r="J5" s="42">
        <f>VLOOKUP(C5,Machined!C:R,12,0)</f>
        <v>45141</v>
      </c>
      <c r="K5" s="42">
        <f>VLOOKUP(C5,Machined!C:R,13,0)</f>
        <v>45141</v>
      </c>
      <c r="L5" s="42">
        <f>VLOOKUP(C5,Machined!C:R,14,0)</f>
        <v>45171</v>
      </c>
      <c r="M5" s="42">
        <f>VLOOKUP(C5,Machined!C:R,15,0)</f>
        <v>45171</v>
      </c>
      <c r="N5" s="43">
        <f>VLOOKUP(C5,Machined!C:R,16,0)</f>
        <v>55029</v>
      </c>
      <c r="O5" s="43" t="e">
        <f t="shared" ref="O5" ca="1" si="0">B5*$L$2</f>
        <v>#VALUE!</v>
      </c>
      <c r="P5" s="47">
        <f>IFERROR(VLOOKUP(C5,Machined!C:F,3,0),"")</f>
        <v>351.75</v>
      </c>
      <c r="Q5" s="48">
        <f t="shared" ref="Q5" si="1">IFERROR(B5*P5,"")</f>
        <v>351.75</v>
      </c>
    </row>
    <row r="6" spans="1:17" s="2" customFormat="1" ht="12.75" customHeight="1">
      <c r="A6" s="143"/>
      <c r="B6" s="26"/>
      <c r="C6" s="26"/>
      <c r="D6" s="272"/>
      <c r="E6" s="273"/>
      <c r="F6" s="26"/>
      <c r="G6" s="26"/>
      <c r="H6" s="274"/>
      <c r="I6" s="275"/>
      <c r="J6" s="27"/>
      <c r="K6" s="27"/>
      <c r="L6" s="27"/>
      <c r="M6" s="28"/>
      <c r="N6" s="29"/>
      <c r="O6" s="29"/>
      <c r="P6" s="141"/>
      <c r="Q6" s="142"/>
    </row>
    <row r="7" spans="1:17" s="2" customFormat="1" ht="12.75" customHeight="1">
      <c r="A7" s="4">
        <v>301</v>
      </c>
      <c r="B7" s="2">
        <v>1</v>
      </c>
      <c r="C7" s="114" t="s">
        <v>261</v>
      </c>
      <c r="D7" s="268" t="str">
        <f>VLOOKUP(C7,Purchased!A:B,2,0)</f>
        <v>BRL 15mm Ball Rail, assy 113, spout adjustment</v>
      </c>
      <c r="E7" s="269"/>
      <c r="F7" s="112" t="str">
        <f>VLOOKUP(C7,Purchased!A:Q,9,0)</f>
        <v>BRL</v>
      </c>
      <c r="G7" s="112" t="str">
        <f>VLOOKUP(C7,Purchased!A:Q,10,0)</f>
        <v>AAP</v>
      </c>
      <c r="H7" s="112" t="str">
        <f>VLOOKUP(C7,Purchased!A:Q,12,0)</f>
        <v xml:space="preserve"> </v>
      </c>
      <c r="I7" s="113"/>
      <c r="J7" s="44">
        <f>VLOOKUP(C7,Purchased!A:Q,13,0)</f>
        <v>45093</v>
      </c>
      <c r="K7" s="44">
        <f>VLOOKUP(C7,Purchased!A:Q,14,0)</f>
        <v>45093</v>
      </c>
      <c r="L7" s="44">
        <f>VLOOKUP(C7,Purchased!A:Q,15,0)</f>
        <v>45184</v>
      </c>
      <c r="M7" s="44">
        <f>VLOOKUP(C7,Purchased!A:Q,16,0)</f>
        <v>45184</v>
      </c>
      <c r="N7" s="45">
        <f>VLOOKUP(C7,Purchased!A:Q,17,0)</f>
        <v>54942</v>
      </c>
      <c r="O7" s="45" t="e">
        <f t="shared" ref="O7:O10" ca="1" si="2">B7*$L$2</f>
        <v>#VALUE!</v>
      </c>
      <c r="P7" s="49">
        <f>IFERROR(VLOOKUP(C7,Purchased!A:E,3,FALSE),"")</f>
        <v>693.75549999999998</v>
      </c>
      <c r="Q7" s="50">
        <f t="shared" ref="Q7:Q10" si="3">IFERROR(B7*P7,"")</f>
        <v>693.75549999999998</v>
      </c>
    </row>
    <row r="8" spans="1:17" s="2" customFormat="1" ht="12" customHeight="1">
      <c r="A8" s="4">
        <f t="shared" ref="A8:A10" si="4">A7+1</f>
        <v>302</v>
      </c>
      <c r="B8" s="2">
        <v>30</v>
      </c>
      <c r="C8" s="114" t="s">
        <v>262</v>
      </c>
      <c r="D8" s="268" t="str">
        <f>VLOOKUP(C8,Purchased!A:B,2,0)</f>
        <v>BRX GOTO T-NUT 10 M6</v>
      </c>
      <c r="E8" s="269"/>
      <c r="F8" s="112" t="str">
        <f>VLOOKUP(C8,Purchased!A:Q,9,0)</f>
        <v>BRX</v>
      </c>
      <c r="G8" s="112" t="str">
        <f>VLOOKUP(C8,Purchased!A:Q,10,0)</f>
        <v>AAP</v>
      </c>
      <c r="H8" s="112" t="str">
        <f>VLOOKUP(C8,Purchased!A:Q,12,0)</f>
        <v xml:space="preserve">  </v>
      </c>
      <c r="I8" s="113"/>
      <c r="J8" s="44">
        <f>VLOOKUP(C8,Purchased!A:Q,13,0)</f>
        <v>45104</v>
      </c>
      <c r="K8" s="44">
        <f>VLOOKUP(C8,Purchased!A:Q,14,0)</f>
        <v>45105</v>
      </c>
      <c r="L8" s="44">
        <f>VLOOKUP(C8,Purchased!A:Q,15,0)</f>
        <v>45133</v>
      </c>
      <c r="M8" s="44">
        <f>VLOOKUP(C8,Purchased!A:Q,16,0)</f>
        <v>45133</v>
      </c>
      <c r="N8" s="45" t="str">
        <f>VLOOKUP(C8,Purchased!A:Q,17,0)</f>
        <v>54968, 55147, 55270</v>
      </c>
      <c r="O8" s="45" t="e">
        <f t="shared" ca="1" si="2"/>
        <v>#VALUE!</v>
      </c>
      <c r="P8" s="49">
        <f>IFERROR(VLOOKUP(C8,Purchased!A:E,3,FALSE),"")</f>
        <v>0.64290000000000003</v>
      </c>
      <c r="Q8" s="50">
        <f t="shared" si="3"/>
        <v>19.286999999999999</v>
      </c>
    </row>
    <row r="9" spans="1:17" s="2" customFormat="1" ht="12" customHeight="1">
      <c r="A9" s="4">
        <f t="shared" si="4"/>
        <v>303</v>
      </c>
      <c r="B9" s="2">
        <v>2</v>
      </c>
      <c r="C9" s="114" t="s">
        <v>263</v>
      </c>
      <c r="D9" s="268" t="str">
        <f>VLOOKUP(C9,Purchased!A:B,2,0)</f>
        <v>Dowel Pin 52100 Alloy Steel, 10 mm Diameter, 20 mm Long, 10pk</v>
      </c>
      <c r="E9" s="269"/>
      <c r="F9" s="112" t="str">
        <f>VLOOKUP(C9,Purchased!A:Q,9,0)</f>
        <v>MCM</v>
      </c>
      <c r="G9" s="112" t="str">
        <f>VLOOKUP(C9,Purchased!A:Q,10,0)</f>
        <v>MCM</v>
      </c>
      <c r="H9" s="112" t="str">
        <f>VLOOKUP(C9,Purchased!A:Q,12,0)</f>
        <v>Pack of 10</v>
      </c>
      <c r="I9" s="113"/>
      <c r="J9" s="44" t="str">
        <f>VLOOKUP(C9,Purchased!A:Q,13,0)</f>
        <v>N/A</v>
      </c>
      <c r="K9" s="44">
        <f>VLOOKUP(C9,Purchased!A:Q,14,0)</f>
        <v>45162</v>
      </c>
      <c r="L9" s="44">
        <f>VLOOKUP(C9,Purchased!A:Q,15,0)</f>
        <v>45184</v>
      </c>
      <c r="M9" s="44">
        <f>VLOOKUP(C9,Purchased!A:Q,16,0)</f>
        <v>45163</v>
      </c>
      <c r="N9" s="45">
        <f>VLOOKUP(C9,Purchased!A:Q,17,0)</f>
        <v>55088</v>
      </c>
      <c r="O9" s="45" t="e">
        <f t="shared" ca="1" si="2"/>
        <v>#VALUE!</v>
      </c>
      <c r="P9" s="49">
        <f>IFERROR(VLOOKUP(C9,Purchased!A:E,3,FALSE),"")</f>
        <v>10.57</v>
      </c>
      <c r="Q9" s="50">
        <f t="shared" si="3"/>
        <v>21.14</v>
      </c>
    </row>
    <row r="10" spans="1:17" s="2" customFormat="1" ht="12" customHeight="1">
      <c r="A10" s="4">
        <f t="shared" si="4"/>
        <v>304</v>
      </c>
      <c r="B10" s="2">
        <v>1</v>
      </c>
      <c r="C10" s="114" t="s">
        <v>264</v>
      </c>
      <c r="D10" s="268" t="str">
        <f>VLOOKUP(C10,Purchased!A:B,2,0)</f>
        <v>Misumi Rack Gears - Pressure Angle 20, 860mm</v>
      </c>
      <c r="E10" s="269"/>
      <c r="F10" s="112" t="str">
        <f>VLOOKUP(C10,Purchased!A:Q,9,0)</f>
        <v>MISUMI</v>
      </c>
      <c r="G10" s="112" t="str">
        <f>VLOOKUP(C10,Purchased!A:Q,10,0)</f>
        <v>MISUMI</v>
      </c>
      <c r="H10" s="112" t="str">
        <f>VLOOKUP(C10,Purchased!A:Q,12,0)</f>
        <v xml:space="preserve"> </v>
      </c>
      <c r="I10" s="113"/>
      <c r="J10" s="44" t="str">
        <f>VLOOKUP(C10,Purchased!A:Q,13,0)</f>
        <v>N/A</v>
      </c>
      <c r="K10" s="44">
        <f>VLOOKUP(C10,Purchased!A:Q,14,0)</f>
        <v>45140</v>
      </c>
      <c r="L10" s="44">
        <f>VLOOKUP(C10,Purchased!A:Q,15,0)</f>
        <v>45153</v>
      </c>
      <c r="M10" s="44">
        <f>VLOOKUP(C10,Purchased!A:Q,16,0)</f>
        <v>45156</v>
      </c>
      <c r="N10" s="45">
        <f>VLOOKUP(C10,Purchased!A:Q,17,0)</f>
        <v>55026</v>
      </c>
      <c r="O10" s="45" t="e">
        <f t="shared" ca="1" si="2"/>
        <v>#VALUE!</v>
      </c>
      <c r="P10" s="49">
        <f>IFERROR(VLOOKUP(C10,Purchased!A:E,3,FALSE),"")</f>
        <v>237.74</v>
      </c>
      <c r="Q10" s="50">
        <f t="shared" si="3"/>
        <v>237.74</v>
      </c>
    </row>
    <row r="11" spans="1:17" s="2" customFormat="1" ht="12.75" customHeight="1">
      <c r="A11" s="25"/>
      <c r="B11" s="26"/>
      <c r="C11" s="26"/>
      <c r="D11" s="272"/>
      <c r="E11" s="273"/>
      <c r="F11" s="26"/>
      <c r="G11" s="26"/>
      <c r="H11" s="274"/>
      <c r="I11" s="275"/>
      <c r="J11" s="27"/>
      <c r="K11" s="27"/>
      <c r="L11" s="27"/>
      <c r="M11" s="28"/>
      <c r="N11" s="29"/>
      <c r="O11" s="29" t="e">
        <f t="shared" ref="O11:O14" ca="1" si="5">B11*$L$2</f>
        <v>#VALUE!</v>
      </c>
      <c r="P11" s="141"/>
      <c r="Q11" s="142"/>
    </row>
    <row r="12" spans="1:17" s="2" customFormat="1" ht="12.75" customHeight="1">
      <c r="A12" s="4">
        <v>501</v>
      </c>
      <c r="B12" s="2">
        <v>15</v>
      </c>
      <c r="C12" s="110" t="s">
        <v>265</v>
      </c>
      <c r="D12" s="268"/>
      <c r="E12" s="276"/>
      <c r="F12" s="112" t="str">
        <f>VLOOKUP(C12,Bolts!A:L,5,0)</f>
        <v xml:space="preserve">  </v>
      </c>
      <c r="G12" s="112" t="str">
        <f>VLOOKUP(C12,Bolts!A:L,6,0)</f>
        <v>Monroe Fasteners</v>
      </c>
      <c r="H12" s="112" t="str">
        <f>VLOOKUP(C12,Bolts!A:L,7,0)</f>
        <v xml:space="preserve">  </v>
      </c>
      <c r="I12" s="112"/>
      <c r="J12" s="44" t="str">
        <f>VLOOKUP(C12,Bolts!A:L,8,0)</f>
        <v xml:space="preserve"> </v>
      </c>
      <c r="K12" s="44" t="str">
        <f>VLOOKUP(C12,Bolts!A:L,9,0)</f>
        <v xml:space="preserve"> </v>
      </c>
      <c r="L12" s="44" t="str">
        <f>VLOOKUP(C12,Bolts!A:L,10,0)</f>
        <v xml:space="preserve"> </v>
      </c>
      <c r="M12" s="44" t="str">
        <f>VLOOKUP(C12,Bolts!A:L,11,0)</f>
        <v xml:space="preserve"> </v>
      </c>
      <c r="N12" s="45" t="str">
        <f>VLOOKUP(C12,Bolts!A:L,12,0)</f>
        <v xml:space="preserve"> </v>
      </c>
      <c r="O12" s="45" t="e">
        <f t="shared" ca="1" si="5"/>
        <v>#VALUE!</v>
      </c>
      <c r="P12" s="49" t="str">
        <f>IFERROR(VLOOKUP(C12,Bolts!A:B,2,FALSE),"")</f>
        <v xml:space="preserve"> </v>
      </c>
      <c r="Q12" s="50" t="str">
        <f t="shared" ref="Q12:Q14" si="6">IFERROR(B12*P12,"")</f>
        <v/>
      </c>
    </row>
    <row r="13" spans="1:17" s="2" customFormat="1" ht="12.75" customHeight="1">
      <c r="A13" s="4">
        <f t="shared" ref="A13:A14" si="7">A12+1</f>
        <v>502</v>
      </c>
      <c r="B13" s="2">
        <v>30</v>
      </c>
      <c r="C13" s="110" t="s">
        <v>266</v>
      </c>
      <c r="D13" s="268"/>
      <c r="E13" s="276"/>
      <c r="F13" s="112" t="str">
        <f>VLOOKUP(C13,Bolts!A:L,5,0)</f>
        <v xml:space="preserve">  </v>
      </c>
      <c r="G13" s="112" t="str">
        <f>VLOOKUP(C13,Bolts!A:L,6,0)</f>
        <v>Monroe Fasteners</v>
      </c>
      <c r="H13" s="112" t="str">
        <f>VLOOKUP(C13,Bolts!A:L,7,0)</f>
        <v xml:space="preserve">  </v>
      </c>
      <c r="I13" s="112"/>
      <c r="J13" s="44" t="str">
        <f>VLOOKUP(C13,Bolts!A:L,8,0)</f>
        <v xml:space="preserve"> </v>
      </c>
      <c r="K13" s="44" t="str">
        <f>VLOOKUP(C13,Bolts!A:L,9,0)</f>
        <v xml:space="preserve"> </v>
      </c>
      <c r="L13" s="44" t="str">
        <f>VLOOKUP(C13,Bolts!A:L,10,0)</f>
        <v xml:space="preserve"> </v>
      </c>
      <c r="M13" s="44" t="str">
        <f>VLOOKUP(C13,Bolts!A:L,11,0)</f>
        <v xml:space="preserve"> </v>
      </c>
      <c r="N13" s="45" t="str">
        <f>VLOOKUP(C13,Bolts!A:L,12,0)</f>
        <v xml:space="preserve"> </v>
      </c>
      <c r="O13" s="45" t="e">
        <f t="shared" ca="1" si="5"/>
        <v>#VALUE!</v>
      </c>
      <c r="P13" s="49" t="str">
        <f>IFERROR(VLOOKUP(C13,Bolts!A:B,2,FALSE),"")</f>
        <v xml:space="preserve"> </v>
      </c>
      <c r="Q13" s="50" t="str">
        <f t="shared" si="6"/>
        <v/>
      </c>
    </row>
    <row r="14" spans="1:17" s="2" customFormat="1" ht="12" customHeight="1" thickBot="1">
      <c r="A14" s="4">
        <f t="shared" si="7"/>
        <v>503</v>
      </c>
      <c r="B14" s="2">
        <v>7</v>
      </c>
      <c r="C14" s="110" t="s">
        <v>267</v>
      </c>
      <c r="D14" s="268"/>
      <c r="E14" s="276"/>
      <c r="F14" s="112" t="str">
        <f>VLOOKUP(C14,Bolts!A:L,5,0)</f>
        <v xml:space="preserve">  </v>
      </c>
      <c r="G14" s="112" t="str">
        <f>VLOOKUP(C14,Bolts!A:L,6,0)</f>
        <v>Monroe Fasteners</v>
      </c>
      <c r="H14" s="112" t="str">
        <f>VLOOKUP(C14,Bolts!A:L,7,0)</f>
        <v xml:space="preserve">  </v>
      </c>
      <c r="I14" s="112"/>
      <c r="J14" s="44" t="str">
        <f>VLOOKUP(C14,Bolts!A:L,8,0)</f>
        <v xml:space="preserve"> </v>
      </c>
      <c r="K14" s="44" t="str">
        <f>VLOOKUP(C14,Bolts!A:L,9,0)</f>
        <v xml:space="preserve"> </v>
      </c>
      <c r="L14" s="44" t="str">
        <f>VLOOKUP(C14,Bolts!A:L,10,0)</f>
        <v xml:space="preserve"> </v>
      </c>
      <c r="M14" s="44" t="str">
        <f>VLOOKUP(C14,Bolts!A:L,11,0)</f>
        <v xml:space="preserve"> </v>
      </c>
      <c r="N14" s="45" t="str">
        <f>VLOOKUP(C14,Bolts!A:L,12,0)</f>
        <v xml:space="preserve"> </v>
      </c>
      <c r="O14" s="45" t="e">
        <f t="shared" ca="1" si="5"/>
        <v>#VALUE!</v>
      </c>
      <c r="P14" s="49" t="str">
        <f>IFERROR(VLOOKUP(C14,Bolts!A:B,2,FALSE),"")</f>
        <v xml:space="preserve"> </v>
      </c>
      <c r="Q14" s="50" t="str">
        <f t="shared" si="6"/>
        <v/>
      </c>
    </row>
    <row r="15" spans="1:17" s="2" customFormat="1" ht="12.75" customHeight="1" thickBot="1">
      <c r="A15" s="34"/>
      <c r="B15" s="35"/>
      <c r="C15" s="35"/>
      <c r="D15" s="256"/>
      <c r="E15" s="257"/>
      <c r="F15" s="35"/>
      <c r="G15" s="35"/>
      <c r="H15" s="294"/>
      <c r="I15" s="295"/>
      <c r="J15" s="36"/>
      <c r="K15" s="36"/>
      <c r="L15" s="36"/>
      <c r="M15" s="37"/>
      <c r="N15" s="38"/>
      <c r="O15" s="38"/>
      <c r="P15" s="89" t="s">
        <v>43</v>
      </c>
      <c r="Q15" s="94">
        <f>SUM(Q5:Q14)</f>
        <v>1323.6725000000001</v>
      </c>
    </row>
    <row r="16" spans="1:17" s="2" customFormat="1" ht="12" customHeight="1">
      <c r="D16" s="22"/>
      <c r="E16" s="22"/>
      <c r="J16" s="8"/>
      <c r="K16" s="8"/>
      <c r="L16" s="8"/>
      <c r="M16" s="8"/>
      <c r="N16" s="5"/>
      <c r="O16" s="5"/>
      <c r="P16" s="88"/>
      <c r="Q16" s="95"/>
    </row>
    <row r="17" spans="4:17" s="2" customFormat="1" ht="12" customHeight="1">
      <c r="D17" s="22"/>
      <c r="E17" s="22"/>
      <c r="J17" s="5"/>
      <c r="K17" s="5"/>
      <c r="L17" s="5"/>
      <c r="M17" s="5"/>
      <c r="N17" s="5"/>
      <c r="O17" s="5"/>
      <c r="P17" s="88"/>
      <c r="Q17" s="95"/>
    </row>
    <row r="18" spans="4:17" s="2" customFormat="1" ht="12" customHeight="1">
      <c r="D18" s="22"/>
      <c r="E18" s="22"/>
      <c r="J18" s="5"/>
      <c r="K18" s="5"/>
      <c r="L18" s="5"/>
      <c r="M18" s="5"/>
      <c r="N18" s="5"/>
      <c r="O18" s="5"/>
      <c r="P18" s="88"/>
      <c r="Q18" s="95"/>
    </row>
    <row r="19" spans="4:17" s="2" customFormat="1" ht="12" customHeight="1">
      <c r="D19" s="22"/>
      <c r="E19" s="22"/>
      <c r="J19" s="5"/>
      <c r="K19" s="5"/>
      <c r="L19" s="5"/>
      <c r="M19" s="5"/>
      <c r="N19" s="5"/>
      <c r="O19" s="5"/>
      <c r="P19" s="88"/>
      <c r="Q19" s="95"/>
    </row>
    <row r="20" spans="4:17" s="2" customFormat="1" ht="12" customHeight="1">
      <c r="D20" s="22"/>
      <c r="E20" s="22"/>
      <c r="J20" s="5"/>
      <c r="K20" s="5"/>
      <c r="L20" s="5"/>
      <c r="M20" s="5"/>
      <c r="N20" s="5"/>
      <c r="O20" s="5"/>
      <c r="P20" s="88"/>
      <c r="Q20" s="95"/>
    </row>
    <row r="21" spans="4:17" s="2" customFormat="1" ht="12" customHeight="1">
      <c r="D21" s="22"/>
      <c r="E21" s="22"/>
      <c r="J21" s="5"/>
      <c r="K21" s="5"/>
      <c r="L21" s="5"/>
      <c r="M21" s="5"/>
      <c r="N21" s="5"/>
      <c r="O21" s="5"/>
      <c r="P21" s="88"/>
      <c r="Q21" s="95"/>
    </row>
    <row r="22" spans="4:17" s="2" customFormat="1" ht="12" customHeight="1">
      <c r="D22" s="22"/>
      <c r="E22" s="22"/>
      <c r="J22" s="5"/>
      <c r="K22" s="5"/>
      <c r="L22" s="5"/>
      <c r="M22" s="5"/>
      <c r="N22" s="5"/>
      <c r="O22" s="5"/>
      <c r="P22" s="88"/>
      <c r="Q22" s="95"/>
    </row>
    <row r="23" spans="4:17" s="2" customFormat="1" ht="12" customHeight="1">
      <c r="D23" s="22"/>
      <c r="E23" s="22"/>
      <c r="J23" s="5"/>
      <c r="K23" s="5"/>
      <c r="L23" s="5"/>
      <c r="M23" s="5"/>
      <c r="N23" s="5"/>
      <c r="O23" s="5"/>
      <c r="P23" s="88"/>
      <c r="Q23" s="95"/>
    </row>
    <row r="24" spans="4:17" s="2" customFormat="1" ht="12" customHeight="1">
      <c r="D24" s="22"/>
      <c r="E24" s="22"/>
      <c r="J24" s="5"/>
      <c r="K24" s="5"/>
      <c r="L24" s="5"/>
      <c r="M24" s="5"/>
      <c r="N24" s="5"/>
      <c r="O24" s="5"/>
      <c r="P24" s="88"/>
      <c r="Q24" s="95"/>
    </row>
    <row r="25" spans="4:17" s="2" customFormat="1" ht="12" customHeight="1">
      <c r="D25" s="22"/>
      <c r="E25" s="22"/>
      <c r="J25" s="5"/>
      <c r="K25" s="5"/>
      <c r="L25" s="5"/>
      <c r="M25" s="5"/>
      <c r="N25" s="5"/>
      <c r="O25" s="5"/>
      <c r="P25" s="88"/>
      <c r="Q25" s="95"/>
    </row>
    <row r="26" spans="4:17" s="2" customFormat="1" ht="12" customHeight="1">
      <c r="D26" s="22"/>
      <c r="E26" s="22"/>
      <c r="J26" s="5"/>
      <c r="K26" s="5"/>
      <c r="L26" s="5"/>
      <c r="M26" s="5"/>
      <c r="N26" s="5"/>
      <c r="O26" s="5"/>
      <c r="P26" s="88"/>
      <c r="Q26" s="95"/>
    </row>
    <row r="27" spans="4:17" s="2" customFormat="1" ht="12" customHeight="1">
      <c r="D27" s="22"/>
      <c r="E27" s="22"/>
      <c r="J27" s="5"/>
      <c r="K27" s="5"/>
      <c r="L27" s="5"/>
      <c r="M27" s="5"/>
      <c r="N27" s="5"/>
      <c r="O27" s="5"/>
      <c r="P27" s="88"/>
      <c r="Q27" s="95"/>
    </row>
    <row r="28" spans="4:17" s="2" customFormat="1" ht="12" customHeight="1">
      <c r="D28" s="22"/>
      <c r="E28" s="22"/>
      <c r="J28" s="5"/>
      <c r="K28" s="5"/>
      <c r="L28" s="5"/>
      <c r="M28" s="5"/>
      <c r="N28" s="5"/>
      <c r="O28" s="5"/>
      <c r="P28" s="88"/>
      <c r="Q28" s="95"/>
    </row>
    <row r="29" spans="4:17" s="2" customFormat="1" ht="12" customHeight="1">
      <c r="D29" s="22"/>
      <c r="E29" s="22"/>
      <c r="J29" s="5"/>
      <c r="K29" s="5"/>
      <c r="L29" s="5"/>
      <c r="M29" s="5"/>
      <c r="N29" s="5"/>
      <c r="O29" s="5"/>
      <c r="P29" s="88"/>
      <c r="Q29" s="95"/>
    </row>
    <row r="30" spans="4:17" s="2" customFormat="1" ht="12" customHeight="1">
      <c r="D30" s="22"/>
      <c r="E30" s="22"/>
      <c r="J30" s="5"/>
      <c r="K30" s="5"/>
      <c r="L30" s="5"/>
      <c r="M30" s="5"/>
      <c r="N30" s="5"/>
      <c r="O30" s="5"/>
      <c r="P30" s="88"/>
      <c r="Q30" s="95"/>
    </row>
    <row r="31" spans="4:17" s="2" customFormat="1" ht="12" customHeight="1">
      <c r="D31" s="22"/>
      <c r="E31" s="22"/>
      <c r="J31" s="5"/>
      <c r="K31" s="5"/>
      <c r="L31" s="5"/>
      <c r="M31" s="5"/>
      <c r="N31" s="5"/>
      <c r="O31" s="5"/>
      <c r="P31" s="88"/>
      <c r="Q31" s="95"/>
    </row>
    <row r="32" spans="4:17" s="2" customFormat="1" ht="12" customHeight="1">
      <c r="D32" s="22"/>
      <c r="E32" s="22"/>
      <c r="J32" s="5"/>
      <c r="K32" s="5"/>
      <c r="L32" s="5"/>
      <c r="M32" s="5"/>
      <c r="N32" s="5"/>
      <c r="O32" s="5"/>
      <c r="P32" s="88"/>
      <c r="Q32" s="95"/>
    </row>
    <row r="33" spans="4:17" s="2" customFormat="1" ht="12" customHeight="1">
      <c r="D33" s="22"/>
      <c r="E33" s="22"/>
      <c r="J33" s="5"/>
      <c r="K33" s="5"/>
      <c r="L33" s="5"/>
      <c r="M33" s="5"/>
      <c r="N33" s="5"/>
      <c r="O33" s="5"/>
      <c r="P33" s="88"/>
      <c r="Q33" s="95"/>
    </row>
    <row r="34" spans="4:17" s="2" customFormat="1" ht="12" customHeight="1">
      <c r="D34" s="22"/>
      <c r="E34" s="22"/>
      <c r="J34" s="5"/>
      <c r="K34" s="5"/>
      <c r="L34" s="5"/>
      <c r="M34" s="5"/>
      <c r="N34" s="5"/>
      <c r="O34" s="5"/>
      <c r="P34" s="88"/>
      <c r="Q34" s="95"/>
    </row>
    <row r="35" spans="4:17" s="2" customFormat="1" ht="12" customHeight="1">
      <c r="D35" s="22"/>
      <c r="E35" s="22"/>
      <c r="J35" s="5"/>
      <c r="K35" s="5"/>
      <c r="L35" s="5"/>
      <c r="M35" s="5"/>
      <c r="N35" s="5"/>
      <c r="O35" s="5"/>
      <c r="P35" s="88"/>
      <c r="Q35" s="95"/>
    </row>
    <row r="36" spans="4:17" s="2" customFormat="1" ht="12" customHeight="1">
      <c r="D36" s="22"/>
      <c r="E36" s="22"/>
      <c r="J36" s="5"/>
      <c r="K36" s="5"/>
      <c r="L36" s="5"/>
      <c r="M36" s="5"/>
      <c r="N36" s="5"/>
      <c r="O36" s="5"/>
      <c r="P36" s="88"/>
      <c r="Q36" s="95"/>
    </row>
    <row r="37" spans="4:17" s="2" customFormat="1" ht="12" customHeight="1">
      <c r="D37" s="22"/>
      <c r="E37" s="22"/>
      <c r="J37" s="5"/>
      <c r="K37" s="5"/>
      <c r="L37" s="5"/>
      <c r="M37" s="5"/>
      <c r="N37" s="5"/>
      <c r="O37" s="5"/>
      <c r="P37" s="88"/>
      <c r="Q37" s="95"/>
    </row>
    <row r="38" spans="4:17" s="2" customFormat="1" ht="12" customHeight="1">
      <c r="D38" s="22"/>
      <c r="E38" s="22"/>
      <c r="J38" s="5"/>
      <c r="K38" s="5"/>
      <c r="L38" s="5"/>
      <c r="M38" s="5"/>
      <c r="N38" s="5"/>
      <c r="O38" s="5"/>
      <c r="P38" s="88"/>
      <c r="Q38" s="95"/>
    </row>
    <row r="39" spans="4:17" s="2" customFormat="1" ht="12" customHeight="1">
      <c r="D39" s="22"/>
      <c r="E39" s="22"/>
      <c r="J39" s="5"/>
      <c r="K39" s="5"/>
      <c r="L39" s="5"/>
      <c r="M39" s="5"/>
      <c r="N39" s="5"/>
      <c r="O39" s="5"/>
      <c r="P39" s="88"/>
      <c r="Q39" s="95"/>
    </row>
    <row r="40" spans="4:17" s="2" customFormat="1" ht="12" customHeight="1">
      <c r="D40" s="22"/>
      <c r="E40" s="22"/>
      <c r="J40" s="5"/>
      <c r="K40" s="5"/>
      <c r="L40" s="5"/>
      <c r="M40" s="5"/>
      <c r="N40" s="5"/>
      <c r="O40" s="5"/>
      <c r="P40" s="88"/>
      <c r="Q40" s="95"/>
    </row>
    <row r="41" spans="4:17" s="2" customFormat="1" ht="12" customHeight="1">
      <c r="D41" s="22"/>
      <c r="E41" s="22"/>
      <c r="J41" s="5"/>
      <c r="K41" s="5"/>
      <c r="L41" s="5"/>
      <c r="M41" s="5"/>
      <c r="N41" s="5"/>
      <c r="O41" s="5"/>
      <c r="P41" s="88"/>
      <c r="Q41" s="95"/>
    </row>
    <row r="42" spans="4:17" s="2" customFormat="1" ht="12" customHeight="1">
      <c r="D42" s="22"/>
      <c r="E42" s="22"/>
      <c r="J42" s="5"/>
      <c r="K42" s="5"/>
      <c r="L42" s="5"/>
      <c r="M42" s="5"/>
      <c r="N42" s="5"/>
      <c r="O42" s="5"/>
      <c r="P42" s="88"/>
      <c r="Q42" s="95"/>
    </row>
    <row r="43" spans="4:17" s="2" customFormat="1" ht="12" customHeight="1">
      <c r="D43" s="22"/>
      <c r="E43" s="22"/>
      <c r="J43" s="5"/>
      <c r="K43" s="5"/>
      <c r="L43" s="5"/>
      <c r="M43" s="5"/>
      <c r="N43" s="5"/>
      <c r="O43" s="5"/>
      <c r="P43" s="88"/>
      <c r="Q43" s="95"/>
    </row>
    <row r="44" spans="4:17" s="2" customFormat="1" ht="12" customHeight="1">
      <c r="D44" s="22"/>
      <c r="E44" s="22"/>
      <c r="J44" s="5"/>
      <c r="K44" s="5"/>
      <c r="L44" s="5"/>
      <c r="M44" s="5"/>
      <c r="N44" s="5"/>
      <c r="O44" s="5"/>
      <c r="P44" s="88"/>
      <c r="Q44" s="95"/>
    </row>
    <row r="45" spans="4:17" s="2" customFormat="1" ht="12" customHeight="1">
      <c r="D45" s="22"/>
      <c r="E45" s="22"/>
      <c r="J45" s="5"/>
      <c r="K45" s="5"/>
      <c r="L45" s="5"/>
      <c r="M45" s="5"/>
      <c r="N45" s="5"/>
      <c r="O45" s="5"/>
      <c r="P45" s="88"/>
      <c r="Q45" s="95"/>
    </row>
    <row r="46" spans="4:17" s="2" customFormat="1" ht="12" customHeight="1">
      <c r="D46" s="22"/>
      <c r="E46" s="22"/>
      <c r="J46" s="5"/>
      <c r="K46" s="5"/>
      <c r="L46" s="5"/>
      <c r="M46" s="5"/>
      <c r="N46" s="5"/>
      <c r="O46" s="5"/>
      <c r="P46" s="88"/>
      <c r="Q46" s="95"/>
    </row>
    <row r="47" spans="4:17" s="2" customFormat="1" ht="12" customHeight="1">
      <c r="D47" s="22"/>
      <c r="E47" s="22"/>
      <c r="J47" s="5"/>
      <c r="K47" s="5"/>
      <c r="L47" s="5"/>
      <c r="M47" s="5"/>
      <c r="N47" s="5"/>
      <c r="O47" s="5"/>
      <c r="P47" s="88"/>
      <c r="Q47" s="95"/>
    </row>
    <row r="48" spans="4:17" s="2" customFormat="1" ht="12" customHeight="1">
      <c r="D48" s="22"/>
      <c r="E48" s="22"/>
      <c r="J48" s="5"/>
      <c r="K48" s="5"/>
      <c r="L48" s="5"/>
      <c r="M48" s="5"/>
      <c r="N48" s="5"/>
      <c r="O48" s="5"/>
      <c r="P48" s="88"/>
      <c r="Q48" s="95"/>
    </row>
    <row r="49" spans="1:17" s="2" customFormat="1" ht="12" customHeight="1">
      <c r="D49" s="22"/>
      <c r="E49" s="22"/>
      <c r="J49" s="5"/>
      <c r="K49" s="5"/>
      <c r="L49" s="5"/>
      <c r="M49" s="5"/>
      <c r="N49" s="5"/>
      <c r="O49" s="5"/>
      <c r="P49" s="88"/>
      <c r="Q49" s="95"/>
    </row>
    <row r="50" spans="1:17" s="2" customFormat="1" ht="12" customHeight="1">
      <c r="D50" s="22"/>
      <c r="E50" s="22"/>
      <c r="J50" s="5"/>
      <c r="K50" s="5"/>
      <c r="L50" s="5"/>
      <c r="M50" s="5"/>
      <c r="N50" s="5"/>
      <c r="O50" s="5"/>
      <c r="P50" s="88"/>
      <c r="Q50" s="95"/>
    </row>
    <row r="51" spans="1:17" s="2" customFormat="1" ht="12" customHeight="1">
      <c r="D51" s="22"/>
      <c r="E51" s="22"/>
      <c r="J51" s="5"/>
      <c r="K51" s="5"/>
      <c r="L51" s="5"/>
      <c r="M51" s="5"/>
      <c r="N51" s="5"/>
      <c r="O51" s="5"/>
      <c r="P51" s="88"/>
      <c r="Q51" s="95"/>
    </row>
    <row r="52" spans="1:17" s="2" customFormat="1" ht="12" customHeight="1">
      <c r="D52" s="22"/>
      <c r="E52" s="22"/>
      <c r="J52" s="5"/>
      <c r="K52" s="5"/>
      <c r="L52" s="5"/>
      <c r="M52" s="5"/>
      <c r="N52" s="5"/>
      <c r="O52" s="5"/>
      <c r="P52" s="88"/>
      <c r="Q52" s="95"/>
    </row>
    <row r="53" spans="1:17" s="2" customFormat="1" ht="12" customHeight="1">
      <c r="D53" s="22"/>
      <c r="E53" s="22"/>
      <c r="J53" s="5"/>
      <c r="K53" s="5"/>
      <c r="L53" s="5"/>
      <c r="M53" s="5"/>
      <c r="N53" s="5"/>
      <c r="O53" s="5"/>
      <c r="P53" s="88"/>
      <c r="Q53" s="95"/>
    </row>
    <row r="54" spans="1:17" s="2" customFormat="1" ht="12" customHeight="1">
      <c r="D54" s="22"/>
      <c r="E54" s="22"/>
      <c r="J54" s="5"/>
      <c r="K54" s="5"/>
      <c r="L54" s="5"/>
      <c r="M54" s="5"/>
      <c r="N54" s="5"/>
      <c r="O54" s="5"/>
      <c r="P54" s="88"/>
      <c r="Q54" s="96"/>
    </row>
    <row r="55" spans="1:17" s="2" customFormat="1" ht="12" customHeight="1">
      <c r="D55" s="22"/>
      <c r="E55" s="22"/>
      <c r="J55" s="5"/>
      <c r="K55" s="5"/>
      <c r="L55" s="5"/>
      <c r="M55" s="5"/>
      <c r="N55" s="5"/>
      <c r="O55" s="5"/>
      <c r="P55" s="88"/>
      <c r="Q55" s="96"/>
    </row>
    <row r="56" spans="1:17" s="2" customFormat="1" ht="12" customHeight="1">
      <c r="D56" s="22"/>
      <c r="E56" s="22"/>
      <c r="J56" s="5"/>
      <c r="K56" s="5"/>
      <c r="L56" s="5"/>
      <c r="M56" s="5"/>
      <c r="N56" s="5"/>
      <c r="O56" s="5"/>
      <c r="P56" s="88"/>
      <c r="Q56" s="96"/>
    </row>
    <row r="57" spans="1:17" s="2" customFormat="1" ht="12" customHeight="1">
      <c r="D57" s="22"/>
      <c r="E57" s="22"/>
      <c r="J57" s="5"/>
      <c r="K57" s="5"/>
      <c r="L57" s="5"/>
      <c r="M57" s="5"/>
      <c r="N57" s="5"/>
      <c r="O57" s="5"/>
      <c r="P57" s="88"/>
      <c r="Q57" s="96"/>
    </row>
    <row r="58" spans="1:17" s="2" customFormat="1" ht="12" customHeight="1">
      <c r="A58"/>
      <c r="B58"/>
      <c r="C58"/>
      <c r="D58" s="23"/>
      <c r="E58" s="23"/>
      <c r="F58"/>
      <c r="G58"/>
      <c r="H58"/>
      <c r="I58"/>
      <c r="J58" s="19"/>
      <c r="K58" s="19"/>
      <c r="L58" s="19"/>
      <c r="M58" s="19"/>
      <c r="N58" s="19"/>
      <c r="O58" s="19"/>
      <c r="P58" s="90"/>
      <c r="Q58" s="96"/>
    </row>
    <row r="59" spans="1:17" s="2" customFormat="1" ht="12" customHeight="1">
      <c r="A59"/>
      <c r="B59"/>
      <c r="C59"/>
      <c r="D59" s="23"/>
      <c r="E59" s="23"/>
      <c r="F59"/>
      <c r="G59"/>
      <c r="H59"/>
      <c r="I59"/>
      <c r="J59" s="19"/>
      <c r="K59" s="19"/>
      <c r="L59" s="19"/>
      <c r="M59" s="19"/>
      <c r="N59" s="19"/>
      <c r="O59" s="19"/>
      <c r="P59" s="90"/>
      <c r="Q59" s="96"/>
    </row>
    <row r="60" spans="1:17" s="2" customFormat="1" ht="12" customHeight="1">
      <c r="A60"/>
      <c r="B60"/>
      <c r="C60"/>
      <c r="D60" s="23"/>
      <c r="E60" s="23"/>
      <c r="F60"/>
      <c r="G60"/>
      <c r="H60"/>
      <c r="I60"/>
      <c r="J60" s="19"/>
      <c r="K60" s="19"/>
      <c r="L60" s="19"/>
      <c r="M60" s="19"/>
      <c r="N60" s="19"/>
      <c r="O60" s="19"/>
      <c r="P60" s="90"/>
      <c r="Q60" s="96"/>
    </row>
    <row r="61" spans="1:17" s="2" customFormat="1" ht="12" customHeight="1">
      <c r="A61"/>
      <c r="B61"/>
      <c r="C61"/>
      <c r="D61" s="23"/>
      <c r="E61" s="23"/>
      <c r="F61"/>
      <c r="G61"/>
      <c r="H61"/>
      <c r="I61"/>
      <c r="J61" s="19"/>
      <c r="K61" s="19"/>
      <c r="L61" s="19"/>
      <c r="M61" s="19"/>
      <c r="N61" s="19"/>
      <c r="O61" s="19"/>
      <c r="P61" s="90"/>
      <c r="Q61" s="96"/>
    </row>
    <row r="62" spans="1:17" s="2" customFormat="1" ht="12" customHeight="1">
      <c r="A62"/>
      <c r="B62"/>
      <c r="C62"/>
      <c r="D62" s="23"/>
      <c r="E62" s="23"/>
      <c r="F62"/>
      <c r="G62"/>
      <c r="H62"/>
      <c r="I62"/>
      <c r="J62" s="19"/>
      <c r="K62" s="19"/>
      <c r="L62" s="19"/>
      <c r="M62" s="19"/>
      <c r="N62" s="19"/>
      <c r="O62" s="19"/>
      <c r="P62" s="90"/>
      <c r="Q62" s="96"/>
    </row>
    <row r="63" spans="1:17">
      <c r="Q63" s="96"/>
    </row>
    <row r="64" spans="1:17">
      <c r="Q64" s="96"/>
    </row>
    <row r="65" spans="17:17">
      <c r="Q65" s="96"/>
    </row>
    <row r="66" spans="17:17">
      <c r="Q66" s="96"/>
    </row>
    <row r="67" spans="17:17">
      <c r="Q67" s="96"/>
    </row>
    <row r="68" spans="17:17">
      <c r="Q68" s="96"/>
    </row>
    <row r="69" spans="17:17">
      <c r="Q69" s="96"/>
    </row>
    <row r="70" spans="17:17">
      <c r="Q70" s="96"/>
    </row>
    <row r="71" spans="17:17">
      <c r="Q71" s="96"/>
    </row>
    <row r="72" spans="17:17">
      <c r="Q72" s="96"/>
    </row>
    <row r="73" spans="17:17">
      <c r="Q73" s="96"/>
    </row>
    <row r="74" spans="17:17">
      <c r="Q74" s="96"/>
    </row>
    <row r="75" spans="17:17">
      <c r="Q75" s="96"/>
    </row>
    <row r="76" spans="17:17">
      <c r="Q76" s="96"/>
    </row>
    <row r="77" spans="17:17">
      <c r="Q77" s="96"/>
    </row>
    <row r="78" spans="17:17">
      <c r="Q78" s="96"/>
    </row>
    <row r="79" spans="17:17">
      <c r="Q79" s="96"/>
    </row>
    <row r="80" spans="17:17">
      <c r="Q80" s="96"/>
    </row>
    <row r="81" spans="17:17">
      <c r="Q81" s="96"/>
    </row>
    <row r="82" spans="17:17">
      <c r="Q82" s="96"/>
    </row>
    <row r="119" ht="12" customHeight="1"/>
    <row r="120" ht="12" customHeight="1"/>
    <row r="121" ht="12" customHeight="1"/>
    <row r="122" ht="12" customHeight="1"/>
    <row r="123" ht="12" customHeight="1"/>
    <row r="124" ht="12" customHeight="1"/>
    <row r="125" ht="12" customHeight="1"/>
    <row r="126" ht="12" customHeight="1"/>
    <row r="127" ht="12" customHeight="1"/>
    <row r="128" ht="12" customHeight="1"/>
    <row r="129" ht="12" customHeight="1"/>
    <row r="130" ht="12" customHeight="1"/>
    <row r="131" ht="12" customHeight="1"/>
    <row r="132" ht="12" customHeight="1"/>
    <row r="133" ht="12" customHeight="1"/>
    <row r="134" ht="12" customHeight="1"/>
    <row r="135" ht="12" customHeight="1"/>
    <row r="136" ht="12" customHeight="1"/>
    <row r="137" ht="12" customHeight="1"/>
    <row r="138" ht="12" customHeight="1"/>
    <row r="139" ht="12" customHeight="1"/>
    <row r="140" ht="12" customHeight="1"/>
    <row r="141" ht="12" customHeight="1"/>
    <row r="142" ht="12" customHeight="1"/>
    <row r="143" ht="12" customHeight="1"/>
    <row r="144" ht="12" customHeight="1"/>
    <row r="145" ht="12" customHeight="1"/>
    <row r="146" ht="12" customHeight="1"/>
    <row r="147" ht="12" customHeight="1"/>
    <row r="148" ht="12" customHeight="1"/>
    <row r="149" ht="12" customHeight="1"/>
    <row r="150" ht="12" customHeight="1"/>
    <row r="151" ht="12" customHeight="1"/>
    <row r="152" ht="12" customHeight="1"/>
    <row r="153" ht="12" customHeight="1"/>
    <row r="154" ht="12" customHeight="1"/>
    <row r="155" ht="12" customHeight="1"/>
    <row r="156" ht="12" customHeight="1"/>
    <row r="157" ht="12" customHeight="1"/>
    <row r="158" ht="12" customHeight="1"/>
    <row r="159" ht="12" customHeight="1"/>
    <row r="160" ht="12" customHeight="1"/>
    <row r="161" ht="12" customHeight="1"/>
    <row r="162" ht="12" customHeight="1"/>
    <row r="163" ht="12" customHeight="1"/>
    <row r="164" ht="12" customHeight="1"/>
    <row r="165" ht="12" customHeight="1"/>
    <row r="166" ht="12" customHeight="1"/>
    <row r="167" ht="12" customHeight="1"/>
    <row r="168" ht="12" customHeight="1"/>
  </sheetData>
  <mergeCells count="17">
    <mergeCell ref="D15:E15"/>
    <mergeCell ref="H15:I15"/>
    <mergeCell ref="D12:E12"/>
    <mergeCell ref="D13:E13"/>
    <mergeCell ref="D14:E14"/>
    <mergeCell ref="D5:E5"/>
    <mergeCell ref="D1:E1"/>
    <mergeCell ref="D4:E4"/>
    <mergeCell ref="H4:I4"/>
    <mergeCell ref="D11:E11"/>
    <mergeCell ref="H11:I11"/>
    <mergeCell ref="D9:E9"/>
    <mergeCell ref="D10:E10"/>
    <mergeCell ref="D6:E6"/>
    <mergeCell ref="H6:I6"/>
    <mergeCell ref="D7:E7"/>
    <mergeCell ref="D8:E8"/>
  </mergeCells>
  <conditionalFormatting sqref="M5">
    <cfRule type="cellIs" dxfId="625" priority="1" stopIfTrue="1" operator="lessThanOrEqual">
      <formula>$L5</formula>
    </cfRule>
    <cfRule type="cellIs" dxfId="624" priority="2" operator="greaterThan">
      <formula>L5</formula>
    </cfRule>
  </conditionalFormatting>
  <conditionalFormatting sqref="M7:M10 M12:M14">
    <cfRule type="cellIs" dxfId="623" priority="3" stopIfTrue="1" operator="lessThanOrEqual">
      <formula>$L7</formula>
    </cfRule>
    <cfRule type="cellIs" dxfId="622" priority="4" operator="greaterThan">
      <formula>L7</formula>
    </cfRule>
  </conditionalFormatting>
  <pageMargins left="0.7" right="0.7" top="0.75" bottom="0.75" header="0.3" footer="0.3"/>
  <pageSetup paperSize="3" fitToHeight="0" orientation="landscape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066386A-BC32-446E-857C-4B2B1A2F4274}">
          <x14:formula1>
            <xm:f>Bolts!$A:$A</xm:f>
          </x14:formula1>
          <xm:sqref>C12:C14</xm:sqref>
        </x14:dataValidation>
        <x14:dataValidation type="list" allowBlank="1" showInputMessage="1" showErrorMessage="1" xr:uid="{DF55E9B8-4A15-492E-8FB3-3BA69EA7020C}">
          <x14:formula1>
            <xm:f>Purchased!$A:$A</xm:f>
          </x14:formula1>
          <xm:sqref>C7:C10</xm:sqref>
        </x14:dataValidation>
        <x14:dataValidation type="list" allowBlank="1" showInputMessage="1" showErrorMessage="1" xr:uid="{B805E60A-EFD9-4EC9-8378-03D8188F298A}">
          <x14:formula1>
            <xm:f>Machined!$C:$C</xm:f>
          </x14:formula1>
          <xm:sqref>C5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1FE209-C944-42AA-AE02-0E9BDC0EE9BA}">
  <sheetPr codeName="Sheet17">
    <tabColor theme="3" tint="0.79998168889431442"/>
    <pageSetUpPr fitToPage="1"/>
  </sheetPr>
  <dimension ref="A1:Q168"/>
  <sheetViews>
    <sheetView zoomScaleNormal="100" workbookViewId="0">
      <selection activeCell="G23" sqref="G23"/>
    </sheetView>
  </sheetViews>
  <sheetFormatPr defaultColWidth="9.140625" defaultRowHeight="15"/>
  <cols>
    <col min="1" max="1" width="5.7109375" customWidth="1"/>
    <col min="2" max="2" width="5.42578125" bestFit="1" customWidth="1"/>
    <col min="3" max="3" width="30.7109375" customWidth="1"/>
    <col min="4" max="5" width="20.7109375" style="23" customWidth="1"/>
    <col min="6" max="6" width="16.85546875" bestFit="1" customWidth="1"/>
    <col min="7" max="7" width="9.7109375" customWidth="1"/>
    <col min="8" max="8" width="8.7109375" customWidth="1"/>
    <col min="9" max="9" width="20.7109375" customWidth="1"/>
    <col min="10" max="13" width="11.7109375" style="19" customWidth="1"/>
    <col min="14" max="14" width="11.85546875" style="19" bestFit="1" customWidth="1"/>
    <col min="15" max="15" width="7.7109375" style="19" customWidth="1"/>
    <col min="16" max="16" width="10.7109375" style="90" customWidth="1"/>
    <col min="17" max="17" width="10.7109375" style="97" customWidth="1"/>
  </cols>
  <sheetData>
    <row r="1" spans="1:17" s="55" customFormat="1" ht="12" customHeight="1">
      <c r="A1" s="68" t="s">
        <v>0</v>
      </c>
      <c r="B1" s="69"/>
      <c r="C1" s="69"/>
      <c r="D1" s="262" t="s">
        <v>1</v>
      </c>
      <c r="E1" s="263"/>
      <c r="F1" s="70"/>
      <c r="G1" s="69"/>
      <c r="H1" s="70"/>
      <c r="I1" s="71"/>
      <c r="J1" s="72"/>
      <c r="K1" s="72"/>
      <c r="L1" s="72"/>
      <c r="M1" s="72"/>
      <c r="N1" s="72"/>
      <c r="O1" s="72"/>
      <c r="P1" s="85"/>
      <c r="Q1" s="91"/>
    </row>
    <row r="2" spans="1:17" s="55" customFormat="1" ht="12" customHeight="1">
      <c r="A2" s="74" t="s">
        <v>48</v>
      </c>
      <c r="B2" s="58"/>
      <c r="C2" s="57" t="e">
        <f ca="1">VLOOKUP(E3,Assemblies!B:F,4,0)</f>
        <v>#VALUE!</v>
      </c>
      <c r="D2" s="75" t="s">
        <v>3</v>
      </c>
      <c r="E2" s="76" t="e">
        <f ca="1">'GF12'!E2</f>
        <v>#VALUE!</v>
      </c>
      <c r="F2" s="77" t="s">
        <v>4</v>
      </c>
      <c r="G2" s="58" t="str">
        <f>'GF12'!G2</f>
        <v>GH</v>
      </c>
      <c r="H2" s="77" t="s">
        <v>6</v>
      </c>
      <c r="I2" s="59">
        <f>'GF12'!I2</f>
        <v>44775</v>
      </c>
      <c r="J2" s="39"/>
      <c r="K2" s="40" t="s">
        <v>49</v>
      </c>
      <c r="L2" s="41" t="e">
        <f ca="1">VLOOKUP(C2,Assemblies!E:G,3,0)</f>
        <v>#VALUE!</v>
      </c>
      <c r="M2" s="78"/>
      <c r="N2" s="78"/>
      <c r="O2" s="78"/>
      <c r="P2" s="86"/>
      <c r="Q2" s="92"/>
    </row>
    <row r="3" spans="1:17" s="55" customFormat="1" ht="12" customHeight="1" thickBot="1">
      <c r="A3" s="74" t="s">
        <v>7</v>
      </c>
      <c r="B3" s="58"/>
      <c r="C3" s="57" t="e">
        <f ca="1">VLOOKUP(E3,Assemblies!B:F,5,0)</f>
        <v>#VALUE!</v>
      </c>
      <c r="D3" s="75" t="s">
        <v>50</v>
      </c>
      <c r="E3" s="76" t="e">
        <f ca="1">MID(CELL("filename",A1),FIND("]",CELL("filename",A1))+1,256)</f>
        <v>#VALUE!</v>
      </c>
      <c r="F3" s="77" t="s">
        <v>11</v>
      </c>
      <c r="G3" s="58" t="str">
        <f>'GF12'!G3</f>
        <v>GH</v>
      </c>
      <c r="H3" s="77" t="s">
        <v>6</v>
      </c>
      <c r="I3" s="59">
        <f>'GF12'!I3</f>
        <v>44775</v>
      </c>
      <c r="J3" s="78"/>
      <c r="K3" s="78"/>
      <c r="L3" s="78"/>
      <c r="M3" s="78"/>
      <c r="N3" s="78"/>
      <c r="O3" s="78"/>
      <c r="P3" s="86"/>
      <c r="Q3" s="92"/>
    </row>
    <row r="4" spans="1:17" s="56" customFormat="1" ht="12.75" customHeight="1" thickBot="1">
      <c r="A4" s="80" t="s">
        <v>12</v>
      </c>
      <c r="B4" s="81" t="s">
        <v>13</v>
      </c>
      <c r="C4" s="81" t="s">
        <v>14</v>
      </c>
      <c r="D4" s="270" t="s">
        <v>15</v>
      </c>
      <c r="E4" s="271"/>
      <c r="F4" s="104" t="s">
        <v>16</v>
      </c>
      <c r="G4" s="81" t="s">
        <v>17</v>
      </c>
      <c r="H4" s="260" t="s">
        <v>18</v>
      </c>
      <c r="I4" s="261"/>
      <c r="J4" s="81" t="s">
        <v>51</v>
      </c>
      <c r="K4" s="81" t="s">
        <v>20</v>
      </c>
      <c r="L4" s="81" t="s">
        <v>21</v>
      </c>
      <c r="M4" s="81" t="s">
        <v>52</v>
      </c>
      <c r="N4" s="81" t="s">
        <v>22</v>
      </c>
      <c r="O4" s="81" t="s">
        <v>53</v>
      </c>
      <c r="P4" s="107" t="s">
        <v>26</v>
      </c>
      <c r="Q4" s="82" t="s">
        <v>27</v>
      </c>
    </row>
    <row r="5" spans="1:17" s="2" customFormat="1" ht="12.75" customHeight="1">
      <c r="A5" s="127">
        <v>1</v>
      </c>
      <c r="B5" s="21">
        <v>1</v>
      </c>
      <c r="C5" s="108" t="s">
        <v>268</v>
      </c>
      <c r="D5" s="277" t="str">
        <f>VLOOKUP(C5,Machined!C:Q,2,0)</f>
        <v>.500 UPPER RAIL PLATE</v>
      </c>
      <c r="E5" s="278"/>
      <c r="F5" s="131" t="str">
        <f>VLOOKUP(C5,Machined!C:R,7,0)</f>
        <v>MIC 6</v>
      </c>
      <c r="G5" s="131" t="str">
        <f>VLOOKUP(C5,Machined!C:R,10,0)</f>
        <v>FRONTIER</v>
      </c>
      <c r="H5" s="131" t="str">
        <f>VLOOKUP(C5,Machined!C:R,11,0)</f>
        <v xml:space="preserve">  </v>
      </c>
      <c r="I5" s="131"/>
      <c r="J5" s="42">
        <f>VLOOKUP(C5,Machined!C:R,12,0)</f>
        <v>45139</v>
      </c>
      <c r="K5" s="42">
        <f>VLOOKUP(C5,Machined!C:R,13,0)</f>
        <v>45140</v>
      </c>
      <c r="L5" s="42">
        <f>VLOOKUP(C5,Machined!C:R,14,0)</f>
        <v>45170</v>
      </c>
      <c r="M5" s="42">
        <f>VLOOKUP(C5,Machined!C:R,15,0)</f>
        <v>45170</v>
      </c>
      <c r="N5" s="43">
        <f>VLOOKUP(C5,Machined!C:R,16,0)</f>
        <v>55025</v>
      </c>
      <c r="O5" s="43" t="e">
        <f t="shared" ref="O5" ca="1" si="0">B5*$L$2</f>
        <v>#VALUE!</v>
      </c>
      <c r="P5" s="47">
        <f>IFERROR(VLOOKUP(C5,Machined!C:F,3,0),"")</f>
        <v>0</v>
      </c>
      <c r="Q5" s="48">
        <f t="shared" ref="Q5" si="1">IFERROR(B5*P5,"")</f>
        <v>0</v>
      </c>
    </row>
    <row r="6" spans="1:17" s="2" customFormat="1" ht="12.75" customHeight="1">
      <c r="A6" s="143"/>
      <c r="B6" s="26"/>
      <c r="C6" s="26"/>
      <c r="D6" s="272"/>
      <c r="E6" s="273"/>
      <c r="F6" s="26"/>
      <c r="G6" s="26"/>
      <c r="H6" s="274"/>
      <c r="I6" s="275"/>
      <c r="J6" s="27"/>
      <c r="K6" s="27"/>
      <c r="L6" s="27"/>
      <c r="M6" s="28"/>
      <c r="N6" s="29"/>
      <c r="O6" s="29"/>
      <c r="P6" s="141"/>
      <c r="Q6" s="142"/>
    </row>
    <row r="7" spans="1:17" s="2" customFormat="1" ht="12.75" customHeight="1">
      <c r="A7" s="4">
        <v>301</v>
      </c>
      <c r="B7" s="2">
        <v>1</v>
      </c>
      <c r="C7" s="114" t="s">
        <v>269</v>
      </c>
      <c r="D7" s="268" t="str">
        <f>VLOOKUP(C7,Purchased!A:B,2,0)</f>
        <v>BRL 15mm Ball Rail, assy 114, cross seal adjustment</v>
      </c>
      <c r="E7" s="269"/>
      <c r="F7" s="112" t="str">
        <f>VLOOKUP(C7,Purchased!A:Q,9,0)</f>
        <v>BRL</v>
      </c>
      <c r="G7" s="112" t="str">
        <f>VLOOKUP(C7,Purchased!A:Q,10,0)</f>
        <v>AAP</v>
      </c>
      <c r="H7" s="112" t="str">
        <f>VLOOKUP(C7,Purchased!A:Q,12,0)</f>
        <v xml:space="preserve"> </v>
      </c>
      <c r="I7" s="113"/>
      <c r="J7" s="44">
        <f>VLOOKUP(C7,Purchased!A:Q,13,0)</f>
        <v>45093</v>
      </c>
      <c r="K7" s="44">
        <f>VLOOKUP(C7,Purchased!A:Q,14,0)</f>
        <v>45093</v>
      </c>
      <c r="L7" s="44">
        <f>VLOOKUP(C7,Purchased!A:Q,15,0)</f>
        <v>45184</v>
      </c>
      <c r="M7" s="44">
        <f>VLOOKUP(C7,Purchased!A:Q,16,0)</f>
        <v>45184</v>
      </c>
      <c r="N7" s="45">
        <f>VLOOKUP(C7,Purchased!A:Q,17,0)</f>
        <v>54942</v>
      </c>
      <c r="O7" s="45" t="e">
        <f t="shared" ref="O7:O10" ca="1" si="2">B7*$L$2</f>
        <v>#VALUE!</v>
      </c>
      <c r="P7" s="49">
        <f>IFERROR(VLOOKUP(C7,Purchased!A:E,3,FALSE),"")</f>
        <v>284.62079999999997</v>
      </c>
      <c r="Q7" s="50">
        <f t="shared" ref="Q7:Q10" si="3">IFERROR(B7*P7,"")</f>
        <v>284.62079999999997</v>
      </c>
    </row>
    <row r="8" spans="1:17" s="2" customFormat="1" ht="12" customHeight="1">
      <c r="A8" s="4">
        <f t="shared" ref="A8:A10" si="4">A7+1</f>
        <v>302</v>
      </c>
      <c r="B8" s="2">
        <v>12</v>
      </c>
      <c r="C8" s="114" t="s">
        <v>262</v>
      </c>
      <c r="D8" s="268" t="str">
        <f>VLOOKUP(C8,Purchased!A:B,2,0)</f>
        <v>BRX GOTO T-NUT 10 M6</v>
      </c>
      <c r="E8" s="269"/>
      <c r="F8" s="112" t="str">
        <f>VLOOKUP(C8,Purchased!A:Q,9,0)</f>
        <v>BRX</v>
      </c>
      <c r="G8" s="112" t="str">
        <f>VLOOKUP(C8,Purchased!A:Q,10,0)</f>
        <v>AAP</v>
      </c>
      <c r="H8" s="112" t="str">
        <f>VLOOKUP(C8,Purchased!A:Q,12,0)</f>
        <v xml:space="preserve">  </v>
      </c>
      <c r="I8" s="113"/>
      <c r="J8" s="44">
        <f>VLOOKUP(C8,Purchased!A:Q,13,0)</f>
        <v>45104</v>
      </c>
      <c r="K8" s="44">
        <f>VLOOKUP(C8,Purchased!A:Q,14,0)</f>
        <v>45105</v>
      </c>
      <c r="L8" s="44">
        <f>VLOOKUP(C8,Purchased!A:Q,15,0)</f>
        <v>45133</v>
      </c>
      <c r="M8" s="44">
        <f>VLOOKUP(C8,Purchased!A:Q,16,0)</f>
        <v>45133</v>
      </c>
      <c r="N8" s="45" t="str">
        <f>VLOOKUP(C8,Purchased!A:Q,17,0)</f>
        <v>54968, 55147, 55270</v>
      </c>
      <c r="O8" s="45" t="e">
        <f t="shared" ca="1" si="2"/>
        <v>#VALUE!</v>
      </c>
      <c r="P8" s="49">
        <f>IFERROR(VLOOKUP(C8,Purchased!A:E,3,FALSE),"")</f>
        <v>0.64290000000000003</v>
      </c>
      <c r="Q8" s="50">
        <f t="shared" si="3"/>
        <v>7.7148000000000003</v>
      </c>
    </row>
    <row r="9" spans="1:17" s="2" customFormat="1" ht="12" customHeight="1">
      <c r="A9" s="4">
        <f t="shared" si="4"/>
        <v>303</v>
      </c>
      <c r="B9" s="2">
        <v>2</v>
      </c>
      <c r="C9" s="114" t="s">
        <v>263</v>
      </c>
      <c r="D9" s="268" t="str">
        <f>VLOOKUP(C9,Purchased!A:B,2,0)</f>
        <v>Dowel Pin 52100 Alloy Steel, 10 mm Diameter, 20 mm Long, 10pk</v>
      </c>
      <c r="E9" s="269"/>
      <c r="F9" s="112" t="str">
        <f>VLOOKUP(C9,Purchased!A:Q,9,0)</f>
        <v>MCM</v>
      </c>
      <c r="G9" s="112" t="str">
        <f>VLOOKUP(C9,Purchased!A:Q,10,0)</f>
        <v>MCM</v>
      </c>
      <c r="H9" s="112" t="str">
        <f>VLOOKUP(C9,Purchased!A:Q,12,0)</f>
        <v>Pack of 10</v>
      </c>
      <c r="I9" s="113"/>
      <c r="J9" s="44" t="str">
        <f>VLOOKUP(C9,Purchased!A:Q,13,0)</f>
        <v>N/A</v>
      </c>
      <c r="K9" s="44">
        <f>VLOOKUP(C9,Purchased!A:Q,14,0)</f>
        <v>45162</v>
      </c>
      <c r="L9" s="44">
        <f>VLOOKUP(C9,Purchased!A:Q,15,0)</f>
        <v>45184</v>
      </c>
      <c r="M9" s="44">
        <f>VLOOKUP(C9,Purchased!A:Q,16,0)</f>
        <v>45163</v>
      </c>
      <c r="N9" s="45">
        <f>VLOOKUP(C9,Purchased!A:Q,17,0)</f>
        <v>55088</v>
      </c>
      <c r="O9" s="45" t="e">
        <f t="shared" ca="1" si="2"/>
        <v>#VALUE!</v>
      </c>
      <c r="P9" s="49">
        <f>IFERROR(VLOOKUP(C9,Purchased!A:E,3,FALSE),"")</f>
        <v>10.57</v>
      </c>
      <c r="Q9" s="50">
        <f t="shared" si="3"/>
        <v>21.14</v>
      </c>
    </row>
    <row r="10" spans="1:17" s="2" customFormat="1" ht="12" customHeight="1">
      <c r="A10" s="4">
        <f t="shared" si="4"/>
        <v>304</v>
      </c>
      <c r="B10" s="2">
        <v>1</v>
      </c>
      <c r="C10" s="114" t="s">
        <v>270</v>
      </c>
      <c r="D10" s="268" t="str">
        <f>VLOOKUP(C10,Purchased!A:B,2,0)</f>
        <v>Misumi Rack Gears - Pressure Angle 20, 500mm</v>
      </c>
      <c r="E10" s="269"/>
      <c r="F10" s="112" t="str">
        <f>VLOOKUP(C10,Purchased!A:Q,9,0)</f>
        <v>MISUMI</v>
      </c>
      <c r="G10" s="112" t="str">
        <f>VLOOKUP(C10,Purchased!A:Q,10,0)</f>
        <v>MISUMI</v>
      </c>
      <c r="H10" s="112" t="str">
        <f>VLOOKUP(C10,Purchased!A:Q,12,0)</f>
        <v xml:space="preserve"> </v>
      </c>
      <c r="I10" s="113"/>
      <c r="J10" s="44" t="str">
        <f>VLOOKUP(C10,Purchased!A:Q,13,0)</f>
        <v>N/A</v>
      </c>
      <c r="K10" s="44">
        <f>VLOOKUP(C10,Purchased!A:Q,14,0)</f>
        <v>45140</v>
      </c>
      <c r="L10" s="44">
        <f>VLOOKUP(C10,Purchased!A:Q,15,0)</f>
        <v>45153</v>
      </c>
      <c r="M10" s="44">
        <f>VLOOKUP(C10,Purchased!A:Q,16,0)</f>
        <v>45156</v>
      </c>
      <c r="N10" s="45">
        <f>VLOOKUP(C10,Purchased!A:Q,17,0)</f>
        <v>55026</v>
      </c>
      <c r="O10" s="45" t="e">
        <f t="shared" ca="1" si="2"/>
        <v>#VALUE!</v>
      </c>
      <c r="P10" s="49">
        <f>IFERROR(VLOOKUP(C10,Purchased!A:E,3,FALSE),"")</f>
        <v>180.72</v>
      </c>
      <c r="Q10" s="50">
        <f t="shared" si="3"/>
        <v>180.72</v>
      </c>
    </row>
    <row r="11" spans="1:17" s="2" customFormat="1" ht="12.75" customHeight="1">
      <c r="A11" s="25"/>
      <c r="B11" s="26"/>
      <c r="C11" s="26"/>
      <c r="D11" s="272"/>
      <c r="E11" s="273"/>
      <c r="F11" s="26"/>
      <c r="G11" s="26"/>
      <c r="H11" s="274"/>
      <c r="I11" s="275"/>
      <c r="J11" s="27"/>
      <c r="K11" s="27"/>
      <c r="L11" s="27"/>
      <c r="M11" s="28"/>
      <c r="N11" s="29"/>
      <c r="O11" s="29" t="e">
        <f t="shared" ref="O11:O14" ca="1" si="5">B11*$L$2</f>
        <v>#VALUE!</v>
      </c>
      <c r="P11" s="141"/>
      <c r="Q11" s="142"/>
    </row>
    <row r="12" spans="1:17" s="2" customFormat="1" ht="12.75" customHeight="1">
      <c r="A12" s="4">
        <v>501</v>
      </c>
      <c r="B12" s="2">
        <v>7</v>
      </c>
      <c r="C12" s="110" t="s">
        <v>265</v>
      </c>
      <c r="D12" s="268"/>
      <c r="E12" s="276"/>
      <c r="F12" s="112" t="str">
        <f>VLOOKUP(C12,Bolts!A:L,5,0)</f>
        <v xml:space="preserve">  </v>
      </c>
      <c r="G12" s="112" t="str">
        <f>VLOOKUP(C12,Bolts!A:L,6,0)</f>
        <v>Monroe Fasteners</v>
      </c>
      <c r="H12" s="112" t="str">
        <f>VLOOKUP(C12,Bolts!A:L,7,0)</f>
        <v xml:space="preserve">  </v>
      </c>
      <c r="I12" s="112"/>
      <c r="J12" s="44" t="str">
        <f>VLOOKUP(C12,Bolts!A:L,8,0)</f>
        <v xml:space="preserve"> </v>
      </c>
      <c r="K12" s="44" t="str">
        <f>VLOOKUP(C12,Bolts!A:L,9,0)</f>
        <v xml:space="preserve"> </v>
      </c>
      <c r="L12" s="44" t="str">
        <f>VLOOKUP(C12,Bolts!A:L,10,0)</f>
        <v xml:space="preserve"> </v>
      </c>
      <c r="M12" s="44" t="str">
        <f>VLOOKUP(C12,Bolts!A:L,11,0)</f>
        <v xml:space="preserve"> </v>
      </c>
      <c r="N12" s="45" t="str">
        <f>VLOOKUP(C12,Bolts!A:L,12,0)</f>
        <v xml:space="preserve"> </v>
      </c>
      <c r="O12" s="45" t="e">
        <f t="shared" ca="1" si="5"/>
        <v>#VALUE!</v>
      </c>
      <c r="P12" s="49" t="str">
        <f>IFERROR(VLOOKUP(C12,Bolts!A:B,2,FALSE),"")</f>
        <v xml:space="preserve"> </v>
      </c>
      <c r="Q12" s="50" t="str">
        <f t="shared" ref="Q12:Q14" si="6">IFERROR(B12*P12,"")</f>
        <v/>
      </c>
    </row>
    <row r="13" spans="1:17" s="2" customFormat="1" ht="12.75" customHeight="1">
      <c r="A13" s="4">
        <f t="shared" ref="A13:A14" si="7">A12+1</f>
        <v>502</v>
      </c>
      <c r="B13" s="2">
        <v>12</v>
      </c>
      <c r="C13" s="110" t="s">
        <v>266</v>
      </c>
      <c r="D13" s="268"/>
      <c r="E13" s="276"/>
      <c r="F13" s="112" t="str">
        <f>VLOOKUP(C13,Bolts!A:L,5,0)</f>
        <v xml:space="preserve">  </v>
      </c>
      <c r="G13" s="112" t="str">
        <f>VLOOKUP(C13,Bolts!A:L,6,0)</f>
        <v>Monroe Fasteners</v>
      </c>
      <c r="H13" s="112" t="str">
        <f>VLOOKUP(C13,Bolts!A:L,7,0)</f>
        <v xml:space="preserve">  </v>
      </c>
      <c r="I13" s="112"/>
      <c r="J13" s="44" t="str">
        <f>VLOOKUP(C13,Bolts!A:L,8,0)</f>
        <v xml:space="preserve"> </v>
      </c>
      <c r="K13" s="44" t="str">
        <f>VLOOKUP(C13,Bolts!A:L,9,0)</f>
        <v xml:space="preserve"> </v>
      </c>
      <c r="L13" s="44" t="str">
        <f>VLOOKUP(C13,Bolts!A:L,10,0)</f>
        <v xml:space="preserve"> </v>
      </c>
      <c r="M13" s="44" t="str">
        <f>VLOOKUP(C13,Bolts!A:L,11,0)</f>
        <v xml:space="preserve"> </v>
      </c>
      <c r="N13" s="45" t="str">
        <f>VLOOKUP(C13,Bolts!A:L,12,0)</f>
        <v xml:space="preserve"> </v>
      </c>
      <c r="O13" s="45" t="e">
        <f t="shared" ca="1" si="5"/>
        <v>#VALUE!</v>
      </c>
      <c r="P13" s="49" t="str">
        <f>IFERROR(VLOOKUP(C13,Bolts!A:B,2,FALSE),"")</f>
        <v xml:space="preserve"> </v>
      </c>
      <c r="Q13" s="50" t="str">
        <f t="shared" si="6"/>
        <v/>
      </c>
    </row>
    <row r="14" spans="1:17" s="2" customFormat="1" ht="12" customHeight="1" thickBot="1">
      <c r="A14" s="4">
        <f t="shared" si="7"/>
        <v>503</v>
      </c>
      <c r="B14" s="2">
        <v>4</v>
      </c>
      <c r="C14" s="110" t="s">
        <v>267</v>
      </c>
      <c r="D14" s="268"/>
      <c r="E14" s="276"/>
      <c r="F14" s="112" t="str">
        <f>VLOOKUP(C14,Bolts!A:L,5,0)</f>
        <v xml:space="preserve">  </v>
      </c>
      <c r="G14" s="112" t="str">
        <f>VLOOKUP(C14,Bolts!A:L,6,0)</f>
        <v>Monroe Fasteners</v>
      </c>
      <c r="H14" s="112" t="str">
        <f>VLOOKUP(C14,Bolts!A:L,7,0)</f>
        <v xml:space="preserve">  </v>
      </c>
      <c r="I14" s="112"/>
      <c r="J14" s="44" t="str">
        <f>VLOOKUP(C14,Bolts!A:L,8,0)</f>
        <v xml:space="preserve"> </v>
      </c>
      <c r="K14" s="44" t="str">
        <f>VLOOKUP(C14,Bolts!A:L,9,0)</f>
        <v xml:space="preserve"> </v>
      </c>
      <c r="L14" s="44" t="str">
        <f>VLOOKUP(C14,Bolts!A:L,10,0)</f>
        <v xml:space="preserve"> </v>
      </c>
      <c r="M14" s="44" t="str">
        <f>VLOOKUP(C14,Bolts!A:L,11,0)</f>
        <v xml:space="preserve"> </v>
      </c>
      <c r="N14" s="45" t="str">
        <f>VLOOKUP(C14,Bolts!A:L,12,0)</f>
        <v xml:space="preserve"> </v>
      </c>
      <c r="O14" s="45" t="e">
        <f t="shared" ca="1" si="5"/>
        <v>#VALUE!</v>
      </c>
      <c r="P14" s="49" t="str">
        <f>IFERROR(VLOOKUP(C14,Bolts!A:B,2,FALSE),"")</f>
        <v xml:space="preserve"> </v>
      </c>
      <c r="Q14" s="50" t="str">
        <f t="shared" si="6"/>
        <v/>
      </c>
    </row>
    <row r="15" spans="1:17" s="2" customFormat="1" ht="12.75" customHeight="1" thickBot="1">
      <c r="A15" s="34"/>
      <c r="B15" s="35"/>
      <c r="C15" s="35"/>
      <c r="D15" s="256"/>
      <c r="E15" s="257"/>
      <c r="F15" s="35"/>
      <c r="G15" s="35"/>
      <c r="H15" s="294"/>
      <c r="I15" s="295"/>
      <c r="J15" s="36"/>
      <c r="K15" s="36"/>
      <c r="L15" s="36"/>
      <c r="M15" s="37"/>
      <c r="N15" s="38"/>
      <c r="O15" s="38"/>
      <c r="P15" s="89" t="s">
        <v>43</v>
      </c>
      <c r="Q15" s="94">
        <f>SUM(Q5:Q14)</f>
        <v>494.19560000000001</v>
      </c>
    </row>
    <row r="16" spans="1:17" s="2" customFormat="1" ht="12" customHeight="1">
      <c r="D16" s="22"/>
      <c r="E16" s="22"/>
      <c r="J16" s="8"/>
      <c r="K16" s="8"/>
      <c r="L16" s="8"/>
      <c r="M16" s="8"/>
      <c r="N16" s="5"/>
      <c r="O16" s="5"/>
      <c r="P16" s="88"/>
      <c r="Q16" s="95"/>
    </row>
    <row r="17" spans="4:17" s="2" customFormat="1" ht="12" customHeight="1">
      <c r="D17" s="22"/>
      <c r="E17" s="22"/>
      <c r="J17" s="5"/>
      <c r="K17" s="5"/>
      <c r="L17" s="5"/>
      <c r="M17" s="5"/>
      <c r="N17" s="5"/>
      <c r="O17" s="5"/>
      <c r="P17" s="88"/>
      <c r="Q17" s="95"/>
    </row>
    <row r="18" spans="4:17" s="2" customFormat="1" ht="12" customHeight="1">
      <c r="D18" s="22"/>
      <c r="E18" s="22"/>
      <c r="J18" s="5"/>
      <c r="K18" s="5"/>
      <c r="L18" s="5"/>
      <c r="M18" s="5"/>
      <c r="N18" s="5"/>
      <c r="O18" s="5"/>
      <c r="P18" s="88"/>
      <c r="Q18" s="95"/>
    </row>
    <row r="19" spans="4:17" s="2" customFormat="1" ht="12" customHeight="1">
      <c r="D19" s="22"/>
      <c r="E19" s="22"/>
      <c r="J19" s="5"/>
      <c r="K19" s="5"/>
      <c r="L19" s="5"/>
      <c r="M19" s="5"/>
      <c r="N19" s="5"/>
      <c r="O19" s="5"/>
      <c r="P19" s="88"/>
      <c r="Q19" s="95"/>
    </row>
    <row r="20" spans="4:17" s="2" customFormat="1" ht="12" customHeight="1">
      <c r="D20" s="22"/>
      <c r="E20" s="22"/>
      <c r="J20" s="5"/>
      <c r="K20" s="5"/>
      <c r="L20" s="5"/>
      <c r="M20" s="5"/>
      <c r="N20" s="5"/>
      <c r="O20" s="5"/>
      <c r="P20" s="88"/>
      <c r="Q20" s="95"/>
    </row>
    <row r="21" spans="4:17" s="2" customFormat="1" ht="12" customHeight="1">
      <c r="D21" s="22"/>
      <c r="E21" s="22"/>
      <c r="J21" s="5"/>
      <c r="K21" s="5"/>
      <c r="L21" s="5"/>
      <c r="M21" s="5"/>
      <c r="N21" s="5"/>
      <c r="O21" s="5"/>
      <c r="P21" s="88"/>
      <c r="Q21" s="95"/>
    </row>
    <row r="22" spans="4:17" s="2" customFormat="1" ht="12" customHeight="1">
      <c r="D22" s="22"/>
      <c r="E22" s="22"/>
      <c r="J22" s="5"/>
      <c r="K22" s="5"/>
      <c r="L22" s="5"/>
      <c r="M22" s="5"/>
      <c r="N22" s="5"/>
      <c r="O22" s="5"/>
      <c r="P22" s="88"/>
      <c r="Q22" s="95"/>
    </row>
    <row r="23" spans="4:17" s="2" customFormat="1" ht="12" customHeight="1">
      <c r="D23" s="22"/>
      <c r="E23" s="22"/>
      <c r="J23" s="5"/>
      <c r="K23" s="5"/>
      <c r="L23" s="5"/>
      <c r="M23" s="5"/>
      <c r="N23" s="5"/>
      <c r="O23" s="5"/>
      <c r="P23" s="88"/>
      <c r="Q23" s="95"/>
    </row>
    <row r="24" spans="4:17" s="2" customFormat="1" ht="12" customHeight="1">
      <c r="D24" s="22"/>
      <c r="E24" s="22"/>
      <c r="J24" s="5"/>
      <c r="K24" s="5"/>
      <c r="L24" s="5"/>
      <c r="M24" s="5"/>
      <c r="N24" s="5"/>
      <c r="O24" s="5"/>
      <c r="P24" s="88"/>
      <c r="Q24" s="95"/>
    </row>
    <row r="25" spans="4:17" s="2" customFormat="1" ht="12" customHeight="1">
      <c r="D25" s="22"/>
      <c r="E25" s="22"/>
      <c r="J25" s="5"/>
      <c r="K25" s="5"/>
      <c r="L25" s="5"/>
      <c r="M25" s="5"/>
      <c r="N25" s="5"/>
      <c r="O25" s="5"/>
      <c r="P25" s="88"/>
      <c r="Q25" s="95"/>
    </row>
    <row r="26" spans="4:17" s="2" customFormat="1" ht="12" customHeight="1">
      <c r="D26" s="22"/>
      <c r="E26" s="22"/>
      <c r="J26" s="5"/>
      <c r="K26" s="5"/>
      <c r="L26" s="5"/>
      <c r="M26" s="5"/>
      <c r="N26" s="5"/>
      <c r="O26" s="5"/>
      <c r="P26" s="88"/>
      <c r="Q26" s="95"/>
    </row>
    <row r="27" spans="4:17" s="2" customFormat="1" ht="12" customHeight="1">
      <c r="D27" s="22"/>
      <c r="E27" s="22"/>
      <c r="J27" s="5"/>
      <c r="K27" s="5"/>
      <c r="L27" s="5"/>
      <c r="M27" s="5"/>
      <c r="N27" s="5"/>
      <c r="O27" s="5"/>
      <c r="P27" s="88"/>
      <c r="Q27" s="95"/>
    </row>
    <row r="28" spans="4:17" s="2" customFormat="1" ht="12" customHeight="1">
      <c r="D28" s="22"/>
      <c r="E28" s="22"/>
      <c r="J28" s="5"/>
      <c r="K28" s="5"/>
      <c r="L28" s="5"/>
      <c r="M28" s="5"/>
      <c r="N28" s="5"/>
      <c r="O28" s="5"/>
      <c r="P28" s="88"/>
      <c r="Q28" s="95"/>
    </row>
    <row r="29" spans="4:17" s="2" customFormat="1" ht="12" customHeight="1">
      <c r="D29" s="22"/>
      <c r="E29" s="22"/>
      <c r="J29" s="5"/>
      <c r="K29" s="5"/>
      <c r="L29" s="5"/>
      <c r="M29" s="5"/>
      <c r="N29" s="5"/>
      <c r="O29" s="5"/>
      <c r="P29" s="88"/>
      <c r="Q29" s="95"/>
    </row>
    <row r="30" spans="4:17" s="2" customFormat="1" ht="12" customHeight="1">
      <c r="D30" s="22"/>
      <c r="E30" s="22"/>
      <c r="J30" s="5"/>
      <c r="K30" s="5"/>
      <c r="L30" s="5"/>
      <c r="M30" s="5"/>
      <c r="N30" s="5"/>
      <c r="O30" s="5"/>
      <c r="P30" s="88"/>
      <c r="Q30" s="95"/>
    </row>
    <row r="31" spans="4:17" s="2" customFormat="1" ht="12" customHeight="1">
      <c r="D31" s="22"/>
      <c r="E31" s="22"/>
      <c r="J31" s="5"/>
      <c r="K31" s="5"/>
      <c r="L31" s="5"/>
      <c r="M31" s="5"/>
      <c r="N31" s="5"/>
      <c r="O31" s="5"/>
      <c r="P31" s="88"/>
      <c r="Q31" s="95"/>
    </row>
    <row r="32" spans="4:17" s="2" customFormat="1" ht="12" customHeight="1">
      <c r="D32" s="22"/>
      <c r="E32" s="22"/>
      <c r="J32" s="5"/>
      <c r="K32" s="5"/>
      <c r="L32" s="5"/>
      <c r="M32" s="5"/>
      <c r="N32" s="5"/>
      <c r="O32" s="5"/>
      <c r="P32" s="88"/>
      <c r="Q32" s="95"/>
    </row>
    <row r="33" spans="4:17" s="2" customFormat="1" ht="12" customHeight="1">
      <c r="D33" s="22"/>
      <c r="E33" s="22"/>
      <c r="J33" s="5"/>
      <c r="K33" s="5"/>
      <c r="L33" s="5"/>
      <c r="M33" s="5"/>
      <c r="N33" s="5"/>
      <c r="O33" s="5"/>
      <c r="P33" s="88"/>
      <c r="Q33" s="95"/>
    </row>
    <row r="34" spans="4:17" s="2" customFormat="1" ht="12" customHeight="1">
      <c r="D34" s="22"/>
      <c r="E34" s="22"/>
      <c r="J34" s="5"/>
      <c r="K34" s="5"/>
      <c r="L34" s="5"/>
      <c r="M34" s="5"/>
      <c r="N34" s="5"/>
      <c r="O34" s="5"/>
      <c r="P34" s="88"/>
      <c r="Q34" s="95"/>
    </row>
    <row r="35" spans="4:17" s="2" customFormat="1" ht="12" customHeight="1">
      <c r="D35" s="22"/>
      <c r="E35" s="22"/>
      <c r="J35" s="5"/>
      <c r="K35" s="5"/>
      <c r="L35" s="5"/>
      <c r="M35" s="5"/>
      <c r="N35" s="5"/>
      <c r="O35" s="5"/>
      <c r="P35" s="88"/>
      <c r="Q35" s="95"/>
    </row>
    <row r="36" spans="4:17" s="2" customFormat="1" ht="12" customHeight="1">
      <c r="D36" s="22"/>
      <c r="E36" s="22"/>
      <c r="J36" s="5"/>
      <c r="K36" s="5"/>
      <c r="L36" s="5"/>
      <c r="M36" s="5"/>
      <c r="N36" s="5"/>
      <c r="O36" s="5"/>
      <c r="P36" s="88"/>
      <c r="Q36" s="95"/>
    </row>
    <row r="37" spans="4:17" s="2" customFormat="1" ht="12" customHeight="1">
      <c r="D37" s="22"/>
      <c r="E37" s="22"/>
      <c r="J37" s="5"/>
      <c r="K37" s="5"/>
      <c r="L37" s="5"/>
      <c r="M37" s="5"/>
      <c r="N37" s="5"/>
      <c r="O37" s="5"/>
      <c r="P37" s="88"/>
      <c r="Q37" s="95"/>
    </row>
    <row r="38" spans="4:17" s="2" customFormat="1" ht="12" customHeight="1">
      <c r="D38" s="22"/>
      <c r="E38" s="22"/>
      <c r="J38" s="5"/>
      <c r="K38" s="5"/>
      <c r="L38" s="5"/>
      <c r="M38" s="5"/>
      <c r="N38" s="5"/>
      <c r="O38" s="5"/>
      <c r="P38" s="88"/>
      <c r="Q38" s="95"/>
    </row>
    <row r="39" spans="4:17" s="2" customFormat="1" ht="12" customHeight="1">
      <c r="D39" s="22"/>
      <c r="E39" s="22"/>
      <c r="J39" s="5"/>
      <c r="K39" s="5"/>
      <c r="L39" s="5"/>
      <c r="M39" s="5"/>
      <c r="N39" s="5"/>
      <c r="O39" s="5"/>
      <c r="P39" s="88"/>
      <c r="Q39" s="95"/>
    </row>
    <row r="40" spans="4:17" s="2" customFormat="1" ht="12" customHeight="1">
      <c r="D40" s="22"/>
      <c r="E40" s="22"/>
      <c r="J40" s="5"/>
      <c r="K40" s="5"/>
      <c r="L40" s="5"/>
      <c r="M40" s="5"/>
      <c r="N40" s="5"/>
      <c r="O40" s="5"/>
      <c r="P40" s="88"/>
      <c r="Q40" s="95"/>
    </row>
    <row r="41" spans="4:17" s="2" customFormat="1" ht="12" customHeight="1">
      <c r="D41" s="22"/>
      <c r="E41" s="22"/>
      <c r="J41" s="5"/>
      <c r="K41" s="5"/>
      <c r="L41" s="5"/>
      <c r="M41" s="5"/>
      <c r="N41" s="5"/>
      <c r="O41" s="5"/>
      <c r="P41" s="88"/>
      <c r="Q41" s="95"/>
    </row>
    <row r="42" spans="4:17" s="2" customFormat="1" ht="12" customHeight="1">
      <c r="D42" s="22"/>
      <c r="E42" s="22"/>
      <c r="J42" s="5"/>
      <c r="K42" s="5"/>
      <c r="L42" s="5"/>
      <c r="M42" s="5"/>
      <c r="N42" s="5"/>
      <c r="O42" s="5"/>
      <c r="P42" s="88"/>
      <c r="Q42" s="95"/>
    </row>
    <row r="43" spans="4:17" s="2" customFormat="1" ht="12" customHeight="1">
      <c r="D43" s="22"/>
      <c r="E43" s="22"/>
      <c r="J43" s="5"/>
      <c r="K43" s="5"/>
      <c r="L43" s="5"/>
      <c r="M43" s="5"/>
      <c r="N43" s="5"/>
      <c r="O43" s="5"/>
      <c r="P43" s="88"/>
      <c r="Q43" s="95"/>
    </row>
    <row r="44" spans="4:17" s="2" customFormat="1" ht="12" customHeight="1">
      <c r="D44" s="22"/>
      <c r="E44" s="22"/>
      <c r="J44" s="5"/>
      <c r="K44" s="5"/>
      <c r="L44" s="5"/>
      <c r="M44" s="5"/>
      <c r="N44" s="5"/>
      <c r="O44" s="5"/>
      <c r="P44" s="88"/>
      <c r="Q44" s="95"/>
    </row>
    <row r="45" spans="4:17" s="2" customFormat="1" ht="12" customHeight="1">
      <c r="D45" s="22"/>
      <c r="E45" s="22"/>
      <c r="J45" s="5"/>
      <c r="K45" s="5"/>
      <c r="L45" s="5"/>
      <c r="M45" s="5"/>
      <c r="N45" s="5"/>
      <c r="O45" s="5"/>
      <c r="P45" s="88"/>
      <c r="Q45" s="95"/>
    </row>
    <row r="46" spans="4:17" s="2" customFormat="1" ht="12" customHeight="1">
      <c r="D46" s="22"/>
      <c r="E46" s="22"/>
      <c r="J46" s="5"/>
      <c r="K46" s="5"/>
      <c r="L46" s="5"/>
      <c r="M46" s="5"/>
      <c r="N46" s="5"/>
      <c r="O46" s="5"/>
      <c r="P46" s="88"/>
      <c r="Q46" s="95"/>
    </row>
    <row r="47" spans="4:17" s="2" customFormat="1" ht="12" customHeight="1">
      <c r="D47" s="22"/>
      <c r="E47" s="22"/>
      <c r="J47" s="5"/>
      <c r="K47" s="5"/>
      <c r="L47" s="5"/>
      <c r="M47" s="5"/>
      <c r="N47" s="5"/>
      <c r="O47" s="5"/>
      <c r="P47" s="88"/>
      <c r="Q47" s="95"/>
    </row>
    <row r="48" spans="4:17" s="2" customFormat="1" ht="12" customHeight="1">
      <c r="D48" s="22"/>
      <c r="E48" s="22"/>
      <c r="J48" s="5"/>
      <c r="K48" s="5"/>
      <c r="L48" s="5"/>
      <c r="M48" s="5"/>
      <c r="N48" s="5"/>
      <c r="O48" s="5"/>
      <c r="P48" s="88"/>
      <c r="Q48" s="95"/>
    </row>
    <row r="49" spans="1:17" s="2" customFormat="1" ht="12" customHeight="1">
      <c r="D49" s="22"/>
      <c r="E49" s="22"/>
      <c r="J49" s="5"/>
      <c r="K49" s="5"/>
      <c r="L49" s="5"/>
      <c r="M49" s="5"/>
      <c r="N49" s="5"/>
      <c r="O49" s="5"/>
      <c r="P49" s="88"/>
      <c r="Q49" s="95"/>
    </row>
    <row r="50" spans="1:17" s="2" customFormat="1" ht="12" customHeight="1">
      <c r="D50" s="22"/>
      <c r="E50" s="22"/>
      <c r="J50" s="5"/>
      <c r="K50" s="5"/>
      <c r="L50" s="5"/>
      <c r="M50" s="5"/>
      <c r="N50" s="5"/>
      <c r="O50" s="5"/>
      <c r="P50" s="88"/>
      <c r="Q50" s="95"/>
    </row>
    <row r="51" spans="1:17" s="2" customFormat="1" ht="12" customHeight="1">
      <c r="D51" s="22"/>
      <c r="E51" s="22"/>
      <c r="J51" s="5"/>
      <c r="K51" s="5"/>
      <c r="L51" s="5"/>
      <c r="M51" s="5"/>
      <c r="N51" s="5"/>
      <c r="O51" s="5"/>
      <c r="P51" s="88"/>
      <c r="Q51" s="95"/>
    </row>
    <row r="52" spans="1:17" s="2" customFormat="1" ht="12" customHeight="1">
      <c r="D52" s="22"/>
      <c r="E52" s="22"/>
      <c r="J52" s="5"/>
      <c r="K52" s="5"/>
      <c r="L52" s="5"/>
      <c r="M52" s="5"/>
      <c r="N52" s="5"/>
      <c r="O52" s="5"/>
      <c r="P52" s="88"/>
      <c r="Q52" s="95"/>
    </row>
    <row r="53" spans="1:17" s="2" customFormat="1" ht="12" customHeight="1">
      <c r="D53" s="22"/>
      <c r="E53" s="22"/>
      <c r="J53" s="5"/>
      <c r="K53" s="5"/>
      <c r="L53" s="5"/>
      <c r="M53" s="5"/>
      <c r="N53" s="5"/>
      <c r="O53" s="5"/>
      <c r="P53" s="88"/>
      <c r="Q53" s="95"/>
    </row>
    <row r="54" spans="1:17" s="2" customFormat="1" ht="12" customHeight="1">
      <c r="D54" s="22"/>
      <c r="E54" s="22"/>
      <c r="J54" s="5"/>
      <c r="K54" s="5"/>
      <c r="L54" s="5"/>
      <c r="M54" s="5"/>
      <c r="N54" s="5"/>
      <c r="O54" s="5"/>
      <c r="P54" s="88"/>
      <c r="Q54" s="96"/>
    </row>
    <row r="55" spans="1:17" s="2" customFormat="1" ht="12" customHeight="1">
      <c r="D55" s="22"/>
      <c r="E55" s="22"/>
      <c r="J55" s="5"/>
      <c r="K55" s="5"/>
      <c r="L55" s="5"/>
      <c r="M55" s="5"/>
      <c r="N55" s="5"/>
      <c r="O55" s="5"/>
      <c r="P55" s="88"/>
      <c r="Q55" s="96"/>
    </row>
    <row r="56" spans="1:17" s="2" customFormat="1" ht="12" customHeight="1">
      <c r="D56" s="22"/>
      <c r="E56" s="22"/>
      <c r="J56" s="5"/>
      <c r="K56" s="5"/>
      <c r="L56" s="5"/>
      <c r="M56" s="5"/>
      <c r="N56" s="5"/>
      <c r="O56" s="5"/>
      <c r="P56" s="88"/>
      <c r="Q56" s="96"/>
    </row>
    <row r="57" spans="1:17" s="2" customFormat="1" ht="12" customHeight="1">
      <c r="D57" s="22"/>
      <c r="E57" s="22"/>
      <c r="J57" s="5"/>
      <c r="K57" s="5"/>
      <c r="L57" s="5"/>
      <c r="M57" s="5"/>
      <c r="N57" s="5"/>
      <c r="O57" s="5"/>
      <c r="P57" s="88"/>
      <c r="Q57" s="96"/>
    </row>
    <row r="58" spans="1:17" s="2" customFormat="1" ht="12" customHeight="1">
      <c r="A58"/>
      <c r="B58"/>
      <c r="C58"/>
      <c r="D58" s="23"/>
      <c r="E58" s="23"/>
      <c r="F58"/>
      <c r="G58"/>
      <c r="H58"/>
      <c r="I58"/>
      <c r="J58" s="19"/>
      <c r="K58" s="19"/>
      <c r="L58" s="19"/>
      <c r="M58" s="19"/>
      <c r="N58" s="19"/>
      <c r="O58" s="19"/>
      <c r="P58" s="90"/>
      <c r="Q58" s="96"/>
    </row>
    <row r="59" spans="1:17" s="2" customFormat="1" ht="12" customHeight="1">
      <c r="A59"/>
      <c r="B59"/>
      <c r="C59"/>
      <c r="D59" s="23"/>
      <c r="E59" s="23"/>
      <c r="F59"/>
      <c r="G59"/>
      <c r="H59"/>
      <c r="I59"/>
      <c r="J59" s="19"/>
      <c r="K59" s="19"/>
      <c r="L59" s="19"/>
      <c r="M59" s="19"/>
      <c r="N59" s="19"/>
      <c r="O59" s="19"/>
      <c r="P59" s="90"/>
      <c r="Q59" s="96"/>
    </row>
    <row r="60" spans="1:17" s="2" customFormat="1" ht="12" customHeight="1">
      <c r="A60"/>
      <c r="B60"/>
      <c r="C60"/>
      <c r="D60" s="23"/>
      <c r="E60" s="23"/>
      <c r="F60"/>
      <c r="G60"/>
      <c r="H60"/>
      <c r="I60"/>
      <c r="J60" s="19"/>
      <c r="K60" s="19"/>
      <c r="L60" s="19"/>
      <c r="M60" s="19"/>
      <c r="N60" s="19"/>
      <c r="O60" s="19"/>
      <c r="P60" s="90"/>
      <c r="Q60" s="96"/>
    </row>
    <row r="61" spans="1:17" s="2" customFormat="1" ht="12" customHeight="1">
      <c r="A61"/>
      <c r="B61"/>
      <c r="C61"/>
      <c r="D61" s="23"/>
      <c r="E61" s="23"/>
      <c r="F61"/>
      <c r="G61"/>
      <c r="H61"/>
      <c r="I61"/>
      <c r="J61" s="19"/>
      <c r="K61" s="19"/>
      <c r="L61" s="19"/>
      <c r="M61" s="19"/>
      <c r="N61" s="19"/>
      <c r="O61" s="19"/>
      <c r="P61" s="90"/>
      <c r="Q61" s="96"/>
    </row>
    <row r="62" spans="1:17" s="2" customFormat="1" ht="12" customHeight="1">
      <c r="A62"/>
      <c r="B62"/>
      <c r="C62"/>
      <c r="D62" s="23"/>
      <c r="E62" s="23"/>
      <c r="F62"/>
      <c r="G62"/>
      <c r="H62"/>
      <c r="I62"/>
      <c r="J62" s="19"/>
      <c r="K62" s="19"/>
      <c r="L62" s="19"/>
      <c r="M62" s="19"/>
      <c r="N62" s="19"/>
      <c r="O62" s="19"/>
      <c r="P62" s="90"/>
      <c r="Q62" s="96"/>
    </row>
    <row r="63" spans="1:17">
      <c r="Q63" s="96"/>
    </row>
    <row r="64" spans="1:17">
      <c r="Q64" s="96"/>
    </row>
    <row r="65" spans="17:17">
      <c r="Q65" s="96"/>
    </row>
    <row r="66" spans="17:17">
      <c r="Q66" s="96"/>
    </row>
    <row r="67" spans="17:17">
      <c r="Q67" s="96"/>
    </row>
    <row r="68" spans="17:17">
      <c r="Q68" s="96"/>
    </row>
    <row r="69" spans="17:17">
      <c r="Q69" s="96"/>
    </row>
    <row r="70" spans="17:17">
      <c r="Q70" s="96"/>
    </row>
    <row r="71" spans="17:17">
      <c r="Q71" s="96"/>
    </row>
    <row r="72" spans="17:17">
      <c r="Q72" s="96"/>
    </row>
    <row r="73" spans="17:17">
      <c r="Q73" s="96"/>
    </row>
    <row r="74" spans="17:17">
      <c r="Q74" s="96"/>
    </row>
    <row r="75" spans="17:17">
      <c r="Q75" s="96"/>
    </row>
    <row r="76" spans="17:17">
      <c r="Q76" s="96"/>
    </row>
    <row r="77" spans="17:17">
      <c r="Q77" s="96"/>
    </row>
    <row r="78" spans="17:17">
      <c r="Q78" s="96"/>
    </row>
    <row r="79" spans="17:17">
      <c r="Q79" s="96"/>
    </row>
    <row r="80" spans="17:17">
      <c r="Q80" s="96"/>
    </row>
    <row r="81" spans="17:17">
      <c r="Q81" s="96"/>
    </row>
    <row r="82" spans="17:17">
      <c r="Q82" s="96"/>
    </row>
    <row r="119" ht="12" customHeight="1"/>
    <row r="120" ht="12" customHeight="1"/>
    <row r="121" ht="12" customHeight="1"/>
    <row r="122" ht="12" customHeight="1"/>
    <row r="123" ht="12" customHeight="1"/>
    <row r="124" ht="12" customHeight="1"/>
    <row r="125" ht="12" customHeight="1"/>
    <row r="126" ht="12" customHeight="1"/>
    <row r="127" ht="12" customHeight="1"/>
    <row r="128" ht="12" customHeight="1"/>
    <row r="129" ht="12" customHeight="1"/>
    <row r="130" ht="12" customHeight="1"/>
    <row r="131" ht="12" customHeight="1"/>
    <row r="132" ht="12" customHeight="1"/>
    <row r="133" ht="12" customHeight="1"/>
    <row r="134" ht="12" customHeight="1"/>
    <row r="135" ht="12" customHeight="1"/>
    <row r="136" ht="12" customHeight="1"/>
    <row r="137" ht="12" customHeight="1"/>
    <row r="138" ht="12" customHeight="1"/>
    <row r="139" ht="12" customHeight="1"/>
    <row r="140" ht="12" customHeight="1"/>
    <row r="141" ht="12" customHeight="1"/>
    <row r="142" ht="12" customHeight="1"/>
    <row r="143" ht="12" customHeight="1"/>
    <row r="144" ht="12" customHeight="1"/>
    <row r="145" ht="12" customHeight="1"/>
    <row r="146" ht="12" customHeight="1"/>
    <row r="147" ht="12" customHeight="1"/>
    <row r="148" ht="12" customHeight="1"/>
    <row r="149" ht="12" customHeight="1"/>
    <row r="150" ht="12" customHeight="1"/>
    <row r="151" ht="12" customHeight="1"/>
    <row r="152" ht="12" customHeight="1"/>
    <row r="153" ht="12" customHeight="1"/>
    <row r="154" ht="12" customHeight="1"/>
    <row r="155" ht="12" customHeight="1"/>
    <row r="156" ht="12" customHeight="1"/>
    <row r="157" ht="12" customHeight="1"/>
    <row r="158" ht="12" customHeight="1"/>
    <row r="159" ht="12" customHeight="1"/>
    <row r="160" ht="12" customHeight="1"/>
    <row r="161" ht="12" customHeight="1"/>
    <row r="162" ht="12" customHeight="1"/>
    <row r="163" ht="12" customHeight="1"/>
    <row r="164" ht="12" customHeight="1"/>
    <row r="165" ht="12" customHeight="1"/>
    <row r="166" ht="12" customHeight="1"/>
    <row r="167" ht="12" customHeight="1"/>
    <row r="168" ht="12" customHeight="1"/>
  </sheetData>
  <mergeCells count="17">
    <mergeCell ref="D8:E8"/>
    <mergeCell ref="D5:E5"/>
    <mergeCell ref="D1:E1"/>
    <mergeCell ref="D4:E4"/>
    <mergeCell ref="D15:E15"/>
    <mergeCell ref="H4:I4"/>
    <mergeCell ref="D6:E6"/>
    <mergeCell ref="H6:I6"/>
    <mergeCell ref="D7:E7"/>
    <mergeCell ref="H15:I15"/>
    <mergeCell ref="D11:E11"/>
    <mergeCell ref="H11:I11"/>
    <mergeCell ref="D9:E9"/>
    <mergeCell ref="D10:E10"/>
    <mergeCell ref="D12:E12"/>
    <mergeCell ref="D13:E13"/>
    <mergeCell ref="D14:E14"/>
  </mergeCells>
  <conditionalFormatting sqref="M5">
    <cfRule type="cellIs" dxfId="621" priority="1" stopIfTrue="1" operator="lessThanOrEqual">
      <formula>$L5</formula>
    </cfRule>
    <cfRule type="cellIs" dxfId="620" priority="2" operator="greaterThan">
      <formula>L5</formula>
    </cfRule>
  </conditionalFormatting>
  <conditionalFormatting sqref="M7:M10 M12:M14">
    <cfRule type="cellIs" dxfId="619" priority="3" stopIfTrue="1" operator="lessThanOrEqual">
      <formula>$L7</formula>
    </cfRule>
    <cfRule type="cellIs" dxfId="618" priority="4" operator="greaterThan">
      <formula>L7</formula>
    </cfRule>
  </conditionalFormatting>
  <pageMargins left="0.7" right="0.7" top="0.75" bottom="0.75" header="0.3" footer="0.3"/>
  <pageSetup paperSize="3" fitToHeight="0" orientation="landscape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5DF5FB7-C078-4AF8-892C-B7784786B220}">
          <x14:formula1>
            <xm:f>Bolts!$A:$A</xm:f>
          </x14:formula1>
          <xm:sqref>C12:C14</xm:sqref>
        </x14:dataValidation>
        <x14:dataValidation type="list" allowBlank="1" showInputMessage="1" showErrorMessage="1" xr:uid="{817B4480-43DE-4271-B3BB-689C27D506FF}">
          <x14:formula1>
            <xm:f>Purchased!$A:$A</xm:f>
          </x14:formula1>
          <xm:sqref>C7:C10</xm:sqref>
        </x14:dataValidation>
        <x14:dataValidation type="list" allowBlank="1" showInputMessage="1" showErrorMessage="1" xr:uid="{E36394DF-CBB3-490E-9191-56B77D4423E7}">
          <x14:formula1>
            <xm:f>Machined!$C:$C</xm:f>
          </x14:formula1>
          <xm:sqref>C5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D55252-C5B1-4C78-86FC-C4349629F772}">
  <sheetPr codeName="Sheet18">
    <tabColor theme="3" tint="0.79998168889431442"/>
    <pageSetUpPr fitToPage="1"/>
  </sheetPr>
  <dimension ref="A1:Q166"/>
  <sheetViews>
    <sheetView zoomScaleNormal="100" workbookViewId="0">
      <selection activeCell="C21" sqref="C21"/>
    </sheetView>
  </sheetViews>
  <sheetFormatPr defaultColWidth="9.140625" defaultRowHeight="15"/>
  <cols>
    <col min="1" max="1" width="5.7109375" customWidth="1"/>
    <col min="2" max="2" width="5.42578125" bestFit="1" customWidth="1"/>
    <col min="3" max="3" width="30.7109375" customWidth="1"/>
    <col min="4" max="5" width="20.7109375" style="23" customWidth="1"/>
    <col min="6" max="6" width="16.85546875" bestFit="1" customWidth="1"/>
    <col min="7" max="7" width="9.7109375" customWidth="1"/>
    <col min="8" max="8" width="8.7109375" customWidth="1"/>
    <col min="9" max="9" width="20.7109375" customWidth="1"/>
    <col min="10" max="13" width="11.7109375" style="19" customWidth="1"/>
    <col min="14" max="14" width="11.85546875" style="19" bestFit="1" customWidth="1"/>
    <col min="15" max="15" width="7.7109375" style="19" customWidth="1"/>
    <col min="16" max="16" width="10.7109375" style="90" customWidth="1"/>
    <col min="17" max="17" width="10.7109375" style="97" customWidth="1"/>
  </cols>
  <sheetData>
    <row r="1" spans="1:17" s="55" customFormat="1" ht="12" customHeight="1">
      <c r="A1" s="68" t="s">
        <v>0</v>
      </c>
      <c r="B1" s="69"/>
      <c r="C1" s="69"/>
      <c r="D1" s="262" t="s">
        <v>1</v>
      </c>
      <c r="E1" s="263"/>
      <c r="F1" s="70"/>
      <c r="G1" s="69"/>
      <c r="H1" s="70"/>
      <c r="I1" s="71"/>
      <c r="J1" s="72"/>
      <c r="K1" s="72"/>
      <c r="L1" s="72"/>
      <c r="M1" s="72"/>
      <c r="N1" s="72"/>
      <c r="O1" s="72"/>
      <c r="P1" s="85"/>
      <c r="Q1" s="91"/>
    </row>
    <row r="2" spans="1:17" s="55" customFormat="1" ht="12" customHeight="1">
      <c r="A2" s="74" t="s">
        <v>48</v>
      </c>
      <c r="B2" s="58"/>
      <c r="C2" s="57" t="e">
        <f ca="1">VLOOKUP(E3,Assemblies!B:F,4,0)</f>
        <v>#VALUE!</v>
      </c>
      <c r="D2" s="75" t="s">
        <v>3</v>
      </c>
      <c r="E2" s="76" t="e">
        <f ca="1">'GF12'!E2</f>
        <v>#VALUE!</v>
      </c>
      <c r="F2" s="77" t="s">
        <v>4</v>
      </c>
      <c r="G2" s="58" t="str">
        <f>'GF12'!G2</f>
        <v>GH</v>
      </c>
      <c r="H2" s="77" t="s">
        <v>6</v>
      </c>
      <c r="I2" s="59">
        <f>'GF12'!I2</f>
        <v>44775</v>
      </c>
      <c r="J2" s="39"/>
      <c r="K2" s="40" t="s">
        <v>49</v>
      </c>
      <c r="L2" s="41" t="e">
        <f ca="1">VLOOKUP(C2,Assemblies!E:G,3,0)</f>
        <v>#VALUE!</v>
      </c>
      <c r="M2" s="78"/>
      <c r="N2" s="78"/>
      <c r="O2" s="78"/>
      <c r="P2" s="86"/>
      <c r="Q2" s="92"/>
    </row>
    <row r="3" spans="1:17" s="55" customFormat="1" ht="12" customHeight="1" thickBot="1">
      <c r="A3" s="74" t="s">
        <v>7</v>
      </c>
      <c r="B3" s="58"/>
      <c r="C3" s="57" t="e">
        <f ca="1">VLOOKUP(E3,Assemblies!B:F,5,0)</f>
        <v>#VALUE!</v>
      </c>
      <c r="D3" s="75" t="s">
        <v>50</v>
      </c>
      <c r="E3" s="76" t="e">
        <f ca="1">MID(CELL("filename",A1),FIND("]",CELL("filename",A1))+1,256)</f>
        <v>#VALUE!</v>
      </c>
      <c r="F3" s="77" t="s">
        <v>11</v>
      </c>
      <c r="G3" s="58" t="str">
        <f>'GF12'!G3</f>
        <v>GH</v>
      </c>
      <c r="H3" s="77" t="s">
        <v>6</v>
      </c>
      <c r="I3" s="59">
        <f>'GF12'!I3</f>
        <v>44775</v>
      </c>
      <c r="J3" s="78"/>
      <c r="K3" s="78"/>
      <c r="L3" s="78"/>
      <c r="M3" s="78"/>
      <c r="N3" s="78"/>
      <c r="O3" s="78"/>
      <c r="P3" s="86"/>
      <c r="Q3" s="92"/>
    </row>
    <row r="4" spans="1:17" s="56" customFormat="1" ht="12.75" customHeight="1" thickBot="1">
      <c r="A4" s="80" t="s">
        <v>12</v>
      </c>
      <c r="B4" s="81" t="s">
        <v>13</v>
      </c>
      <c r="C4" s="81" t="s">
        <v>14</v>
      </c>
      <c r="D4" s="270" t="s">
        <v>15</v>
      </c>
      <c r="E4" s="271"/>
      <c r="F4" s="104" t="s">
        <v>16</v>
      </c>
      <c r="G4" s="81" t="s">
        <v>17</v>
      </c>
      <c r="H4" s="260" t="s">
        <v>18</v>
      </c>
      <c r="I4" s="261"/>
      <c r="J4" s="81" t="s">
        <v>51</v>
      </c>
      <c r="K4" s="81" t="s">
        <v>20</v>
      </c>
      <c r="L4" s="81" t="s">
        <v>21</v>
      </c>
      <c r="M4" s="81" t="s">
        <v>52</v>
      </c>
      <c r="N4" s="81" t="s">
        <v>22</v>
      </c>
      <c r="O4" s="81" t="s">
        <v>53</v>
      </c>
      <c r="P4" s="107" t="s">
        <v>26</v>
      </c>
      <c r="Q4" s="82" t="s">
        <v>27</v>
      </c>
    </row>
    <row r="5" spans="1:17" s="2" customFormat="1" ht="12.75" customHeight="1">
      <c r="A5" s="127">
        <v>1</v>
      </c>
      <c r="B5" s="21">
        <v>1</v>
      </c>
      <c r="C5" s="108" t="s">
        <v>271</v>
      </c>
      <c r="D5" s="277" t="str">
        <f>VLOOKUP(C5,Machined!C:Q,2,0)</f>
        <v>.500 LOWER RAIL PLATE</v>
      </c>
      <c r="E5" s="278"/>
      <c r="F5" s="131" t="str">
        <f>VLOOKUP(C5,Machined!C:R,7,0)</f>
        <v>MIC 6</v>
      </c>
      <c r="G5" s="131" t="str">
        <f>VLOOKUP(C5,Machined!C:R,10,0)</f>
        <v>FRONTIER</v>
      </c>
      <c r="H5" s="131" t="str">
        <f>VLOOKUP(C5,Machined!C:R,11,0)</f>
        <v xml:space="preserve">  </v>
      </c>
      <c r="I5" s="131"/>
      <c r="J5" s="42">
        <f>VLOOKUP(C5,Machined!C:R,12,0)</f>
        <v>45139</v>
      </c>
      <c r="K5" s="42">
        <f>VLOOKUP(C5,Machined!C:R,13,0)</f>
        <v>45140</v>
      </c>
      <c r="L5" s="42">
        <f>VLOOKUP(C5,Machined!C:R,14,0)</f>
        <v>45170</v>
      </c>
      <c r="M5" s="42">
        <f>VLOOKUP(C5,Machined!C:R,15,0)</f>
        <v>45170</v>
      </c>
      <c r="N5" s="43">
        <f>VLOOKUP(C5,Machined!C:R,16,0)</f>
        <v>55025</v>
      </c>
      <c r="O5" s="43" t="e">
        <f t="shared" ref="O5" ca="1" si="0">B5*$L$2</f>
        <v>#VALUE!</v>
      </c>
      <c r="P5" s="47">
        <f>IFERROR(VLOOKUP(C5,Machined!C:F,3,0),"")</f>
        <v>0</v>
      </c>
      <c r="Q5" s="48">
        <f t="shared" ref="Q5" si="1">IFERROR(B5*P5,"")</f>
        <v>0</v>
      </c>
    </row>
    <row r="6" spans="1:17" s="2" customFormat="1" ht="12.75" customHeight="1">
      <c r="A6" s="143"/>
      <c r="B6" s="26"/>
      <c r="C6" s="26"/>
      <c r="D6" s="272"/>
      <c r="E6" s="273"/>
      <c r="F6" s="26"/>
      <c r="G6" s="26"/>
      <c r="H6" s="274"/>
      <c r="I6" s="275"/>
      <c r="J6" s="27"/>
      <c r="K6" s="27"/>
      <c r="L6" s="27"/>
      <c r="M6" s="28"/>
      <c r="N6" s="29"/>
      <c r="O6" s="29"/>
      <c r="P6" s="141"/>
      <c r="Q6" s="142"/>
    </row>
    <row r="7" spans="1:17" s="2" customFormat="1" ht="12.75" customHeight="1">
      <c r="A7" s="4">
        <v>301</v>
      </c>
      <c r="B7" s="2">
        <v>12</v>
      </c>
      <c r="C7" s="114" t="s">
        <v>262</v>
      </c>
      <c r="D7" s="268" t="str">
        <f>VLOOKUP(C7,Purchased!A:B,2,0)</f>
        <v>BRX GOTO T-NUT 10 M6</v>
      </c>
      <c r="E7" s="269"/>
      <c r="F7" s="112" t="str">
        <f>VLOOKUP(C7,Purchased!A:Q,9,0)</f>
        <v>BRX</v>
      </c>
      <c r="G7" s="112" t="str">
        <f>VLOOKUP(C7,Purchased!A:Q,10,0)</f>
        <v>AAP</v>
      </c>
      <c r="H7" s="112" t="str">
        <f>VLOOKUP(C7,Purchased!A:Q,12,0)</f>
        <v xml:space="preserve">  </v>
      </c>
      <c r="I7" s="113"/>
      <c r="J7" s="44">
        <f>VLOOKUP(C7,Purchased!A:Q,13,0)</f>
        <v>45104</v>
      </c>
      <c r="K7" s="44">
        <f>VLOOKUP(C7,Purchased!A:Q,14,0)</f>
        <v>45105</v>
      </c>
      <c r="L7" s="44">
        <f>VLOOKUP(C7,Purchased!A:Q,15,0)</f>
        <v>45133</v>
      </c>
      <c r="M7" s="44">
        <f>VLOOKUP(C7,Purchased!A:Q,16,0)</f>
        <v>45133</v>
      </c>
      <c r="N7" s="45" t="str">
        <f>VLOOKUP(C7,Purchased!A:Q,17,0)</f>
        <v>54968, 55147, 55270</v>
      </c>
      <c r="O7" s="45" t="e">
        <f t="shared" ref="O7:O9" ca="1" si="2">B7*$L$2</f>
        <v>#VALUE!</v>
      </c>
      <c r="P7" s="49">
        <f>IFERROR(VLOOKUP(C7,Purchased!A:E,3,FALSE),"")</f>
        <v>0.64290000000000003</v>
      </c>
      <c r="Q7" s="50">
        <f t="shared" ref="Q7:Q9" si="3">IFERROR(B7*P7,"")</f>
        <v>7.7148000000000003</v>
      </c>
    </row>
    <row r="8" spans="1:17" s="2" customFormat="1" ht="12" customHeight="1">
      <c r="A8" s="4">
        <f t="shared" ref="A8:A9" si="4">A7+1</f>
        <v>302</v>
      </c>
      <c r="B8" s="2">
        <v>1</v>
      </c>
      <c r="C8" s="114" t="s">
        <v>269</v>
      </c>
      <c r="D8" s="268" t="str">
        <f>VLOOKUP(C8,Purchased!A:B,2,0)</f>
        <v>BRL 15mm Ball Rail, assy 114, cross seal adjustment</v>
      </c>
      <c r="E8" s="269"/>
      <c r="F8" s="112" t="str">
        <f>VLOOKUP(C8,Purchased!A:Q,9,0)</f>
        <v>BRL</v>
      </c>
      <c r="G8" s="112" t="str">
        <f>VLOOKUP(C8,Purchased!A:Q,10,0)</f>
        <v>AAP</v>
      </c>
      <c r="H8" s="112" t="str">
        <f>VLOOKUP(C8,Purchased!A:Q,12,0)</f>
        <v xml:space="preserve"> </v>
      </c>
      <c r="I8" s="113"/>
      <c r="J8" s="44">
        <f>VLOOKUP(C8,Purchased!A:Q,13,0)</f>
        <v>45093</v>
      </c>
      <c r="K8" s="44">
        <f>VLOOKUP(C8,Purchased!A:Q,14,0)</f>
        <v>45093</v>
      </c>
      <c r="L8" s="44">
        <f>VLOOKUP(C8,Purchased!A:Q,15,0)</f>
        <v>45184</v>
      </c>
      <c r="M8" s="44">
        <f>VLOOKUP(C8,Purchased!A:Q,16,0)</f>
        <v>45184</v>
      </c>
      <c r="N8" s="45">
        <f>VLOOKUP(C8,Purchased!A:Q,17,0)</f>
        <v>54942</v>
      </c>
      <c r="O8" s="45" t="e">
        <f t="shared" ca="1" si="2"/>
        <v>#VALUE!</v>
      </c>
      <c r="P8" s="49">
        <f>IFERROR(VLOOKUP(C8,Purchased!A:E,3,FALSE),"")</f>
        <v>284.62079999999997</v>
      </c>
      <c r="Q8" s="50">
        <f t="shared" si="3"/>
        <v>284.62079999999997</v>
      </c>
    </row>
    <row r="9" spans="1:17" s="2" customFormat="1" ht="12" customHeight="1">
      <c r="A9" s="4">
        <f t="shared" si="4"/>
        <v>303</v>
      </c>
      <c r="B9" s="2">
        <v>2</v>
      </c>
      <c r="C9" s="114" t="s">
        <v>263</v>
      </c>
      <c r="D9" s="268" t="str">
        <f>VLOOKUP(C9,Purchased!A:B,2,0)</f>
        <v>Dowel Pin 52100 Alloy Steel, 10 mm Diameter, 20 mm Long, 10pk</v>
      </c>
      <c r="E9" s="269"/>
      <c r="F9" s="112" t="str">
        <f>VLOOKUP(C9,Purchased!A:Q,9,0)</f>
        <v>MCM</v>
      </c>
      <c r="G9" s="112" t="str">
        <f>VLOOKUP(C9,Purchased!A:Q,10,0)</f>
        <v>MCM</v>
      </c>
      <c r="H9" s="112" t="str">
        <f>VLOOKUP(C9,Purchased!A:Q,12,0)</f>
        <v>Pack of 10</v>
      </c>
      <c r="I9" s="113"/>
      <c r="J9" s="44" t="str">
        <f>VLOOKUP(C9,Purchased!A:Q,13,0)</f>
        <v>N/A</v>
      </c>
      <c r="K9" s="44">
        <f>VLOOKUP(C9,Purchased!A:Q,14,0)</f>
        <v>45162</v>
      </c>
      <c r="L9" s="44">
        <f>VLOOKUP(C9,Purchased!A:Q,15,0)</f>
        <v>45184</v>
      </c>
      <c r="M9" s="44">
        <f>VLOOKUP(C9,Purchased!A:Q,16,0)</f>
        <v>45163</v>
      </c>
      <c r="N9" s="45">
        <f>VLOOKUP(C9,Purchased!A:Q,17,0)</f>
        <v>55088</v>
      </c>
      <c r="O9" s="45" t="e">
        <f t="shared" ca="1" si="2"/>
        <v>#VALUE!</v>
      </c>
      <c r="P9" s="49">
        <f>IFERROR(VLOOKUP(C9,Purchased!A:E,3,FALSE),"")</f>
        <v>10.57</v>
      </c>
      <c r="Q9" s="50">
        <f t="shared" si="3"/>
        <v>21.14</v>
      </c>
    </row>
    <row r="10" spans="1:17" s="2" customFormat="1" ht="12.75" customHeight="1">
      <c r="A10" s="25"/>
      <c r="B10" s="26"/>
      <c r="C10" s="26"/>
      <c r="D10" s="272"/>
      <c r="E10" s="273"/>
      <c r="F10" s="26"/>
      <c r="G10" s="26"/>
      <c r="H10" s="274"/>
      <c r="I10" s="275"/>
      <c r="J10" s="27"/>
      <c r="K10" s="27"/>
      <c r="L10" s="27"/>
      <c r="M10" s="28"/>
      <c r="N10" s="29"/>
      <c r="O10" s="29" t="e">
        <f t="shared" ref="O10:O12" ca="1" si="5">B10*$L$2</f>
        <v>#VALUE!</v>
      </c>
      <c r="P10" s="141"/>
      <c r="Q10" s="142"/>
    </row>
    <row r="11" spans="1:17" s="2" customFormat="1" ht="12.75" customHeight="1">
      <c r="A11" s="4">
        <v>501</v>
      </c>
      <c r="B11" s="2">
        <v>7</v>
      </c>
      <c r="C11" s="110" t="s">
        <v>265</v>
      </c>
      <c r="D11" s="268"/>
      <c r="E11" s="276"/>
      <c r="F11" s="112" t="str">
        <f>VLOOKUP(C11,Bolts!A:L,5,0)</f>
        <v xml:space="preserve">  </v>
      </c>
      <c r="G11" s="112" t="str">
        <f>VLOOKUP(C11,Bolts!A:L,6,0)</f>
        <v>Monroe Fasteners</v>
      </c>
      <c r="H11" s="112" t="str">
        <f>VLOOKUP(C11,Bolts!A:L,7,0)</f>
        <v xml:space="preserve">  </v>
      </c>
      <c r="I11" s="112"/>
      <c r="J11" s="44" t="str">
        <f>VLOOKUP(C11,Bolts!A:L,8,0)</f>
        <v xml:space="preserve"> </v>
      </c>
      <c r="K11" s="44" t="str">
        <f>VLOOKUP(C11,Bolts!A:L,9,0)</f>
        <v xml:space="preserve"> </v>
      </c>
      <c r="L11" s="44" t="str">
        <f>VLOOKUP(C11,Bolts!A:L,10,0)</f>
        <v xml:space="preserve"> </v>
      </c>
      <c r="M11" s="44" t="str">
        <f>VLOOKUP(C11,Bolts!A:L,11,0)</f>
        <v xml:space="preserve"> </v>
      </c>
      <c r="N11" s="45" t="str">
        <f>VLOOKUP(C11,Bolts!A:L,12,0)</f>
        <v xml:space="preserve"> </v>
      </c>
      <c r="O11" s="45" t="e">
        <f t="shared" ca="1" si="5"/>
        <v>#VALUE!</v>
      </c>
      <c r="P11" s="49" t="str">
        <f>IFERROR(VLOOKUP(C11,Bolts!A:B,2,FALSE),"")</f>
        <v xml:space="preserve"> </v>
      </c>
      <c r="Q11" s="50" t="str">
        <f t="shared" ref="Q11:Q12" si="6">IFERROR(B11*P11,"")</f>
        <v/>
      </c>
    </row>
    <row r="12" spans="1:17" s="2" customFormat="1" ht="12.75" customHeight="1" thickBot="1">
      <c r="A12" s="4">
        <f t="shared" ref="A12" si="7">A11+1</f>
        <v>502</v>
      </c>
      <c r="B12" s="2">
        <v>12</v>
      </c>
      <c r="C12" s="110" t="s">
        <v>266</v>
      </c>
      <c r="D12" s="268"/>
      <c r="E12" s="276"/>
      <c r="F12" s="112" t="str">
        <f>VLOOKUP(C12,Bolts!A:L,5,0)</f>
        <v xml:space="preserve">  </v>
      </c>
      <c r="G12" s="112" t="str">
        <f>VLOOKUP(C12,Bolts!A:L,6,0)</f>
        <v>Monroe Fasteners</v>
      </c>
      <c r="H12" s="112" t="str">
        <f>VLOOKUP(C12,Bolts!A:L,7,0)</f>
        <v xml:space="preserve">  </v>
      </c>
      <c r="I12" s="112"/>
      <c r="J12" s="44" t="str">
        <f>VLOOKUP(C12,Bolts!A:L,8,0)</f>
        <v xml:space="preserve"> </v>
      </c>
      <c r="K12" s="44" t="str">
        <f>VLOOKUP(C12,Bolts!A:L,9,0)</f>
        <v xml:space="preserve"> </v>
      </c>
      <c r="L12" s="44" t="str">
        <f>VLOOKUP(C12,Bolts!A:L,10,0)</f>
        <v xml:space="preserve"> </v>
      </c>
      <c r="M12" s="44" t="str">
        <f>VLOOKUP(C12,Bolts!A:L,11,0)</f>
        <v xml:space="preserve"> </v>
      </c>
      <c r="N12" s="45" t="str">
        <f>VLOOKUP(C12,Bolts!A:L,12,0)</f>
        <v xml:space="preserve"> </v>
      </c>
      <c r="O12" s="45" t="e">
        <f t="shared" ca="1" si="5"/>
        <v>#VALUE!</v>
      </c>
      <c r="P12" s="49" t="str">
        <f>IFERROR(VLOOKUP(C12,Bolts!A:B,2,FALSE),"")</f>
        <v xml:space="preserve"> </v>
      </c>
      <c r="Q12" s="50" t="str">
        <f t="shared" si="6"/>
        <v/>
      </c>
    </row>
    <row r="13" spans="1:17" s="2" customFormat="1" ht="12.75" customHeight="1" thickBot="1">
      <c r="A13" s="34"/>
      <c r="B13" s="35"/>
      <c r="C13" s="35"/>
      <c r="D13" s="256"/>
      <c r="E13" s="279"/>
      <c r="F13" s="35"/>
      <c r="G13" s="35"/>
      <c r="H13" s="294"/>
      <c r="I13" s="294"/>
      <c r="J13" s="36"/>
      <c r="K13" s="36"/>
      <c r="L13" s="36"/>
      <c r="M13" s="37"/>
      <c r="N13" s="38"/>
      <c r="O13" s="38"/>
      <c r="P13" s="89" t="s">
        <v>43</v>
      </c>
      <c r="Q13" s="94">
        <f>SUM(Q5:Q12)</f>
        <v>313.47559999999999</v>
      </c>
    </row>
    <row r="14" spans="1:17" s="2" customFormat="1" ht="12" customHeight="1">
      <c r="D14" s="22"/>
      <c r="E14" s="22"/>
      <c r="J14" s="8"/>
      <c r="K14" s="8"/>
      <c r="L14" s="8"/>
      <c r="M14" s="8"/>
      <c r="N14" s="5"/>
      <c r="O14" s="5"/>
      <c r="P14" s="88"/>
      <c r="Q14" s="95"/>
    </row>
    <row r="15" spans="1:17" s="2" customFormat="1" ht="12" customHeight="1">
      <c r="D15" s="22"/>
      <c r="E15" s="22"/>
      <c r="J15" s="5"/>
      <c r="K15" s="5"/>
      <c r="L15" s="5"/>
      <c r="M15" s="5"/>
      <c r="N15" s="5"/>
      <c r="O15" s="5"/>
      <c r="P15" s="88"/>
      <c r="Q15" s="95"/>
    </row>
    <row r="16" spans="1:17" s="2" customFormat="1" ht="12" customHeight="1">
      <c r="D16" s="22"/>
      <c r="E16" s="22"/>
      <c r="J16" s="5"/>
      <c r="K16" s="5"/>
      <c r="L16" s="5"/>
      <c r="M16" s="5"/>
      <c r="N16" s="5"/>
      <c r="O16" s="5"/>
      <c r="P16" s="88"/>
      <c r="Q16" s="95"/>
    </row>
    <row r="17" spans="4:17" s="2" customFormat="1" ht="12" customHeight="1">
      <c r="D17" s="22"/>
      <c r="E17" s="22"/>
      <c r="J17" s="5"/>
      <c r="K17" s="5"/>
      <c r="L17" s="5"/>
      <c r="M17" s="5"/>
      <c r="N17" s="5"/>
      <c r="O17" s="5"/>
      <c r="P17" s="88"/>
      <c r="Q17" s="95"/>
    </row>
    <row r="18" spans="4:17" s="2" customFormat="1" ht="12" customHeight="1">
      <c r="D18" s="22"/>
      <c r="E18" s="22"/>
      <c r="J18" s="5"/>
      <c r="K18" s="5"/>
      <c r="L18" s="5"/>
      <c r="M18" s="5"/>
      <c r="N18" s="5"/>
      <c r="O18" s="5"/>
      <c r="P18" s="88"/>
      <c r="Q18" s="95"/>
    </row>
    <row r="19" spans="4:17" s="2" customFormat="1" ht="12" customHeight="1">
      <c r="D19" s="22"/>
      <c r="E19" s="22"/>
      <c r="J19" s="5"/>
      <c r="K19" s="5"/>
      <c r="L19" s="5"/>
      <c r="M19" s="5"/>
      <c r="N19" s="5"/>
      <c r="O19" s="5"/>
      <c r="P19" s="88"/>
      <c r="Q19" s="95"/>
    </row>
    <row r="20" spans="4:17" s="2" customFormat="1" ht="12" customHeight="1">
      <c r="D20" s="22"/>
      <c r="E20" s="22"/>
      <c r="J20" s="5"/>
      <c r="K20" s="5"/>
      <c r="L20" s="5"/>
      <c r="M20" s="5"/>
      <c r="N20" s="5"/>
      <c r="O20" s="5"/>
      <c r="P20" s="88"/>
      <c r="Q20" s="95"/>
    </row>
    <row r="21" spans="4:17" s="2" customFormat="1" ht="12" customHeight="1">
      <c r="D21" s="22"/>
      <c r="E21" s="22"/>
      <c r="J21" s="5"/>
      <c r="K21" s="5"/>
      <c r="L21" s="5"/>
      <c r="M21" s="5"/>
      <c r="N21" s="5"/>
      <c r="O21" s="5"/>
      <c r="P21" s="88"/>
      <c r="Q21" s="95"/>
    </row>
    <row r="22" spans="4:17" s="2" customFormat="1" ht="12" customHeight="1">
      <c r="D22" s="22"/>
      <c r="E22" s="22"/>
      <c r="J22" s="5"/>
      <c r="K22" s="5"/>
      <c r="L22" s="5"/>
      <c r="M22" s="5"/>
      <c r="N22" s="5"/>
      <c r="O22" s="5"/>
      <c r="P22" s="88"/>
      <c r="Q22" s="95"/>
    </row>
    <row r="23" spans="4:17" s="2" customFormat="1" ht="12" customHeight="1">
      <c r="D23" s="22"/>
      <c r="E23" s="22"/>
      <c r="J23" s="5"/>
      <c r="K23" s="5"/>
      <c r="L23" s="5"/>
      <c r="M23" s="5"/>
      <c r="N23" s="5"/>
      <c r="O23" s="5"/>
      <c r="P23" s="88"/>
      <c r="Q23" s="95"/>
    </row>
    <row r="24" spans="4:17" s="2" customFormat="1" ht="12" customHeight="1">
      <c r="D24" s="22"/>
      <c r="E24" s="22"/>
      <c r="J24" s="5"/>
      <c r="K24" s="5"/>
      <c r="L24" s="5"/>
      <c r="M24" s="5"/>
      <c r="N24" s="5"/>
      <c r="O24" s="5"/>
      <c r="P24" s="88"/>
      <c r="Q24" s="95"/>
    </row>
    <row r="25" spans="4:17" s="2" customFormat="1" ht="12" customHeight="1">
      <c r="D25" s="22"/>
      <c r="E25" s="22"/>
      <c r="J25" s="5"/>
      <c r="K25" s="5"/>
      <c r="L25" s="5"/>
      <c r="M25" s="5"/>
      <c r="N25" s="5"/>
      <c r="O25" s="5"/>
      <c r="P25" s="88"/>
      <c r="Q25" s="95"/>
    </row>
    <row r="26" spans="4:17" s="2" customFormat="1" ht="12" customHeight="1">
      <c r="D26" s="22"/>
      <c r="E26" s="22"/>
      <c r="J26" s="5"/>
      <c r="K26" s="5"/>
      <c r="L26" s="5"/>
      <c r="M26" s="5"/>
      <c r="N26" s="5"/>
      <c r="O26" s="5"/>
      <c r="P26" s="88"/>
      <c r="Q26" s="95"/>
    </row>
    <row r="27" spans="4:17" s="2" customFormat="1" ht="12" customHeight="1">
      <c r="D27" s="22"/>
      <c r="E27" s="22"/>
      <c r="J27" s="5"/>
      <c r="K27" s="5"/>
      <c r="L27" s="5"/>
      <c r="M27" s="5"/>
      <c r="N27" s="5"/>
      <c r="O27" s="5"/>
      <c r="P27" s="88"/>
      <c r="Q27" s="95"/>
    </row>
    <row r="28" spans="4:17" s="2" customFormat="1" ht="12" customHeight="1">
      <c r="D28" s="22"/>
      <c r="E28" s="22"/>
      <c r="J28" s="5"/>
      <c r="K28" s="5"/>
      <c r="L28" s="5"/>
      <c r="M28" s="5"/>
      <c r="N28" s="5"/>
      <c r="O28" s="5"/>
      <c r="P28" s="88"/>
      <c r="Q28" s="95"/>
    </row>
    <row r="29" spans="4:17" s="2" customFormat="1" ht="12" customHeight="1">
      <c r="D29" s="22"/>
      <c r="E29" s="22"/>
      <c r="J29" s="5"/>
      <c r="K29" s="5"/>
      <c r="L29" s="5"/>
      <c r="M29" s="5"/>
      <c r="N29" s="5"/>
      <c r="O29" s="5"/>
      <c r="P29" s="88"/>
      <c r="Q29" s="95"/>
    </row>
    <row r="30" spans="4:17" s="2" customFormat="1" ht="12" customHeight="1">
      <c r="D30" s="22"/>
      <c r="E30" s="22"/>
      <c r="J30" s="5"/>
      <c r="K30" s="5"/>
      <c r="L30" s="5"/>
      <c r="M30" s="5"/>
      <c r="N30" s="5"/>
      <c r="O30" s="5"/>
      <c r="P30" s="88"/>
      <c r="Q30" s="95"/>
    </row>
    <row r="31" spans="4:17" s="2" customFormat="1" ht="12" customHeight="1">
      <c r="D31" s="22"/>
      <c r="E31" s="22"/>
      <c r="J31" s="5"/>
      <c r="K31" s="5"/>
      <c r="L31" s="5"/>
      <c r="M31" s="5"/>
      <c r="N31" s="5"/>
      <c r="O31" s="5"/>
      <c r="P31" s="88"/>
      <c r="Q31" s="95"/>
    </row>
    <row r="32" spans="4:17" s="2" customFormat="1" ht="12" customHeight="1">
      <c r="D32" s="22"/>
      <c r="E32" s="22"/>
      <c r="J32" s="5"/>
      <c r="K32" s="5"/>
      <c r="L32" s="5"/>
      <c r="M32" s="5"/>
      <c r="N32" s="5"/>
      <c r="O32" s="5"/>
      <c r="P32" s="88"/>
      <c r="Q32" s="95"/>
    </row>
    <row r="33" spans="4:17" s="2" customFormat="1" ht="12" customHeight="1">
      <c r="D33" s="22"/>
      <c r="E33" s="22"/>
      <c r="J33" s="5"/>
      <c r="K33" s="5"/>
      <c r="L33" s="5"/>
      <c r="M33" s="5"/>
      <c r="N33" s="5"/>
      <c r="O33" s="5"/>
      <c r="P33" s="88"/>
      <c r="Q33" s="95"/>
    </row>
    <row r="34" spans="4:17" s="2" customFormat="1" ht="12" customHeight="1">
      <c r="D34" s="22"/>
      <c r="E34" s="22"/>
      <c r="J34" s="5"/>
      <c r="K34" s="5"/>
      <c r="L34" s="5"/>
      <c r="M34" s="5"/>
      <c r="N34" s="5"/>
      <c r="O34" s="5"/>
      <c r="P34" s="88"/>
      <c r="Q34" s="95"/>
    </row>
    <row r="35" spans="4:17" s="2" customFormat="1" ht="12" customHeight="1">
      <c r="D35" s="22"/>
      <c r="E35" s="22"/>
      <c r="J35" s="5"/>
      <c r="K35" s="5"/>
      <c r="L35" s="5"/>
      <c r="M35" s="5"/>
      <c r="N35" s="5"/>
      <c r="O35" s="5"/>
      <c r="P35" s="88"/>
      <c r="Q35" s="95"/>
    </row>
    <row r="36" spans="4:17" s="2" customFormat="1" ht="12" customHeight="1">
      <c r="D36" s="22"/>
      <c r="E36" s="22"/>
      <c r="J36" s="5"/>
      <c r="K36" s="5"/>
      <c r="L36" s="5"/>
      <c r="M36" s="5"/>
      <c r="N36" s="5"/>
      <c r="O36" s="5"/>
      <c r="P36" s="88"/>
      <c r="Q36" s="95"/>
    </row>
    <row r="37" spans="4:17" s="2" customFormat="1" ht="12" customHeight="1">
      <c r="D37" s="22"/>
      <c r="E37" s="22"/>
      <c r="J37" s="5"/>
      <c r="K37" s="5"/>
      <c r="L37" s="5"/>
      <c r="M37" s="5"/>
      <c r="N37" s="5"/>
      <c r="O37" s="5"/>
      <c r="P37" s="88"/>
      <c r="Q37" s="95"/>
    </row>
    <row r="38" spans="4:17" s="2" customFormat="1" ht="12" customHeight="1">
      <c r="D38" s="22"/>
      <c r="E38" s="22"/>
      <c r="J38" s="5"/>
      <c r="K38" s="5"/>
      <c r="L38" s="5"/>
      <c r="M38" s="5"/>
      <c r="N38" s="5"/>
      <c r="O38" s="5"/>
      <c r="P38" s="88"/>
      <c r="Q38" s="95"/>
    </row>
    <row r="39" spans="4:17" s="2" customFormat="1" ht="12" customHeight="1">
      <c r="D39" s="22"/>
      <c r="E39" s="22"/>
      <c r="J39" s="5"/>
      <c r="K39" s="5"/>
      <c r="L39" s="5"/>
      <c r="M39" s="5"/>
      <c r="N39" s="5"/>
      <c r="O39" s="5"/>
      <c r="P39" s="88"/>
      <c r="Q39" s="95"/>
    </row>
    <row r="40" spans="4:17" s="2" customFormat="1" ht="12" customHeight="1">
      <c r="D40" s="22"/>
      <c r="E40" s="22"/>
      <c r="J40" s="5"/>
      <c r="K40" s="5"/>
      <c r="L40" s="5"/>
      <c r="M40" s="5"/>
      <c r="N40" s="5"/>
      <c r="O40" s="5"/>
      <c r="P40" s="88"/>
      <c r="Q40" s="95"/>
    </row>
    <row r="41" spans="4:17" s="2" customFormat="1" ht="12" customHeight="1">
      <c r="D41" s="22"/>
      <c r="E41" s="22"/>
      <c r="J41" s="5"/>
      <c r="K41" s="5"/>
      <c r="L41" s="5"/>
      <c r="M41" s="5"/>
      <c r="N41" s="5"/>
      <c r="O41" s="5"/>
      <c r="P41" s="88"/>
      <c r="Q41" s="95"/>
    </row>
    <row r="42" spans="4:17" s="2" customFormat="1" ht="12" customHeight="1">
      <c r="D42" s="22"/>
      <c r="E42" s="22"/>
      <c r="J42" s="5"/>
      <c r="K42" s="5"/>
      <c r="L42" s="5"/>
      <c r="M42" s="5"/>
      <c r="N42" s="5"/>
      <c r="O42" s="5"/>
      <c r="P42" s="88"/>
      <c r="Q42" s="95"/>
    </row>
    <row r="43" spans="4:17" s="2" customFormat="1" ht="12" customHeight="1">
      <c r="D43" s="22"/>
      <c r="E43" s="22"/>
      <c r="J43" s="5"/>
      <c r="K43" s="5"/>
      <c r="L43" s="5"/>
      <c r="M43" s="5"/>
      <c r="N43" s="5"/>
      <c r="O43" s="5"/>
      <c r="P43" s="88"/>
      <c r="Q43" s="95"/>
    </row>
    <row r="44" spans="4:17" s="2" customFormat="1" ht="12" customHeight="1">
      <c r="D44" s="22"/>
      <c r="E44" s="22"/>
      <c r="J44" s="5"/>
      <c r="K44" s="5"/>
      <c r="L44" s="5"/>
      <c r="M44" s="5"/>
      <c r="N44" s="5"/>
      <c r="O44" s="5"/>
      <c r="P44" s="88"/>
      <c r="Q44" s="95"/>
    </row>
    <row r="45" spans="4:17" s="2" customFormat="1" ht="12" customHeight="1">
      <c r="D45" s="22"/>
      <c r="E45" s="22"/>
      <c r="J45" s="5"/>
      <c r="K45" s="5"/>
      <c r="L45" s="5"/>
      <c r="M45" s="5"/>
      <c r="N45" s="5"/>
      <c r="O45" s="5"/>
      <c r="P45" s="88"/>
      <c r="Q45" s="95"/>
    </row>
    <row r="46" spans="4:17" s="2" customFormat="1" ht="12" customHeight="1">
      <c r="D46" s="22"/>
      <c r="E46" s="22"/>
      <c r="J46" s="5"/>
      <c r="K46" s="5"/>
      <c r="L46" s="5"/>
      <c r="M46" s="5"/>
      <c r="N46" s="5"/>
      <c r="O46" s="5"/>
      <c r="P46" s="88"/>
      <c r="Q46" s="95"/>
    </row>
    <row r="47" spans="4:17" s="2" customFormat="1" ht="12" customHeight="1">
      <c r="D47" s="22"/>
      <c r="E47" s="22"/>
      <c r="J47" s="5"/>
      <c r="K47" s="5"/>
      <c r="L47" s="5"/>
      <c r="M47" s="5"/>
      <c r="N47" s="5"/>
      <c r="O47" s="5"/>
      <c r="P47" s="88"/>
      <c r="Q47" s="95"/>
    </row>
    <row r="48" spans="4:17" s="2" customFormat="1" ht="12" customHeight="1">
      <c r="D48" s="22"/>
      <c r="E48" s="22"/>
      <c r="J48" s="5"/>
      <c r="K48" s="5"/>
      <c r="L48" s="5"/>
      <c r="M48" s="5"/>
      <c r="N48" s="5"/>
      <c r="O48" s="5"/>
      <c r="P48" s="88"/>
      <c r="Q48" s="95"/>
    </row>
    <row r="49" spans="1:17" s="2" customFormat="1" ht="12" customHeight="1">
      <c r="D49" s="22"/>
      <c r="E49" s="22"/>
      <c r="J49" s="5"/>
      <c r="K49" s="5"/>
      <c r="L49" s="5"/>
      <c r="M49" s="5"/>
      <c r="N49" s="5"/>
      <c r="O49" s="5"/>
      <c r="P49" s="88"/>
      <c r="Q49" s="95"/>
    </row>
    <row r="50" spans="1:17" s="2" customFormat="1" ht="12" customHeight="1">
      <c r="D50" s="22"/>
      <c r="E50" s="22"/>
      <c r="J50" s="5"/>
      <c r="K50" s="5"/>
      <c r="L50" s="5"/>
      <c r="M50" s="5"/>
      <c r="N50" s="5"/>
      <c r="O50" s="5"/>
      <c r="P50" s="88"/>
      <c r="Q50" s="95"/>
    </row>
    <row r="51" spans="1:17" s="2" customFormat="1" ht="12" customHeight="1">
      <c r="D51" s="22"/>
      <c r="E51" s="22"/>
      <c r="J51" s="5"/>
      <c r="K51" s="5"/>
      <c r="L51" s="5"/>
      <c r="M51" s="5"/>
      <c r="N51" s="5"/>
      <c r="O51" s="5"/>
      <c r="P51" s="88"/>
      <c r="Q51" s="95"/>
    </row>
    <row r="52" spans="1:17" s="2" customFormat="1" ht="12" customHeight="1">
      <c r="D52" s="22"/>
      <c r="E52" s="22"/>
      <c r="J52" s="5"/>
      <c r="K52" s="5"/>
      <c r="L52" s="5"/>
      <c r="M52" s="5"/>
      <c r="N52" s="5"/>
      <c r="O52" s="5"/>
      <c r="P52" s="88"/>
      <c r="Q52" s="96"/>
    </row>
    <row r="53" spans="1:17" s="2" customFormat="1" ht="12" customHeight="1">
      <c r="D53" s="22"/>
      <c r="E53" s="22"/>
      <c r="J53" s="5"/>
      <c r="K53" s="5"/>
      <c r="L53" s="5"/>
      <c r="M53" s="5"/>
      <c r="N53" s="5"/>
      <c r="O53" s="5"/>
      <c r="P53" s="88"/>
      <c r="Q53" s="96"/>
    </row>
    <row r="54" spans="1:17" s="2" customFormat="1" ht="12" customHeight="1">
      <c r="D54" s="22"/>
      <c r="E54" s="22"/>
      <c r="J54" s="5"/>
      <c r="K54" s="5"/>
      <c r="L54" s="5"/>
      <c r="M54" s="5"/>
      <c r="N54" s="5"/>
      <c r="O54" s="5"/>
      <c r="P54" s="88"/>
      <c r="Q54" s="96"/>
    </row>
    <row r="55" spans="1:17" s="2" customFormat="1" ht="12" customHeight="1">
      <c r="D55" s="22"/>
      <c r="E55" s="22"/>
      <c r="J55" s="5"/>
      <c r="K55" s="5"/>
      <c r="L55" s="5"/>
      <c r="M55" s="5"/>
      <c r="N55" s="5"/>
      <c r="O55" s="5"/>
      <c r="P55" s="88"/>
      <c r="Q55" s="96"/>
    </row>
    <row r="56" spans="1:17" s="2" customFormat="1" ht="12" customHeight="1">
      <c r="A56"/>
      <c r="B56"/>
      <c r="C56"/>
      <c r="D56" s="23"/>
      <c r="E56" s="23"/>
      <c r="F56"/>
      <c r="G56"/>
      <c r="H56"/>
      <c r="I56"/>
      <c r="J56" s="19"/>
      <c r="K56" s="19"/>
      <c r="L56" s="19"/>
      <c r="M56" s="19"/>
      <c r="N56" s="19"/>
      <c r="O56" s="19"/>
      <c r="P56" s="90"/>
      <c r="Q56" s="96"/>
    </row>
    <row r="57" spans="1:17" s="2" customFormat="1" ht="12" customHeight="1">
      <c r="A57"/>
      <c r="B57"/>
      <c r="C57"/>
      <c r="D57" s="23"/>
      <c r="E57" s="23"/>
      <c r="F57"/>
      <c r="G57"/>
      <c r="H57"/>
      <c r="I57"/>
      <c r="J57" s="19"/>
      <c r="K57" s="19"/>
      <c r="L57" s="19"/>
      <c r="M57" s="19"/>
      <c r="N57" s="19"/>
      <c r="O57" s="19"/>
      <c r="P57" s="90"/>
      <c r="Q57" s="96"/>
    </row>
    <row r="58" spans="1:17" s="2" customFormat="1" ht="12" customHeight="1">
      <c r="A58"/>
      <c r="B58"/>
      <c r="C58"/>
      <c r="D58" s="23"/>
      <c r="E58" s="23"/>
      <c r="F58"/>
      <c r="G58"/>
      <c r="H58"/>
      <c r="I58"/>
      <c r="J58" s="19"/>
      <c r="K58" s="19"/>
      <c r="L58" s="19"/>
      <c r="M58" s="19"/>
      <c r="N58" s="19"/>
      <c r="O58" s="19"/>
      <c r="P58" s="90"/>
      <c r="Q58" s="96"/>
    </row>
    <row r="59" spans="1:17" s="2" customFormat="1" ht="12" customHeight="1">
      <c r="A59"/>
      <c r="B59"/>
      <c r="C59"/>
      <c r="D59" s="23"/>
      <c r="E59" s="23"/>
      <c r="F59"/>
      <c r="G59"/>
      <c r="H59"/>
      <c r="I59"/>
      <c r="J59" s="19"/>
      <c r="K59" s="19"/>
      <c r="L59" s="19"/>
      <c r="M59" s="19"/>
      <c r="N59" s="19"/>
      <c r="O59" s="19"/>
      <c r="P59" s="90"/>
      <c r="Q59" s="96"/>
    </row>
    <row r="60" spans="1:17" s="2" customFormat="1" ht="12" customHeight="1">
      <c r="A60"/>
      <c r="B60"/>
      <c r="C60"/>
      <c r="D60" s="23"/>
      <c r="E60" s="23"/>
      <c r="F60"/>
      <c r="G60"/>
      <c r="H60"/>
      <c r="I60"/>
      <c r="J60" s="19"/>
      <c r="K60" s="19"/>
      <c r="L60" s="19"/>
      <c r="M60" s="19"/>
      <c r="N60" s="19"/>
      <c r="O60" s="19"/>
      <c r="P60" s="90"/>
      <c r="Q60" s="96"/>
    </row>
    <row r="61" spans="1:17">
      <c r="Q61" s="96"/>
    </row>
    <row r="62" spans="1:17">
      <c r="Q62" s="96"/>
    </row>
    <row r="63" spans="1:17">
      <c r="Q63" s="96"/>
    </row>
    <row r="64" spans="1:17">
      <c r="Q64" s="96"/>
    </row>
    <row r="65" spans="17:17">
      <c r="Q65" s="96"/>
    </row>
    <row r="66" spans="17:17">
      <c r="Q66" s="96"/>
    </row>
    <row r="67" spans="17:17">
      <c r="Q67" s="96"/>
    </row>
    <row r="68" spans="17:17">
      <c r="Q68" s="96"/>
    </row>
    <row r="69" spans="17:17">
      <c r="Q69" s="96"/>
    </row>
    <row r="70" spans="17:17">
      <c r="Q70" s="96"/>
    </row>
    <row r="71" spans="17:17">
      <c r="Q71" s="96"/>
    </row>
    <row r="72" spans="17:17">
      <c r="Q72" s="96"/>
    </row>
    <row r="73" spans="17:17">
      <c r="Q73" s="96"/>
    </row>
    <row r="74" spans="17:17">
      <c r="Q74" s="96"/>
    </row>
    <row r="75" spans="17:17">
      <c r="Q75" s="96"/>
    </row>
    <row r="76" spans="17:17">
      <c r="Q76" s="96"/>
    </row>
    <row r="77" spans="17:17">
      <c r="Q77" s="96"/>
    </row>
    <row r="78" spans="17:17">
      <c r="Q78" s="96"/>
    </row>
    <row r="79" spans="17:17">
      <c r="Q79" s="96"/>
    </row>
    <row r="80" spans="17:17">
      <c r="Q80" s="96"/>
    </row>
    <row r="117" ht="12" customHeight="1"/>
    <row r="118" ht="12" customHeight="1"/>
    <row r="119" ht="12" customHeight="1"/>
    <row r="120" ht="12" customHeight="1"/>
    <row r="121" ht="12" customHeight="1"/>
    <row r="122" ht="12" customHeight="1"/>
    <row r="123" ht="12" customHeight="1"/>
    <row r="124" ht="12" customHeight="1"/>
    <row r="125" ht="12" customHeight="1"/>
    <row r="126" ht="12" customHeight="1"/>
    <row r="127" ht="12" customHeight="1"/>
    <row r="128" ht="12" customHeight="1"/>
    <row r="129" ht="12" customHeight="1"/>
    <row r="130" ht="12" customHeight="1"/>
    <row r="131" ht="12" customHeight="1"/>
    <row r="132" ht="12" customHeight="1"/>
    <row r="133" ht="12" customHeight="1"/>
    <row r="134" ht="12" customHeight="1"/>
    <row r="135" ht="12" customHeight="1"/>
    <row r="136" ht="12" customHeight="1"/>
    <row r="137" ht="12" customHeight="1"/>
    <row r="138" ht="12" customHeight="1"/>
    <row r="139" ht="12" customHeight="1"/>
    <row r="140" ht="12" customHeight="1"/>
    <row r="141" ht="12" customHeight="1"/>
    <row r="142" ht="12" customHeight="1"/>
    <row r="143" ht="12" customHeight="1"/>
    <row r="144" ht="12" customHeight="1"/>
    <row r="145" ht="12" customHeight="1"/>
    <row r="146" ht="12" customHeight="1"/>
    <row r="147" ht="12" customHeight="1"/>
    <row r="148" ht="12" customHeight="1"/>
    <row r="149" ht="12" customHeight="1"/>
    <row r="150" ht="12" customHeight="1"/>
    <row r="151" ht="12" customHeight="1"/>
    <row r="152" ht="12" customHeight="1"/>
    <row r="153" ht="12" customHeight="1"/>
    <row r="154" ht="12" customHeight="1"/>
    <row r="155" ht="12" customHeight="1"/>
    <row r="156" ht="12" customHeight="1"/>
    <row r="157" ht="12" customHeight="1"/>
    <row r="158" ht="12" customHeight="1"/>
    <row r="159" ht="12" customHeight="1"/>
    <row r="160" ht="12" customHeight="1"/>
    <row r="161" ht="12" customHeight="1"/>
    <row r="162" ht="12" customHeight="1"/>
    <row r="163" ht="12" customHeight="1"/>
    <row r="164" ht="12" customHeight="1"/>
    <row r="165" ht="12" customHeight="1"/>
    <row r="166" ht="12" customHeight="1"/>
  </sheetData>
  <mergeCells count="15">
    <mergeCell ref="D13:E13"/>
    <mergeCell ref="H13:I13"/>
    <mergeCell ref="D11:E11"/>
    <mergeCell ref="D12:E12"/>
    <mergeCell ref="D10:E10"/>
    <mergeCell ref="H10:I10"/>
    <mergeCell ref="D1:E1"/>
    <mergeCell ref="D4:E4"/>
    <mergeCell ref="H4:I4"/>
    <mergeCell ref="D5:E5"/>
    <mergeCell ref="D9:E9"/>
    <mergeCell ref="D6:E6"/>
    <mergeCell ref="H6:I6"/>
    <mergeCell ref="D7:E7"/>
    <mergeCell ref="D8:E8"/>
  </mergeCells>
  <conditionalFormatting sqref="M5">
    <cfRule type="cellIs" dxfId="617" priority="1" stopIfTrue="1" operator="lessThanOrEqual">
      <formula>$L5</formula>
    </cfRule>
    <cfRule type="cellIs" dxfId="616" priority="2" operator="greaterThan">
      <formula>L5</formula>
    </cfRule>
  </conditionalFormatting>
  <conditionalFormatting sqref="M7:M9 M11:M12">
    <cfRule type="cellIs" dxfId="615" priority="3" stopIfTrue="1" operator="lessThanOrEqual">
      <formula>$L7</formula>
    </cfRule>
    <cfRule type="cellIs" dxfId="614" priority="4" operator="greaterThan">
      <formula>L7</formula>
    </cfRule>
  </conditionalFormatting>
  <pageMargins left="0.7" right="0.7" top="0.75" bottom="0.75" header="0.3" footer="0.3"/>
  <pageSetup paperSize="3" fitToHeight="0" orientation="landscape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CCCB77D-74AF-4A95-97A8-CE2C449D91C3}">
          <x14:formula1>
            <xm:f>Bolts!$A:$A</xm:f>
          </x14:formula1>
          <xm:sqref>C11:C12</xm:sqref>
        </x14:dataValidation>
        <x14:dataValidation type="list" allowBlank="1" showInputMessage="1" showErrorMessage="1" xr:uid="{68045567-A046-4BEC-8A2A-BA233CF2A5B0}">
          <x14:formula1>
            <xm:f>Purchased!$A:$A</xm:f>
          </x14:formula1>
          <xm:sqref>C7:C9</xm:sqref>
        </x14:dataValidation>
        <x14:dataValidation type="list" allowBlank="1" showInputMessage="1" showErrorMessage="1" xr:uid="{82DA5B19-53F2-4D8B-B93C-28D0ED79C099}">
          <x14:formula1>
            <xm:f>Machined!$C:$C</xm:f>
          </x14:formula1>
          <xm:sqref>C5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8B1C0A-05A5-46CA-8EA1-AF57D504FA94}">
  <sheetPr codeName="Sheet19">
    <tabColor theme="3" tint="0.79998168889431442"/>
    <pageSetUpPr fitToPage="1"/>
  </sheetPr>
  <dimension ref="A1:Q168"/>
  <sheetViews>
    <sheetView zoomScaleNormal="100" workbookViewId="0">
      <selection activeCell="C22" sqref="C22"/>
    </sheetView>
  </sheetViews>
  <sheetFormatPr defaultColWidth="9.140625" defaultRowHeight="15"/>
  <cols>
    <col min="1" max="1" width="5.7109375" customWidth="1"/>
    <col min="2" max="2" width="5.42578125" bestFit="1" customWidth="1"/>
    <col min="3" max="3" width="30.7109375" customWidth="1"/>
    <col min="4" max="5" width="20.7109375" style="23" customWidth="1"/>
    <col min="6" max="6" width="16.85546875" bestFit="1" customWidth="1"/>
    <col min="7" max="7" width="9.7109375" customWidth="1"/>
    <col min="8" max="8" width="8.7109375" customWidth="1"/>
    <col min="9" max="9" width="20.7109375" customWidth="1"/>
    <col min="10" max="13" width="11.7109375" style="19" customWidth="1"/>
    <col min="14" max="14" width="11.85546875" style="19" bestFit="1" customWidth="1"/>
    <col min="15" max="15" width="7.7109375" style="19" customWidth="1"/>
    <col min="16" max="16" width="10.7109375" style="90" customWidth="1"/>
    <col min="17" max="17" width="10.7109375" style="97" customWidth="1"/>
  </cols>
  <sheetData>
    <row r="1" spans="1:17" s="55" customFormat="1" ht="12" customHeight="1">
      <c r="A1" s="68" t="s">
        <v>0</v>
      </c>
      <c r="B1" s="69"/>
      <c r="C1" s="69"/>
      <c r="D1" s="262" t="s">
        <v>1</v>
      </c>
      <c r="E1" s="263"/>
      <c r="F1" s="70"/>
      <c r="G1" s="69"/>
      <c r="H1" s="70"/>
      <c r="I1" s="71"/>
      <c r="J1" s="72"/>
      <c r="K1" s="72"/>
      <c r="L1" s="72"/>
      <c r="M1" s="72"/>
      <c r="N1" s="72"/>
      <c r="O1" s="72"/>
      <c r="P1" s="85"/>
      <c r="Q1" s="91"/>
    </row>
    <row r="2" spans="1:17" s="55" customFormat="1" ht="12" customHeight="1">
      <c r="A2" s="74" t="s">
        <v>48</v>
      </c>
      <c r="B2" s="58"/>
      <c r="C2" s="57" t="e">
        <f ca="1">VLOOKUP(E3,Assemblies!B:F,4,0)</f>
        <v>#VALUE!</v>
      </c>
      <c r="D2" s="75" t="s">
        <v>3</v>
      </c>
      <c r="E2" s="76" t="e">
        <f ca="1">'GF12'!E2</f>
        <v>#VALUE!</v>
      </c>
      <c r="F2" s="77" t="s">
        <v>4</v>
      </c>
      <c r="G2" s="58" t="str">
        <f>'GF12'!G2</f>
        <v>GH</v>
      </c>
      <c r="H2" s="77" t="s">
        <v>6</v>
      </c>
      <c r="I2" s="59">
        <f>'GF12'!I2</f>
        <v>44775</v>
      </c>
      <c r="J2" s="39"/>
      <c r="K2" s="40" t="s">
        <v>49</v>
      </c>
      <c r="L2" s="41" t="e">
        <f ca="1">VLOOKUP(C2,Assemblies!E:G,3,0)</f>
        <v>#VALUE!</v>
      </c>
      <c r="M2" s="78"/>
      <c r="N2" s="78"/>
      <c r="O2" s="78"/>
      <c r="P2" s="86"/>
      <c r="Q2" s="92"/>
    </row>
    <row r="3" spans="1:17" s="55" customFormat="1" ht="12" customHeight="1" thickBot="1">
      <c r="A3" s="74" t="s">
        <v>7</v>
      </c>
      <c r="B3" s="58"/>
      <c r="C3" s="57" t="e">
        <f ca="1">VLOOKUP(E3,Assemblies!B:F,5,0)</f>
        <v>#VALUE!</v>
      </c>
      <c r="D3" s="75" t="s">
        <v>50</v>
      </c>
      <c r="E3" s="76" t="e">
        <f ca="1">MID(CELL("filename",A1),FIND("]",CELL("filename",A1))+1,256)</f>
        <v>#VALUE!</v>
      </c>
      <c r="F3" s="77" t="s">
        <v>11</v>
      </c>
      <c r="G3" s="58" t="str">
        <f>'GF12'!G3</f>
        <v>GH</v>
      </c>
      <c r="H3" s="77" t="s">
        <v>6</v>
      </c>
      <c r="I3" s="59">
        <f>'GF12'!I3</f>
        <v>44775</v>
      </c>
      <c r="J3" s="78"/>
      <c r="K3" s="78"/>
      <c r="L3" s="78"/>
      <c r="M3" s="78"/>
      <c r="N3" s="78"/>
      <c r="O3" s="78"/>
      <c r="P3" s="86"/>
      <c r="Q3" s="92"/>
    </row>
    <row r="4" spans="1:17" s="56" customFormat="1" ht="12.75" customHeight="1" thickBot="1">
      <c r="A4" s="80" t="s">
        <v>12</v>
      </c>
      <c r="B4" s="81" t="s">
        <v>13</v>
      </c>
      <c r="C4" s="81" t="s">
        <v>14</v>
      </c>
      <c r="D4" s="270" t="s">
        <v>15</v>
      </c>
      <c r="E4" s="271"/>
      <c r="F4" s="104" t="s">
        <v>16</v>
      </c>
      <c r="G4" s="81" t="s">
        <v>17</v>
      </c>
      <c r="H4" s="260" t="s">
        <v>18</v>
      </c>
      <c r="I4" s="261"/>
      <c r="J4" s="81" t="s">
        <v>51</v>
      </c>
      <c r="K4" s="81" t="s">
        <v>20</v>
      </c>
      <c r="L4" s="81" t="s">
        <v>21</v>
      </c>
      <c r="M4" s="81" t="s">
        <v>52</v>
      </c>
      <c r="N4" s="81" t="s">
        <v>22</v>
      </c>
      <c r="O4" s="81" t="s">
        <v>53</v>
      </c>
      <c r="P4" s="107" t="s">
        <v>26</v>
      </c>
      <c r="Q4" s="82" t="s">
        <v>27</v>
      </c>
    </row>
    <row r="5" spans="1:17" s="2" customFormat="1" ht="12.75" customHeight="1">
      <c r="A5" s="127">
        <v>1</v>
      </c>
      <c r="B5" s="21">
        <v>1</v>
      </c>
      <c r="C5" s="108" t="s">
        <v>272</v>
      </c>
      <c r="D5" s="277" t="str">
        <f>VLOOKUP(C5,Machined!C:Q,2,0)</f>
        <v>EXTRUDED ROLLER</v>
      </c>
      <c r="E5" s="278"/>
      <c r="F5" s="131" t="str">
        <f>VLOOKUP(C5,Machined!C:R,7,0)</f>
        <v>6061-T6 Alum</v>
      </c>
      <c r="G5" s="131" t="str">
        <f>VLOOKUP(C5,Machined!C:R,10,0)</f>
        <v>BONNELL, RON GROB, 3J, Fin. Pros</v>
      </c>
      <c r="H5" s="131" t="str">
        <f>VLOOKUP(C5,Machined!C:R,11,0)</f>
        <v xml:space="preserve"> </v>
      </c>
      <c r="I5" s="131"/>
      <c r="J5" s="42" t="str">
        <f>VLOOKUP(C5,Machined!C:R,12,0)</f>
        <v>N/A</v>
      </c>
      <c r="K5" s="42" t="str">
        <f>VLOOKUP(C5,Machined!C:R,13,0)</f>
        <v>N/A</v>
      </c>
      <c r="L5" s="42" t="str">
        <f>VLOOKUP(C5,Machined!C:R,14,0)</f>
        <v>N/A</v>
      </c>
      <c r="M5" s="42" t="str">
        <f>VLOOKUP(C5,Machined!C:R,15,0)</f>
        <v>N/A</v>
      </c>
      <c r="N5" s="43" t="str">
        <f>VLOOKUP(C5,Machined!C:R,16,0)</f>
        <v xml:space="preserve">54809, 54970, 54989 </v>
      </c>
      <c r="O5" s="43" t="e">
        <f t="shared" ref="O5:O9" ca="1" si="0">B5*$L$2</f>
        <v>#VALUE!</v>
      </c>
      <c r="P5" s="47">
        <f>IFERROR(VLOOKUP(C5,Machined!C:F,3,0),"")</f>
        <v>119.09</v>
      </c>
      <c r="Q5" s="48">
        <f t="shared" ref="Q5:Q9" si="1">IFERROR(B5*P5,"")</f>
        <v>119.09</v>
      </c>
    </row>
    <row r="6" spans="1:17" s="2" customFormat="1" ht="12.75" customHeight="1">
      <c r="A6" s="127">
        <v>2</v>
      </c>
      <c r="B6" s="21">
        <v>1</v>
      </c>
      <c r="C6" s="108" t="s">
        <v>273</v>
      </c>
      <c r="D6" s="277" t="str">
        <f>VLOOKUP(C6,Machined!C:Q,2,0)</f>
        <v>ROLLER SHAFT</v>
      </c>
      <c r="E6" s="278"/>
      <c r="F6" s="131" t="str">
        <f>VLOOKUP(C6,Machined!C:R,7,0)</f>
        <v>303 SS - TG&amp;P</v>
      </c>
      <c r="G6" s="131" t="str">
        <f>VLOOKUP(C6,Machined!C:R,10,0)</f>
        <v>ALEXANDRIA, Nuline</v>
      </c>
      <c r="H6" s="131" t="str">
        <f>VLOOKUP(C6,Machined!C:R,11,0)</f>
        <v xml:space="preserve"> </v>
      </c>
      <c r="I6" s="131"/>
      <c r="J6" s="42" t="str">
        <f>VLOOKUP(C6,Machined!C:R,12,0)</f>
        <v>N/A</v>
      </c>
      <c r="K6" s="42" t="str">
        <f>VLOOKUP(C6,Machined!C:R,13,0)</f>
        <v>N/A</v>
      </c>
      <c r="L6" s="42" t="str">
        <f>VLOOKUP(C6,Machined!C:R,14,0)</f>
        <v>N/A</v>
      </c>
      <c r="M6" s="42" t="str">
        <f>VLOOKUP(C6,Machined!C:R,15,0)</f>
        <v>N/A</v>
      </c>
      <c r="N6" s="43">
        <f>VLOOKUP(C6,Machined!C:R,16,0)</f>
        <v>55018</v>
      </c>
      <c r="O6" s="43" t="e">
        <f t="shared" ca="1" si="0"/>
        <v>#VALUE!</v>
      </c>
      <c r="P6" s="47">
        <f>IFERROR(VLOOKUP(C6,Machined!C:F,3,0),"")</f>
        <v>85.05</v>
      </c>
      <c r="Q6" s="48">
        <f t="shared" si="1"/>
        <v>85.05</v>
      </c>
    </row>
    <row r="7" spans="1:17" s="2" customFormat="1" ht="12.75" customHeight="1">
      <c r="A7" s="127">
        <v>3</v>
      </c>
      <c r="B7" s="21">
        <v>2</v>
      </c>
      <c r="C7" s="108" t="s">
        <v>274</v>
      </c>
      <c r="D7" s="277" t="str">
        <f>VLOOKUP(C7,Machined!C:Q,2,0)</f>
        <v>ROLLER CAP</v>
      </c>
      <c r="E7" s="278"/>
      <c r="F7" s="131" t="str">
        <f>VLOOKUP(C7,Machined!C:R,7,0)</f>
        <v>304 SS</v>
      </c>
      <c r="G7" s="131" t="str">
        <f>VLOOKUP(C7,Machined!C:R,10,0)</f>
        <v>XOMETRY</v>
      </c>
      <c r="H7" s="131" t="str">
        <f>VLOOKUP(C7,Machined!C:R,11,0)</f>
        <v xml:space="preserve">  </v>
      </c>
      <c r="I7" s="131"/>
      <c r="J7" s="42" t="str">
        <f>VLOOKUP(C7,Machined!C:R,12,0)</f>
        <v>N/A</v>
      </c>
      <c r="K7" s="42">
        <f>VLOOKUP(C7,Machined!C:R,13,0)</f>
        <v>45141</v>
      </c>
      <c r="L7" s="42">
        <f>VLOOKUP(C7,Machined!C:R,14,0)</f>
        <v>45161</v>
      </c>
      <c r="M7" s="42">
        <f>VLOOKUP(C7,Machined!C:R,15,0)</f>
        <v>45161</v>
      </c>
      <c r="N7" s="43">
        <f>VLOOKUP(C7,Machined!C:R,16,0)</f>
        <v>55030</v>
      </c>
      <c r="O7" s="43" t="e">
        <f t="shared" ca="1" si="0"/>
        <v>#VALUE!</v>
      </c>
      <c r="P7" s="47">
        <f>IFERROR(VLOOKUP(C7,Machined!C:F,3,0),"")</f>
        <v>1.52</v>
      </c>
      <c r="Q7" s="48">
        <f t="shared" si="1"/>
        <v>3.04</v>
      </c>
    </row>
    <row r="8" spans="1:17" s="2" customFormat="1" ht="12.75" customHeight="1">
      <c r="A8" s="127">
        <v>4</v>
      </c>
      <c r="B8" s="21">
        <v>2</v>
      </c>
      <c r="C8" s="108" t="s">
        <v>275</v>
      </c>
      <c r="D8" s="277" t="str">
        <f>VLOOKUP(C8,Machined!C:Q,2,0)</f>
        <v>SINGLE ROLLER BRACKET</v>
      </c>
      <c r="E8" s="278"/>
      <c r="F8" s="131" t="str">
        <f>VLOOKUP(C8,Machined!C:R,7,0)</f>
        <v>6061-T6 Alum</v>
      </c>
      <c r="G8" s="131" t="str">
        <f>VLOOKUP(C8,Machined!C:R,10,0)</f>
        <v>FRONTIER</v>
      </c>
      <c r="H8" s="131" t="str">
        <f>VLOOKUP(C8,Machined!C:R,11,0)</f>
        <v xml:space="preserve">  </v>
      </c>
      <c r="I8" s="131"/>
      <c r="J8" s="42">
        <f>VLOOKUP(C8,Machined!C:R,12,0)</f>
        <v>45139</v>
      </c>
      <c r="K8" s="42">
        <f>VLOOKUP(C8,Machined!C:R,13,0)</f>
        <v>45140</v>
      </c>
      <c r="L8" s="42">
        <f>VLOOKUP(C8,Machined!C:R,14,0)</f>
        <v>45170</v>
      </c>
      <c r="M8" s="42">
        <f>VLOOKUP(C8,Machined!C:R,15,0)</f>
        <v>45170</v>
      </c>
      <c r="N8" s="43">
        <f>VLOOKUP(C8,Machined!C:R,16,0)</f>
        <v>55025</v>
      </c>
      <c r="O8" s="43" t="e">
        <f t="shared" ref="O8" ca="1" si="2">B8*$L$2</f>
        <v>#VALUE!</v>
      </c>
      <c r="P8" s="47">
        <f>IFERROR(VLOOKUP(C8,Machined!C:F,3,0),"")</f>
        <v>0</v>
      </c>
      <c r="Q8" s="48">
        <f t="shared" ref="Q8" si="3">IFERROR(B8*P8,"")</f>
        <v>0</v>
      </c>
    </row>
    <row r="9" spans="1:17" s="2" customFormat="1" ht="12.75" customHeight="1">
      <c r="A9" s="127">
        <v>5</v>
      </c>
      <c r="B9" s="21">
        <v>2</v>
      </c>
      <c r="C9" s="108" t="s">
        <v>276</v>
      </c>
      <c r="D9" s="298" t="str">
        <f>VLOOKUP(C9,Machined!C:Q,2,0)</f>
        <v>SINGLE ROLLER BRACKET 
CLAMP</v>
      </c>
      <c r="E9" s="299"/>
      <c r="F9" s="131" t="str">
        <f>VLOOKUP(C9,Machined!C:R,7,0)</f>
        <v>6061-T6 Alum</v>
      </c>
      <c r="G9" s="131" t="str">
        <f>VLOOKUP(C9,Machined!C:R,10,0)</f>
        <v>FRONTIER</v>
      </c>
      <c r="H9" s="131" t="str">
        <f>VLOOKUP(C9,Machined!C:R,11,0)</f>
        <v xml:space="preserve">  </v>
      </c>
      <c r="I9" s="131"/>
      <c r="J9" s="42">
        <f>VLOOKUP(C9,Machined!C:R,12,0)</f>
        <v>45139</v>
      </c>
      <c r="K9" s="42">
        <f>VLOOKUP(C9,Machined!C:R,13,0)</f>
        <v>45140</v>
      </c>
      <c r="L9" s="42">
        <f>VLOOKUP(C9,Machined!C:R,14,0)</f>
        <v>45170</v>
      </c>
      <c r="M9" s="42">
        <f>VLOOKUP(C9,Machined!C:R,15,0)</f>
        <v>45170</v>
      </c>
      <c r="N9" s="43">
        <f>VLOOKUP(C9,Machined!C:R,16,0)</f>
        <v>55025</v>
      </c>
      <c r="O9" s="43" t="e">
        <f t="shared" ca="1" si="0"/>
        <v>#VALUE!</v>
      </c>
      <c r="P9" s="47">
        <f>IFERROR(VLOOKUP(C9,Machined!C:F,3,0),"")</f>
        <v>0</v>
      </c>
      <c r="Q9" s="48">
        <f t="shared" si="1"/>
        <v>0</v>
      </c>
    </row>
    <row r="10" spans="1:17" s="2" customFormat="1" ht="12.75" customHeight="1">
      <c r="A10" s="143"/>
      <c r="B10" s="26"/>
      <c r="C10" s="26"/>
      <c r="D10" s="272"/>
      <c r="E10" s="273"/>
      <c r="F10" s="26"/>
      <c r="G10" s="26"/>
      <c r="H10" s="274"/>
      <c r="I10" s="275"/>
      <c r="J10" s="27"/>
      <c r="K10" s="27"/>
      <c r="L10" s="27"/>
      <c r="M10" s="28"/>
      <c r="N10" s="29"/>
      <c r="O10" s="29"/>
      <c r="P10" s="141"/>
      <c r="Q10" s="142"/>
    </row>
    <row r="11" spans="1:17" s="2" customFormat="1" ht="12.75" customHeight="1">
      <c r="A11" s="4">
        <v>301</v>
      </c>
      <c r="B11" s="2">
        <v>4</v>
      </c>
      <c r="C11" s="114" t="s">
        <v>262</v>
      </c>
      <c r="D11" s="268" t="str">
        <f>VLOOKUP(C11,Purchased!A:B,2,0)</f>
        <v>BRX GOTO T-NUT 10 M6</v>
      </c>
      <c r="E11" s="269"/>
      <c r="F11" s="112" t="str">
        <f>VLOOKUP(C11,Purchased!A:Q,9,0)</f>
        <v>BRX</v>
      </c>
      <c r="G11" s="112" t="str">
        <f>VLOOKUP(C11,Purchased!A:Q,10,0)</f>
        <v>AAP</v>
      </c>
      <c r="H11" s="112" t="str">
        <f>VLOOKUP(C11,Purchased!A:Q,12,0)</f>
        <v xml:space="preserve">  </v>
      </c>
      <c r="I11" s="113"/>
      <c r="J11" s="44">
        <f>VLOOKUP(C11,Purchased!A:Q,13,0)</f>
        <v>45104</v>
      </c>
      <c r="K11" s="44">
        <f>VLOOKUP(C11,Purchased!A:Q,14,0)</f>
        <v>45105</v>
      </c>
      <c r="L11" s="44">
        <f>VLOOKUP(C11,Purchased!A:Q,15,0)</f>
        <v>45133</v>
      </c>
      <c r="M11" s="44">
        <f>VLOOKUP(C11,Purchased!A:Q,16,0)</f>
        <v>45133</v>
      </c>
      <c r="N11" s="45" t="str">
        <f>VLOOKUP(C11,Purchased!A:Q,17,0)</f>
        <v>54968, 55147, 55270</v>
      </c>
      <c r="O11" s="45" t="e">
        <f t="shared" ref="O11:O12" ca="1" si="4">B11*$L$2</f>
        <v>#VALUE!</v>
      </c>
      <c r="P11" s="49">
        <f>IFERROR(VLOOKUP(C11,Purchased!A:E,3,FALSE),"")</f>
        <v>0.64290000000000003</v>
      </c>
      <c r="Q11" s="50">
        <f t="shared" ref="Q11:Q12" si="5">IFERROR(B11*P11,"")</f>
        <v>2.5716000000000001</v>
      </c>
    </row>
    <row r="12" spans="1:17" s="2" customFormat="1" ht="12" customHeight="1">
      <c r="A12" s="4">
        <f t="shared" ref="A12" si="6">A11+1</f>
        <v>302</v>
      </c>
      <c r="B12" s="2">
        <v>2</v>
      </c>
      <c r="C12" s="114" t="s">
        <v>277</v>
      </c>
      <c r="D12" s="268" t="str">
        <f>VLOOKUP(C12,Purchased!A:B,2,0)</f>
        <v>7612 DLG Deep groove ball bearing, 3/4" Bore, 1-3/4" O.D - Outside seal, no inner, with light oil lube- no grease.</v>
      </c>
      <c r="E12" s="269"/>
      <c r="F12" s="112" t="str">
        <f>VLOOKUP(C12,Purchased!A:Q,9,0)</f>
        <v>QualBear</v>
      </c>
      <c r="G12" s="112" t="str">
        <f>VLOOKUP(C12,Purchased!A:Q,10,0)</f>
        <v>QualBear</v>
      </c>
      <c r="H12" s="112" t="str">
        <f>VLOOKUP(C12,Purchased!A:Q,12,0)</f>
        <v>MCM part 4768K6</v>
      </c>
      <c r="I12" s="113"/>
      <c r="J12" s="44" t="str">
        <f>VLOOKUP(C12,Purchased!A:Q,13,0)</f>
        <v>N/A</v>
      </c>
      <c r="K12" s="44">
        <f>VLOOKUP(C12,Purchased!A:Q,14,0)</f>
        <v>45124</v>
      </c>
      <c r="L12" s="44">
        <f>VLOOKUP(C12,Purchased!A:Q,15,0)</f>
        <v>45145</v>
      </c>
      <c r="M12" s="44">
        <f>VLOOKUP(C12,Purchased!A:Q,16,0)</f>
        <v>45148</v>
      </c>
      <c r="N12" s="45">
        <f>VLOOKUP(C12,Purchased!A:Q,17,0)</f>
        <v>54997</v>
      </c>
      <c r="O12" s="45" t="e">
        <f t="shared" ca="1" si="4"/>
        <v>#VALUE!</v>
      </c>
      <c r="P12" s="49">
        <f>IFERROR(VLOOKUP(C12,Purchased!A:E,3,FALSE),"")</f>
        <v>6.79</v>
      </c>
      <c r="Q12" s="50">
        <f t="shared" si="5"/>
        <v>13.58</v>
      </c>
    </row>
    <row r="13" spans="1:17" s="2" customFormat="1" ht="12.75" customHeight="1">
      <c r="A13" s="25"/>
      <c r="B13" s="26"/>
      <c r="C13" s="26"/>
      <c r="D13" s="272"/>
      <c r="E13" s="273"/>
      <c r="F13" s="26"/>
      <c r="G13" s="26"/>
      <c r="H13" s="274"/>
      <c r="I13" s="275"/>
      <c r="J13" s="27"/>
      <c r="K13" s="27"/>
      <c r="L13" s="27"/>
      <c r="M13" s="28"/>
      <c r="N13" s="29"/>
      <c r="O13" s="29" t="e">
        <f t="shared" ref="O13" ca="1" si="7">B13*$L$2</f>
        <v>#VALUE!</v>
      </c>
      <c r="P13" s="141"/>
      <c r="Q13" s="142"/>
    </row>
    <row r="14" spans="1:17" s="2" customFormat="1" ht="12.75" customHeight="1" thickBot="1">
      <c r="A14" s="4">
        <v>501</v>
      </c>
      <c r="B14" s="2">
        <v>8</v>
      </c>
      <c r="C14" s="110" t="s">
        <v>278</v>
      </c>
      <c r="D14" s="268"/>
      <c r="E14" s="276"/>
      <c r="F14" s="112" t="str">
        <f>VLOOKUP(C14,Bolts!A:L,5,0)</f>
        <v xml:space="preserve">  </v>
      </c>
      <c r="G14" s="112" t="str">
        <f>VLOOKUP(C14,Bolts!A:L,6,0)</f>
        <v>Monroe Fasteners</v>
      </c>
      <c r="H14" s="112" t="str">
        <f>VLOOKUP(C14,Bolts!A:L,7,0)</f>
        <v xml:space="preserve">  </v>
      </c>
      <c r="I14" s="112"/>
      <c r="J14" s="44" t="str">
        <f>VLOOKUP(C14,Bolts!A:L,8,0)</f>
        <v xml:space="preserve"> </v>
      </c>
      <c r="K14" s="44" t="str">
        <f>VLOOKUP(C14,Bolts!A:L,9,0)</f>
        <v xml:space="preserve"> </v>
      </c>
      <c r="L14" s="44" t="str">
        <f>VLOOKUP(C14,Bolts!A:L,10,0)</f>
        <v xml:space="preserve"> </v>
      </c>
      <c r="M14" s="44" t="str">
        <f>VLOOKUP(C14,Bolts!A:L,11,0)</f>
        <v xml:space="preserve"> </v>
      </c>
      <c r="N14" s="45" t="str">
        <f>VLOOKUP(C14,Bolts!A:L,12,0)</f>
        <v xml:space="preserve"> </v>
      </c>
      <c r="O14" s="45" t="e">
        <f ca="1">B14*$L$2</f>
        <v>#VALUE!</v>
      </c>
      <c r="P14" s="49" t="str">
        <f>IFERROR(VLOOKUP(C14,Bolts!A:B,2,FALSE),"")</f>
        <v xml:space="preserve"> </v>
      </c>
      <c r="Q14" s="50" t="str">
        <f>IFERROR(B14*P14,"")</f>
        <v/>
      </c>
    </row>
    <row r="15" spans="1:17" s="2" customFormat="1" ht="12.75" customHeight="1" thickBot="1">
      <c r="A15" s="34"/>
      <c r="B15" s="35"/>
      <c r="C15" s="35"/>
      <c r="D15" s="256"/>
      <c r="E15" s="257"/>
      <c r="F15" s="35"/>
      <c r="G15" s="35"/>
      <c r="H15" s="294"/>
      <c r="I15" s="295"/>
      <c r="J15" s="36"/>
      <c r="K15" s="36"/>
      <c r="L15" s="36"/>
      <c r="M15" s="37"/>
      <c r="N15" s="38"/>
      <c r="O15" s="38"/>
      <c r="P15" s="89" t="s">
        <v>43</v>
      </c>
      <c r="Q15" s="94">
        <f>SUM(Q5:Q14)</f>
        <v>223.33159999999998</v>
      </c>
    </row>
    <row r="16" spans="1:17" s="2" customFormat="1" ht="12" customHeight="1">
      <c r="D16" s="22"/>
      <c r="E16" s="22"/>
      <c r="J16" s="8"/>
      <c r="K16" s="8"/>
      <c r="L16" s="8"/>
      <c r="M16" s="8"/>
      <c r="N16" s="5"/>
      <c r="O16" s="5"/>
      <c r="P16" s="88"/>
      <c r="Q16" s="95"/>
    </row>
    <row r="17" spans="4:17" s="2" customFormat="1" ht="12" customHeight="1">
      <c r="D17" s="22"/>
      <c r="E17" s="22"/>
      <c r="J17" s="5"/>
      <c r="K17" s="5"/>
      <c r="L17" s="5"/>
      <c r="M17" s="5"/>
      <c r="N17" s="5"/>
      <c r="O17" s="5"/>
      <c r="P17" s="88"/>
      <c r="Q17" s="95"/>
    </row>
    <row r="18" spans="4:17" s="2" customFormat="1" ht="12" customHeight="1">
      <c r="D18" s="22"/>
      <c r="E18" s="22"/>
      <c r="J18" s="5"/>
      <c r="K18" s="5"/>
      <c r="L18" s="5"/>
      <c r="M18" s="5"/>
      <c r="N18" s="5"/>
      <c r="O18" s="5"/>
      <c r="P18" s="88"/>
      <c r="Q18" s="95"/>
    </row>
    <row r="19" spans="4:17" s="2" customFormat="1" ht="12" customHeight="1">
      <c r="D19" s="22"/>
      <c r="E19" s="22"/>
      <c r="J19" s="5"/>
      <c r="K19" s="5"/>
      <c r="L19" s="5"/>
      <c r="M19" s="5"/>
      <c r="N19" s="5"/>
      <c r="O19" s="5"/>
      <c r="P19" s="88"/>
      <c r="Q19" s="95"/>
    </row>
    <row r="20" spans="4:17" s="2" customFormat="1" ht="12" customHeight="1">
      <c r="D20" s="22"/>
      <c r="E20" s="22"/>
      <c r="J20" s="5"/>
      <c r="K20" s="5"/>
      <c r="L20" s="5"/>
      <c r="M20" s="5"/>
      <c r="N20" s="5"/>
      <c r="O20" s="5"/>
      <c r="P20" s="88"/>
      <c r="Q20" s="95"/>
    </row>
    <row r="21" spans="4:17" s="2" customFormat="1" ht="12" customHeight="1">
      <c r="D21" s="22"/>
      <c r="E21" s="22"/>
      <c r="J21" s="5"/>
      <c r="K21" s="5"/>
      <c r="L21" s="5"/>
      <c r="M21" s="5"/>
      <c r="N21" s="5"/>
      <c r="O21" s="5"/>
      <c r="P21" s="88"/>
      <c r="Q21" s="95"/>
    </row>
    <row r="22" spans="4:17" s="2" customFormat="1" ht="12" customHeight="1">
      <c r="D22" s="22"/>
      <c r="E22" s="22"/>
      <c r="J22" s="5"/>
      <c r="K22" s="5"/>
      <c r="L22" s="5"/>
      <c r="M22" s="5"/>
      <c r="N22" s="5"/>
      <c r="O22" s="5"/>
      <c r="P22" s="88"/>
      <c r="Q22" s="95"/>
    </row>
    <row r="23" spans="4:17" s="2" customFormat="1" ht="12" customHeight="1">
      <c r="D23" s="22"/>
      <c r="E23" s="22"/>
      <c r="J23" s="5"/>
      <c r="K23" s="5"/>
      <c r="L23" s="5"/>
      <c r="M23" s="5"/>
      <c r="N23" s="5"/>
      <c r="O23" s="5"/>
      <c r="P23" s="88"/>
      <c r="Q23" s="95"/>
    </row>
    <row r="24" spans="4:17" s="2" customFormat="1" ht="12" customHeight="1">
      <c r="D24" s="22"/>
      <c r="E24" s="22"/>
      <c r="J24" s="5"/>
      <c r="K24" s="5"/>
      <c r="L24" s="5"/>
      <c r="M24" s="5"/>
      <c r="N24" s="5"/>
      <c r="O24" s="5"/>
      <c r="P24" s="88"/>
      <c r="Q24" s="95"/>
    </row>
    <row r="25" spans="4:17" s="2" customFormat="1" ht="12" customHeight="1">
      <c r="D25" s="22"/>
      <c r="E25" s="22"/>
      <c r="J25" s="5"/>
      <c r="K25" s="5"/>
      <c r="L25" s="5"/>
      <c r="M25" s="5"/>
      <c r="N25" s="5"/>
      <c r="O25" s="5"/>
      <c r="P25" s="88"/>
      <c r="Q25" s="95"/>
    </row>
    <row r="26" spans="4:17" s="2" customFormat="1" ht="12" customHeight="1">
      <c r="D26" s="22"/>
      <c r="E26" s="22"/>
      <c r="J26" s="5"/>
      <c r="K26" s="5"/>
      <c r="L26" s="5"/>
      <c r="M26" s="5"/>
      <c r="N26" s="5"/>
      <c r="O26" s="5"/>
      <c r="P26" s="88"/>
      <c r="Q26" s="95"/>
    </row>
    <row r="27" spans="4:17" s="2" customFormat="1" ht="12" customHeight="1">
      <c r="D27" s="22"/>
      <c r="E27" s="22"/>
      <c r="J27" s="5"/>
      <c r="K27" s="5"/>
      <c r="L27" s="5"/>
      <c r="M27" s="5"/>
      <c r="N27" s="5"/>
      <c r="O27" s="5"/>
      <c r="P27" s="88"/>
      <c r="Q27" s="95"/>
    </row>
    <row r="28" spans="4:17" s="2" customFormat="1" ht="12" customHeight="1">
      <c r="D28" s="22"/>
      <c r="E28" s="22"/>
      <c r="J28" s="5"/>
      <c r="K28" s="5"/>
      <c r="L28" s="5"/>
      <c r="M28" s="5"/>
      <c r="N28" s="5"/>
      <c r="O28" s="5"/>
      <c r="P28" s="88"/>
      <c r="Q28" s="95"/>
    </row>
    <row r="29" spans="4:17" s="2" customFormat="1" ht="12" customHeight="1">
      <c r="D29" s="22"/>
      <c r="E29" s="22"/>
      <c r="J29" s="5"/>
      <c r="K29" s="5"/>
      <c r="L29" s="5"/>
      <c r="M29" s="5"/>
      <c r="N29" s="5"/>
      <c r="O29" s="5"/>
      <c r="P29" s="88"/>
      <c r="Q29" s="95"/>
    </row>
    <row r="30" spans="4:17" s="2" customFormat="1" ht="12" customHeight="1">
      <c r="D30" s="22"/>
      <c r="E30" s="22"/>
      <c r="J30" s="5"/>
      <c r="K30" s="5"/>
      <c r="L30" s="5"/>
      <c r="M30" s="5"/>
      <c r="N30" s="5"/>
      <c r="O30" s="5"/>
      <c r="P30" s="88"/>
      <c r="Q30" s="95"/>
    </row>
    <row r="31" spans="4:17" s="2" customFormat="1" ht="12" customHeight="1">
      <c r="D31" s="22"/>
      <c r="E31" s="22"/>
      <c r="J31" s="5"/>
      <c r="K31" s="5"/>
      <c r="L31" s="5"/>
      <c r="M31" s="5"/>
      <c r="N31" s="5"/>
      <c r="O31" s="5"/>
      <c r="P31" s="88"/>
      <c r="Q31" s="95"/>
    </row>
    <row r="32" spans="4:17" s="2" customFormat="1" ht="12" customHeight="1">
      <c r="D32" s="22"/>
      <c r="E32" s="22"/>
      <c r="J32" s="5"/>
      <c r="K32" s="5"/>
      <c r="L32" s="5"/>
      <c r="M32" s="5"/>
      <c r="N32" s="5"/>
      <c r="O32" s="5"/>
      <c r="P32" s="88"/>
      <c r="Q32" s="95"/>
    </row>
    <row r="33" spans="4:17" s="2" customFormat="1" ht="12" customHeight="1">
      <c r="D33" s="22"/>
      <c r="E33" s="22"/>
      <c r="J33" s="5"/>
      <c r="K33" s="5"/>
      <c r="L33" s="5"/>
      <c r="M33" s="5"/>
      <c r="N33" s="5"/>
      <c r="O33" s="5"/>
      <c r="P33" s="88"/>
      <c r="Q33" s="95"/>
    </row>
    <row r="34" spans="4:17" s="2" customFormat="1" ht="12" customHeight="1">
      <c r="D34" s="22"/>
      <c r="E34" s="22"/>
      <c r="J34" s="5"/>
      <c r="K34" s="5"/>
      <c r="L34" s="5"/>
      <c r="M34" s="5"/>
      <c r="N34" s="5"/>
      <c r="O34" s="5"/>
      <c r="P34" s="88"/>
      <c r="Q34" s="95"/>
    </row>
    <row r="35" spans="4:17" s="2" customFormat="1" ht="12" customHeight="1">
      <c r="D35" s="22"/>
      <c r="E35" s="22"/>
      <c r="J35" s="5"/>
      <c r="K35" s="5"/>
      <c r="L35" s="5"/>
      <c r="M35" s="5"/>
      <c r="N35" s="5"/>
      <c r="O35" s="5"/>
      <c r="P35" s="88"/>
      <c r="Q35" s="95"/>
    </row>
    <row r="36" spans="4:17" s="2" customFormat="1" ht="12" customHeight="1">
      <c r="D36" s="22"/>
      <c r="E36" s="22"/>
      <c r="J36" s="5"/>
      <c r="K36" s="5"/>
      <c r="L36" s="5"/>
      <c r="M36" s="5"/>
      <c r="N36" s="5"/>
      <c r="O36" s="5"/>
      <c r="P36" s="88"/>
      <c r="Q36" s="95"/>
    </row>
    <row r="37" spans="4:17" s="2" customFormat="1" ht="12" customHeight="1">
      <c r="D37" s="22"/>
      <c r="E37" s="22"/>
      <c r="J37" s="5"/>
      <c r="K37" s="5"/>
      <c r="L37" s="5"/>
      <c r="M37" s="5"/>
      <c r="N37" s="5"/>
      <c r="O37" s="5"/>
      <c r="P37" s="88"/>
      <c r="Q37" s="95"/>
    </row>
    <row r="38" spans="4:17" s="2" customFormat="1" ht="12" customHeight="1">
      <c r="D38" s="22"/>
      <c r="E38" s="22"/>
      <c r="J38" s="5"/>
      <c r="K38" s="5"/>
      <c r="L38" s="5"/>
      <c r="M38" s="5"/>
      <c r="N38" s="5"/>
      <c r="O38" s="5"/>
      <c r="P38" s="88"/>
      <c r="Q38" s="95"/>
    </row>
    <row r="39" spans="4:17" s="2" customFormat="1" ht="12" customHeight="1">
      <c r="D39" s="22"/>
      <c r="E39" s="22"/>
      <c r="J39" s="5"/>
      <c r="K39" s="5"/>
      <c r="L39" s="5"/>
      <c r="M39" s="5"/>
      <c r="N39" s="5"/>
      <c r="O39" s="5"/>
      <c r="P39" s="88"/>
      <c r="Q39" s="95"/>
    </row>
    <row r="40" spans="4:17" s="2" customFormat="1" ht="12" customHeight="1">
      <c r="D40" s="22"/>
      <c r="E40" s="22"/>
      <c r="J40" s="5"/>
      <c r="K40" s="5"/>
      <c r="L40" s="5"/>
      <c r="M40" s="5"/>
      <c r="N40" s="5"/>
      <c r="O40" s="5"/>
      <c r="P40" s="88"/>
      <c r="Q40" s="95"/>
    </row>
    <row r="41" spans="4:17" s="2" customFormat="1" ht="12" customHeight="1">
      <c r="D41" s="22"/>
      <c r="E41" s="22"/>
      <c r="J41" s="5"/>
      <c r="K41" s="5"/>
      <c r="L41" s="5"/>
      <c r="M41" s="5"/>
      <c r="N41" s="5"/>
      <c r="O41" s="5"/>
      <c r="P41" s="88"/>
      <c r="Q41" s="95"/>
    </row>
    <row r="42" spans="4:17" s="2" customFormat="1" ht="12" customHeight="1">
      <c r="D42" s="22"/>
      <c r="E42" s="22"/>
      <c r="J42" s="5"/>
      <c r="K42" s="5"/>
      <c r="L42" s="5"/>
      <c r="M42" s="5"/>
      <c r="N42" s="5"/>
      <c r="O42" s="5"/>
      <c r="P42" s="88"/>
      <c r="Q42" s="95"/>
    </row>
    <row r="43" spans="4:17" s="2" customFormat="1" ht="12" customHeight="1">
      <c r="D43" s="22"/>
      <c r="E43" s="22"/>
      <c r="J43" s="5"/>
      <c r="K43" s="5"/>
      <c r="L43" s="5"/>
      <c r="M43" s="5"/>
      <c r="N43" s="5"/>
      <c r="O43" s="5"/>
      <c r="P43" s="88"/>
      <c r="Q43" s="95"/>
    </row>
    <row r="44" spans="4:17" s="2" customFormat="1" ht="12" customHeight="1">
      <c r="D44" s="22"/>
      <c r="E44" s="22"/>
      <c r="J44" s="5"/>
      <c r="K44" s="5"/>
      <c r="L44" s="5"/>
      <c r="M44" s="5"/>
      <c r="N44" s="5"/>
      <c r="O44" s="5"/>
      <c r="P44" s="88"/>
      <c r="Q44" s="95"/>
    </row>
    <row r="45" spans="4:17" s="2" customFormat="1" ht="12" customHeight="1">
      <c r="D45" s="22"/>
      <c r="E45" s="22"/>
      <c r="J45" s="5"/>
      <c r="K45" s="5"/>
      <c r="L45" s="5"/>
      <c r="M45" s="5"/>
      <c r="N45" s="5"/>
      <c r="O45" s="5"/>
      <c r="P45" s="88"/>
      <c r="Q45" s="95"/>
    </row>
    <row r="46" spans="4:17" s="2" customFormat="1" ht="12" customHeight="1">
      <c r="D46" s="22"/>
      <c r="E46" s="22"/>
      <c r="J46" s="5"/>
      <c r="K46" s="5"/>
      <c r="L46" s="5"/>
      <c r="M46" s="5"/>
      <c r="N46" s="5"/>
      <c r="O46" s="5"/>
      <c r="P46" s="88"/>
      <c r="Q46" s="95"/>
    </row>
    <row r="47" spans="4:17" s="2" customFormat="1" ht="12" customHeight="1">
      <c r="D47" s="22"/>
      <c r="E47" s="22"/>
      <c r="J47" s="5"/>
      <c r="K47" s="5"/>
      <c r="L47" s="5"/>
      <c r="M47" s="5"/>
      <c r="N47" s="5"/>
      <c r="O47" s="5"/>
      <c r="P47" s="88"/>
      <c r="Q47" s="95"/>
    </row>
    <row r="48" spans="4:17" s="2" customFormat="1" ht="12" customHeight="1">
      <c r="D48" s="22"/>
      <c r="E48" s="22"/>
      <c r="J48" s="5"/>
      <c r="K48" s="5"/>
      <c r="L48" s="5"/>
      <c r="M48" s="5"/>
      <c r="N48" s="5"/>
      <c r="O48" s="5"/>
      <c r="P48" s="88"/>
      <c r="Q48" s="95"/>
    </row>
    <row r="49" spans="1:17" s="2" customFormat="1" ht="12" customHeight="1">
      <c r="D49" s="22"/>
      <c r="E49" s="22"/>
      <c r="J49" s="5"/>
      <c r="K49" s="5"/>
      <c r="L49" s="5"/>
      <c r="M49" s="5"/>
      <c r="N49" s="5"/>
      <c r="O49" s="5"/>
      <c r="P49" s="88"/>
      <c r="Q49" s="95"/>
    </row>
    <row r="50" spans="1:17" s="2" customFormat="1" ht="12" customHeight="1">
      <c r="D50" s="22"/>
      <c r="E50" s="22"/>
      <c r="J50" s="5"/>
      <c r="K50" s="5"/>
      <c r="L50" s="5"/>
      <c r="M50" s="5"/>
      <c r="N50" s="5"/>
      <c r="O50" s="5"/>
      <c r="P50" s="88"/>
      <c r="Q50" s="95"/>
    </row>
    <row r="51" spans="1:17" s="2" customFormat="1" ht="12" customHeight="1">
      <c r="D51" s="22"/>
      <c r="E51" s="22"/>
      <c r="J51" s="5"/>
      <c r="K51" s="5"/>
      <c r="L51" s="5"/>
      <c r="M51" s="5"/>
      <c r="N51" s="5"/>
      <c r="O51" s="5"/>
      <c r="P51" s="88"/>
      <c r="Q51" s="95"/>
    </row>
    <row r="52" spans="1:17" s="2" customFormat="1" ht="12" customHeight="1">
      <c r="D52" s="22"/>
      <c r="E52" s="22"/>
      <c r="J52" s="5"/>
      <c r="K52" s="5"/>
      <c r="L52" s="5"/>
      <c r="M52" s="5"/>
      <c r="N52" s="5"/>
      <c r="O52" s="5"/>
      <c r="P52" s="88"/>
      <c r="Q52" s="95"/>
    </row>
    <row r="53" spans="1:17" s="2" customFormat="1" ht="12" customHeight="1">
      <c r="D53" s="22"/>
      <c r="E53" s="22"/>
      <c r="J53" s="5"/>
      <c r="K53" s="5"/>
      <c r="L53" s="5"/>
      <c r="M53" s="5"/>
      <c r="N53" s="5"/>
      <c r="O53" s="5"/>
      <c r="P53" s="88"/>
      <c r="Q53" s="95"/>
    </row>
    <row r="54" spans="1:17" s="2" customFormat="1" ht="12" customHeight="1">
      <c r="D54" s="22"/>
      <c r="E54" s="22"/>
      <c r="J54" s="5"/>
      <c r="K54" s="5"/>
      <c r="L54" s="5"/>
      <c r="M54" s="5"/>
      <c r="N54" s="5"/>
      <c r="O54" s="5"/>
      <c r="P54" s="88"/>
      <c r="Q54" s="96"/>
    </row>
    <row r="55" spans="1:17" s="2" customFormat="1" ht="12" customHeight="1">
      <c r="D55" s="22"/>
      <c r="E55" s="22"/>
      <c r="J55" s="5"/>
      <c r="K55" s="5"/>
      <c r="L55" s="5"/>
      <c r="M55" s="5"/>
      <c r="N55" s="5"/>
      <c r="O55" s="5"/>
      <c r="P55" s="88"/>
      <c r="Q55" s="96"/>
    </row>
    <row r="56" spans="1:17" s="2" customFormat="1" ht="12" customHeight="1">
      <c r="D56" s="22"/>
      <c r="E56" s="22"/>
      <c r="J56" s="5"/>
      <c r="K56" s="5"/>
      <c r="L56" s="5"/>
      <c r="M56" s="5"/>
      <c r="N56" s="5"/>
      <c r="O56" s="5"/>
      <c r="P56" s="88"/>
      <c r="Q56" s="96"/>
    </row>
    <row r="57" spans="1:17" s="2" customFormat="1" ht="12" customHeight="1">
      <c r="D57" s="22"/>
      <c r="E57" s="22"/>
      <c r="J57" s="5"/>
      <c r="K57" s="5"/>
      <c r="L57" s="5"/>
      <c r="M57" s="5"/>
      <c r="N57" s="5"/>
      <c r="O57" s="5"/>
      <c r="P57" s="88"/>
      <c r="Q57" s="96"/>
    </row>
    <row r="58" spans="1:17" s="2" customFormat="1" ht="12" customHeight="1">
      <c r="A58"/>
      <c r="B58"/>
      <c r="C58"/>
      <c r="D58" s="23"/>
      <c r="E58" s="23"/>
      <c r="F58"/>
      <c r="G58"/>
      <c r="H58"/>
      <c r="I58"/>
      <c r="J58" s="19"/>
      <c r="K58" s="19"/>
      <c r="L58" s="19"/>
      <c r="M58" s="19"/>
      <c r="N58" s="19"/>
      <c r="O58" s="19"/>
      <c r="P58" s="90"/>
      <c r="Q58" s="96"/>
    </row>
    <row r="59" spans="1:17" s="2" customFormat="1" ht="12" customHeight="1">
      <c r="A59"/>
      <c r="B59"/>
      <c r="C59"/>
      <c r="D59" s="23"/>
      <c r="E59" s="23"/>
      <c r="F59"/>
      <c r="G59"/>
      <c r="H59"/>
      <c r="I59"/>
      <c r="J59" s="19"/>
      <c r="K59" s="19"/>
      <c r="L59" s="19"/>
      <c r="M59" s="19"/>
      <c r="N59" s="19"/>
      <c r="O59" s="19"/>
      <c r="P59" s="90"/>
      <c r="Q59" s="96"/>
    </row>
    <row r="60" spans="1:17" s="2" customFormat="1" ht="12" customHeight="1">
      <c r="A60"/>
      <c r="B60"/>
      <c r="C60"/>
      <c r="D60" s="23"/>
      <c r="E60" s="23"/>
      <c r="F60"/>
      <c r="G60"/>
      <c r="H60"/>
      <c r="I60"/>
      <c r="J60" s="19"/>
      <c r="K60" s="19"/>
      <c r="L60" s="19"/>
      <c r="M60" s="19"/>
      <c r="N60" s="19"/>
      <c r="O60" s="19"/>
      <c r="P60" s="90"/>
      <c r="Q60" s="96"/>
    </row>
    <row r="61" spans="1:17" s="2" customFormat="1" ht="12" customHeight="1">
      <c r="A61"/>
      <c r="B61"/>
      <c r="C61"/>
      <c r="D61" s="23"/>
      <c r="E61" s="23"/>
      <c r="F61"/>
      <c r="G61"/>
      <c r="H61"/>
      <c r="I61"/>
      <c r="J61" s="19"/>
      <c r="K61" s="19"/>
      <c r="L61" s="19"/>
      <c r="M61" s="19"/>
      <c r="N61" s="19"/>
      <c r="O61" s="19"/>
      <c r="P61" s="90"/>
      <c r="Q61" s="96"/>
    </row>
    <row r="62" spans="1:17" s="2" customFormat="1" ht="12" customHeight="1">
      <c r="A62"/>
      <c r="B62"/>
      <c r="C62"/>
      <c r="D62" s="23"/>
      <c r="E62" s="23"/>
      <c r="F62"/>
      <c r="G62"/>
      <c r="H62"/>
      <c r="I62"/>
      <c r="J62" s="19"/>
      <c r="K62" s="19"/>
      <c r="L62" s="19"/>
      <c r="M62" s="19"/>
      <c r="N62" s="19"/>
      <c r="O62" s="19"/>
      <c r="P62" s="90"/>
      <c r="Q62" s="96"/>
    </row>
    <row r="63" spans="1:17">
      <c r="Q63" s="96"/>
    </row>
    <row r="64" spans="1:17">
      <c r="Q64" s="96"/>
    </row>
    <row r="65" spans="17:17">
      <c r="Q65" s="96"/>
    </row>
    <row r="66" spans="17:17">
      <c r="Q66" s="96"/>
    </row>
    <row r="67" spans="17:17">
      <c r="Q67" s="96"/>
    </row>
    <row r="68" spans="17:17">
      <c r="Q68" s="96"/>
    </row>
    <row r="69" spans="17:17">
      <c r="Q69" s="96"/>
    </row>
    <row r="70" spans="17:17">
      <c r="Q70" s="96"/>
    </row>
    <row r="71" spans="17:17">
      <c r="Q71" s="96"/>
    </row>
    <row r="72" spans="17:17">
      <c r="Q72" s="96"/>
    </row>
    <row r="73" spans="17:17">
      <c r="Q73" s="96"/>
    </row>
    <row r="74" spans="17:17">
      <c r="Q74" s="96"/>
    </row>
    <row r="75" spans="17:17">
      <c r="Q75" s="96"/>
    </row>
    <row r="76" spans="17:17">
      <c r="Q76" s="96"/>
    </row>
    <row r="77" spans="17:17">
      <c r="Q77" s="96"/>
    </row>
    <row r="78" spans="17:17">
      <c r="Q78" s="96"/>
    </row>
    <row r="79" spans="17:17">
      <c r="Q79" s="96"/>
    </row>
    <row r="80" spans="17:17">
      <c r="Q80" s="96"/>
    </row>
    <row r="81" spans="17:17">
      <c r="Q81" s="96"/>
    </row>
    <row r="82" spans="17:17">
      <c r="Q82" s="96"/>
    </row>
    <row r="119" ht="12" customHeight="1"/>
    <row r="120" ht="12" customHeight="1"/>
    <row r="121" ht="12" customHeight="1"/>
    <row r="122" ht="12" customHeight="1"/>
    <row r="123" ht="12" customHeight="1"/>
    <row r="124" ht="12" customHeight="1"/>
    <row r="125" ht="12" customHeight="1"/>
    <row r="126" ht="12" customHeight="1"/>
    <row r="127" ht="12" customHeight="1"/>
    <row r="128" ht="12" customHeight="1"/>
    <row r="129" ht="12" customHeight="1"/>
    <row r="130" ht="12" customHeight="1"/>
    <row r="131" ht="12" customHeight="1"/>
    <row r="132" ht="12" customHeight="1"/>
    <row r="133" ht="12" customHeight="1"/>
    <row r="134" ht="12" customHeight="1"/>
    <row r="135" ht="12" customHeight="1"/>
    <row r="136" ht="12" customHeight="1"/>
    <row r="137" ht="12" customHeight="1"/>
    <row r="138" ht="12" customHeight="1"/>
    <row r="139" ht="12" customHeight="1"/>
    <row r="140" ht="12" customHeight="1"/>
    <row r="141" ht="12" customHeight="1"/>
    <row r="142" ht="12" customHeight="1"/>
    <row r="143" ht="12" customHeight="1"/>
    <row r="144" ht="12" customHeight="1"/>
    <row r="145" ht="12" customHeight="1"/>
    <row r="146" ht="12" customHeight="1"/>
    <row r="147" ht="12" customHeight="1"/>
    <row r="148" ht="12" customHeight="1"/>
    <row r="149" ht="12" customHeight="1"/>
    <row r="150" ht="12" customHeight="1"/>
    <row r="151" ht="12" customHeight="1"/>
    <row r="152" ht="12" customHeight="1"/>
    <row r="153" ht="12" customHeight="1"/>
    <row r="154" ht="12" customHeight="1"/>
    <row r="155" ht="12" customHeight="1"/>
    <row r="156" ht="12" customHeight="1"/>
    <row r="157" ht="12" customHeight="1"/>
    <row r="158" ht="12" customHeight="1"/>
    <row r="159" ht="12" customHeight="1"/>
    <row r="160" ht="12" customHeight="1"/>
    <row r="161" ht="12" customHeight="1"/>
    <row r="162" ht="12" customHeight="1"/>
    <row r="163" ht="12" customHeight="1"/>
    <row r="164" ht="12" customHeight="1"/>
    <row r="165" ht="12" customHeight="1"/>
    <row r="166" ht="12" customHeight="1"/>
    <row r="167" ht="12" customHeight="1"/>
    <row r="168" ht="12" customHeight="1"/>
  </sheetData>
  <mergeCells count="17">
    <mergeCell ref="D15:E15"/>
    <mergeCell ref="H15:I15"/>
    <mergeCell ref="D13:E13"/>
    <mergeCell ref="H13:I13"/>
    <mergeCell ref="D14:E14"/>
    <mergeCell ref="D11:E11"/>
    <mergeCell ref="D12:E12"/>
    <mergeCell ref="D5:E5"/>
    <mergeCell ref="D6:E6"/>
    <mergeCell ref="D9:E9"/>
    <mergeCell ref="D8:E8"/>
    <mergeCell ref="D7:E7"/>
    <mergeCell ref="D1:E1"/>
    <mergeCell ref="D4:E4"/>
    <mergeCell ref="H4:I4"/>
    <mergeCell ref="D10:E10"/>
    <mergeCell ref="H10:I10"/>
  </mergeCells>
  <conditionalFormatting sqref="M5:M9 M14">
    <cfRule type="cellIs" dxfId="613" priority="1" stopIfTrue="1" operator="lessThanOrEqual">
      <formula>$L5</formula>
    </cfRule>
    <cfRule type="cellIs" dxfId="612" priority="2" operator="greaterThan">
      <formula>L5</formula>
    </cfRule>
  </conditionalFormatting>
  <conditionalFormatting sqref="M11:M12">
    <cfRule type="cellIs" dxfId="611" priority="3" stopIfTrue="1" operator="lessThanOrEqual">
      <formula>$L11</formula>
    </cfRule>
    <cfRule type="cellIs" dxfId="610" priority="4" operator="greaterThan">
      <formula>L11</formula>
    </cfRule>
  </conditionalFormatting>
  <pageMargins left="0.7" right="0.7" top="0.75" bottom="0.75" header="0.3" footer="0.3"/>
  <pageSetup paperSize="3" fitToHeight="0" orientation="landscape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450A658-1798-419F-9839-AA753B9F35D9}">
          <x14:formula1>
            <xm:f>Bolts!$A:$A</xm:f>
          </x14:formula1>
          <xm:sqref>C14</xm:sqref>
        </x14:dataValidation>
        <x14:dataValidation type="list" allowBlank="1" showInputMessage="1" showErrorMessage="1" xr:uid="{3E508CEF-3F94-4E72-9B84-873C7FDAE7EE}">
          <x14:formula1>
            <xm:f>Purchased!$A:$A</xm:f>
          </x14:formula1>
          <xm:sqref>C11:C12</xm:sqref>
        </x14:dataValidation>
        <x14:dataValidation type="list" allowBlank="1" showInputMessage="1" showErrorMessage="1" xr:uid="{CFF10954-AA01-46B3-BE37-945DA28230B6}">
          <x14:formula1>
            <xm:f>Machined!$C:$C</xm:f>
          </x14:formula1>
          <xm:sqref>C5:C9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0EA02-6B7F-48AA-9A68-28B5D258644F}">
  <sheetPr codeName="Sheet20">
    <tabColor theme="3" tint="0.79998168889431442"/>
    <pageSetUpPr fitToPage="1"/>
  </sheetPr>
  <dimension ref="A1:Q163"/>
  <sheetViews>
    <sheetView zoomScaleNormal="100" workbookViewId="0">
      <selection activeCell="Q10" sqref="Q10"/>
    </sheetView>
  </sheetViews>
  <sheetFormatPr defaultColWidth="9.140625" defaultRowHeight="15"/>
  <cols>
    <col min="1" max="1" width="5.7109375" customWidth="1"/>
    <col min="2" max="2" width="5.42578125" bestFit="1" customWidth="1"/>
    <col min="3" max="3" width="30.7109375" customWidth="1"/>
    <col min="4" max="5" width="20.7109375" style="23" customWidth="1"/>
    <col min="6" max="6" width="16.85546875" bestFit="1" customWidth="1"/>
    <col min="7" max="7" width="9.7109375" customWidth="1"/>
    <col min="8" max="8" width="8.7109375" customWidth="1"/>
    <col min="9" max="9" width="20.7109375" customWidth="1"/>
    <col min="10" max="13" width="11.7109375" style="19" customWidth="1"/>
    <col min="14" max="14" width="11.85546875" style="19" bestFit="1" customWidth="1"/>
    <col min="15" max="15" width="7.7109375" style="19" customWidth="1"/>
    <col min="16" max="16" width="10.7109375" style="90" customWidth="1"/>
    <col min="17" max="17" width="10.7109375" style="97" customWidth="1"/>
  </cols>
  <sheetData>
    <row r="1" spans="1:17" s="55" customFormat="1" ht="12" customHeight="1">
      <c r="A1" s="68" t="s">
        <v>0</v>
      </c>
      <c r="B1" s="69"/>
      <c r="C1" s="69"/>
      <c r="D1" s="262" t="s">
        <v>1</v>
      </c>
      <c r="E1" s="263"/>
      <c r="F1" s="70"/>
      <c r="G1" s="69"/>
      <c r="H1" s="70"/>
      <c r="I1" s="71"/>
      <c r="J1" s="72"/>
      <c r="K1" s="72"/>
      <c r="L1" s="72"/>
      <c r="M1" s="72"/>
      <c r="N1" s="72"/>
      <c r="O1" s="72"/>
      <c r="P1" s="85"/>
      <c r="Q1" s="91"/>
    </row>
    <row r="2" spans="1:17" s="55" customFormat="1" ht="12" customHeight="1">
      <c r="A2" s="74" t="s">
        <v>48</v>
      </c>
      <c r="B2" s="58"/>
      <c r="C2" s="57" t="e">
        <f ca="1">VLOOKUP(E3,Assemblies!B:F,4,0)</f>
        <v>#VALUE!</v>
      </c>
      <c r="D2" s="75" t="s">
        <v>3</v>
      </c>
      <c r="E2" s="76" t="e">
        <f ca="1">'GF12'!E2</f>
        <v>#VALUE!</v>
      </c>
      <c r="F2" s="77" t="s">
        <v>4</v>
      </c>
      <c r="G2" s="58" t="str">
        <f>'GF12'!G2</f>
        <v>GH</v>
      </c>
      <c r="H2" s="77" t="s">
        <v>6</v>
      </c>
      <c r="I2" s="59">
        <f>'GF12'!I2</f>
        <v>44775</v>
      </c>
      <c r="J2" s="39"/>
      <c r="K2" s="40" t="s">
        <v>49</v>
      </c>
      <c r="L2" s="41" t="e">
        <f ca="1">VLOOKUP(C2,Assemblies!E:G,3,0)</f>
        <v>#VALUE!</v>
      </c>
      <c r="M2" s="78"/>
      <c r="N2" s="78"/>
      <c r="O2" s="78"/>
      <c r="P2" s="86"/>
      <c r="Q2" s="92"/>
    </row>
    <row r="3" spans="1:17" s="55" customFormat="1" ht="12" customHeight="1" thickBot="1">
      <c r="A3" s="74" t="s">
        <v>7</v>
      </c>
      <c r="B3" s="58"/>
      <c r="C3" s="57" t="e">
        <f ca="1">VLOOKUP(E3,Assemblies!B:F,5,0)</f>
        <v>#VALUE!</v>
      </c>
      <c r="D3" s="75" t="s">
        <v>50</v>
      </c>
      <c r="E3" s="76" t="e">
        <f ca="1">MID(CELL("filename",A1),FIND("]",CELL("filename",A1))+1,256)</f>
        <v>#VALUE!</v>
      </c>
      <c r="F3" s="77" t="s">
        <v>11</v>
      </c>
      <c r="G3" s="58" t="str">
        <f>'GF12'!G3</f>
        <v>GH</v>
      </c>
      <c r="H3" s="77" t="s">
        <v>6</v>
      </c>
      <c r="I3" s="59">
        <f>'GF12'!I3</f>
        <v>44775</v>
      </c>
      <c r="J3" s="78"/>
      <c r="K3" s="78"/>
      <c r="L3" s="78"/>
      <c r="M3" s="78"/>
      <c r="N3" s="78"/>
      <c r="O3" s="78"/>
      <c r="P3" s="86"/>
      <c r="Q3" s="92"/>
    </row>
    <row r="4" spans="1:17" s="56" customFormat="1" ht="12.75" customHeight="1" thickBot="1">
      <c r="A4" s="80" t="s">
        <v>12</v>
      </c>
      <c r="B4" s="81" t="s">
        <v>13</v>
      </c>
      <c r="C4" s="81" t="s">
        <v>14</v>
      </c>
      <c r="D4" s="270" t="s">
        <v>15</v>
      </c>
      <c r="E4" s="271"/>
      <c r="F4" s="104" t="s">
        <v>16</v>
      </c>
      <c r="G4" s="81" t="s">
        <v>17</v>
      </c>
      <c r="H4" s="260" t="s">
        <v>18</v>
      </c>
      <c r="I4" s="261"/>
      <c r="J4" s="81" t="s">
        <v>51</v>
      </c>
      <c r="K4" s="81" t="s">
        <v>20</v>
      </c>
      <c r="L4" s="81" t="s">
        <v>21</v>
      </c>
      <c r="M4" s="81" t="s">
        <v>52</v>
      </c>
      <c r="N4" s="81" t="s">
        <v>22</v>
      </c>
      <c r="O4" s="81" t="s">
        <v>53</v>
      </c>
      <c r="P4" s="107" t="s">
        <v>26</v>
      </c>
      <c r="Q4" s="82" t="s">
        <v>27</v>
      </c>
    </row>
    <row r="5" spans="1:17" s="2" customFormat="1" ht="12.75" customHeight="1">
      <c r="A5" s="127">
        <v>1</v>
      </c>
      <c r="B5" s="21">
        <v>1</v>
      </c>
      <c r="C5" s="108" t="s">
        <v>279</v>
      </c>
      <c r="D5" s="277" t="str">
        <f>VLOOKUP(C5,Machined!C:Q,2,0)</f>
        <v>Frame Gusset</v>
      </c>
      <c r="E5" s="278"/>
      <c r="F5" s="131" t="str">
        <f>VLOOKUP(C5,Machined!C:R,7,0)</f>
        <v>304 SS</v>
      </c>
      <c r="G5" s="131" t="str">
        <f>VLOOKUP(C5,Machined!C:R,10,0)</f>
        <v>XOMETRY</v>
      </c>
      <c r="H5" s="131" t="str">
        <f>VLOOKUP(C5,Machined!C:R,11,0)</f>
        <v xml:space="preserve">  </v>
      </c>
      <c r="I5" s="131"/>
      <c r="J5" s="42" t="str">
        <f>VLOOKUP(C5,Machined!C:R,12,0)</f>
        <v>N/A</v>
      </c>
      <c r="K5" s="42">
        <f>VLOOKUP(C5,Machined!C:R,13,0)</f>
        <v>45141</v>
      </c>
      <c r="L5" s="42">
        <f>VLOOKUP(C5,Machined!C:R,14,0)</f>
        <v>45161</v>
      </c>
      <c r="M5" s="42">
        <f>VLOOKUP(C5,Machined!C:R,15,0)</f>
        <v>45161</v>
      </c>
      <c r="N5" s="43">
        <f>VLOOKUP(C5,Machined!C:R,16,0)</f>
        <v>55030</v>
      </c>
      <c r="O5" s="43" t="e">
        <f t="shared" ref="O5" ca="1" si="0">B5*$L$2</f>
        <v>#VALUE!</v>
      </c>
      <c r="P5" s="47">
        <f>IFERROR(VLOOKUP(C5,Machined!C:F,3,0),"")</f>
        <v>22.06</v>
      </c>
      <c r="Q5" s="48">
        <f t="shared" ref="Q5" si="1">IFERROR(B5*P5,"")</f>
        <v>22.06</v>
      </c>
    </row>
    <row r="6" spans="1:17" s="2" customFormat="1" ht="12.75" customHeight="1">
      <c r="A6" s="143"/>
      <c r="B6" s="26"/>
      <c r="C6" s="26"/>
      <c r="D6" s="272"/>
      <c r="E6" s="273"/>
      <c r="F6" s="26"/>
      <c r="G6" s="26"/>
      <c r="H6" s="274"/>
      <c r="I6" s="275"/>
      <c r="J6" s="27"/>
      <c r="K6" s="27"/>
      <c r="L6" s="27"/>
      <c r="M6" s="28"/>
      <c r="N6" s="29"/>
      <c r="O6" s="29"/>
      <c r="P6" s="141"/>
      <c r="Q6" s="142"/>
    </row>
    <row r="7" spans="1:17" s="2" customFormat="1" ht="12.75" customHeight="1">
      <c r="A7" s="4">
        <v>301</v>
      </c>
      <c r="B7" s="2">
        <v>6</v>
      </c>
      <c r="C7" s="114" t="s">
        <v>280</v>
      </c>
      <c r="D7" s="268" t="str">
        <f>VLOOKUP(C7,Purchased!A:B,2,0)</f>
        <v>BRX GOTO T-HEAD BOLT HS10-M8X25</v>
      </c>
      <c r="E7" s="269"/>
      <c r="F7" s="112" t="str">
        <f>VLOOKUP(C7,Purchased!A:Q,9,0)</f>
        <v>BRX</v>
      </c>
      <c r="G7" s="112" t="str">
        <f>VLOOKUP(C7,Purchased!A:Q,10,0)</f>
        <v>AAP</v>
      </c>
      <c r="H7" s="112" t="str">
        <f>VLOOKUP(C7,Purchased!A:Q,12,0)</f>
        <v xml:space="preserve">  </v>
      </c>
      <c r="I7" s="113"/>
      <c r="J7" s="44">
        <f>VLOOKUP(C7,Purchased!A:Q,13,0)</f>
        <v>45104</v>
      </c>
      <c r="K7" s="44">
        <f>VLOOKUP(C7,Purchased!A:Q,14,0)</f>
        <v>45105</v>
      </c>
      <c r="L7" s="44">
        <f>VLOOKUP(C7,Purchased!A:Q,15,0)</f>
        <v>45133</v>
      </c>
      <c r="M7" s="44">
        <f>VLOOKUP(C7,Purchased!A:Q,16,0)</f>
        <v>45133</v>
      </c>
      <c r="N7" s="45">
        <f>VLOOKUP(C7,Purchased!A:Q,17,0)</f>
        <v>54968</v>
      </c>
      <c r="O7" s="45" t="e">
        <f t="shared" ref="O7:O9" ca="1" si="2">B7*$L$2</f>
        <v>#VALUE!</v>
      </c>
      <c r="P7" s="49">
        <f>IFERROR(VLOOKUP(C7,Purchased!A:E,3,FALSE),"")</f>
        <v>0.77139999999999997</v>
      </c>
      <c r="Q7" s="50">
        <f t="shared" ref="Q7" si="3">IFERROR(B7*P7,"")</f>
        <v>4.6284000000000001</v>
      </c>
    </row>
    <row r="8" spans="1:17" s="2" customFormat="1" ht="12.75" customHeight="1">
      <c r="A8" s="25"/>
      <c r="B8" s="26"/>
      <c r="C8" s="26"/>
      <c r="D8" s="272"/>
      <c r="E8" s="273"/>
      <c r="F8" s="26"/>
      <c r="G8" s="26"/>
      <c r="H8" s="274"/>
      <c r="I8" s="275"/>
      <c r="J8" s="27"/>
      <c r="K8" s="27"/>
      <c r="L8" s="27"/>
      <c r="M8" s="28"/>
      <c r="N8" s="29"/>
      <c r="O8" s="29" t="e">
        <f t="shared" ca="1" si="2"/>
        <v>#VALUE!</v>
      </c>
      <c r="P8" s="141"/>
      <c r="Q8" s="142"/>
    </row>
    <row r="9" spans="1:17" s="2" customFormat="1" ht="12.75" customHeight="1" thickBot="1">
      <c r="A9" s="4">
        <v>501</v>
      </c>
      <c r="B9" s="2">
        <v>6</v>
      </c>
      <c r="C9" s="110" t="s">
        <v>281</v>
      </c>
      <c r="D9" s="268"/>
      <c r="E9" s="276"/>
      <c r="F9" s="112" t="str">
        <f>VLOOKUP(C9,Bolts!A:L,5,0)</f>
        <v xml:space="preserve">  </v>
      </c>
      <c r="G9" s="112" t="str">
        <f>VLOOKUP(C9,Bolts!A:L,6,0)</f>
        <v>Monroe Fasteners</v>
      </c>
      <c r="H9" s="112" t="str">
        <f>VLOOKUP(C9,Bolts!A:L,7,0)</f>
        <v xml:space="preserve">  </v>
      </c>
      <c r="I9" s="112"/>
      <c r="J9" s="44" t="str">
        <f>VLOOKUP(C9,Bolts!A:L,8,0)</f>
        <v xml:space="preserve"> </v>
      </c>
      <c r="K9" s="44" t="str">
        <f>VLOOKUP(C9,Bolts!A:L,9,0)</f>
        <v xml:space="preserve"> </v>
      </c>
      <c r="L9" s="44" t="str">
        <f>VLOOKUP(C9,Bolts!A:L,10,0)</f>
        <v xml:space="preserve"> </v>
      </c>
      <c r="M9" s="44" t="str">
        <f>VLOOKUP(C9,Bolts!A:L,11,0)</f>
        <v xml:space="preserve"> </v>
      </c>
      <c r="N9" s="45" t="str">
        <f>VLOOKUP(C9,Bolts!A:L,12,0)</f>
        <v xml:space="preserve"> </v>
      </c>
      <c r="O9" s="45" t="e">
        <f t="shared" ca="1" si="2"/>
        <v>#VALUE!</v>
      </c>
      <c r="P9" s="49" t="str">
        <f>IFERROR(VLOOKUP(C9,Bolts!A:B,2,FALSE),"")</f>
        <v xml:space="preserve"> </v>
      </c>
      <c r="Q9" s="50" t="str">
        <f t="shared" ref="Q9" si="4">IFERROR(B9*P9,"")</f>
        <v/>
      </c>
    </row>
    <row r="10" spans="1:17" s="2" customFormat="1" ht="12.75" customHeight="1" thickBot="1">
      <c r="A10" s="34"/>
      <c r="B10" s="35"/>
      <c r="C10" s="35"/>
      <c r="D10" s="256"/>
      <c r="E10" s="257"/>
      <c r="F10" s="35"/>
      <c r="G10" s="35"/>
      <c r="H10" s="294"/>
      <c r="I10" s="295"/>
      <c r="J10" s="36"/>
      <c r="K10" s="36"/>
      <c r="L10" s="36"/>
      <c r="M10" s="37"/>
      <c r="N10" s="38"/>
      <c r="O10" s="38"/>
      <c r="P10" s="89" t="s">
        <v>43</v>
      </c>
      <c r="Q10" s="94">
        <f>SUM(Q5:Q9)</f>
        <v>26.688399999999998</v>
      </c>
    </row>
    <row r="11" spans="1:17" s="2" customFormat="1" ht="12" customHeight="1">
      <c r="D11" s="22"/>
      <c r="E11" s="22"/>
      <c r="J11" s="8"/>
      <c r="K11" s="8"/>
      <c r="L11" s="8"/>
      <c r="M11" s="8"/>
      <c r="N11" s="5"/>
      <c r="O11" s="5"/>
      <c r="P11" s="88"/>
      <c r="Q11" s="95"/>
    </row>
    <row r="12" spans="1:17" s="2" customFormat="1" ht="12" customHeight="1">
      <c r="D12" s="22"/>
      <c r="E12" s="22"/>
      <c r="J12" s="5"/>
      <c r="K12" s="5"/>
      <c r="L12" s="5"/>
      <c r="M12" s="5"/>
      <c r="N12" s="5"/>
      <c r="O12" s="5"/>
      <c r="P12" s="88"/>
      <c r="Q12" s="95"/>
    </row>
    <row r="13" spans="1:17" s="2" customFormat="1" ht="12" customHeight="1">
      <c r="D13" s="22"/>
      <c r="E13" s="22"/>
      <c r="J13" s="5"/>
      <c r="K13" s="5"/>
      <c r="L13" s="5"/>
      <c r="M13" s="5"/>
      <c r="N13" s="5"/>
      <c r="O13" s="5"/>
      <c r="P13" s="88"/>
      <c r="Q13" s="95"/>
    </row>
    <row r="14" spans="1:17" s="2" customFormat="1" ht="12" customHeight="1">
      <c r="D14" s="22"/>
      <c r="E14" s="22"/>
      <c r="J14" s="5"/>
      <c r="K14" s="5"/>
      <c r="L14" s="5"/>
      <c r="M14" s="5"/>
      <c r="N14" s="5"/>
      <c r="O14" s="5"/>
      <c r="P14" s="88"/>
      <c r="Q14" s="95"/>
    </row>
    <row r="15" spans="1:17" s="2" customFormat="1" ht="12" customHeight="1">
      <c r="D15" s="22"/>
      <c r="E15" s="22"/>
      <c r="J15" s="5"/>
      <c r="K15" s="5"/>
      <c r="L15" s="5"/>
      <c r="M15" s="5"/>
      <c r="N15" s="5"/>
      <c r="O15" s="5"/>
      <c r="P15" s="88"/>
      <c r="Q15" s="95"/>
    </row>
    <row r="16" spans="1:17" s="2" customFormat="1" ht="12" customHeight="1">
      <c r="D16" s="22"/>
      <c r="E16" s="22"/>
      <c r="J16" s="5"/>
      <c r="K16" s="5"/>
      <c r="L16" s="5"/>
      <c r="M16" s="5"/>
      <c r="N16" s="5"/>
      <c r="O16" s="5"/>
      <c r="P16" s="88"/>
      <c r="Q16" s="95"/>
    </row>
    <row r="17" spans="4:17" s="2" customFormat="1" ht="12" customHeight="1">
      <c r="D17" s="22"/>
      <c r="E17" s="22"/>
      <c r="J17" s="5"/>
      <c r="K17" s="5"/>
      <c r="L17" s="5"/>
      <c r="M17" s="5"/>
      <c r="N17" s="5"/>
      <c r="O17" s="5"/>
      <c r="P17" s="88"/>
      <c r="Q17" s="95"/>
    </row>
    <row r="18" spans="4:17" s="2" customFormat="1" ht="12" customHeight="1">
      <c r="D18" s="22"/>
      <c r="E18" s="22"/>
      <c r="J18" s="5"/>
      <c r="K18" s="5"/>
      <c r="L18" s="5"/>
      <c r="M18" s="5"/>
      <c r="N18" s="5"/>
      <c r="O18" s="5"/>
      <c r="P18" s="88"/>
      <c r="Q18" s="95"/>
    </row>
    <row r="19" spans="4:17" s="2" customFormat="1" ht="12" customHeight="1">
      <c r="D19" s="22"/>
      <c r="E19" s="22"/>
      <c r="J19" s="5"/>
      <c r="K19" s="5"/>
      <c r="L19" s="5"/>
      <c r="M19" s="5"/>
      <c r="N19" s="5"/>
      <c r="O19" s="5"/>
      <c r="P19" s="88"/>
      <c r="Q19" s="95"/>
    </row>
    <row r="20" spans="4:17" s="2" customFormat="1" ht="12" customHeight="1">
      <c r="D20" s="22"/>
      <c r="E20" s="22"/>
      <c r="J20" s="5"/>
      <c r="K20" s="5"/>
      <c r="L20" s="5"/>
      <c r="M20" s="5"/>
      <c r="N20" s="5"/>
      <c r="O20" s="5"/>
      <c r="P20" s="88"/>
      <c r="Q20" s="95"/>
    </row>
    <row r="21" spans="4:17" s="2" customFormat="1" ht="12" customHeight="1">
      <c r="D21" s="22"/>
      <c r="E21" s="22"/>
      <c r="J21" s="5"/>
      <c r="K21" s="5"/>
      <c r="L21" s="5"/>
      <c r="M21" s="5"/>
      <c r="N21" s="5"/>
      <c r="O21" s="5"/>
      <c r="P21" s="88"/>
      <c r="Q21" s="95"/>
    </row>
    <row r="22" spans="4:17" s="2" customFormat="1" ht="12" customHeight="1">
      <c r="D22" s="22"/>
      <c r="E22" s="22"/>
      <c r="J22" s="5"/>
      <c r="K22" s="5"/>
      <c r="L22" s="5"/>
      <c r="M22" s="5"/>
      <c r="N22" s="5"/>
      <c r="O22" s="5"/>
      <c r="P22" s="88"/>
      <c r="Q22" s="95"/>
    </row>
    <row r="23" spans="4:17" s="2" customFormat="1" ht="12" customHeight="1">
      <c r="D23" s="22"/>
      <c r="E23" s="22"/>
      <c r="J23" s="5"/>
      <c r="K23" s="5"/>
      <c r="L23" s="5"/>
      <c r="M23" s="5"/>
      <c r="N23" s="5"/>
      <c r="O23" s="5"/>
      <c r="P23" s="88"/>
      <c r="Q23" s="95"/>
    </row>
    <row r="24" spans="4:17" s="2" customFormat="1" ht="12" customHeight="1">
      <c r="D24" s="22"/>
      <c r="E24" s="22"/>
      <c r="J24" s="5"/>
      <c r="K24" s="5"/>
      <c r="L24" s="5"/>
      <c r="M24" s="5"/>
      <c r="N24" s="5"/>
      <c r="O24" s="5"/>
      <c r="P24" s="88"/>
      <c r="Q24" s="95"/>
    </row>
    <row r="25" spans="4:17" s="2" customFormat="1" ht="12" customHeight="1">
      <c r="D25" s="22"/>
      <c r="E25" s="22"/>
      <c r="J25" s="5"/>
      <c r="K25" s="5"/>
      <c r="L25" s="5"/>
      <c r="M25" s="5"/>
      <c r="N25" s="5"/>
      <c r="O25" s="5"/>
      <c r="P25" s="88"/>
      <c r="Q25" s="95"/>
    </row>
    <row r="26" spans="4:17" s="2" customFormat="1" ht="12" customHeight="1">
      <c r="D26" s="22"/>
      <c r="E26" s="22"/>
      <c r="J26" s="5"/>
      <c r="K26" s="5"/>
      <c r="L26" s="5"/>
      <c r="M26" s="5"/>
      <c r="N26" s="5"/>
      <c r="O26" s="5"/>
      <c r="P26" s="88"/>
      <c r="Q26" s="95"/>
    </row>
    <row r="27" spans="4:17" s="2" customFormat="1" ht="12" customHeight="1">
      <c r="D27" s="22"/>
      <c r="E27" s="22"/>
      <c r="J27" s="5"/>
      <c r="K27" s="5"/>
      <c r="L27" s="5"/>
      <c r="M27" s="5"/>
      <c r="N27" s="5"/>
      <c r="O27" s="5"/>
      <c r="P27" s="88"/>
      <c r="Q27" s="95"/>
    </row>
    <row r="28" spans="4:17" s="2" customFormat="1" ht="12" customHeight="1">
      <c r="D28" s="22"/>
      <c r="E28" s="22"/>
      <c r="J28" s="5"/>
      <c r="K28" s="5"/>
      <c r="L28" s="5"/>
      <c r="M28" s="5"/>
      <c r="N28" s="5"/>
      <c r="O28" s="5"/>
      <c r="P28" s="88"/>
      <c r="Q28" s="95"/>
    </row>
    <row r="29" spans="4:17" s="2" customFormat="1" ht="12" customHeight="1">
      <c r="D29" s="22"/>
      <c r="E29" s="22"/>
      <c r="J29" s="5"/>
      <c r="K29" s="5"/>
      <c r="L29" s="5"/>
      <c r="M29" s="5"/>
      <c r="N29" s="5"/>
      <c r="O29" s="5"/>
      <c r="P29" s="88"/>
      <c r="Q29" s="95"/>
    </row>
    <row r="30" spans="4:17" s="2" customFormat="1" ht="12" customHeight="1">
      <c r="D30" s="22"/>
      <c r="E30" s="22"/>
      <c r="J30" s="5"/>
      <c r="K30" s="5"/>
      <c r="L30" s="5"/>
      <c r="M30" s="5"/>
      <c r="N30" s="5"/>
      <c r="O30" s="5"/>
      <c r="P30" s="88"/>
      <c r="Q30" s="95"/>
    </row>
    <row r="31" spans="4:17" s="2" customFormat="1" ht="12" customHeight="1">
      <c r="D31" s="22"/>
      <c r="E31" s="22"/>
      <c r="J31" s="5"/>
      <c r="K31" s="5"/>
      <c r="L31" s="5"/>
      <c r="M31" s="5"/>
      <c r="N31" s="5"/>
      <c r="O31" s="5"/>
      <c r="P31" s="88"/>
      <c r="Q31" s="95"/>
    </row>
    <row r="32" spans="4:17" s="2" customFormat="1" ht="12" customHeight="1">
      <c r="D32" s="22"/>
      <c r="E32" s="22"/>
      <c r="J32" s="5"/>
      <c r="K32" s="5"/>
      <c r="L32" s="5"/>
      <c r="M32" s="5"/>
      <c r="N32" s="5"/>
      <c r="O32" s="5"/>
      <c r="P32" s="88"/>
      <c r="Q32" s="95"/>
    </row>
    <row r="33" spans="4:17" s="2" customFormat="1" ht="12" customHeight="1">
      <c r="D33" s="22"/>
      <c r="E33" s="22"/>
      <c r="J33" s="5"/>
      <c r="K33" s="5"/>
      <c r="L33" s="5"/>
      <c r="M33" s="5"/>
      <c r="N33" s="5"/>
      <c r="O33" s="5"/>
      <c r="P33" s="88"/>
      <c r="Q33" s="95"/>
    </row>
    <row r="34" spans="4:17" s="2" customFormat="1" ht="12" customHeight="1">
      <c r="D34" s="22"/>
      <c r="E34" s="22"/>
      <c r="J34" s="5"/>
      <c r="K34" s="5"/>
      <c r="L34" s="5"/>
      <c r="M34" s="5"/>
      <c r="N34" s="5"/>
      <c r="O34" s="5"/>
      <c r="P34" s="88"/>
      <c r="Q34" s="95"/>
    </row>
    <row r="35" spans="4:17" s="2" customFormat="1" ht="12" customHeight="1">
      <c r="D35" s="22"/>
      <c r="E35" s="22"/>
      <c r="J35" s="5"/>
      <c r="K35" s="5"/>
      <c r="L35" s="5"/>
      <c r="M35" s="5"/>
      <c r="N35" s="5"/>
      <c r="O35" s="5"/>
      <c r="P35" s="88"/>
      <c r="Q35" s="95"/>
    </row>
    <row r="36" spans="4:17" s="2" customFormat="1" ht="12" customHeight="1">
      <c r="D36" s="22"/>
      <c r="E36" s="22"/>
      <c r="J36" s="5"/>
      <c r="K36" s="5"/>
      <c r="L36" s="5"/>
      <c r="M36" s="5"/>
      <c r="N36" s="5"/>
      <c r="O36" s="5"/>
      <c r="P36" s="88"/>
      <c r="Q36" s="95"/>
    </row>
    <row r="37" spans="4:17" s="2" customFormat="1" ht="12" customHeight="1">
      <c r="D37" s="22"/>
      <c r="E37" s="22"/>
      <c r="J37" s="5"/>
      <c r="K37" s="5"/>
      <c r="L37" s="5"/>
      <c r="M37" s="5"/>
      <c r="N37" s="5"/>
      <c r="O37" s="5"/>
      <c r="P37" s="88"/>
      <c r="Q37" s="95"/>
    </row>
    <row r="38" spans="4:17" s="2" customFormat="1" ht="12" customHeight="1">
      <c r="D38" s="22"/>
      <c r="E38" s="22"/>
      <c r="J38" s="5"/>
      <c r="K38" s="5"/>
      <c r="L38" s="5"/>
      <c r="M38" s="5"/>
      <c r="N38" s="5"/>
      <c r="O38" s="5"/>
      <c r="P38" s="88"/>
      <c r="Q38" s="95"/>
    </row>
    <row r="39" spans="4:17" s="2" customFormat="1" ht="12" customHeight="1">
      <c r="D39" s="22"/>
      <c r="E39" s="22"/>
      <c r="J39" s="5"/>
      <c r="K39" s="5"/>
      <c r="L39" s="5"/>
      <c r="M39" s="5"/>
      <c r="N39" s="5"/>
      <c r="O39" s="5"/>
      <c r="P39" s="88"/>
      <c r="Q39" s="95"/>
    </row>
    <row r="40" spans="4:17" s="2" customFormat="1" ht="12" customHeight="1">
      <c r="D40" s="22"/>
      <c r="E40" s="22"/>
      <c r="J40" s="5"/>
      <c r="K40" s="5"/>
      <c r="L40" s="5"/>
      <c r="M40" s="5"/>
      <c r="N40" s="5"/>
      <c r="O40" s="5"/>
      <c r="P40" s="88"/>
      <c r="Q40" s="95"/>
    </row>
    <row r="41" spans="4:17" s="2" customFormat="1" ht="12" customHeight="1">
      <c r="D41" s="22"/>
      <c r="E41" s="22"/>
      <c r="J41" s="5"/>
      <c r="K41" s="5"/>
      <c r="L41" s="5"/>
      <c r="M41" s="5"/>
      <c r="N41" s="5"/>
      <c r="O41" s="5"/>
      <c r="P41" s="88"/>
      <c r="Q41" s="95"/>
    </row>
    <row r="42" spans="4:17" s="2" customFormat="1" ht="12" customHeight="1">
      <c r="D42" s="22"/>
      <c r="E42" s="22"/>
      <c r="J42" s="5"/>
      <c r="K42" s="5"/>
      <c r="L42" s="5"/>
      <c r="M42" s="5"/>
      <c r="N42" s="5"/>
      <c r="O42" s="5"/>
      <c r="P42" s="88"/>
      <c r="Q42" s="95"/>
    </row>
    <row r="43" spans="4:17" s="2" customFormat="1" ht="12" customHeight="1">
      <c r="D43" s="22"/>
      <c r="E43" s="22"/>
      <c r="J43" s="5"/>
      <c r="K43" s="5"/>
      <c r="L43" s="5"/>
      <c r="M43" s="5"/>
      <c r="N43" s="5"/>
      <c r="O43" s="5"/>
      <c r="P43" s="88"/>
      <c r="Q43" s="95"/>
    </row>
    <row r="44" spans="4:17" s="2" customFormat="1" ht="12" customHeight="1">
      <c r="D44" s="22"/>
      <c r="E44" s="22"/>
      <c r="J44" s="5"/>
      <c r="K44" s="5"/>
      <c r="L44" s="5"/>
      <c r="M44" s="5"/>
      <c r="N44" s="5"/>
      <c r="O44" s="5"/>
      <c r="P44" s="88"/>
      <c r="Q44" s="95"/>
    </row>
    <row r="45" spans="4:17" s="2" customFormat="1" ht="12" customHeight="1">
      <c r="D45" s="22"/>
      <c r="E45" s="22"/>
      <c r="J45" s="5"/>
      <c r="K45" s="5"/>
      <c r="L45" s="5"/>
      <c r="M45" s="5"/>
      <c r="N45" s="5"/>
      <c r="O45" s="5"/>
      <c r="P45" s="88"/>
      <c r="Q45" s="95"/>
    </row>
    <row r="46" spans="4:17" s="2" customFormat="1" ht="12" customHeight="1">
      <c r="D46" s="22"/>
      <c r="E46" s="22"/>
      <c r="J46" s="5"/>
      <c r="K46" s="5"/>
      <c r="L46" s="5"/>
      <c r="M46" s="5"/>
      <c r="N46" s="5"/>
      <c r="O46" s="5"/>
      <c r="P46" s="88"/>
      <c r="Q46" s="95"/>
    </row>
    <row r="47" spans="4:17" s="2" customFormat="1" ht="12" customHeight="1">
      <c r="D47" s="22"/>
      <c r="E47" s="22"/>
      <c r="J47" s="5"/>
      <c r="K47" s="5"/>
      <c r="L47" s="5"/>
      <c r="M47" s="5"/>
      <c r="N47" s="5"/>
      <c r="O47" s="5"/>
      <c r="P47" s="88"/>
      <c r="Q47" s="95"/>
    </row>
    <row r="48" spans="4:17" s="2" customFormat="1" ht="12" customHeight="1">
      <c r="D48" s="22"/>
      <c r="E48" s="22"/>
      <c r="J48" s="5"/>
      <c r="K48" s="5"/>
      <c r="L48" s="5"/>
      <c r="M48" s="5"/>
      <c r="N48" s="5"/>
      <c r="O48" s="5"/>
      <c r="P48" s="88"/>
      <c r="Q48" s="95"/>
    </row>
    <row r="49" spans="1:17" s="2" customFormat="1" ht="12" customHeight="1">
      <c r="D49" s="22"/>
      <c r="E49" s="22"/>
      <c r="J49" s="5"/>
      <c r="K49" s="5"/>
      <c r="L49" s="5"/>
      <c r="M49" s="5"/>
      <c r="N49" s="5"/>
      <c r="O49" s="5"/>
      <c r="P49" s="88"/>
      <c r="Q49" s="96"/>
    </row>
    <row r="50" spans="1:17" s="2" customFormat="1" ht="12" customHeight="1">
      <c r="D50" s="22"/>
      <c r="E50" s="22"/>
      <c r="J50" s="5"/>
      <c r="K50" s="5"/>
      <c r="L50" s="5"/>
      <c r="M50" s="5"/>
      <c r="N50" s="5"/>
      <c r="O50" s="5"/>
      <c r="P50" s="88"/>
      <c r="Q50" s="96"/>
    </row>
    <row r="51" spans="1:17" s="2" customFormat="1" ht="12" customHeight="1">
      <c r="D51" s="22"/>
      <c r="E51" s="22"/>
      <c r="J51" s="5"/>
      <c r="K51" s="5"/>
      <c r="L51" s="5"/>
      <c r="M51" s="5"/>
      <c r="N51" s="5"/>
      <c r="O51" s="5"/>
      <c r="P51" s="88"/>
      <c r="Q51" s="96"/>
    </row>
    <row r="52" spans="1:17" s="2" customFormat="1" ht="12" customHeight="1">
      <c r="D52" s="22"/>
      <c r="E52" s="22"/>
      <c r="J52" s="5"/>
      <c r="K52" s="5"/>
      <c r="L52" s="5"/>
      <c r="M52" s="5"/>
      <c r="N52" s="5"/>
      <c r="O52" s="5"/>
      <c r="P52" s="88"/>
      <c r="Q52" s="96"/>
    </row>
    <row r="53" spans="1:17" s="2" customFormat="1" ht="12" customHeight="1">
      <c r="A53"/>
      <c r="B53"/>
      <c r="C53"/>
      <c r="D53" s="23"/>
      <c r="E53" s="23"/>
      <c r="F53"/>
      <c r="G53"/>
      <c r="H53"/>
      <c r="I53"/>
      <c r="J53" s="19"/>
      <c r="K53" s="19"/>
      <c r="L53" s="19"/>
      <c r="M53" s="19"/>
      <c r="N53" s="19"/>
      <c r="O53" s="19"/>
      <c r="P53" s="90"/>
      <c r="Q53" s="96"/>
    </row>
    <row r="54" spans="1:17" s="2" customFormat="1" ht="12" customHeight="1">
      <c r="A54"/>
      <c r="B54"/>
      <c r="C54"/>
      <c r="D54" s="23"/>
      <c r="E54" s="23"/>
      <c r="F54"/>
      <c r="G54"/>
      <c r="H54"/>
      <c r="I54"/>
      <c r="J54" s="19"/>
      <c r="K54" s="19"/>
      <c r="L54" s="19"/>
      <c r="M54" s="19"/>
      <c r="N54" s="19"/>
      <c r="O54" s="19"/>
      <c r="P54" s="90"/>
      <c r="Q54" s="96"/>
    </row>
    <row r="55" spans="1:17" s="2" customFormat="1" ht="12" customHeight="1">
      <c r="A55"/>
      <c r="B55"/>
      <c r="C55"/>
      <c r="D55" s="23"/>
      <c r="E55" s="23"/>
      <c r="F55"/>
      <c r="G55"/>
      <c r="H55"/>
      <c r="I55"/>
      <c r="J55" s="19"/>
      <c r="K55" s="19"/>
      <c r="L55" s="19"/>
      <c r="M55" s="19"/>
      <c r="N55" s="19"/>
      <c r="O55" s="19"/>
      <c r="P55" s="90"/>
      <c r="Q55" s="96"/>
    </row>
    <row r="56" spans="1:17" s="2" customFormat="1" ht="12" customHeight="1">
      <c r="A56"/>
      <c r="B56"/>
      <c r="C56"/>
      <c r="D56" s="23"/>
      <c r="E56" s="23"/>
      <c r="F56"/>
      <c r="G56"/>
      <c r="H56"/>
      <c r="I56"/>
      <c r="J56" s="19"/>
      <c r="K56" s="19"/>
      <c r="L56" s="19"/>
      <c r="M56" s="19"/>
      <c r="N56" s="19"/>
      <c r="O56" s="19"/>
      <c r="P56" s="90"/>
      <c r="Q56" s="96"/>
    </row>
    <row r="57" spans="1:17" s="2" customFormat="1" ht="12" customHeight="1">
      <c r="A57"/>
      <c r="B57"/>
      <c r="C57"/>
      <c r="D57" s="23"/>
      <c r="E57" s="23"/>
      <c r="F57"/>
      <c r="G57"/>
      <c r="H57"/>
      <c r="I57"/>
      <c r="J57" s="19"/>
      <c r="K57" s="19"/>
      <c r="L57" s="19"/>
      <c r="M57" s="19"/>
      <c r="N57" s="19"/>
      <c r="O57" s="19"/>
      <c r="P57" s="90"/>
      <c r="Q57" s="96"/>
    </row>
    <row r="58" spans="1:17">
      <c r="Q58" s="96"/>
    </row>
    <row r="59" spans="1:17">
      <c r="Q59" s="96"/>
    </row>
    <row r="60" spans="1:17">
      <c r="Q60" s="96"/>
    </row>
    <row r="61" spans="1:17">
      <c r="Q61" s="96"/>
    </row>
    <row r="62" spans="1:17">
      <c r="Q62" s="96"/>
    </row>
    <row r="63" spans="1:17">
      <c r="Q63" s="96"/>
    </row>
    <row r="64" spans="1:17">
      <c r="Q64" s="96"/>
    </row>
    <row r="65" spans="17:17">
      <c r="Q65" s="96"/>
    </row>
    <row r="66" spans="17:17">
      <c r="Q66" s="96"/>
    </row>
    <row r="67" spans="17:17">
      <c r="Q67" s="96"/>
    </row>
    <row r="68" spans="17:17">
      <c r="Q68" s="96"/>
    </row>
    <row r="69" spans="17:17">
      <c r="Q69" s="96"/>
    </row>
    <row r="70" spans="17:17">
      <c r="Q70" s="96"/>
    </row>
    <row r="71" spans="17:17">
      <c r="Q71" s="96"/>
    </row>
    <row r="72" spans="17:17">
      <c r="Q72" s="96"/>
    </row>
    <row r="73" spans="17:17">
      <c r="Q73" s="96"/>
    </row>
    <row r="74" spans="17:17">
      <c r="Q74" s="96"/>
    </row>
    <row r="75" spans="17:17">
      <c r="Q75" s="96"/>
    </row>
    <row r="76" spans="17:17">
      <c r="Q76" s="96"/>
    </row>
    <row r="77" spans="17:17">
      <c r="Q77" s="96"/>
    </row>
    <row r="114" ht="12" customHeight="1"/>
    <row r="115" ht="12" customHeight="1"/>
    <row r="116" ht="12" customHeight="1"/>
    <row r="117" ht="12" customHeight="1"/>
    <row r="118" ht="12" customHeight="1"/>
    <row r="119" ht="12" customHeight="1"/>
    <row r="120" ht="12" customHeight="1"/>
    <row r="121" ht="12" customHeight="1"/>
    <row r="122" ht="12" customHeight="1"/>
    <row r="123" ht="12" customHeight="1"/>
    <row r="124" ht="12" customHeight="1"/>
    <row r="125" ht="12" customHeight="1"/>
    <row r="126" ht="12" customHeight="1"/>
    <row r="127" ht="12" customHeight="1"/>
    <row r="128" ht="12" customHeight="1"/>
    <row r="129" ht="12" customHeight="1"/>
    <row r="130" ht="12" customHeight="1"/>
    <row r="131" ht="12" customHeight="1"/>
    <row r="132" ht="12" customHeight="1"/>
    <row r="133" ht="12" customHeight="1"/>
    <row r="134" ht="12" customHeight="1"/>
    <row r="135" ht="12" customHeight="1"/>
    <row r="136" ht="12" customHeight="1"/>
    <row r="137" ht="12" customHeight="1"/>
    <row r="138" ht="12" customHeight="1"/>
    <row r="139" ht="12" customHeight="1"/>
    <row r="140" ht="12" customHeight="1"/>
    <row r="141" ht="12" customHeight="1"/>
    <row r="142" ht="12" customHeight="1"/>
    <row r="143" ht="12" customHeight="1"/>
    <row r="144" ht="12" customHeight="1"/>
    <row r="145" ht="12" customHeight="1"/>
    <row r="146" ht="12" customHeight="1"/>
    <row r="147" ht="12" customHeight="1"/>
    <row r="148" ht="12" customHeight="1"/>
    <row r="149" ht="12" customHeight="1"/>
    <row r="150" ht="12" customHeight="1"/>
    <row r="151" ht="12" customHeight="1"/>
    <row r="152" ht="12" customHeight="1"/>
    <row r="153" ht="12" customHeight="1"/>
    <row r="154" ht="12" customHeight="1"/>
    <row r="155" ht="12" customHeight="1"/>
    <row r="156" ht="12" customHeight="1"/>
    <row r="157" ht="12" customHeight="1"/>
    <row r="158" ht="12" customHeight="1"/>
    <row r="159" ht="12" customHeight="1"/>
    <row r="160" ht="12" customHeight="1"/>
    <row r="161" ht="12" customHeight="1"/>
    <row r="162" ht="12" customHeight="1"/>
    <row r="163" ht="12" customHeight="1"/>
  </sheetData>
  <mergeCells count="12">
    <mergeCell ref="D8:E8"/>
    <mergeCell ref="H8:I8"/>
    <mergeCell ref="D9:E9"/>
    <mergeCell ref="D10:E10"/>
    <mergeCell ref="H10:I10"/>
    <mergeCell ref="D6:E6"/>
    <mergeCell ref="H6:I6"/>
    <mergeCell ref="D7:E7"/>
    <mergeCell ref="D1:E1"/>
    <mergeCell ref="D4:E4"/>
    <mergeCell ref="H4:I4"/>
    <mergeCell ref="D5:E5"/>
  </mergeCells>
  <conditionalFormatting sqref="M5">
    <cfRule type="cellIs" dxfId="609" priority="1" stopIfTrue="1" operator="lessThanOrEqual">
      <formula>$L5</formula>
    </cfRule>
    <cfRule type="cellIs" dxfId="608" priority="2" operator="greaterThan">
      <formula>L5</formula>
    </cfRule>
  </conditionalFormatting>
  <conditionalFormatting sqref="M7 M9">
    <cfRule type="cellIs" dxfId="607" priority="3" stopIfTrue="1" operator="lessThanOrEqual">
      <formula>$L7</formula>
    </cfRule>
    <cfRule type="cellIs" dxfId="606" priority="4" operator="greaterThan">
      <formula>L7</formula>
    </cfRule>
  </conditionalFormatting>
  <pageMargins left="0.7" right="0.7" top="0.75" bottom="0.75" header="0.3" footer="0.3"/>
  <pageSetup paperSize="3" fitToHeight="0" orientation="landscape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DA0C1F7-2774-450E-8C05-2FF9DA732BA4}">
          <x14:formula1>
            <xm:f>Bolts!$A:$A</xm:f>
          </x14:formula1>
          <xm:sqref>C9</xm:sqref>
        </x14:dataValidation>
        <x14:dataValidation type="list" allowBlank="1" showInputMessage="1" showErrorMessage="1" xr:uid="{147DD2B7-5F2E-402D-9469-D0EBBC421ABE}">
          <x14:formula1>
            <xm:f>Purchased!$A:$A</xm:f>
          </x14:formula1>
          <xm:sqref>C7</xm:sqref>
        </x14:dataValidation>
        <x14:dataValidation type="list" allowBlank="1" showInputMessage="1" showErrorMessage="1" xr:uid="{58389FEC-FB9E-4252-8817-0D00BA7CAD9B}">
          <x14:formula1>
            <xm:f>Machined!$C:$C</xm:f>
          </x14:formula1>
          <xm:sqref>C5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464F72-5BB8-4EBD-943D-8BAC1DCA249E}">
  <sheetPr codeName="Sheet156">
    <tabColor theme="3" tint="0.79998168889431442"/>
    <pageSetUpPr fitToPage="1"/>
  </sheetPr>
  <dimension ref="A1:Q168"/>
  <sheetViews>
    <sheetView zoomScaleNormal="100" workbookViewId="0">
      <selection activeCell="A5" sqref="A5:Q14"/>
    </sheetView>
  </sheetViews>
  <sheetFormatPr defaultColWidth="9.140625" defaultRowHeight="15"/>
  <cols>
    <col min="1" max="1" width="5.7109375" customWidth="1"/>
    <col min="2" max="2" width="5.42578125" bestFit="1" customWidth="1"/>
    <col min="3" max="3" width="30.7109375" customWidth="1"/>
    <col min="4" max="5" width="20.7109375" style="23" customWidth="1"/>
    <col min="6" max="6" width="16.85546875" bestFit="1" customWidth="1"/>
    <col min="7" max="7" width="9.7109375" customWidth="1"/>
    <col min="8" max="8" width="8.7109375" customWidth="1"/>
    <col min="9" max="9" width="20.7109375" customWidth="1"/>
    <col min="10" max="13" width="11.7109375" style="19" customWidth="1"/>
    <col min="14" max="14" width="11.85546875" style="19" bestFit="1" customWidth="1"/>
    <col min="15" max="15" width="7.7109375" style="19" customWidth="1"/>
    <col min="16" max="16" width="10.7109375" style="90" customWidth="1"/>
    <col min="17" max="17" width="10.7109375" style="97" customWidth="1"/>
  </cols>
  <sheetData>
    <row r="1" spans="1:17" s="55" customFormat="1" ht="12" customHeight="1">
      <c r="A1" s="68" t="s">
        <v>0</v>
      </c>
      <c r="B1" s="69"/>
      <c r="C1" s="69"/>
      <c r="D1" s="262" t="s">
        <v>1</v>
      </c>
      <c r="E1" s="263"/>
      <c r="F1" s="70"/>
      <c r="G1" s="69"/>
      <c r="H1" s="70"/>
      <c r="I1" s="71"/>
      <c r="J1" s="72"/>
      <c r="K1" s="72"/>
      <c r="L1" s="72"/>
      <c r="M1" s="72"/>
      <c r="N1" s="72"/>
      <c r="O1" s="72"/>
      <c r="P1" s="85"/>
      <c r="Q1" s="91"/>
    </row>
    <row r="2" spans="1:17" s="55" customFormat="1" ht="12" customHeight="1">
      <c r="A2" s="74" t="s">
        <v>48</v>
      </c>
      <c r="B2" s="58"/>
      <c r="C2" s="57" t="e">
        <f ca="1">VLOOKUP(E3,Assemblies!B:F,4,0)</f>
        <v>#VALUE!</v>
      </c>
      <c r="D2" s="75" t="s">
        <v>3</v>
      </c>
      <c r="E2" s="76" t="e">
        <f ca="1">'GF12'!E2</f>
        <v>#VALUE!</v>
      </c>
      <c r="F2" s="77" t="s">
        <v>4</v>
      </c>
      <c r="G2" s="58" t="str">
        <f>'GF12'!G2</f>
        <v>GH</v>
      </c>
      <c r="H2" s="77" t="s">
        <v>6</v>
      </c>
      <c r="I2" s="59">
        <f>'GF12'!I2</f>
        <v>44775</v>
      </c>
      <c r="J2" s="39"/>
      <c r="K2" s="40" t="s">
        <v>49</v>
      </c>
      <c r="L2" s="41" t="e">
        <f ca="1">VLOOKUP(C2,Assemblies!E:G,3,0)</f>
        <v>#VALUE!</v>
      </c>
      <c r="M2" s="78"/>
      <c r="N2" s="78"/>
      <c r="O2" s="78"/>
      <c r="P2" s="86"/>
      <c r="Q2" s="92"/>
    </row>
    <row r="3" spans="1:17" s="55" customFormat="1" ht="12" customHeight="1" thickBot="1">
      <c r="A3" s="74" t="s">
        <v>7</v>
      </c>
      <c r="B3" s="58"/>
      <c r="C3" s="57" t="e">
        <f ca="1">VLOOKUP(E3,Assemblies!B:F,5,0)</f>
        <v>#VALUE!</v>
      </c>
      <c r="D3" s="75" t="s">
        <v>50</v>
      </c>
      <c r="E3" s="76" t="e">
        <f ca="1">MID(CELL("filename",A1),FIND("]",CELL("filename",A1))+1,256)</f>
        <v>#VALUE!</v>
      </c>
      <c r="F3" s="77" t="s">
        <v>11</v>
      </c>
      <c r="G3" s="58" t="str">
        <f>'GF12'!G3</f>
        <v>GH</v>
      </c>
      <c r="H3" s="77" t="s">
        <v>6</v>
      </c>
      <c r="I3" s="59">
        <f>'GF12'!I3</f>
        <v>44775</v>
      </c>
      <c r="J3" s="78"/>
      <c r="K3" s="78"/>
      <c r="L3" s="78"/>
      <c r="M3" s="78"/>
      <c r="N3" s="78"/>
      <c r="O3" s="78"/>
      <c r="P3" s="86"/>
      <c r="Q3" s="92"/>
    </row>
    <row r="4" spans="1:17" s="56" customFormat="1" ht="12.75" customHeight="1" thickBot="1">
      <c r="A4" s="80" t="s">
        <v>12</v>
      </c>
      <c r="B4" s="81" t="s">
        <v>13</v>
      </c>
      <c r="C4" s="81" t="s">
        <v>14</v>
      </c>
      <c r="D4" s="270" t="s">
        <v>15</v>
      </c>
      <c r="E4" s="271"/>
      <c r="F4" s="104" t="s">
        <v>16</v>
      </c>
      <c r="G4" s="81" t="s">
        <v>17</v>
      </c>
      <c r="H4" s="260" t="s">
        <v>18</v>
      </c>
      <c r="I4" s="261"/>
      <c r="J4" s="81" t="s">
        <v>51</v>
      </c>
      <c r="K4" s="81" t="s">
        <v>20</v>
      </c>
      <c r="L4" s="81" t="s">
        <v>21</v>
      </c>
      <c r="M4" s="81" t="s">
        <v>52</v>
      </c>
      <c r="N4" s="81" t="s">
        <v>22</v>
      </c>
      <c r="O4" s="81" t="s">
        <v>53</v>
      </c>
      <c r="P4" s="107" t="s">
        <v>26</v>
      </c>
      <c r="Q4" s="82" t="s">
        <v>27</v>
      </c>
    </row>
    <row r="5" spans="1:17" s="2" customFormat="1" ht="12.75" customHeight="1">
      <c r="A5" s="127">
        <v>1</v>
      </c>
      <c r="B5" s="21">
        <v>1</v>
      </c>
      <c r="C5" s="108" t="s">
        <v>282</v>
      </c>
      <c r="D5" s="277" t="str">
        <f>VLOOKUP(C5,Machined!C:Q,2,0)</f>
        <v>Exh Manifold Plate, 4x 1-4 Port</v>
      </c>
      <c r="E5" s="278"/>
      <c r="F5" s="131" t="str">
        <f>VLOOKUP(C5,Machined!C:R,7,0)</f>
        <v>6061-T6 Alum</v>
      </c>
      <c r="G5" s="131" t="str">
        <f>VLOOKUP(C5,Machined!C:R,10,0)</f>
        <v>NULINE</v>
      </c>
      <c r="H5" s="131">
        <f>VLOOKUP(C5,Machined!C:R,11,0)</f>
        <v>0</v>
      </c>
      <c r="I5" s="131"/>
      <c r="J5" s="42" t="str">
        <f>VLOOKUP(C5,Machined!C:R,12,0)</f>
        <v>N/A</v>
      </c>
      <c r="K5" s="42" t="str">
        <f>VLOOKUP(C5,Machined!C:R,13,0)</f>
        <v>N/A</v>
      </c>
      <c r="L5" s="42" t="str">
        <f>VLOOKUP(C5,Machined!C:R,14,0)</f>
        <v>N/A</v>
      </c>
      <c r="M5" s="42" t="str">
        <f>VLOOKUP(C5,Machined!C:R,15,0)</f>
        <v>N/A</v>
      </c>
      <c r="N5" s="43" t="str">
        <f>VLOOKUP(C5,Machined!C:R,16,0)</f>
        <v>N/A</v>
      </c>
      <c r="O5" s="43" t="e">
        <f t="shared" ref="O5" ca="1" si="0">B5*$L$2</f>
        <v>#VALUE!</v>
      </c>
      <c r="P5" s="47">
        <f>IFERROR(VLOOKUP(C5,Machined!C:F,3,0),"")</f>
        <v>0</v>
      </c>
      <c r="Q5" s="48">
        <f t="shared" ref="Q5" si="1">IFERROR(B5*P5,"")</f>
        <v>0</v>
      </c>
    </row>
    <row r="6" spans="1:17" s="2" customFormat="1" ht="12.75" customHeight="1">
      <c r="A6" s="143"/>
      <c r="B6" s="26"/>
      <c r="C6" s="26"/>
      <c r="D6" s="272"/>
      <c r="E6" s="273"/>
      <c r="F6" s="26"/>
      <c r="G6" s="26"/>
      <c r="H6" s="274"/>
      <c r="I6" s="275"/>
      <c r="J6" s="27"/>
      <c r="K6" s="27"/>
      <c r="L6" s="27"/>
      <c r="M6" s="28"/>
      <c r="N6" s="29"/>
      <c r="O6" s="29"/>
      <c r="P6" s="141"/>
      <c r="Q6" s="142"/>
    </row>
    <row r="7" spans="1:17" s="2" customFormat="1" ht="12.75" customHeight="1">
      <c r="A7" s="4">
        <v>301</v>
      </c>
      <c r="B7" s="2">
        <v>1</v>
      </c>
      <c r="C7" s="114" t="s">
        <v>283</v>
      </c>
      <c r="D7" s="268" t="str">
        <f>VLOOKUP(C7,Purchased!A:B,2,0)</f>
        <v>Straight-Flow Rectangular Manifold, Anodized Aluminum, Standard, 4 Outlets, 3/8 NPT x 1/4 NPT</v>
      </c>
      <c r="E7" s="269"/>
      <c r="F7" s="112" t="str">
        <f>VLOOKUP(C7,Purchased!A:Q,9,0)</f>
        <v>MCM</v>
      </c>
      <c r="G7" s="112" t="str">
        <f>VLOOKUP(C7,Purchased!A:Q,10,0)</f>
        <v>MCM</v>
      </c>
      <c r="H7" s="112">
        <f>VLOOKUP(C7,Purchased!A:Q,12,0)</f>
        <v>0</v>
      </c>
      <c r="I7" s="113"/>
      <c r="J7" s="44" t="str">
        <f>VLOOKUP(C7,Purchased!A:Q,13,0)</f>
        <v>N/A</v>
      </c>
      <c r="K7" s="44">
        <f>VLOOKUP(C7,Purchased!A:Q,14,0)</f>
        <v>45238</v>
      </c>
      <c r="L7" s="44">
        <f>VLOOKUP(C7,Purchased!A:Q,15,0)</f>
        <v>45239</v>
      </c>
      <c r="M7" s="44">
        <f>VLOOKUP(C7,Purchased!A:Q,16,0)</f>
        <v>45239</v>
      </c>
      <c r="N7" s="45">
        <f>VLOOKUP(C7,Purchased!A:Q,17,0)</f>
        <v>55277</v>
      </c>
      <c r="O7" s="45" t="e">
        <f t="shared" ref="O7:O12" ca="1" si="2">B7*$L$2</f>
        <v>#VALUE!</v>
      </c>
      <c r="P7" s="49">
        <f>IFERROR(VLOOKUP(C7,Purchased!A:E,3,FALSE),"")</f>
        <v>28.67</v>
      </c>
      <c r="Q7" s="50">
        <f t="shared" ref="Q7" si="3">IFERROR(B7*P7,"")</f>
        <v>28.67</v>
      </c>
    </row>
    <row r="8" spans="1:17" s="2" customFormat="1" ht="12.75" customHeight="1">
      <c r="A8" s="4">
        <f>A7+1</f>
        <v>302</v>
      </c>
      <c r="B8" s="2">
        <v>1</v>
      </c>
      <c r="C8" s="114" t="s">
        <v>284</v>
      </c>
      <c r="D8" s="268" t="str">
        <f>VLOOKUP(C8,Purchased!A:B,2,0)</f>
        <v>Compact High-Flow Muffler with 3/8 NPT Male Zinc-Plated Steel Fitting</v>
      </c>
      <c r="E8" s="269"/>
      <c r="F8" s="112" t="str">
        <f>VLOOKUP(C8,Purchased!A:Q,9,0)</f>
        <v>MCM</v>
      </c>
      <c r="G8" s="112" t="str">
        <f>VLOOKUP(C8,Purchased!A:Q,10,0)</f>
        <v>MCM</v>
      </c>
      <c r="H8" s="112">
        <f>VLOOKUP(C8,Purchased!A:Q,12,0)</f>
        <v>0</v>
      </c>
      <c r="I8" s="113"/>
      <c r="J8" s="44" t="str">
        <f>VLOOKUP(C8,Purchased!A:Q,13,0)</f>
        <v>N/A</v>
      </c>
      <c r="K8" s="44">
        <f>VLOOKUP(C8,Purchased!A:Q,14,0)</f>
        <v>45238</v>
      </c>
      <c r="L8" s="44">
        <f>VLOOKUP(C8,Purchased!A:Q,15,0)</f>
        <v>45239</v>
      </c>
      <c r="M8" s="44">
        <f>VLOOKUP(C8,Purchased!A:Q,16,0)</f>
        <v>45239</v>
      </c>
      <c r="N8" s="45">
        <f>VLOOKUP(C8,Purchased!A:Q,17,0)</f>
        <v>55277</v>
      </c>
      <c r="O8" s="45" t="e">
        <f t="shared" ref="O8:O10" ca="1" si="4">B8*$L$2</f>
        <v>#VALUE!</v>
      </c>
      <c r="P8" s="49">
        <f>IFERROR(VLOOKUP(C8,Purchased!A:E,3,FALSE),"")</f>
        <v>13.28</v>
      </c>
      <c r="Q8" s="50">
        <f t="shared" ref="Q8:Q10" si="5">IFERROR(B8*P8,"")</f>
        <v>13.28</v>
      </c>
    </row>
    <row r="9" spans="1:17" s="2" customFormat="1" ht="12.75" customHeight="1">
      <c r="A9" s="4">
        <f t="shared" ref="A9:A10" si="6">A8+1</f>
        <v>303</v>
      </c>
      <c r="B9" s="2">
        <v>4</v>
      </c>
      <c r="C9" s="114" t="s">
        <v>285</v>
      </c>
      <c r="D9" s="268" t="str">
        <f>VLOOKUP(C9,Purchased!A:B,2,0)</f>
        <v>SMC 1/4NPT to 10mm Fitting</v>
      </c>
      <c r="E9" s="269"/>
      <c r="F9" s="112" t="str">
        <f>VLOOKUP(C9,Purchased!A:Q,9,0)</f>
        <v>SMC</v>
      </c>
      <c r="G9" s="112" t="str">
        <f>VLOOKUP(C9,Purchased!A:Q,10,0)</f>
        <v>AAP</v>
      </c>
      <c r="H9" s="112">
        <f>VLOOKUP(C9,Purchased!A:Q,12,0)</f>
        <v>0</v>
      </c>
      <c r="I9" s="113"/>
      <c r="J9" s="44">
        <f>VLOOKUP(C9,Purchased!A:Q,13,0)</f>
        <v>45237</v>
      </c>
      <c r="K9" s="44">
        <f>VLOOKUP(C9,Purchased!A:Q,14,0)</f>
        <v>45237</v>
      </c>
      <c r="L9" s="44">
        <f>VLOOKUP(C9,Purchased!A:Q,15,0)</f>
        <v>45246</v>
      </c>
      <c r="M9" s="44">
        <f>VLOOKUP(C9,Purchased!A:Q,16,0)</f>
        <v>45246</v>
      </c>
      <c r="N9" s="45">
        <f>VLOOKUP(C9,Purchased!A:Q,17,0)</f>
        <v>55270</v>
      </c>
      <c r="O9" s="45" t="e">
        <f t="shared" ca="1" si="4"/>
        <v>#VALUE!</v>
      </c>
      <c r="P9" s="49">
        <f>IFERROR(VLOOKUP(C9,Purchased!A:E,3,FALSE),"")</f>
        <v>2.1436000000000002</v>
      </c>
      <c r="Q9" s="50">
        <f t="shared" si="5"/>
        <v>8.5744000000000007</v>
      </c>
    </row>
    <row r="10" spans="1:17" s="2" customFormat="1" ht="12.75" customHeight="1">
      <c r="A10" s="4">
        <f t="shared" si="6"/>
        <v>304</v>
      </c>
      <c r="B10" s="2">
        <v>2</v>
      </c>
      <c r="C10" s="114" t="s">
        <v>286</v>
      </c>
      <c r="D10" s="268" t="str">
        <f>VLOOKUP(C10,Purchased!A:B,2,0)</f>
        <v>BRX GOTO T-NUT 10 M5</v>
      </c>
      <c r="E10" s="269"/>
      <c r="F10" s="112" t="str">
        <f>VLOOKUP(C10,Purchased!A:Q,9,0)</f>
        <v>BRX</v>
      </c>
      <c r="G10" s="112" t="str">
        <f>VLOOKUP(C10,Purchased!A:Q,10,0)</f>
        <v>AAP</v>
      </c>
      <c r="H10" s="112">
        <f>VLOOKUP(C10,Purchased!A:Q,12,0)</f>
        <v>0</v>
      </c>
      <c r="I10" s="113"/>
      <c r="J10" s="44">
        <f>VLOOKUP(C10,Purchased!A:Q,13,0)</f>
        <v>45104</v>
      </c>
      <c r="K10" s="44">
        <f>VLOOKUP(C10,Purchased!A:Q,14,0)</f>
        <v>45105</v>
      </c>
      <c r="L10" s="44">
        <f>VLOOKUP(C10,Purchased!A:Q,15,0)</f>
        <v>45133</v>
      </c>
      <c r="M10" s="44">
        <f>VLOOKUP(C10,Purchased!A:Q,16,0)</f>
        <v>45133</v>
      </c>
      <c r="N10" s="45" t="str">
        <f>VLOOKUP(C10,Purchased!A:Q,17,0)</f>
        <v>50x54968, 200x55147, 150x55169</v>
      </c>
      <c r="O10" s="45" t="e">
        <f t="shared" ca="1" si="4"/>
        <v>#VALUE!</v>
      </c>
      <c r="P10" s="49">
        <f>IFERROR(VLOOKUP(C10,Purchased!A:E,3,FALSE),"")</f>
        <v>0.64290000000000003</v>
      </c>
      <c r="Q10" s="50">
        <f t="shared" si="5"/>
        <v>1.2858000000000001</v>
      </c>
    </row>
    <row r="11" spans="1:17" s="2" customFormat="1" ht="12.75" customHeight="1">
      <c r="A11" s="25"/>
      <c r="B11" s="26"/>
      <c r="C11" s="26"/>
      <c r="D11" s="272"/>
      <c r="E11" s="273"/>
      <c r="F11" s="26"/>
      <c r="G11" s="26"/>
      <c r="H11" s="274"/>
      <c r="I11" s="275"/>
      <c r="J11" s="27"/>
      <c r="K11" s="27"/>
      <c r="L11" s="27"/>
      <c r="M11" s="28"/>
      <c r="N11" s="29"/>
      <c r="O11" s="29" t="e">
        <f t="shared" ca="1" si="2"/>
        <v>#VALUE!</v>
      </c>
      <c r="P11" s="141"/>
      <c r="Q11" s="142"/>
    </row>
    <row r="12" spans="1:17" s="2" customFormat="1" ht="12.75" customHeight="1">
      <c r="A12" s="4">
        <v>501</v>
      </c>
      <c r="B12" s="2">
        <v>2</v>
      </c>
      <c r="C12" s="110" t="s">
        <v>287</v>
      </c>
      <c r="D12" s="268"/>
      <c r="E12" s="276"/>
      <c r="F12" s="112" t="str">
        <f>VLOOKUP(C12,Bolts!A:L,5,0)</f>
        <v xml:space="preserve">  </v>
      </c>
      <c r="G12" s="112" t="str">
        <f>VLOOKUP(C12,Bolts!A:L,6,0)</f>
        <v>Monroe Fasteners</v>
      </c>
      <c r="H12" s="112" t="str">
        <f>VLOOKUP(C12,Bolts!A:L,7,0)</f>
        <v xml:space="preserve">  </v>
      </c>
      <c r="I12" s="112"/>
      <c r="J12" s="44" t="str">
        <f>VLOOKUP(C12,Bolts!A:L,8,0)</f>
        <v xml:space="preserve"> </v>
      </c>
      <c r="K12" s="44" t="str">
        <f>VLOOKUP(C12,Bolts!A:L,9,0)</f>
        <v xml:space="preserve"> </v>
      </c>
      <c r="L12" s="44" t="str">
        <f>VLOOKUP(C12,Bolts!A:L,10,0)</f>
        <v xml:space="preserve"> </v>
      </c>
      <c r="M12" s="44" t="str">
        <f>VLOOKUP(C12,Bolts!A:L,11,0)</f>
        <v xml:space="preserve"> </v>
      </c>
      <c r="N12" s="45" t="str">
        <f>VLOOKUP(C12,Bolts!A:L,12,0)</f>
        <v xml:space="preserve"> </v>
      </c>
      <c r="O12" s="45" t="e">
        <f t="shared" ca="1" si="2"/>
        <v>#VALUE!</v>
      </c>
      <c r="P12" s="49" t="str">
        <f>IFERROR(VLOOKUP(C12,Bolts!A:B,2,FALSE),"")</f>
        <v xml:space="preserve"> </v>
      </c>
      <c r="Q12" s="50" t="str">
        <f t="shared" ref="Q12" si="7">IFERROR(B12*P12,"")</f>
        <v/>
      </c>
    </row>
    <row r="13" spans="1:17" s="2" customFormat="1" ht="12.75" customHeight="1">
      <c r="A13" s="4">
        <f>A12+1</f>
        <v>502</v>
      </c>
      <c r="B13" s="2">
        <v>2</v>
      </c>
      <c r="C13" s="110" t="s">
        <v>288</v>
      </c>
      <c r="D13" s="268"/>
      <c r="E13" s="276"/>
      <c r="F13" s="112" t="str">
        <f>VLOOKUP(C13,Bolts!A:L,5,0)</f>
        <v xml:space="preserve">  </v>
      </c>
      <c r="G13" s="112" t="str">
        <f>VLOOKUP(C13,Bolts!A:L,6,0)</f>
        <v>Monroe Fasteners</v>
      </c>
      <c r="H13" s="112" t="str">
        <f>VLOOKUP(C13,Bolts!A:L,7,0)</f>
        <v xml:space="preserve">  </v>
      </c>
      <c r="I13" s="112"/>
      <c r="J13" s="44" t="str">
        <f>VLOOKUP(C13,Bolts!A:L,8,0)</f>
        <v xml:space="preserve"> </v>
      </c>
      <c r="K13" s="44" t="str">
        <f>VLOOKUP(C13,Bolts!A:L,9,0)</f>
        <v xml:space="preserve"> </v>
      </c>
      <c r="L13" s="44" t="str">
        <f>VLOOKUP(C13,Bolts!A:L,10,0)</f>
        <v xml:space="preserve"> </v>
      </c>
      <c r="M13" s="44" t="str">
        <f>VLOOKUP(C13,Bolts!A:L,11,0)</f>
        <v xml:space="preserve"> </v>
      </c>
      <c r="N13" s="45" t="str">
        <f>VLOOKUP(C13,Bolts!A:L,12,0)</f>
        <v xml:space="preserve"> </v>
      </c>
      <c r="O13" s="45" t="e">
        <f t="shared" ref="O13:O14" ca="1" si="8">B13*$L$2</f>
        <v>#VALUE!</v>
      </c>
      <c r="P13" s="49" t="str">
        <f>IFERROR(VLOOKUP(C13,Bolts!A:B,2,FALSE),"")</f>
        <v xml:space="preserve"> </v>
      </c>
      <c r="Q13" s="50" t="str">
        <f t="shared" ref="Q13:Q14" si="9">IFERROR(B13*P13,"")</f>
        <v/>
      </c>
    </row>
    <row r="14" spans="1:17" s="2" customFormat="1" ht="12.75" customHeight="1" thickBot="1">
      <c r="A14" s="4">
        <f>A13+1</f>
        <v>503</v>
      </c>
      <c r="B14" s="2">
        <v>4</v>
      </c>
      <c r="C14" s="110" t="s">
        <v>289</v>
      </c>
      <c r="D14" s="268"/>
      <c r="E14" s="276"/>
      <c r="F14" s="112" t="str">
        <f>VLOOKUP(C14,Bolts!A:L,5,0)</f>
        <v xml:space="preserve">  </v>
      </c>
      <c r="G14" s="112" t="str">
        <f>VLOOKUP(C14,Bolts!A:L,6,0)</f>
        <v>Monroe Fasteners</v>
      </c>
      <c r="H14" s="112" t="str">
        <f>VLOOKUP(C14,Bolts!A:L,7,0)</f>
        <v xml:space="preserve">  </v>
      </c>
      <c r="I14" s="112"/>
      <c r="J14" s="44" t="str">
        <f>VLOOKUP(C14,Bolts!A:L,8,0)</f>
        <v xml:space="preserve"> </v>
      </c>
      <c r="K14" s="44" t="str">
        <f>VLOOKUP(C14,Bolts!A:L,9,0)</f>
        <v xml:space="preserve"> </v>
      </c>
      <c r="L14" s="44" t="str">
        <f>VLOOKUP(C14,Bolts!A:L,10,0)</f>
        <v xml:space="preserve"> </v>
      </c>
      <c r="M14" s="44" t="str">
        <f>VLOOKUP(C14,Bolts!A:L,11,0)</f>
        <v xml:space="preserve"> </v>
      </c>
      <c r="N14" s="45" t="str">
        <f>VLOOKUP(C14,Bolts!A:L,12,0)</f>
        <v xml:space="preserve"> </v>
      </c>
      <c r="O14" s="45" t="e">
        <f t="shared" ca="1" si="8"/>
        <v>#VALUE!</v>
      </c>
      <c r="P14" s="49" t="str">
        <f>IFERROR(VLOOKUP(C14,Bolts!A:B,2,FALSE),"")</f>
        <v xml:space="preserve"> </v>
      </c>
      <c r="Q14" s="50" t="str">
        <f t="shared" si="9"/>
        <v/>
      </c>
    </row>
    <row r="15" spans="1:17" s="2" customFormat="1" ht="12.75" customHeight="1" thickBot="1">
      <c r="A15" s="34"/>
      <c r="B15" s="35"/>
      <c r="C15" s="35"/>
      <c r="D15" s="256"/>
      <c r="E15" s="257"/>
      <c r="F15" s="35"/>
      <c r="G15" s="35"/>
      <c r="H15" s="294"/>
      <c r="I15" s="295"/>
      <c r="J15" s="36"/>
      <c r="K15" s="36"/>
      <c r="L15" s="36"/>
      <c r="M15" s="37"/>
      <c r="N15" s="38"/>
      <c r="O15" s="38"/>
      <c r="P15" s="89" t="s">
        <v>43</v>
      </c>
      <c r="Q15" s="94">
        <f>SUM(Q5:Q12)</f>
        <v>51.810200000000002</v>
      </c>
    </row>
    <row r="16" spans="1:17" s="2" customFormat="1" ht="12" customHeight="1">
      <c r="D16" s="22"/>
      <c r="E16" s="22"/>
      <c r="J16" s="8"/>
      <c r="K16" s="8"/>
      <c r="L16" s="8"/>
      <c r="M16" s="8"/>
      <c r="N16" s="5"/>
      <c r="O16" s="5"/>
      <c r="P16" s="88"/>
      <c r="Q16" s="95"/>
    </row>
    <row r="17" spans="4:17" s="2" customFormat="1" ht="12" customHeight="1">
      <c r="D17" s="22"/>
      <c r="E17" s="22"/>
      <c r="J17" s="5"/>
      <c r="K17" s="5"/>
      <c r="L17" s="5"/>
      <c r="M17" s="5"/>
      <c r="N17" s="5"/>
      <c r="O17" s="5"/>
      <c r="P17" s="88"/>
      <c r="Q17" s="95"/>
    </row>
    <row r="18" spans="4:17" s="2" customFormat="1" ht="12" customHeight="1">
      <c r="D18" s="22"/>
      <c r="E18" s="22"/>
      <c r="J18" s="5"/>
      <c r="K18" s="5"/>
      <c r="L18" s="5"/>
      <c r="M18" s="5"/>
      <c r="N18" s="5"/>
      <c r="O18" s="5"/>
      <c r="P18" s="88"/>
      <c r="Q18" s="95"/>
    </row>
    <row r="19" spans="4:17" s="2" customFormat="1" ht="12" customHeight="1">
      <c r="D19" s="22"/>
      <c r="E19" s="22"/>
      <c r="J19" s="5"/>
      <c r="K19" s="5"/>
      <c r="L19" s="5"/>
      <c r="M19" s="5"/>
      <c r="N19" s="5"/>
      <c r="O19" s="5"/>
      <c r="P19" s="88"/>
      <c r="Q19" s="95"/>
    </row>
    <row r="20" spans="4:17" s="2" customFormat="1" ht="12" customHeight="1">
      <c r="D20" s="22"/>
      <c r="E20" s="22"/>
      <c r="J20" s="5"/>
      <c r="K20" s="5"/>
      <c r="L20" s="5"/>
      <c r="M20" s="5"/>
      <c r="N20" s="5"/>
      <c r="O20" s="5"/>
      <c r="P20" s="88"/>
      <c r="Q20" s="95"/>
    </row>
    <row r="21" spans="4:17" s="2" customFormat="1" ht="12" customHeight="1">
      <c r="D21" s="22"/>
      <c r="E21" s="22"/>
      <c r="J21" s="5"/>
      <c r="K21" s="5"/>
      <c r="L21" s="5"/>
      <c r="M21" s="5"/>
      <c r="N21" s="5"/>
      <c r="O21" s="5"/>
      <c r="P21" s="88"/>
      <c r="Q21" s="95"/>
    </row>
    <row r="22" spans="4:17" s="2" customFormat="1" ht="12" customHeight="1">
      <c r="D22" s="22"/>
      <c r="E22" s="22"/>
      <c r="J22" s="5"/>
      <c r="K22" s="5"/>
      <c r="L22" s="5"/>
      <c r="M22" s="5"/>
      <c r="N22" s="5"/>
      <c r="O22" s="5"/>
      <c r="P22" s="88"/>
      <c r="Q22" s="95"/>
    </row>
    <row r="23" spans="4:17" s="2" customFormat="1" ht="12" customHeight="1">
      <c r="D23" s="22"/>
      <c r="E23" s="22"/>
      <c r="J23" s="5"/>
      <c r="K23" s="5"/>
      <c r="L23" s="5"/>
      <c r="M23" s="5"/>
      <c r="N23" s="5"/>
      <c r="O23" s="5"/>
      <c r="P23" s="88"/>
      <c r="Q23" s="95"/>
    </row>
    <row r="24" spans="4:17" s="2" customFormat="1" ht="12" customHeight="1">
      <c r="D24" s="22"/>
      <c r="E24" s="22"/>
      <c r="J24" s="5"/>
      <c r="K24" s="5"/>
      <c r="L24" s="5"/>
      <c r="M24" s="5"/>
      <c r="N24" s="5"/>
      <c r="O24" s="5"/>
      <c r="P24" s="88"/>
      <c r="Q24" s="95"/>
    </row>
    <row r="25" spans="4:17" s="2" customFormat="1" ht="12" customHeight="1">
      <c r="D25" s="22"/>
      <c r="E25" s="22"/>
      <c r="J25" s="5"/>
      <c r="K25" s="5"/>
      <c r="L25" s="5"/>
      <c r="M25" s="5"/>
      <c r="N25" s="5"/>
      <c r="O25" s="5"/>
      <c r="P25" s="88"/>
      <c r="Q25" s="95"/>
    </row>
    <row r="26" spans="4:17" s="2" customFormat="1" ht="12" customHeight="1">
      <c r="D26" s="22"/>
      <c r="E26" s="22"/>
      <c r="J26" s="5"/>
      <c r="K26" s="5"/>
      <c r="L26" s="5"/>
      <c r="M26" s="5"/>
      <c r="N26" s="5"/>
      <c r="O26" s="5"/>
      <c r="P26" s="88"/>
      <c r="Q26" s="95"/>
    </row>
    <row r="27" spans="4:17" s="2" customFormat="1" ht="12" customHeight="1">
      <c r="D27" s="22"/>
      <c r="E27" s="22"/>
      <c r="J27" s="5"/>
      <c r="K27" s="5"/>
      <c r="L27" s="5"/>
      <c r="M27" s="5"/>
      <c r="N27" s="5"/>
      <c r="O27" s="5"/>
      <c r="P27" s="88"/>
      <c r="Q27" s="95"/>
    </row>
    <row r="28" spans="4:17" s="2" customFormat="1" ht="12" customHeight="1">
      <c r="D28" s="22"/>
      <c r="E28" s="22"/>
      <c r="J28" s="5"/>
      <c r="K28" s="5"/>
      <c r="L28" s="5"/>
      <c r="M28" s="5"/>
      <c r="N28" s="5"/>
      <c r="O28" s="5"/>
      <c r="P28" s="88"/>
      <c r="Q28" s="95"/>
    </row>
    <row r="29" spans="4:17" s="2" customFormat="1" ht="12" customHeight="1">
      <c r="D29" s="22"/>
      <c r="E29" s="22"/>
      <c r="J29" s="5"/>
      <c r="K29" s="5"/>
      <c r="L29" s="5"/>
      <c r="M29" s="5"/>
      <c r="N29" s="5"/>
      <c r="O29" s="5"/>
      <c r="P29" s="88"/>
      <c r="Q29" s="95"/>
    </row>
    <row r="30" spans="4:17" s="2" customFormat="1" ht="12" customHeight="1">
      <c r="D30" s="22"/>
      <c r="E30" s="22"/>
      <c r="J30" s="5"/>
      <c r="K30" s="5"/>
      <c r="L30" s="5"/>
      <c r="M30" s="5"/>
      <c r="N30" s="5"/>
      <c r="O30" s="5"/>
      <c r="P30" s="88"/>
      <c r="Q30" s="95"/>
    </row>
    <row r="31" spans="4:17" s="2" customFormat="1" ht="12" customHeight="1">
      <c r="D31" s="22"/>
      <c r="E31" s="22"/>
      <c r="J31" s="5"/>
      <c r="K31" s="5"/>
      <c r="L31" s="5"/>
      <c r="M31" s="5"/>
      <c r="N31" s="5"/>
      <c r="O31" s="5"/>
      <c r="P31" s="88"/>
      <c r="Q31" s="95"/>
    </row>
    <row r="32" spans="4:17" s="2" customFormat="1" ht="12" customHeight="1">
      <c r="D32" s="22"/>
      <c r="E32" s="22"/>
      <c r="J32" s="5"/>
      <c r="K32" s="5"/>
      <c r="L32" s="5"/>
      <c r="M32" s="5"/>
      <c r="N32" s="5"/>
      <c r="O32" s="5"/>
      <c r="P32" s="88"/>
      <c r="Q32" s="95"/>
    </row>
    <row r="33" spans="4:17" s="2" customFormat="1" ht="12" customHeight="1">
      <c r="D33" s="22"/>
      <c r="E33" s="22"/>
      <c r="J33" s="5"/>
      <c r="K33" s="5"/>
      <c r="L33" s="5"/>
      <c r="M33" s="5"/>
      <c r="N33" s="5"/>
      <c r="O33" s="5"/>
      <c r="P33" s="88"/>
      <c r="Q33" s="95"/>
    </row>
    <row r="34" spans="4:17" s="2" customFormat="1" ht="12" customHeight="1">
      <c r="D34" s="22"/>
      <c r="E34" s="22"/>
      <c r="J34" s="5"/>
      <c r="K34" s="5"/>
      <c r="L34" s="5"/>
      <c r="M34" s="5"/>
      <c r="N34" s="5"/>
      <c r="O34" s="5"/>
      <c r="P34" s="88"/>
      <c r="Q34" s="95"/>
    </row>
    <row r="35" spans="4:17" s="2" customFormat="1" ht="12" customHeight="1">
      <c r="D35" s="22"/>
      <c r="E35" s="22"/>
      <c r="J35" s="5"/>
      <c r="K35" s="5"/>
      <c r="L35" s="5"/>
      <c r="M35" s="5"/>
      <c r="N35" s="5"/>
      <c r="O35" s="5"/>
      <c r="P35" s="88"/>
      <c r="Q35" s="95"/>
    </row>
    <row r="36" spans="4:17" s="2" customFormat="1" ht="12" customHeight="1">
      <c r="D36" s="22"/>
      <c r="E36" s="22"/>
      <c r="J36" s="5"/>
      <c r="K36" s="5"/>
      <c r="L36" s="5"/>
      <c r="M36" s="5"/>
      <c r="N36" s="5"/>
      <c r="O36" s="5"/>
      <c r="P36" s="88"/>
      <c r="Q36" s="95"/>
    </row>
    <row r="37" spans="4:17" s="2" customFormat="1" ht="12" customHeight="1">
      <c r="D37" s="22"/>
      <c r="E37" s="22"/>
      <c r="J37" s="5"/>
      <c r="K37" s="5"/>
      <c r="L37" s="5"/>
      <c r="M37" s="5"/>
      <c r="N37" s="5"/>
      <c r="O37" s="5"/>
      <c r="P37" s="88"/>
      <c r="Q37" s="95"/>
    </row>
    <row r="38" spans="4:17" s="2" customFormat="1" ht="12" customHeight="1">
      <c r="D38" s="22"/>
      <c r="E38" s="22"/>
      <c r="J38" s="5"/>
      <c r="K38" s="5"/>
      <c r="L38" s="5"/>
      <c r="M38" s="5"/>
      <c r="N38" s="5"/>
      <c r="O38" s="5"/>
      <c r="P38" s="88"/>
      <c r="Q38" s="95"/>
    </row>
    <row r="39" spans="4:17" s="2" customFormat="1" ht="12" customHeight="1">
      <c r="D39" s="22"/>
      <c r="E39" s="22"/>
      <c r="J39" s="5"/>
      <c r="K39" s="5"/>
      <c r="L39" s="5"/>
      <c r="M39" s="5"/>
      <c r="N39" s="5"/>
      <c r="O39" s="5"/>
      <c r="P39" s="88"/>
      <c r="Q39" s="95"/>
    </row>
    <row r="40" spans="4:17" s="2" customFormat="1" ht="12" customHeight="1">
      <c r="D40" s="22"/>
      <c r="E40" s="22"/>
      <c r="J40" s="5"/>
      <c r="K40" s="5"/>
      <c r="L40" s="5"/>
      <c r="M40" s="5"/>
      <c r="N40" s="5"/>
      <c r="O40" s="5"/>
      <c r="P40" s="88"/>
      <c r="Q40" s="95"/>
    </row>
    <row r="41" spans="4:17" s="2" customFormat="1" ht="12" customHeight="1">
      <c r="D41" s="22"/>
      <c r="E41" s="22"/>
      <c r="J41" s="5"/>
      <c r="K41" s="5"/>
      <c r="L41" s="5"/>
      <c r="M41" s="5"/>
      <c r="N41" s="5"/>
      <c r="O41" s="5"/>
      <c r="P41" s="88"/>
      <c r="Q41" s="95"/>
    </row>
    <row r="42" spans="4:17" s="2" customFormat="1" ht="12" customHeight="1">
      <c r="D42" s="22"/>
      <c r="E42" s="22"/>
      <c r="J42" s="5"/>
      <c r="K42" s="5"/>
      <c r="L42" s="5"/>
      <c r="M42" s="5"/>
      <c r="N42" s="5"/>
      <c r="O42" s="5"/>
      <c r="P42" s="88"/>
      <c r="Q42" s="95"/>
    </row>
    <row r="43" spans="4:17" s="2" customFormat="1" ht="12" customHeight="1">
      <c r="D43" s="22"/>
      <c r="E43" s="22"/>
      <c r="J43" s="5"/>
      <c r="K43" s="5"/>
      <c r="L43" s="5"/>
      <c r="M43" s="5"/>
      <c r="N43" s="5"/>
      <c r="O43" s="5"/>
      <c r="P43" s="88"/>
      <c r="Q43" s="95"/>
    </row>
    <row r="44" spans="4:17" s="2" customFormat="1" ht="12" customHeight="1">
      <c r="D44" s="22"/>
      <c r="E44" s="22"/>
      <c r="J44" s="5"/>
      <c r="K44" s="5"/>
      <c r="L44" s="5"/>
      <c r="M44" s="5"/>
      <c r="N44" s="5"/>
      <c r="O44" s="5"/>
      <c r="P44" s="88"/>
      <c r="Q44" s="95"/>
    </row>
    <row r="45" spans="4:17" s="2" customFormat="1" ht="12" customHeight="1">
      <c r="D45" s="22"/>
      <c r="E45" s="22"/>
      <c r="J45" s="5"/>
      <c r="K45" s="5"/>
      <c r="L45" s="5"/>
      <c r="M45" s="5"/>
      <c r="N45" s="5"/>
      <c r="O45" s="5"/>
      <c r="P45" s="88"/>
      <c r="Q45" s="95"/>
    </row>
    <row r="46" spans="4:17" s="2" customFormat="1" ht="12" customHeight="1">
      <c r="D46" s="22"/>
      <c r="E46" s="22"/>
      <c r="J46" s="5"/>
      <c r="K46" s="5"/>
      <c r="L46" s="5"/>
      <c r="M46" s="5"/>
      <c r="N46" s="5"/>
      <c r="O46" s="5"/>
      <c r="P46" s="88"/>
      <c r="Q46" s="95"/>
    </row>
    <row r="47" spans="4:17" s="2" customFormat="1" ht="12" customHeight="1">
      <c r="D47" s="22"/>
      <c r="E47" s="22"/>
      <c r="J47" s="5"/>
      <c r="K47" s="5"/>
      <c r="L47" s="5"/>
      <c r="M47" s="5"/>
      <c r="N47" s="5"/>
      <c r="O47" s="5"/>
      <c r="P47" s="88"/>
      <c r="Q47" s="95"/>
    </row>
    <row r="48" spans="4:17" s="2" customFormat="1" ht="12" customHeight="1">
      <c r="D48" s="22"/>
      <c r="E48" s="22"/>
      <c r="J48" s="5"/>
      <c r="K48" s="5"/>
      <c r="L48" s="5"/>
      <c r="M48" s="5"/>
      <c r="N48" s="5"/>
      <c r="O48" s="5"/>
      <c r="P48" s="88"/>
      <c r="Q48" s="95"/>
    </row>
    <row r="49" spans="1:17" s="2" customFormat="1" ht="12" customHeight="1">
      <c r="D49" s="22"/>
      <c r="E49" s="22"/>
      <c r="J49" s="5"/>
      <c r="K49" s="5"/>
      <c r="L49" s="5"/>
      <c r="M49" s="5"/>
      <c r="N49" s="5"/>
      <c r="O49" s="5"/>
      <c r="P49" s="88"/>
      <c r="Q49" s="95"/>
    </row>
    <row r="50" spans="1:17" s="2" customFormat="1" ht="12" customHeight="1">
      <c r="D50" s="22"/>
      <c r="E50" s="22"/>
      <c r="J50" s="5"/>
      <c r="K50" s="5"/>
      <c r="L50" s="5"/>
      <c r="M50" s="5"/>
      <c r="N50" s="5"/>
      <c r="O50" s="5"/>
      <c r="P50" s="88"/>
      <c r="Q50" s="95"/>
    </row>
    <row r="51" spans="1:17" s="2" customFormat="1" ht="12" customHeight="1">
      <c r="D51" s="22"/>
      <c r="E51" s="22"/>
      <c r="J51" s="5"/>
      <c r="K51" s="5"/>
      <c r="L51" s="5"/>
      <c r="M51" s="5"/>
      <c r="N51" s="5"/>
      <c r="O51" s="5"/>
      <c r="P51" s="88"/>
      <c r="Q51" s="95"/>
    </row>
    <row r="52" spans="1:17" s="2" customFormat="1" ht="12" customHeight="1">
      <c r="D52" s="22"/>
      <c r="E52" s="22"/>
      <c r="J52" s="5"/>
      <c r="K52" s="5"/>
      <c r="L52" s="5"/>
      <c r="M52" s="5"/>
      <c r="N52" s="5"/>
      <c r="O52" s="5"/>
      <c r="P52" s="88"/>
      <c r="Q52" s="95"/>
    </row>
    <row r="53" spans="1:17" s="2" customFormat="1" ht="12" customHeight="1">
      <c r="D53" s="22"/>
      <c r="E53" s="22"/>
      <c r="J53" s="5"/>
      <c r="K53" s="5"/>
      <c r="L53" s="5"/>
      <c r="M53" s="5"/>
      <c r="N53" s="5"/>
      <c r="O53" s="5"/>
      <c r="P53" s="88"/>
      <c r="Q53" s="95"/>
    </row>
    <row r="54" spans="1:17" s="2" customFormat="1" ht="12" customHeight="1">
      <c r="D54" s="22"/>
      <c r="E54" s="22"/>
      <c r="J54" s="5"/>
      <c r="K54" s="5"/>
      <c r="L54" s="5"/>
      <c r="M54" s="5"/>
      <c r="N54" s="5"/>
      <c r="O54" s="5"/>
      <c r="P54" s="88"/>
      <c r="Q54" s="96"/>
    </row>
    <row r="55" spans="1:17" s="2" customFormat="1" ht="12" customHeight="1">
      <c r="D55" s="22"/>
      <c r="E55" s="22"/>
      <c r="J55" s="5"/>
      <c r="K55" s="5"/>
      <c r="L55" s="5"/>
      <c r="M55" s="5"/>
      <c r="N55" s="5"/>
      <c r="O55" s="5"/>
      <c r="P55" s="88"/>
      <c r="Q55" s="96"/>
    </row>
    <row r="56" spans="1:17" s="2" customFormat="1" ht="12" customHeight="1">
      <c r="D56" s="22"/>
      <c r="E56" s="22"/>
      <c r="J56" s="5"/>
      <c r="K56" s="5"/>
      <c r="L56" s="5"/>
      <c r="M56" s="5"/>
      <c r="N56" s="5"/>
      <c r="O56" s="5"/>
      <c r="P56" s="88"/>
      <c r="Q56" s="96"/>
    </row>
    <row r="57" spans="1:17" s="2" customFormat="1" ht="12" customHeight="1">
      <c r="D57" s="22"/>
      <c r="E57" s="22"/>
      <c r="J57" s="5"/>
      <c r="K57" s="5"/>
      <c r="L57" s="5"/>
      <c r="M57" s="5"/>
      <c r="N57" s="5"/>
      <c r="O57" s="5"/>
      <c r="P57" s="88"/>
      <c r="Q57" s="96"/>
    </row>
    <row r="58" spans="1:17" s="2" customFormat="1" ht="12" customHeight="1">
      <c r="A58"/>
      <c r="B58"/>
      <c r="C58"/>
      <c r="D58" s="23"/>
      <c r="E58" s="23"/>
      <c r="F58"/>
      <c r="G58"/>
      <c r="H58"/>
      <c r="I58"/>
      <c r="J58" s="19"/>
      <c r="K58" s="19"/>
      <c r="L58" s="19"/>
      <c r="M58" s="19"/>
      <c r="N58" s="19"/>
      <c r="O58" s="19"/>
      <c r="P58" s="90"/>
      <c r="Q58" s="96"/>
    </row>
    <row r="59" spans="1:17" s="2" customFormat="1" ht="12" customHeight="1">
      <c r="A59"/>
      <c r="B59"/>
      <c r="C59"/>
      <c r="D59" s="23"/>
      <c r="E59" s="23"/>
      <c r="F59"/>
      <c r="G59"/>
      <c r="H59"/>
      <c r="I59"/>
      <c r="J59" s="19"/>
      <c r="K59" s="19"/>
      <c r="L59" s="19"/>
      <c r="M59" s="19"/>
      <c r="N59" s="19"/>
      <c r="O59" s="19"/>
      <c r="P59" s="90"/>
      <c r="Q59" s="96"/>
    </row>
    <row r="60" spans="1:17" s="2" customFormat="1" ht="12" customHeight="1">
      <c r="A60"/>
      <c r="B60"/>
      <c r="C60"/>
      <c r="D60" s="23"/>
      <c r="E60" s="23"/>
      <c r="F60"/>
      <c r="G60"/>
      <c r="H60"/>
      <c r="I60"/>
      <c r="J60" s="19"/>
      <c r="K60" s="19"/>
      <c r="L60" s="19"/>
      <c r="M60" s="19"/>
      <c r="N60" s="19"/>
      <c r="O60" s="19"/>
      <c r="P60" s="90"/>
      <c r="Q60" s="96"/>
    </row>
    <row r="61" spans="1:17" s="2" customFormat="1" ht="12" customHeight="1">
      <c r="A61"/>
      <c r="B61"/>
      <c r="C61"/>
      <c r="D61" s="23"/>
      <c r="E61" s="23"/>
      <c r="F61"/>
      <c r="G61"/>
      <c r="H61"/>
      <c r="I61"/>
      <c r="J61" s="19"/>
      <c r="K61" s="19"/>
      <c r="L61" s="19"/>
      <c r="M61" s="19"/>
      <c r="N61" s="19"/>
      <c r="O61" s="19"/>
      <c r="P61" s="90"/>
      <c r="Q61" s="96"/>
    </row>
    <row r="62" spans="1:17" s="2" customFormat="1" ht="12" customHeight="1">
      <c r="A62"/>
      <c r="B62"/>
      <c r="C62"/>
      <c r="D62" s="23"/>
      <c r="E62" s="23"/>
      <c r="F62"/>
      <c r="G62"/>
      <c r="H62"/>
      <c r="I62"/>
      <c r="J62" s="19"/>
      <c r="K62" s="19"/>
      <c r="L62" s="19"/>
      <c r="M62" s="19"/>
      <c r="N62" s="19"/>
      <c r="O62" s="19"/>
      <c r="P62" s="90"/>
      <c r="Q62" s="96"/>
    </row>
    <row r="63" spans="1:17">
      <c r="Q63" s="96"/>
    </row>
    <row r="64" spans="1:17">
      <c r="Q64" s="96"/>
    </row>
    <row r="65" spans="17:17">
      <c r="Q65" s="96"/>
    </row>
    <row r="66" spans="17:17">
      <c r="Q66" s="96"/>
    </row>
    <row r="67" spans="17:17">
      <c r="Q67" s="96"/>
    </row>
    <row r="68" spans="17:17">
      <c r="Q68" s="96"/>
    </row>
    <row r="69" spans="17:17">
      <c r="Q69" s="96"/>
    </row>
    <row r="70" spans="17:17">
      <c r="Q70" s="96"/>
    </row>
    <row r="71" spans="17:17">
      <c r="Q71" s="96"/>
    </row>
    <row r="72" spans="17:17">
      <c r="Q72" s="96"/>
    </row>
    <row r="73" spans="17:17">
      <c r="Q73" s="96"/>
    </row>
    <row r="74" spans="17:17">
      <c r="Q74" s="96"/>
    </row>
    <row r="75" spans="17:17">
      <c r="Q75" s="96"/>
    </row>
    <row r="76" spans="17:17">
      <c r="Q76" s="96"/>
    </row>
    <row r="77" spans="17:17">
      <c r="Q77" s="96"/>
    </row>
    <row r="78" spans="17:17">
      <c r="Q78" s="96"/>
    </row>
    <row r="79" spans="17:17">
      <c r="Q79" s="96"/>
    </row>
    <row r="80" spans="17:17">
      <c r="Q80" s="96"/>
    </row>
    <row r="81" spans="17:17">
      <c r="Q81" s="96"/>
    </row>
    <row r="82" spans="17:17">
      <c r="Q82" s="96"/>
    </row>
    <row r="119" ht="12" customHeight="1"/>
    <row r="120" ht="12" customHeight="1"/>
    <row r="121" ht="12" customHeight="1"/>
    <row r="122" ht="12" customHeight="1"/>
    <row r="123" ht="12" customHeight="1"/>
    <row r="124" ht="12" customHeight="1"/>
    <row r="125" ht="12" customHeight="1"/>
    <row r="126" ht="12" customHeight="1"/>
    <row r="127" ht="12" customHeight="1"/>
    <row r="128" ht="12" customHeight="1"/>
    <row r="129" ht="12" customHeight="1"/>
    <row r="130" ht="12" customHeight="1"/>
    <row r="131" ht="12" customHeight="1"/>
    <row r="132" ht="12" customHeight="1"/>
    <row r="133" ht="12" customHeight="1"/>
    <row r="134" ht="12" customHeight="1"/>
    <row r="135" ht="12" customHeight="1"/>
    <row r="136" ht="12" customHeight="1"/>
    <row r="137" ht="12" customHeight="1"/>
    <row r="138" ht="12" customHeight="1"/>
    <row r="139" ht="12" customHeight="1"/>
    <row r="140" ht="12" customHeight="1"/>
    <row r="141" ht="12" customHeight="1"/>
    <row r="142" ht="12" customHeight="1"/>
    <row r="143" ht="12" customHeight="1"/>
    <row r="144" ht="12" customHeight="1"/>
    <row r="145" ht="12" customHeight="1"/>
    <row r="146" ht="12" customHeight="1"/>
    <row r="147" ht="12" customHeight="1"/>
    <row r="148" ht="12" customHeight="1"/>
    <row r="149" ht="12" customHeight="1"/>
    <row r="150" ht="12" customHeight="1"/>
    <row r="151" ht="12" customHeight="1"/>
    <row r="152" ht="12" customHeight="1"/>
    <row r="153" ht="12" customHeight="1"/>
    <row r="154" ht="12" customHeight="1"/>
    <row r="155" ht="12" customHeight="1"/>
    <row r="156" ht="12" customHeight="1"/>
    <row r="157" ht="12" customHeight="1"/>
    <row r="158" ht="12" customHeight="1"/>
    <row r="159" ht="12" customHeight="1"/>
    <row r="160" ht="12" customHeight="1"/>
    <row r="161" ht="12" customHeight="1"/>
    <row r="162" ht="12" customHeight="1"/>
    <row r="163" ht="12" customHeight="1"/>
    <row r="164" ht="12" customHeight="1"/>
    <row r="165" ht="12" customHeight="1"/>
    <row r="166" ht="12" customHeight="1"/>
    <row r="167" ht="12" customHeight="1"/>
    <row r="168" ht="12" customHeight="1"/>
  </sheetData>
  <mergeCells count="17">
    <mergeCell ref="D1:E1"/>
    <mergeCell ref="D4:E4"/>
    <mergeCell ref="H4:I4"/>
    <mergeCell ref="D5:E5"/>
    <mergeCell ref="D6:E6"/>
    <mergeCell ref="H6:I6"/>
    <mergeCell ref="D7:E7"/>
    <mergeCell ref="D11:E11"/>
    <mergeCell ref="H11:I11"/>
    <mergeCell ref="D12:E12"/>
    <mergeCell ref="D15:E15"/>
    <mergeCell ref="H15:I15"/>
    <mergeCell ref="D8:E8"/>
    <mergeCell ref="D9:E9"/>
    <mergeCell ref="D10:E10"/>
    <mergeCell ref="D13:E13"/>
    <mergeCell ref="D14:E14"/>
  </mergeCells>
  <conditionalFormatting sqref="M5 M7:M10">
    <cfRule type="cellIs" dxfId="605" priority="1" stopIfTrue="1" operator="lessThanOrEqual">
      <formula>$L5</formula>
    </cfRule>
    <cfRule type="cellIs" dxfId="604" priority="2" operator="greaterThan">
      <formula>L5</formula>
    </cfRule>
  </conditionalFormatting>
  <conditionalFormatting sqref="M12:M14">
    <cfRule type="cellIs" dxfId="603" priority="3" stopIfTrue="1" operator="lessThanOrEqual">
      <formula>$L12</formula>
    </cfRule>
    <cfRule type="cellIs" dxfId="602" priority="4" operator="greaterThan">
      <formula>L12</formula>
    </cfRule>
  </conditionalFormatting>
  <pageMargins left="0.7" right="0.7" top="0.75" bottom="0.75" header="0.3" footer="0.3"/>
  <pageSetup paperSize="3" fitToHeight="0" orientation="landscape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A9316C3C-98E1-4396-A785-35EEB5B44DD6}">
          <x14:formula1>
            <xm:f>Bolts!$A:$A</xm:f>
          </x14:formula1>
          <xm:sqref>C12:C14</xm:sqref>
        </x14:dataValidation>
        <x14:dataValidation type="list" allowBlank="1" showInputMessage="1" showErrorMessage="1" xr:uid="{05674C6E-34CA-41E3-A6DD-7AC1D0CEFA73}">
          <x14:formula1>
            <xm:f>Purchased!$A:$A</xm:f>
          </x14:formula1>
          <xm:sqref>C7:C10</xm:sqref>
        </x14:dataValidation>
        <x14:dataValidation type="list" allowBlank="1" showInputMessage="1" showErrorMessage="1" xr:uid="{84D6AC8D-8A57-4730-A0BC-B67A60952BEE}">
          <x14:formula1>
            <xm:f>Machined!$C:$C</xm:f>
          </x14:formula1>
          <xm:sqref>C5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41E04D-1B94-488B-8D5F-AA6C5FAD5B46}">
  <sheetPr codeName="Sheet157">
    <tabColor theme="3" tint="0.79998168889431442"/>
    <pageSetUpPr fitToPage="1"/>
  </sheetPr>
  <dimension ref="A1:Q169"/>
  <sheetViews>
    <sheetView zoomScaleNormal="100" workbookViewId="0">
      <selection activeCell="A5" sqref="A5:Q15"/>
    </sheetView>
  </sheetViews>
  <sheetFormatPr defaultColWidth="9.140625" defaultRowHeight="15"/>
  <cols>
    <col min="1" max="1" width="5.7109375" customWidth="1"/>
    <col min="2" max="2" width="5.42578125" bestFit="1" customWidth="1"/>
    <col min="3" max="3" width="30.7109375" customWidth="1"/>
    <col min="4" max="5" width="20.7109375" style="23" customWidth="1"/>
    <col min="6" max="6" width="16.85546875" bestFit="1" customWidth="1"/>
    <col min="7" max="7" width="9.7109375" customWidth="1"/>
    <col min="8" max="8" width="8.7109375" customWidth="1"/>
    <col min="9" max="9" width="20.7109375" customWidth="1"/>
    <col min="10" max="13" width="11.7109375" style="19" customWidth="1"/>
    <col min="14" max="14" width="11.85546875" style="19" bestFit="1" customWidth="1"/>
    <col min="15" max="15" width="7.7109375" style="19" customWidth="1"/>
    <col min="16" max="16" width="10.7109375" style="90" customWidth="1"/>
    <col min="17" max="17" width="10.7109375" style="97" customWidth="1"/>
  </cols>
  <sheetData>
    <row r="1" spans="1:17" s="55" customFormat="1" ht="12" customHeight="1">
      <c r="A1" s="68" t="s">
        <v>0</v>
      </c>
      <c r="B1" s="69"/>
      <c r="C1" s="69"/>
      <c r="D1" s="262" t="s">
        <v>1</v>
      </c>
      <c r="E1" s="263"/>
      <c r="F1" s="70"/>
      <c r="G1" s="69"/>
      <c r="H1" s="70"/>
      <c r="I1" s="71"/>
      <c r="J1" s="72"/>
      <c r="K1" s="72"/>
      <c r="L1" s="72"/>
      <c r="M1" s="72"/>
      <c r="N1" s="72"/>
      <c r="O1" s="72"/>
      <c r="P1" s="85"/>
      <c r="Q1" s="91"/>
    </row>
    <row r="2" spans="1:17" s="55" customFormat="1" ht="12" customHeight="1">
      <c r="A2" s="74" t="s">
        <v>48</v>
      </c>
      <c r="B2" s="58"/>
      <c r="C2" s="57" t="e">
        <f ca="1">VLOOKUP(E3,Assemblies!B:F,4,0)</f>
        <v>#VALUE!</v>
      </c>
      <c r="D2" s="75" t="s">
        <v>3</v>
      </c>
      <c r="E2" s="76" t="e">
        <f ca="1">'GF12'!E2</f>
        <v>#VALUE!</v>
      </c>
      <c r="F2" s="77" t="s">
        <v>4</v>
      </c>
      <c r="G2" s="58" t="str">
        <f>'GF12'!G2</f>
        <v>GH</v>
      </c>
      <c r="H2" s="77" t="s">
        <v>6</v>
      </c>
      <c r="I2" s="59">
        <f>'GF12'!I2</f>
        <v>44775</v>
      </c>
      <c r="J2" s="39"/>
      <c r="K2" s="40" t="s">
        <v>49</v>
      </c>
      <c r="L2" s="41" t="e">
        <f ca="1">VLOOKUP(C2,Assemblies!E:G,3,0)</f>
        <v>#VALUE!</v>
      </c>
      <c r="M2" s="78"/>
      <c r="N2" s="78"/>
      <c r="O2" s="78"/>
      <c r="P2" s="86"/>
      <c r="Q2" s="92"/>
    </row>
    <row r="3" spans="1:17" s="55" customFormat="1" ht="12" customHeight="1" thickBot="1">
      <c r="A3" s="74" t="s">
        <v>7</v>
      </c>
      <c r="B3" s="58"/>
      <c r="C3" s="57" t="e">
        <f ca="1">VLOOKUP(E3,Assemblies!B:F,5,0)</f>
        <v>#VALUE!</v>
      </c>
      <c r="D3" s="75" t="s">
        <v>50</v>
      </c>
      <c r="E3" s="76" t="e">
        <f ca="1">MID(CELL("filename",A1),FIND("]",CELL("filename",A1))+1,256)</f>
        <v>#VALUE!</v>
      </c>
      <c r="F3" s="77" t="s">
        <v>11</v>
      </c>
      <c r="G3" s="58" t="str">
        <f>'GF12'!G3</f>
        <v>GH</v>
      </c>
      <c r="H3" s="77" t="s">
        <v>6</v>
      </c>
      <c r="I3" s="59">
        <f>'GF12'!I3</f>
        <v>44775</v>
      </c>
      <c r="J3" s="78"/>
      <c r="K3" s="78"/>
      <c r="L3" s="78"/>
      <c r="M3" s="78"/>
      <c r="N3" s="78"/>
      <c r="O3" s="78"/>
      <c r="P3" s="86"/>
      <c r="Q3" s="92"/>
    </row>
    <row r="4" spans="1:17" s="56" customFormat="1" ht="12.75" customHeight="1" thickBot="1">
      <c r="A4" s="80" t="s">
        <v>12</v>
      </c>
      <c r="B4" s="81" t="s">
        <v>13</v>
      </c>
      <c r="C4" s="81" t="s">
        <v>14</v>
      </c>
      <c r="D4" s="270" t="s">
        <v>15</v>
      </c>
      <c r="E4" s="271"/>
      <c r="F4" s="104" t="s">
        <v>16</v>
      </c>
      <c r="G4" s="81" t="s">
        <v>17</v>
      </c>
      <c r="H4" s="260" t="s">
        <v>18</v>
      </c>
      <c r="I4" s="261"/>
      <c r="J4" s="81" t="s">
        <v>51</v>
      </c>
      <c r="K4" s="81" t="s">
        <v>20</v>
      </c>
      <c r="L4" s="81" t="s">
        <v>21</v>
      </c>
      <c r="M4" s="81" t="s">
        <v>52</v>
      </c>
      <c r="N4" s="81" t="s">
        <v>22</v>
      </c>
      <c r="O4" s="81" t="s">
        <v>53</v>
      </c>
      <c r="P4" s="107" t="s">
        <v>26</v>
      </c>
      <c r="Q4" s="82" t="s">
        <v>27</v>
      </c>
    </row>
    <row r="5" spans="1:17" s="2" customFormat="1" ht="12.75" customHeight="1">
      <c r="A5" s="127">
        <v>1</v>
      </c>
      <c r="B5" s="21">
        <v>1</v>
      </c>
      <c r="C5" s="108" t="s">
        <v>282</v>
      </c>
      <c r="D5" s="277" t="str">
        <f>VLOOKUP(C5,Machined!C:Q,2,0)</f>
        <v>Exh Manifold Plate, 4x 1-4 Port</v>
      </c>
      <c r="E5" s="278"/>
      <c r="F5" s="131" t="str">
        <f>VLOOKUP(C5,Machined!C:R,7,0)</f>
        <v>6061-T6 Alum</v>
      </c>
      <c r="G5" s="131" t="str">
        <f>VLOOKUP(C5,Machined!C:R,10,0)</f>
        <v>NULINE</v>
      </c>
      <c r="H5" s="131">
        <f>VLOOKUP(C5,Machined!C:R,11,0)</f>
        <v>0</v>
      </c>
      <c r="I5" s="131"/>
      <c r="J5" s="42" t="str">
        <f>VLOOKUP(C5,Machined!C:R,12,0)</f>
        <v>N/A</v>
      </c>
      <c r="K5" s="42" t="str">
        <f>VLOOKUP(C5,Machined!C:R,13,0)</f>
        <v>N/A</v>
      </c>
      <c r="L5" s="42" t="str">
        <f>VLOOKUP(C5,Machined!C:R,14,0)</f>
        <v>N/A</v>
      </c>
      <c r="M5" s="42" t="str">
        <f>VLOOKUP(C5,Machined!C:R,15,0)</f>
        <v>N/A</v>
      </c>
      <c r="N5" s="43" t="str">
        <f>VLOOKUP(C5,Machined!C:R,16,0)</f>
        <v>N/A</v>
      </c>
      <c r="O5" s="43" t="e">
        <f t="shared" ref="O5" ca="1" si="0">B5*$L$2</f>
        <v>#VALUE!</v>
      </c>
      <c r="P5" s="47">
        <f>IFERROR(VLOOKUP(C5,Machined!C:F,3,0),"")</f>
        <v>0</v>
      </c>
      <c r="Q5" s="48">
        <f t="shared" ref="Q5" si="1">IFERROR(B5*P5,"")</f>
        <v>0</v>
      </c>
    </row>
    <row r="6" spans="1:17" s="2" customFormat="1" ht="12.75" customHeight="1">
      <c r="A6" s="143"/>
      <c r="B6" s="26"/>
      <c r="C6" s="26"/>
      <c r="D6" s="272"/>
      <c r="E6" s="273"/>
      <c r="F6" s="26"/>
      <c r="G6" s="26"/>
      <c r="H6" s="274"/>
      <c r="I6" s="275"/>
      <c r="J6" s="27"/>
      <c r="K6" s="27"/>
      <c r="L6" s="27"/>
      <c r="M6" s="28"/>
      <c r="N6" s="29"/>
      <c r="O6" s="29"/>
      <c r="P6" s="141"/>
      <c r="Q6" s="142"/>
    </row>
    <row r="7" spans="1:17" s="2" customFormat="1" ht="12.75" customHeight="1">
      <c r="A7" s="4">
        <v>301</v>
      </c>
      <c r="B7" s="2">
        <v>1</v>
      </c>
      <c r="C7" s="114" t="s">
        <v>283</v>
      </c>
      <c r="D7" s="268" t="str">
        <f>VLOOKUP(C7,Purchased!A:B,2,0)</f>
        <v>Straight-Flow Rectangular Manifold, Anodized Aluminum, Standard, 4 Outlets, 3/8 NPT x 1/4 NPT</v>
      </c>
      <c r="E7" s="269"/>
      <c r="F7" s="112" t="str">
        <f>VLOOKUP(C7,Purchased!A:Q,9,0)</f>
        <v>MCM</v>
      </c>
      <c r="G7" s="112" t="str">
        <f>VLOOKUP(C7,Purchased!A:Q,10,0)</f>
        <v>MCM</v>
      </c>
      <c r="H7" s="112">
        <f>VLOOKUP(C7,Purchased!A:Q,12,0)</f>
        <v>0</v>
      </c>
      <c r="I7" s="113"/>
      <c r="J7" s="44" t="str">
        <f>VLOOKUP(C7,Purchased!A:Q,13,0)</f>
        <v>N/A</v>
      </c>
      <c r="K7" s="44">
        <f>VLOOKUP(C7,Purchased!A:Q,14,0)</f>
        <v>45238</v>
      </c>
      <c r="L7" s="44">
        <f>VLOOKUP(C7,Purchased!A:Q,15,0)</f>
        <v>45239</v>
      </c>
      <c r="M7" s="44">
        <f>VLOOKUP(C7,Purchased!A:Q,16,0)</f>
        <v>45239</v>
      </c>
      <c r="N7" s="45">
        <f>VLOOKUP(C7,Purchased!A:Q,17,0)</f>
        <v>55277</v>
      </c>
      <c r="O7" s="45" t="e">
        <f t="shared" ref="O7:O15" ca="1" si="2">B7*$L$2</f>
        <v>#VALUE!</v>
      </c>
      <c r="P7" s="49">
        <f>IFERROR(VLOOKUP(C7,Purchased!A:E,3,FALSE),"")</f>
        <v>28.67</v>
      </c>
      <c r="Q7" s="50">
        <f t="shared" ref="Q7:Q11" si="3">IFERROR(B7*P7,"")</f>
        <v>28.67</v>
      </c>
    </row>
    <row r="8" spans="1:17" s="2" customFormat="1" ht="12.75" customHeight="1">
      <c r="A8" s="4">
        <f>A7+1</f>
        <v>302</v>
      </c>
      <c r="B8" s="2">
        <v>1</v>
      </c>
      <c r="C8" s="114" t="s">
        <v>284</v>
      </c>
      <c r="D8" s="268" t="str">
        <f>VLOOKUP(C8,Purchased!A:B,2,0)</f>
        <v>Compact High-Flow Muffler with 3/8 NPT Male Zinc-Plated Steel Fitting</v>
      </c>
      <c r="E8" s="269"/>
      <c r="F8" s="112" t="str">
        <f>VLOOKUP(C8,Purchased!A:Q,9,0)</f>
        <v>MCM</v>
      </c>
      <c r="G8" s="112" t="str">
        <f>VLOOKUP(C8,Purchased!A:Q,10,0)</f>
        <v>MCM</v>
      </c>
      <c r="H8" s="112">
        <f>VLOOKUP(C8,Purchased!A:Q,12,0)</f>
        <v>0</v>
      </c>
      <c r="I8" s="113"/>
      <c r="J8" s="44" t="str">
        <f>VLOOKUP(C8,Purchased!A:Q,13,0)</f>
        <v>N/A</v>
      </c>
      <c r="K8" s="44">
        <f>VLOOKUP(C8,Purchased!A:Q,14,0)</f>
        <v>45238</v>
      </c>
      <c r="L8" s="44">
        <f>VLOOKUP(C8,Purchased!A:Q,15,0)</f>
        <v>45239</v>
      </c>
      <c r="M8" s="44">
        <f>VLOOKUP(C8,Purchased!A:Q,16,0)</f>
        <v>45239</v>
      </c>
      <c r="N8" s="45">
        <f>VLOOKUP(C8,Purchased!A:Q,17,0)</f>
        <v>55277</v>
      </c>
      <c r="O8" s="45" t="e">
        <f t="shared" ca="1" si="2"/>
        <v>#VALUE!</v>
      </c>
      <c r="P8" s="49">
        <f>IFERROR(VLOOKUP(C8,Purchased!A:E,3,FALSE),"")</f>
        <v>13.28</v>
      </c>
      <c r="Q8" s="50">
        <f t="shared" si="3"/>
        <v>13.28</v>
      </c>
    </row>
    <row r="9" spans="1:17" s="2" customFormat="1" ht="12.75" customHeight="1">
      <c r="A9" s="4">
        <f t="shared" ref="A9:A11" si="4">A8+1</f>
        <v>303</v>
      </c>
      <c r="B9" s="2">
        <v>2</v>
      </c>
      <c r="C9" s="114" t="s">
        <v>285</v>
      </c>
      <c r="D9" s="268" t="str">
        <f>VLOOKUP(C9,Purchased!A:B,2,0)</f>
        <v>SMC 1/4NPT to 10mm Fitting</v>
      </c>
      <c r="E9" s="269"/>
      <c r="F9" s="112" t="str">
        <f>VLOOKUP(C9,Purchased!A:Q,9,0)</f>
        <v>SMC</v>
      </c>
      <c r="G9" s="112" t="str">
        <f>VLOOKUP(C9,Purchased!A:Q,10,0)</f>
        <v>AAP</v>
      </c>
      <c r="H9" s="112">
        <f>VLOOKUP(C9,Purchased!A:Q,12,0)</f>
        <v>0</v>
      </c>
      <c r="I9" s="113"/>
      <c r="J9" s="44">
        <f>VLOOKUP(C9,Purchased!A:Q,13,0)</f>
        <v>45237</v>
      </c>
      <c r="K9" s="44">
        <f>VLOOKUP(C9,Purchased!A:Q,14,0)</f>
        <v>45237</v>
      </c>
      <c r="L9" s="44">
        <f>VLOOKUP(C9,Purchased!A:Q,15,0)</f>
        <v>45246</v>
      </c>
      <c r="M9" s="44">
        <f>VLOOKUP(C9,Purchased!A:Q,16,0)</f>
        <v>45246</v>
      </c>
      <c r="N9" s="45">
        <f>VLOOKUP(C9,Purchased!A:Q,17,0)</f>
        <v>55270</v>
      </c>
      <c r="O9" s="45" t="e">
        <f t="shared" ca="1" si="2"/>
        <v>#VALUE!</v>
      </c>
      <c r="P9" s="49">
        <f>IFERROR(VLOOKUP(C9,Purchased!A:E,3,FALSE),"")</f>
        <v>2.1436000000000002</v>
      </c>
      <c r="Q9" s="50">
        <f t="shared" si="3"/>
        <v>4.2872000000000003</v>
      </c>
    </row>
    <row r="10" spans="1:17" s="2" customFormat="1" ht="12.75" customHeight="1">
      <c r="A10" s="4">
        <f t="shared" si="4"/>
        <v>304</v>
      </c>
      <c r="B10" s="2">
        <v>2</v>
      </c>
      <c r="C10" s="114" t="s">
        <v>290</v>
      </c>
      <c r="D10" s="268" t="str">
        <f>VLOOKUP(C10,Purchased!A:B,2,0)</f>
        <v>SMC FITTING, UNIFIT</v>
      </c>
      <c r="E10" s="269"/>
      <c r="F10" s="112" t="str">
        <f>VLOOKUP(C10,Purchased!A:Q,9,0)</f>
        <v>SMC</v>
      </c>
      <c r="G10" s="112" t="str">
        <f>VLOOKUP(C10,Purchased!A:Q,10,0)</f>
        <v>AAP</v>
      </c>
      <c r="H10" s="112" t="str">
        <f>VLOOKUP(C10,Purchased!A:Q,12,0)</f>
        <v xml:space="preserve"> </v>
      </c>
      <c r="I10" s="113"/>
      <c r="J10" s="44" t="str">
        <f>VLOOKUP(C10,Purchased!A:Q,13,0)</f>
        <v>N/A</v>
      </c>
      <c r="K10" s="44">
        <f>VLOOKUP(C10,Purchased!A:Q,14,0)</f>
        <v>45162</v>
      </c>
      <c r="L10" s="44">
        <f>VLOOKUP(C10,Purchased!A:Q,15,0)</f>
        <v>45184</v>
      </c>
      <c r="M10" s="44">
        <f>VLOOKUP(C10,Purchased!A:Q,16,0)</f>
        <v>45180</v>
      </c>
      <c r="N10" s="45" t="str">
        <f>VLOOKUP(C10,Purchased!A:Q,17,0)</f>
        <v>20x55037, 10x55270</v>
      </c>
      <c r="O10" s="45" t="e">
        <f t="shared" ref="O10" ca="1" si="5">B10*$L$2</f>
        <v>#VALUE!</v>
      </c>
      <c r="P10" s="49">
        <f>IFERROR(VLOOKUP(C10,Purchased!A:E,3,FALSE),"")</f>
        <v>1.6323000000000001</v>
      </c>
      <c r="Q10" s="50">
        <f t="shared" ref="Q10" si="6">IFERROR(B10*P10,"")</f>
        <v>3.2646000000000002</v>
      </c>
    </row>
    <row r="11" spans="1:17" s="2" customFormat="1" ht="12.75" customHeight="1">
      <c r="A11" s="4">
        <f t="shared" si="4"/>
        <v>305</v>
      </c>
      <c r="B11" s="2">
        <v>2</v>
      </c>
      <c r="C11" s="114" t="s">
        <v>286</v>
      </c>
      <c r="D11" s="268" t="str">
        <f>VLOOKUP(C11,Purchased!A:B,2,0)</f>
        <v>BRX GOTO T-NUT 10 M5</v>
      </c>
      <c r="E11" s="269"/>
      <c r="F11" s="112" t="str">
        <f>VLOOKUP(C11,Purchased!A:Q,9,0)</f>
        <v>BRX</v>
      </c>
      <c r="G11" s="112" t="str">
        <f>VLOOKUP(C11,Purchased!A:Q,10,0)</f>
        <v>AAP</v>
      </c>
      <c r="H11" s="112">
        <f>VLOOKUP(C11,Purchased!A:Q,12,0)</f>
        <v>0</v>
      </c>
      <c r="I11" s="113"/>
      <c r="J11" s="44">
        <f>VLOOKUP(C11,Purchased!A:Q,13,0)</f>
        <v>45104</v>
      </c>
      <c r="K11" s="44">
        <f>VLOOKUP(C11,Purchased!A:Q,14,0)</f>
        <v>45105</v>
      </c>
      <c r="L11" s="44">
        <f>VLOOKUP(C11,Purchased!A:Q,15,0)</f>
        <v>45133</v>
      </c>
      <c r="M11" s="44">
        <f>VLOOKUP(C11,Purchased!A:Q,16,0)</f>
        <v>45133</v>
      </c>
      <c r="N11" s="45" t="str">
        <f>VLOOKUP(C11,Purchased!A:Q,17,0)</f>
        <v>50x54968, 200x55147, 150x55169</v>
      </c>
      <c r="O11" s="45" t="e">
        <f t="shared" ca="1" si="2"/>
        <v>#VALUE!</v>
      </c>
      <c r="P11" s="49">
        <f>IFERROR(VLOOKUP(C11,Purchased!A:E,3,FALSE),"")</f>
        <v>0.64290000000000003</v>
      </c>
      <c r="Q11" s="50">
        <f t="shared" si="3"/>
        <v>1.2858000000000001</v>
      </c>
    </row>
    <row r="12" spans="1:17" s="2" customFormat="1" ht="12.75" customHeight="1">
      <c r="A12" s="25"/>
      <c r="B12" s="26"/>
      <c r="C12" s="26"/>
      <c r="D12" s="272"/>
      <c r="E12" s="273"/>
      <c r="F12" s="26"/>
      <c r="G12" s="26"/>
      <c r="H12" s="274"/>
      <c r="I12" s="275"/>
      <c r="J12" s="27"/>
      <c r="K12" s="27"/>
      <c r="L12" s="27"/>
      <c r="M12" s="28"/>
      <c r="N12" s="29"/>
      <c r="O12" s="29" t="e">
        <f t="shared" ca="1" si="2"/>
        <v>#VALUE!</v>
      </c>
      <c r="P12" s="141"/>
      <c r="Q12" s="142"/>
    </row>
    <row r="13" spans="1:17" s="2" customFormat="1" ht="12.75" customHeight="1">
      <c r="A13" s="4">
        <v>501</v>
      </c>
      <c r="B13" s="2">
        <v>2</v>
      </c>
      <c r="C13" s="110" t="s">
        <v>287</v>
      </c>
      <c r="D13" s="268"/>
      <c r="E13" s="276"/>
      <c r="F13" s="112" t="str">
        <f>VLOOKUP(C13,Bolts!A:L,5,0)</f>
        <v xml:space="preserve">  </v>
      </c>
      <c r="G13" s="112" t="str">
        <f>VLOOKUP(C13,Bolts!A:L,6,0)</f>
        <v>Monroe Fasteners</v>
      </c>
      <c r="H13" s="112" t="str">
        <f>VLOOKUP(C13,Bolts!A:L,7,0)</f>
        <v xml:space="preserve">  </v>
      </c>
      <c r="I13" s="112"/>
      <c r="J13" s="44" t="str">
        <f>VLOOKUP(C13,Bolts!A:L,8,0)</f>
        <v xml:space="preserve"> </v>
      </c>
      <c r="K13" s="44" t="str">
        <f>VLOOKUP(C13,Bolts!A:L,9,0)</f>
        <v xml:space="preserve"> </v>
      </c>
      <c r="L13" s="44" t="str">
        <f>VLOOKUP(C13,Bolts!A:L,10,0)</f>
        <v xml:space="preserve"> </v>
      </c>
      <c r="M13" s="44" t="str">
        <f>VLOOKUP(C13,Bolts!A:L,11,0)</f>
        <v xml:space="preserve"> </v>
      </c>
      <c r="N13" s="45" t="str">
        <f>VLOOKUP(C13,Bolts!A:L,12,0)</f>
        <v xml:space="preserve"> </v>
      </c>
      <c r="O13" s="45" t="e">
        <f t="shared" ca="1" si="2"/>
        <v>#VALUE!</v>
      </c>
      <c r="P13" s="49" t="str">
        <f>IFERROR(VLOOKUP(C13,Bolts!A:B,2,FALSE),"")</f>
        <v xml:space="preserve"> </v>
      </c>
      <c r="Q13" s="50" t="str">
        <f t="shared" ref="Q13:Q15" si="7">IFERROR(B13*P13,"")</f>
        <v/>
      </c>
    </row>
    <row r="14" spans="1:17" s="2" customFormat="1" ht="12.75" customHeight="1">
      <c r="A14" s="4">
        <f>A13+1</f>
        <v>502</v>
      </c>
      <c r="B14" s="2">
        <v>2</v>
      </c>
      <c r="C14" s="110" t="s">
        <v>288</v>
      </c>
      <c r="D14" s="268"/>
      <c r="E14" s="276"/>
      <c r="F14" s="112" t="str">
        <f>VLOOKUP(C14,Bolts!A:L,5,0)</f>
        <v xml:space="preserve">  </v>
      </c>
      <c r="G14" s="112" t="str">
        <f>VLOOKUP(C14,Bolts!A:L,6,0)</f>
        <v>Monroe Fasteners</v>
      </c>
      <c r="H14" s="112" t="str">
        <f>VLOOKUP(C14,Bolts!A:L,7,0)</f>
        <v xml:space="preserve">  </v>
      </c>
      <c r="I14" s="112"/>
      <c r="J14" s="44" t="str">
        <f>VLOOKUP(C14,Bolts!A:L,8,0)</f>
        <v xml:space="preserve"> </v>
      </c>
      <c r="K14" s="44" t="str">
        <f>VLOOKUP(C14,Bolts!A:L,9,0)</f>
        <v xml:space="preserve"> </v>
      </c>
      <c r="L14" s="44" t="str">
        <f>VLOOKUP(C14,Bolts!A:L,10,0)</f>
        <v xml:space="preserve"> </v>
      </c>
      <c r="M14" s="44" t="str">
        <f>VLOOKUP(C14,Bolts!A:L,11,0)</f>
        <v xml:space="preserve"> </v>
      </c>
      <c r="N14" s="45" t="str">
        <f>VLOOKUP(C14,Bolts!A:L,12,0)</f>
        <v xml:space="preserve"> </v>
      </c>
      <c r="O14" s="45" t="e">
        <f t="shared" ca="1" si="2"/>
        <v>#VALUE!</v>
      </c>
      <c r="P14" s="49" t="str">
        <f>IFERROR(VLOOKUP(C14,Bolts!A:B,2,FALSE),"")</f>
        <v xml:space="preserve"> </v>
      </c>
      <c r="Q14" s="50" t="str">
        <f t="shared" si="7"/>
        <v/>
      </c>
    </row>
    <row r="15" spans="1:17" s="2" customFormat="1" ht="12.75" customHeight="1" thickBot="1">
      <c r="A15" s="4">
        <f>A14+1</f>
        <v>503</v>
      </c>
      <c r="B15" s="2">
        <v>4</v>
      </c>
      <c r="C15" s="110" t="s">
        <v>289</v>
      </c>
      <c r="D15" s="268"/>
      <c r="E15" s="276"/>
      <c r="F15" s="112" t="str">
        <f>VLOOKUP(C15,Bolts!A:L,5,0)</f>
        <v xml:space="preserve">  </v>
      </c>
      <c r="G15" s="112" t="str">
        <f>VLOOKUP(C15,Bolts!A:L,6,0)</f>
        <v>Monroe Fasteners</v>
      </c>
      <c r="H15" s="112" t="str">
        <f>VLOOKUP(C15,Bolts!A:L,7,0)</f>
        <v xml:space="preserve">  </v>
      </c>
      <c r="I15" s="112"/>
      <c r="J15" s="44" t="str">
        <f>VLOOKUP(C15,Bolts!A:L,8,0)</f>
        <v xml:space="preserve"> </v>
      </c>
      <c r="K15" s="44" t="str">
        <f>VLOOKUP(C15,Bolts!A:L,9,0)</f>
        <v xml:space="preserve"> </v>
      </c>
      <c r="L15" s="44" t="str">
        <f>VLOOKUP(C15,Bolts!A:L,10,0)</f>
        <v xml:space="preserve"> </v>
      </c>
      <c r="M15" s="44" t="str">
        <f>VLOOKUP(C15,Bolts!A:L,11,0)</f>
        <v xml:space="preserve"> </v>
      </c>
      <c r="N15" s="45" t="str">
        <f>VLOOKUP(C15,Bolts!A:L,12,0)</f>
        <v xml:space="preserve"> </v>
      </c>
      <c r="O15" s="45" t="e">
        <f t="shared" ca="1" si="2"/>
        <v>#VALUE!</v>
      </c>
      <c r="P15" s="49" t="str">
        <f>IFERROR(VLOOKUP(C15,Bolts!A:B,2,FALSE),"")</f>
        <v xml:space="preserve"> </v>
      </c>
      <c r="Q15" s="50" t="str">
        <f t="shared" si="7"/>
        <v/>
      </c>
    </row>
    <row r="16" spans="1:17" s="2" customFormat="1" ht="12.75" customHeight="1" thickBot="1">
      <c r="A16" s="34"/>
      <c r="B16" s="35"/>
      <c r="C16" s="35"/>
      <c r="D16" s="256"/>
      <c r="E16" s="257"/>
      <c r="F16" s="35"/>
      <c r="G16" s="35"/>
      <c r="H16" s="294"/>
      <c r="I16" s="295"/>
      <c r="J16" s="36"/>
      <c r="K16" s="36"/>
      <c r="L16" s="36"/>
      <c r="M16" s="37"/>
      <c r="N16" s="38"/>
      <c r="O16" s="38"/>
      <c r="P16" s="89" t="s">
        <v>43</v>
      </c>
      <c r="Q16" s="94">
        <f>SUM(Q5:Q13)</f>
        <v>50.787600000000005</v>
      </c>
    </row>
    <row r="17" spans="4:17" s="2" customFormat="1" ht="12" customHeight="1">
      <c r="D17" s="22"/>
      <c r="E17" s="22"/>
      <c r="J17" s="8"/>
      <c r="K17" s="8"/>
      <c r="L17" s="8"/>
      <c r="M17" s="8"/>
      <c r="N17" s="5"/>
      <c r="O17" s="5"/>
      <c r="P17" s="88"/>
      <c r="Q17" s="95"/>
    </row>
    <row r="18" spans="4:17" s="2" customFormat="1" ht="12" customHeight="1">
      <c r="D18" s="22"/>
      <c r="E18" s="22"/>
      <c r="J18" s="5"/>
      <c r="K18" s="5"/>
      <c r="L18" s="5"/>
      <c r="M18" s="5"/>
      <c r="N18" s="5"/>
      <c r="O18" s="5"/>
      <c r="P18" s="88"/>
      <c r="Q18" s="95"/>
    </row>
    <row r="19" spans="4:17" s="2" customFormat="1" ht="12" customHeight="1">
      <c r="D19" s="22"/>
      <c r="E19" s="22"/>
      <c r="J19" s="5"/>
      <c r="K19" s="5"/>
      <c r="L19" s="5"/>
      <c r="M19" s="5"/>
      <c r="N19" s="5"/>
      <c r="O19" s="5"/>
      <c r="P19" s="88"/>
      <c r="Q19" s="95"/>
    </row>
    <row r="20" spans="4:17" s="2" customFormat="1" ht="12" customHeight="1">
      <c r="D20" s="22"/>
      <c r="E20" s="22"/>
      <c r="J20" s="5"/>
      <c r="K20" s="5"/>
      <c r="L20" s="5"/>
      <c r="M20" s="5"/>
      <c r="N20" s="5"/>
      <c r="O20" s="5"/>
      <c r="P20" s="88"/>
      <c r="Q20" s="95"/>
    </row>
    <row r="21" spans="4:17" s="2" customFormat="1" ht="12" customHeight="1">
      <c r="D21" s="22"/>
      <c r="E21" s="22"/>
      <c r="J21" s="5"/>
      <c r="K21" s="5"/>
      <c r="L21" s="5"/>
      <c r="M21" s="5"/>
      <c r="N21" s="5"/>
      <c r="O21" s="5"/>
      <c r="P21" s="88"/>
      <c r="Q21" s="95"/>
    </row>
    <row r="22" spans="4:17" s="2" customFormat="1" ht="12" customHeight="1">
      <c r="D22" s="22"/>
      <c r="E22" s="22"/>
      <c r="J22" s="5"/>
      <c r="K22" s="5"/>
      <c r="L22" s="5"/>
      <c r="M22" s="5"/>
      <c r="N22" s="5"/>
      <c r="O22" s="5"/>
      <c r="P22" s="88"/>
      <c r="Q22" s="95"/>
    </row>
    <row r="23" spans="4:17" s="2" customFormat="1" ht="12" customHeight="1">
      <c r="D23" s="22"/>
      <c r="E23" s="22"/>
      <c r="J23" s="5"/>
      <c r="K23" s="5"/>
      <c r="L23" s="5"/>
      <c r="M23" s="5"/>
      <c r="N23" s="5"/>
      <c r="O23" s="5"/>
      <c r="P23" s="88"/>
      <c r="Q23" s="95"/>
    </row>
    <row r="24" spans="4:17" s="2" customFormat="1" ht="12" customHeight="1">
      <c r="D24" s="22"/>
      <c r="E24" s="22"/>
      <c r="J24" s="5"/>
      <c r="K24" s="5"/>
      <c r="L24" s="5"/>
      <c r="M24" s="5"/>
      <c r="N24" s="5"/>
      <c r="O24" s="5"/>
      <c r="P24" s="88"/>
      <c r="Q24" s="95"/>
    </row>
    <row r="25" spans="4:17" s="2" customFormat="1" ht="12" customHeight="1">
      <c r="D25" s="22"/>
      <c r="E25" s="22"/>
      <c r="J25" s="5"/>
      <c r="K25" s="5"/>
      <c r="L25" s="5"/>
      <c r="M25" s="5"/>
      <c r="N25" s="5"/>
      <c r="O25" s="5"/>
      <c r="P25" s="88"/>
      <c r="Q25" s="95"/>
    </row>
    <row r="26" spans="4:17" s="2" customFormat="1" ht="12" customHeight="1">
      <c r="D26" s="22"/>
      <c r="E26" s="22"/>
      <c r="J26" s="5"/>
      <c r="K26" s="5"/>
      <c r="L26" s="5"/>
      <c r="M26" s="5"/>
      <c r="N26" s="5"/>
      <c r="O26" s="5"/>
      <c r="P26" s="88"/>
      <c r="Q26" s="95"/>
    </row>
    <row r="27" spans="4:17" s="2" customFormat="1" ht="12" customHeight="1">
      <c r="D27" s="22"/>
      <c r="E27" s="22"/>
      <c r="J27" s="5"/>
      <c r="K27" s="5"/>
      <c r="L27" s="5"/>
      <c r="M27" s="5"/>
      <c r="N27" s="5"/>
      <c r="O27" s="5"/>
      <c r="P27" s="88"/>
      <c r="Q27" s="95"/>
    </row>
    <row r="28" spans="4:17" s="2" customFormat="1" ht="12" customHeight="1">
      <c r="D28" s="22"/>
      <c r="E28" s="22"/>
      <c r="J28" s="5"/>
      <c r="K28" s="5"/>
      <c r="L28" s="5"/>
      <c r="M28" s="5"/>
      <c r="N28" s="5"/>
      <c r="O28" s="5"/>
      <c r="P28" s="88"/>
      <c r="Q28" s="95"/>
    </row>
    <row r="29" spans="4:17" s="2" customFormat="1" ht="12" customHeight="1">
      <c r="D29" s="22"/>
      <c r="E29" s="22"/>
      <c r="J29" s="5"/>
      <c r="K29" s="5"/>
      <c r="L29" s="5"/>
      <c r="M29" s="5"/>
      <c r="N29" s="5"/>
      <c r="O29" s="5"/>
      <c r="P29" s="88"/>
      <c r="Q29" s="95"/>
    </row>
    <row r="30" spans="4:17" s="2" customFormat="1" ht="12" customHeight="1">
      <c r="D30" s="22"/>
      <c r="E30" s="22"/>
      <c r="J30" s="5"/>
      <c r="K30" s="5"/>
      <c r="L30" s="5"/>
      <c r="M30" s="5"/>
      <c r="N30" s="5"/>
      <c r="O30" s="5"/>
      <c r="P30" s="88"/>
      <c r="Q30" s="95"/>
    </row>
    <row r="31" spans="4:17" s="2" customFormat="1" ht="12" customHeight="1">
      <c r="D31" s="22"/>
      <c r="E31" s="22"/>
      <c r="J31" s="5"/>
      <c r="K31" s="5"/>
      <c r="L31" s="5"/>
      <c r="M31" s="5"/>
      <c r="N31" s="5"/>
      <c r="O31" s="5"/>
      <c r="P31" s="88"/>
      <c r="Q31" s="95"/>
    </row>
    <row r="32" spans="4:17" s="2" customFormat="1" ht="12" customHeight="1">
      <c r="D32" s="22"/>
      <c r="E32" s="22"/>
      <c r="J32" s="5"/>
      <c r="K32" s="5"/>
      <c r="L32" s="5"/>
      <c r="M32" s="5"/>
      <c r="N32" s="5"/>
      <c r="O32" s="5"/>
      <c r="P32" s="88"/>
      <c r="Q32" s="95"/>
    </row>
    <row r="33" spans="4:17" s="2" customFormat="1" ht="12" customHeight="1">
      <c r="D33" s="22"/>
      <c r="E33" s="22"/>
      <c r="J33" s="5"/>
      <c r="K33" s="5"/>
      <c r="L33" s="5"/>
      <c r="M33" s="5"/>
      <c r="N33" s="5"/>
      <c r="O33" s="5"/>
      <c r="P33" s="88"/>
      <c r="Q33" s="95"/>
    </row>
    <row r="34" spans="4:17" s="2" customFormat="1" ht="12" customHeight="1">
      <c r="D34" s="22"/>
      <c r="E34" s="22"/>
      <c r="J34" s="5"/>
      <c r="K34" s="5"/>
      <c r="L34" s="5"/>
      <c r="M34" s="5"/>
      <c r="N34" s="5"/>
      <c r="O34" s="5"/>
      <c r="P34" s="88"/>
      <c r="Q34" s="95"/>
    </row>
    <row r="35" spans="4:17" s="2" customFormat="1" ht="12" customHeight="1">
      <c r="D35" s="22"/>
      <c r="E35" s="22"/>
      <c r="J35" s="5"/>
      <c r="K35" s="5"/>
      <c r="L35" s="5"/>
      <c r="M35" s="5"/>
      <c r="N35" s="5"/>
      <c r="O35" s="5"/>
      <c r="P35" s="88"/>
      <c r="Q35" s="95"/>
    </row>
    <row r="36" spans="4:17" s="2" customFormat="1" ht="12" customHeight="1">
      <c r="D36" s="22"/>
      <c r="E36" s="22"/>
      <c r="J36" s="5"/>
      <c r="K36" s="5"/>
      <c r="L36" s="5"/>
      <c r="M36" s="5"/>
      <c r="N36" s="5"/>
      <c r="O36" s="5"/>
      <c r="P36" s="88"/>
      <c r="Q36" s="95"/>
    </row>
    <row r="37" spans="4:17" s="2" customFormat="1" ht="12" customHeight="1">
      <c r="D37" s="22"/>
      <c r="E37" s="22"/>
      <c r="J37" s="5"/>
      <c r="K37" s="5"/>
      <c r="L37" s="5"/>
      <c r="M37" s="5"/>
      <c r="N37" s="5"/>
      <c r="O37" s="5"/>
      <c r="P37" s="88"/>
      <c r="Q37" s="95"/>
    </row>
    <row r="38" spans="4:17" s="2" customFormat="1" ht="12" customHeight="1">
      <c r="D38" s="22"/>
      <c r="E38" s="22"/>
      <c r="J38" s="5"/>
      <c r="K38" s="5"/>
      <c r="L38" s="5"/>
      <c r="M38" s="5"/>
      <c r="N38" s="5"/>
      <c r="O38" s="5"/>
      <c r="P38" s="88"/>
      <c r="Q38" s="95"/>
    </row>
    <row r="39" spans="4:17" s="2" customFormat="1" ht="12" customHeight="1">
      <c r="D39" s="22"/>
      <c r="E39" s="22"/>
      <c r="J39" s="5"/>
      <c r="K39" s="5"/>
      <c r="L39" s="5"/>
      <c r="M39" s="5"/>
      <c r="N39" s="5"/>
      <c r="O39" s="5"/>
      <c r="P39" s="88"/>
      <c r="Q39" s="95"/>
    </row>
    <row r="40" spans="4:17" s="2" customFormat="1" ht="12" customHeight="1">
      <c r="D40" s="22"/>
      <c r="E40" s="22"/>
      <c r="J40" s="5"/>
      <c r="K40" s="5"/>
      <c r="L40" s="5"/>
      <c r="M40" s="5"/>
      <c r="N40" s="5"/>
      <c r="O40" s="5"/>
      <c r="P40" s="88"/>
      <c r="Q40" s="95"/>
    </row>
    <row r="41" spans="4:17" s="2" customFormat="1" ht="12" customHeight="1">
      <c r="D41" s="22"/>
      <c r="E41" s="22"/>
      <c r="J41" s="5"/>
      <c r="K41" s="5"/>
      <c r="L41" s="5"/>
      <c r="M41" s="5"/>
      <c r="N41" s="5"/>
      <c r="O41" s="5"/>
      <c r="P41" s="88"/>
      <c r="Q41" s="95"/>
    </row>
    <row r="42" spans="4:17" s="2" customFormat="1" ht="12" customHeight="1">
      <c r="D42" s="22"/>
      <c r="E42" s="22"/>
      <c r="J42" s="5"/>
      <c r="K42" s="5"/>
      <c r="L42" s="5"/>
      <c r="M42" s="5"/>
      <c r="N42" s="5"/>
      <c r="O42" s="5"/>
      <c r="P42" s="88"/>
      <c r="Q42" s="95"/>
    </row>
    <row r="43" spans="4:17" s="2" customFormat="1" ht="12" customHeight="1">
      <c r="D43" s="22"/>
      <c r="E43" s="22"/>
      <c r="J43" s="5"/>
      <c r="K43" s="5"/>
      <c r="L43" s="5"/>
      <c r="M43" s="5"/>
      <c r="N43" s="5"/>
      <c r="O43" s="5"/>
      <c r="P43" s="88"/>
      <c r="Q43" s="95"/>
    </row>
    <row r="44" spans="4:17" s="2" customFormat="1" ht="12" customHeight="1">
      <c r="D44" s="22"/>
      <c r="E44" s="22"/>
      <c r="J44" s="5"/>
      <c r="K44" s="5"/>
      <c r="L44" s="5"/>
      <c r="M44" s="5"/>
      <c r="N44" s="5"/>
      <c r="O44" s="5"/>
      <c r="P44" s="88"/>
      <c r="Q44" s="95"/>
    </row>
    <row r="45" spans="4:17" s="2" customFormat="1" ht="12" customHeight="1">
      <c r="D45" s="22"/>
      <c r="E45" s="22"/>
      <c r="J45" s="5"/>
      <c r="K45" s="5"/>
      <c r="L45" s="5"/>
      <c r="M45" s="5"/>
      <c r="N45" s="5"/>
      <c r="O45" s="5"/>
      <c r="P45" s="88"/>
      <c r="Q45" s="95"/>
    </row>
    <row r="46" spans="4:17" s="2" customFormat="1" ht="12" customHeight="1">
      <c r="D46" s="22"/>
      <c r="E46" s="22"/>
      <c r="J46" s="5"/>
      <c r="K46" s="5"/>
      <c r="L46" s="5"/>
      <c r="M46" s="5"/>
      <c r="N46" s="5"/>
      <c r="O46" s="5"/>
      <c r="P46" s="88"/>
      <c r="Q46" s="95"/>
    </row>
    <row r="47" spans="4:17" s="2" customFormat="1" ht="12" customHeight="1">
      <c r="D47" s="22"/>
      <c r="E47" s="22"/>
      <c r="J47" s="5"/>
      <c r="K47" s="5"/>
      <c r="L47" s="5"/>
      <c r="M47" s="5"/>
      <c r="N47" s="5"/>
      <c r="O47" s="5"/>
      <c r="P47" s="88"/>
      <c r="Q47" s="95"/>
    </row>
    <row r="48" spans="4:17" s="2" customFormat="1" ht="12" customHeight="1">
      <c r="D48" s="22"/>
      <c r="E48" s="22"/>
      <c r="J48" s="5"/>
      <c r="K48" s="5"/>
      <c r="L48" s="5"/>
      <c r="M48" s="5"/>
      <c r="N48" s="5"/>
      <c r="O48" s="5"/>
      <c r="P48" s="88"/>
      <c r="Q48" s="95"/>
    </row>
    <row r="49" spans="1:17" s="2" customFormat="1" ht="12" customHeight="1">
      <c r="D49" s="22"/>
      <c r="E49" s="22"/>
      <c r="J49" s="5"/>
      <c r="K49" s="5"/>
      <c r="L49" s="5"/>
      <c r="M49" s="5"/>
      <c r="N49" s="5"/>
      <c r="O49" s="5"/>
      <c r="P49" s="88"/>
      <c r="Q49" s="95"/>
    </row>
    <row r="50" spans="1:17" s="2" customFormat="1" ht="12" customHeight="1">
      <c r="D50" s="22"/>
      <c r="E50" s="22"/>
      <c r="J50" s="5"/>
      <c r="K50" s="5"/>
      <c r="L50" s="5"/>
      <c r="M50" s="5"/>
      <c r="N50" s="5"/>
      <c r="O50" s="5"/>
      <c r="P50" s="88"/>
      <c r="Q50" s="95"/>
    </row>
    <row r="51" spans="1:17" s="2" customFormat="1" ht="12" customHeight="1">
      <c r="D51" s="22"/>
      <c r="E51" s="22"/>
      <c r="J51" s="5"/>
      <c r="K51" s="5"/>
      <c r="L51" s="5"/>
      <c r="M51" s="5"/>
      <c r="N51" s="5"/>
      <c r="O51" s="5"/>
      <c r="P51" s="88"/>
      <c r="Q51" s="95"/>
    </row>
    <row r="52" spans="1:17" s="2" customFormat="1" ht="12" customHeight="1">
      <c r="D52" s="22"/>
      <c r="E52" s="22"/>
      <c r="J52" s="5"/>
      <c r="K52" s="5"/>
      <c r="L52" s="5"/>
      <c r="M52" s="5"/>
      <c r="N52" s="5"/>
      <c r="O52" s="5"/>
      <c r="P52" s="88"/>
      <c r="Q52" s="95"/>
    </row>
    <row r="53" spans="1:17" s="2" customFormat="1" ht="12" customHeight="1">
      <c r="D53" s="22"/>
      <c r="E53" s="22"/>
      <c r="J53" s="5"/>
      <c r="K53" s="5"/>
      <c r="L53" s="5"/>
      <c r="M53" s="5"/>
      <c r="N53" s="5"/>
      <c r="O53" s="5"/>
      <c r="P53" s="88"/>
      <c r="Q53" s="95"/>
    </row>
    <row r="54" spans="1:17" s="2" customFormat="1" ht="12" customHeight="1">
      <c r="D54" s="22"/>
      <c r="E54" s="22"/>
      <c r="J54" s="5"/>
      <c r="K54" s="5"/>
      <c r="L54" s="5"/>
      <c r="M54" s="5"/>
      <c r="N54" s="5"/>
      <c r="O54" s="5"/>
      <c r="P54" s="88"/>
      <c r="Q54" s="95"/>
    </row>
    <row r="55" spans="1:17" s="2" customFormat="1" ht="12" customHeight="1">
      <c r="D55" s="22"/>
      <c r="E55" s="22"/>
      <c r="J55" s="5"/>
      <c r="K55" s="5"/>
      <c r="L55" s="5"/>
      <c r="M55" s="5"/>
      <c r="N55" s="5"/>
      <c r="O55" s="5"/>
      <c r="P55" s="88"/>
      <c r="Q55" s="96"/>
    </row>
    <row r="56" spans="1:17" s="2" customFormat="1" ht="12" customHeight="1">
      <c r="D56" s="22"/>
      <c r="E56" s="22"/>
      <c r="J56" s="5"/>
      <c r="K56" s="5"/>
      <c r="L56" s="5"/>
      <c r="M56" s="5"/>
      <c r="N56" s="5"/>
      <c r="O56" s="5"/>
      <c r="P56" s="88"/>
      <c r="Q56" s="96"/>
    </row>
    <row r="57" spans="1:17" s="2" customFormat="1" ht="12" customHeight="1">
      <c r="D57" s="22"/>
      <c r="E57" s="22"/>
      <c r="J57" s="5"/>
      <c r="K57" s="5"/>
      <c r="L57" s="5"/>
      <c r="M57" s="5"/>
      <c r="N57" s="5"/>
      <c r="O57" s="5"/>
      <c r="P57" s="88"/>
      <c r="Q57" s="96"/>
    </row>
    <row r="58" spans="1:17" s="2" customFormat="1" ht="12" customHeight="1">
      <c r="D58" s="22"/>
      <c r="E58" s="22"/>
      <c r="J58" s="5"/>
      <c r="K58" s="5"/>
      <c r="L58" s="5"/>
      <c r="M58" s="5"/>
      <c r="N58" s="5"/>
      <c r="O58" s="5"/>
      <c r="P58" s="88"/>
      <c r="Q58" s="96"/>
    </row>
    <row r="59" spans="1:17" s="2" customFormat="1" ht="12" customHeight="1">
      <c r="A59"/>
      <c r="B59"/>
      <c r="C59"/>
      <c r="D59" s="23"/>
      <c r="E59" s="23"/>
      <c r="F59"/>
      <c r="G59"/>
      <c r="H59"/>
      <c r="I59"/>
      <c r="J59" s="19"/>
      <c r="K59" s="19"/>
      <c r="L59" s="19"/>
      <c r="M59" s="19"/>
      <c r="N59" s="19"/>
      <c r="O59" s="19"/>
      <c r="P59" s="90"/>
      <c r="Q59" s="96"/>
    </row>
    <row r="60" spans="1:17" s="2" customFormat="1" ht="12" customHeight="1">
      <c r="A60"/>
      <c r="B60"/>
      <c r="C60"/>
      <c r="D60" s="23"/>
      <c r="E60" s="23"/>
      <c r="F60"/>
      <c r="G60"/>
      <c r="H60"/>
      <c r="I60"/>
      <c r="J60" s="19"/>
      <c r="K60" s="19"/>
      <c r="L60" s="19"/>
      <c r="M60" s="19"/>
      <c r="N60" s="19"/>
      <c r="O60" s="19"/>
      <c r="P60" s="90"/>
      <c r="Q60" s="96"/>
    </row>
    <row r="61" spans="1:17" s="2" customFormat="1" ht="12" customHeight="1">
      <c r="A61"/>
      <c r="B61"/>
      <c r="C61"/>
      <c r="D61" s="23"/>
      <c r="E61" s="23"/>
      <c r="F61"/>
      <c r="G61"/>
      <c r="H61"/>
      <c r="I61"/>
      <c r="J61" s="19"/>
      <c r="K61" s="19"/>
      <c r="L61" s="19"/>
      <c r="M61" s="19"/>
      <c r="N61" s="19"/>
      <c r="O61" s="19"/>
      <c r="P61" s="90"/>
      <c r="Q61" s="96"/>
    </row>
    <row r="62" spans="1:17" s="2" customFormat="1" ht="12" customHeight="1">
      <c r="A62"/>
      <c r="B62"/>
      <c r="C62"/>
      <c r="D62" s="23"/>
      <c r="E62" s="23"/>
      <c r="F62"/>
      <c r="G62"/>
      <c r="H62"/>
      <c r="I62"/>
      <c r="J62" s="19"/>
      <c r="K62" s="19"/>
      <c r="L62" s="19"/>
      <c r="M62" s="19"/>
      <c r="N62" s="19"/>
      <c r="O62" s="19"/>
      <c r="P62" s="90"/>
      <c r="Q62" s="96"/>
    </row>
    <row r="63" spans="1:17" s="2" customFormat="1" ht="12" customHeight="1">
      <c r="A63"/>
      <c r="B63"/>
      <c r="C63"/>
      <c r="D63" s="23"/>
      <c r="E63" s="23"/>
      <c r="F63"/>
      <c r="G63"/>
      <c r="H63"/>
      <c r="I63"/>
      <c r="J63" s="19"/>
      <c r="K63" s="19"/>
      <c r="L63" s="19"/>
      <c r="M63" s="19"/>
      <c r="N63" s="19"/>
      <c r="O63" s="19"/>
      <c r="P63" s="90"/>
      <c r="Q63" s="96"/>
    </row>
    <row r="64" spans="1:17">
      <c r="Q64" s="96"/>
    </row>
    <row r="65" spans="17:17">
      <c r="Q65" s="96"/>
    </row>
    <row r="66" spans="17:17">
      <c r="Q66" s="96"/>
    </row>
    <row r="67" spans="17:17">
      <c r="Q67" s="96"/>
    </row>
    <row r="68" spans="17:17">
      <c r="Q68" s="96"/>
    </row>
    <row r="69" spans="17:17">
      <c r="Q69" s="96"/>
    </row>
    <row r="70" spans="17:17">
      <c r="Q70" s="96"/>
    </row>
    <row r="71" spans="17:17">
      <c r="Q71" s="96"/>
    </row>
    <row r="72" spans="17:17">
      <c r="Q72" s="96"/>
    </row>
    <row r="73" spans="17:17">
      <c r="Q73" s="96"/>
    </row>
    <row r="74" spans="17:17">
      <c r="Q74" s="96"/>
    </row>
    <row r="75" spans="17:17">
      <c r="Q75" s="96"/>
    </row>
    <row r="76" spans="17:17">
      <c r="Q76" s="96"/>
    </row>
    <row r="77" spans="17:17">
      <c r="Q77" s="96"/>
    </row>
    <row r="78" spans="17:17">
      <c r="Q78" s="96"/>
    </row>
    <row r="79" spans="17:17">
      <c r="Q79" s="96"/>
    </row>
    <row r="80" spans="17:17">
      <c r="Q80" s="96"/>
    </row>
    <row r="81" spans="17:17">
      <c r="Q81" s="96"/>
    </row>
    <row r="82" spans="17:17">
      <c r="Q82" s="96"/>
    </row>
    <row r="83" spans="17:17">
      <c r="Q83" s="96"/>
    </row>
    <row r="120" ht="12" customHeight="1"/>
    <row r="121" ht="12" customHeight="1"/>
    <row r="122" ht="12" customHeight="1"/>
    <row r="123" ht="12" customHeight="1"/>
    <row r="124" ht="12" customHeight="1"/>
    <row r="125" ht="12" customHeight="1"/>
    <row r="126" ht="12" customHeight="1"/>
    <row r="127" ht="12" customHeight="1"/>
    <row r="128" ht="12" customHeight="1"/>
    <row r="129" ht="12" customHeight="1"/>
    <row r="130" ht="12" customHeight="1"/>
    <row r="131" ht="12" customHeight="1"/>
    <row r="132" ht="12" customHeight="1"/>
    <row r="133" ht="12" customHeight="1"/>
    <row r="134" ht="12" customHeight="1"/>
    <row r="135" ht="12" customHeight="1"/>
    <row r="136" ht="12" customHeight="1"/>
    <row r="137" ht="12" customHeight="1"/>
    <row r="138" ht="12" customHeight="1"/>
    <row r="139" ht="12" customHeight="1"/>
    <row r="140" ht="12" customHeight="1"/>
    <row r="141" ht="12" customHeight="1"/>
    <row r="142" ht="12" customHeight="1"/>
    <row r="143" ht="12" customHeight="1"/>
    <row r="144" ht="12" customHeight="1"/>
    <row r="145" ht="12" customHeight="1"/>
    <row r="146" ht="12" customHeight="1"/>
    <row r="147" ht="12" customHeight="1"/>
    <row r="148" ht="12" customHeight="1"/>
    <row r="149" ht="12" customHeight="1"/>
    <row r="150" ht="12" customHeight="1"/>
    <row r="151" ht="12" customHeight="1"/>
    <row r="152" ht="12" customHeight="1"/>
    <row r="153" ht="12" customHeight="1"/>
    <row r="154" ht="12" customHeight="1"/>
    <row r="155" ht="12" customHeight="1"/>
    <row r="156" ht="12" customHeight="1"/>
    <row r="157" ht="12" customHeight="1"/>
    <row r="158" ht="12" customHeight="1"/>
    <row r="159" ht="12" customHeight="1"/>
    <row r="160" ht="12" customHeight="1"/>
    <row r="161" ht="12" customHeight="1"/>
    <row r="162" ht="12" customHeight="1"/>
    <row r="163" ht="12" customHeight="1"/>
    <row r="164" ht="12" customHeight="1"/>
    <row r="165" ht="12" customHeight="1"/>
    <row r="166" ht="12" customHeight="1"/>
    <row r="167" ht="12" customHeight="1"/>
    <row r="168" ht="12" customHeight="1"/>
    <row r="169" ht="12" customHeight="1"/>
  </sheetData>
  <mergeCells count="18">
    <mergeCell ref="D1:E1"/>
    <mergeCell ref="D4:E4"/>
    <mergeCell ref="H4:I4"/>
    <mergeCell ref="D5:E5"/>
    <mergeCell ref="D6:E6"/>
    <mergeCell ref="H6:I6"/>
    <mergeCell ref="D7:E7"/>
    <mergeCell ref="D12:E12"/>
    <mergeCell ref="H12:I12"/>
    <mergeCell ref="D13:E13"/>
    <mergeCell ref="D16:E16"/>
    <mergeCell ref="H16:I16"/>
    <mergeCell ref="D8:E8"/>
    <mergeCell ref="D9:E9"/>
    <mergeCell ref="D11:E11"/>
    <mergeCell ref="D14:E14"/>
    <mergeCell ref="D15:E15"/>
    <mergeCell ref="D10:E10"/>
  </mergeCells>
  <conditionalFormatting sqref="M5 M7:M11">
    <cfRule type="cellIs" dxfId="601" priority="1" stopIfTrue="1" operator="lessThanOrEqual">
      <formula>$L5</formula>
    </cfRule>
    <cfRule type="cellIs" dxfId="600" priority="2" operator="greaterThan">
      <formula>L5</formula>
    </cfRule>
  </conditionalFormatting>
  <conditionalFormatting sqref="M13:M15">
    <cfRule type="cellIs" dxfId="599" priority="3" stopIfTrue="1" operator="lessThanOrEqual">
      <formula>$L13</formula>
    </cfRule>
    <cfRule type="cellIs" dxfId="598" priority="4" operator="greaterThan">
      <formula>L13</formula>
    </cfRule>
  </conditionalFormatting>
  <pageMargins left="0.7" right="0.7" top="0.75" bottom="0.75" header="0.3" footer="0.3"/>
  <pageSetup paperSize="3" fitToHeight="0" orientation="landscape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3539BCA-3939-4425-A71E-40D1BA54B3D4}">
          <x14:formula1>
            <xm:f>Bolts!$A:$A</xm:f>
          </x14:formula1>
          <xm:sqref>C13:C15</xm:sqref>
        </x14:dataValidation>
        <x14:dataValidation type="list" allowBlank="1" showInputMessage="1" showErrorMessage="1" xr:uid="{9B4DF86B-8B9B-4777-BDC5-986905869499}">
          <x14:formula1>
            <xm:f>Purchased!$A:$A</xm:f>
          </x14:formula1>
          <xm:sqref>C7:C11</xm:sqref>
        </x14:dataValidation>
        <x14:dataValidation type="list" allowBlank="1" showInputMessage="1" showErrorMessage="1" xr:uid="{AEE1EDEA-31BB-480B-80DF-B22A1F64436E}">
          <x14:formula1>
            <xm:f>Machined!$C:$C</xm:f>
          </x14:formula1>
          <xm:sqref>C5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E71A13-46E2-4E4B-B3E1-7DCF53085ACF}">
  <sheetPr codeName="Sheet21">
    <tabColor theme="3" tint="0.59999389629810485"/>
    <pageSetUpPr fitToPage="1"/>
  </sheetPr>
  <dimension ref="A1:R204"/>
  <sheetViews>
    <sheetView topLeftCell="A28" zoomScaleNormal="100" workbookViewId="0">
      <selection activeCell="C54" sqref="C54"/>
    </sheetView>
  </sheetViews>
  <sheetFormatPr defaultColWidth="9.140625" defaultRowHeight="15"/>
  <cols>
    <col min="1" max="1" width="5.7109375" customWidth="1"/>
    <col min="2" max="2" width="5.42578125" bestFit="1" customWidth="1"/>
    <col min="3" max="3" width="30.7109375" customWidth="1"/>
    <col min="4" max="5" width="20.7109375" style="23" customWidth="1"/>
    <col min="6" max="6" width="16.85546875" bestFit="1" customWidth="1"/>
    <col min="7" max="7" width="9.7109375" customWidth="1"/>
    <col min="8" max="8" width="8.7109375" customWidth="1"/>
    <col min="9" max="9" width="20.7109375" customWidth="1"/>
    <col min="10" max="13" width="11.7109375" style="19" customWidth="1"/>
    <col min="14" max="14" width="11.85546875" style="19" bestFit="1" customWidth="1"/>
    <col min="15" max="15" width="7.7109375" style="19" customWidth="1"/>
    <col min="16" max="16" width="10.7109375" style="90" customWidth="1"/>
    <col min="17" max="17" width="10.7109375" style="97" customWidth="1"/>
  </cols>
  <sheetData>
    <row r="1" spans="1:18" s="55" customFormat="1" ht="12" customHeight="1">
      <c r="A1" s="68" t="s">
        <v>0</v>
      </c>
      <c r="B1" s="69"/>
      <c r="C1" s="69"/>
      <c r="D1" s="262" t="s">
        <v>1</v>
      </c>
      <c r="E1" s="263"/>
      <c r="F1" s="70"/>
      <c r="G1" s="69"/>
      <c r="H1" s="70"/>
      <c r="I1" s="71"/>
      <c r="J1" s="72"/>
      <c r="K1" s="72"/>
      <c r="L1" s="72"/>
      <c r="M1" s="72"/>
      <c r="N1" s="72"/>
      <c r="O1" s="72"/>
      <c r="P1" s="85"/>
      <c r="Q1" s="91"/>
    </row>
    <row r="2" spans="1:18" s="55" customFormat="1" ht="12" customHeight="1">
      <c r="A2" s="74" t="s">
        <v>48</v>
      </c>
      <c r="B2" s="58"/>
      <c r="C2" s="57" t="e">
        <f ca="1">VLOOKUP(E3,Assemblies!B:F,4,0)</f>
        <v>#VALUE!</v>
      </c>
      <c r="D2" s="75" t="s">
        <v>3</v>
      </c>
      <c r="E2" s="76" t="e">
        <f ca="1">'GF12'!E2</f>
        <v>#VALUE!</v>
      </c>
      <c r="F2" s="77" t="s">
        <v>4</v>
      </c>
      <c r="G2" s="58" t="str">
        <f>'GF12'!G2</f>
        <v>GH</v>
      </c>
      <c r="H2" s="77" t="s">
        <v>6</v>
      </c>
      <c r="I2" s="59">
        <f>'GF12'!I2</f>
        <v>44775</v>
      </c>
      <c r="J2" s="39"/>
      <c r="K2" s="40" t="s">
        <v>49</v>
      </c>
      <c r="L2" s="41" t="e">
        <f ca="1">VLOOKUP(C2,Assemblies!E:G,3,0)</f>
        <v>#VALUE!</v>
      </c>
      <c r="M2" s="78"/>
      <c r="N2" s="78"/>
      <c r="O2" s="78"/>
      <c r="P2" s="86"/>
      <c r="Q2" s="92"/>
    </row>
    <row r="3" spans="1:18" s="55" customFormat="1" ht="12" customHeight="1" thickBot="1">
      <c r="A3" s="74" t="s">
        <v>7</v>
      </c>
      <c r="B3" s="58"/>
      <c r="C3" s="57" t="e">
        <f ca="1">VLOOKUP(E3,Assemblies!B:F,5,0)</f>
        <v>#VALUE!</v>
      </c>
      <c r="D3" s="75" t="s">
        <v>50</v>
      </c>
      <c r="E3" s="76" t="e">
        <f ca="1">MID(CELL("filename",A1),FIND("]",CELL("filename",A1))+1,256)</f>
        <v>#VALUE!</v>
      </c>
      <c r="F3" s="77" t="s">
        <v>11</v>
      </c>
      <c r="G3" s="58" t="str">
        <f>'GF12'!G3</f>
        <v>GH</v>
      </c>
      <c r="H3" s="77" t="s">
        <v>6</v>
      </c>
      <c r="I3" s="59">
        <f>'GF12'!I3</f>
        <v>44775</v>
      </c>
      <c r="J3" s="78"/>
      <c r="K3" s="78"/>
      <c r="L3" s="78"/>
      <c r="M3" s="78"/>
      <c r="N3" s="78"/>
      <c r="O3" s="78"/>
      <c r="P3" s="86"/>
      <c r="Q3" s="92"/>
    </row>
    <row r="4" spans="1:18" s="56" customFormat="1" ht="12.75" customHeight="1" thickBot="1">
      <c r="A4" s="80" t="s">
        <v>12</v>
      </c>
      <c r="B4" s="81" t="s">
        <v>13</v>
      </c>
      <c r="C4" s="81" t="s">
        <v>14</v>
      </c>
      <c r="D4" s="270" t="s">
        <v>15</v>
      </c>
      <c r="E4" s="271"/>
      <c r="F4" s="104" t="s">
        <v>16</v>
      </c>
      <c r="G4" s="81" t="s">
        <v>17</v>
      </c>
      <c r="H4" s="260" t="s">
        <v>18</v>
      </c>
      <c r="I4" s="261"/>
      <c r="J4" s="81" t="s">
        <v>51</v>
      </c>
      <c r="K4" s="81" t="s">
        <v>20</v>
      </c>
      <c r="L4" s="81" t="s">
        <v>21</v>
      </c>
      <c r="M4" s="81" t="s">
        <v>52</v>
      </c>
      <c r="N4" s="81" t="s">
        <v>22</v>
      </c>
      <c r="O4" s="81" t="s">
        <v>53</v>
      </c>
      <c r="P4" s="107" t="s">
        <v>26</v>
      </c>
      <c r="Q4" s="82" t="s">
        <v>27</v>
      </c>
    </row>
    <row r="5" spans="1:18" s="21" customFormat="1" ht="12.75" customHeight="1">
      <c r="A5" s="66" t="s">
        <v>54</v>
      </c>
      <c r="B5" s="1">
        <v>10</v>
      </c>
      <c r="C5" s="67" t="s">
        <v>291</v>
      </c>
      <c r="D5" s="277" t="e">
        <f ca="1">VLOOKUP(C5,Assemblies!E:S,2,0)</f>
        <v>#N/A</v>
      </c>
      <c r="E5" s="278"/>
      <c r="F5" s="32"/>
      <c r="G5" s="32"/>
      <c r="H5" s="292"/>
      <c r="I5" s="293"/>
      <c r="J5" s="28"/>
      <c r="K5" s="28"/>
      <c r="L5" s="28"/>
      <c r="M5" s="28"/>
      <c r="N5" s="33"/>
      <c r="O5" s="46" t="e">
        <f t="shared" ref="O5:O14" ca="1" si="0">B5*$L$2</f>
        <v>#VALUE!</v>
      </c>
      <c r="P5" s="87">
        <f>'121'!Q20</f>
        <v>677.00017142857143</v>
      </c>
      <c r="Q5" s="93">
        <f t="shared" ref="Q5:Q14" si="1">B5*P5</f>
        <v>6770.0017142857141</v>
      </c>
    </row>
    <row r="6" spans="1:18" s="21" customFormat="1" ht="12.75" customHeight="1">
      <c r="A6" s="66" t="s">
        <v>56</v>
      </c>
      <c r="B6" s="1">
        <v>4</v>
      </c>
      <c r="C6" s="67" t="s">
        <v>292</v>
      </c>
      <c r="D6" s="277" t="e">
        <f ca="1">VLOOKUP(C6,Assemblies!E:S,2,0)</f>
        <v>#N/A</v>
      </c>
      <c r="E6" s="278"/>
      <c r="F6" s="32"/>
      <c r="G6" s="32"/>
      <c r="H6" s="292"/>
      <c r="I6" s="293"/>
      <c r="J6" s="28"/>
      <c r="K6" s="28"/>
      <c r="L6" s="28"/>
      <c r="M6" s="28"/>
      <c r="N6" s="33"/>
      <c r="O6" s="46" t="e">
        <f t="shared" ca="1" si="0"/>
        <v>#VALUE!</v>
      </c>
      <c r="P6" s="87">
        <f>'122'!Q15</f>
        <v>1478.1958</v>
      </c>
      <c r="Q6" s="93">
        <f t="shared" si="1"/>
        <v>5912.7831999999999</v>
      </c>
    </row>
    <row r="7" spans="1:18" s="21" customFormat="1" ht="12.75" customHeight="1">
      <c r="A7" s="66" t="s">
        <v>58</v>
      </c>
      <c r="B7" s="1">
        <v>1</v>
      </c>
      <c r="C7" s="67" t="s">
        <v>293</v>
      </c>
      <c r="D7" s="277" t="e">
        <f ca="1">VLOOKUP(C7,Assemblies!E:S,2,0)</f>
        <v>#N/A</v>
      </c>
      <c r="E7" s="278"/>
      <c r="F7" s="32"/>
      <c r="G7" s="32"/>
      <c r="H7" s="292"/>
      <c r="I7" s="293"/>
      <c r="J7" s="28"/>
      <c r="K7" s="28"/>
      <c r="L7" s="28"/>
      <c r="M7" s="28"/>
      <c r="N7" s="33"/>
      <c r="O7" s="46" t="e">
        <f t="shared" ca="1" si="0"/>
        <v>#VALUE!</v>
      </c>
      <c r="P7" s="87">
        <f>'123'!Q17</f>
        <v>718.70870000000002</v>
      </c>
      <c r="Q7" s="93">
        <f t="shared" si="1"/>
        <v>718.70870000000002</v>
      </c>
    </row>
    <row r="8" spans="1:18" s="21" customFormat="1" ht="12.75" customHeight="1">
      <c r="A8" s="66" t="s">
        <v>60</v>
      </c>
      <c r="B8" s="1">
        <v>1</v>
      </c>
      <c r="C8" s="67" t="s">
        <v>294</v>
      </c>
      <c r="D8" s="277" t="e">
        <f ca="1">VLOOKUP(C8,Assemblies!E:S,2,0)</f>
        <v>#N/A</v>
      </c>
      <c r="E8" s="278"/>
      <c r="F8" s="32"/>
      <c r="G8" s="32"/>
      <c r="H8" s="292"/>
      <c r="I8" s="293"/>
      <c r="J8" s="28"/>
      <c r="K8" s="28"/>
      <c r="L8" s="28"/>
      <c r="M8" s="28"/>
      <c r="N8" s="33"/>
      <c r="O8" s="46" t="e">
        <f t="shared" ca="1" si="0"/>
        <v>#VALUE!</v>
      </c>
      <c r="P8" s="87">
        <f>'124'!Q25</f>
        <v>1356.7647052666666</v>
      </c>
      <c r="Q8" s="93">
        <f t="shared" si="1"/>
        <v>1356.7647052666666</v>
      </c>
    </row>
    <row r="9" spans="1:18" s="21" customFormat="1" ht="12.75" customHeight="1">
      <c r="A9" s="66" t="s">
        <v>62</v>
      </c>
      <c r="B9" s="1">
        <v>1</v>
      </c>
      <c r="C9" s="67" t="s">
        <v>295</v>
      </c>
      <c r="D9" s="277" t="e">
        <f ca="1">VLOOKUP(C9,Assemblies!E:S,2,0)</f>
        <v>#N/A</v>
      </c>
      <c r="E9" s="278"/>
      <c r="F9" s="32"/>
      <c r="G9" s="32"/>
      <c r="H9" s="292"/>
      <c r="I9" s="293"/>
      <c r="J9" s="28"/>
      <c r="K9" s="28"/>
      <c r="L9" s="28"/>
      <c r="M9" s="28"/>
      <c r="N9" s="33"/>
      <c r="O9" s="46" t="e">
        <f t="shared" ca="1" si="0"/>
        <v>#VALUE!</v>
      </c>
      <c r="P9" s="87">
        <f>'125'!Q21</f>
        <v>811.69259443333317</v>
      </c>
      <c r="Q9" s="93">
        <f t="shared" si="1"/>
        <v>811.69259443333317</v>
      </c>
    </row>
    <row r="10" spans="1:18" s="21" customFormat="1" ht="12.75" customHeight="1">
      <c r="A10" s="66" t="s">
        <v>64</v>
      </c>
      <c r="B10" s="1">
        <v>1</v>
      </c>
      <c r="C10" s="67" t="s">
        <v>296</v>
      </c>
      <c r="D10" s="277" t="e">
        <f ca="1">VLOOKUP(C10,Assemblies!E:S,2,0)</f>
        <v>#N/A</v>
      </c>
      <c r="E10" s="278"/>
      <c r="F10" s="32"/>
      <c r="G10" s="32"/>
      <c r="H10" s="292"/>
      <c r="I10" s="293"/>
      <c r="J10" s="28"/>
      <c r="K10" s="28"/>
      <c r="L10" s="28"/>
      <c r="M10" s="28"/>
      <c r="N10" s="33"/>
      <c r="O10" s="46" t="e">
        <f t="shared" ca="1" si="0"/>
        <v>#VALUE!</v>
      </c>
      <c r="P10" s="87">
        <f>'126'!Q25</f>
        <v>1285.7262270666665</v>
      </c>
      <c r="Q10" s="93">
        <f t="shared" si="1"/>
        <v>1285.7262270666665</v>
      </c>
    </row>
    <row r="11" spans="1:18" s="21" customFormat="1" ht="12.75" customHeight="1">
      <c r="A11" s="66" t="s">
        <v>66</v>
      </c>
      <c r="B11" s="1">
        <v>1</v>
      </c>
      <c r="C11" s="67" t="s">
        <v>297</v>
      </c>
      <c r="D11" s="277" t="e">
        <f ca="1">VLOOKUP(C11,Assemblies!E:S,2,0)</f>
        <v>#N/A</v>
      </c>
      <c r="E11" s="278"/>
      <c r="F11" s="32"/>
      <c r="G11" s="32"/>
      <c r="H11" s="292"/>
      <c r="I11" s="293"/>
      <c r="J11" s="28"/>
      <c r="K11" s="28"/>
      <c r="L11" s="28"/>
      <c r="M11" s="28"/>
      <c r="N11" s="33"/>
      <c r="O11" s="46" t="e">
        <f ca="1">B11*$L$2</f>
        <v>#VALUE!</v>
      </c>
      <c r="P11" s="87">
        <f>'127'!Q25</f>
        <v>1315.5606782</v>
      </c>
      <c r="Q11" s="93">
        <f>B11*P11</f>
        <v>1315.5606782</v>
      </c>
    </row>
    <row r="12" spans="1:18" s="21" customFormat="1" ht="12.75" customHeight="1">
      <c r="A12" s="66" t="s">
        <v>68</v>
      </c>
      <c r="B12" s="1">
        <v>1</v>
      </c>
      <c r="C12" s="67" t="s">
        <v>298</v>
      </c>
      <c r="D12" s="277" t="e">
        <f ca="1">VLOOKUP(C12,Assemblies!E:S,2,0)</f>
        <v>#N/A</v>
      </c>
      <c r="E12" s="278"/>
      <c r="F12" s="32"/>
      <c r="G12" s="32"/>
      <c r="H12" s="292"/>
      <c r="I12" s="293"/>
      <c r="J12" s="28"/>
      <c r="K12" s="28"/>
      <c r="L12" s="28"/>
      <c r="M12" s="28"/>
      <c r="N12" s="33"/>
      <c r="O12" s="46" t="e">
        <f ca="1">B12*$L$2</f>
        <v>#VALUE!</v>
      </c>
      <c r="P12" s="87">
        <f>'128'!Q21</f>
        <v>795.79228523333325</v>
      </c>
      <c r="Q12" s="93">
        <f>B12*P12</f>
        <v>795.79228523333325</v>
      </c>
    </row>
    <row r="13" spans="1:18" s="21" customFormat="1" ht="12.75" customHeight="1">
      <c r="A13" s="66" t="s">
        <v>224</v>
      </c>
      <c r="B13" s="1">
        <v>14</v>
      </c>
      <c r="C13" s="67" t="s">
        <v>232</v>
      </c>
      <c r="D13" s="277" t="e">
        <f ca="1">VLOOKUP(C13,Assemblies!E:S,2,0)</f>
        <v>#N/A</v>
      </c>
      <c r="E13" s="278"/>
      <c r="F13" s="32"/>
      <c r="G13" s="32"/>
      <c r="H13" s="292"/>
      <c r="I13" s="293"/>
      <c r="J13" s="28"/>
      <c r="K13" s="28"/>
      <c r="L13" s="28"/>
      <c r="M13" s="28"/>
      <c r="N13" s="33"/>
      <c r="O13" s="46" t="e">
        <f t="shared" ref="O13" ca="1" si="2">B13*$L$2</f>
        <v>#VALUE!</v>
      </c>
      <c r="P13" s="87">
        <f>'117'!Q10</f>
        <v>26.688399999999998</v>
      </c>
      <c r="Q13" s="93">
        <f t="shared" ref="Q13" si="3">B13*P13</f>
        <v>373.63759999999996</v>
      </c>
    </row>
    <row r="14" spans="1:18" s="21" customFormat="1" ht="12.75" customHeight="1">
      <c r="A14" s="66" t="s">
        <v>235</v>
      </c>
      <c r="B14" s="1">
        <v>4</v>
      </c>
      <c r="C14" s="67" t="s">
        <v>227</v>
      </c>
      <c r="D14" s="277" t="e">
        <f ca="1">VLOOKUP(C14,Assemblies!E:S,2,0)</f>
        <v>#N/A</v>
      </c>
      <c r="E14" s="278"/>
      <c r="F14" s="32"/>
      <c r="G14" s="32"/>
      <c r="H14" s="292"/>
      <c r="I14" s="293"/>
      <c r="J14" s="28"/>
      <c r="K14" s="28"/>
      <c r="L14" s="28"/>
      <c r="M14" s="28"/>
      <c r="N14" s="33"/>
      <c r="O14" s="46" t="e">
        <f t="shared" ca="1" si="0"/>
        <v>#VALUE!</v>
      </c>
      <c r="P14" s="87">
        <f>'112'!Q10</f>
        <v>78.143200000000007</v>
      </c>
      <c r="Q14" s="93">
        <f t="shared" si="1"/>
        <v>312.57280000000003</v>
      </c>
    </row>
    <row r="15" spans="1:18" s="21" customFormat="1" ht="12.75" customHeight="1">
      <c r="A15" s="66" t="s">
        <v>237</v>
      </c>
      <c r="B15" s="1">
        <v>1</v>
      </c>
      <c r="C15" s="67" t="s">
        <v>299</v>
      </c>
      <c r="D15" s="277" t="e">
        <f ca="1">VLOOKUP(C15,Assemblies!E:S,2,0)</f>
        <v>#N/A</v>
      </c>
      <c r="E15" s="278"/>
      <c r="F15" s="32"/>
      <c r="G15" s="32"/>
      <c r="H15" s="292"/>
      <c r="I15" s="293"/>
      <c r="J15" s="28"/>
      <c r="K15" s="28"/>
      <c r="L15" s="28"/>
      <c r="M15" s="28"/>
      <c r="N15" s="33"/>
      <c r="O15" s="46" t="e">
        <f t="shared" ref="O15" ca="1" si="4">B15*$L$2</f>
        <v>#VALUE!</v>
      </c>
      <c r="P15" s="87">
        <f>'112'!Q11</f>
        <v>0</v>
      </c>
      <c r="Q15" s="93">
        <f t="shared" ref="Q15" si="5">B15*P15</f>
        <v>0</v>
      </c>
    </row>
    <row r="16" spans="1:18" s="21" customFormat="1" ht="12.75" customHeight="1">
      <c r="A16" s="25"/>
      <c r="B16" s="26"/>
      <c r="C16" s="26"/>
      <c r="D16" s="272"/>
      <c r="E16" s="273"/>
      <c r="F16" s="26"/>
      <c r="G16" s="26"/>
      <c r="H16" s="274"/>
      <c r="I16" s="275"/>
      <c r="J16" s="27"/>
      <c r="K16" s="27"/>
      <c r="L16" s="27"/>
      <c r="M16" s="28"/>
      <c r="N16" s="29"/>
      <c r="O16" s="29"/>
      <c r="P16" s="141"/>
      <c r="Q16" s="142"/>
      <c r="R16" s="20"/>
    </row>
    <row r="17" spans="1:17" s="2" customFormat="1" ht="12.75" customHeight="1">
      <c r="A17" s="127">
        <v>1</v>
      </c>
      <c r="B17" s="21">
        <v>2</v>
      </c>
      <c r="C17" s="108" t="s">
        <v>300</v>
      </c>
      <c r="D17" s="277" t="str">
        <f>VLOOKUP(C17,Machined!C:Q,2,0)</f>
        <v>Thin Wall Top Guard 3</v>
      </c>
      <c r="E17" s="278"/>
      <c r="F17" s="131" t="str">
        <f>VLOOKUP(C17,Machined!C:R,7,0)</f>
        <v>Thin Wall Polycarb</v>
      </c>
      <c r="G17" s="131" t="str">
        <f>VLOOKUP(C17,Machined!C:R,10,0)</f>
        <v>PRO PLASTICS</v>
      </c>
      <c r="H17" s="131" t="str">
        <f>VLOOKUP(C17,Machined!C:R,11,0)</f>
        <v>Quote XXXXXX; 2 weeks; $50 crate fee each, NO DRILLED HOLES</v>
      </c>
      <c r="I17" s="131"/>
      <c r="J17" s="42">
        <f>VLOOKUP(C17,Machined!C:R,12,0)</f>
        <v>45195</v>
      </c>
      <c r="K17" s="42">
        <f>VLOOKUP(C17,Machined!C:R,13,0)</f>
        <v>45195</v>
      </c>
      <c r="L17" s="42">
        <f>VLOOKUP(C17,Machined!C:R,14,0)</f>
        <v>45219</v>
      </c>
      <c r="M17" s="42">
        <f>VLOOKUP(C17,Machined!C:R,15,0)</f>
        <v>45219</v>
      </c>
      <c r="N17" s="43">
        <f>VLOOKUP(C17,Machined!C:R,16,0)</f>
        <v>55158</v>
      </c>
      <c r="O17" s="43" t="e">
        <f t="shared" ref="O17:O23" ca="1" si="6">B17*$L$2</f>
        <v>#VALUE!</v>
      </c>
      <c r="P17" s="47">
        <f>IFERROR(VLOOKUP(C17,Machined!C:F,3,0),"")</f>
        <v>154.9734</v>
      </c>
      <c r="Q17" s="48">
        <f t="shared" ref="Q17:Q23" si="7">IFERROR(B17*P17,"")</f>
        <v>309.9468</v>
      </c>
    </row>
    <row r="18" spans="1:17" s="2" customFormat="1" ht="12.75" customHeight="1">
      <c r="A18" s="127">
        <v>2</v>
      </c>
      <c r="B18" s="21">
        <v>1</v>
      </c>
      <c r="C18" s="108" t="s">
        <v>301</v>
      </c>
      <c r="D18" s="277" t="str">
        <f>VLOOKUP(C18,Machined!C:Q,2,0)</f>
        <v>Thin Wall Top Guard 4</v>
      </c>
      <c r="E18" s="278"/>
      <c r="F18" s="131" t="str">
        <f>VLOOKUP(C18,Machined!C:R,7,0)</f>
        <v>Thin Wall Polycarb</v>
      </c>
      <c r="G18" s="131" t="str">
        <f>VLOOKUP(C18,Machined!C:R,10,0)</f>
        <v>PRO PLASTICS</v>
      </c>
      <c r="H18" s="131" t="str">
        <f>VLOOKUP(C18,Machined!C:R,11,0)</f>
        <v>Quote XXXXXX; 2 weeks; $50 crate fee each, NO DRILLED HOLES</v>
      </c>
      <c r="I18" s="131"/>
      <c r="J18" s="42">
        <f>VLOOKUP(C18,Machined!C:R,12,0)</f>
        <v>45195</v>
      </c>
      <c r="K18" s="42">
        <f>VLOOKUP(C18,Machined!C:R,13,0)</f>
        <v>45195</v>
      </c>
      <c r="L18" s="42">
        <f>VLOOKUP(C18,Machined!C:R,14,0)</f>
        <v>45219</v>
      </c>
      <c r="M18" s="42">
        <f>VLOOKUP(C18,Machined!C:R,15,0)</f>
        <v>45219</v>
      </c>
      <c r="N18" s="43">
        <f>VLOOKUP(C18,Machined!C:R,16,0)</f>
        <v>55158</v>
      </c>
      <c r="O18" s="43" t="e">
        <f t="shared" ca="1" si="6"/>
        <v>#VALUE!</v>
      </c>
      <c r="P18" s="47">
        <f>IFERROR(VLOOKUP(C18,Machined!C:F,3,0),"")</f>
        <v>110.15440000000001</v>
      </c>
      <c r="Q18" s="48">
        <f t="shared" si="7"/>
        <v>110.15440000000001</v>
      </c>
    </row>
    <row r="19" spans="1:17" s="2" customFormat="1" ht="12.75" customHeight="1">
      <c r="A19" s="127">
        <v>3</v>
      </c>
      <c r="B19" s="21">
        <v>1</v>
      </c>
      <c r="C19" s="108" t="s">
        <v>302</v>
      </c>
      <c r="D19" s="277" t="str">
        <f>VLOOKUP(C19,Machined!C:Q,2,0)</f>
        <v>Thin Wall Top Guard 5</v>
      </c>
      <c r="E19" s="278"/>
      <c r="F19" s="131" t="str">
        <f>VLOOKUP(C19,Machined!C:R,7,0)</f>
        <v>Thin Wall Polycarb</v>
      </c>
      <c r="G19" s="131" t="str">
        <f>VLOOKUP(C19,Machined!C:R,10,0)</f>
        <v>PRO PLASTICS</v>
      </c>
      <c r="H19" s="131" t="str">
        <f>VLOOKUP(C19,Machined!C:R,11,0)</f>
        <v>Quote XXXXXX; 2 weeks; $50 crate fee each, NO DRILLED HOLES</v>
      </c>
      <c r="I19" s="131"/>
      <c r="J19" s="42">
        <f>VLOOKUP(C19,Machined!C:R,12,0)</f>
        <v>45195</v>
      </c>
      <c r="K19" s="42">
        <f>VLOOKUP(C19,Machined!C:R,13,0)</f>
        <v>45195</v>
      </c>
      <c r="L19" s="42">
        <f>VLOOKUP(C19,Machined!C:R,14,0)</f>
        <v>45219</v>
      </c>
      <c r="M19" s="42">
        <f>VLOOKUP(C19,Machined!C:R,15,0)</f>
        <v>45219</v>
      </c>
      <c r="N19" s="43">
        <f>VLOOKUP(C19,Machined!C:R,16,0)</f>
        <v>55158</v>
      </c>
      <c r="O19" s="43" t="e">
        <f t="shared" ca="1" si="6"/>
        <v>#VALUE!</v>
      </c>
      <c r="P19" s="47">
        <f>IFERROR(VLOOKUP(C19,Machined!C:F,3,0),"")</f>
        <v>210.28870000000001</v>
      </c>
      <c r="Q19" s="48">
        <f t="shared" si="7"/>
        <v>210.28870000000001</v>
      </c>
    </row>
    <row r="20" spans="1:17" s="2" customFormat="1" ht="12.75" customHeight="1">
      <c r="A20" s="127">
        <v>4</v>
      </c>
      <c r="B20" s="21">
        <v>1</v>
      </c>
      <c r="C20" s="108" t="s">
        <v>303</v>
      </c>
      <c r="D20" s="277" t="str">
        <f>VLOOKUP(C20,Machined!C:Q,2,0)</f>
        <v>Flying Knife Guard</v>
      </c>
      <c r="E20" s="278"/>
      <c r="F20" s="131" t="str">
        <f>VLOOKUP(C20,Machined!C:R,7,0)</f>
        <v>Polycarb</v>
      </c>
      <c r="G20" s="131" t="str">
        <f>VLOOKUP(C20,Machined!C:R,10,0)</f>
        <v>PRO PLASTICS</v>
      </c>
      <c r="H20" s="131" t="str">
        <f>VLOOKUP(C20,Machined!C:R,11,0)</f>
        <v>Quote 671549; 4 weeks; OLD P/N WAS 700.01</v>
      </c>
      <c r="I20" s="131"/>
      <c r="J20" s="42">
        <f>VLOOKUP(C20,Machined!C:R,12,0)</f>
        <v>45159</v>
      </c>
      <c r="K20" s="42">
        <f>VLOOKUP(C20,Machined!C:R,13,0)</f>
        <v>45189</v>
      </c>
      <c r="L20" s="42">
        <f>VLOOKUP(C20,Machined!C:R,14,0)</f>
        <v>45212</v>
      </c>
      <c r="M20" s="42">
        <f>VLOOKUP(C20,Machined!C:R,15,0)</f>
        <v>45228</v>
      </c>
      <c r="N20" s="43">
        <f>VLOOKUP(C20,Machined!C:R,16,0)</f>
        <v>55160</v>
      </c>
      <c r="O20" s="43" t="e">
        <f t="shared" ca="1" si="6"/>
        <v>#VALUE!</v>
      </c>
      <c r="P20" s="47">
        <f>IFERROR(VLOOKUP(C20,Machined!C:F,3,0),"")</f>
        <v>118.57</v>
      </c>
      <c r="Q20" s="48">
        <f t="shared" si="7"/>
        <v>118.57</v>
      </c>
    </row>
    <row r="21" spans="1:17" s="2" customFormat="1" ht="12.75" customHeight="1">
      <c r="A21" s="127">
        <v>5</v>
      </c>
      <c r="B21" s="21">
        <v>2</v>
      </c>
      <c r="C21" s="108" t="s">
        <v>304</v>
      </c>
      <c r="D21" s="277" t="str">
        <f>VLOOKUP(C21,Machined!C:Q,2,0)</f>
        <v>Thin Wall Top Guard 6</v>
      </c>
      <c r="E21" s="278"/>
      <c r="F21" s="131" t="str">
        <f>VLOOKUP(C21,Machined!C:R,7,0)</f>
        <v>Thin Wall Polycarb</v>
      </c>
      <c r="G21" s="131" t="str">
        <f>VLOOKUP(C21,Machined!C:R,10,0)</f>
        <v>PRO PLASTICS</v>
      </c>
      <c r="H21" s="131" t="str">
        <f>VLOOKUP(C21,Machined!C:R,11,0)</f>
        <v>Quote XXXXXX; 2 weeks; $50 crate fee each, NO DRILLED HOLES</v>
      </c>
      <c r="I21" s="131"/>
      <c r="J21" s="42">
        <f>VLOOKUP(C21,Machined!C:R,12,0)</f>
        <v>45195</v>
      </c>
      <c r="K21" s="42">
        <f>VLOOKUP(C21,Machined!C:R,13,0)</f>
        <v>45195</v>
      </c>
      <c r="L21" s="42">
        <f>VLOOKUP(C21,Machined!C:R,14,0)</f>
        <v>45219</v>
      </c>
      <c r="M21" s="42">
        <f>VLOOKUP(C21,Machined!C:R,15,0)</f>
        <v>45219</v>
      </c>
      <c r="N21" s="43">
        <f>VLOOKUP(C21,Machined!C:R,16,0)</f>
        <v>55158</v>
      </c>
      <c r="O21" s="43" t="e">
        <f t="shared" ca="1" si="6"/>
        <v>#VALUE!</v>
      </c>
      <c r="P21" s="47">
        <f>IFERROR(VLOOKUP(C21,Machined!C:F,3,0),"")</f>
        <v>56.988399999999999</v>
      </c>
      <c r="Q21" s="48">
        <f t="shared" si="7"/>
        <v>113.9768</v>
      </c>
    </row>
    <row r="22" spans="1:17" s="2" customFormat="1" ht="12.75" customHeight="1">
      <c r="A22" s="127">
        <v>6</v>
      </c>
      <c r="B22" s="21">
        <v>1</v>
      </c>
      <c r="C22" s="108" t="s">
        <v>305</v>
      </c>
      <c r="D22" s="277" t="str">
        <f>VLOOKUP(C22,Machined!C:Q,2,0)</f>
        <v>Thin Wall Top Guard 7</v>
      </c>
      <c r="E22" s="278"/>
      <c r="F22" s="131" t="str">
        <f>VLOOKUP(C22,Machined!C:R,7,0)</f>
        <v>Thin Wall Polycarb</v>
      </c>
      <c r="G22" s="131" t="str">
        <f>VLOOKUP(C22,Machined!C:R,10,0)</f>
        <v>PRO PLASTICS</v>
      </c>
      <c r="H22" s="131" t="str">
        <f>VLOOKUP(C22,Machined!C:R,11,0)</f>
        <v>Quote XXXXXX; 2 weeks; $50 crate fee each, NO DRILLED HOLES</v>
      </c>
      <c r="I22" s="131"/>
      <c r="J22" s="42">
        <f>VLOOKUP(C22,Machined!C:R,12,0)</f>
        <v>45195</v>
      </c>
      <c r="K22" s="42">
        <f>VLOOKUP(C22,Machined!C:R,13,0)</f>
        <v>45195</v>
      </c>
      <c r="L22" s="42">
        <f>VLOOKUP(C22,Machined!C:R,14,0)</f>
        <v>45219</v>
      </c>
      <c r="M22" s="42">
        <f>VLOOKUP(C22,Machined!C:R,15,0)</f>
        <v>45219</v>
      </c>
      <c r="N22" s="43">
        <f>VLOOKUP(C22,Machined!C:R,16,0)</f>
        <v>55158</v>
      </c>
      <c r="O22" s="43" t="e">
        <f t="shared" ca="1" si="6"/>
        <v>#VALUE!</v>
      </c>
      <c r="P22" s="47">
        <f>IFERROR(VLOOKUP(C22,Machined!C:F,3,0),"")</f>
        <v>44.324300000000001</v>
      </c>
      <c r="Q22" s="48">
        <f t="shared" si="7"/>
        <v>44.324300000000001</v>
      </c>
    </row>
    <row r="23" spans="1:17" s="2" customFormat="1" ht="12.75" customHeight="1">
      <c r="A23" s="127">
        <v>7</v>
      </c>
      <c r="B23" s="21">
        <v>1</v>
      </c>
      <c r="C23" s="108" t="s">
        <v>306</v>
      </c>
      <c r="D23" s="277" t="str">
        <f>VLOOKUP(C23,Machined!C:Q,2,0)</f>
        <v>End Clear Panel Guard</v>
      </c>
      <c r="E23" s="278"/>
      <c r="F23" s="131" t="str">
        <f>VLOOKUP(C23,Machined!C:R,7,0)</f>
        <v>Polycarb</v>
      </c>
      <c r="G23" s="131" t="str">
        <f>VLOOKUP(C23,Machined!C:R,10,0)</f>
        <v>PRO PLASTICS</v>
      </c>
      <c r="H23" s="131" t="str">
        <f>VLOOKUP(C23,Machined!C:R,11,0)</f>
        <v>Quote 665542, 4 weeks 10/24</v>
      </c>
      <c r="I23" s="131"/>
      <c r="J23" s="42">
        <f>VLOOKUP(C23,Machined!C:R,12,0)</f>
        <v>45159</v>
      </c>
      <c r="K23" s="42">
        <f>VLOOKUP(C23,Machined!C:R,13,0)</f>
        <v>45188</v>
      </c>
      <c r="L23" s="42">
        <f>VLOOKUP(C23,Machined!C:R,14,0)</f>
        <v>45212</v>
      </c>
      <c r="M23" s="42">
        <f>VLOOKUP(C23,Machined!C:R,15,0)</f>
        <v>45216</v>
      </c>
      <c r="N23" s="43">
        <f>VLOOKUP(C23,Machined!C:R,16,0)</f>
        <v>55156</v>
      </c>
      <c r="O23" s="43" t="e">
        <f t="shared" ca="1" si="6"/>
        <v>#VALUE!</v>
      </c>
      <c r="P23" s="47">
        <f>IFERROR(VLOOKUP(C23,Machined!C:F,3,0),"")</f>
        <v>204</v>
      </c>
      <c r="Q23" s="48">
        <f t="shared" si="7"/>
        <v>204</v>
      </c>
    </row>
    <row r="24" spans="1:17" s="2" customFormat="1" ht="12.75" customHeight="1">
      <c r="A24" s="143"/>
      <c r="B24" s="26"/>
      <c r="C24" s="26"/>
      <c r="D24" s="272"/>
      <c r="E24" s="273"/>
      <c r="F24" s="26"/>
      <c r="G24" s="26"/>
      <c r="H24" s="274"/>
      <c r="I24" s="275"/>
      <c r="J24" s="27"/>
      <c r="K24" s="27"/>
      <c r="L24" s="27"/>
      <c r="M24" s="28"/>
      <c r="N24" s="29"/>
      <c r="O24" s="29"/>
      <c r="P24" s="141"/>
      <c r="Q24" s="142"/>
    </row>
    <row r="25" spans="1:17" s="2" customFormat="1" ht="12.75" customHeight="1">
      <c r="A25" s="4">
        <v>301</v>
      </c>
      <c r="B25" s="2">
        <v>193</v>
      </c>
      <c r="C25" s="114" t="s">
        <v>244</v>
      </c>
      <c r="D25" s="268" t="str">
        <f>VLOOKUP(C25,Purchased!A:B,2,0)</f>
        <v>BRX GOTO QUICK CONNECTOR N10 0°</v>
      </c>
      <c r="E25" s="269"/>
      <c r="F25" s="112" t="str">
        <f>VLOOKUP(C25,Purchased!A:Q,9,0)</f>
        <v>BRX</v>
      </c>
      <c r="G25" s="112" t="str">
        <f>VLOOKUP(C25,Purchased!A:Q,10,0)</f>
        <v>AAP</v>
      </c>
      <c r="H25" s="112" t="str">
        <f>VLOOKUP(C25,Purchased!A:Q,12,0)</f>
        <v>17 in stock</v>
      </c>
      <c r="I25" s="113"/>
      <c r="J25" s="44" t="str">
        <f>VLOOKUP(C25,Purchased!A:Q,13,0)</f>
        <v>N/A</v>
      </c>
      <c r="K25" s="44">
        <f>VLOOKUP(C25,Purchased!A:Q,14,0)</f>
        <v>45089</v>
      </c>
      <c r="L25" s="44">
        <f>VLOOKUP(C25,Purchased!A:Q,15,0)</f>
        <v>45124</v>
      </c>
      <c r="M25" s="44">
        <f>VLOOKUP(C25,Purchased!A:Q,16,0)</f>
        <v>45124</v>
      </c>
      <c r="N25" s="45" t="str">
        <f>VLOOKUP(C25,Purchased!A:Q,17,0)</f>
        <v>500x54927, 500x55060</v>
      </c>
      <c r="O25" s="45" t="e">
        <f t="shared" ref="O25" ca="1" si="8">B25*$L$2</f>
        <v>#VALUE!</v>
      </c>
      <c r="P25" s="49">
        <f>IFERROR(VLOOKUP(C25,Purchased!A:E,3,FALSE),"")</f>
        <v>5.2857000000000003</v>
      </c>
      <c r="Q25" s="50">
        <f t="shared" ref="Q25" si="9">IFERROR(B25*P25,"")</f>
        <v>1020.1401000000001</v>
      </c>
    </row>
    <row r="26" spans="1:17" s="2" customFormat="1" ht="12.75" customHeight="1">
      <c r="A26" s="4">
        <v>302</v>
      </c>
      <c r="B26" s="2">
        <v>139</v>
      </c>
      <c r="C26" s="114" t="s">
        <v>286</v>
      </c>
      <c r="D26" s="268" t="str">
        <f>VLOOKUP(C26,Purchased!A:B,2,0)</f>
        <v>BRX GOTO T-NUT 10 M5</v>
      </c>
      <c r="E26" s="269"/>
      <c r="F26" s="112" t="str">
        <f>VLOOKUP(C26,Purchased!A:Q,9,0)</f>
        <v>BRX</v>
      </c>
      <c r="G26" s="112" t="str">
        <f>VLOOKUP(C26,Purchased!A:Q,10,0)</f>
        <v>AAP</v>
      </c>
      <c r="H26" s="112">
        <f>VLOOKUP(C26,Purchased!A:Q,12,0)</f>
        <v>0</v>
      </c>
      <c r="I26" s="113"/>
      <c r="J26" s="44">
        <f>VLOOKUP(C26,Purchased!A:Q,13,0)</f>
        <v>45104</v>
      </c>
      <c r="K26" s="44">
        <f>VLOOKUP(C26,Purchased!A:Q,14,0)</f>
        <v>45105</v>
      </c>
      <c r="L26" s="44">
        <f>VLOOKUP(C26,Purchased!A:Q,15,0)</f>
        <v>45133</v>
      </c>
      <c r="M26" s="44">
        <f>VLOOKUP(C26,Purchased!A:Q,16,0)</f>
        <v>45133</v>
      </c>
      <c r="N26" s="45" t="str">
        <f>VLOOKUP(C26,Purchased!A:Q,17,0)</f>
        <v>50x54968, 200x55147, 150x55169</v>
      </c>
      <c r="O26" s="45" t="e">
        <f t="shared" ref="O26:O27" ca="1" si="10">B26*$L$2</f>
        <v>#VALUE!</v>
      </c>
      <c r="P26" s="49">
        <f>IFERROR(VLOOKUP(C26,Purchased!A:E,3,FALSE),"")</f>
        <v>0.64290000000000003</v>
      </c>
      <c r="Q26" s="50">
        <f t="shared" ref="Q26:Q27" si="11">IFERROR(B26*P26,"")</f>
        <v>89.363100000000003</v>
      </c>
    </row>
    <row r="27" spans="1:17" s="2" customFormat="1" ht="12.75" customHeight="1">
      <c r="A27" s="4">
        <v>303</v>
      </c>
      <c r="B27" s="2">
        <v>169</v>
      </c>
      <c r="C27" s="114" t="s">
        <v>307</v>
      </c>
      <c r="D27" s="268" t="str">
        <f>VLOOKUP(C27,Purchased!A:B,2,0)</f>
        <v>Hot-Dipped Galvanized Steel with Neoprene Sealing Washer for Number 12 Screw Size, 0.24" ID, 0.5" OD, 100pk</v>
      </c>
      <c r="E27" s="269"/>
      <c r="F27" s="112" t="str">
        <f>VLOOKUP(C27,Purchased!A:Q,9,0)</f>
        <v>MCM</v>
      </c>
      <c r="G27" s="112" t="str">
        <f>VLOOKUP(C27,Purchased!A:Q,10,0)</f>
        <v>MCM</v>
      </c>
      <c r="H27" s="112" t="str">
        <f>VLOOKUP(C27,Purchased!A:Q,12,0)</f>
        <v>Pack of 100</v>
      </c>
      <c r="I27" s="113"/>
      <c r="J27" s="44" t="str">
        <f>VLOOKUP(C27,Purchased!A:Q,13,0)</f>
        <v>N/A</v>
      </c>
      <c r="K27" s="44">
        <f>VLOOKUP(C27,Purchased!A:Q,14,0)</f>
        <v>45162</v>
      </c>
      <c r="L27" s="44">
        <f>VLOOKUP(C27,Purchased!A:Q,15,0)</f>
        <v>45184</v>
      </c>
      <c r="M27" s="44">
        <f>VLOOKUP(C27,Purchased!A:Q,16,0)</f>
        <v>45163</v>
      </c>
      <c r="N27" s="45" t="str">
        <f>VLOOKUP(C27,Purchased!A:Q,17,0)</f>
        <v>4x55089, 1x55152, 1x55167</v>
      </c>
      <c r="O27" s="45" t="e">
        <f t="shared" ca="1" si="10"/>
        <v>#VALUE!</v>
      </c>
      <c r="P27" s="49">
        <f>IFERROR(VLOOKUP(C27,Purchased!A:E,3,FALSE),"")</f>
        <v>6.56</v>
      </c>
      <c r="Q27" s="50">
        <f t="shared" si="11"/>
        <v>1108.6399999999999</v>
      </c>
    </row>
    <row r="28" spans="1:17" s="2" customFormat="1" ht="12.75" customHeight="1">
      <c r="A28" s="4">
        <v>304</v>
      </c>
      <c r="B28" s="2">
        <v>6</v>
      </c>
      <c r="C28" s="114" t="s">
        <v>308</v>
      </c>
      <c r="D28" s="268" t="str">
        <f>VLOOKUP(C28,Purchased!A:B,2,0)</f>
        <v>Aluminum Unthreaded Spacer, 13 mm OD, 13 mm Long, for M5 Screw Size</v>
      </c>
      <c r="E28" s="269"/>
      <c r="F28" s="112" t="str">
        <f>VLOOKUP(C28,Purchased!A:Q,9,0)</f>
        <v>MCM</v>
      </c>
      <c r="G28" s="112" t="str">
        <f>VLOOKUP(C28,Purchased!A:Q,10,0)</f>
        <v>MCM</v>
      </c>
      <c r="H28" s="112" t="str">
        <f>VLOOKUP(C28,Purchased!A:Q,12,0)</f>
        <v xml:space="preserve"> </v>
      </c>
      <c r="I28" s="113"/>
      <c r="J28" s="44" t="str">
        <f>VLOOKUP(C28,Purchased!A:Q,13,0)</f>
        <v>N/A</v>
      </c>
      <c r="K28" s="44">
        <f>VLOOKUP(C28,Purchased!A:Q,14,0)</f>
        <v>45196</v>
      </c>
      <c r="L28" s="44">
        <f>VLOOKUP(C28,Purchased!A:Q,15,0)</f>
        <v>45197</v>
      </c>
      <c r="M28" s="44">
        <f>VLOOKUP(C28,Purchased!A:Q,16,0)</f>
        <v>45197</v>
      </c>
      <c r="N28" s="45">
        <f>VLOOKUP(C28,Purchased!A:Q,17,0)</f>
        <v>55167</v>
      </c>
      <c r="O28" s="45" t="e">
        <f t="shared" ref="O28" ca="1" si="12">B28*$L$2</f>
        <v>#VALUE!</v>
      </c>
      <c r="P28" s="49">
        <f>IFERROR(VLOOKUP(C28,Purchased!A:E,3,FALSE),"")</f>
        <v>1.1599999999999999</v>
      </c>
      <c r="Q28" s="50">
        <f t="shared" ref="Q28" si="13">IFERROR(B28*P28,"")</f>
        <v>6.9599999999999991</v>
      </c>
    </row>
    <row r="29" spans="1:17" s="2" customFormat="1" ht="12.75" customHeight="1">
      <c r="A29" s="4">
        <v>305</v>
      </c>
      <c r="B29" s="2">
        <v>24</v>
      </c>
      <c r="C29" s="114" t="s">
        <v>309</v>
      </c>
      <c r="D29" s="268" t="str">
        <f>VLOOKUP(C29,Purchased!A:B,2,0)</f>
        <v>BRX GOTO VARIOFIX BLOCK S,N10,40/45,GREY</v>
      </c>
      <c r="E29" s="269"/>
      <c r="F29" s="112" t="str">
        <f>VLOOKUP(C29,Purchased!A:Q,9,0)</f>
        <v>BRX</v>
      </c>
      <c r="G29" s="112" t="str">
        <f>VLOOKUP(C29,Purchased!A:Q,10,0)</f>
        <v>AAP</v>
      </c>
      <c r="H29" s="112" t="str">
        <f>VLOOKUP(C29,Purchased!A:Q,12,0)</f>
        <v xml:space="preserve">  </v>
      </c>
      <c r="I29" s="113"/>
      <c r="J29" s="44">
        <f>VLOOKUP(C29,Purchased!A:Q,13,0)</f>
        <v>45104</v>
      </c>
      <c r="K29" s="44">
        <f>VLOOKUP(C29,Purchased!A:Q,14,0)</f>
        <v>45105</v>
      </c>
      <c r="L29" s="44">
        <f>VLOOKUP(C29,Purchased!A:Q,15,0)</f>
        <v>45133</v>
      </c>
      <c r="M29" s="44">
        <f>VLOOKUP(C29,Purchased!A:Q,16,0)</f>
        <v>45133</v>
      </c>
      <c r="N29" s="45" t="str">
        <f>VLOOKUP(C29,Purchased!A:Q,17,0)</f>
        <v>54968, 55147</v>
      </c>
      <c r="O29" s="45" t="e">
        <f t="shared" ref="O29" ca="1" si="14">B29*$L$2</f>
        <v>#VALUE!</v>
      </c>
      <c r="P29" s="49">
        <f>IFERROR(VLOOKUP(C29,Purchased!A:E,3,FALSE),"")</f>
        <v>3.9</v>
      </c>
      <c r="Q29" s="50">
        <f t="shared" ref="Q29" si="15">IFERROR(B29*P29,"")</f>
        <v>93.6</v>
      </c>
    </row>
    <row r="30" spans="1:17" s="2" customFormat="1" ht="12.75" customHeight="1">
      <c r="A30" s="241">
        <v>306</v>
      </c>
      <c r="B30" s="240">
        <v>2</v>
      </c>
      <c r="C30" s="114" t="s">
        <v>245</v>
      </c>
      <c r="D30" s="268" t="str">
        <f>VLOOKUP(C30,Purchased!A:B,2,0)</f>
        <v>BRX 3842548758 Cover Cap 90x90 Grey</v>
      </c>
      <c r="E30" s="269"/>
      <c r="F30" s="112" t="str">
        <f>VLOOKUP(C30,Purchased!A:Q,9,0)</f>
        <v>BRX</v>
      </c>
      <c r="G30" s="112" t="str">
        <f>VLOOKUP(C30,Purchased!A:Q,10,0)</f>
        <v>AAP</v>
      </c>
      <c r="H30" s="112" t="str">
        <f>VLOOKUP(C30,Purchased!A:Q,12,0)</f>
        <v xml:space="preserve"> </v>
      </c>
      <c r="I30" s="113"/>
      <c r="J30" s="44" t="str">
        <f>VLOOKUP(C30,Purchased!A:Q,13,0)</f>
        <v>N/A</v>
      </c>
      <c r="K30" s="44">
        <f>VLOOKUP(C30,Purchased!A:Q,14,0)</f>
        <v>45162</v>
      </c>
      <c r="L30" s="44">
        <f>VLOOKUP(C30,Purchased!A:Q,15,0)</f>
        <v>45184</v>
      </c>
      <c r="M30" s="44">
        <f>VLOOKUP(C30,Purchased!A:Q,16,0)</f>
        <v>45197</v>
      </c>
      <c r="N30" s="45">
        <f>VLOOKUP(C30,Purchased!A:Q,17,0)</f>
        <v>55073</v>
      </c>
      <c r="O30" s="45" t="e">
        <f t="shared" ref="O30" ca="1" si="16">B30*$L$2</f>
        <v>#VALUE!</v>
      </c>
      <c r="P30" s="49">
        <f>IFERROR(VLOOKUP(C30,Purchased!A:E,3,FALSE),"")</f>
        <v>3.2429000000000001</v>
      </c>
      <c r="Q30" s="50">
        <f t="shared" ref="Q30" si="17">IFERROR(B30*P30,"")</f>
        <v>6.4858000000000002</v>
      </c>
    </row>
    <row r="31" spans="1:17" s="2" customFormat="1" ht="12.75" customHeight="1">
      <c r="A31" s="241">
        <v>307</v>
      </c>
      <c r="B31" s="240">
        <v>2</v>
      </c>
      <c r="C31" s="114" t="s">
        <v>310</v>
      </c>
      <c r="D31" s="268" t="str">
        <f>VLOOKUP(C31,Purchased!A:B,2,0)</f>
        <v>BRX 45X45 GREY END CAP</v>
      </c>
      <c r="E31" s="269"/>
      <c r="F31" s="112" t="str">
        <f>VLOOKUP(C31,Purchased!A:Q,9,0)</f>
        <v>BRX</v>
      </c>
      <c r="G31" s="112" t="str">
        <f>VLOOKUP(C31,Purchased!A:Q,10,0)</f>
        <v>AAP</v>
      </c>
      <c r="H31" s="112" t="str">
        <f>VLOOKUP(C31,Purchased!A:Q,12,0)</f>
        <v xml:space="preserve"> </v>
      </c>
      <c r="I31" s="113"/>
      <c r="J31" s="44" t="str">
        <f>VLOOKUP(C31,Purchased!A:Q,13,0)</f>
        <v>N/A</v>
      </c>
      <c r="K31" s="44">
        <f>VLOOKUP(C31,Purchased!A:Q,14,0)</f>
        <v>45196</v>
      </c>
      <c r="L31" s="44">
        <f>VLOOKUP(C31,Purchased!A:Q,15,0)</f>
        <v>45203</v>
      </c>
      <c r="M31" s="44">
        <f>VLOOKUP(C31,Purchased!A:Q,16,0)</f>
        <v>0</v>
      </c>
      <c r="N31" s="45">
        <f>VLOOKUP(C31,Purchased!A:Q,17,0)</f>
        <v>55169</v>
      </c>
      <c r="O31" s="45" t="e">
        <f t="shared" ref="O31" ca="1" si="18">B31*$L$2</f>
        <v>#VALUE!</v>
      </c>
      <c r="P31" s="49">
        <f>IFERROR(VLOOKUP(C31,Purchased!A:E,3,FALSE),"")</f>
        <v>1.0428999999999999</v>
      </c>
      <c r="Q31" s="50">
        <f t="shared" ref="Q31" si="19">IFERROR(B31*P31,"")</f>
        <v>2.0857999999999999</v>
      </c>
    </row>
    <row r="32" spans="1:17" s="2" customFormat="1" ht="12.75" customHeight="1">
      <c r="A32" s="25"/>
      <c r="B32" s="26"/>
      <c r="C32" s="26"/>
      <c r="D32" s="272"/>
      <c r="E32" s="273"/>
      <c r="F32" s="26"/>
      <c r="G32" s="26"/>
      <c r="H32" s="274"/>
      <c r="I32" s="275"/>
      <c r="J32" s="27"/>
      <c r="K32" s="27"/>
      <c r="L32" s="27"/>
      <c r="M32" s="28"/>
      <c r="N32" s="29"/>
      <c r="O32" s="29" t="e">
        <f t="shared" ref="O32:O33" ca="1" si="20">B32*$L$2</f>
        <v>#VALUE!</v>
      </c>
      <c r="P32" s="141"/>
      <c r="Q32" s="142"/>
    </row>
    <row r="33" spans="1:17" s="2" customFormat="1" ht="12.75" customHeight="1">
      <c r="A33" s="4">
        <v>501</v>
      </c>
      <c r="B33" s="2">
        <v>139</v>
      </c>
      <c r="C33" s="110" t="s">
        <v>311</v>
      </c>
      <c r="D33" s="268"/>
      <c r="E33" s="276"/>
      <c r="F33" s="112" t="str">
        <f>VLOOKUP(C33,Bolts!A:L,5,0)</f>
        <v xml:space="preserve">  </v>
      </c>
      <c r="G33" s="112" t="str">
        <f>VLOOKUP(C33,Bolts!A:L,6,0)</f>
        <v>Monroe Fasteners</v>
      </c>
      <c r="H33" s="112" t="str">
        <f>VLOOKUP(C33,Bolts!A:L,7,0)</f>
        <v xml:space="preserve">  </v>
      </c>
      <c r="I33" s="112"/>
      <c r="J33" s="44" t="str">
        <f>VLOOKUP(C33,Bolts!A:L,8,0)</f>
        <v xml:space="preserve"> </v>
      </c>
      <c r="K33" s="44" t="str">
        <f>VLOOKUP(C33,Bolts!A:L,9,0)</f>
        <v xml:space="preserve"> </v>
      </c>
      <c r="L33" s="44" t="str">
        <f>VLOOKUP(C33,Bolts!A:L,10,0)</f>
        <v xml:space="preserve"> </v>
      </c>
      <c r="M33" s="44" t="str">
        <f>VLOOKUP(C33,Bolts!A:L,11,0)</f>
        <v xml:space="preserve"> </v>
      </c>
      <c r="N33" s="45" t="str">
        <f>VLOOKUP(C33,Bolts!A:L,12,0)</f>
        <v xml:space="preserve"> </v>
      </c>
      <c r="O33" s="45" t="e">
        <f t="shared" ca="1" si="20"/>
        <v>#VALUE!</v>
      </c>
      <c r="P33" s="49" t="str">
        <f>IFERROR(VLOOKUP(C33,Bolts!A:B,2,FALSE),"")</f>
        <v xml:space="preserve"> </v>
      </c>
      <c r="Q33" s="50" t="str">
        <f t="shared" ref="Q33" si="21">IFERROR(B33*P33,"")</f>
        <v/>
      </c>
    </row>
    <row r="34" spans="1:17" s="2" customFormat="1" ht="12.75" customHeight="1">
      <c r="A34" s="4">
        <v>502</v>
      </c>
      <c r="B34" s="2">
        <v>6</v>
      </c>
      <c r="C34" s="110" t="s">
        <v>312</v>
      </c>
      <c r="D34" s="164"/>
      <c r="E34" s="165"/>
      <c r="F34" s="112" t="str">
        <f>VLOOKUP(C34,Bolts!A:L,5,0)</f>
        <v xml:space="preserve">  </v>
      </c>
      <c r="G34" s="112" t="str">
        <f>VLOOKUP(C34,Bolts!A:L,6,0)</f>
        <v>Monroe Fasteners</v>
      </c>
      <c r="H34" s="112" t="str">
        <f>VLOOKUP(C34,Bolts!A:L,7,0)</f>
        <v xml:space="preserve">  </v>
      </c>
      <c r="I34" s="112"/>
      <c r="J34" s="44" t="str">
        <f>VLOOKUP(C34,Bolts!A:L,8,0)</f>
        <v xml:space="preserve"> </v>
      </c>
      <c r="K34" s="44" t="str">
        <f>VLOOKUP(C34,Bolts!A:L,9,0)</f>
        <v xml:space="preserve"> </v>
      </c>
      <c r="L34" s="44" t="str">
        <f>VLOOKUP(C34,Bolts!A:L,10,0)</f>
        <v xml:space="preserve"> </v>
      </c>
      <c r="M34" s="44" t="str">
        <f>VLOOKUP(C34,Bolts!A:L,11,0)</f>
        <v xml:space="preserve"> </v>
      </c>
      <c r="N34" s="45" t="str">
        <f>VLOOKUP(C34,Bolts!A:L,12,0)</f>
        <v xml:space="preserve"> </v>
      </c>
      <c r="O34" s="45" t="e">
        <f t="shared" ref="O34" ca="1" si="22">B34*$L$2</f>
        <v>#VALUE!</v>
      </c>
      <c r="P34" s="49" t="str">
        <f>IFERROR(VLOOKUP(C34,Bolts!A:B,2,FALSE),"")</f>
        <v xml:space="preserve"> </v>
      </c>
      <c r="Q34" s="50" t="str">
        <f t="shared" ref="Q34" si="23">IFERROR(B34*P34,"")</f>
        <v/>
      </c>
    </row>
    <row r="35" spans="1:17" s="2" customFormat="1" ht="12.75" customHeight="1">
      <c r="A35" s="25"/>
      <c r="B35" s="26"/>
      <c r="C35" s="26"/>
      <c r="D35" s="272"/>
      <c r="E35" s="273"/>
      <c r="F35" s="26"/>
      <c r="G35" s="26"/>
      <c r="H35" s="274"/>
      <c r="I35" s="275"/>
      <c r="J35" s="27"/>
      <c r="K35" s="27"/>
      <c r="L35" s="27"/>
      <c r="M35" s="28"/>
      <c r="N35" s="29"/>
      <c r="O35" s="29"/>
      <c r="P35" s="141"/>
      <c r="Q35" s="142"/>
    </row>
    <row r="36" spans="1:17" s="2" customFormat="1" ht="12.75" customHeight="1">
      <c r="A36" s="4">
        <v>701</v>
      </c>
      <c r="B36" s="2">
        <v>1</v>
      </c>
      <c r="C36" s="111" t="s">
        <v>313</v>
      </c>
      <c r="D36" s="268" t="str">
        <f>VLOOKUP(C36,Extrusion!B:C,2,0)</f>
        <v>Assy .120</v>
      </c>
      <c r="E36" s="269"/>
      <c r="F36" s="112" t="str">
        <f>VLOOKUP(C36,Extrusion!B:M,6,0)</f>
        <v>BOSCH</v>
      </c>
      <c r="G36" s="112" t="str">
        <f>VLOOKUP(C36,Extrusion!B:M,7,0)</f>
        <v>NULINE</v>
      </c>
      <c r="H36" s="112" t="str">
        <f>VLOOKUP(C36,Extrusion!B:M,8,0)</f>
        <v xml:space="preserve"> </v>
      </c>
      <c r="I36" s="113"/>
      <c r="J36" s="44" t="str">
        <f>VLOOKUP(C36,Extrusion!B:M,9,0)</f>
        <v>N/A</v>
      </c>
      <c r="K36" s="44">
        <f>VLOOKUP(C36,Extrusion!B:M,10,0)</f>
        <v>44894</v>
      </c>
      <c r="L36" s="44">
        <f>VLOOKUP(C36,Extrusion!B:M,11,0)</f>
        <v>44970</v>
      </c>
      <c r="M36" s="44">
        <f>VLOOKUP(C36,Extrusion!B:M,12,0)</f>
        <v>44970</v>
      </c>
      <c r="N36" s="45">
        <f>VLOOKUP(C36,Extrusion!B:N,13,0)</f>
        <v>54598</v>
      </c>
      <c r="O36" s="45" t="e">
        <f t="shared" ref="O36:O45" ca="1" si="24">B36*$L$2</f>
        <v>#VALUE!</v>
      </c>
      <c r="P36" s="49">
        <f>IFERROR(VLOOKUP(C36,Extrusion!B:F,5,0),"")</f>
        <v>53.222493166666659</v>
      </c>
      <c r="Q36" s="50">
        <f t="shared" ref="Q36:Q45" si="25">IFERROR(B36*P36,"")</f>
        <v>53.222493166666659</v>
      </c>
    </row>
    <row r="37" spans="1:17" s="2" customFormat="1" ht="12" customHeight="1">
      <c r="A37" s="4">
        <f t="shared" ref="A37:A50" si="26">A36+1</f>
        <v>702</v>
      </c>
      <c r="B37" s="2">
        <v>1</v>
      </c>
      <c r="C37" s="111" t="s">
        <v>248</v>
      </c>
      <c r="D37" s="268" t="str">
        <f>VLOOKUP(C37,Extrusion!B:C,2,0)</f>
        <v>Assy .110</v>
      </c>
      <c r="E37" s="269"/>
      <c r="F37" s="112" t="str">
        <f>VLOOKUP(C37,Extrusion!B:M,6,0)</f>
        <v>BOSCH</v>
      </c>
      <c r="G37" s="112" t="str">
        <f>VLOOKUP(C37,Extrusion!B:M,7,0)</f>
        <v>NULINE</v>
      </c>
      <c r="H37" s="112" t="str">
        <f>VLOOKUP(C37,Extrusion!B:M,8,0)</f>
        <v xml:space="preserve"> </v>
      </c>
      <c r="I37" s="113"/>
      <c r="J37" s="44" t="str">
        <f>VLOOKUP(C37,Extrusion!B:M,9,0)</f>
        <v>N/A</v>
      </c>
      <c r="K37" s="44">
        <f>VLOOKUP(C37,Extrusion!B:M,10,0)</f>
        <v>44894</v>
      </c>
      <c r="L37" s="44">
        <f>VLOOKUP(C37,Extrusion!B:M,11,0)</f>
        <v>44970</v>
      </c>
      <c r="M37" s="44">
        <f>VLOOKUP(C37,Extrusion!B:M,12,0)</f>
        <v>44970</v>
      </c>
      <c r="N37" s="45">
        <f>VLOOKUP(C37,Extrusion!B:N,13,0)</f>
        <v>54598</v>
      </c>
      <c r="O37" s="45" t="e">
        <f t="shared" ca="1" si="24"/>
        <v>#VALUE!</v>
      </c>
      <c r="P37" s="49">
        <f>IFERROR(VLOOKUP(C37,Extrusion!B:F,5,0),"")</f>
        <v>43.966889199999997</v>
      </c>
      <c r="Q37" s="50">
        <f t="shared" si="25"/>
        <v>43.966889199999997</v>
      </c>
    </row>
    <row r="38" spans="1:17" s="2" customFormat="1" ht="12" customHeight="1">
      <c r="A38" s="4">
        <f t="shared" si="26"/>
        <v>703</v>
      </c>
      <c r="B38" s="2">
        <v>2</v>
      </c>
      <c r="C38" s="111" t="s">
        <v>314</v>
      </c>
      <c r="D38" s="268" t="str">
        <f>VLOOKUP(C38,Extrusion!B:C,2,0)</f>
        <v>Assy .120</v>
      </c>
      <c r="E38" s="269"/>
      <c r="F38" s="112" t="str">
        <f>VLOOKUP(C38,Extrusion!B:M,6,0)</f>
        <v>BOSCH</v>
      </c>
      <c r="G38" s="112" t="str">
        <f>VLOOKUP(C38,Extrusion!B:M,7,0)</f>
        <v>NULINE</v>
      </c>
      <c r="H38" s="112" t="str">
        <f>VLOOKUP(C38,Extrusion!B:M,8,0)</f>
        <v xml:space="preserve"> </v>
      </c>
      <c r="I38" s="113"/>
      <c r="J38" s="44" t="str">
        <f>VLOOKUP(C38,Extrusion!B:M,9,0)</f>
        <v>N/A</v>
      </c>
      <c r="K38" s="44">
        <f>VLOOKUP(C38,Extrusion!B:M,10,0)</f>
        <v>44894</v>
      </c>
      <c r="L38" s="44">
        <f>VLOOKUP(C38,Extrusion!B:M,11,0)</f>
        <v>44970</v>
      </c>
      <c r="M38" s="44">
        <f>VLOOKUP(C38,Extrusion!B:M,12,0)</f>
        <v>44970</v>
      </c>
      <c r="N38" s="45">
        <f>VLOOKUP(C38,Extrusion!B:N,13,0)</f>
        <v>54598</v>
      </c>
      <c r="O38" s="45" t="e">
        <f t="shared" ca="1" si="24"/>
        <v>#VALUE!</v>
      </c>
      <c r="P38" s="49">
        <f>IFERROR(VLOOKUP(C38,Extrusion!B:F,5,0),"")</f>
        <v>63.524782216333328</v>
      </c>
      <c r="Q38" s="50">
        <f t="shared" si="25"/>
        <v>127.04956443266666</v>
      </c>
    </row>
    <row r="39" spans="1:17" s="2" customFormat="1" ht="12" customHeight="1">
      <c r="A39" s="4">
        <f t="shared" si="26"/>
        <v>704</v>
      </c>
      <c r="B39" s="2">
        <v>1</v>
      </c>
      <c r="C39" s="111" t="s">
        <v>315</v>
      </c>
      <c r="D39" s="268" t="str">
        <f>VLOOKUP(C39,Extrusion!B:C,2,0)</f>
        <v>Assy .120</v>
      </c>
      <c r="E39" s="269"/>
      <c r="F39" s="112" t="str">
        <f>VLOOKUP(C39,Extrusion!B:M,6,0)</f>
        <v>BOSCH</v>
      </c>
      <c r="G39" s="112" t="str">
        <f>VLOOKUP(C39,Extrusion!B:M,7,0)</f>
        <v>NULINE</v>
      </c>
      <c r="H39" s="112" t="str">
        <f>VLOOKUP(C39,Extrusion!B:M,8,0)</f>
        <v xml:space="preserve"> </v>
      </c>
      <c r="I39" s="113"/>
      <c r="J39" s="44" t="str">
        <f>VLOOKUP(C39,Extrusion!B:M,9,0)</f>
        <v>N/A</v>
      </c>
      <c r="K39" s="44">
        <f>VLOOKUP(C39,Extrusion!B:M,10,0)</f>
        <v>44894</v>
      </c>
      <c r="L39" s="44">
        <f>VLOOKUP(C39,Extrusion!B:M,11,0)</f>
        <v>44970</v>
      </c>
      <c r="M39" s="44">
        <f>VLOOKUP(C39,Extrusion!B:M,12,0)</f>
        <v>44970</v>
      </c>
      <c r="N39" s="45">
        <f>VLOOKUP(C39,Extrusion!B:N,13,0)</f>
        <v>54598</v>
      </c>
      <c r="O39" s="45" t="e">
        <f t="shared" ca="1" si="24"/>
        <v>#VALUE!</v>
      </c>
      <c r="P39" s="49">
        <f>IFERROR(VLOOKUP(C39,Extrusion!B:F,5,0),"")</f>
        <v>71.593788499999988</v>
      </c>
      <c r="Q39" s="50">
        <f t="shared" si="25"/>
        <v>71.593788499999988</v>
      </c>
    </row>
    <row r="40" spans="1:17" s="2" customFormat="1" ht="12" customHeight="1">
      <c r="A40" s="4">
        <f t="shared" si="26"/>
        <v>705</v>
      </c>
      <c r="B40" s="2">
        <v>2</v>
      </c>
      <c r="C40" s="111" t="s">
        <v>316</v>
      </c>
      <c r="D40" s="268" t="str">
        <f>VLOOKUP(C40,Extrusion!B:C,2,0)</f>
        <v>Assy .120</v>
      </c>
      <c r="E40" s="269"/>
      <c r="F40" s="112" t="str">
        <f>VLOOKUP(C40,Extrusion!B:M,6,0)</f>
        <v>BOSCH</v>
      </c>
      <c r="G40" s="112" t="str">
        <f>VLOOKUP(C40,Extrusion!B:M,7,0)</f>
        <v>NULINE</v>
      </c>
      <c r="H40" s="112" t="str">
        <f>VLOOKUP(C40,Extrusion!B:M,8,0)</f>
        <v xml:space="preserve"> </v>
      </c>
      <c r="I40" s="113"/>
      <c r="J40" s="44" t="str">
        <f>VLOOKUP(C40,Extrusion!B:M,9,0)</f>
        <v>N/A</v>
      </c>
      <c r="K40" s="44">
        <f>VLOOKUP(C40,Extrusion!B:M,10,0)</f>
        <v>44894</v>
      </c>
      <c r="L40" s="44">
        <f>VLOOKUP(C40,Extrusion!B:M,11,0)</f>
        <v>44970</v>
      </c>
      <c r="M40" s="44">
        <f>VLOOKUP(C40,Extrusion!B:M,12,0)</f>
        <v>44970</v>
      </c>
      <c r="N40" s="45">
        <f>VLOOKUP(C40,Extrusion!B:N,13,0)</f>
        <v>54598</v>
      </c>
      <c r="O40" s="45" t="e">
        <f t="shared" ca="1" si="24"/>
        <v>#VALUE!</v>
      </c>
      <c r="P40" s="49">
        <f>IFERROR(VLOOKUP(C40,Extrusion!B:F,5,0),"")</f>
        <v>74.473465300000001</v>
      </c>
      <c r="Q40" s="50">
        <f t="shared" si="25"/>
        <v>148.9469306</v>
      </c>
    </row>
    <row r="41" spans="1:17" s="2" customFormat="1" ht="12" customHeight="1">
      <c r="A41" s="4">
        <f t="shared" si="26"/>
        <v>706</v>
      </c>
      <c r="B41" s="2">
        <v>12</v>
      </c>
      <c r="C41" s="111" t="s">
        <v>317</v>
      </c>
      <c r="D41" s="268" t="str">
        <f>VLOOKUP(C41,Extrusion!B:C,2,0)</f>
        <v>Assy .120</v>
      </c>
      <c r="E41" s="269"/>
      <c r="F41" s="112" t="str">
        <f>VLOOKUP(C41,Extrusion!B:M,6,0)</f>
        <v>BOSCH</v>
      </c>
      <c r="G41" s="112" t="str">
        <f>VLOOKUP(C41,Extrusion!B:M,7,0)</f>
        <v>NULINE</v>
      </c>
      <c r="H41" s="112" t="str">
        <f>VLOOKUP(C41,Extrusion!B:M,8,0)</f>
        <v xml:space="preserve"> </v>
      </c>
      <c r="I41" s="113"/>
      <c r="J41" s="44" t="str">
        <f>VLOOKUP(C41,Extrusion!B:M,9,0)</f>
        <v>N/A</v>
      </c>
      <c r="K41" s="44">
        <f>VLOOKUP(C41,Extrusion!B:M,10,0)</f>
        <v>44894</v>
      </c>
      <c r="L41" s="44">
        <f>VLOOKUP(C41,Extrusion!B:M,11,0)</f>
        <v>44970</v>
      </c>
      <c r="M41" s="44">
        <f>VLOOKUP(C41,Extrusion!B:M,12,0)</f>
        <v>44970</v>
      </c>
      <c r="N41" s="45">
        <f>VLOOKUP(C41,Extrusion!B:N,13,0)</f>
        <v>54598</v>
      </c>
      <c r="O41" s="45" t="e">
        <f t="shared" ca="1" si="24"/>
        <v>#VALUE!</v>
      </c>
      <c r="P41" s="49">
        <f>IFERROR(VLOOKUP(C41,Extrusion!B:F,5,0),"")</f>
        <v>120.68300326666667</v>
      </c>
      <c r="Q41" s="50">
        <f t="shared" si="25"/>
        <v>1448.1960392000001</v>
      </c>
    </row>
    <row r="42" spans="1:17" s="2" customFormat="1" ht="12" customHeight="1">
      <c r="A42" s="4">
        <f t="shared" si="26"/>
        <v>707</v>
      </c>
      <c r="B42" s="2">
        <v>7</v>
      </c>
      <c r="C42" s="111" t="s">
        <v>246</v>
      </c>
      <c r="D42" s="268" t="str">
        <f>VLOOKUP(C42,Extrusion!B:C,2,0)</f>
        <v>Assy .110</v>
      </c>
      <c r="E42" s="269"/>
      <c r="F42" s="112" t="str">
        <f>VLOOKUP(C42,Extrusion!B:M,6,0)</f>
        <v>BOSCH</v>
      </c>
      <c r="G42" s="112" t="str">
        <f>VLOOKUP(C42,Extrusion!B:M,7,0)</f>
        <v>NULINE</v>
      </c>
      <c r="H42" s="112" t="str">
        <f>VLOOKUP(C42,Extrusion!B:M,8,0)</f>
        <v xml:space="preserve"> </v>
      </c>
      <c r="I42" s="113"/>
      <c r="J42" s="44" t="str">
        <f>VLOOKUP(C42,Extrusion!B:M,9,0)</f>
        <v>N/A</v>
      </c>
      <c r="K42" s="44">
        <f>VLOOKUP(C42,Extrusion!B:M,10,0)</f>
        <v>44894</v>
      </c>
      <c r="L42" s="44">
        <f>VLOOKUP(C42,Extrusion!B:M,11,0)</f>
        <v>44970</v>
      </c>
      <c r="M42" s="44">
        <f>VLOOKUP(C42,Extrusion!B:M,12,0)</f>
        <v>44970</v>
      </c>
      <c r="N42" s="45">
        <f>VLOOKUP(C42,Extrusion!B:N,13,0)</f>
        <v>54598</v>
      </c>
      <c r="O42" s="45" t="e">
        <f t="shared" ca="1" si="24"/>
        <v>#VALUE!</v>
      </c>
      <c r="P42" s="49">
        <f>IFERROR(VLOOKUP(C42,Extrusion!B:F,5,0),"")</f>
        <v>151.835352</v>
      </c>
      <c r="Q42" s="50">
        <f t="shared" si="25"/>
        <v>1062.8474639999999</v>
      </c>
    </row>
    <row r="43" spans="1:17" s="2" customFormat="1" ht="12" customHeight="1">
      <c r="A43" s="4">
        <f t="shared" si="26"/>
        <v>708</v>
      </c>
      <c r="B43" s="2">
        <v>2</v>
      </c>
      <c r="C43" s="111" t="s">
        <v>252</v>
      </c>
      <c r="D43" s="268" t="str">
        <f>VLOOKUP(C43,Extrusion!B:C,2,0)</f>
        <v>Assy .110</v>
      </c>
      <c r="E43" s="269"/>
      <c r="F43" s="112" t="str">
        <f>VLOOKUP(C43,Extrusion!B:M,6,0)</f>
        <v>BOSCH</v>
      </c>
      <c r="G43" s="112" t="str">
        <f>VLOOKUP(C43,Extrusion!B:M,7,0)</f>
        <v>NULINE</v>
      </c>
      <c r="H43" s="112" t="str">
        <f>VLOOKUP(C43,Extrusion!B:M,8,0)</f>
        <v xml:space="preserve"> </v>
      </c>
      <c r="I43" s="113"/>
      <c r="J43" s="44" t="str">
        <f>VLOOKUP(C43,Extrusion!B:M,9,0)</f>
        <v>N/A</v>
      </c>
      <c r="K43" s="44">
        <f>VLOOKUP(C43,Extrusion!B:M,10,0)</f>
        <v>44894</v>
      </c>
      <c r="L43" s="44">
        <f>VLOOKUP(C43,Extrusion!B:M,11,0)</f>
        <v>44970</v>
      </c>
      <c r="M43" s="44">
        <f>VLOOKUP(C43,Extrusion!B:M,12,0)</f>
        <v>44970</v>
      </c>
      <c r="N43" s="45">
        <f>VLOOKUP(C43,Extrusion!B:N,13,0)</f>
        <v>54598</v>
      </c>
      <c r="O43" s="45" t="e">
        <f t="shared" ca="1" si="24"/>
        <v>#VALUE!</v>
      </c>
      <c r="P43" s="49">
        <f>IFERROR(VLOOKUP(C43,Extrusion!B:F,5,0),"")</f>
        <v>281.19991892133334</v>
      </c>
      <c r="Q43" s="50">
        <f t="shared" si="25"/>
        <v>562.39983784266667</v>
      </c>
    </row>
    <row r="44" spans="1:17" s="2" customFormat="1" ht="12" customHeight="1">
      <c r="A44" s="4">
        <f t="shared" si="26"/>
        <v>709</v>
      </c>
      <c r="B44" s="2">
        <v>2</v>
      </c>
      <c r="C44" s="111" t="s">
        <v>251</v>
      </c>
      <c r="D44" s="268" t="str">
        <f>VLOOKUP(C44,Extrusion!B:C,2,0)</f>
        <v>Assy .110</v>
      </c>
      <c r="E44" s="269"/>
      <c r="F44" s="112" t="str">
        <f>VLOOKUP(C44,Extrusion!B:M,6,0)</f>
        <v>BOSCH</v>
      </c>
      <c r="G44" s="112" t="str">
        <f>VLOOKUP(C44,Extrusion!B:M,7,0)</f>
        <v>NULINE</v>
      </c>
      <c r="H44" s="112" t="str">
        <f>VLOOKUP(C44,Extrusion!B:M,8,0)</f>
        <v xml:space="preserve"> </v>
      </c>
      <c r="I44" s="113"/>
      <c r="J44" s="44" t="str">
        <f>VLOOKUP(C44,Extrusion!B:M,9,0)</f>
        <v>N/A</v>
      </c>
      <c r="K44" s="44">
        <f>VLOOKUP(C44,Extrusion!B:M,10,0)</f>
        <v>44894</v>
      </c>
      <c r="L44" s="44">
        <f>VLOOKUP(C44,Extrusion!B:M,11,0)</f>
        <v>44970</v>
      </c>
      <c r="M44" s="44">
        <f>VLOOKUP(C44,Extrusion!B:M,12,0)</f>
        <v>44970</v>
      </c>
      <c r="N44" s="45">
        <f>VLOOKUP(C44,Extrusion!B:N,13,0)</f>
        <v>54598</v>
      </c>
      <c r="O44" s="45" t="e">
        <f t="shared" ca="1" si="24"/>
        <v>#VALUE!</v>
      </c>
      <c r="P44" s="49">
        <f>IFERROR(VLOOKUP(C44,Extrusion!B:F,5,0),"")</f>
        <v>333.90711040000002</v>
      </c>
      <c r="Q44" s="50">
        <f t="shared" si="25"/>
        <v>667.81422080000004</v>
      </c>
    </row>
    <row r="45" spans="1:17" s="2" customFormat="1" ht="12" customHeight="1">
      <c r="A45" s="4">
        <f t="shared" si="26"/>
        <v>710</v>
      </c>
      <c r="B45" s="2">
        <v>1</v>
      </c>
      <c r="C45" s="111" t="s">
        <v>318</v>
      </c>
      <c r="D45" s="268" t="str">
        <f>VLOOKUP(C45,Extrusion!B:C,2,0)</f>
        <v>Assy .120</v>
      </c>
      <c r="E45" s="269"/>
      <c r="F45" s="112" t="str">
        <f>VLOOKUP(C45,Extrusion!B:M,6,0)</f>
        <v>BOSCH</v>
      </c>
      <c r="G45" s="112" t="str">
        <f>VLOOKUP(C45,Extrusion!B:M,7,0)</f>
        <v>NULINE</v>
      </c>
      <c r="H45" s="112" t="str">
        <f>VLOOKUP(C45,Extrusion!B:M,8,0)</f>
        <v xml:space="preserve"> </v>
      </c>
      <c r="I45" s="113"/>
      <c r="J45" s="44" t="str">
        <f>VLOOKUP(C45,Extrusion!B:M,9,0)</f>
        <v>N/A</v>
      </c>
      <c r="K45" s="44">
        <f>VLOOKUP(C45,Extrusion!B:M,10,0)</f>
        <v>44894</v>
      </c>
      <c r="L45" s="44">
        <f>VLOOKUP(C45,Extrusion!B:M,11,0)</f>
        <v>44970</v>
      </c>
      <c r="M45" s="44">
        <f>VLOOKUP(C45,Extrusion!B:M,12,0)</f>
        <v>44970</v>
      </c>
      <c r="N45" s="45">
        <f>VLOOKUP(C45,Extrusion!B:N,13,0)</f>
        <v>54598</v>
      </c>
      <c r="O45" s="45" t="e">
        <f t="shared" ca="1" si="24"/>
        <v>#VALUE!</v>
      </c>
      <c r="P45" s="49">
        <f>IFERROR(VLOOKUP(C45,Extrusion!B:F,5,0),"")</f>
        <v>52.311652627000001</v>
      </c>
      <c r="Q45" s="50">
        <f t="shared" si="25"/>
        <v>52.311652627000001</v>
      </c>
    </row>
    <row r="46" spans="1:17" s="2" customFormat="1" ht="12" customHeight="1">
      <c r="A46" s="4">
        <f t="shared" si="26"/>
        <v>711</v>
      </c>
      <c r="B46" s="2">
        <v>1</v>
      </c>
      <c r="C46" s="111" t="s">
        <v>319</v>
      </c>
      <c r="D46" s="268" t="str">
        <f>VLOOKUP(C46,Extrusion!B:C,2,0)</f>
        <v>Assy .120</v>
      </c>
      <c r="E46" s="269"/>
      <c r="F46" s="112" t="str">
        <f>VLOOKUP(C46,Extrusion!B:M,6,0)</f>
        <v>BOSCH</v>
      </c>
      <c r="G46" s="112" t="str">
        <f>VLOOKUP(C46,Extrusion!B:M,7,0)</f>
        <v>NULINE</v>
      </c>
      <c r="H46" s="112" t="str">
        <f>VLOOKUP(C46,Extrusion!B:M,8,0)</f>
        <v xml:space="preserve"> </v>
      </c>
      <c r="I46" s="113"/>
      <c r="J46" s="44" t="str">
        <f>VLOOKUP(C46,Extrusion!B:M,9,0)</f>
        <v>N/A</v>
      </c>
      <c r="K46" s="44">
        <f>VLOOKUP(C46,Extrusion!B:M,10,0)</f>
        <v>44894</v>
      </c>
      <c r="L46" s="44">
        <f>VLOOKUP(C46,Extrusion!B:M,11,0)</f>
        <v>44970</v>
      </c>
      <c r="M46" s="44">
        <f>VLOOKUP(C46,Extrusion!B:M,12,0)</f>
        <v>44970</v>
      </c>
      <c r="N46" s="45">
        <f>VLOOKUP(C46,Extrusion!B:N,13,0)</f>
        <v>54598</v>
      </c>
      <c r="O46" s="45" t="e">
        <f t="shared" ref="O46:O48" ca="1" si="27">B46*$L$2</f>
        <v>#VALUE!</v>
      </c>
      <c r="P46" s="49">
        <f>IFERROR(VLOOKUP(C46,Extrusion!B:F,5,0),"")</f>
        <v>94.091263499999997</v>
      </c>
      <c r="Q46" s="50">
        <f t="shared" ref="Q46:Q48" si="28">IFERROR(B46*P46,"")</f>
        <v>94.091263499999997</v>
      </c>
    </row>
    <row r="47" spans="1:17" s="2" customFormat="1" ht="12" customHeight="1">
      <c r="A47" s="4">
        <f t="shared" si="26"/>
        <v>712</v>
      </c>
      <c r="B47" s="2">
        <v>1</v>
      </c>
      <c r="C47" s="111" t="s">
        <v>320</v>
      </c>
      <c r="D47" s="268" t="str">
        <f>VLOOKUP(C47,Extrusion!B:C,2,0)</f>
        <v>Assy .120</v>
      </c>
      <c r="E47" s="269"/>
      <c r="F47" s="112" t="str">
        <f>VLOOKUP(C47,Extrusion!B:M,6,0)</f>
        <v>BOSCH</v>
      </c>
      <c r="G47" s="112" t="str">
        <f>VLOOKUP(C47,Extrusion!B:M,7,0)</f>
        <v>NULINE</v>
      </c>
      <c r="H47" s="112" t="str">
        <f>VLOOKUP(C47,Extrusion!B:M,8,0)</f>
        <v xml:space="preserve"> </v>
      </c>
      <c r="I47" s="113"/>
      <c r="J47" s="44" t="str">
        <f>VLOOKUP(C47,Extrusion!B:M,9,0)</f>
        <v>N/A</v>
      </c>
      <c r="K47" s="44">
        <f>VLOOKUP(C47,Extrusion!B:M,10,0)</f>
        <v>44894</v>
      </c>
      <c r="L47" s="44">
        <f>VLOOKUP(C47,Extrusion!B:M,11,0)</f>
        <v>44970</v>
      </c>
      <c r="M47" s="44">
        <f>VLOOKUP(C47,Extrusion!B:M,12,0)</f>
        <v>44970</v>
      </c>
      <c r="N47" s="45">
        <f>VLOOKUP(C47,Extrusion!B:N,13,0)</f>
        <v>54598</v>
      </c>
      <c r="O47" s="45" t="e">
        <f t="shared" ref="O47" ca="1" si="29">B47*$L$2</f>
        <v>#VALUE!</v>
      </c>
      <c r="P47" s="49">
        <f>IFERROR(VLOOKUP(C47,Extrusion!B:F,4,0),"")</f>
        <v>1</v>
      </c>
      <c r="Q47" s="50">
        <f t="shared" ref="Q47" si="30">IFERROR(B47*P47,"")</f>
        <v>1</v>
      </c>
    </row>
    <row r="48" spans="1:17" s="2" customFormat="1" ht="12" customHeight="1">
      <c r="A48" s="4">
        <f t="shared" si="26"/>
        <v>713</v>
      </c>
      <c r="B48" s="2">
        <v>1</v>
      </c>
      <c r="C48" s="111" t="s">
        <v>321</v>
      </c>
      <c r="D48" s="268" t="str">
        <f>VLOOKUP(C48,Extrusion!B:C,2,0)</f>
        <v>Assy 120</v>
      </c>
      <c r="E48" s="269"/>
      <c r="F48" s="112" t="str">
        <f>VLOOKUP(C48,Extrusion!B:M,6,0)</f>
        <v>BOSCH</v>
      </c>
      <c r="G48" s="112" t="str">
        <f>VLOOKUP(C48,Extrusion!B:M,7,0)</f>
        <v>NULINE</v>
      </c>
      <c r="H48" s="112">
        <f>VLOOKUP(C48,Extrusion!B:M,8,0)</f>
        <v>0</v>
      </c>
      <c r="I48" s="113"/>
      <c r="J48" s="44" t="str">
        <f>VLOOKUP(C48,Extrusion!B:M,9,0)</f>
        <v>N/A</v>
      </c>
      <c r="K48" s="44">
        <f>VLOOKUP(C48,Extrusion!B:M,10,0)</f>
        <v>44894</v>
      </c>
      <c r="L48" s="44">
        <f>VLOOKUP(C48,Extrusion!B:M,11,0)</f>
        <v>44970</v>
      </c>
      <c r="M48" s="44">
        <f>VLOOKUP(C48,Extrusion!B:M,12,0)</f>
        <v>44970</v>
      </c>
      <c r="N48" s="45">
        <f>VLOOKUP(C48,Extrusion!B:N,13,0)</f>
        <v>54598</v>
      </c>
      <c r="O48" s="45" t="e">
        <f t="shared" ca="1" si="27"/>
        <v>#VALUE!</v>
      </c>
      <c r="P48" s="49">
        <f>IFERROR(VLOOKUP(C48,Extrusion!B:F,4,0),"")</f>
        <v>5</v>
      </c>
      <c r="Q48" s="50">
        <f t="shared" si="28"/>
        <v>5</v>
      </c>
    </row>
    <row r="49" spans="1:17" s="2" customFormat="1" ht="12" customHeight="1">
      <c r="A49" s="4">
        <f t="shared" si="26"/>
        <v>714</v>
      </c>
      <c r="B49" s="2">
        <v>2</v>
      </c>
      <c r="C49" s="111" t="s">
        <v>322</v>
      </c>
      <c r="D49" s="268" t="str">
        <f>VLOOKUP(C49,Extrusion!B:C,2,0)</f>
        <v>Assy .120</v>
      </c>
      <c r="E49" s="269"/>
      <c r="F49" s="112" t="str">
        <f>VLOOKUP(C49,Extrusion!B:M,6,0)</f>
        <v>BOSCH</v>
      </c>
      <c r="G49" s="112" t="str">
        <f>VLOOKUP(C49,Extrusion!B:M,7,0)</f>
        <v>NULINE</v>
      </c>
      <c r="H49" s="112" t="str">
        <f>VLOOKUP(C49,Extrusion!B:M,8,0)</f>
        <v xml:space="preserve"> </v>
      </c>
      <c r="I49" s="113"/>
      <c r="J49" s="44" t="str">
        <f>VLOOKUP(C49,Extrusion!B:M,9,0)</f>
        <v>N/A</v>
      </c>
      <c r="K49" s="44">
        <f>VLOOKUP(C49,Extrusion!B:M,10,0)</f>
        <v>44894</v>
      </c>
      <c r="L49" s="44">
        <f>VLOOKUP(C49,Extrusion!B:M,11,0)</f>
        <v>44970</v>
      </c>
      <c r="M49" s="44">
        <f>VLOOKUP(C49,Extrusion!B:M,12,0)</f>
        <v>44970</v>
      </c>
      <c r="N49" s="45">
        <f>VLOOKUP(C49,Extrusion!B:N,13,0)</f>
        <v>54598</v>
      </c>
      <c r="O49" s="45" t="e">
        <f t="shared" ref="O49" ca="1" si="31">B49*$L$2</f>
        <v>#VALUE!</v>
      </c>
      <c r="P49" s="49">
        <f>IFERROR(VLOOKUP(C49,Extrusion!B:F,4,0),"")</f>
        <v>2</v>
      </c>
      <c r="Q49" s="50">
        <f t="shared" ref="Q49" si="32">IFERROR(B49*P49,"")</f>
        <v>4</v>
      </c>
    </row>
    <row r="50" spans="1:17" s="2" customFormat="1" ht="12" customHeight="1" thickBot="1">
      <c r="A50" s="241">
        <f t="shared" si="26"/>
        <v>715</v>
      </c>
      <c r="B50" s="240">
        <v>2</v>
      </c>
      <c r="C50" s="111" t="s">
        <v>323</v>
      </c>
      <c r="D50" s="268" t="str">
        <f>VLOOKUP(C50,Extrusion!B:C,2,0)</f>
        <v>Assy .120</v>
      </c>
      <c r="E50" s="269"/>
      <c r="F50" s="112" t="str">
        <f>VLOOKUP(C50,Extrusion!B:M,6,0)</f>
        <v>BOSCH</v>
      </c>
      <c r="G50" s="112" t="str">
        <f>VLOOKUP(C50,Extrusion!B:M,7,0)</f>
        <v>NULINE</v>
      </c>
      <c r="H50" s="112" t="str">
        <f>VLOOKUP(C50,Extrusion!B:M,8,0)</f>
        <v xml:space="preserve"> </v>
      </c>
      <c r="I50" s="113"/>
      <c r="J50" s="44" t="str">
        <f>VLOOKUP(C50,Extrusion!B:M,9,0)</f>
        <v>N/A</v>
      </c>
      <c r="K50" s="44">
        <f>VLOOKUP(C50,Extrusion!B:M,10,0)</f>
        <v>44894</v>
      </c>
      <c r="L50" s="44">
        <f>VLOOKUP(C50,Extrusion!B:M,11,0)</f>
        <v>44970</v>
      </c>
      <c r="M50" s="44">
        <f>VLOOKUP(C50,Extrusion!B:M,12,0)</f>
        <v>44970</v>
      </c>
      <c r="N50" s="45">
        <f>VLOOKUP(C50,Extrusion!B:N,13,0)</f>
        <v>54598</v>
      </c>
      <c r="O50" s="45" t="e">
        <f t="shared" ref="O50" ca="1" si="33">B50*$L$2</f>
        <v>#VALUE!</v>
      </c>
      <c r="P50" s="49">
        <f>IFERROR(VLOOKUP(C50,Extrusion!B:F,4,0),"")</f>
        <v>0</v>
      </c>
      <c r="Q50" s="50">
        <f t="shared" ref="Q50" si="34">IFERROR(B50*P50,"")</f>
        <v>0</v>
      </c>
    </row>
    <row r="51" spans="1:17" s="2" customFormat="1" ht="12.75" customHeight="1" thickBot="1">
      <c r="A51" s="34"/>
      <c r="B51" s="35"/>
      <c r="C51" s="35"/>
      <c r="D51" s="256"/>
      <c r="E51" s="257"/>
      <c r="F51" s="35"/>
      <c r="G51" s="35"/>
      <c r="H51" s="294"/>
      <c r="I51" s="295"/>
      <c r="J51" s="36"/>
      <c r="K51" s="36"/>
      <c r="L51" s="36"/>
      <c r="M51" s="37"/>
      <c r="N51" s="38"/>
      <c r="O51" s="38"/>
      <c r="P51" s="89" t="s">
        <v>43</v>
      </c>
      <c r="Q51" s="94">
        <f>SUM(Q5:Q48)</f>
        <v>27430.216448354702</v>
      </c>
    </row>
    <row r="52" spans="1:17" s="2" customFormat="1" ht="12" customHeight="1">
      <c r="D52" s="22"/>
      <c r="E52" s="22"/>
      <c r="J52" s="8"/>
      <c r="K52" s="8"/>
      <c r="L52" s="8"/>
      <c r="M52" s="8"/>
      <c r="N52" s="5"/>
      <c r="O52" s="5"/>
      <c r="P52" s="88"/>
      <c r="Q52" s="95"/>
    </row>
    <row r="53" spans="1:17" s="2" customFormat="1" ht="12" customHeight="1">
      <c r="B53" s="22"/>
      <c r="C53" s="22"/>
      <c r="H53" s="5"/>
      <c r="I53" s="5"/>
      <c r="J53" s="5"/>
      <c r="K53" s="5"/>
      <c r="L53" s="5"/>
      <c r="M53" s="5"/>
      <c r="N53" s="88"/>
      <c r="O53" s="95"/>
    </row>
    <row r="54" spans="1:17" s="2" customFormat="1" ht="12" customHeight="1">
      <c r="D54" s="22"/>
      <c r="E54" s="22"/>
      <c r="J54" s="5"/>
      <c r="K54" s="5"/>
      <c r="L54" s="5"/>
      <c r="M54" s="5"/>
      <c r="N54" s="5"/>
      <c r="O54" s="5"/>
      <c r="P54" s="88"/>
      <c r="Q54" s="95"/>
    </row>
    <row r="55" spans="1:17" s="2" customFormat="1" ht="12" customHeight="1">
      <c r="D55" s="22"/>
      <c r="E55" s="22"/>
      <c r="J55" s="5"/>
      <c r="K55" s="5"/>
      <c r="L55" s="5"/>
      <c r="M55" s="5"/>
      <c r="N55" s="5"/>
      <c r="O55" s="5"/>
      <c r="P55" s="88"/>
      <c r="Q55" s="95"/>
    </row>
    <row r="56" spans="1:17" s="2" customFormat="1" ht="12" customHeight="1">
      <c r="D56" s="22"/>
      <c r="E56" s="22"/>
      <c r="J56" s="5"/>
      <c r="K56" s="5"/>
      <c r="L56" s="5"/>
      <c r="M56" s="5"/>
      <c r="N56" s="5"/>
      <c r="O56" s="5"/>
      <c r="P56" s="88"/>
      <c r="Q56" s="95"/>
    </row>
    <row r="57" spans="1:17" s="2" customFormat="1" ht="12" customHeight="1">
      <c r="D57" s="22"/>
      <c r="E57" s="22"/>
      <c r="J57" s="5"/>
      <c r="K57" s="5"/>
      <c r="L57" s="5"/>
      <c r="M57" s="5"/>
      <c r="N57" s="5"/>
      <c r="O57" s="5"/>
      <c r="P57" s="88"/>
      <c r="Q57" s="95"/>
    </row>
    <row r="58" spans="1:17" s="2" customFormat="1" ht="12" customHeight="1">
      <c r="D58" s="22"/>
      <c r="E58" s="22"/>
      <c r="J58" s="5"/>
      <c r="K58" s="5"/>
      <c r="L58" s="5"/>
      <c r="M58" s="5"/>
      <c r="N58" s="5"/>
      <c r="O58" s="5"/>
      <c r="P58" s="88"/>
      <c r="Q58" s="95"/>
    </row>
    <row r="59" spans="1:17" s="2" customFormat="1" ht="12" customHeight="1">
      <c r="D59" s="22"/>
      <c r="E59" s="22"/>
      <c r="J59" s="5"/>
      <c r="K59" s="5"/>
      <c r="L59" s="5"/>
      <c r="M59" s="5"/>
      <c r="N59" s="5"/>
      <c r="O59" s="5"/>
      <c r="P59" s="88"/>
      <c r="Q59" s="95"/>
    </row>
    <row r="60" spans="1:17" s="2" customFormat="1" ht="12" customHeight="1">
      <c r="D60" s="22"/>
      <c r="E60" s="22"/>
      <c r="J60" s="5"/>
      <c r="K60" s="5"/>
      <c r="L60" s="5"/>
      <c r="M60" s="5"/>
      <c r="N60" s="5"/>
      <c r="O60" s="5"/>
      <c r="P60" s="88"/>
      <c r="Q60" s="95"/>
    </row>
    <row r="61" spans="1:17" s="2" customFormat="1" ht="12" customHeight="1">
      <c r="D61" s="22"/>
      <c r="E61" s="22"/>
      <c r="J61" s="5"/>
      <c r="K61" s="5"/>
      <c r="L61" s="5"/>
      <c r="M61" s="5"/>
      <c r="N61" s="5"/>
      <c r="O61" s="5"/>
      <c r="P61" s="88"/>
      <c r="Q61" s="95"/>
    </row>
    <row r="62" spans="1:17" s="2" customFormat="1" ht="12" customHeight="1">
      <c r="D62" s="22"/>
      <c r="E62" s="22"/>
      <c r="J62" s="5"/>
      <c r="K62" s="5"/>
      <c r="L62" s="5"/>
      <c r="M62" s="5"/>
      <c r="N62" s="5"/>
      <c r="O62" s="5"/>
      <c r="P62" s="88"/>
      <c r="Q62" s="95"/>
    </row>
    <row r="63" spans="1:17" s="2" customFormat="1" ht="12" customHeight="1">
      <c r="D63" s="22"/>
      <c r="E63" s="22"/>
      <c r="J63" s="5"/>
      <c r="K63" s="5"/>
      <c r="L63" s="5"/>
      <c r="M63" s="5"/>
      <c r="N63" s="5"/>
      <c r="O63" s="5"/>
      <c r="P63" s="88"/>
      <c r="Q63" s="95"/>
    </row>
    <row r="64" spans="1:17" s="2" customFormat="1" ht="12" customHeight="1">
      <c r="D64" s="22"/>
      <c r="E64" s="22"/>
      <c r="J64" s="5"/>
      <c r="K64" s="5"/>
      <c r="L64" s="5"/>
      <c r="M64" s="5"/>
      <c r="N64" s="5"/>
      <c r="O64" s="5"/>
      <c r="P64" s="88"/>
      <c r="Q64" s="95"/>
    </row>
    <row r="65" spans="4:17" s="2" customFormat="1" ht="12" customHeight="1">
      <c r="D65" s="22"/>
      <c r="E65" s="22"/>
      <c r="J65" s="5"/>
      <c r="K65" s="5"/>
      <c r="L65" s="5"/>
      <c r="M65" s="5"/>
      <c r="N65" s="5"/>
      <c r="O65" s="5"/>
      <c r="P65" s="88"/>
      <c r="Q65" s="95"/>
    </row>
    <row r="66" spans="4:17" s="2" customFormat="1" ht="12" customHeight="1">
      <c r="D66" s="22"/>
      <c r="E66" s="22"/>
      <c r="J66" s="5"/>
      <c r="K66" s="5"/>
      <c r="L66" s="5"/>
      <c r="M66" s="5"/>
      <c r="N66" s="5"/>
      <c r="O66" s="5"/>
      <c r="P66" s="88"/>
      <c r="Q66" s="95"/>
    </row>
    <row r="67" spans="4:17" s="2" customFormat="1" ht="12" customHeight="1">
      <c r="D67" s="22"/>
      <c r="E67" s="22"/>
      <c r="J67" s="5"/>
      <c r="K67" s="5"/>
      <c r="L67" s="5"/>
      <c r="M67" s="5"/>
      <c r="N67" s="5"/>
      <c r="O67" s="5"/>
      <c r="P67" s="88"/>
      <c r="Q67" s="95"/>
    </row>
    <row r="68" spans="4:17" s="2" customFormat="1" ht="12" customHeight="1">
      <c r="D68" s="22"/>
      <c r="E68" s="22"/>
      <c r="J68" s="5"/>
      <c r="K68" s="5"/>
      <c r="L68" s="5"/>
      <c r="M68" s="5"/>
      <c r="N68" s="5"/>
      <c r="O68" s="5"/>
      <c r="P68" s="88"/>
      <c r="Q68" s="95"/>
    </row>
    <row r="69" spans="4:17" s="2" customFormat="1" ht="12" customHeight="1">
      <c r="D69" s="22"/>
      <c r="E69" s="22"/>
      <c r="J69" s="5"/>
      <c r="K69" s="5"/>
      <c r="L69" s="5"/>
      <c r="M69" s="5"/>
      <c r="N69" s="5"/>
      <c r="O69" s="5"/>
      <c r="P69" s="88"/>
      <c r="Q69" s="95"/>
    </row>
    <row r="70" spans="4:17" s="2" customFormat="1" ht="12" customHeight="1">
      <c r="D70" s="22"/>
      <c r="E70" s="22"/>
      <c r="J70" s="5"/>
      <c r="K70" s="5"/>
      <c r="L70" s="5"/>
      <c r="M70" s="5"/>
      <c r="N70" s="5"/>
      <c r="O70" s="5"/>
      <c r="P70" s="88"/>
      <c r="Q70" s="95"/>
    </row>
    <row r="71" spans="4:17" s="2" customFormat="1" ht="12" customHeight="1">
      <c r="D71" s="22"/>
      <c r="E71" s="22"/>
      <c r="J71" s="5"/>
      <c r="K71" s="5"/>
      <c r="L71" s="5"/>
      <c r="M71" s="5"/>
      <c r="N71" s="5"/>
      <c r="O71" s="5"/>
      <c r="P71" s="88"/>
      <c r="Q71" s="95"/>
    </row>
    <row r="72" spans="4:17" s="2" customFormat="1" ht="12" customHeight="1">
      <c r="D72" s="22"/>
      <c r="E72" s="22"/>
      <c r="J72" s="5"/>
      <c r="K72" s="5"/>
      <c r="L72" s="5"/>
      <c r="M72" s="5"/>
      <c r="N72" s="5"/>
      <c r="O72" s="5"/>
      <c r="P72" s="88"/>
      <c r="Q72" s="95"/>
    </row>
    <row r="73" spans="4:17" s="2" customFormat="1" ht="12" customHeight="1">
      <c r="D73" s="22"/>
      <c r="E73" s="22"/>
      <c r="J73" s="5"/>
      <c r="K73" s="5"/>
      <c r="L73" s="5"/>
      <c r="M73" s="5"/>
      <c r="N73" s="5"/>
      <c r="O73" s="5"/>
      <c r="P73" s="88"/>
      <c r="Q73" s="95"/>
    </row>
    <row r="74" spans="4:17" s="2" customFormat="1" ht="12" customHeight="1">
      <c r="D74" s="22"/>
      <c r="E74" s="22"/>
      <c r="J74" s="5"/>
      <c r="K74" s="5"/>
      <c r="L74" s="5"/>
      <c r="M74" s="5"/>
      <c r="N74" s="5"/>
      <c r="O74" s="5"/>
      <c r="P74" s="88"/>
      <c r="Q74" s="95"/>
    </row>
    <row r="75" spans="4:17" s="2" customFormat="1" ht="12" customHeight="1">
      <c r="D75" s="22"/>
      <c r="E75" s="22"/>
      <c r="J75" s="5"/>
      <c r="K75" s="5"/>
      <c r="L75" s="5"/>
      <c r="M75" s="5"/>
      <c r="N75" s="5"/>
      <c r="O75" s="5"/>
      <c r="P75" s="88"/>
      <c r="Q75" s="95"/>
    </row>
    <row r="76" spans="4:17" s="2" customFormat="1" ht="12" customHeight="1">
      <c r="D76" s="22"/>
      <c r="E76" s="22"/>
      <c r="J76" s="5"/>
      <c r="K76" s="5"/>
      <c r="L76" s="5"/>
      <c r="M76" s="5"/>
      <c r="N76" s="5"/>
      <c r="O76" s="5"/>
      <c r="P76" s="88"/>
      <c r="Q76" s="95"/>
    </row>
    <row r="77" spans="4:17" s="2" customFormat="1" ht="12" customHeight="1">
      <c r="D77" s="22"/>
      <c r="E77" s="22"/>
      <c r="J77" s="5"/>
      <c r="K77" s="5"/>
      <c r="L77" s="5"/>
      <c r="M77" s="5"/>
      <c r="N77" s="5"/>
      <c r="O77" s="5"/>
      <c r="P77" s="88"/>
      <c r="Q77" s="95"/>
    </row>
    <row r="78" spans="4:17" s="2" customFormat="1" ht="12" customHeight="1">
      <c r="D78" s="22"/>
      <c r="E78" s="22"/>
      <c r="J78" s="5"/>
      <c r="K78" s="5"/>
      <c r="L78" s="5"/>
      <c r="M78" s="5"/>
      <c r="N78" s="5"/>
      <c r="O78" s="5"/>
      <c r="P78" s="88"/>
      <c r="Q78" s="95"/>
    </row>
    <row r="79" spans="4:17" s="2" customFormat="1" ht="12" customHeight="1">
      <c r="D79" s="22"/>
      <c r="E79" s="22"/>
      <c r="J79" s="5"/>
      <c r="K79" s="5"/>
      <c r="L79" s="5"/>
      <c r="M79" s="5"/>
      <c r="N79" s="5"/>
      <c r="O79" s="5"/>
      <c r="P79" s="88"/>
      <c r="Q79" s="95"/>
    </row>
    <row r="80" spans="4:17" s="2" customFormat="1" ht="12" customHeight="1">
      <c r="D80" s="22"/>
      <c r="E80" s="22"/>
      <c r="J80" s="5"/>
      <c r="K80" s="5"/>
      <c r="L80" s="5"/>
      <c r="M80" s="5"/>
      <c r="N80" s="5"/>
      <c r="O80" s="5"/>
      <c r="P80" s="88"/>
      <c r="Q80" s="95"/>
    </row>
    <row r="81" spans="1:17" s="2" customFormat="1" ht="12" customHeight="1">
      <c r="D81" s="22"/>
      <c r="E81" s="22"/>
      <c r="J81" s="5"/>
      <c r="K81" s="5"/>
      <c r="L81" s="5"/>
      <c r="M81" s="5"/>
      <c r="N81" s="5"/>
      <c r="O81" s="5"/>
      <c r="P81" s="88"/>
      <c r="Q81" s="95"/>
    </row>
    <row r="82" spans="1:17" s="2" customFormat="1" ht="12" customHeight="1">
      <c r="D82" s="22"/>
      <c r="E82" s="22"/>
      <c r="J82" s="5"/>
      <c r="K82" s="5"/>
      <c r="L82" s="5"/>
      <c r="M82" s="5"/>
      <c r="N82" s="5"/>
      <c r="O82" s="5"/>
      <c r="P82" s="88"/>
      <c r="Q82" s="95"/>
    </row>
    <row r="83" spans="1:17" s="2" customFormat="1" ht="12" customHeight="1">
      <c r="D83" s="22"/>
      <c r="E83" s="22"/>
      <c r="J83" s="5"/>
      <c r="K83" s="5"/>
      <c r="L83" s="5"/>
      <c r="M83" s="5"/>
      <c r="N83" s="5"/>
      <c r="O83" s="5"/>
      <c r="P83" s="88"/>
      <c r="Q83" s="95"/>
    </row>
    <row r="84" spans="1:17" s="2" customFormat="1" ht="12" customHeight="1">
      <c r="D84" s="22"/>
      <c r="E84" s="22"/>
      <c r="J84" s="5"/>
      <c r="K84" s="5"/>
      <c r="L84" s="5"/>
      <c r="M84" s="5"/>
      <c r="N84" s="5"/>
      <c r="O84" s="5"/>
      <c r="P84" s="88"/>
      <c r="Q84" s="95"/>
    </row>
    <row r="85" spans="1:17" s="2" customFormat="1" ht="12" customHeight="1">
      <c r="D85" s="22"/>
      <c r="E85" s="22"/>
      <c r="J85" s="5"/>
      <c r="K85" s="5"/>
      <c r="L85" s="5"/>
      <c r="M85" s="5"/>
      <c r="N85" s="5"/>
      <c r="O85" s="5"/>
      <c r="P85" s="88"/>
      <c r="Q85" s="95"/>
    </row>
    <row r="86" spans="1:17" s="2" customFormat="1" ht="12" customHeight="1">
      <c r="D86" s="22"/>
      <c r="E86" s="22"/>
      <c r="J86" s="5"/>
      <c r="K86" s="5"/>
      <c r="L86" s="5"/>
      <c r="M86" s="5"/>
      <c r="N86" s="5"/>
      <c r="O86" s="5"/>
      <c r="P86" s="88"/>
      <c r="Q86" s="95"/>
    </row>
    <row r="87" spans="1:17" s="2" customFormat="1" ht="12" customHeight="1">
      <c r="D87" s="22"/>
      <c r="E87" s="22"/>
      <c r="J87" s="5"/>
      <c r="K87" s="5"/>
      <c r="L87" s="5"/>
      <c r="M87" s="5"/>
      <c r="N87" s="5"/>
      <c r="O87" s="5"/>
      <c r="P87" s="88"/>
      <c r="Q87" s="95"/>
    </row>
    <row r="88" spans="1:17" s="2" customFormat="1" ht="12" customHeight="1">
      <c r="D88" s="22"/>
      <c r="E88" s="22"/>
      <c r="J88" s="5"/>
      <c r="K88" s="5"/>
      <c r="L88" s="5"/>
      <c r="M88" s="5"/>
      <c r="N88" s="5"/>
      <c r="O88" s="5"/>
      <c r="P88" s="88"/>
      <c r="Q88" s="95"/>
    </row>
    <row r="89" spans="1:17" s="2" customFormat="1" ht="12" customHeight="1">
      <c r="D89" s="22"/>
      <c r="E89" s="22"/>
      <c r="J89" s="5"/>
      <c r="K89" s="5"/>
      <c r="L89" s="5"/>
      <c r="M89" s="5"/>
      <c r="N89" s="5"/>
      <c r="O89" s="5"/>
      <c r="P89" s="88"/>
      <c r="Q89" s="95"/>
    </row>
    <row r="90" spans="1:17" s="2" customFormat="1" ht="12" customHeight="1">
      <c r="D90" s="22"/>
      <c r="E90" s="22"/>
      <c r="J90" s="5"/>
      <c r="K90" s="5"/>
      <c r="L90" s="5"/>
      <c r="M90" s="5"/>
      <c r="N90" s="5"/>
      <c r="O90" s="5"/>
      <c r="P90" s="88"/>
      <c r="Q90" s="96"/>
    </row>
    <row r="91" spans="1:17" s="2" customFormat="1" ht="12" customHeight="1">
      <c r="D91" s="22"/>
      <c r="E91" s="22"/>
      <c r="J91" s="5"/>
      <c r="K91" s="5"/>
      <c r="L91" s="5"/>
      <c r="M91" s="5"/>
      <c r="N91" s="5"/>
      <c r="O91" s="5"/>
      <c r="P91" s="88"/>
      <c r="Q91" s="96"/>
    </row>
    <row r="92" spans="1:17" s="2" customFormat="1" ht="12" customHeight="1">
      <c r="D92" s="22"/>
      <c r="E92" s="22"/>
      <c r="J92" s="5"/>
      <c r="K92" s="5"/>
      <c r="L92" s="5"/>
      <c r="M92" s="5"/>
      <c r="N92" s="5"/>
      <c r="O92" s="5"/>
      <c r="P92" s="88"/>
      <c r="Q92" s="96"/>
    </row>
    <row r="93" spans="1:17" s="2" customFormat="1" ht="12" customHeight="1">
      <c r="D93" s="22"/>
      <c r="E93" s="22"/>
      <c r="J93" s="5"/>
      <c r="K93" s="5"/>
      <c r="L93" s="5"/>
      <c r="M93" s="5"/>
      <c r="N93" s="5"/>
      <c r="O93" s="5"/>
      <c r="P93" s="88"/>
      <c r="Q93" s="96"/>
    </row>
    <row r="94" spans="1:17" s="2" customFormat="1" ht="12" customHeight="1">
      <c r="A94"/>
      <c r="B94"/>
      <c r="C94"/>
      <c r="D94" s="23"/>
      <c r="E94" s="23"/>
      <c r="F94"/>
      <c r="G94"/>
      <c r="H94"/>
      <c r="I94"/>
      <c r="J94" s="19"/>
      <c r="K94" s="19"/>
      <c r="L94" s="19"/>
      <c r="M94" s="19"/>
      <c r="N94" s="19"/>
      <c r="O94" s="19"/>
      <c r="P94" s="90"/>
      <c r="Q94" s="96"/>
    </row>
    <row r="95" spans="1:17" s="2" customFormat="1" ht="12" customHeight="1">
      <c r="A95"/>
      <c r="B95"/>
      <c r="C95"/>
      <c r="D95" s="23"/>
      <c r="E95" s="23"/>
      <c r="F95"/>
      <c r="G95"/>
      <c r="H95"/>
      <c r="I95"/>
      <c r="J95" s="19"/>
      <c r="K95" s="19"/>
      <c r="L95" s="19"/>
      <c r="M95" s="19"/>
      <c r="N95" s="19"/>
      <c r="O95" s="19"/>
      <c r="P95" s="90"/>
      <c r="Q95" s="96"/>
    </row>
    <row r="96" spans="1:17" s="2" customFormat="1" ht="12" customHeight="1">
      <c r="A96"/>
      <c r="B96"/>
      <c r="C96"/>
      <c r="D96" s="23"/>
      <c r="E96" s="23"/>
      <c r="F96"/>
      <c r="G96"/>
      <c r="H96"/>
      <c r="I96"/>
      <c r="J96" s="19"/>
      <c r="K96" s="19"/>
      <c r="L96" s="19"/>
      <c r="M96" s="19"/>
      <c r="N96" s="19"/>
      <c r="O96" s="19"/>
      <c r="P96" s="90"/>
      <c r="Q96" s="96"/>
    </row>
    <row r="97" spans="1:17" s="2" customFormat="1" ht="12" customHeight="1">
      <c r="A97"/>
      <c r="B97"/>
      <c r="C97"/>
      <c r="D97" s="23"/>
      <c r="E97" s="23"/>
      <c r="F97"/>
      <c r="G97"/>
      <c r="H97"/>
      <c r="I97"/>
      <c r="J97" s="19"/>
      <c r="K97" s="19"/>
      <c r="L97" s="19"/>
      <c r="M97" s="19"/>
      <c r="N97" s="19"/>
      <c r="O97" s="19"/>
      <c r="P97" s="90"/>
      <c r="Q97" s="96"/>
    </row>
    <row r="98" spans="1:17" s="2" customFormat="1" ht="12" customHeight="1">
      <c r="A98"/>
      <c r="B98"/>
      <c r="C98"/>
      <c r="D98" s="23"/>
      <c r="E98" s="23"/>
      <c r="F98"/>
      <c r="G98"/>
      <c r="H98"/>
      <c r="I98"/>
      <c r="J98" s="19"/>
      <c r="K98" s="19"/>
      <c r="L98" s="19"/>
      <c r="M98" s="19"/>
      <c r="N98" s="19"/>
      <c r="O98" s="19"/>
      <c r="P98" s="90"/>
      <c r="Q98" s="96"/>
    </row>
    <row r="99" spans="1:17">
      <c r="Q99" s="96"/>
    </row>
    <row r="100" spans="1:17">
      <c r="Q100" s="96"/>
    </row>
    <row r="101" spans="1:17">
      <c r="Q101" s="96"/>
    </row>
    <row r="102" spans="1:17">
      <c r="Q102" s="96"/>
    </row>
    <row r="103" spans="1:17">
      <c r="Q103" s="96"/>
    </row>
    <row r="104" spans="1:17">
      <c r="Q104" s="96"/>
    </row>
    <row r="105" spans="1:17">
      <c r="Q105" s="96"/>
    </row>
    <row r="106" spans="1:17">
      <c r="Q106" s="96"/>
    </row>
    <row r="107" spans="1:17">
      <c r="Q107" s="96"/>
    </row>
    <row r="108" spans="1:17">
      <c r="Q108" s="96"/>
    </row>
    <row r="109" spans="1:17">
      <c r="Q109" s="96"/>
    </row>
    <row r="110" spans="1:17">
      <c r="Q110" s="96"/>
    </row>
    <row r="111" spans="1:17">
      <c r="Q111" s="96"/>
    </row>
    <row r="112" spans="1:17">
      <c r="Q112" s="96"/>
    </row>
    <row r="113" spans="17:17">
      <c r="Q113" s="96"/>
    </row>
    <row r="114" spans="17:17">
      <c r="Q114" s="96"/>
    </row>
    <row r="115" spans="17:17">
      <c r="Q115" s="96"/>
    </row>
    <row r="116" spans="17:17">
      <c r="Q116" s="96"/>
    </row>
    <row r="117" spans="17:17">
      <c r="Q117" s="96"/>
    </row>
    <row r="118" spans="17:17">
      <c r="Q118" s="96"/>
    </row>
    <row r="155" ht="12" customHeight="1"/>
    <row r="156" ht="12" customHeight="1"/>
    <row r="157" ht="12" customHeight="1"/>
    <row r="158" ht="12" customHeight="1"/>
    <row r="159" ht="12" customHeight="1"/>
    <row r="160" ht="12" customHeight="1"/>
    <row r="161" ht="12" customHeight="1"/>
    <row r="162" ht="12" customHeight="1"/>
    <row r="163" ht="12" customHeight="1"/>
    <row r="164" ht="12" customHeight="1"/>
    <row r="165" ht="12" customHeight="1"/>
    <row r="166" ht="12" customHeight="1"/>
    <row r="167" ht="12" customHeight="1"/>
    <row r="168" ht="12" customHeight="1"/>
    <row r="169" ht="12" customHeight="1"/>
    <row r="170" ht="12" customHeight="1"/>
    <row r="171" ht="12" customHeight="1"/>
    <row r="172" ht="12" customHeight="1"/>
    <row r="173" ht="12" customHeight="1"/>
    <row r="174" ht="12" customHeight="1"/>
    <row r="175" ht="12" customHeight="1"/>
    <row r="176" ht="12" customHeight="1"/>
    <row r="177" ht="12" customHeight="1"/>
    <row r="178" ht="12" customHeight="1"/>
    <row r="179" ht="12" customHeight="1"/>
    <row r="180" ht="12" customHeight="1"/>
    <row r="181" ht="12" customHeight="1"/>
    <row r="182" ht="12" customHeight="1"/>
    <row r="183" ht="12" customHeight="1"/>
    <row r="184" ht="12" customHeight="1"/>
    <row r="185" ht="12" customHeight="1"/>
    <row r="186" ht="12" customHeight="1"/>
    <row r="187" ht="12" customHeight="1"/>
    <row r="188" ht="12" customHeight="1"/>
    <row r="189" ht="12" customHeight="1"/>
    <row r="190" ht="12" customHeight="1"/>
    <row r="191" ht="12" customHeight="1"/>
    <row r="192" ht="12" customHeight="1"/>
    <row r="193" ht="12" customHeight="1"/>
    <row r="194" ht="12" customHeight="1"/>
    <row r="195" ht="12" customHeight="1"/>
    <row r="196" ht="12" customHeight="1"/>
    <row r="197" ht="12" customHeight="1"/>
    <row r="198" ht="12" customHeight="1"/>
    <row r="199" ht="12" customHeight="1"/>
    <row r="200" ht="12" customHeight="1"/>
    <row r="201" ht="12" customHeight="1"/>
    <row r="202" ht="12" customHeight="1"/>
    <row r="203" ht="12" customHeight="1"/>
    <row r="204" ht="12" customHeight="1"/>
  </sheetData>
  <mergeCells count="65">
    <mergeCell ref="D19:E19"/>
    <mergeCell ref="D24:E24"/>
    <mergeCell ref="H24:I24"/>
    <mergeCell ref="D17:E17"/>
    <mergeCell ref="D18:E18"/>
    <mergeCell ref="D20:E20"/>
    <mergeCell ref="D21:E21"/>
    <mergeCell ref="D22:E22"/>
    <mergeCell ref="D23:E23"/>
    <mergeCell ref="D38:E38"/>
    <mergeCell ref="D51:E51"/>
    <mergeCell ref="H51:I51"/>
    <mergeCell ref="D46:E46"/>
    <mergeCell ref="D48:E48"/>
    <mergeCell ref="D45:E45"/>
    <mergeCell ref="D44:E44"/>
    <mergeCell ref="D39:E39"/>
    <mergeCell ref="D40:E40"/>
    <mergeCell ref="D41:E41"/>
    <mergeCell ref="D42:E42"/>
    <mergeCell ref="D43:E43"/>
    <mergeCell ref="D47:E47"/>
    <mergeCell ref="D49:E49"/>
    <mergeCell ref="D50:E50"/>
    <mergeCell ref="D35:E35"/>
    <mergeCell ref="H35:I35"/>
    <mergeCell ref="D36:E36"/>
    <mergeCell ref="D37:E37"/>
    <mergeCell ref="D25:E25"/>
    <mergeCell ref="D32:E32"/>
    <mergeCell ref="H32:I32"/>
    <mergeCell ref="D33:E33"/>
    <mergeCell ref="D26:E26"/>
    <mergeCell ref="D27:E27"/>
    <mergeCell ref="D28:E28"/>
    <mergeCell ref="D29:E29"/>
    <mergeCell ref="D30:E30"/>
    <mergeCell ref="D31:E31"/>
    <mergeCell ref="D10:E10"/>
    <mergeCell ref="H10:I10"/>
    <mergeCell ref="D14:E14"/>
    <mergeCell ref="H14:I14"/>
    <mergeCell ref="D16:E16"/>
    <mergeCell ref="H16:I16"/>
    <mergeCell ref="D11:E11"/>
    <mergeCell ref="H11:I11"/>
    <mergeCell ref="D12:E12"/>
    <mergeCell ref="H12:I12"/>
    <mergeCell ref="D13:E13"/>
    <mergeCell ref="H13:I13"/>
    <mergeCell ref="D15:E15"/>
    <mergeCell ref="H15:I15"/>
    <mergeCell ref="D7:E7"/>
    <mergeCell ref="H7:I7"/>
    <mergeCell ref="D8:E8"/>
    <mergeCell ref="H8:I8"/>
    <mergeCell ref="D9:E9"/>
    <mergeCell ref="H9:I9"/>
    <mergeCell ref="D6:E6"/>
    <mergeCell ref="H6:I6"/>
    <mergeCell ref="D1:E1"/>
    <mergeCell ref="D4:E4"/>
    <mergeCell ref="H4:I4"/>
    <mergeCell ref="D5:E5"/>
    <mergeCell ref="H5:I5"/>
  </mergeCells>
  <conditionalFormatting sqref="M17:M23 M36:M50">
    <cfRule type="cellIs" dxfId="597" priority="5" stopIfTrue="1" operator="lessThanOrEqual">
      <formula>$L17</formula>
    </cfRule>
    <cfRule type="cellIs" dxfId="596" priority="6" operator="greaterThan">
      <formula>L17</formula>
    </cfRule>
  </conditionalFormatting>
  <conditionalFormatting sqref="M25:M31">
    <cfRule type="cellIs" dxfId="595" priority="7" stopIfTrue="1" operator="lessThanOrEqual">
      <formula>$L25</formula>
    </cfRule>
    <cfRule type="cellIs" dxfId="594" priority="8" operator="greaterThan">
      <formula>L25</formula>
    </cfRule>
  </conditionalFormatting>
  <conditionalFormatting sqref="M33:M34">
    <cfRule type="cellIs" dxfId="593" priority="1" stopIfTrue="1" operator="lessThanOrEqual">
      <formula>$L33</formula>
    </cfRule>
    <cfRule type="cellIs" dxfId="592" priority="2" operator="greaterThan">
      <formula>L33</formula>
    </cfRule>
  </conditionalFormatting>
  <pageMargins left="0.7" right="0.7" top="0.75" bottom="0.75" header="0.3" footer="0.3"/>
  <pageSetup paperSize="3" fitToHeight="0" orientation="landscape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disablePrompts="1" count="5">
        <x14:dataValidation type="list" allowBlank="1" showInputMessage="1" showErrorMessage="1" xr:uid="{812B70DD-5D0D-42A4-A785-A34FC5850CAE}">
          <x14:formula1>
            <xm:f>Bolts!$A:$A</xm:f>
          </x14:formula1>
          <xm:sqref>C33:C34</xm:sqref>
        </x14:dataValidation>
        <x14:dataValidation type="list" allowBlank="1" showInputMessage="1" showErrorMessage="1" xr:uid="{87DDE3E3-1F6C-4513-BD4B-3DB75B9205ED}">
          <x14:formula1>
            <xm:f>Assemblies!$E:$E</xm:f>
          </x14:formula1>
          <xm:sqref>C5:C15</xm:sqref>
        </x14:dataValidation>
        <x14:dataValidation type="list" allowBlank="1" showInputMessage="1" showErrorMessage="1" xr:uid="{95192112-F136-4AA6-9246-148DF58033FE}">
          <x14:formula1>
            <xm:f>Purchased!$A:$A</xm:f>
          </x14:formula1>
          <xm:sqref>C25:C31</xm:sqref>
        </x14:dataValidation>
        <x14:dataValidation type="list" allowBlank="1" showInputMessage="1" showErrorMessage="1" xr:uid="{D58227BD-111D-4F78-8ADA-16E6164F0991}">
          <x14:formula1>
            <xm:f>Extrusion!$B:$B</xm:f>
          </x14:formula1>
          <xm:sqref>C36:C50</xm:sqref>
        </x14:dataValidation>
        <x14:dataValidation type="list" allowBlank="1" showInputMessage="1" showErrorMessage="1" xr:uid="{6043FA9D-2AEE-41EE-8C58-B52C726BBECF}">
          <x14:formula1>
            <xm:f>Machined!$C:$C</xm:f>
          </x14:formula1>
          <xm:sqref>C17:C23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40A172-AF4D-46E2-ABDB-BEB330DBC84C}">
  <sheetPr codeName="Sheet22">
    <tabColor theme="3" tint="0.79998168889431442"/>
    <pageSetUpPr fitToPage="1"/>
  </sheetPr>
  <dimension ref="A1:Q173"/>
  <sheetViews>
    <sheetView zoomScaleNormal="100" workbookViewId="0">
      <selection activeCell="G23" sqref="G23"/>
    </sheetView>
  </sheetViews>
  <sheetFormatPr defaultColWidth="9.140625" defaultRowHeight="15"/>
  <cols>
    <col min="1" max="1" width="5.7109375" customWidth="1"/>
    <col min="2" max="2" width="6.28515625" bestFit="1" customWidth="1"/>
    <col min="3" max="3" width="30.7109375" customWidth="1"/>
    <col min="4" max="5" width="20.7109375" style="23" customWidth="1"/>
    <col min="6" max="6" width="16.85546875" bestFit="1" customWidth="1"/>
    <col min="7" max="7" width="9.7109375" customWidth="1"/>
    <col min="8" max="8" width="8.7109375" customWidth="1"/>
    <col min="9" max="9" width="20.7109375" customWidth="1"/>
    <col min="10" max="13" width="11.7109375" style="19" customWidth="1"/>
    <col min="14" max="14" width="11.85546875" style="19" bestFit="1" customWidth="1"/>
    <col min="15" max="15" width="7.7109375" style="19" customWidth="1"/>
    <col min="16" max="16" width="10.7109375" style="90" customWidth="1"/>
    <col min="17" max="17" width="10.7109375" style="97" customWidth="1"/>
  </cols>
  <sheetData>
    <row r="1" spans="1:17" s="55" customFormat="1" ht="12" customHeight="1">
      <c r="A1" s="68" t="s">
        <v>0</v>
      </c>
      <c r="B1" s="69"/>
      <c r="C1" s="69"/>
      <c r="D1" s="262" t="s">
        <v>1</v>
      </c>
      <c r="E1" s="263"/>
      <c r="F1" s="70"/>
      <c r="G1" s="69"/>
      <c r="H1" s="70"/>
      <c r="I1" s="71"/>
      <c r="J1" s="72"/>
      <c r="K1" s="72"/>
      <c r="L1" s="72"/>
      <c r="M1" s="72"/>
      <c r="N1" s="72"/>
      <c r="O1" s="72"/>
      <c r="P1" s="85"/>
      <c r="Q1" s="91"/>
    </row>
    <row r="2" spans="1:17" s="55" customFormat="1" ht="12" customHeight="1">
      <c r="A2" s="74" t="s">
        <v>48</v>
      </c>
      <c r="B2" s="58"/>
      <c r="C2" s="57" t="e">
        <f ca="1">VLOOKUP(E3,Assemblies!B:F,4,0)</f>
        <v>#VALUE!</v>
      </c>
      <c r="D2" s="75" t="s">
        <v>3</v>
      </c>
      <c r="E2" s="76" t="e">
        <f ca="1">'GF12'!E2</f>
        <v>#VALUE!</v>
      </c>
      <c r="F2" s="77" t="s">
        <v>4</v>
      </c>
      <c r="G2" s="58" t="str">
        <f>'GF12'!G2</f>
        <v>GH</v>
      </c>
      <c r="H2" s="77" t="s">
        <v>6</v>
      </c>
      <c r="I2" s="59">
        <f>'GF12'!I2</f>
        <v>44775</v>
      </c>
      <c r="J2" s="39"/>
      <c r="K2" s="40" t="s">
        <v>49</v>
      </c>
      <c r="L2" s="41" t="e">
        <f ca="1">VLOOKUP(C2,Assemblies!E:G,3,0)</f>
        <v>#VALUE!</v>
      </c>
      <c r="M2" s="78"/>
      <c r="N2" s="78"/>
      <c r="O2" s="78"/>
      <c r="P2" s="86"/>
      <c r="Q2" s="92"/>
    </row>
    <row r="3" spans="1:17" s="55" customFormat="1" ht="12" customHeight="1" thickBot="1">
      <c r="A3" s="74" t="s">
        <v>7</v>
      </c>
      <c r="B3" s="58"/>
      <c r="C3" s="57" t="e">
        <f ca="1">VLOOKUP(E3,Assemblies!B:F,5,0)</f>
        <v>#VALUE!</v>
      </c>
      <c r="D3" s="75" t="s">
        <v>50</v>
      </c>
      <c r="E3" s="76" t="e">
        <f ca="1">MID(CELL("filename",A1),FIND("]",CELL("filename",A1))+1,256)</f>
        <v>#VALUE!</v>
      </c>
      <c r="F3" s="77" t="s">
        <v>11</v>
      </c>
      <c r="G3" s="58" t="str">
        <f>'GF12'!G3</f>
        <v>GH</v>
      </c>
      <c r="H3" s="77" t="s">
        <v>6</v>
      </c>
      <c r="I3" s="59">
        <f>'GF12'!I3</f>
        <v>44775</v>
      </c>
      <c r="J3" s="78"/>
      <c r="K3" s="78"/>
      <c r="L3" s="78"/>
      <c r="M3" s="78"/>
      <c r="N3" s="78"/>
      <c r="O3" s="78"/>
      <c r="P3" s="86"/>
      <c r="Q3" s="92"/>
    </row>
    <row r="4" spans="1:17" s="56" customFormat="1" ht="12.75" customHeight="1" thickBot="1">
      <c r="A4" s="80" t="s">
        <v>12</v>
      </c>
      <c r="B4" s="81" t="s">
        <v>13</v>
      </c>
      <c r="C4" s="81" t="s">
        <v>14</v>
      </c>
      <c r="D4" s="270" t="s">
        <v>15</v>
      </c>
      <c r="E4" s="271"/>
      <c r="F4" s="104" t="s">
        <v>16</v>
      </c>
      <c r="G4" s="81" t="s">
        <v>17</v>
      </c>
      <c r="H4" s="260" t="s">
        <v>18</v>
      </c>
      <c r="I4" s="261"/>
      <c r="J4" s="81" t="s">
        <v>51</v>
      </c>
      <c r="K4" s="81" t="s">
        <v>20</v>
      </c>
      <c r="L4" s="81" t="s">
        <v>21</v>
      </c>
      <c r="M4" s="81" t="s">
        <v>52</v>
      </c>
      <c r="N4" s="81" t="s">
        <v>22</v>
      </c>
      <c r="O4" s="81" t="s">
        <v>53</v>
      </c>
      <c r="P4" s="107" t="s">
        <v>26</v>
      </c>
      <c r="Q4" s="82" t="s">
        <v>27</v>
      </c>
    </row>
    <row r="5" spans="1:17" s="2" customFormat="1" ht="12.75" customHeight="1">
      <c r="A5" s="127">
        <v>1</v>
      </c>
      <c r="B5" s="21">
        <v>1</v>
      </c>
      <c r="C5" s="108" t="s">
        <v>324</v>
      </c>
      <c r="D5" s="277" t="str">
        <f>VLOOKUP(C5,Machined!C:Q,2,0)</f>
        <v>MAG LOCK PLATE</v>
      </c>
      <c r="E5" s="278"/>
      <c r="F5" s="131" t="str">
        <f>VLOOKUP(C5,Machined!C:R,7,0)</f>
        <v>6061-T6 Alum</v>
      </c>
      <c r="G5" s="131" t="str">
        <f>VLOOKUP(C5,Machined!C:R,10,0)</f>
        <v>BIG SKY</v>
      </c>
      <c r="H5" s="131" t="str">
        <f>VLOOKUP(C5,Machined!C:R,11,0)</f>
        <v xml:space="preserve">  </v>
      </c>
      <c r="I5" s="131"/>
      <c r="J5" s="42">
        <f>VLOOKUP(C5,Machined!C:R,12,0)</f>
        <v>45142</v>
      </c>
      <c r="K5" s="42">
        <f>VLOOKUP(C5,Machined!C:R,13,0)</f>
        <v>45146</v>
      </c>
      <c r="L5" s="42">
        <f>VLOOKUP(C5,Machined!C:R,14,0)</f>
        <v>45176</v>
      </c>
      <c r="M5" s="42">
        <f>VLOOKUP(C5,Machined!C:R,15,0)</f>
        <v>45176</v>
      </c>
      <c r="N5" s="43">
        <f>VLOOKUP(C5,Machined!C:R,16,0)</f>
        <v>55032</v>
      </c>
      <c r="O5" s="43" t="e">
        <f t="shared" ref="O5" ca="1" si="0">B5*$L$2</f>
        <v>#VALUE!</v>
      </c>
      <c r="P5" s="47">
        <f>IFERROR(VLOOKUP(C5,Machined!C:F,3,0),"")</f>
        <v>50</v>
      </c>
      <c r="Q5" s="48">
        <f t="shared" ref="Q5" si="1">IFERROR(B5*P5,"")</f>
        <v>50</v>
      </c>
    </row>
    <row r="6" spans="1:17" s="2" customFormat="1" ht="12.75" customHeight="1">
      <c r="A6" s="143"/>
      <c r="B6" s="26"/>
      <c r="C6" s="26"/>
      <c r="D6" s="272"/>
      <c r="E6" s="273"/>
      <c r="F6" s="26"/>
      <c r="G6" s="26"/>
      <c r="H6" s="274"/>
      <c r="I6" s="275"/>
      <c r="J6" s="27"/>
      <c r="K6" s="27"/>
      <c r="L6" s="27"/>
      <c r="M6" s="28"/>
      <c r="N6" s="29"/>
      <c r="O6" s="29"/>
      <c r="P6" s="141"/>
      <c r="Q6" s="142"/>
    </row>
    <row r="7" spans="1:17" s="2" customFormat="1" ht="12.75" customHeight="1">
      <c r="A7" s="4">
        <v>301</v>
      </c>
      <c r="B7" s="2">
        <v>2</v>
      </c>
      <c r="C7" s="114" t="s">
        <v>256</v>
      </c>
      <c r="D7" s="268" t="str">
        <f>VLOOKUP(C7,Purchased!A:B,2,0)</f>
        <v>BRX GOTO T-NUT 10 M8</v>
      </c>
      <c r="E7" s="269"/>
      <c r="F7" s="112" t="str">
        <f>VLOOKUP(C7,Purchased!A:Q,9,0)</f>
        <v>BRX</v>
      </c>
      <c r="G7" s="112" t="str">
        <f>VLOOKUP(C7,Purchased!A:Q,10,0)</f>
        <v>AAP</v>
      </c>
      <c r="H7" s="112" t="str">
        <f>VLOOKUP(C7,Purchased!A:Q,12,0)</f>
        <v xml:space="preserve">  </v>
      </c>
      <c r="I7" s="113"/>
      <c r="J7" s="44">
        <f>VLOOKUP(C7,Purchased!A:Q,13,0)</f>
        <v>45104</v>
      </c>
      <c r="K7" s="44">
        <f>VLOOKUP(C7,Purchased!A:Q,14,0)</f>
        <v>45105</v>
      </c>
      <c r="L7" s="44">
        <f>VLOOKUP(C7,Purchased!A:Q,15,0)</f>
        <v>45133</v>
      </c>
      <c r="M7" s="44">
        <f>VLOOKUP(C7,Purchased!A:Q,16,0)</f>
        <v>45133</v>
      </c>
      <c r="N7" s="45" t="str">
        <f>VLOOKUP(C7,Purchased!A:Q,17,0)</f>
        <v>54968, 55147</v>
      </c>
      <c r="O7" s="45" t="e">
        <f t="shared" ref="O7:O10" ca="1" si="2">B7*$L$2</f>
        <v>#VALUE!</v>
      </c>
      <c r="P7" s="49">
        <f>IFERROR(VLOOKUP(C7,Purchased!A:E,3,FALSE),"")</f>
        <v>0.64290000000000003</v>
      </c>
      <c r="Q7" s="50">
        <f t="shared" ref="Q7:Q10" si="3">IFERROR(B7*P7,"")</f>
        <v>1.2858000000000001</v>
      </c>
    </row>
    <row r="8" spans="1:17" s="2" customFormat="1" ht="12" customHeight="1">
      <c r="A8" s="4">
        <f t="shared" ref="A8:A10" si="4">A7+1</f>
        <v>302</v>
      </c>
      <c r="B8" s="2">
        <v>2</v>
      </c>
      <c r="C8" s="114" t="s">
        <v>325</v>
      </c>
      <c r="D8" s="268" t="str">
        <f>VLOOKUP(C8,Purchased!A:B,2,0)</f>
        <v>BRX GOTO T-NUT 10 M4</v>
      </c>
      <c r="E8" s="269"/>
      <c r="F8" s="112" t="str">
        <f>VLOOKUP(C8,Purchased!A:Q,9,0)</f>
        <v>BRX</v>
      </c>
      <c r="G8" s="112" t="str">
        <f>VLOOKUP(C8,Purchased!A:Q,10,0)</f>
        <v>AAP</v>
      </c>
      <c r="H8" s="112" t="str">
        <f>VLOOKUP(C8,Purchased!A:Q,12,0)</f>
        <v>14 NuLine Stock</v>
      </c>
      <c r="I8" s="113"/>
      <c r="J8" s="44">
        <f>VLOOKUP(C8,Purchased!A:Q,13,0)</f>
        <v>45104</v>
      </c>
      <c r="K8" s="44">
        <f>VLOOKUP(C8,Purchased!A:Q,14,0)</f>
        <v>45105</v>
      </c>
      <c r="L8" s="44">
        <f>VLOOKUP(C8,Purchased!A:Q,15,0)</f>
        <v>45133</v>
      </c>
      <c r="M8" s="44">
        <f>VLOOKUP(C8,Purchased!A:Q,16,0)</f>
        <v>45133</v>
      </c>
      <c r="N8" s="45">
        <f>VLOOKUP(C8,Purchased!A:Q,17,0)</f>
        <v>54968</v>
      </c>
      <c r="O8" s="45" t="e">
        <f t="shared" ca="1" si="2"/>
        <v>#VALUE!</v>
      </c>
      <c r="P8" s="49">
        <f>IFERROR(VLOOKUP(C8,Purchased!A:E,3,FALSE),"")</f>
        <v>0.64290000000000003</v>
      </c>
      <c r="Q8" s="50">
        <f t="shared" si="3"/>
        <v>1.2858000000000001</v>
      </c>
    </row>
    <row r="9" spans="1:17" s="2" customFormat="1" ht="12" customHeight="1">
      <c r="A9" s="4">
        <f t="shared" si="4"/>
        <v>303</v>
      </c>
      <c r="B9" s="2">
        <v>1</v>
      </c>
      <c r="C9" s="114" t="s">
        <v>326</v>
      </c>
      <c r="D9" s="268" t="str">
        <f>VLOOKUP(C9,Purchased!A:B,2,0)</f>
        <v>Keyence GS-M51P Mag Lock Unit</v>
      </c>
      <c r="E9" s="269"/>
      <c r="F9" s="112" t="str">
        <f>VLOOKUP(C9,Purchased!A:Q,9,0)</f>
        <v>KEYENCE</v>
      </c>
      <c r="G9" s="112" t="str">
        <f>VLOOKUP(C9,Purchased!A:Q,10,0)</f>
        <v>KEYENCE</v>
      </c>
      <c r="H9" s="112" t="str">
        <f>VLOOKUP(C9,Purchased!A:Q,12,0)</f>
        <v xml:space="preserve"> </v>
      </c>
      <c r="I9" s="113"/>
      <c r="J9" s="44" t="str">
        <f>VLOOKUP(C9,Purchased!A:Q,13,0)</f>
        <v>N/A</v>
      </c>
      <c r="K9" s="44">
        <f>VLOOKUP(C9,Purchased!A:Q,14,0)</f>
        <v>45089</v>
      </c>
      <c r="L9" s="44">
        <f>VLOOKUP(C9,Purchased!A:Q,15,0)</f>
        <v>45114</v>
      </c>
      <c r="M9" s="44">
        <f>VLOOKUP(C9,Purchased!A:Q,16,0)</f>
        <v>45114</v>
      </c>
      <c r="N9" s="45">
        <f>VLOOKUP(C9,Purchased!A:Q,17,0)</f>
        <v>54936</v>
      </c>
      <c r="O9" s="45" t="e">
        <f t="shared" ca="1" si="2"/>
        <v>#VALUE!</v>
      </c>
      <c r="P9" s="49">
        <f>IFERROR(VLOOKUP(C9,Purchased!A:E,3,FALSE),"")</f>
        <v>320</v>
      </c>
      <c r="Q9" s="50">
        <f t="shared" si="3"/>
        <v>320</v>
      </c>
    </row>
    <row r="10" spans="1:17" s="2" customFormat="1" ht="12" customHeight="1">
      <c r="A10" s="4">
        <f t="shared" si="4"/>
        <v>304</v>
      </c>
      <c r="B10" s="2">
        <v>1</v>
      </c>
      <c r="C10" s="114" t="s">
        <v>327</v>
      </c>
      <c r="D10" s="268" t="str">
        <f>VLOOKUP(C10,Purchased!A:B,2,0)</f>
        <v>Keyence GS-MA5M Actuator</v>
      </c>
      <c r="E10" s="269"/>
      <c r="F10" s="112" t="str">
        <f>VLOOKUP(C10,Purchased!A:Q,9,0)</f>
        <v>KEYENCE</v>
      </c>
      <c r="G10" s="112" t="str">
        <f>VLOOKUP(C10,Purchased!A:Q,10,0)</f>
        <v>KEYENCE</v>
      </c>
      <c r="H10" s="112" t="str">
        <f>VLOOKUP(C10,Purchased!A:Q,12,0)</f>
        <v xml:space="preserve"> </v>
      </c>
      <c r="I10" s="113"/>
      <c r="J10" s="44" t="str">
        <f>VLOOKUP(C10,Purchased!A:Q,13,0)</f>
        <v>N/A</v>
      </c>
      <c r="K10" s="44">
        <f>VLOOKUP(C10,Purchased!A:Q,14,0)</f>
        <v>45089</v>
      </c>
      <c r="L10" s="44">
        <f>VLOOKUP(C10,Purchased!A:Q,15,0)</f>
        <v>45114</v>
      </c>
      <c r="M10" s="44">
        <f>VLOOKUP(C10,Purchased!A:Q,16,0)</f>
        <v>45114</v>
      </c>
      <c r="N10" s="45">
        <f>VLOOKUP(C10,Purchased!A:Q,17,0)</f>
        <v>54936</v>
      </c>
      <c r="O10" s="45" t="e">
        <f t="shared" ca="1" si="2"/>
        <v>#VALUE!</v>
      </c>
      <c r="P10" s="49">
        <f>IFERROR(VLOOKUP(C10,Purchased!A:E,3,FALSE),"")</f>
        <v>70</v>
      </c>
      <c r="Q10" s="50">
        <f t="shared" si="3"/>
        <v>70</v>
      </c>
    </row>
    <row r="11" spans="1:17" s="2" customFormat="1" ht="12" customHeight="1">
      <c r="A11" s="4">
        <f>A10+1</f>
        <v>305</v>
      </c>
      <c r="B11" s="2">
        <v>1</v>
      </c>
      <c r="C11" s="114" t="s">
        <v>328</v>
      </c>
      <c r="D11" s="268" t="str">
        <f>VLOOKUP(C11,Purchased!A:B,2,0)</f>
        <v>Safety Interlock Switch Cable Std.Extension,L-shaped,8-pin,M12,1m</v>
      </c>
      <c r="E11" s="269"/>
      <c r="F11" s="112" t="str">
        <f>VLOOKUP(C11,Purchased!A:Q,9,0)</f>
        <v>KEYENCE</v>
      </c>
      <c r="G11" s="112" t="str">
        <f>VLOOKUP(C11,Purchased!A:Q,10,0)</f>
        <v>KEYENCE</v>
      </c>
      <c r="H11" s="112" t="str">
        <f>VLOOKUP(C11,Purchased!A:Q,12,0)</f>
        <v xml:space="preserve"> </v>
      </c>
      <c r="I11" s="113"/>
      <c r="J11" s="44" t="str">
        <f>VLOOKUP(C11,Purchased!A:Q,13,0)</f>
        <v>N/A</v>
      </c>
      <c r="K11" s="44">
        <f>VLOOKUP(C11,Purchased!A:Q,14,0)</f>
        <v>45089</v>
      </c>
      <c r="L11" s="44">
        <f>VLOOKUP(C11,Purchased!A:Q,15,0)</f>
        <v>45114</v>
      </c>
      <c r="M11" s="44">
        <f>VLOOKUP(C11,Purchased!A:Q,16,0)</f>
        <v>45114</v>
      </c>
      <c r="N11" s="45">
        <f>VLOOKUP(C11,Purchased!A:Q,17,0)</f>
        <v>54936</v>
      </c>
      <c r="O11" s="45" t="e">
        <f ca="1">B11*$L$2</f>
        <v>#VALUE!</v>
      </c>
      <c r="P11" s="49">
        <f>IFERROR(VLOOKUP(C11,Purchased!A:E,3,FALSE),"")</f>
        <v>45</v>
      </c>
      <c r="Q11" s="50">
        <f>IFERROR(B11*P11,"")</f>
        <v>45</v>
      </c>
    </row>
    <row r="12" spans="1:17" s="2" customFormat="1" ht="12" customHeight="1">
      <c r="A12" s="4">
        <f>A11+1</f>
        <v>306</v>
      </c>
      <c r="B12" s="2">
        <v>1</v>
      </c>
      <c r="C12" s="114" t="s">
        <v>329</v>
      </c>
      <c r="D12" s="268" t="str">
        <f>VLOOKUP(C12,Purchased!A:B,2,0)</f>
        <v>Safety Interlock Switch Cable Standard, 8-pin, M12, 10m</v>
      </c>
      <c r="E12" s="269"/>
      <c r="F12" s="112" t="str">
        <f>VLOOKUP(C12,Purchased!A:Q,9,0)</f>
        <v>KEYENCE</v>
      </c>
      <c r="G12" s="112" t="str">
        <f>VLOOKUP(C12,Purchased!A:Q,10,0)</f>
        <v>KEYENCE</v>
      </c>
      <c r="H12" s="113" t="s">
        <v>330</v>
      </c>
      <c r="I12" s="113"/>
      <c r="J12" s="44" t="str">
        <f>VLOOKUP(C12,Purchased!A:Q,13,0)</f>
        <v>N/A</v>
      </c>
      <c r="K12" s="44">
        <f>VLOOKUP(C12,Purchased!A:Q,14,0)</f>
        <v>45089</v>
      </c>
      <c r="L12" s="44">
        <f>VLOOKUP(C12,Purchased!A:Q,15,0)</f>
        <v>45114</v>
      </c>
      <c r="M12" s="44">
        <f>VLOOKUP(C12,Purchased!A:Q,16,0)</f>
        <v>45114</v>
      </c>
      <c r="N12" s="45">
        <f>VLOOKUP(C12,Purchased!A:Q,17,0)</f>
        <v>54936</v>
      </c>
      <c r="O12" s="45" t="e">
        <f ca="1">B12*$L$2</f>
        <v>#VALUE!</v>
      </c>
      <c r="P12" s="49">
        <f>IFERROR(VLOOKUP(C12,Purchased!A:E,3,FALSE),"")</f>
        <v>100</v>
      </c>
      <c r="Q12" s="50">
        <f>IFERROR(B12*P12,"")</f>
        <v>100</v>
      </c>
    </row>
    <row r="13" spans="1:17" s="2" customFormat="1" ht="12" customHeight="1">
      <c r="A13" s="4">
        <f>A12+1</f>
        <v>307</v>
      </c>
      <c r="B13" s="2">
        <f>9/14</f>
        <v>0.6428571428571429</v>
      </c>
      <c r="C13" s="114" t="s">
        <v>331</v>
      </c>
      <c r="D13" s="268" t="str">
        <f>VLOOKUP(C13,Purchased!A:B,2,0)</f>
        <v>Safety Interlock Switch Cable Standard Extension, 8-pin, M12, 5m</v>
      </c>
      <c r="E13" s="269"/>
      <c r="F13" s="112" t="str">
        <f>VLOOKUP(C13,Purchased!A:Q,9,0)</f>
        <v>KEYENCE</v>
      </c>
      <c r="G13" s="112" t="str">
        <f>VLOOKUP(C13,Purchased!A:Q,10,0)</f>
        <v>KEYENCE</v>
      </c>
      <c r="H13" s="113" t="s">
        <v>332</v>
      </c>
      <c r="I13" s="113"/>
      <c r="J13" s="44" t="str">
        <f>VLOOKUP(C13,Purchased!A:Q,13,0)</f>
        <v>N/A</v>
      </c>
      <c r="K13" s="44">
        <f>VLOOKUP(C13,Purchased!A:Q,14,0)</f>
        <v>45089</v>
      </c>
      <c r="L13" s="44">
        <f>VLOOKUP(C13,Purchased!A:Q,15,0)</f>
        <v>45114</v>
      </c>
      <c r="M13" s="44">
        <f>VLOOKUP(C13,Purchased!A:Q,16,0)</f>
        <v>45114</v>
      </c>
      <c r="N13" s="45">
        <f>VLOOKUP(C13,Purchased!A:Q,17,0)</f>
        <v>54936</v>
      </c>
      <c r="O13" s="45" t="e">
        <f ca="1">B13*$L$2</f>
        <v>#VALUE!</v>
      </c>
      <c r="P13" s="49">
        <f>IFERROR(VLOOKUP(C13,Purchased!A:E,3,FALSE),"")</f>
        <v>100</v>
      </c>
      <c r="Q13" s="50">
        <f>IFERROR(B13*P13,"")</f>
        <v>64.285714285714292</v>
      </c>
    </row>
    <row r="14" spans="1:17" s="2" customFormat="1" ht="12" customHeight="1">
      <c r="A14" s="4">
        <f>A13+1</f>
        <v>308</v>
      </c>
      <c r="B14" s="2">
        <f>4/14</f>
        <v>0.2857142857142857</v>
      </c>
      <c r="C14" s="114" t="s">
        <v>333</v>
      </c>
      <c r="D14" s="268" t="str">
        <f>VLOOKUP(C14,Purchased!A:B,2,0)</f>
        <v>Safety Interlock Switch Cable Standard Extension, 8-pin, M12, 1m</v>
      </c>
      <c r="E14" s="269"/>
      <c r="F14" s="112" t="str">
        <f>VLOOKUP(C14,Purchased!A:Q,9,0)</f>
        <v>KEYENCE</v>
      </c>
      <c r="G14" s="112" t="str">
        <f>VLOOKUP(C14,Purchased!A:Q,10,0)</f>
        <v>KEYENCE</v>
      </c>
      <c r="H14" s="113" t="s">
        <v>334</v>
      </c>
      <c r="I14" s="113"/>
      <c r="J14" s="44" t="str">
        <f>VLOOKUP(C14,Purchased!A:Q,13,0)</f>
        <v>N/A</v>
      </c>
      <c r="K14" s="44">
        <f>VLOOKUP(C14,Purchased!A:Q,14,0)</f>
        <v>45089</v>
      </c>
      <c r="L14" s="44">
        <f>VLOOKUP(C14,Purchased!A:Q,15,0)</f>
        <v>45114</v>
      </c>
      <c r="M14" s="44">
        <f>VLOOKUP(C14,Purchased!A:Q,16,0)</f>
        <v>45114</v>
      </c>
      <c r="N14" s="45">
        <f>VLOOKUP(C14,Purchased!A:Q,17,0)</f>
        <v>54936</v>
      </c>
      <c r="O14" s="45" t="e">
        <f ca="1">B14*$L$2</f>
        <v>#VALUE!</v>
      </c>
      <c r="P14" s="49">
        <f>IFERROR(VLOOKUP(C14,Purchased!A:E,3,FALSE),"")</f>
        <v>88</v>
      </c>
      <c r="Q14" s="50">
        <f>IFERROR(B14*P14,"")</f>
        <v>25.142857142857142</v>
      </c>
    </row>
    <row r="15" spans="1:17" s="2" customFormat="1" ht="12.75" customHeight="1">
      <c r="A15" s="25"/>
      <c r="B15" s="26"/>
      <c r="C15" s="26"/>
      <c r="D15" s="272"/>
      <c r="E15" s="273"/>
      <c r="F15" s="26"/>
      <c r="G15" s="26"/>
      <c r="H15" s="274"/>
      <c r="I15" s="275"/>
      <c r="J15" s="27"/>
      <c r="K15" s="27"/>
      <c r="L15" s="27"/>
      <c r="M15" s="28"/>
      <c r="N15" s="29"/>
      <c r="O15" s="29" t="e">
        <f t="shared" ref="O15:O19" ca="1" si="5">B15*$L$2</f>
        <v>#VALUE!</v>
      </c>
      <c r="P15" s="141"/>
      <c r="Q15" s="142"/>
    </row>
    <row r="16" spans="1:17" s="2" customFormat="1" ht="12.75" customHeight="1">
      <c r="A16" s="4">
        <v>501</v>
      </c>
      <c r="B16" s="2">
        <v>2</v>
      </c>
      <c r="C16" s="110" t="s">
        <v>335</v>
      </c>
      <c r="D16" s="268"/>
      <c r="E16" s="276"/>
      <c r="F16" s="112" t="str">
        <f>VLOOKUP(C16,Bolts!A:L,5,0)</f>
        <v xml:space="preserve">  </v>
      </c>
      <c r="G16" s="112" t="str">
        <f>VLOOKUP(C16,Bolts!A:L,6,0)</f>
        <v>Monroe Fasteners</v>
      </c>
      <c r="H16" s="112" t="str">
        <f>VLOOKUP(C16,Bolts!A:L,7,0)</f>
        <v xml:space="preserve">  </v>
      </c>
      <c r="I16" s="112"/>
      <c r="J16" s="44" t="str">
        <f>VLOOKUP(C16,Bolts!A:L,8,0)</f>
        <v xml:space="preserve"> </v>
      </c>
      <c r="K16" s="44" t="str">
        <f>VLOOKUP(C16,Bolts!A:L,9,0)</f>
        <v xml:space="preserve"> </v>
      </c>
      <c r="L16" s="44" t="str">
        <f>VLOOKUP(C16,Bolts!A:L,10,0)</f>
        <v xml:space="preserve"> </v>
      </c>
      <c r="M16" s="44" t="str">
        <f>VLOOKUP(C16,Bolts!A:L,11,0)</f>
        <v xml:space="preserve"> </v>
      </c>
      <c r="N16" s="45" t="str">
        <f>VLOOKUP(C16,Bolts!A:L,12,0)</f>
        <v xml:space="preserve"> </v>
      </c>
      <c r="O16" s="45" t="e">
        <f t="shared" ca="1" si="5"/>
        <v>#VALUE!</v>
      </c>
      <c r="P16" s="49" t="str">
        <f>IFERROR(VLOOKUP(C16,Bolts!A:B,2,FALSE),"")</f>
        <v xml:space="preserve"> </v>
      </c>
      <c r="Q16" s="50" t="str">
        <f t="shared" ref="Q16:Q19" si="6">IFERROR(B16*P16,"")</f>
        <v/>
      </c>
    </row>
    <row r="17" spans="1:17" s="2" customFormat="1" ht="12.75" customHeight="1">
      <c r="A17" s="4">
        <f t="shared" ref="A17:A19" si="7">A16+1</f>
        <v>502</v>
      </c>
      <c r="B17" s="2">
        <v>2</v>
      </c>
      <c r="C17" s="110" t="s">
        <v>336</v>
      </c>
      <c r="D17" s="268"/>
      <c r="E17" s="276"/>
      <c r="F17" s="112" t="str">
        <f>VLOOKUP(C17,Bolts!A:L,5,0)</f>
        <v xml:space="preserve">  </v>
      </c>
      <c r="G17" s="112" t="str">
        <f>VLOOKUP(C17,Bolts!A:L,6,0)</f>
        <v>Monroe Fasteners</v>
      </c>
      <c r="H17" s="112" t="str">
        <f>VLOOKUP(C17,Bolts!A:L,7,0)</f>
        <v xml:space="preserve">  </v>
      </c>
      <c r="I17" s="112"/>
      <c r="J17" s="44" t="str">
        <f>VLOOKUP(C17,Bolts!A:L,8,0)</f>
        <v xml:space="preserve"> </v>
      </c>
      <c r="K17" s="44" t="str">
        <f>VLOOKUP(C17,Bolts!A:L,9,0)</f>
        <v xml:space="preserve"> </v>
      </c>
      <c r="L17" s="44" t="str">
        <f>VLOOKUP(C17,Bolts!A:L,10,0)</f>
        <v xml:space="preserve"> </v>
      </c>
      <c r="M17" s="44" t="str">
        <f>VLOOKUP(C17,Bolts!A:L,11,0)</f>
        <v xml:space="preserve"> </v>
      </c>
      <c r="N17" s="45" t="str">
        <f>VLOOKUP(C17,Bolts!A:L,12,0)</f>
        <v xml:space="preserve"> </v>
      </c>
      <c r="O17" s="45" t="e">
        <f t="shared" ca="1" si="5"/>
        <v>#VALUE!</v>
      </c>
      <c r="P17" s="49" t="str">
        <f>IFERROR(VLOOKUP(C17,Bolts!A:B,2,FALSE),"")</f>
        <v xml:space="preserve"> </v>
      </c>
      <c r="Q17" s="50" t="str">
        <f t="shared" si="6"/>
        <v/>
      </c>
    </row>
    <row r="18" spans="1:17" s="2" customFormat="1" ht="12" customHeight="1">
      <c r="A18" s="4">
        <f t="shared" si="7"/>
        <v>503</v>
      </c>
      <c r="B18" s="2">
        <v>2</v>
      </c>
      <c r="C18" s="110" t="s">
        <v>259</v>
      </c>
      <c r="D18" s="268"/>
      <c r="E18" s="276"/>
      <c r="F18" s="112" t="str">
        <f>VLOOKUP(C18,Bolts!A:L,5,0)</f>
        <v xml:space="preserve">  </v>
      </c>
      <c r="G18" s="112" t="str">
        <f>VLOOKUP(C18,Bolts!A:L,6,0)</f>
        <v>Monroe Fasteners</v>
      </c>
      <c r="H18" s="112" t="str">
        <f>VLOOKUP(C18,Bolts!A:L,7,0)</f>
        <v xml:space="preserve">  </v>
      </c>
      <c r="I18" s="112"/>
      <c r="J18" s="44" t="str">
        <f>VLOOKUP(C18,Bolts!A:L,8,0)</f>
        <v xml:space="preserve"> </v>
      </c>
      <c r="K18" s="44" t="str">
        <f>VLOOKUP(C18,Bolts!A:L,9,0)</f>
        <v xml:space="preserve"> </v>
      </c>
      <c r="L18" s="44" t="str">
        <f>VLOOKUP(C18,Bolts!A:L,10,0)</f>
        <v xml:space="preserve"> </v>
      </c>
      <c r="M18" s="44" t="str">
        <f>VLOOKUP(C18,Bolts!A:L,11,0)</f>
        <v xml:space="preserve"> </v>
      </c>
      <c r="N18" s="45" t="str">
        <f>VLOOKUP(C18,Bolts!A:L,12,0)</f>
        <v xml:space="preserve"> </v>
      </c>
      <c r="O18" s="45" t="e">
        <f t="shared" ca="1" si="5"/>
        <v>#VALUE!</v>
      </c>
      <c r="P18" s="49" t="str">
        <f>IFERROR(VLOOKUP(C18,Bolts!A:B,2,FALSE),"")</f>
        <v xml:space="preserve"> </v>
      </c>
      <c r="Q18" s="50" t="str">
        <f t="shared" si="6"/>
        <v/>
      </c>
    </row>
    <row r="19" spans="1:17" s="2" customFormat="1" ht="12" customHeight="1" thickBot="1">
      <c r="A19" s="4">
        <f t="shared" si="7"/>
        <v>504</v>
      </c>
      <c r="B19" s="2">
        <v>2</v>
      </c>
      <c r="C19" s="110" t="s">
        <v>337</v>
      </c>
      <c r="D19" s="268"/>
      <c r="E19" s="276"/>
      <c r="F19" s="112" t="str">
        <f>VLOOKUP(C19,Bolts!A:L,5,0)</f>
        <v xml:space="preserve">  </v>
      </c>
      <c r="G19" s="112" t="str">
        <f>VLOOKUP(C19,Bolts!A:L,6,0)</f>
        <v>Monroe Fasteners</v>
      </c>
      <c r="H19" s="112" t="str">
        <f>VLOOKUP(C19,Bolts!A:L,7,0)</f>
        <v xml:space="preserve">  </v>
      </c>
      <c r="I19" s="112"/>
      <c r="J19" s="44" t="str">
        <f>VLOOKUP(C19,Bolts!A:L,8,0)</f>
        <v xml:space="preserve"> </v>
      </c>
      <c r="K19" s="44" t="str">
        <f>VLOOKUP(C19,Bolts!A:L,9,0)</f>
        <v xml:space="preserve"> </v>
      </c>
      <c r="L19" s="44" t="str">
        <f>VLOOKUP(C19,Bolts!A:L,10,0)</f>
        <v xml:space="preserve"> </v>
      </c>
      <c r="M19" s="44" t="str">
        <f>VLOOKUP(C19,Bolts!A:L,11,0)</f>
        <v xml:space="preserve"> </v>
      </c>
      <c r="N19" s="45" t="str">
        <f>VLOOKUP(C19,Bolts!A:L,12,0)</f>
        <v xml:space="preserve"> </v>
      </c>
      <c r="O19" s="45" t="e">
        <f t="shared" ca="1" si="5"/>
        <v>#VALUE!</v>
      </c>
      <c r="P19" s="49" t="str">
        <f>IFERROR(VLOOKUP(C19,Bolts!A:B,2,FALSE),"")</f>
        <v xml:space="preserve"> </v>
      </c>
      <c r="Q19" s="50" t="str">
        <f t="shared" si="6"/>
        <v/>
      </c>
    </row>
    <row r="20" spans="1:17" s="2" customFormat="1" ht="12.75" customHeight="1" thickBot="1">
      <c r="A20" s="34"/>
      <c r="B20" s="35"/>
      <c r="C20" s="35"/>
      <c r="D20" s="256"/>
      <c r="E20" s="257"/>
      <c r="F20" s="35"/>
      <c r="G20" s="35"/>
      <c r="H20" s="294"/>
      <c r="I20" s="295"/>
      <c r="J20" s="36"/>
      <c r="K20" s="36"/>
      <c r="L20" s="36"/>
      <c r="M20" s="37"/>
      <c r="N20" s="38"/>
      <c r="O20" s="38"/>
      <c r="P20" s="89" t="s">
        <v>43</v>
      </c>
      <c r="Q20" s="94">
        <f>SUM(Q5:Q19)</f>
        <v>677.00017142857143</v>
      </c>
    </row>
    <row r="21" spans="1:17" s="2" customFormat="1" ht="12" customHeight="1">
      <c r="D21" s="22"/>
      <c r="E21" s="22"/>
      <c r="J21" s="8"/>
      <c r="K21" s="8"/>
      <c r="L21" s="8"/>
      <c r="M21" s="8"/>
      <c r="N21" s="5"/>
      <c r="O21" s="5"/>
      <c r="P21" s="88"/>
      <c r="Q21" s="95"/>
    </row>
    <row r="22" spans="1:17" s="2" customFormat="1" ht="12" customHeight="1">
      <c r="B22" s="22"/>
      <c r="C22" s="22"/>
      <c r="H22" s="5"/>
      <c r="I22" s="5"/>
      <c r="J22" s="5"/>
      <c r="K22" s="5"/>
      <c r="L22" s="5"/>
      <c r="M22" s="5"/>
      <c r="N22" s="88"/>
      <c r="O22" s="95"/>
    </row>
    <row r="23" spans="1:17" s="2" customFormat="1" ht="12" customHeight="1">
      <c r="B23" s="22"/>
      <c r="C23" s="22"/>
      <c r="H23" s="5"/>
      <c r="I23" s="5"/>
      <c r="J23" s="5"/>
      <c r="K23" s="5"/>
      <c r="L23" s="5"/>
      <c r="M23" s="5"/>
      <c r="N23" s="88"/>
      <c r="O23" s="95"/>
    </row>
    <row r="24" spans="1:17" s="2" customFormat="1" ht="12" customHeight="1">
      <c r="D24" s="22"/>
      <c r="E24" s="22"/>
      <c r="J24" s="5"/>
      <c r="K24" s="5"/>
      <c r="L24" s="5"/>
      <c r="M24" s="5"/>
      <c r="N24" s="5"/>
      <c r="O24" s="5"/>
      <c r="P24" s="88"/>
      <c r="Q24" s="95"/>
    </row>
    <row r="25" spans="1:17" s="2" customFormat="1" ht="12" customHeight="1">
      <c r="D25" s="22"/>
      <c r="E25" s="22"/>
      <c r="J25" s="5"/>
      <c r="K25" s="5"/>
      <c r="L25" s="5"/>
      <c r="M25" s="5"/>
      <c r="N25" s="5"/>
      <c r="O25" s="5"/>
      <c r="P25" s="88"/>
      <c r="Q25" s="95"/>
    </row>
    <row r="26" spans="1:17" s="2" customFormat="1" ht="12" customHeight="1">
      <c r="D26" s="22"/>
      <c r="E26" s="22"/>
      <c r="J26" s="5"/>
      <c r="K26" s="5"/>
      <c r="L26" s="5"/>
      <c r="M26" s="5"/>
      <c r="N26" s="5"/>
      <c r="O26" s="5"/>
      <c r="P26" s="88"/>
      <c r="Q26" s="95"/>
    </row>
    <row r="27" spans="1:17" s="2" customFormat="1" ht="12" customHeight="1">
      <c r="D27" s="22"/>
      <c r="E27" s="22"/>
      <c r="J27" s="5"/>
      <c r="K27" s="5"/>
      <c r="L27" s="5"/>
      <c r="M27" s="5"/>
      <c r="N27" s="5"/>
      <c r="O27" s="5"/>
      <c r="P27" s="88"/>
      <c r="Q27" s="95"/>
    </row>
    <row r="28" spans="1:17" s="2" customFormat="1" ht="12" customHeight="1">
      <c r="D28" s="22"/>
      <c r="E28" s="22"/>
      <c r="J28" s="5"/>
      <c r="K28" s="5"/>
      <c r="L28" s="5"/>
      <c r="M28" s="5"/>
      <c r="N28" s="5"/>
      <c r="O28" s="5"/>
      <c r="P28" s="88"/>
      <c r="Q28" s="95"/>
    </row>
    <row r="29" spans="1:17" s="2" customFormat="1" ht="12" customHeight="1">
      <c r="D29" s="22"/>
      <c r="E29" s="22"/>
      <c r="J29" s="5"/>
      <c r="K29" s="5"/>
      <c r="L29" s="5"/>
      <c r="M29" s="5"/>
      <c r="N29" s="5"/>
      <c r="O29" s="5"/>
      <c r="P29" s="88"/>
      <c r="Q29" s="95"/>
    </row>
    <row r="30" spans="1:17" s="2" customFormat="1" ht="12" customHeight="1">
      <c r="D30" s="22"/>
      <c r="E30" s="22"/>
      <c r="J30" s="5"/>
      <c r="K30" s="5"/>
      <c r="L30" s="5"/>
      <c r="M30" s="5"/>
      <c r="N30" s="5"/>
      <c r="O30" s="5"/>
      <c r="P30" s="88"/>
      <c r="Q30" s="95"/>
    </row>
    <row r="31" spans="1:17" s="2" customFormat="1" ht="12" customHeight="1">
      <c r="D31" s="22"/>
      <c r="E31" s="22"/>
      <c r="J31" s="5"/>
      <c r="K31" s="5"/>
      <c r="L31" s="5"/>
      <c r="M31" s="5"/>
      <c r="N31" s="5"/>
      <c r="O31" s="5"/>
      <c r="P31" s="88"/>
      <c r="Q31" s="95"/>
    </row>
    <row r="32" spans="1:17" s="2" customFormat="1" ht="12" customHeight="1">
      <c r="D32" s="22"/>
      <c r="E32" s="22"/>
      <c r="J32" s="5"/>
      <c r="K32" s="5"/>
      <c r="L32" s="5"/>
      <c r="M32" s="5"/>
      <c r="N32" s="5"/>
      <c r="O32" s="5"/>
      <c r="P32" s="88"/>
      <c r="Q32" s="95"/>
    </row>
    <row r="33" spans="4:17" s="2" customFormat="1" ht="12" customHeight="1">
      <c r="D33" s="22"/>
      <c r="E33" s="22"/>
      <c r="J33" s="5"/>
      <c r="K33" s="5"/>
      <c r="L33" s="5"/>
      <c r="M33" s="5"/>
      <c r="N33" s="5"/>
      <c r="O33" s="5"/>
      <c r="P33" s="88"/>
      <c r="Q33" s="95"/>
    </row>
    <row r="34" spans="4:17" s="2" customFormat="1" ht="12" customHeight="1">
      <c r="D34" s="22"/>
      <c r="E34" s="22"/>
      <c r="J34" s="5"/>
      <c r="K34" s="5"/>
      <c r="L34" s="5"/>
      <c r="M34" s="5"/>
      <c r="N34" s="5"/>
      <c r="O34" s="5"/>
      <c r="P34" s="88"/>
      <c r="Q34" s="95"/>
    </row>
    <row r="35" spans="4:17" s="2" customFormat="1" ht="12" customHeight="1">
      <c r="D35" s="22"/>
      <c r="E35" s="22"/>
      <c r="J35" s="5"/>
      <c r="K35" s="5"/>
      <c r="L35" s="5"/>
      <c r="M35" s="5"/>
      <c r="N35" s="5"/>
      <c r="O35" s="5"/>
      <c r="P35" s="88"/>
      <c r="Q35" s="95"/>
    </row>
    <row r="36" spans="4:17" s="2" customFormat="1" ht="12" customHeight="1">
      <c r="D36" s="22"/>
      <c r="E36" s="22"/>
      <c r="J36" s="5"/>
      <c r="K36" s="5"/>
      <c r="L36" s="5"/>
      <c r="M36" s="5"/>
      <c r="N36" s="5"/>
      <c r="O36" s="5"/>
      <c r="P36" s="88"/>
      <c r="Q36" s="95"/>
    </row>
    <row r="37" spans="4:17" s="2" customFormat="1" ht="12" customHeight="1">
      <c r="D37" s="22"/>
      <c r="E37" s="22"/>
      <c r="J37" s="5"/>
      <c r="K37" s="5"/>
      <c r="L37" s="5"/>
      <c r="M37" s="5"/>
      <c r="N37" s="5"/>
      <c r="O37" s="5"/>
      <c r="P37" s="88"/>
      <c r="Q37" s="95"/>
    </row>
    <row r="38" spans="4:17" s="2" customFormat="1" ht="12" customHeight="1">
      <c r="D38" s="22"/>
      <c r="E38" s="22"/>
      <c r="J38" s="5"/>
      <c r="K38" s="5"/>
      <c r="L38" s="5"/>
      <c r="M38" s="5"/>
      <c r="N38" s="5"/>
      <c r="O38" s="5"/>
      <c r="P38" s="88"/>
      <c r="Q38" s="95"/>
    </row>
    <row r="39" spans="4:17" s="2" customFormat="1" ht="12" customHeight="1">
      <c r="D39" s="22"/>
      <c r="E39" s="22"/>
      <c r="J39" s="5"/>
      <c r="K39" s="5"/>
      <c r="L39" s="5"/>
      <c r="M39" s="5"/>
      <c r="N39" s="5"/>
      <c r="O39" s="5"/>
      <c r="P39" s="88"/>
      <c r="Q39" s="95"/>
    </row>
    <row r="40" spans="4:17" s="2" customFormat="1" ht="12" customHeight="1">
      <c r="D40" s="22"/>
      <c r="E40" s="22"/>
      <c r="J40" s="5"/>
      <c r="K40" s="5"/>
      <c r="L40" s="5"/>
      <c r="M40" s="5"/>
      <c r="N40" s="5"/>
      <c r="O40" s="5"/>
      <c r="P40" s="88"/>
      <c r="Q40" s="95"/>
    </row>
    <row r="41" spans="4:17" s="2" customFormat="1" ht="12" customHeight="1">
      <c r="D41" s="22"/>
      <c r="E41" s="22"/>
      <c r="J41" s="5"/>
      <c r="K41" s="5"/>
      <c r="L41" s="5"/>
      <c r="M41" s="5"/>
      <c r="N41" s="5"/>
      <c r="O41" s="5"/>
      <c r="P41" s="88"/>
      <c r="Q41" s="95"/>
    </row>
    <row r="42" spans="4:17" s="2" customFormat="1" ht="12" customHeight="1">
      <c r="D42" s="22"/>
      <c r="E42" s="22"/>
      <c r="J42" s="5"/>
      <c r="K42" s="5"/>
      <c r="L42" s="5"/>
      <c r="M42" s="5"/>
      <c r="N42" s="5"/>
      <c r="O42" s="5"/>
      <c r="P42" s="88"/>
      <c r="Q42" s="95"/>
    </row>
    <row r="43" spans="4:17" s="2" customFormat="1" ht="12" customHeight="1">
      <c r="D43" s="22"/>
      <c r="E43" s="22"/>
      <c r="J43" s="5"/>
      <c r="K43" s="5"/>
      <c r="L43" s="5"/>
      <c r="M43" s="5"/>
      <c r="N43" s="5"/>
      <c r="O43" s="5"/>
      <c r="P43" s="88"/>
      <c r="Q43" s="95"/>
    </row>
    <row r="44" spans="4:17" s="2" customFormat="1" ht="12" customHeight="1">
      <c r="D44" s="22"/>
      <c r="E44" s="22"/>
      <c r="J44" s="5"/>
      <c r="K44" s="5"/>
      <c r="L44" s="5"/>
      <c r="M44" s="5"/>
      <c r="N44" s="5"/>
      <c r="O44" s="5"/>
      <c r="P44" s="88"/>
      <c r="Q44" s="95"/>
    </row>
    <row r="45" spans="4:17" s="2" customFormat="1" ht="12" customHeight="1">
      <c r="D45" s="22"/>
      <c r="E45" s="22"/>
      <c r="J45" s="5"/>
      <c r="K45" s="5"/>
      <c r="L45" s="5"/>
      <c r="M45" s="5"/>
      <c r="N45" s="5"/>
      <c r="O45" s="5"/>
      <c r="P45" s="88"/>
      <c r="Q45" s="95"/>
    </row>
    <row r="46" spans="4:17" s="2" customFormat="1" ht="12" customHeight="1">
      <c r="D46" s="22"/>
      <c r="E46" s="22"/>
      <c r="J46" s="5"/>
      <c r="K46" s="5"/>
      <c r="L46" s="5"/>
      <c r="M46" s="5"/>
      <c r="N46" s="5"/>
      <c r="O46" s="5"/>
      <c r="P46" s="88"/>
      <c r="Q46" s="95"/>
    </row>
    <row r="47" spans="4:17" s="2" customFormat="1" ht="12" customHeight="1">
      <c r="D47" s="22"/>
      <c r="E47" s="22"/>
      <c r="J47" s="5"/>
      <c r="K47" s="5"/>
      <c r="L47" s="5"/>
      <c r="M47" s="5"/>
      <c r="N47" s="5"/>
      <c r="O47" s="5"/>
      <c r="P47" s="88"/>
      <c r="Q47" s="95"/>
    </row>
    <row r="48" spans="4:17" s="2" customFormat="1" ht="12" customHeight="1">
      <c r="D48" s="22"/>
      <c r="E48" s="22"/>
      <c r="J48" s="5"/>
      <c r="K48" s="5"/>
      <c r="L48" s="5"/>
      <c r="M48" s="5"/>
      <c r="N48" s="5"/>
      <c r="O48" s="5"/>
      <c r="P48" s="88"/>
      <c r="Q48" s="95"/>
    </row>
    <row r="49" spans="1:17" s="2" customFormat="1" ht="12" customHeight="1">
      <c r="D49" s="22"/>
      <c r="E49" s="22"/>
      <c r="J49" s="5"/>
      <c r="K49" s="5"/>
      <c r="L49" s="5"/>
      <c r="M49" s="5"/>
      <c r="N49" s="5"/>
      <c r="O49" s="5"/>
      <c r="P49" s="88"/>
      <c r="Q49" s="95"/>
    </row>
    <row r="50" spans="1:17" s="2" customFormat="1" ht="12" customHeight="1">
      <c r="D50" s="22"/>
      <c r="E50" s="22"/>
      <c r="J50" s="5"/>
      <c r="K50" s="5"/>
      <c r="L50" s="5"/>
      <c r="M50" s="5"/>
      <c r="N50" s="5"/>
      <c r="O50" s="5"/>
      <c r="P50" s="88"/>
      <c r="Q50" s="95"/>
    </row>
    <row r="51" spans="1:17" s="2" customFormat="1" ht="12" customHeight="1">
      <c r="D51" s="22"/>
      <c r="E51" s="22"/>
      <c r="J51" s="5"/>
      <c r="K51" s="5"/>
      <c r="L51" s="5"/>
      <c r="M51" s="5"/>
      <c r="N51" s="5"/>
      <c r="O51" s="5"/>
      <c r="P51" s="88"/>
      <c r="Q51" s="95"/>
    </row>
    <row r="52" spans="1:17" s="2" customFormat="1" ht="12" customHeight="1">
      <c r="D52" s="22"/>
      <c r="E52" s="22"/>
      <c r="J52" s="5"/>
      <c r="K52" s="5"/>
      <c r="L52" s="5"/>
      <c r="M52" s="5"/>
      <c r="N52" s="5"/>
      <c r="O52" s="5"/>
      <c r="P52" s="88"/>
      <c r="Q52" s="95"/>
    </row>
    <row r="53" spans="1:17" s="2" customFormat="1" ht="12" customHeight="1">
      <c r="D53" s="22"/>
      <c r="E53" s="22"/>
      <c r="J53" s="5"/>
      <c r="K53" s="5"/>
      <c r="L53" s="5"/>
      <c r="M53" s="5"/>
      <c r="N53" s="5"/>
      <c r="O53" s="5"/>
      <c r="P53" s="88"/>
      <c r="Q53" s="95"/>
    </row>
    <row r="54" spans="1:17" s="2" customFormat="1" ht="12" customHeight="1">
      <c r="D54" s="22"/>
      <c r="E54" s="22"/>
      <c r="J54" s="5"/>
      <c r="K54" s="5"/>
      <c r="L54" s="5"/>
      <c r="M54" s="5"/>
      <c r="N54" s="5"/>
      <c r="O54" s="5"/>
      <c r="P54" s="88"/>
      <c r="Q54" s="95"/>
    </row>
    <row r="55" spans="1:17" s="2" customFormat="1" ht="12" customHeight="1">
      <c r="D55" s="22"/>
      <c r="E55" s="22"/>
      <c r="J55" s="5"/>
      <c r="K55" s="5"/>
      <c r="L55" s="5"/>
      <c r="M55" s="5"/>
      <c r="N55" s="5"/>
      <c r="O55" s="5"/>
      <c r="P55" s="88"/>
      <c r="Q55" s="95"/>
    </row>
    <row r="56" spans="1:17" s="2" customFormat="1" ht="12" customHeight="1">
      <c r="D56" s="22"/>
      <c r="E56" s="22"/>
      <c r="J56" s="5"/>
      <c r="K56" s="5"/>
      <c r="L56" s="5"/>
      <c r="M56" s="5"/>
      <c r="N56" s="5"/>
      <c r="O56" s="5"/>
      <c r="P56" s="88"/>
      <c r="Q56" s="95"/>
    </row>
    <row r="57" spans="1:17" s="2" customFormat="1" ht="12" customHeight="1">
      <c r="D57" s="22"/>
      <c r="E57" s="22"/>
      <c r="J57" s="5"/>
      <c r="K57" s="5"/>
      <c r="L57" s="5"/>
      <c r="M57" s="5"/>
      <c r="N57" s="5"/>
      <c r="O57" s="5"/>
      <c r="P57" s="88"/>
      <c r="Q57" s="95"/>
    </row>
    <row r="58" spans="1:17" s="2" customFormat="1" ht="12" customHeight="1">
      <c r="D58" s="22"/>
      <c r="E58" s="22"/>
      <c r="J58" s="5"/>
      <c r="K58" s="5"/>
      <c r="L58" s="5"/>
      <c r="M58" s="5"/>
      <c r="N58" s="5"/>
      <c r="O58" s="5"/>
      <c r="P58" s="88"/>
      <c r="Q58" s="95"/>
    </row>
    <row r="59" spans="1:17" s="2" customFormat="1" ht="12" customHeight="1">
      <c r="D59" s="22"/>
      <c r="E59" s="22"/>
      <c r="J59" s="5"/>
      <c r="K59" s="5"/>
      <c r="L59" s="5"/>
      <c r="M59" s="5"/>
      <c r="N59" s="5"/>
      <c r="O59" s="5"/>
      <c r="P59" s="88"/>
      <c r="Q59" s="96"/>
    </row>
    <row r="60" spans="1:17" s="2" customFormat="1" ht="12" customHeight="1">
      <c r="D60" s="22"/>
      <c r="E60" s="22"/>
      <c r="J60" s="5"/>
      <c r="K60" s="5"/>
      <c r="L60" s="5"/>
      <c r="M60" s="5"/>
      <c r="N60" s="5"/>
      <c r="O60" s="5"/>
      <c r="P60" s="88"/>
      <c r="Q60" s="96"/>
    </row>
    <row r="61" spans="1:17" s="2" customFormat="1" ht="12" customHeight="1">
      <c r="D61" s="22"/>
      <c r="E61" s="22"/>
      <c r="J61" s="5"/>
      <c r="K61" s="5"/>
      <c r="L61" s="5"/>
      <c r="M61" s="5"/>
      <c r="N61" s="5"/>
      <c r="O61" s="5"/>
      <c r="P61" s="88"/>
      <c r="Q61" s="96"/>
    </row>
    <row r="62" spans="1:17" s="2" customFormat="1" ht="12" customHeight="1">
      <c r="D62" s="22"/>
      <c r="E62" s="22"/>
      <c r="J62" s="5"/>
      <c r="K62" s="5"/>
      <c r="L62" s="5"/>
      <c r="M62" s="5"/>
      <c r="N62" s="5"/>
      <c r="O62" s="5"/>
      <c r="P62" s="88"/>
      <c r="Q62" s="96"/>
    </row>
    <row r="63" spans="1:17" s="2" customFormat="1" ht="12" customHeight="1">
      <c r="A63"/>
      <c r="B63"/>
      <c r="C63"/>
      <c r="D63" s="23"/>
      <c r="E63" s="23"/>
      <c r="F63"/>
      <c r="G63"/>
      <c r="H63"/>
      <c r="I63"/>
      <c r="J63" s="19"/>
      <c r="K63" s="19"/>
      <c r="L63" s="19"/>
      <c r="M63" s="19"/>
      <c r="N63" s="19"/>
      <c r="O63" s="19"/>
      <c r="P63" s="90"/>
      <c r="Q63" s="96"/>
    </row>
    <row r="64" spans="1:17" s="2" customFormat="1" ht="12" customHeight="1">
      <c r="A64"/>
      <c r="B64"/>
      <c r="C64"/>
      <c r="D64" s="23"/>
      <c r="E64" s="23"/>
      <c r="F64"/>
      <c r="G64"/>
      <c r="H64"/>
      <c r="I64"/>
      <c r="J64" s="19"/>
      <c r="K64" s="19"/>
      <c r="L64" s="19"/>
      <c r="M64" s="19"/>
      <c r="N64" s="19"/>
      <c r="O64" s="19"/>
      <c r="P64" s="90"/>
      <c r="Q64" s="96"/>
    </row>
    <row r="65" spans="1:17" s="2" customFormat="1" ht="12" customHeight="1">
      <c r="A65"/>
      <c r="B65"/>
      <c r="C65"/>
      <c r="D65" s="23"/>
      <c r="E65" s="23"/>
      <c r="F65"/>
      <c r="G65"/>
      <c r="H65"/>
      <c r="I65"/>
      <c r="J65" s="19"/>
      <c r="K65" s="19"/>
      <c r="L65" s="19"/>
      <c r="M65" s="19"/>
      <c r="N65" s="19"/>
      <c r="O65" s="19"/>
      <c r="P65" s="90"/>
      <c r="Q65" s="96"/>
    </row>
    <row r="66" spans="1:17" s="2" customFormat="1" ht="12" customHeight="1">
      <c r="A66"/>
      <c r="B66"/>
      <c r="C66"/>
      <c r="D66" s="23"/>
      <c r="E66" s="23"/>
      <c r="F66"/>
      <c r="G66"/>
      <c r="H66"/>
      <c r="I66"/>
      <c r="J66" s="19"/>
      <c r="K66" s="19"/>
      <c r="L66" s="19"/>
      <c r="M66" s="19"/>
      <c r="N66" s="19"/>
      <c r="O66" s="19"/>
      <c r="P66" s="90"/>
      <c r="Q66" s="96"/>
    </row>
    <row r="67" spans="1:17" s="2" customFormat="1" ht="12" customHeight="1">
      <c r="A67"/>
      <c r="B67"/>
      <c r="C67"/>
      <c r="D67" s="23"/>
      <c r="E67" s="23"/>
      <c r="F67"/>
      <c r="G67"/>
      <c r="H67"/>
      <c r="I67"/>
      <c r="J67" s="19"/>
      <c r="K67" s="19"/>
      <c r="L67" s="19"/>
      <c r="M67" s="19"/>
      <c r="N67" s="19"/>
      <c r="O67" s="19"/>
      <c r="P67" s="90"/>
      <c r="Q67" s="96"/>
    </row>
    <row r="68" spans="1:17">
      <c r="Q68" s="96"/>
    </row>
    <row r="69" spans="1:17">
      <c r="Q69" s="96"/>
    </row>
    <row r="70" spans="1:17">
      <c r="Q70" s="96"/>
    </row>
    <row r="71" spans="1:17">
      <c r="Q71" s="96"/>
    </row>
    <row r="72" spans="1:17">
      <c r="Q72" s="96"/>
    </row>
    <row r="73" spans="1:17">
      <c r="Q73" s="96"/>
    </row>
    <row r="74" spans="1:17">
      <c r="Q74" s="96"/>
    </row>
    <row r="75" spans="1:17">
      <c r="Q75" s="96"/>
    </row>
    <row r="76" spans="1:17">
      <c r="Q76" s="96"/>
    </row>
    <row r="77" spans="1:17">
      <c r="Q77" s="96"/>
    </row>
    <row r="78" spans="1:17">
      <c r="Q78" s="96"/>
    </row>
    <row r="79" spans="1:17">
      <c r="Q79" s="96"/>
    </row>
    <row r="80" spans="1:17">
      <c r="Q80" s="96"/>
    </row>
    <row r="81" spans="17:17">
      <c r="Q81" s="96"/>
    </row>
    <row r="82" spans="17:17">
      <c r="Q82" s="96"/>
    </row>
    <row r="83" spans="17:17">
      <c r="Q83" s="96"/>
    </row>
    <row r="84" spans="17:17">
      <c r="Q84" s="96"/>
    </row>
    <row r="85" spans="17:17">
      <c r="Q85" s="96"/>
    </row>
    <row r="86" spans="17:17">
      <c r="Q86" s="96"/>
    </row>
    <row r="87" spans="17:17">
      <c r="Q87" s="96"/>
    </row>
    <row r="124" ht="12" customHeight="1"/>
    <row r="125" ht="12" customHeight="1"/>
    <row r="126" ht="12" customHeight="1"/>
    <row r="127" ht="12" customHeight="1"/>
    <row r="128" ht="12" customHeight="1"/>
    <row r="129" ht="12" customHeight="1"/>
    <row r="130" ht="12" customHeight="1"/>
    <row r="131" ht="12" customHeight="1"/>
    <row r="132" ht="12" customHeight="1"/>
    <row r="133" ht="12" customHeight="1"/>
    <row r="134" ht="12" customHeight="1"/>
    <row r="135" ht="12" customHeight="1"/>
    <row r="136" ht="12" customHeight="1"/>
    <row r="137" ht="12" customHeight="1"/>
    <row r="138" ht="12" customHeight="1"/>
    <row r="139" ht="12" customHeight="1"/>
    <row r="140" ht="12" customHeight="1"/>
    <row r="141" ht="12" customHeight="1"/>
    <row r="142" ht="12" customHeight="1"/>
    <row r="143" ht="12" customHeight="1"/>
    <row r="144" ht="12" customHeight="1"/>
    <row r="145" ht="12" customHeight="1"/>
    <row r="146" ht="12" customHeight="1"/>
    <row r="147" ht="12" customHeight="1"/>
    <row r="148" ht="12" customHeight="1"/>
    <row r="149" ht="12" customHeight="1"/>
    <row r="150" ht="12" customHeight="1"/>
    <row r="151" ht="12" customHeight="1"/>
    <row r="152" ht="12" customHeight="1"/>
    <row r="153" ht="12" customHeight="1"/>
    <row r="154" ht="12" customHeight="1"/>
    <row r="155" ht="12" customHeight="1"/>
    <row r="156" ht="12" customHeight="1"/>
    <row r="157" ht="12" customHeight="1"/>
    <row r="158" ht="12" customHeight="1"/>
    <row r="159" ht="12" customHeight="1"/>
    <row r="160" ht="12" customHeight="1"/>
    <row r="161" ht="12" customHeight="1"/>
    <row r="162" ht="12" customHeight="1"/>
    <row r="163" ht="12" customHeight="1"/>
    <row r="164" ht="12" customHeight="1"/>
    <row r="165" ht="12" customHeight="1"/>
    <row r="166" ht="12" customHeight="1"/>
    <row r="167" ht="12" customHeight="1"/>
    <row r="168" ht="12" customHeight="1"/>
    <row r="169" ht="12" customHeight="1"/>
    <row r="170" ht="12" customHeight="1"/>
    <row r="171" ht="12" customHeight="1"/>
    <row r="172" ht="12" customHeight="1"/>
    <row r="173" ht="12" customHeight="1"/>
  </sheetData>
  <mergeCells count="22">
    <mergeCell ref="D20:E20"/>
    <mergeCell ref="H20:I20"/>
    <mergeCell ref="H15:I15"/>
    <mergeCell ref="D16:E16"/>
    <mergeCell ref="D17:E17"/>
    <mergeCell ref="D18:E18"/>
    <mergeCell ref="D19:E19"/>
    <mergeCell ref="D7:E7"/>
    <mergeCell ref="D8:E8"/>
    <mergeCell ref="D9:E9"/>
    <mergeCell ref="D10:E10"/>
    <mergeCell ref="D15:E15"/>
    <mergeCell ref="D11:E11"/>
    <mergeCell ref="D12:E12"/>
    <mergeCell ref="D13:E13"/>
    <mergeCell ref="D14:E14"/>
    <mergeCell ref="D1:E1"/>
    <mergeCell ref="D4:E4"/>
    <mergeCell ref="H4:I4"/>
    <mergeCell ref="D5:E5"/>
    <mergeCell ref="D6:E6"/>
    <mergeCell ref="H6:I6"/>
  </mergeCells>
  <conditionalFormatting sqref="M5">
    <cfRule type="cellIs" dxfId="591" priority="1" stopIfTrue="1" operator="lessThanOrEqual">
      <formula>$L5</formula>
    </cfRule>
    <cfRule type="cellIs" dxfId="590" priority="2" operator="greaterThan">
      <formula>L5</formula>
    </cfRule>
  </conditionalFormatting>
  <conditionalFormatting sqref="M7:M14 M16:M19">
    <cfRule type="cellIs" dxfId="589" priority="4" stopIfTrue="1" operator="lessThanOrEqual">
      <formula>$L7</formula>
    </cfRule>
    <cfRule type="cellIs" dxfId="588" priority="5" operator="greaterThan">
      <formula>L7</formula>
    </cfRule>
  </conditionalFormatting>
  <pageMargins left="0.7" right="0.7" top="0.75" bottom="0.75" header="0.3" footer="0.3"/>
  <pageSetup paperSize="3" fitToHeight="0" orientation="landscape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E7BE06E-15D2-4B3A-8DBA-0136A18025DE}">
          <x14:formula1>
            <xm:f>Bolts!$A:$A</xm:f>
          </x14:formula1>
          <xm:sqref>C16:C19</xm:sqref>
        </x14:dataValidation>
        <x14:dataValidation type="list" allowBlank="1" showInputMessage="1" showErrorMessage="1" xr:uid="{EC55D036-C3D4-45B3-A973-EC54CA7579B6}">
          <x14:formula1>
            <xm:f>Purchased!$A:$A</xm:f>
          </x14:formula1>
          <xm:sqref>C7:C14</xm:sqref>
        </x14:dataValidation>
        <x14:dataValidation type="list" allowBlank="1" showInputMessage="1" showErrorMessage="1" xr:uid="{00E95CD2-B869-4E4E-BCCB-BCF5D9255AFF}">
          <x14:formula1>
            <xm:f>Machined!$C:$C</xm:f>
          </x14:formula1>
          <xm:sqref>C5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3E4616-6D86-42B4-B063-53CE5E7BF184}">
  <sheetPr codeName="Sheet23">
    <tabColor theme="3" tint="0.79998168889431442"/>
    <pageSetUpPr fitToPage="1"/>
  </sheetPr>
  <dimension ref="A1:Q168"/>
  <sheetViews>
    <sheetView zoomScaleNormal="100" workbookViewId="0">
      <selection activeCell="C9" sqref="C9"/>
    </sheetView>
  </sheetViews>
  <sheetFormatPr defaultColWidth="9.140625" defaultRowHeight="15"/>
  <cols>
    <col min="1" max="1" width="5.7109375" customWidth="1"/>
    <col min="2" max="2" width="5.42578125" bestFit="1" customWidth="1"/>
    <col min="3" max="3" width="30.7109375" customWidth="1"/>
    <col min="4" max="5" width="20.7109375" style="23" customWidth="1"/>
    <col min="6" max="6" width="16.85546875" bestFit="1" customWidth="1"/>
    <col min="7" max="7" width="9.7109375" customWidth="1"/>
    <col min="8" max="8" width="8.7109375" customWidth="1"/>
    <col min="9" max="9" width="20.7109375" customWidth="1"/>
    <col min="10" max="13" width="11.7109375" style="19" customWidth="1"/>
    <col min="14" max="14" width="11.85546875" style="19" bestFit="1" customWidth="1"/>
    <col min="15" max="15" width="7.7109375" style="19" customWidth="1"/>
    <col min="16" max="16" width="10.7109375" style="90" customWidth="1"/>
    <col min="17" max="17" width="10.7109375" style="97" customWidth="1"/>
  </cols>
  <sheetData>
    <row r="1" spans="1:17" s="55" customFormat="1" ht="12" customHeight="1">
      <c r="A1" s="68" t="s">
        <v>0</v>
      </c>
      <c r="B1" s="69"/>
      <c r="C1" s="69"/>
      <c r="D1" s="262" t="s">
        <v>1</v>
      </c>
      <c r="E1" s="263"/>
      <c r="F1" s="70"/>
      <c r="G1" s="69"/>
      <c r="H1" s="70"/>
      <c r="I1" s="71"/>
      <c r="J1" s="72"/>
      <c r="K1" s="72"/>
      <c r="L1" s="72"/>
      <c r="M1" s="72"/>
      <c r="N1" s="72"/>
      <c r="O1" s="72"/>
      <c r="P1" s="85"/>
      <c r="Q1" s="91"/>
    </row>
    <row r="2" spans="1:17" s="55" customFormat="1" ht="12" customHeight="1">
      <c r="A2" s="74" t="s">
        <v>48</v>
      </c>
      <c r="B2" s="58"/>
      <c r="C2" s="57" t="e">
        <f ca="1">VLOOKUP(E3,Assemblies!B:F,4,0)</f>
        <v>#VALUE!</v>
      </c>
      <c r="D2" s="75" t="s">
        <v>3</v>
      </c>
      <c r="E2" s="76" t="e">
        <f ca="1">'GF12'!E2</f>
        <v>#VALUE!</v>
      </c>
      <c r="F2" s="77" t="s">
        <v>4</v>
      </c>
      <c r="G2" s="58" t="str">
        <f>'GF12'!G2</f>
        <v>GH</v>
      </c>
      <c r="H2" s="77" t="s">
        <v>6</v>
      </c>
      <c r="I2" s="59">
        <f>'GF12'!I2</f>
        <v>44775</v>
      </c>
      <c r="J2" s="39"/>
      <c r="K2" s="40" t="s">
        <v>49</v>
      </c>
      <c r="L2" s="41" t="e">
        <f ca="1">VLOOKUP(C2,Assemblies!E:G,3,0)</f>
        <v>#VALUE!</v>
      </c>
      <c r="M2" s="78"/>
      <c r="N2" s="78"/>
      <c r="O2" s="78"/>
      <c r="P2" s="86"/>
      <c r="Q2" s="92"/>
    </row>
    <row r="3" spans="1:17" s="55" customFormat="1" ht="12" customHeight="1" thickBot="1">
      <c r="A3" s="74" t="s">
        <v>7</v>
      </c>
      <c r="B3" s="58"/>
      <c r="C3" s="57" t="e">
        <f ca="1">VLOOKUP(E3,Assemblies!B:F,5,0)</f>
        <v>#VALUE!</v>
      </c>
      <c r="D3" s="75" t="s">
        <v>50</v>
      </c>
      <c r="E3" s="76" t="e">
        <f ca="1">MID(CELL("filename",A1),FIND("]",CELL("filename",A1))+1,256)</f>
        <v>#VALUE!</v>
      </c>
      <c r="F3" s="77" t="s">
        <v>11</v>
      </c>
      <c r="G3" s="58" t="str">
        <f>'GF12'!G3</f>
        <v>GH</v>
      </c>
      <c r="H3" s="77" t="s">
        <v>6</v>
      </c>
      <c r="I3" s="59">
        <f>'GF12'!I3</f>
        <v>44775</v>
      </c>
      <c r="J3" s="78"/>
      <c r="K3" s="78"/>
      <c r="L3" s="78"/>
      <c r="M3" s="78"/>
      <c r="N3" s="78"/>
      <c r="O3" s="78"/>
      <c r="P3" s="86"/>
      <c r="Q3" s="92"/>
    </row>
    <row r="4" spans="1:17" s="56" customFormat="1" ht="12.75" customHeight="1" thickBot="1">
      <c r="A4" s="80" t="s">
        <v>12</v>
      </c>
      <c r="B4" s="81" t="s">
        <v>13</v>
      </c>
      <c r="C4" s="81" t="s">
        <v>14</v>
      </c>
      <c r="D4" s="270" t="s">
        <v>15</v>
      </c>
      <c r="E4" s="271"/>
      <c r="F4" s="104" t="s">
        <v>16</v>
      </c>
      <c r="G4" s="81" t="s">
        <v>17</v>
      </c>
      <c r="H4" s="260" t="s">
        <v>18</v>
      </c>
      <c r="I4" s="261"/>
      <c r="J4" s="81" t="s">
        <v>51</v>
      </c>
      <c r="K4" s="81" t="s">
        <v>20</v>
      </c>
      <c r="L4" s="81" t="s">
        <v>21</v>
      </c>
      <c r="M4" s="81" t="s">
        <v>52</v>
      </c>
      <c r="N4" s="81" t="s">
        <v>22</v>
      </c>
      <c r="O4" s="81" t="s">
        <v>53</v>
      </c>
      <c r="P4" s="107" t="s">
        <v>26</v>
      </c>
      <c r="Q4" s="82" t="s">
        <v>27</v>
      </c>
    </row>
    <row r="5" spans="1:17" s="2" customFormat="1" ht="12.75" customHeight="1">
      <c r="A5" s="127">
        <v>1</v>
      </c>
      <c r="B5" s="21">
        <v>1</v>
      </c>
      <c r="C5" s="108" t="s">
        <v>338</v>
      </c>
      <c r="D5" s="277" t="str">
        <f>VLOOKUP(C5,Machined!C:Q,2,0)</f>
        <v>KEY STATION MOUNTING 
PLATE</v>
      </c>
      <c r="E5" s="278"/>
      <c r="F5" s="131" t="str">
        <f>VLOOKUP(C5,Machined!C:R,7,0)</f>
        <v>6061-T6 Alum</v>
      </c>
      <c r="G5" s="131" t="str">
        <f>VLOOKUP(C5,Machined!C:R,10,0)</f>
        <v>BIG SKY</v>
      </c>
      <c r="H5" s="131" t="str">
        <f>VLOOKUP(C5,Machined!C:R,11,0)</f>
        <v xml:space="preserve">  </v>
      </c>
      <c r="I5" s="131"/>
      <c r="J5" s="42">
        <f>VLOOKUP(C5,Machined!C:R,12,0)</f>
        <v>45142</v>
      </c>
      <c r="K5" s="42">
        <f>VLOOKUP(C5,Machined!C:R,13,0)</f>
        <v>45146</v>
      </c>
      <c r="L5" s="42">
        <f>VLOOKUP(C5,Machined!C:R,14,0)</f>
        <v>45176</v>
      </c>
      <c r="M5" s="42">
        <f>VLOOKUP(C5,Machined!C:R,15,0)</f>
        <v>45176</v>
      </c>
      <c r="N5" s="43">
        <f>VLOOKUP(C5,Machined!C:R,16,0)</f>
        <v>55032</v>
      </c>
      <c r="O5" s="43" t="e">
        <f t="shared" ref="O5" ca="1" si="0">B5*$L$2</f>
        <v>#VALUE!</v>
      </c>
      <c r="P5" s="47">
        <f>IFERROR(VLOOKUP(C5,Machined!C:F,3,0),"")</f>
        <v>65</v>
      </c>
      <c r="Q5" s="48">
        <f t="shared" ref="Q5" si="1">IFERROR(B5*P5,"")</f>
        <v>65</v>
      </c>
    </row>
    <row r="6" spans="1:17" s="2" customFormat="1" ht="12.75" customHeight="1">
      <c r="A6" s="143"/>
      <c r="B6" s="26"/>
      <c r="C6" s="26"/>
      <c r="D6" s="272"/>
      <c r="E6" s="273"/>
      <c r="F6" s="26"/>
      <c r="G6" s="26"/>
      <c r="H6" s="274"/>
      <c r="I6" s="275"/>
      <c r="J6" s="27"/>
      <c r="K6" s="27"/>
      <c r="L6" s="27"/>
      <c r="M6" s="28"/>
      <c r="N6" s="29"/>
      <c r="O6" s="29"/>
      <c r="P6" s="141"/>
      <c r="Q6" s="142"/>
    </row>
    <row r="7" spans="1:17" s="2" customFormat="1" ht="12.75" customHeight="1">
      <c r="A7" s="4">
        <v>301</v>
      </c>
      <c r="B7" s="2">
        <v>1</v>
      </c>
      <c r="C7" s="114" t="s">
        <v>339</v>
      </c>
      <c r="D7" s="268" t="str">
        <f>VLOOKUP(C7,Purchased!A:B,2,0)</f>
        <v>Fortress Key pad</v>
      </c>
      <c r="E7" s="269"/>
      <c r="F7" s="112" t="str">
        <f>VLOOKUP(C7,Purchased!A:Q,9,0)</f>
        <v>FORTRESS</v>
      </c>
      <c r="G7" s="112" t="str">
        <f>VLOOKUP(C7,Purchased!A:Q,10,0)</f>
        <v>TMMI</v>
      </c>
      <c r="H7" s="112" t="str">
        <f>VLOOKUP(C7,Purchased!A:Q,12,0)</f>
        <v xml:space="preserve"> </v>
      </c>
      <c r="I7" s="113"/>
      <c r="J7" s="44" t="str">
        <f>VLOOKUP(C7,Purchased!A:Q,13,0)</f>
        <v>N/A</v>
      </c>
      <c r="K7" s="44">
        <f>VLOOKUP(C7,Purchased!A:Q,14,0)</f>
        <v>45091</v>
      </c>
      <c r="L7" s="44">
        <f>VLOOKUP(C7,Purchased!A:Q,15,0)</f>
        <v>45132</v>
      </c>
      <c r="M7" s="44">
        <f>VLOOKUP(C7,Purchased!A:Q,16,0)</f>
        <v>45132</v>
      </c>
      <c r="N7" s="45">
        <f>VLOOKUP(C7,Purchased!A:Q,17,0)</f>
        <v>54934</v>
      </c>
      <c r="O7" s="45" t="e">
        <f t="shared" ref="O7:O8" ca="1" si="2">B7*$L$2</f>
        <v>#VALUE!</v>
      </c>
      <c r="P7" s="49">
        <f>IFERROR(VLOOKUP(C7,Purchased!A:E,3,FALSE),"")</f>
        <v>910.93</v>
      </c>
      <c r="Q7" s="50">
        <f t="shared" ref="Q7:Q8" si="3">IFERROR(B7*P7,"")</f>
        <v>910.93</v>
      </c>
    </row>
    <row r="8" spans="1:17" s="2" customFormat="1" ht="12" customHeight="1">
      <c r="A8" s="4">
        <f>A7+1</f>
        <v>302</v>
      </c>
      <c r="B8" s="2">
        <v>2</v>
      </c>
      <c r="C8" s="114" t="s">
        <v>262</v>
      </c>
      <c r="D8" s="268" t="str">
        <f>VLOOKUP(C8,Purchased!A:B,2,0)</f>
        <v>BRX GOTO T-NUT 10 M6</v>
      </c>
      <c r="E8" s="269"/>
      <c r="F8" s="112" t="str">
        <f>VLOOKUP(C8,Purchased!A:Q,9,0)</f>
        <v>BRX</v>
      </c>
      <c r="G8" s="112" t="str">
        <f>VLOOKUP(C8,Purchased!A:Q,10,0)</f>
        <v>AAP</v>
      </c>
      <c r="H8" s="112" t="str">
        <f>VLOOKUP(C8,Purchased!A:Q,12,0)</f>
        <v xml:space="preserve">  </v>
      </c>
      <c r="I8" s="113"/>
      <c r="J8" s="44">
        <f>VLOOKUP(C8,Purchased!A:Q,13,0)</f>
        <v>45104</v>
      </c>
      <c r="K8" s="44">
        <f>VLOOKUP(C8,Purchased!A:Q,14,0)</f>
        <v>45105</v>
      </c>
      <c r="L8" s="44">
        <f>VLOOKUP(C8,Purchased!A:Q,15,0)</f>
        <v>45133</v>
      </c>
      <c r="M8" s="44">
        <f>VLOOKUP(C8,Purchased!A:Q,16,0)</f>
        <v>45133</v>
      </c>
      <c r="N8" s="45" t="str">
        <f>VLOOKUP(C8,Purchased!A:Q,17,0)</f>
        <v>54968, 55147, 55270</v>
      </c>
      <c r="O8" s="45" t="e">
        <f t="shared" ca="1" si="2"/>
        <v>#VALUE!</v>
      </c>
      <c r="P8" s="49">
        <f>IFERROR(VLOOKUP(C8,Purchased!A:E,3,FALSE),"")</f>
        <v>0.64290000000000003</v>
      </c>
      <c r="Q8" s="50">
        <f t="shared" si="3"/>
        <v>1.2858000000000001</v>
      </c>
    </row>
    <row r="9" spans="1:17" s="2" customFormat="1" ht="12" customHeight="1">
      <c r="A9" s="4">
        <f>A8+1</f>
        <v>303</v>
      </c>
      <c r="B9" s="2">
        <v>1</v>
      </c>
      <c r="C9" s="114" t="s">
        <v>340</v>
      </c>
      <c r="D9" s="268" t="str">
        <f>VLOOKUP(C9,Purchased!A:B,2,0)</f>
        <v>Fortress M23 19 Pin Cable 20 Meter</v>
      </c>
      <c r="E9" s="269"/>
      <c r="F9" s="112" t="str">
        <f>VLOOKUP(C9,Purchased!A:Q,9,0)</f>
        <v>FORTRESS</v>
      </c>
      <c r="G9" s="112" t="str">
        <f>VLOOKUP(C9,Purchased!A:Q,10,0)</f>
        <v>TMMI</v>
      </c>
      <c r="H9" s="112" t="str">
        <f>VLOOKUP(C9,Purchased!A:Q,12,0)</f>
        <v xml:space="preserve"> </v>
      </c>
      <c r="I9" s="113"/>
      <c r="J9" s="44" t="str">
        <f>VLOOKUP(C9,Purchased!A:Q,13,0)</f>
        <v>N/A</v>
      </c>
      <c r="K9" s="44">
        <f>VLOOKUP(C9,Purchased!A:Q,14,0)</f>
        <v>45091</v>
      </c>
      <c r="L9" s="44">
        <f>VLOOKUP(C9,Purchased!A:Q,15,0)</f>
        <v>45132</v>
      </c>
      <c r="M9" s="44">
        <f>VLOOKUP(C9,Purchased!A:Q,16,0)</f>
        <v>45132</v>
      </c>
      <c r="N9" s="45">
        <f>VLOOKUP(C9,Purchased!A:Q,17,0)</f>
        <v>54934</v>
      </c>
      <c r="O9" s="45" t="e">
        <f t="shared" ref="O9" ca="1" si="4">B9*$L$2</f>
        <v>#VALUE!</v>
      </c>
      <c r="P9" s="49">
        <f>IFERROR(VLOOKUP(C9,Purchased!A:E,3,FALSE),"")</f>
        <v>456.4</v>
      </c>
      <c r="Q9" s="50">
        <f t="shared" ref="Q9" si="5">IFERROR(B9*P9,"")</f>
        <v>456.4</v>
      </c>
    </row>
    <row r="10" spans="1:17" s="2" customFormat="1" ht="12" customHeight="1">
      <c r="A10" s="4">
        <f>A9+1</f>
        <v>304</v>
      </c>
      <c r="B10" s="2">
        <v>2</v>
      </c>
      <c r="C10" s="114" t="s">
        <v>341</v>
      </c>
      <c r="D10" s="268" t="str">
        <f>VLOOKUP(C10,Purchased!A:B,2,0)</f>
        <v>Fortress tGard Key Std</v>
      </c>
      <c r="E10" s="269"/>
      <c r="F10" s="112" t="str">
        <f>VLOOKUP(C10,Purchased!A:Q,9,0)</f>
        <v>FORTRESS</v>
      </c>
      <c r="G10" s="112" t="str">
        <f>VLOOKUP(C10,Purchased!A:Q,10,0)</f>
        <v>TMMI</v>
      </c>
      <c r="H10" s="112" t="str">
        <f>VLOOKUP(C10,Purchased!A:Q,12,0)</f>
        <v xml:space="preserve"> </v>
      </c>
      <c r="I10" s="113"/>
      <c r="J10" s="44" t="str">
        <f>VLOOKUP(C10,Purchased!A:Q,13,0)</f>
        <v>N/A</v>
      </c>
      <c r="K10" s="44">
        <f>VLOOKUP(C10,Purchased!A:Q,14,0)</f>
        <v>45091</v>
      </c>
      <c r="L10" s="44">
        <f>VLOOKUP(C10,Purchased!A:Q,15,0)</f>
        <v>45132</v>
      </c>
      <c r="M10" s="44">
        <f>VLOOKUP(C10,Purchased!A:Q,16,0)</f>
        <v>45132</v>
      </c>
      <c r="N10" s="45">
        <f>VLOOKUP(C10,Purchased!A:Q,17,0)</f>
        <v>54934</v>
      </c>
      <c r="O10" s="45" t="e">
        <f t="shared" ref="O10" ca="1" si="6">B10*$L$2</f>
        <v>#VALUE!</v>
      </c>
      <c r="P10" s="49">
        <f>IFERROR(VLOOKUP(C10,Purchased!A:E,3,FALSE),"")</f>
        <v>22.29</v>
      </c>
      <c r="Q10" s="50">
        <f t="shared" ref="Q10" si="7">IFERROR(B10*P10,"")</f>
        <v>44.58</v>
      </c>
    </row>
    <row r="11" spans="1:17" s="2" customFormat="1" ht="12.75" customHeight="1">
      <c r="A11" s="25"/>
      <c r="B11" s="26"/>
      <c r="C11" s="26"/>
      <c r="D11" s="272"/>
      <c r="E11" s="273"/>
      <c r="F11" s="26"/>
      <c r="G11" s="26"/>
      <c r="H11" s="274"/>
      <c r="I11" s="275"/>
      <c r="J11" s="27"/>
      <c r="K11" s="27"/>
      <c r="L11" s="27"/>
      <c r="M11" s="28"/>
      <c r="N11" s="29"/>
      <c r="O11" s="29" t="e">
        <f t="shared" ref="O11:O14" ca="1" si="8">B11*$L$2</f>
        <v>#VALUE!</v>
      </c>
      <c r="P11" s="141"/>
      <c r="Q11" s="142"/>
    </row>
    <row r="12" spans="1:17" s="2" customFormat="1" ht="12.75" customHeight="1">
      <c r="A12" s="4">
        <v>501</v>
      </c>
      <c r="B12" s="2">
        <v>2</v>
      </c>
      <c r="C12" s="110" t="s">
        <v>342</v>
      </c>
      <c r="D12" s="268"/>
      <c r="E12" s="276"/>
      <c r="F12" s="112" t="str">
        <f>VLOOKUP(C12,Bolts!A:L,5,0)</f>
        <v xml:space="preserve">  </v>
      </c>
      <c r="G12" s="112" t="str">
        <f>VLOOKUP(C12,Bolts!A:L,6,0)</f>
        <v>Monroe Fasteners</v>
      </c>
      <c r="H12" s="112" t="str">
        <f>VLOOKUP(C12,Bolts!A:L,7,0)</f>
        <v xml:space="preserve">  </v>
      </c>
      <c r="I12" s="112"/>
      <c r="J12" s="44" t="str">
        <f>VLOOKUP(C12,Bolts!A:L,8,0)</f>
        <v xml:space="preserve"> </v>
      </c>
      <c r="K12" s="44" t="str">
        <f>VLOOKUP(C12,Bolts!A:L,9,0)</f>
        <v xml:space="preserve"> </v>
      </c>
      <c r="L12" s="44" t="str">
        <f>VLOOKUP(C12,Bolts!A:L,10,0)</f>
        <v xml:space="preserve"> </v>
      </c>
      <c r="M12" s="44" t="str">
        <f>VLOOKUP(C12,Bolts!A:L,11,0)</f>
        <v xml:space="preserve"> </v>
      </c>
      <c r="N12" s="45" t="str">
        <f>VLOOKUP(C12,Bolts!A:L,12,0)</f>
        <v xml:space="preserve"> </v>
      </c>
      <c r="O12" s="45" t="e">
        <f t="shared" ca="1" si="8"/>
        <v>#VALUE!</v>
      </c>
      <c r="P12" s="49" t="str">
        <f>IFERROR(VLOOKUP(C12,Bolts!A:B,2,FALSE),"")</f>
        <v xml:space="preserve"> </v>
      </c>
      <c r="Q12" s="50" t="str">
        <f t="shared" ref="Q12:Q14" si="9">IFERROR(B12*P12,"")</f>
        <v/>
      </c>
    </row>
    <row r="13" spans="1:17" s="2" customFormat="1" ht="12.75" customHeight="1">
      <c r="A13" s="4">
        <f t="shared" ref="A13:A14" si="10">A12+1</f>
        <v>502</v>
      </c>
      <c r="B13" s="2">
        <v>2</v>
      </c>
      <c r="C13" s="110" t="s">
        <v>343</v>
      </c>
      <c r="D13" s="268"/>
      <c r="E13" s="276"/>
      <c r="F13" s="112" t="str">
        <f>VLOOKUP(C13,Bolts!A:L,5,0)</f>
        <v xml:space="preserve">  </v>
      </c>
      <c r="G13" s="112" t="str">
        <f>VLOOKUP(C13,Bolts!A:L,6,0)</f>
        <v>Monroe Fasteners</v>
      </c>
      <c r="H13" s="112" t="str">
        <f>VLOOKUP(C13,Bolts!A:L,7,0)</f>
        <v xml:space="preserve">  </v>
      </c>
      <c r="I13" s="112"/>
      <c r="J13" s="44" t="str">
        <f>VLOOKUP(C13,Bolts!A:L,8,0)</f>
        <v xml:space="preserve"> </v>
      </c>
      <c r="K13" s="44" t="str">
        <f>VLOOKUP(C13,Bolts!A:L,9,0)</f>
        <v xml:space="preserve"> </v>
      </c>
      <c r="L13" s="44" t="str">
        <f>VLOOKUP(C13,Bolts!A:L,10,0)</f>
        <v xml:space="preserve"> </v>
      </c>
      <c r="M13" s="44" t="str">
        <f>VLOOKUP(C13,Bolts!A:L,11,0)</f>
        <v xml:space="preserve"> </v>
      </c>
      <c r="N13" s="45" t="str">
        <f>VLOOKUP(C13,Bolts!A:L,12,0)</f>
        <v xml:space="preserve"> </v>
      </c>
      <c r="O13" s="45" t="e">
        <f t="shared" ca="1" si="8"/>
        <v>#VALUE!</v>
      </c>
      <c r="P13" s="49" t="str">
        <f>IFERROR(VLOOKUP(C13,Bolts!A:B,2,FALSE),"")</f>
        <v xml:space="preserve"> </v>
      </c>
      <c r="Q13" s="50" t="str">
        <f t="shared" si="9"/>
        <v/>
      </c>
    </row>
    <row r="14" spans="1:17" s="2" customFormat="1" ht="12" customHeight="1" thickBot="1">
      <c r="A14" s="4">
        <f t="shared" si="10"/>
        <v>503</v>
      </c>
      <c r="B14" s="2">
        <v>2</v>
      </c>
      <c r="C14" s="110" t="s">
        <v>344</v>
      </c>
      <c r="D14" s="268"/>
      <c r="E14" s="276"/>
      <c r="F14" s="112" t="str">
        <f>VLOOKUP(C14,Bolts!A:L,5,0)</f>
        <v xml:space="preserve">  </v>
      </c>
      <c r="G14" s="112" t="str">
        <f>VLOOKUP(C14,Bolts!A:L,6,0)</f>
        <v>Monroe Fasteners</v>
      </c>
      <c r="H14" s="112" t="str">
        <f>VLOOKUP(C14,Bolts!A:L,7,0)</f>
        <v xml:space="preserve">  </v>
      </c>
      <c r="I14" s="112"/>
      <c r="J14" s="44" t="str">
        <f>VLOOKUP(C14,Bolts!A:L,8,0)</f>
        <v xml:space="preserve"> </v>
      </c>
      <c r="K14" s="44" t="str">
        <f>VLOOKUP(C14,Bolts!A:L,9,0)</f>
        <v xml:space="preserve"> </v>
      </c>
      <c r="L14" s="44" t="str">
        <f>VLOOKUP(C14,Bolts!A:L,10,0)</f>
        <v xml:space="preserve"> </v>
      </c>
      <c r="M14" s="44" t="str">
        <f>VLOOKUP(C14,Bolts!A:L,11,0)</f>
        <v xml:space="preserve"> </v>
      </c>
      <c r="N14" s="45" t="str">
        <f>VLOOKUP(C14,Bolts!A:L,12,0)</f>
        <v xml:space="preserve"> </v>
      </c>
      <c r="O14" s="45" t="e">
        <f t="shared" ca="1" si="8"/>
        <v>#VALUE!</v>
      </c>
      <c r="P14" s="49" t="str">
        <f>IFERROR(VLOOKUP(C14,Bolts!A:B,2,FALSE),"")</f>
        <v xml:space="preserve"> </v>
      </c>
      <c r="Q14" s="50" t="str">
        <f t="shared" si="9"/>
        <v/>
      </c>
    </row>
    <row r="15" spans="1:17" s="2" customFormat="1" ht="12.75" customHeight="1" thickBot="1">
      <c r="A15" s="34"/>
      <c r="B15" s="35"/>
      <c r="C15" s="35"/>
      <c r="D15" s="256"/>
      <c r="E15" s="257"/>
      <c r="F15" s="35"/>
      <c r="G15" s="35"/>
      <c r="H15" s="294"/>
      <c r="I15" s="295"/>
      <c r="J15" s="36"/>
      <c r="K15" s="36"/>
      <c r="L15" s="36"/>
      <c r="M15" s="37"/>
      <c r="N15" s="38"/>
      <c r="O15" s="38"/>
      <c r="P15" s="89" t="s">
        <v>43</v>
      </c>
      <c r="Q15" s="94">
        <f>SUM(Q5:Q14)</f>
        <v>1478.1958</v>
      </c>
    </row>
    <row r="16" spans="1:17" s="2" customFormat="1" ht="12" customHeight="1">
      <c r="D16" s="22"/>
      <c r="E16" s="22"/>
      <c r="J16" s="8"/>
      <c r="K16" s="8"/>
      <c r="L16" s="8"/>
      <c r="M16" s="8"/>
      <c r="N16" s="5"/>
      <c r="O16" s="5"/>
      <c r="P16" s="88"/>
      <c r="Q16" s="95"/>
    </row>
    <row r="17" spans="4:17" s="2" customFormat="1" ht="12" customHeight="1">
      <c r="D17" s="22"/>
      <c r="E17" s="22"/>
      <c r="J17" s="5"/>
      <c r="K17" s="5"/>
      <c r="L17" s="5"/>
      <c r="M17" s="5"/>
      <c r="N17" s="5"/>
      <c r="O17" s="5"/>
      <c r="P17" s="88"/>
      <c r="Q17" s="95"/>
    </row>
    <row r="18" spans="4:17" s="2" customFormat="1" ht="12" customHeight="1">
      <c r="D18" s="22"/>
      <c r="E18" s="22"/>
      <c r="J18" s="5"/>
      <c r="K18" s="5"/>
      <c r="L18" s="5"/>
      <c r="M18" s="5"/>
      <c r="N18" s="5"/>
      <c r="O18" s="5"/>
      <c r="P18" s="88"/>
      <c r="Q18" s="95"/>
    </row>
    <row r="19" spans="4:17" s="2" customFormat="1" ht="12" customHeight="1">
      <c r="D19" s="22"/>
      <c r="E19" s="22"/>
      <c r="J19" s="5"/>
      <c r="K19" s="5"/>
      <c r="L19" s="5"/>
      <c r="M19" s="5"/>
      <c r="N19" s="5"/>
      <c r="O19" s="5"/>
      <c r="P19" s="88"/>
      <c r="Q19" s="95"/>
    </row>
    <row r="20" spans="4:17" s="2" customFormat="1" ht="12" customHeight="1">
      <c r="D20" s="22"/>
      <c r="E20" s="22"/>
      <c r="J20" s="5"/>
      <c r="K20" s="5"/>
      <c r="L20" s="5"/>
      <c r="M20" s="5"/>
      <c r="N20" s="5"/>
      <c r="O20" s="5"/>
      <c r="P20" s="88"/>
      <c r="Q20" s="95"/>
    </row>
    <row r="21" spans="4:17" s="2" customFormat="1" ht="12" customHeight="1">
      <c r="D21" s="22"/>
      <c r="E21" s="22"/>
      <c r="J21" s="5"/>
      <c r="K21" s="5"/>
      <c r="L21" s="5"/>
      <c r="M21" s="5"/>
      <c r="N21" s="5"/>
      <c r="O21" s="5"/>
      <c r="P21" s="88"/>
      <c r="Q21" s="95"/>
    </row>
    <row r="22" spans="4:17" s="2" customFormat="1" ht="12" customHeight="1">
      <c r="D22" s="22"/>
      <c r="E22" s="22"/>
      <c r="J22" s="5"/>
      <c r="K22" s="5"/>
      <c r="L22" s="5"/>
      <c r="M22" s="5"/>
      <c r="N22" s="5"/>
      <c r="O22" s="5"/>
      <c r="P22" s="88"/>
      <c r="Q22" s="95"/>
    </row>
    <row r="23" spans="4:17" s="2" customFormat="1" ht="12" customHeight="1">
      <c r="D23" s="22"/>
      <c r="E23" s="22"/>
      <c r="J23" s="5"/>
      <c r="K23" s="5"/>
      <c r="L23" s="5"/>
      <c r="M23" s="5"/>
      <c r="N23" s="5"/>
      <c r="O23" s="5"/>
      <c r="P23" s="88"/>
      <c r="Q23" s="95"/>
    </row>
    <row r="24" spans="4:17" s="2" customFormat="1" ht="12" customHeight="1">
      <c r="D24" s="22"/>
      <c r="E24" s="22"/>
      <c r="J24" s="5"/>
      <c r="K24" s="5"/>
      <c r="L24" s="5"/>
      <c r="M24" s="5"/>
      <c r="N24" s="5"/>
      <c r="O24" s="5"/>
      <c r="P24" s="88"/>
      <c r="Q24" s="95"/>
    </row>
    <row r="25" spans="4:17" s="2" customFormat="1" ht="12" customHeight="1">
      <c r="D25" s="22"/>
      <c r="E25" s="22"/>
      <c r="J25" s="5"/>
      <c r="K25" s="5"/>
      <c r="L25" s="5"/>
      <c r="M25" s="5"/>
      <c r="N25" s="5"/>
      <c r="O25" s="5"/>
      <c r="P25" s="88"/>
      <c r="Q25" s="95"/>
    </row>
    <row r="26" spans="4:17" s="2" customFormat="1" ht="12" customHeight="1">
      <c r="D26" s="22"/>
      <c r="E26" s="22"/>
      <c r="J26" s="5"/>
      <c r="K26" s="5"/>
      <c r="L26" s="5"/>
      <c r="M26" s="5"/>
      <c r="N26" s="5"/>
      <c r="O26" s="5"/>
      <c r="P26" s="88"/>
      <c r="Q26" s="95"/>
    </row>
    <row r="27" spans="4:17" s="2" customFormat="1" ht="12" customHeight="1">
      <c r="D27" s="22"/>
      <c r="E27" s="22"/>
      <c r="J27" s="5"/>
      <c r="K27" s="5"/>
      <c r="L27" s="5"/>
      <c r="M27" s="5"/>
      <c r="N27" s="5"/>
      <c r="O27" s="5"/>
      <c r="P27" s="88"/>
      <c r="Q27" s="95"/>
    </row>
    <row r="28" spans="4:17" s="2" customFormat="1" ht="12" customHeight="1">
      <c r="D28" s="22"/>
      <c r="E28" s="22"/>
      <c r="J28" s="5"/>
      <c r="K28" s="5"/>
      <c r="L28" s="5"/>
      <c r="M28" s="5"/>
      <c r="N28" s="5"/>
      <c r="O28" s="5"/>
      <c r="P28" s="88"/>
      <c r="Q28" s="95"/>
    </row>
    <row r="29" spans="4:17" s="2" customFormat="1" ht="12" customHeight="1">
      <c r="D29" s="22"/>
      <c r="E29" s="22"/>
      <c r="J29" s="5"/>
      <c r="K29" s="5"/>
      <c r="L29" s="5"/>
      <c r="M29" s="5"/>
      <c r="N29" s="5"/>
      <c r="O29" s="5"/>
      <c r="P29" s="88"/>
      <c r="Q29" s="95"/>
    </row>
    <row r="30" spans="4:17" s="2" customFormat="1" ht="12" customHeight="1">
      <c r="D30" s="22"/>
      <c r="E30" s="22"/>
      <c r="J30" s="5"/>
      <c r="K30" s="5"/>
      <c r="L30" s="5"/>
      <c r="M30" s="5"/>
      <c r="N30" s="5"/>
      <c r="O30" s="5"/>
      <c r="P30" s="88"/>
      <c r="Q30" s="95"/>
    </row>
    <row r="31" spans="4:17" s="2" customFormat="1" ht="12" customHeight="1">
      <c r="D31" s="22"/>
      <c r="E31" s="22"/>
      <c r="J31" s="5"/>
      <c r="K31" s="5"/>
      <c r="L31" s="5"/>
      <c r="M31" s="5"/>
      <c r="N31" s="5"/>
      <c r="O31" s="5"/>
      <c r="P31" s="88"/>
      <c r="Q31" s="95"/>
    </row>
    <row r="32" spans="4:17" s="2" customFormat="1" ht="12" customHeight="1">
      <c r="D32" s="22"/>
      <c r="E32" s="22"/>
      <c r="J32" s="5"/>
      <c r="K32" s="5"/>
      <c r="L32" s="5"/>
      <c r="M32" s="5"/>
      <c r="N32" s="5"/>
      <c r="O32" s="5"/>
      <c r="P32" s="88"/>
      <c r="Q32" s="95"/>
    </row>
    <row r="33" spans="4:17" s="2" customFormat="1" ht="12" customHeight="1">
      <c r="D33" s="22"/>
      <c r="E33" s="22"/>
      <c r="J33" s="5"/>
      <c r="K33" s="5"/>
      <c r="L33" s="5"/>
      <c r="M33" s="5"/>
      <c r="N33" s="5"/>
      <c r="O33" s="5"/>
      <c r="P33" s="88"/>
      <c r="Q33" s="95"/>
    </row>
    <row r="34" spans="4:17" s="2" customFormat="1" ht="12" customHeight="1">
      <c r="D34" s="22"/>
      <c r="E34" s="22"/>
      <c r="J34" s="5"/>
      <c r="K34" s="5"/>
      <c r="L34" s="5"/>
      <c r="M34" s="5"/>
      <c r="N34" s="5"/>
      <c r="O34" s="5"/>
      <c r="P34" s="88"/>
      <c r="Q34" s="95"/>
    </row>
    <row r="35" spans="4:17" s="2" customFormat="1" ht="12" customHeight="1">
      <c r="D35" s="22"/>
      <c r="E35" s="22"/>
      <c r="J35" s="5"/>
      <c r="K35" s="5"/>
      <c r="L35" s="5"/>
      <c r="M35" s="5"/>
      <c r="N35" s="5"/>
      <c r="O35" s="5"/>
      <c r="P35" s="88"/>
      <c r="Q35" s="95"/>
    </row>
    <row r="36" spans="4:17" s="2" customFormat="1" ht="12" customHeight="1">
      <c r="D36" s="22"/>
      <c r="E36" s="22"/>
      <c r="J36" s="5"/>
      <c r="K36" s="5"/>
      <c r="L36" s="5"/>
      <c r="M36" s="5"/>
      <c r="N36" s="5"/>
      <c r="O36" s="5"/>
      <c r="P36" s="88"/>
      <c r="Q36" s="95"/>
    </row>
    <row r="37" spans="4:17" s="2" customFormat="1" ht="12" customHeight="1">
      <c r="D37" s="22"/>
      <c r="E37" s="22"/>
      <c r="J37" s="5"/>
      <c r="K37" s="5"/>
      <c r="L37" s="5"/>
      <c r="M37" s="5"/>
      <c r="N37" s="5"/>
      <c r="O37" s="5"/>
      <c r="P37" s="88"/>
      <c r="Q37" s="95"/>
    </row>
    <row r="38" spans="4:17" s="2" customFormat="1" ht="12" customHeight="1">
      <c r="D38" s="22"/>
      <c r="E38" s="22"/>
      <c r="J38" s="5"/>
      <c r="K38" s="5"/>
      <c r="L38" s="5"/>
      <c r="M38" s="5"/>
      <c r="N38" s="5"/>
      <c r="O38" s="5"/>
      <c r="P38" s="88"/>
      <c r="Q38" s="95"/>
    </row>
    <row r="39" spans="4:17" s="2" customFormat="1" ht="12" customHeight="1">
      <c r="D39" s="22"/>
      <c r="E39" s="22"/>
      <c r="J39" s="5"/>
      <c r="K39" s="5"/>
      <c r="L39" s="5"/>
      <c r="M39" s="5"/>
      <c r="N39" s="5"/>
      <c r="O39" s="5"/>
      <c r="P39" s="88"/>
      <c r="Q39" s="95"/>
    </row>
    <row r="40" spans="4:17" s="2" customFormat="1" ht="12" customHeight="1">
      <c r="D40" s="22"/>
      <c r="E40" s="22"/>
      <c r="J40" s="5"/>
      <c r="K40" s="5"/>
      <c r="L40" s="5"/>
      <c r="M40" s="5"/>
      <c r="N40" s="5"/>
      <c r="O40" s="5"/>
      <c r="P40" s="88"/>
      <c r="Q40" s="95"/>
    </row>
    <row r="41" spans="4:17" s="2" customFormat="1" ht="12" customHeight="1">
      <c r="D41" s="22"/>
      <c r="E41" s="22"/>
      <c r="J41" s="5"/>
      <c r="K41" s="5"/>
      <c r="L41" s="5"/>
      <c r="M41" s="5"/>
      <c r="N41" s="5"/>
      <c r="O41" s="5"/>
      <c r="P41" s="88"/>
      <c r="Q41" s="95"/>
    </row>
    <row r="42" spans="4:17" s="2" customFormat="1" ht="12" customHeight="1">
      <c r="D42" s="22"/>
      <c r="E42" s="22"/>
      <c r="J42" s="5"/>
      <c r="K42" s="5"/>
      <c r="L42" s="5"/>
      <c r="M42" s="5"/>
      <c r="N42" s="5"/>
      <c r="O42" s="5"/>
      <c r="P42" s="88"/>
      <c r="Q42" s="95"/>
    </row>
    <row r="43" spans="4:17" s="2" customFormat="1" ht="12" customHeight="1">
      <c r="D43" s="22"/>
      <c r="E43" s="22"/>
      <c r="J43" s="5"/>
      <c r="K43" s="5"/>
      <c r="L43" s="5"/>
      <c r="M43" s="5"/>
      <c r="N43" s="5"/>
      <c r="O43" s="5"/>
      <c r="P43" s="88"/>
      <c r="Q43" s="95"/>
    </row>
    <row r="44" spans="4:17" s="2" customFormat="1" ht="12" customHeight="1">
      <c r="D44" s="22"/>
      <c r="E44" s="22"/>
      <c r="J44" s="5"/>
      <c r="K44" s="5"/>
      <c r="L44" s="5"/>
      <c r="M44" s="5"/>
      <c r="N44" s="5"/>
      <c r="O44" s="5"/>
      <c r="P44" s="88"/>
      <c r="Q44" s="95"/>
    </row>
    <row r="45" spans="4:17" s="2" customFormat="1" ht="12" customHeight="1">
      <c r="D45" s="22"/>
      <c r="E45" s="22"/>
      <c r="J45" s="5"/>
      <c r="K45" s="5"/>
      <c r="L45" s="5"/>
      <c r="M45" s="5"/>
      <c r="N45" s="5"/>
      <c r="O45" s="5"/>
      <c r="P45" s="88"/>
      <c r="Q45" s="95"/>
    </row>
    <row r="46" spans="4:17" s="2" customFormat="1" ht="12" customHeight="1">
      <c r="D46" s="22"/>
      <c r="E46" s="22"/>
      <c r="J46" s="5"/>
      <c r="K46" s="5"/>
      <c r="L46" s="5"/>
      <c r="M46" s="5"/>
      <c r="N46" s="5"/>
      <c r="O46" s="5"/>
      <c r="P46" s="88"/>
      <c r="Q46" s="95"/>
    </row>
    <row r="47" spans="4:17" s="2" customFormat="1" ht="12" customHeight="1">
      <c r="D47" s="22"/>
      <c r="E47" s="22"/>
      <c r="J47" s="5"/>
      <c r="K47" s="5"/>
      <c r="L47" s="5"/>
      <c r="M47" s="5"/>
      <c r="N47" s="5"/>
      <c r="O47" s="5"/>
      <c r="P47" s="88"/>
      <c r="Q47" s="95"/>
    </row>
    <row r="48" spans="4:17" s="2" customFormat="1" ht="12" customHeight="1">
      <c r="D48" s="22"/>
      <c r="E48" s="22"/>
      <c r="J48" s="5"/>
      <c r="K48" s="5"/>
      <c r="L48" s="5"/>
      <c r="M48" s="5"/>
      <c r="N48" s="5"/>
      <c r="O48" s="5"/>
      <c r="P48" s="88"/>
      <c r="Q48" s="95"/>
    </row>
    <row r="49" spans="1:17" s="2" customFormat="1" ht="12" customHeight="1">
      <c r="D49" s="22"/>
      <c r="E49" s="22"/>
      <c r="J49" s="5"/>
      <c r="K49" s="5"/>
      <c r="L49" s="5"/>
      <c r="M49" s="5"/>
      <c r="N49" s="5"/>
      <c r="O49" s="5"/>
      <c r="P49" s="88"/>
      <c r="Q49" s="95"/>
    </row>
    <row r="50" spans="1:17" s="2" customFormat="1" ht="12" customHeight="1">
      <c r="D50" s="22"/>
      <c r="E50" s="22"/>
      <c r="J50" s="5"/>
      <c r="K50" s="5"/>
      <c r="L50" s="5"/>
      <c r="M50" s="5"/>
      <c r="N50" s="5"/>
      <c r="O50" s="5"/>
      <c r="P50" s="88"/>
      <c r="Q50" s="95"/>
    </row>
    <row r="51" spans="1:17" s="2" customFormat="1" ht="12" customHeight="1">
      <c r="D51" s="22"/>
      <c r="E51" s="22"/>
      <c r="J51" s="5"/>
      <c r="K51" s="5"/>
      <c r="L51" s="5"/>
      <c r="M51" s="5"/>
      <c r="N51" s="5"/>
      <c r="O51" s="5"/>
      <c r="P51" s="88"/>
      <c r="Q51" s="95"/>
    </row>
    <row r="52" spans="1:17" s="2" customFormat="1" ht="12" customHeight="1">
      <c r="D52" s="22"/>
      <c r="E52" s="22"/>
      <c r="J52" s="5"/>
      <c r="K52" s="5"/>
      <c r="L52" s="5"/>
      <c r="M52" s="5"/>
      <c r="N52" s="5"/>
      <c r="O52" s="5"/>
      <c r="P52" s="88"/>
      <c r="Q52" s="95"/>
    </row>
    <row r="53" spans="1:17" s="2" customFormat="1" ht="12" customHeight="1">
      <c r="D53" s="22"/>
      <c r="E53" s="22"/>
      <c r="J53" s="5"/>
      <c r="K53" s="5"/>
      <c r="L53" s="5"/>
      <c r="M53" s="5"/>
      <c r="N53" s="5"/>
      <c r="O53" s="5"/>
      <c r="P53" s="88"/>
      <c r="Q53" s="95"/>
    </row>
    <row r="54" spans="1:17" s="2" customFormat="1" ht="12" customHeight="1">
      <c r="D54" s="22"/>
      <c r="E54" s="22"/>
      <c r="J54" s="5"/>
      <c r="K54" s="5"/>
      <c r="L54" s="5"/>
      <c r="M54" s="5"/>
      <c r="N54" s="5"/>
      <c r="O54" s="5"/>
      <c r="P54" s="88"/>
      <c r="Q54" s="96"/>
    </row>
    <row r="55" spans="1:17" s="2" customFormat="1" ht="12" customHeight="1">
      <c r="D55" s="22"/>
      <c r="E55" s="22"/>
      <c r="J55" s="5"/>
      <c r="K55" s="5"/>
      <c r="L55" s="5"/>
      <c r="M55" s="5"/>
      <c r="N55" s="5"/>
      <c r="O55" s="5"/>
      <c r="P55" s="88"/>
      <c r="Q55" s="96"/>
    </row>
    <row r="56" spans="1:17" s="2" customFormat="1" ht="12" customHeight="1">
      <c r="D56" s="22"/>
      <c r="E56" s="22"/>
      <c r="J56" s="5"/>
      <c r="K56" s="5"/>
      <c r="L56" s="5"/>
      <c r="M56" s="5"/>
      <c r="N56" s="5"/>
      <c r="O56" s="5"/>
      <c r="P56" s="88"/>
      <c r="Q56" s="96"/>
    </row>
    <row r="57" spans="1:17" s="2" customFormat="1" ht="12" customHeight="1">
      <c r="D57" s="22"/>
      <c r="E57" s="22"/>
      <c r="J57" s="5"/>
      <c r="K57" s="5"/>
      <c r="L57" s="5"/>
      <c r="M57" s="5"/>
      <c r="N57" s="5"/>
      <c r="O57" s="5"/>
      <c r="P57" s="88"/>
      <c r="Q57" s="96"/>
    </row>
    <row r="58" spans="1:17" s="2" customFormat="1" ht="12" customHeight="1">
      <c r="A58"/>
      <c r="B58"/>
      <c r="C58"/>
      <c r="D58" s="23"/>
      <c r="E58" s="23"/>
      <c r="F58"/>
      <c r="G58"/>
      <c r="H58"/>
      <c r="I58"/>
      <c r="J58" s="19"/>
      <c r="K58" s="19"/>
      <c r="L58" s="19"/>
      <c r="M58" s="19"/>
      <c r="N58" s="19"/>
      <c r="O58" s="19"/>
      <c r="P58" s="90"/>
      <c r="Q58" s="96"/>
    </row>
    <row r="59" spans="1:17" s="2" customFormat="1" ht="12" customHeight="1">
      <c r="A59"/>
      <c r="B59"/>
      <c r="C59"/>
      <c r="D59" s="23"/>
      <c r="E59" s="23"/>
      <c r="F59"/>
      <c r="G59"/>
      <c r="H59"/>
      <c r="I59"/>
      <c r="J59" s="19"/>
      <c r="K59" s="19"/>
      <c r="L59" s="19"/>
      <c r="M59" s="19"/>
      <c r="N59" s="19"/>
      <c r="O59" s="19"/>
      <c r="P59" s="90"/>
      <c r="Q59" s="96"/>
    </row>
    <row r="60" spans="1:17" s="2" customFormat="1" ht="12" customHeight="1">
      <c r="A60"/>
      <c r="B60"/>
      <c r="C60"/>
      <c r="D60" s="23"/>
      <c r="E60" s="23"/>
      <c r="F60"/>
      <c r="G60"/>
      <c r="H60"/>
      <c r="I60"/>
      <c r="J60" s="19"/>
      <c r="K60" s="19"/>
      <c r="L60" s="19"/>
      <c r="M60" s="19"/>
      <c r="N60" s="19"/>
      <c r="O60" s="19"/>
      <c r="P60" s="90"/>
      <c r="Q60" s="96"/>
    </row>
    <row r="61" spans="1:17" s="2" customFormat="1" ht="12" customHeight="1">
      <c r="A61"/>
      <c r="B61"/>
      <c r="C61"/>
      <c r="D61" s="23"/>
      <c r="E61" s="23"/>
      <c r="F61"/>
      <c r="G61"/>
      <c r="H61"/>
      <c r="I61"/>
      <c r="J61" s="19"/>
      <c r="K61" s="19"/>
      <c r="L61" s="19"/>
      <c r="M61" s="19"/>
      <c r="N61" s="19"/>
      <c r="O61" s="19"/>
      <c r="P61" s="90"/>
      <c r="Q61" s="96"/>
    </row>
    <row r="62" spans="1:17" s="2" customFormat="1" ht="12" customHeight="1">
      <c r="A62"/>
      <c r="B62"/>
      <c r="C62"/>
      <c r="D62" s="23"/>
      <c r="E62" s="23"/>
      <c r="F62"/>
      <c r="G62"/>
      <c r="H62"/>
      <c r="I62"/>
      <c r="J62" s="19"/>
      <c r="K62" s="19"/>
      <c r="L62" s="19"/>
      <c r="M62" s="19"/>
      <c r="N62" s="19"/>
      <c r="O62" s="19"/>
      <c r="P62" s="90"/>
      <c r="Q62" s="96"/>
    </row>
    <row r="63" spans="1:17">
      <c r="Q63" s="96"/>
    </row>
    <row r="64" spans="1:17">
      <c r="Q64" s="96"/>
    </row>
    <row r="65" spans="17:17">
      <c r="Q65" s="96"/>
    </row>
    <row r="66" spans="17:17">
      <c r="Q66" s="96"/>
    </row>
    <row r="67" spans="17:17">
      <c r="Q67" s="96"/>
    </row>
    <row r="68" spans="17:17">
      <c r="Q68" s="96"/>
    </row>
    <row r="69" spans="17:17">
      <c r="Q69" s="96"/>
    </row>
    <row r="70" spans="17:17">
      <c r="Q70" s="96"/>
    </row>
    <row r="71" spans="17:17">
      <c r="Q71" s="96"/>
    </row>
    <row r="72" spans="17:17">
      <c r="Q72" s="96"/>
    </row>
    <row r="73" spans="17:17">
      <c r="Q73" s="96"/>
    </row>
    <row r="74" spans="17:17">
      <c r="Q74" s="96"/>
    </row>
    <row r="75" spans="17:17">
      <c r="Q75" s="96"/>
    </row>
    <row r="76" spans="17:17">
      <c r="Q76" s="96"/>
    </row>
    <row r="77" spans="17:17">
      <c r="Q77" s="96"/>
    </row>
    <row r="78" spans="17:17">
      <c r="Q78" s="96"/>
    </row>
    <row r="79" spans="17:17">
      <c r="Q79" s="96"/>
    </row>
    <row r="80" spans="17:17">
      <c r="Q80" s="96"/>
    </row>
    <row r="81" spans="17:17">
      <c r="Q81" s="96"/>
    </row>
    <row r="82" spans="17:17">
      <c r="Q82" s="96"/>
    </row>
    <row r="119" ht="12" customHeight="1"/>
    <row r="120" ht="12" customHeight="1"/>
    <row r="121" ht="12" customHeight="1"/>
    <row r="122" ht="12" customHeight="1"/>
    <row r="123" ht="12" customHeight="1"/>
    <row r="124" ht="12" customHeight="1"/>
    <row r="125" ht="12" customHeight="1"/>
    <row r="126" ht="12" customHeight="1"/>
    <row r="127" ht="12" customHeight="1"/>
    <row r="128" ht="12" customHeight="1"/>
    <row r="129" ht="12" customHeight="1"/>
    <row r="130" ht="12" customHeight="1"/>
    <row r="131" ht="12" customHeight="1"/>
    <row r="132" ht="12" customHeight="1"/>
    <row r="133" ht="12" customHeight="1"/>
    <row r="134" ht="12" customHeight="1"/>
    <row r="135" ht="12" customHeight="1"/>
    <row r="136" ht="12" customHeight="1"/>
    <row r="137" ht="12" customHeight="1"/>
    <row r="138" ht="12" customHeight="1"/>
    <row r="139" ht="12" customHeight="1"/>
    <row r="140" ht="12" customHeight="1"/>
    <row r="141" ht="12" customHeight="1"/>
    <row r="142" ht="12" customHeight="1"/>
    <row r="143" ht="12" customHeight="1"/>
    <row r="144" ht="12" customHeight="1"/>
    <row r="145" ht="12" customHeight="1"/>
    <row r="146" ht="12" customHeight="1"/>
    <row r="147" ht="12" customHeight="1"/>
    <row r="148" ht="12" customHeight="1"/>
    <row r="149" ht="12" customHeight="1"/>
    <row r="150" ht="12" customHeight="1"/>
    <row r="151" ht="12" customHeight="1"/>
    <row r="152" ht="12" customHeight="1"/>
    <row r="153" ht="12" customHeight="1"/>
    <row r="154" ht="12" customHeight="1"/>
    <row r="155" ht="12" customHeight="1"/>
    <row r="156" ht="12" customHeight="1"/>
    <row r="157" ht="12" customHeight="1"/>
    <row r="158" ht="12" customHeight="1"/>
    <row r="159" ht="12" customHeight="1"/>
    <row r="160" ht="12" customHeight="1"/>
    <row r="161" ht="12" customHeight="1"/>
    <row r="162" ht="12" customHeight="1"/>
    <row r="163" ht="12" customHeight="1"/>
    <row r="164" ht="12" customHeight="1"/>
    <row r="165" ht="12" customHeight="1"/>
    <row r="166" ht="12" customHeight="1"/>
    <row r="167" ht="12" customHeight="1"/>
    <row r="168" ht="12" customHeight="1"/>
  </sheetData>
  <mergeCells count="17">
    <mergeCell ref="D14:E14"/>
    <mergeCell ref="D11:E11"/>
    <mergeCell ref="D15:E15"/>
    <mergeCell ref="H15:I15"/>
    <mergeCell ref="D7:E7"/>
    <mergeCell ref="D8:E8"/>
    <mergeCell ref="H11:I11"/>
    <mergeCell ref="D12:E12"/>
    <mergeCell ref="D13:E13"/>
    <mergeCell ref="D9:E9"/>
    <mergeCell ref="D10:E10"/>
    <mergeCell ref="D1:E1"/>
    <mergeCell ref="D4:E4"/>
    <mergeCell ref="H4:I4"/>
    <mergeCell ref="D5:E5"/>
    <mergeCell ref="D6:E6"/>
    <mergeCell ref="H6:I6"/>
  </mergeCells>
  <conditionalFormatting sqref="M5">
    <cfRule type="cellIs" dxfId="587" priority="1" stopIfTrue="1" operator="lessThanOrEqual">
      <formula>$L5</formula>
    </cfRule>
    <cfRule type="cellIs" dxfId="586" priority="2" operator="greaterThan">
      <formula>L5</formula>
    </cfRule>
  </conditionalFormatting>
  <conditionalFormatting sqref="M7:M10 M12:M14">
    <cfRule type="cellIs" dxfId="585" priority="3" stopIfTrue="1" operator="lessThanOrEqual">
      <formula>$L7</formula>
    </cfRule>
    <cfRule type="cellIs" dxfId="584" priority="4" operator="greaterThan">
      <formula>L7</formula>
    </cfRule>
  </conditionalFormatting>
  <pageMargins left="0.7" right="0.7" top="0.75" bottom="0.75" header="0.3" footer="0.3"/>
  <pageSetup paperSize="3" fitToHeight="0" orientation="landscape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20921CA-59E8-40D3-8E25-078E70F76E8A}">
          <x14:formula1>
            <xm:f>Bolts!$A:$A</xm:f>
          </x14:formula1>
          <xm:sqref>C12:C14</xm:sqref>
        </x14:dataValidation>
        <x14:dataValidation type="list" allowBlank="1" showInputMessage="1" showErrorMessage="1" xr:uid="{EEF96E60-C82C-42F4-AE33-071164A101C9}">
          <x14:formula1>
            <xm:f>Purchased!$A:$A</xm:f>
          </x14:formula1>
          <xm:sqref>C7:C10</xm:sqref>
        </x14:dataValidation>
        <x14:dataValidation type="list" allowBlank="1" showInputMessage="1" showErrorMessage="1" xr:uid="{9A86E399-9105-45FD-AF81-5CFDD20A6C24}">
          <x14:formula1>
            <xm:f>Machined!$C:$C</xm:f>
          </x14:formula1>
          <xm:sqref>C5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CCA4DE-7385-42B2-A836-8385FE1531C1}">
  <sheetPr codeName="Sheet24">
    <tabColor theme="3" tint="0.79998168889431442"/>
    <pageSetUpPr fitToPage="1"/>
  </sheetPr>
  <dimension ref="A1:Q170"/>
  <sheetViews>
    <sheetView zoomScaleNormal="100" workbookViewId="0">
      <selection activeCell="F22" sqref="F22"/>
    </sheetView>
  </sheetViews>
  <sheetFormatPr defaultColWidth="9.140625" defaultRowHeight="15"/>
  <cols>
    <col min="1" max="1" width="5.7109375" customWidth="1"/>
    <col min="2" max="2" width="5.42578125" bestFit="1" customWidth="1"/>
    <col min="3" max="3" width="30.7109375" customWidth="1"/>
    <col min="4" max="5" width="20.7109375" style="23" customWidth="1"/>
    <col min="6" max="6" width="16.85546875" bestFit="1" customWidth="1"/>
    <col min="7" max="7" width="9.7109375" customWidth="1"/>
    <col min="8" max="8" width="8.7109375" customWidth="1"/>
    <col min="9" max="9" width="20.7109375" customWidth="1"/>
    <col min="10" max="13" width="11.7109375" style="19" customWidth="1"/>
    <col min="14" max="14" width="11.85546875" style="19" bestFit="1" customWidth="1"/>
    <col min="15" max="15" width="7.7109375" style="19" customWidth="1"/>
    <col min="16" max="16" width="10.7109375" style="90" customWidth="1"/>
    <col min="17" max="17" width="10.7109375" style="97" customWidth="1"/>
  </cols>
  <sheetData>
    <row r="1" spans="1:17" s="55" customFormat="1" ht="12" customHeight="1">
      <c r="A1" s="68" t="s">
        <v>0</v>
      </c>
      <c r="B1" s="69"/>
      <c r="C1" s="69"/>
      <c r="D1" s="262" t="s">
        <v>1</v>
      </c>
      <c r="E1" s="263"/>
      <c r="F1" s="70"/>
      <c r="G1" s="69"/>
      <c r="H1" s="70"/>
      <c r="I1" s="71"/>
      <c r="J1" s="72"/>
      <c r="K1" s="72"/>
      <c r="L1" s="72"/>
      <c r="M1" s="72"/>
      <c r="N1" s="72"/>
      <c r="O1" s="72"/>
      <c r="P1" s="85"/>
      <c r="Q1" s="91"/>
    </row>
    <row r="2" spans="1:17" s="55" customFormat="1" ht="12" customHeight="1">
      <c r="A2" s="74" t="s">
        <v>48</v>
      </c>
      <c r="B2" s="58"/>
      <c r="C2" s="57" t="e">
        <f ca="1">VLOOKUP(E3,Assemblies!B:F,4,0)</f>
        <v>#VALUE!</v>
      </c>
      <c r="D2" s="75" t="s">
        <v>3</v>
      </c>
      <c r="E2" s="76" t="e">
        <f ca="1">'GF12'!E2</f>
        <v>#VALUE!</v>
      </c>
      <c r="F2" s="77" t="s">
        <v>4</v>
      </c>
      <c r="G2" s="58" t="str">
        <f>'GF12'!G2</f>
        <v>GH</v>
      </c>
      <c r="H2" s="77" t="s">
        <v>6</v>
      </c>
      <c r="I2" s="59">
        <f>'GF12'!I2</f>
        <v>44775</v>
      </c>
      <c r="J2" s="39"/>
      <c r="K2" s="40" t="s">
        <v>49</v>
      </c>
      <c r="L2" s="41" t="e">
        <f ca="1">VLOOKUP(C2,Assemblies!E:G,3,0)</f>
        <v>#VALUE!</v>
      </c>
      <c r="M2" s="78"/>
      <c r="N2" s="78"/>
      <c r="O2" s="78"/>
      <c r="P2" s="86"/>
      <c r="Q2" s="92"/>
    </row>
    <row r="3" spans="1:17" s="55" customFormat="1" ht="12" customHeight="1" thickBot="1">
      <c r="A3" s="74" t="s">
        <v>7</v>
      </c>
      <c r="B3" s="58"/>
      <c r="C3" s="57" t="e">
        <f ca="1">VLOOKUP(E3,Assemblies!B:F,5,0)</f>
        <v>#VALUE!</v>
      </c>
      <c r="D3" s="75" t="s">
        <v>50</v>
      </c>
      <c r="E3" s="76" t="e">
        <f ca="1">MID(CELL("filename",A1),FIND("]",CELL("filename",A1))+1,256)</f>
        <v>#VALUE!</v>
      </c>
      <c r="F3" s="77" t="s">
        <v>11</v>
      </c>
      <c r="G3" s="58" t="str">
        <f>'GF12'!G3</f>
        <v>GH</v>
      </c>
      <c r="H3" s="77" t="s">
        <v>6</v>
      </c>
      <c r="I3" s="59">
        <f>'GF12'!I3</f>
        <v>44775</v>
      </c>
      <c r="J3" s="78"/>
      <c r="K3" s="78"/>
      <c r="L3" s="78"/>
      <c r="M3" s="78"/>
      <c r="N3" s="78"/>
      <c r="O3" s="78"/>
      <c r="P3" s="86"/>
      <c r="Q3" s="92"/>
    </row>
    <row r="4" spans="1:17" s="56" customFormat="1" ht="12.75" customHeight="1" thickBot="1">
      <c r="A4" s="80" t="s">
        <v>12</v>
      </c>
      <c r="B4" s="81" t="s">
        <v>13</v>
      </c>
      <c r="C4" s="81" t="s">
        <v>14</v>
      </c>
      <c r="D4" s="270" t="s">
        <v>15</v>
      </c>
      <c r="E4" s="271"/>
      <c r="F4" s="104" t="s">
        <v>16</v>
      </c>
      <c r="G4" s="81" t="s">
        <v>17</v>
      </c>
      <c r="H4" s="260" t="s">
        <v>18</v>
      </c>
      <c r="I4" s="261"/>
      <c r="J4" s="81" t="s">
        <v>51</v>
      </c>
      <c r="K4" s="81" t="s">
        <v>20</v>
      </c>
      <c r="L4" s="81" t="s">
        <v>21</v>
      </c>
      <c r="M4" s="81" t="s">
        <v>52</v>
      </c>
      <c r="N4" s="81" t="s">
        <v>22</v>
      </c>
      <c r="O4" s="81" t="s">
        <v>53</v>
      </c>
      <c r="P4" s="107" t="s">
        <v>26</v>
      </c>
      <c r="Q4" s="82" t="s">
        <v>27</v>
      </c>
    </row>
    <row r="5" spans="1:17" s="2" customFormat="1" ht="12.75" customHeight="1">
      <c r="A5" s="127">
        <v>1</v>
      </c>
      <c r="B5" s="21">
        <v>1</v>
      </c>
      <c r="C5" s="108" t="s">
        <v>345</v>
      </c>
      <c r="D5" s="277" t="str">
        <f>VLOOKUP(C5,Machined!C:Q,2,0)</f>
        <v>HMI Arm Mount</v>
      </c>
      <c r="E5" s="278"/>
      <c r="F5" s="131" t="str">
        <f>VLOOKUP(C5,Machined!C:R,7,0)</f>
        <v>6061-T6 Alum</v>
      </c>
      <c r="G5" s="131" t="str">
        <f>VLOOKUP(C5,Machined!C:R,10,0)</f>
        <v>BIG SKY</v>
      </c>
      <c r="H5" s="131" t="str">
        <f>VLOOKUP(C5,Machined!C:R,11,0)</f>
        <v xml:space="preserve">  </v>
      </c>
      <c r="I5" s="131"/>
      <c r="J5" s="42">
        <f>VLOOKUP(C5,Machined!C:R,12,0)</f>
        <v>45142</v>
      </c>
      <c r="K5" s="42">
        <f>VLOOKUP(C5,Machined!C:R,13,0)</f>
        <v>45146</v>
      </c>
      <c r="L5" s="42">
        <f>VLOOKUP(C5,Machined!C:R,14,0)</f>
        <v>45176</v>
      </c>
      <c r="M5" s="42">
        <f>VLOOKUP(C5,Machined!C:R,15,0)</f>
        <v>45176</v>
      </c>
      <c r="N5" s="43">
        <f>VLOOKUP(C5,Machined!C:R,16,0)</f>
        <v>55032</v>
      </c>
      <c r="O5" s="43" t="e">
        <f t="shared" ref="O5" ca="1" si="0">B5*$L$2</f>
        <v>#VALUE!</v>
      </c>
      <c r="P5" s="47">
        <f>IFERROR(VLOOKUP(C5,Machined!C:F,3,0),"")</f>
        <v>198</v>
      </c>
      <c r="Q5" s="48">
        <f t="shared" ref="Q5" si="1">IFERROR(B5*P5,"")</f>
        <v>198</v>
      </c>
    </row>
    <row r="6" spans="1:17" s="2" customFormat="1" ht="12.75" customHeight="1">
      <c r="A6" s="143"/>
      <c r="B6" s="26"/>
      <c r="C6" s="26"/>
      <c r="D6" s="272"/>
      <c r="E6" s="273"/>
      <c r="F6" s="26"/>
      <c r="G6" s="26"/>
      <c r="H6" s="274"/>
      <c r="I6" s="275"/>
      <c r="J6" s="27"/>
      <c r="K6" s="27"/>
      <c r="L6" s="27"/>
      <c r="M6" s="28"/>
      <c r="N6" s="29"/>
      <c r="O6" s="29"/>
      <c r="P6" s="141"/>
      <c r="Q6" s="142"/>
    </row>
    <row r="7" spans="1:17" s="2" customFormat="1" ht="12.75" customHeight="1">
      <c r="A7" s="4">
        <v>301</v>
      </c>
      <c r="B7" s="2">
        <v>3</v>
      </c>
      <c r="C7" s="114" t="s">
        <v>256</v>
      </c>
      <c r="D7" s="268" t="str">
        <f>VLOOKUP(C7,Purchased!A:B,2,0)</f>
        <v>BRX GOTO T-NUT 10 M8</v>
      </c>
      <c r="E7" s="269"/>
      <c r="F7" s="112" t="str">
        <f>VLOOKUP(C7,Purchased!A:Q,9,0)</f>
        <v>BRX</v>
      </c>
      <c r="G7" s="112" t="str">
        <f>VLOOKUP(C7,Purchased!A:Q,10,0)</f>
        <v>AAP</v>
      </c>
      <c r="H7" s="112" t="str">
        <f>VLOOKUP(C7,Purchased!A:Q,12,0)</f>
        <v xml:space="preserve">  </v>
      </c>
      <c r="I7" s="113"/>
      <c r="J7" s="44">
        <f>VLOOKUP(C7,Purchased!A:Q,13,0)</f>
        <v>45104</v>
      </c>
      <c r="K7" s="44">
        <f>VLOOKUP(C7,Purchased!A:Q,14,0)</f>
        <v>45105</v>
      </c>
      <c r="L7" s="44">
        <f>VLOOKUP(C7,Purchased!A:Q,15,0)</f>
        <v>45133</v>
      </c>
      <c r="M7" s="44">
        <f>VLOOKUP(C7,Purchased!A:Q,16,0)</f>
        <v>45133</v>
      </c>
      <c r="N7" s="45" t="str">
        <f>VLOOKUP(C7,Purchased!A:Q,17,0)</f>
        <v>54968, 55147</v>
      </c>
      <c r="O7" s="45" t="e">
        <f t="shared" ref="O7:O8" ca="1" si="2">B7*$L$2</f>
        <v>#VALUE!</v>
      </c>
      <c r="P7" s="49">
        <f>IFERROR(VLOOKUP(C7,Purchased!A:E,3,FALSE),"")</f>
        <v>0.64290000000000003</v>
      </c>
      <c r="Q7" s="50">
        <f t="shared" ref="Q7:Q8" si="3">IFERROR(B7*P7,"")</f>
        <v>1.9287000000000001</v>
      </c>
    </row>
    <row r="8" spans="1:17" s="2" customFormat="1" ht="12" customHeight="1">
      <c r="A8" s="4">
        <f>A7+1</f>
        <v>302</v>
      </c>
      <c r="B8" s="2">
        <v>1</v>
      </c>
      <c r="C8" s="114" t="s">
        <v>346</v>
      </c>
      <c r="D8" s="268" t="str">
        <f>VLOOKUP(C8,Purchased!A:B,2,0)</f>
        <v>Saginaw SCE-SA20TC</v>
      </c>
      <c r="E8" s="269"/>
      <c r="F8" s="112" t="str">
        <f>VLOOKUP(C8,Purchased!A:Q,9,0)</f>
        <v>SAGINAW</v>
      </c>
      <c r="G8" s="112" t="str">
        <f>VLOOKUP(C8,Purchased!A:Q,10,0)</f>
        <v>SAGINAW</v>
      </c>
      <c r="H8" s="112" t="str">
        <f>VLOOKUP(C8,Purchased!A:Q,12,0)</f>
        <v xml:space="preserve"> </v>
      </c>
      <c r="I8" s="113"/>
      <c r="J8" s="44" t="str">
        <f>VLOOKUP(C8,Purchased!A:Q,13,0)</f>
        <v>N/A</v>
      </c>
      <c r="K8" s="44">
        <f>VLOOKUP(C8,Purchased!A:Q,14,0)</f>
        <v>45013</v>
      </c>
      <c r="L8" s="44">
        <f>VLOOKUP(C8,Purchased!A:Q,15,0)</f>
        <v>45043</v>
      </c>
      <c r="M8" s="44">
        <f>VLOOKUP(C8,Purchased!A:Q,16,0)</f>
        <v>45043</v>
      </c>
      <c r="N8" s="45">
        <f>VLOOKUP(C8,Purchased!A:Q,17,0)</f>
        <v>54824</v>
      </c>
      <c r="O8" s="45" t="e">
        <f t="shared" ca="1" si="2"/>
        <v>#VALUE!</v>
      </c>
      <c r="P8" s="49">
        <f>IFERROR(VLOOKUP(C8,Purchased!A:E,3,FALSE),"")</f>
        <v>67.28</v>
      </c>
      <c r="Q8" s="50">
        <f t="shared" si="3"/>
        <v>67.28</v>
      </c>
    </row>
    <row r="9" spans="1:17" s="2" customFormat="1" ht="12" customHeight="1">
      <c r="A9" s="4">
        <f t="shared" ref="A9:A12" si="4">A8+1</f>
        <v>303</v>
      </c>
      <c r="B9" s="2">
        <v>1</v>
      </c>
      <c r="C9" s="114" t="s">
        <v>347</v>
      </c>
      <c r="D9" s="268" t="str">
        <f>VLOOKUP(C9,Purchased!A:B,2,0)</f>
        <v>Saginaw SCE-SA30TC</v>
      </c>
      <c r="E9" s="269"/>
      <c r="F9" s="112" t="str">
        <f>VLOOKUP(C9,Purchased!A:Q,9,0)</f>
        <v>SAGINAW</v>
      </c>
      <c r="G9" s="112" t="str">
        <f>VLOOKUP(C9,Purchased!A:Q,10,0)</f>
        <v>SAGINAW</v>
      </c>
      <c r="H9" s="112" t="str">
        <f>VLOOKUP(C9,Purchased!A:Q,12,0)</f>
        <v xml:space="preserve"> </v>
      </c>
      <c r="I9" s="113"/>
      <c r="J9" s="44" t="str">
        <f>VLOOKUP(C9,Purchased!A:Q,13,0)</f>
        <v>N/A</v>
      </c>
      <c r="K9" s="44">
        <f>VLOOKUP(C9,Purchased!A:Q,14,0)</f>
        <v>45013</v>
      </c>
      <c r="L9" s="44">
        <f>VLOOKUP(C9,Purchased!A:Q,15,0)</f>
        <v>45043</v>
      </c>
      <c r="M9" s="44">
        <f>VLOOKUP(C9,Purchased!A:Q,16,0)</f>
        <v>45043</v>
      </c>
      <c r="N9" s="45">
        <f>VLOOKUP(C9,Purchased!A:Q,17,0)</f>
        <v>54824</v>
      </c>
      <c r="O9" s="45" t="e">
        <f t="shared" ref="O9:O12" ca="1" si="5">B9*$L$2</f>
        <v>#VALUE!</v>
      </c>
      <c r="P9" s="49">
        <f>IFERROR(VLOOKUP(C9,Purchased!A:E,3,FALSE),"")</f>
        <v>126.23</v>
      </c>
      <c r="Q9" s="50">
        <f t="shared" ref="Q9:Q12" si="6">IFERROR(B9*P9,"")</f>
        <v>126.23</v>
      </c>
    </row>
    <row r="10" spans="1:17" s="2" customFormat="1" ht="12" customHeight="1">
      <c r="A10" s="4">
        <f t="shared" si="4"/>
        <v>304</v>
      </c>
      <c r="B10" s="2">
        <v>1</v>
      </c>
      <c r="C10" s="114" t="s">
        <v>348</v>
      </c>
      <c r="D10" s="268" t="str">
        <f>VLOOKUP(C10,Purchased!A:B,2,0)</f>
        <v>Saginaw SCE-SA360C</v>
      </c>
      <c r="E10" s="269"/>
      <c r="F10" s="112" t="str">
        <f>VLOOKUP(C10,Purchased!A:Q,9,0)</f>
        <v>SAGINAW</v>
      </c>
      <c r="G10" s="112" t="str">
        <f>VLOOKUP(C10,Purchased!A:Q,10,0)</f>
        <v>SAGINAW</v>
      </c>
      <c r="H10" s="112" t="str">
        <f>VLOOKUP(C10,Purchased!A:Q,12,0)</f>
        <v xml:space="preserve"> </v>
      </c>
      <c r="I10" s="113"/>
      <c r="J10" s="44" t="str">
        <f>VLOOKUP(C10,Purchased!A:Q,13,0)</f>
        <v>N/A</v>
      </c>
      <c r="K10" s="44">
        <f>VLOOKUP(C10,Purchased!A:Q,14,0)</f>
        <v>45013</v>
      </c>
      <c r="L10" s="44">
        <f>VLOOKUP(C10,Purchased!A:Q,15,0)</f>
        <v>45043</v>
      </c>
      <c r="M10" s="44">
        <f>VLOOKUP(C10,Purchased!A:Q,16,0)</f>
        <v>45043</v>
      </c>
      <c r="N10" s="45">
        <f>VLOOKUP(C10,Purchased!A:Q,17,0)</f>
        <v>54824</v>
      </c>
      <c r="O10" s="45" t="e">
        <f t="shared" ca="1" si="5"/>
        <v>#VALUE!</v>
      </c>
      <c r="P10" s="49">
        <f>IFERROR(VLOOKUP(C10,Purchased!A:E,3,FALSE),"")</f>
        <v>116.45</v>
      </c>
      <c r="Q10" s="50">
        <f t="shared" si="6"/>
        <v>116.45</v>
      </c>
    </row>
    <row r="11" spans="1:17" s="2" customFormat="1" ht="12" customHeight="1">
      <c r="A11" s="4">
        <f t="shared" si="4"/>
        <v>305</v>
      </c>
      <c r="B11" s="2">
        <v>1</v>
      </c>
      <c r="C11" s="114" t="s">
        <v>349</v>
      </c>
      <c r="D11" s="268" t="str">
        <f>VLOOKUP(C11,Purchased!A:B,2,0)</f>
        <v>Saginaw SCE-SA310TMJ</v>
      </c>
      <c r="E11" s="269"/>
      <c r="F11" s="112" t="str">
        <f>VLOOKUP(C11,Purchased!A:Q,9,0)</f>
        <v>SAGINAW</v>
      </c>
      <c r="G11" s="112" t="str">
        <f>VLOOKUP(C11,Purchased!A:Q,10,0)</f>
        <v>SAGINAW</v>
      </c>
      <c r="H11" s="112" t="str">
        <f>VLOOKUP(C11,Purchased!A:Q,12,0)</f>
        <v xml:space="preserve"> </v>
      </c>
      <c r="I11" s="113"/>
      <c r="J11" s="44" t="str">
        <f>VLOOKUP(C11,Purchased!A:Q,13,0)</f>
        <v>N/A</v>
      </c>
      <c r="K11" s="44">
        <f>VLOOKUP(C11,Purchased!A:Q,14,0)</f>
        <v>45013</v>
      </c>
      <c r="L11" s="44">
        <f>VLOOKUP(C11,Purchased!A:Q,15,0)</f>
        <v>45043</v>
      </c>
      <c r="M11" s="44">
        <f>VLOOKUP(C11,Purchased!A:Q,16,0)</f>
        <v>45043</v>
      </c>
      <c r="N11" s="45">
        <f>VLOOKUP(C11,Purchased!A:Q,17,0)</f>
        <v>54824</v>
      </c>
      <c r="O11" s="45" t="e">
        <f t="shared" ca="1" si="5"/>
        <v>#VALUE!</v>
      </c>
      <c r="P11" s="49">
        <f>IFERROR(VLOOKUP(C11,Purchased!A:E,3,FALSE),"")</f>
        <v>116.45</v>
      </c>
      <c r="Q11" s="50">
        <f t="shared" si="6"/>
        <v>116.45</v>
      </c>
    </row>
    <row r="12" spans="1:17" s="2" customFormat="1" ht="12" customHeight="1">
      <c r="A12" s="4">
        <f t="shared" si="4"/>
        <v>306</v>
      </c>
      <c r="B12" s="2">
        <v>1</v>
      </c>
      <c r="C12" s="114" t="s">
        <v>350</v>
      </c>
      <c r="D12" s="268" t="str">
        <f>VLOOKUP(C12,Purchased!A:B,2,0)</f>
        <v>Saginaw SCE-SA90A</v>
      </c>
      <c r="E12" s="269"/>
      <c r="F12" s="112" t="str">
        <f>VLOOKUP(C12,Purchased!A:Q,9,0)</f>
        <v>SAGINAW</v>
      </c>
      <c r="G12" s="112" t="str">
        <f>VLOOKUP(C12,Purchased!A:Q,10,0)</f>
        <v>SAGINAW</v>
      </c>
      <c r="H12" s="112" t="str">
        <f>VLOOKUP(C12,Purchased!A:Q,12,0)</f>
        <v xml:space="preserve"> </v>
      </c>
      <c r="I12" s="113"/>
      <c r="J12" s="44" t="str">
        <f>VLOOKUP(C12,Purchased!A:Q,13,0)</f>
        <v>N/A</v>
      </c>
      <c r="K12" s="44">
        <f>VLOOKUP(C12,Purchased!A:Q,14,0)</f>
        <v>45013</v>
      </c>
      <c r="L12" s="44">
        <f>VLOOKUP(C12,Purchased!A:Q,15,0)</f>
        <v>45043</v>
      </c>
      <c r="M12" s="44">
        <f>VLOOKUP(C12,Purchased!A:Q,16,0)</f>
        <v>45043</v>
      </c>
      <c r="N12" s="45">
        <f>VLOOKUP(C12,Purchased!A:Q,17,0)</f>
        <v>54824</v>
      </c>
      <c r="O12" s="45" t="e">
        <f t="shared" ca="1" si="5"/>
        <v>#VALUE!</v>
      </c>
      <c r="P12" s="49">
        <f>IFERROR(VLOOKUP(C12,Purchased!A:E,3,FALSE),"")</f>
        <v>92.37</v>
      </c>
      <c r="Q12" s="50">
        <f t="shared" si="6"/>
        <v>92.37</v>
      </c>
    </row>
    <row r="13" spans="1:17" s="2" customFormat="1" ht="12.75" customHeight="1">
      <c r="A13" s="25"/>
      <c r="B13" s="26"/>
      <c r="C13" s="26"/>
      <c r="D13" s="272"/>
      <c r="E13" s="273"/>
      <c r="F13" s="26"/>
      <c r="G13" s="26"/>
      <c r="H13" s="274"/>
      <c r="I13" s="275"/>
      <c r="J13" s="27"/>
      <c r="K13" s="27"/>
      <c r="L13" s="27"/>
      <c r="M13" s="28"/>
      <c r="N13" s="29"/>
      <c r="O13" s="29" t="e">
        <f t="shared" ref="O13:O14" ca="1" si="7">B13*$L$2</f>
        <v>#VALUE!</v>
      </c>
      <c r="P13" s="141"/>
      <c r="Q13" s="142"/>
    </row>
    <row r="14" spans="1:17" s="2" customFormat="1" ht="12.75" customHeight="1">
      <c r="A14" s="4">
        <v>501</v>
      </c>
      <c r="B14" s="2">
        <v>3</v>
      </c>
      <c r="C14" s="110" t="s">
        <v>351</v>
      </c>
      <c r="D14" s="268"/>
      <c r="E14" s="276"/>
      <c r="F14" s="112" t="str">
        <f>VLOOKUP(C14,Bolts!A:L,5,0)</f>
        <v xml:space="preserve">  </v>
      </c>
      <c r="G14" s="112" t="str">
        <f>VLOOKUP(C14,Bolts!A:L,6,0)</f>
        <v>Monroe Fasteners</v>
      </c>
      <c r="H14" s="112" t="str">
        <f>VLOOKUP(C14,Bolts!A:L,7,0)</f>
        <v xml:space="preserve">  </v>
      </c>
      <c r="I14" s="112"/>
      <c r="J14" s="44" t="str">
        <f>VLOOKUP(C14,Bolts!A:L,8,0)</f>
        <v xml:space="preserve"> </v>
      </c>
      <c r="K14" s="44" t="str">
        <f>VLOOKUP(C14,Bolts!A:L,9,0)</f>
        <v xml:space="preserve"> </v>
      </c>
      <c r="L14" s="44" t="str">
        <f>VLOOKUP(C14,Bolts!A:L,10,0)</f>
        <v xml:space="preserve"> </v>
      </c>
      <c r="M14" s="44" t="str">
        <f>VLOOKUP(C14,Bolts!A:L,11,0)</f>
        <v xml:space="preserve"> </v>
      </c>
      <c r="N14" s="45" t="str">
        <f>VLOOKUP(C14,Bolts!A:L,12,0)</f>
        <v xml:space="preserve"> </v>
      </c>
      <c r="O14" s="45" t="e">
        <f t="shared" ca="1" si="7"/>
        <v>#VALUE!</v>
      </c>
      <c r="P14" s="49" t="str">
        <f>IFERROR(VLOOKUP(C14,Bolts!A:B,2,FALSE),"")</f>
        <v xml:space="preserve"> </v>
      </c>
      <c r="Q14" s="50" t="str">
        <f t="shared" ref="Q14" si="8">IFERROR(B14*P14,"")</f>
        <v/>
      </c>
    </row>
    <row r="15" spans="1:17" s="2" customFormat="1" ht="12.75" customHeight="1">
      <c r="A15" s="4">
        <v>502</v>
      </c>
      <c r="B15" s="2">
        <v>8</v>
      </c>
      <c r="C15" s="110" t="s">
        <v>352</v>
      </c>
      <c r="D15" s="164"/>
      <c r="E15" s="165"/>
      <c r="F15" s="112" t="str">
        <f>VLOOKUP(C15,Bolts!A:L,5,0)</f>
        <v xml:space="preserve">  </v>
      </c>
      <c r="G15" s="112" t="str">
        <f>VLOOKUP(C15,Bolts!A:L,6,0)</f>
        <v>Monroe Fasteners</v>
      </c>
      <c r="H15" s="112" t="str">
        <f>VLOOKUP(C15,Bolts!A:L,7,0)</f>
        <v xml:space="preserve">  </v>
      </c>
      <c r="I15" s="112"/>
      <c r="J15" s="44" t="str">
        <f>VLOOKUP(C15,Bolts!A:L,8,0)</f>
        <v xml:space="preserve"> </v>
      </c>
      <c r="K15" s="44" t="str">
        <f>VLOOKUP(C15,Bolts!A:L,9,0)</f>
        <v xml:space="preserve"> </v>
      </c>
      <c r="L15" s="44" t="str">
        <f>VLOOKUP(C15,Bolts!A:L,10,0)</f>
        <v xml:space="preserve"> </v>
      </c>
      <c r="M15" s="44" t="str">
        <f>VLOOKUP(C15,Bolts!A:L,11,0)</f>
        <v xml:space="preserve"> </v>
      </c>
      <c r="N15" s="45" t="str">
        <f>VLOOKUP(C15,Bolts!A:L,12,0)</f>
        <v xml:space="preserve"> </v>
      </c>
      <c r="O15" s="45" t="e">
        <f t="shared" ref="O15:O16" ca="1" si="9">B15*$L$2</f>
        <v>#VALUE!</v>
      </c>
      <c r="P15" s="49" t="str">
        <f>IFERROR(VLOOKUP(C15,Bolts!A:B,2,FALSE),"")</f>
        <v xml:space="preserve"> </v>
      </c>
      <c r="Q15" s="50" t="str">
        <f t="shared" ref="Q15:Q16" si="10">IFERROR(B15*P15,"")</f>
        <v/>
      </c>
    </row>
    <row r="16" spans="1:17" s="2" customFormat="1" ht="12.75" customHeight="1" thickBot="1">
      <c r="A16" s="4">
        <v>503</v>
      </c>
      <c r="B16" s="2">
        <v>4</v>
      </c>
      <c r="C16" s="110" t="s">
        <v>353</v>
      </c>
      <c r="D16" s="164"/>
      <c r="E16" s="165"/>
      <c r="F16" s="112" t="str">
        <f>VLOOKUP(C16,Bolts!A:L,5,0)</f>
        <v xml:space="preserve">  </v>
      </c>
      <c r="G16" s="112" t="str">
        <f>VLOOKUP(C16,Bolts!A:L,6,0)</f>
        <v>Monroe Fasteners</v>
      </c>
      <c r="H16" s="112" t="str">
        <f>VLOOKUP(C16,Bolts!A:L,7,0)</f>
        <v xml:space="preserve">  </v>
      </c>
      <c r="I16" s="112"/>
      <c r="J16" s="44" t="str">
        <f>VLOOKUP(C16,Bolts!A:L,8,0)</f>
        <v xml:space="preserve"> </v>
      </c>
      <c r="K16" s="44" t="str">
        <f>VLOOKUP(C16,Bolts!A:L,9,0)</f>
        <v xml:space="preserve"> </v>
      </c>
      <c r="L16" s="44" t="str">
        <f>VLOOKUP(C16,Bolts!A:L,10,0)</f>
        <v xml:space="preserve"> </v>
      </c>
      <c r="M16" s="44" t="str">
        <f>VLOOKUP(C16,Bolts!A:L,11,0)</f>
        <v xml:space="preserve"> </v>
      </c>
      <c r="N16" s="45" t="str">
        <f>VLOOKUP(C16,Bolts!A:L,12,0)</f>
        <v xml:space="preserve"> </v>
      </c>
      <c r="O16" s="45" t="e">
        <f t="shared" ca="1" si="9"/>
        <v>#VALUE!</v>
      </c>
      <c r="P16" s="49" t="str">
        <f>IFERROR(VLOOKUP(C16,Bolts!A:B,2,FALSE),"")</f>
        <v xml:space="preserve"> </v>
      </c>
      <c r="Q16" s="50" t="str">
        <f t="shared" si="10"/>
        <v/>
      </c>
    </row>
    <row r="17" spans="1:17" s="2" customFormat="1" ht="12.75" customHeight="1" thickBot="1">
      <c r="A17" s="34"/>
      <c r="B17" s="35"/>
      <c r="C17" s="35"/>
      <c r="D17" s="256"/>
      <c r="E17" s="257"/>
      <c r="F17" s="35"/>
      <c r="G17" s="35"/>
      <c r="H17" s="294"/>
      <c r="I17" s="295"/>
      <c r="J17" s="36"/>
      <c r="K17" s="36"/>
      <c r="L17" s="36"/>
      <c r="M17" s="37"/>
      <c r="N17" s="38"/>
      <c r="O17" s="38"/>
      <c r="P17" s="89" t="s">
        <v>43</v>
      </c>
      <c r="Q17" s="94">
        <f>SUM(Q5:Q14)</f>
        <v>718.70870000000002</v>
      </c>
    </row>
    <row r="18" spans="1:17" s="2" customFormat="1" ht="12" customHeight="1">
      <c r="D18" s="22"/>
      <c r="E18" s="22"/>
      <c r="J18" s="8"/>
      <c r="K18" s="8"/>
      <c r="L18" s="8"/>
      <c r="M18" s="8"/>
      <c r="N18" s="5"/>
      <c r="O18" s="5"/>
      <c r="P18" s="88"/>
      <c r="Q18" s="95"/>
    </row>
    <row r="19" spans="1:17" s="2" customFormat="1" ht="12" customHeight="1">
      <c r="D19" s="22"/>
      <c r="E19" s="22"/>
      <c r="J19" s="5"/>
      <c r="K19" s="5"/>
      <c r="L19" s="5"/>
      <c r="M19" s="5"/>
      <c r="N19" s="5"/>
      <c r="O19" s="5"/>
      <c r="P19" s="88"/>
      <c r="Q19" s="95"/>
    </row>
    <row r="20" spans="1:17" s="2" customFormat="1" ht="12" customHeight="1">
      <c r="D20" s="22"/>
      <c r="E20" s="22"/>
      <c r="J20" s="5"/>
      <c r="K20" s="5"/>
      <c r="L20" s="5"/>
      <c r="M20" s="5"/>
      <c r="N20" s="5"/>
      <c r="O20" s="5"/>
      <c r="P20" s="88"/>
      <c r="Q20" s="95"/>
    </row>
    <row r="21" spans="1:17" s="2" customFormat="1" ht="12" customHeight="1">
      <c r="D21" s="22"/>
      <c r="E21" s="22"/>
      <c r="J21" s="5"/>
      <c r="K21" s="5"/>
      <c r="L21" s="5"/>
      <c r="M21" s="5"/>
      <c r="N21" s="5"/>
      <c r="O21" s="5"/>
      <c r="P21" s="88"/>
      <c r="Q21" s="95"/>
    </row>
    <row r="22" spans="1:17" s="2" customFormat="1" ht="12" customHeight="1">
      <c r="D22" s="22"/>
      <c r="E22" s="22"/>
      <c r="J22" s="5"/>
      <c r="K22" s="5"/>
      <c r="L22" s="5"/>
      <c r="M22" s="5"/>
      <c r="N22" s="5"/>
      <c r="O22" s="5"/>
      <c r="P22" s="88"/>
      <c r="Q22" s="95"/>
    </row>
    <row r="23" spans="1:17" s="2" customFormat="1" ht="12" customHeight="1">
      <c r="D23" s="22"/>
      <c r="E23" s="22"/>
      <c r="J23" s="5"/>
      <c r="K23" s="5"/>
      <c r="L23" s="5"/>
      <c r="M23" s="5"/>
      <c r="N23" s="5"/>
      <c r="O23" s="5"/>
      <c r="P23" s="88"/>
      <c r="Q23" s="95"/>
    </row>
    <row r="24" spans="1:17" s="2" customFormat="1" ht="12" customHeight="1">
      <c r="D24" s="22"/>
      <c r="E24" s="22"/>
      <c r="J24" s="5"/>
      <c r="K24" s="5"/>
      <c r="L24" s="5"/>
      <c r="M24" s="5"/>
      <c r="N24" s="5"/>
      <c r="O24" s="5"/>
      <c r="P24" s="88"/>
      <c r="Q24" s="95"/>
    </row>
    <row r="25" spans="1:17" s="2" customFormat="1" ht="12" customHeight="1">
      <c r="D25" s="22"/>
      <c r="E25" s="22"/>
      <c r="J25" s="5"/>
      <c r="K25" s="5"/>
      <c r="L25" s="5"/>
      <c r="M25" s="5"/>
      <c r="N25" s="5"/>
      <c r="O25" s="5"/>
      <c r="P25" s="88"/>
      <c r="Q25" s="95"/>
    </row>
    <row r="26" spans="1:17" s="2" customFormat="1" ht="12" customHeight="1">
      <c r="D26" s="22"/>
      <c r="E26" s="22"/>
      <c r="J26" s="5"/>
      <c r="K26" s="5"/>
      <c r="L26" s="5"/>
      <c r="M26" s="5"/>
      <c r="N26" s="5"/>
      <c r="O26" s="5"/>
      <c r="P26" s="88"/>
      <c r="Q26" s="95"/>
    </row>
    <row r="27" spans="1:17" s="2" customFormat="1" ht="12" customHeight="1">
      <c r="D27" s="22"/>
      <c r="E27" s="22"/>
      <c r="J27" s="5"/>
      <c r="K27" s="5"/>
      <c r="L27" s="5"/>
      <c r="M27" s="5"/>
      <c r="N27" s="5"/>
      <c r="O27" s="5"/>
      <c r="P27" s="88"/>
      <c r="Q27" s="95"/>
    </row>
    <row r="28" spans="1:17" s="2" customFormat="1" ht="12" customHeight="1">
      <c r="D28" s="22"/>
      <c r="E28" s="22"/>
      <c r="J28" s="5"/>
      <c r="K28" s="5"/>
      <c r="L28" s="5"/>
      <c r="M28" s="5"/>
      <c r="N28" s="5"/>
      <c r="O28" s="5"/>
      <c r="P28" s="88"/>
      <c r="Q28" s="95"/>
    </row>
    <row r="29" spans="1:17" s="2" customFormat="1" ht="12" customHeight="1">
      <c r="D29" s="22"/>
      <c r="E29" s="22"/>
      <c r="J29" s="5"/>
      <c r="K29" s="5"/>
      <c r="L29" s="5"/>
      <c r="M29" s="5"/>
      <c r="N29" s="5"/>
      <c r="O29" s="5"/>
      <c r="P29" s="88"/>
      <c r="Q29" s="95"/>
    </row>
    <row r="30" spans="1:17" s="2" customFormat="1" ht="12" customHeight="1">
      <c r="D30" s="22"/>
      <c r="E30" s="22"/>
      <c r="J30" s="5"/>
      <c r="K30" s="5"/>
      <c r="L30" s="5"/>
      <c r="M30" s="5"/>
      <c r="N30" s="5"/>
      <c r="O30" s="5"/>
      <c r="P30" s="88"/>
      <c r="Q30" s="95"/>
    </row>
    <row r="31" spans="1:17" s="2" customFormat="1" ht="12" customHeight="1">
      <c r="D31" s="22"/>
      <c r="E31" s="22"/>
      <c r="J31" s="5"/>
      <c r="K31" s="5"/>
      <c r="L31" s="5"/>
      <c r="M31" s="5"/>
      <c r="N31" s="5"/>
      <c r="O31" s="5"/>
      <c r="P31" s="88"/>
      <c r="Q31" s="95"/>
    </row>
    <row r="32" spans="1:17" s="2" customFormat="1" ht="12" customHeight="1">
      <c r="D32" s="22"/>
      <c r="E32" s="22"/>
      <c r="J32" s="5"/>
      <c r="K32" s="5"/>
      <c r="L32" s="5"/>
      <c r="M32" s="5"/>
      <c r="N32" s="5"/>
      <c r="O32" s="5"/>
      <c r="P32" s="88"/>
      <c r="Q32" s="95"/>
    </row>
    <row r="33" spans="4:17" s="2" customFormat="1" ht="12" customHeight="1">
      <c r="D33" s="22"/>
      <c r="E33" s="22"/>
      <c r="J33" s="5"/>
      <c r="K33" s="5"/>
      <c r="L33" s="5"/>
      <c r="M33" s="5"/>
      <c r="N33" s="5"/>
      <c r="O33" s="5"/>
      <c r="P33" s="88"/>
      <c r="Q33" s="95"/>
    </row>
    <row r="34" spans="4:17" s="2" customFormat="1" ht="12" customHeight="1">
      <c r="D34" s="22"/>
      <c r="E34" s="22"/>
      <c r="J34" s="5"/>
      <c r="K34" s="5"/>
      <c r="L34" s="5"/>
      <c r="M34" s="5"/>
      <c r="N34" s="5"/>
      <c r="O34" s="5"/>
      <c r="P34" s="88"/>
      <c r="Q34" s="95"/>
    </row>
    <row r="35" spans="4:17" s="2" customFormat="1" ht="12" customHeight="1">
      <c r="D35" s="22"/>
      <c r="E35" s="22"/>
      <c r="J35" s="5"/>
      <c r="K35" s="5"/>
      <c r="L35" s="5"/>
      <c r="M35" s="5"/>
      <c r="N35" s="5"/>
      <c r="O35" s="5"/>
      <c r="P35" s="88"/>
      <c r="Q35" s="95"/>
    </row>
    <row r="36" spans="4:17" s="2" customFormat="1" ht="12" customHeight="1">
      <c r="D36" s="22"/>
      <c r="E36" s="22"/>
      <c r="J36" s="5"/>
      <c r="K36" s="5"/>
      <c r="L36" s="5"/>
      <c r="M36" s="5"/>
      <c r="N36" s="5"/>
      <c r="O36" s="5"/>
      <c r="P36" s="88"/>
      <c r="Q36" s="95"/>
    </row>
    <row r="37" spans="4:17" s="2" customFormat="1" ht="12" customHeight="1">
      <c r="D37" s="22"/>
      <c r="E37" s="22"/>
      <c r="J37" s="5"/>
      <c r="K37" s="5"/>
      <c r="L37" s="5"/>
      <c r="M37" s="5"/>
      <c r="N37" s="5"/>
      <c r="O37" s="5"/>
      <c r="P37" s="88"/>
      <c r="Q37" s="95"/>
    </row>
    <row r="38" spans="4:17" s="2" customFormat="1" ht="12" customHeight="1">
      <c r="D38" s="22"/>
      <c r="E38" s="22"/>
      <c r="J38" s="5"/>
      <c r="K38" s="5"/>
      <c r="L38" s="5"/>
      <c r="M38" s="5"/>
      <c r="N38" s="5"/>
      <c r="O38" s="5"/>
      <c r="P38" s="88"/>
      <c r="Q38" s="95"/>
    </row>
    <row r="39" spans="4:17" s="2" customFormat="1" ht="12" customHeight="1">
      <c r="D39" s="22"/>
      <c r="E39" s="22"/>
      <c r="J39" s="5"/>
      <c r="K39" s="5"/>
      <c r="L39" s="5"/>
      <c r="M39" s="5"/>
      <c r="N39" s="5"/>
      <c r="O39" s="5"/>
      <c r="P39" s="88"/>
      <c r="Q39" s="95"/>
    </row>
    <row r="40" spans="4:17" s="2" customFormat="1" ht="12" customHeight="1">
      <c r="D40" s="22"/>
      <c r="E40" s="22"/>
      <c r="J40" s="5"/>
      <c r="K40" s="5"/>
      <c r="L40" s="5"/>
      <c r="M40" s="5"/>
      <c r="N40" s="5"/>
      <c r="O40" s="5"/>
      <c r="P40" s="88"/>
      <c r="Q40" s="95"/>
    </row>
    <row r="41" spans="4:17" s="2" customFormat="1" ht="12" customHeight="1">
      <c r="D41" s="22"/>
      <c r="E41" s="22"/>
      <c r="J41" s="5"/>
      <c r="K41" s="5"/>
      <c r="L41" s="5"/>
      <c r="M41" s="5"/>
      <c r="N41" s="5"/>
      <c r="O41" s="5"/>
      <c r="P41" s="88"/>
      <c r="Q41" s="95"/>
    </row>
    <row r="42" spans="4:17" s="2" customFormat="1" ht="12" customHeight="1">
      <c r="D42" s="22"/>
      <c r="E42" s="22"/>
      <c r="J42" s="5"/>
      <c r="K42" s="5"/>
      <c r="L42" s="5"/>
      <c r="M42" s="5"/>
      <c r="N42" s="5"/>
      <c r="O42" s="5"/>
      <c r="P42" s="88"/>
      <c r="Q42" s="95"/>
    </row>
    <row r="43" spans="4:17" s="2" customFormat="1" ht="12" customHeight="1">
      <c r="D43" s="22"/>
      <c r="E43" s="22"/>
      <c r="J43" s="5"/>
      <c r="K43" s="5"/>
      <c r="L43" s="5"/>
      <c r="M43" s="5"/>
      <c r="N43" s="5"/>
      <c r="O43" s="5"/>
      <c r="P43" s="88"/>
      <c r="Q43" s="95"/>
    </row>
    <row r="44" spans="4:17" s="2" customFormat="1" ht="12" customHeight="1">
      <c r="D44" s="22"/>
      <c r="E44" s="22"/>
      <c r="J44" s="5"/>
      <c r="K44" s="5"/>
      <c r="L44" s="5"/>
      <c r="M44" s="5"/>
      <c r="N44" s="5"/>
      <c r="O44" s="5"/>
      <c r="P44" s="88"/>
      <c r="Q44" s="95"/>
    </row>
    <row r="45" spans="4:17" s="2" customFormat="1" ht="12" customHeight="1">
      <c r="D45" s="22"/>
      <c r="E45" s="22"/>
      <c r="J45" s="5"/>
      <c r="K45" s="5"/>
      <c r="L45" s="5"/>
      <c r="M45" s="5"/>
      <c r="N45" s="5"/>
      <c r="O45" s="5"/>
      <c r="P45" s="88"/>
      <c r="Q45" s="95"/>
    </row>
    <row r="46" spans="4:17" s="2" customFormat="1" ht="12" customHeight="1">
      <c r="D46" s="22"/>
      <c r="E46" s="22"/>
      <c r="J46" s="5"/>
      <c r="K46" s="5"/>
      <c r="L46" s="5"/>
      <c r="M46" s="5"/>
      <c r="N46" s="5"/>
      <c r="O46" s="5"/>
      <c r="P46" s="88"/>
      <c r="Q46" s="95"/>
    </row>
    <row r="47" spans="4:17" s="2" customFormat="1" ht="12" customHeight="1">
      <c r="D47" s="22"/>
      <c r="E47" s="22"/>
      <c r="J47" s="5"/>
      <c r="K47" s="5"/>
      <c r="L47" s="5"/>
      <c r="M47" s="5"/>
      <c r="N47" s="5"/>
      <c r="O47" s="5"/>
      <c r="P47" s="88"/>
      <c r="Q47" s="95"/>
    </row>
    <row r="48" spans="4:17" s="2" customFormat="1" ht="12" customHeight="1">
      <c r="D48" s="22"/>
      <c r="E48" s="22"/>
      <c r="J48" s="5"/>
      <c r="K48" s="5"/>
      <c r="L48" s="5"/>
      <c r="M48" s="5"/>
      <c r="N48" s="5"/>
      <c r="O48" s="5"/>
      <c r="P48" s="88"/>
      <c r="Q48" s="95"/>
    </row>
    <row r="49" spans="1:17" s="2" customFormat="1" ht="12" customHeight="1">
      <c r="D49" s="22"/>
      <c r="E49" s="22"/>
      <c r="J49" s="5"/>
      <c r="K49" s="5"/>
      <c r="L49" s="5"/>
      <c r="M49" s="5"/>
      <c r="N49" s="5"/>
      <c r="O49" s="5"/>
      <c r="P49" s="88"/>
      <c r="Q49" s="95"/>
    </row>
    <row r="50" spans="1:17" s="2" customFormat="1" ht="12" customHeight="1">
      <c r="D50" s="22"/>
      <c r="E50" s="22"/>
      <c r="J50" s="5"/>
      <c r="K50" s="5"/>
      <c r="L50" s="5"/>
      <c r="M50" s="5"/>
      <c r="N50" s="5"/>
      <c r="O50" s="5"/>
      <c r="P50" s="88"/>
      <c r="Q50" s="95"/>
    </row>
    <row r="51" spans="1:17" s="2" customFormat="1" ht="12" customHeight="1">
      <c r="D51" s="22"/>
      <c r="E51" s="22"/>
      <c r="J51" s="5"/>
      <c r="K51" s="5"/>
      <c r="L51" s="5"/>
      <c r="M51" s="5"/>
      <c r="N51" s="5"/>
      <c r="O51" s="5"/>
      <c r="P51" s="88"/>
      <c r="Q51" s="95"/>
    </row>
    <row r="52" spans="1:17" s="2" customFormat="1" ht="12" customHeight="1">
      <c r="D52" s="22"/>
      <c r="E52" s="22"/>
      <c r="J52" s="5"/>
      <c r="K52" s="5"/>
      <c r="L52" s="5"/>
      <c r="M52" s="5"/>
      <c r="N52" s="5"/>
      <c r="O52" s="5"/>
      <c r="P52" s="88"/>
      <c r="Q52" s="95"/>
    </row>
    <row r="53" spans="1:17" s="2" customFormat="1" ht="12" customHeight="1">
      <c r="D53" s="22"/>
      <c r="E53" s="22"/>
      <c r="J53" s="5"/>
      <c r="K53" s="5"/>
      <c r="L53" s="5"/>
      <c r="M53" s="5"/>
      <c r="N53" s="5"/>
      <c r="O53" s="5"/>
      <c r="P53" s="88"/>
      <c r="Q53" s="95"/>
    </row>
    <row r="54" spans="1:17" s="2" customFormat="1" ht="12" customHeight="1">
      <c r="D54" s="22"/>
      <c r="E54" s="22"/>
      <c r="J54" s="5"/>
      <c r="K54" s="5"/>
      <c r="L54" s="5"/>
      <c r="M54" s="5"/>
      <c r="N54" s="5"/>
      <c r="O54" s="5"/>
      <c r="P54" s="88"/>
      <c r="Q54" s="95"/>
    </row>
    <row r="55" spans="1:17" s="2" customFormat="1" ht="12" customHeight="1">
      <c r="D55" s="22"/>
      <c r="E55" s="22"/>
      <c r="J55" s="5"/>
      <c r="K55" s="5"/>
      <c r="L55" s="5"/>
      <c r="M55" s="5"/>
      <c r="N55" s="5"/>
      <c r="O55" s="5"/>
      <c r="P55" s="88"/>
      <c r="Q55" s="95"/>
    </row>
    <row r="56" spans="1:17" s="2" customFormat="1" ht="12" customHeight="1">
      <c r="D56" s="22"/>
      <c r="E56" s="22"/>
      <c r="J56" s="5"/>
      <c r="K56" s="5"/>
      <c r="L56" s="5"/>
      <c r="M56" s="5"/>
      <c r="N56" s="5"/>
      <c r="O56" s="5"/>
      <c r="P56" s="88"/>
      <c r="Q56" s="96"/>
    </row>
    <row r="57" spans="1:17" s="2" customFormat="1" ht="12" customHeight="1">
      <c r="D57" s="22"/>
      <c r="E57" s="22"/>
      <c r="J57" s="5"/>
      <c r="K57" s="5"/>
      <c r="L57" s="5"/>
      <c r="M57" s="5"/>
      <c r="N57" s="5"/>
      <c r="O57" s="5"/>
      <c r="P57" s="88"/>
      <c r="Q57" s="96"/>
    </row>
    <row r="58" spans="1:17" s="2" customFormat="1" ht="12" customHeight="1">
      <c r="D58" s="22"/>
      <c r="E58" s="22"/>
      <c r="J58" s="5"/>
      <c r="K58" s="5"/>
      <c r="L58" s="5"/>
      <c r="M58" s="5"/>
      <c r="N58" s="5"/>
      <c r="O58" s="5"/>
      <c r="P58" s="88"/>
      <c r="Q58" s="96"/>
    </row>
    <row r="59" spans="1:17" s="2" customFormat="1" ht="12" customHeight="1">
      <c r="D59" s="22"/>
      <c r="E59" s="22"/>
      <c r="J59" s="5"/>
      <c r="K59" s="5"/>
      <c r="L59" s="5"/>
      <c r="M59" s="5"/>
      <c r="N59" s="5"/>
      <c r="O59" s="5"/>
      <c r="P59" s="88"/>
      <c r="Q59" s="96"/>
    </row>
    <row r="60" spans="1:17" s="2" customFormat="1" ht="12" customHeight="1">
      <c r="A60"/>
      <c r="B60"/>
      <c r="C60"/>
      <c r="D60" s="23"/>
      <c r="E60" s="23"/>
      <c r="F60"/>
      <c r="G60"/>
      <c r="H60"/>
      <c r="I60"/>
      <c r="J60" s="19"/>
      <c r="K60" s="19"/>
      <c r="L60" s="19"/>
      <c r="M60" s="19"/>
      <c r="N60" s="19"/>
      <c r="O60" s="19"/>
      <c r="P60" s="90"/>
      <c r="Q60" s="96"/>
    </row>
    <row r="61" spans="1:17" s="2" customFormat="1" ht="12" customHeight="1">
      <c r="A61"/>
      <c r="B61"/>
      <c r="C61"/>
      <c r="D61" s="23"/>
      <c r="E61" s="23"/>
      <c r="F61"/>
      <c r="G61"/>
      <c r="H61"/>
      <c r="I61"/>
      <c r="J61" s="19"/>
      <c r="K61" s="19"/>
      <c r="L61" s="19"/>
      <c r="M61" s="19"/>
      <c r="N61" s="19"/>
      <c r="O61" s="19"/>
      <c r="P61" s="90"/>
      <c r="Q61" s="96"/>
    </row>
    <row r="62" spans="1:17" s="2" customFormat="1" ht="12" customHeight="1">
      <c r="A62"/>
      <c r="B62"/>
      <c r="C62"/>
      <c r="D62" s="23"/>
      <c r="E62" s="23"/>
      <c r="F62"/>
      <c r="G62"/>
      <c r="H62"/>
      <c r="I62"/>
      <c r="J62" s="19"/>
      <c r="K62" s="19"/>
      <c r="L62" s="19"/>
      <c r="M62" s="19"/>
      <c r="N62" s="19"/>
      <c r="O62" s="19"/>
      <c r="P62" s="90"/>
      <c r="Q62" s="96"/>
    </row>
    <row r="63" spans="1:17" s="2" customFormat="1" ht="12" customHeight="1">
      <c r="A63"/>
      <c r="B63"/>
      <c r="C63"/>
      <c r="D63" s="23"/>
      <c r="E63" s="23"/>
      <c r="F63"/>
      <c r="G63"/>
      <c r="H63"/>
      <c r="I63"/>
      <c r="J63" s="19"/>
      <c r="K63" s="19"/>
      <c r="L63" s="19"/>
      <c r="M63" s="19"/>
      <c r="N63" s="19"/>
      <c r="O63" s="19"/>
      <c r="P63" s="90"/>
      <c r="Q63" s="96"/>
    </row>
    <row r="64" spans="1:17" s="2" customFormat="1" ht="12" customHeight="1">
      <c r="A64"/>
      <c r="B64"/>
      <c r="C64"/>
      <c r="D64" s="23"/>
      <c r="E64" s="23"/>
      <c r="F64"/>
      <c r="G64"/>
      <c r="H64"/>
      <c r="I64"/>
      <c r="J64" s="19"/>
      <c r="K64" s="19"/>
      <c r="L64" s="19"/>
      <c r="M64" s="19"/>
      <c r="N64" s="19"/>
      <c r="O64" s="19"/>
      <c r="P64" s="90"/>
      <c r="Q64" s="96"/>
    </row>
    <row r="65" spans="17:17">
      <c r="Q65" s="96"/>
    </row>
    <row r="66" spans="17:17">
      <c r="Q66" s="96"/>
    </row>
    <row r="67" spans="17:17">
      <c r="Q67" s="96"/>
    </row>
    <row r="68" spans="17:17">
      <c r="Q68" s="96"/>
    </row>
    <row r="69" spans="17:17">
      <c r="Q69" s="96"/>
    </row>
    <row r="70" spans="17:17">
      <c r="Q70" s="96"/>
    </row>
    <row r="71" spans="17:17">
      <c r="Q71" s="96"/>
    </row>
    <row r="72" spans="17:17">
      <c r="Q72" s="96"/>
    </row>
    <row r="73" spans="17:17">
      <c r="Q73" s="96"/>
    </row>
    <row r="74" spans="17:17">
      <c r="Q74" s="96"/>
    </row>
    <row r="75" spans="17:17">
      <c r="Q75" s="96"/>
    </row>
    <row r="76" spans="17:17">
      <c r="Q76" s="96"/>
    </row>
    <row r="77" spans="17:17">
      <c r="Q77" s="96"/>
    </row>
    <row r="78" spans="17:17">
      <c r="Q78" s="96"/>
    </row>
    <row r="79" spans="17:17">
      <c r="Q79" s="96"/>
    </row>
    <row r="80" spans="17:17">
      <c r="Q80" s="96"/>
    </row>
    <row r="81" spans="17:17">
      <c r="Q81" s="96"/>
    </row>
    <row r="82" spans="17:17">
      <c r="Q82" s="96"/>
    </row>
    <row r="83" spans="17:17">
      <c r="Q83" s="96"/>
    </row>
    <row r="84" spans="17:17">
      <c r="Q84" s="96"/>
    </row>
    <row r="121" ht="12" customHeight="1"/>
    <row r="122" ht="12" customHeight="1"/>
    <row r="123" ht="12" customHeight="1"/>
    <row r="124" ht="12" customHeight="1"/>
    <row r="125" ht="12" customHeight="1"/>
    <row r="126" ht="12" customHeight="1"/>
    <row r="127" ht="12" customHeight="1"/>
    <row r="128" ht="12" customHeight="1"/>
    <row r="129" ht="12" customHeight="1"/>
    <row r="130" ht="12" customHeight="1"/>
    <row r="131" ht="12" customHeight="1"/>
    <row r="132" ht="12" customHeight="1"/>
    <row r="133" ht="12" customHeight="1"/>
    <row r="134" ht="12" customHeight="1"/>
    <row r="135" ht="12" customHeight="1"/>
    <row r="136" ht="12" customHeight="1"/>
    <row r="137" ht="12" customHeight="1"/>
    <row r="138" ht="12" customHeight="1"/>
    <row r="139" ht="12" customHeight="1"/>
    <row r="140" ht="12" customHeight="1"/>
    <row r="141" ht="12" customHeight="1"/>
    <row r="142" ht="12" customHeight="1"/>
    <row r="143" ht="12" customHeight="1"/>
    <row r="144" ht="12" customHeight="1"/>
    <row r="145" ht="12" customHeight="1"/>
    <row r="146" ht="12" customHeight="1"/>
    <row r="147" ht="12" customHeight="1"/>
    <row r="148" ht="12" customHeight="1"/>
    <row r="149" ht="12" customHeight="1"/>
    <row r="150" ht="12" customHeight="1"/>
    <row r="151" ht="12" customHeight="1"/>
    <row r="152" ht="12" customHeight="1"/>
    <row r="153" ht="12" customHeight="1"/>
    <row r="154" ht="12" customHeight="1"/>
    <row r="155" ht="12" customHeight="1"/>
    <row r="156" ht="12" customHeight="1"/>
    <row r="157" ht="12" customHeight="1"/>
    <row r="158" ht="12" customHeight="1"/>
    <row r="159" ht="12" customHeight="1"/>
    <row r="160" ht="12" customHeight="1"/>
    <row r="161" ht="12" customHeight="1"/>
    <row r="162" ht="12" customHeight="1"/>
    <row r="163" ht="12" customHeight="1"/>
    <row r="164" ht="12" customHeight="1"/>
    <row r="165" ht="12" customHeight="1"/>
    <row r="166" ht="12" customHeight="1"/>
    <row r="167" ht="12" customHeight="1"/>
    <row r="168" ht="12" customHeight="1"/>
    <row r="169" ht="12" customHeight="1"/>
    <row r="170" ht="12" customHeight="1"/>
  </sheetData>
  <mergeCells count="17">
    <mergeCell ref="D14:E14"/>
    <mergeCell ref="D17:E17"/>
    <mergeCell ref="H17:I17"/>
    <mergeCell ref="H13:I13"/>
    <mergeCell ref="D10:E10"/>
    <mergeCell ref="D11:E11"/>
    <mergeCell ref="D13:E13"/>
    <mergeCell ref="D12:E12"/>
    <mergeCell ref="D9:E9"/>
    <mergeCell ref="D8:E8"/>
    <mergeCell ref="D1:E1"/>
    <mergeCell ref="D4:E4"/>
    <mergeCell ref="H4:I4"/>
    <mergeCell ref="D5:E5"/>
    <mergeCell ref="D6:E6"/>
    <mergeCell ref="H6:I6"/>
    <mergeCell ref="D7:E7"/>
  </mergeCells>
  <conditionalFormatting sqref="M5 M7:M12">
    <cfRule type="cellIs" dxfId="583" priority="1" stopIfTrue="1" operator="lessThanOrEqual">
      <formula>$L5</formula>
    </cfRule>
    <cfRule type="cellIs" dxfId="582" priority="2" operator="greaterThan">
      <formula>L5</formula>
    </cfRule>
  </conditionalFormatting>
  <conditionalFormatting sqref="M14:M16">
    <cfRule type="cellIs" dxfId="581" priority="3" stopIfTrue="1" operator="lessThanOrEqual">
      <formula>$L14</formula>
    </cfRule>
    <cfRule type="cellIs" dxfId="580" priority="4" operator="greaterThan">
      <formula>L14</formula>
    </cfRule>
  </conditionalFormatting>
  <pageMargins left="0.7" right="0.7" top="0.75" bottom="0.75" header="0.3" footer="0.3"/>
  <pageSetup paperSize="3" fitToHeight="0" orientation="landscape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2FBF1D51-AD2C-4646-A6AF-3108B33ECAAE}">
          <x14:formula1>
            <xm:f>Bolts!$A:$A</xm:f>
          </x14:formula1>
          <xm:sqref>C14:C16</xm:sqref>
        </x14:dataValidation>
        <x14:dataValidation type="list" allowBlank="1" showInputMessage="1" showErrorMessage="1" xr:uid="{9578F1D9-535E-4465-84F3-D2EB5ACBA682}">
          <x14:formula1>
            <xm:f>Purchased!$A:$A</xm:f>
          </x14:formula1>
          <xm:sqref>C7:C12</xm:sqref>
        </x14:dataValidation>
        <x14:dataValidation type="list" allowBlank="1" showInputMessage="1" showErrorMessage="1" xr:uid="{2A368231-E12D-487B-BA21-C09E32E9486B}">
          <x14:formula1>
            <xm:f>Machined!$C:$C</xm:f>
          </x14:formula1>
          <xm:sqref>C5</xm:sqref>
        </x14:dataValidation>
      </x14:dataValidation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51720F-3D22-4510-9E98-CC50A102E6A3}">
  <sheetPr codeName="Sheet25">
    <tabColor theme="3" tint="0.79998168889431442"/>
    <pageSetUpPr fitToPage="1"/>
  </sheetPr>
  <dimension ref="A1:Q178"/>
  <sheetViews>
    <sheetView zoomScale="98" zoomScaleNormal="98" workbookViewId="0">
      <selection activeCell="C19" sqref="C19"/>
    </sheetView>
  </sheetViews>
  <sheetFormatPr defaultColWidth="9.140625" defaultRowHeight="15"/>
  <cols>
    <col min="1" max="1" width="5.7109375" customWidth="1"/>
    <col min="2" max="2" width="5.42578125" bestFit="1" customWidth="1"/>
    <col min="3" max="3" width="30.7109375" customWidth="1"/>
    <col min="4" max="5" width="20.7109375" style="23" customWidth="1"/>
    <col min="6" max="6" width="16.85546875" bestFit="1" customWidth="1"/>
    <col min="7" max="7" width="9.7109375" customWidth="1"/>
    <col min="8" max="8" width="8.7109375" customWidth="1"/>
    <col min="9" max="9" width="20.7109375" customWidth="1"/>
    <col min="10" max="13" width="11.7109375" style="19" customWidth="1"/>
    <col min="14" max="14" width="11.85546875" style="19" bestFit="1" customWidth="1"/>
    <col min="15" max="15" width="7.7109375" style="19" customWidth="1"/>
    <col min="16" max="16" width="10.7109375" style="90" customWidth="1"/>
    <col min="17" max="17" width="10.7109375" style="97" customWidth="1"/>
  </cols>
  <sheetData>
    <row r="1" spans="1:17" s="55" customFormat="1" ht="12" customHeight="1">
      <c r="A1" s="68" t="s">
        <v>0</v>
      </c>
      <c r="B1" s="69"/>
      <c r="C1" s="69"/>
      <c r="D1" s="262" t="s">
        <v>1</v>
      </c>
      <c r="E1" s="263"/>
      <c r="F1" s="70"/>
      <c r="G1" s="69"/>
      <c r="H1" s="70"/>
      <c r="I1" s="71"/>
      <c r="J1" s="72"/>
      <c r="K1" s="72"/>
      <c r="L1" s="72"/>
      <c r="M1" s="72"/>
      <c r="N1" s="72"/>
      <c r="O1" s="72"/>
      <c r="P1" s="85"/>
      <c r="Q1" s="91"/>
    </row>
    <row r="2" spans="1:17" s="55" customFormat="1" ht="12" customHeight="1">
      <c r="A2" s="74" t="s">
        <v>48</v>
      </c>
      <c r="B2" s="58"/>
      <c r="C2" s="57" t="e">
        <f ca="1">VLOOKUP(E3,Assemblies!B:F,4,0)</f>
        <v>#VALUE!</v>
      </c>
      <c r="D2" s="75" t="s">
        <v>3</v>
      </c>
      <c r="E2" s="76" t="e">
        <f ca="1">'GF12'!E2</f>
        <v>#VALUE!</v>
      </c>
      <c r="F2" s="77" t="s">
        <v>4</v>
      </c>
      <c r="G2" s="58" t="str">
        <f>'GF12'!G2</f>
        <v>GH</v>
      </c>
      <c r="H2" s="77" t="s">
        <v>6</v>
      </c>
      <c r="I2" s="59">
        <f>'GF12'!I2</f>
        <v>44775</v>
      </c>
      <c r="J2" s="39"/>
      <c r="K2" s="40" t="s">
        <v>49</v>
      </c>
      <c r="L2" s="41" t="e">
        <f ca="1">VLOOKUP(C2,Assemblies!E:G,3,0)</f>
        <v>#VALUE!</v>
      </c>
      <c r="M2" s="78"/>
      <c r="N2" s="78"/>
      <c r="O2" s="78"/>
      <c r="P2" s="86"/>
      <c r="Q2" s="92"/>
    </row>
    <row r="3" spans="1:17" s="55" customFormat="1" ht="12" customHeight="1" thickBot="1">
      <c r="A3" s="74" t="s">
        <v>7</v>
      </c>
      <c r="B3" s="58"/>
      <c r="C3" s="57" t="e">
        <f ca="1">VLOOKUP(E3,Assemblies!B:F,5,0)</f>
        <v>#VALUE!</v>
      </c>
      <c r="D3" s="75" t="s">
        <v>50</v>
      </c>
      <c r="E3" s="76" t="e">
        <f ca="1">MID(CELL("filename",A1),FIND("]",CELL("filename",A1))+1,256)</f>
        <v>#VALUE!</v>
      </c>
      <c r="F3" s="77" t="s">
        <v>11</v>
      </c>
      <c r="G3" s="58" t="str">
        <f>'GF12'!G3</f>
        <v>GH</v>
      </c>
      <c r="H3" s="77" t="s">
        <v>6</v>
      </c>
      <c r="I3" s="59">
        <f>'GF12'!I3</f>
        <v>44775</v>
      </c>
      <c r="J3" s="78"/>
      <c r="K3" s="78"/>
      <c r="L3" s="78"/>
      <c r="M3" s="78"/>
      <c r="N3" s="78"/>
      <c r="O3" s="78"/>
      <c r="P3" s="86"/>
      <c r="Q3" s="92"/>
    </row>
    <row r="4" spans="1:17" s="56" customFormat="1" ht="12.75" customHeight="1" thickBot="1">
      <c r="A4" s="80" t="s">
        <v>12</v>
      </c>
      <c r="B4" s="81" t="s">
        <v>13</v>
      </c>
      <c r="C4" s="81" t="s">
        <v>14</v>
      </c>
      <c r="D4" s="270" t="s">
        <v>15</v>
      </c>
      <c r="E4" s="271"/>
      <c r="F4" s="104" t="s">
        <v>16</v>
      </c>
      <c r="G4" s="81" t="s">
        <v>17</v>
      </c>
      <c r="H4" s="260" t="s">
        <v>18</v>
      </c>
      <c r="I4" s="261"/>
      <c r="J4" s="81" t="s">
        <v>51</v>
      </c>
      <c r="K4" s="81" t="s">
        <v>20</v>
      </c>
      <c r="L4" s="81" t="s">
        <v>21</v>
      </c>
      <c r="M4" s="81" t="s">
        <v>52</v>
      </c>
      <c r="N4" s="81" t="s">
        <v>22</v>
      </c>
      <c r="O4" s="81" t="s">
        <v>53</v>
      </c>
      <c r="P4" s="107" t="s">
        <v>26</v>
      </c>
      <c r="Q4" s="82" t="s">
        <v>27</v>
      </c>
    </row>
    <row r="5" spans="1:17" s="2" customFormat="1" ht="12.75" customHeight="1">
      <c r="A5" s="127">
        <v>1</v>
      </c>
      <c r="B5" s="21">
        <v>4</v>
      </c>
      <c r="C5" s="108" t="s">
        <v>354</v>
      </c>
      <c r="D5" s="277" t="str">
        <f>VLOOKUP(C5,Machined!C:Q,2,0)</f>
        <v>Door Support</v>
      </c>
      <c r="E5" s="278"/>
      <c r="F5" s="131" t="str">
        <f>VLOOKUP(C5,Machined!C:R,7,0)</f>
        <v>Delrin - White</v>
      </c>
      <c r="G5" s="131" t="str">
        <f>VLOOKUP(C5,Machined!C:R,10,0)</f>
        <v>BIG SKY</v>
      </c>
      <c r="H5" s="131" t="str">
        <f>VLOOKUP(C5,Machined!C:R,11,0)</f>
        <v xml:space="preserve">  </v>
      </c>
      <c r="I5" s="131"/>
      <c r="J5" s="42">
        <f>VLOOKUP(C5,Machined!C:R,12,0)</f>
        <v>45142</v>
      </c>
      <c r="K5" s="42">
        <f>VLOOKUP(C5,Machined!C:R,13,0)</f>
        <v>45146</v>
      </c>
      <c r="L5" s="42">
        <f>VLOOKUP(C5,Machined!C:R,14,0)</f>
        <v>45176</v>
      </c>
      <c r="M5" s="42">
        <f>VLOOKUP(C5,Machined!C:R,15,0)</f>
        <v>45176</v>
      </c>
      <c r="N5" s="43">
        <f>VLOOKUP(C5,Machined!C:R,16,0)</f>
        <v>55032</v>
      </c>
      <c r="O5" s="43" t="e">
        <f t="shared" ref="O5:O9" ca="1" si="0">B5*$L$2</f>
        <v>#VALUE!</v>
      </c>
      <c r="P5" s="47">
        <f>IFERROR(VLOOKUP(C5,Machined!C:F,3,0),"")</f>
        <v>88</v>
      </c>
      <c r="Q5" s="48">
        <f t="shared" ref="Q5:Q9" si="1">IFERROR(B5*P5,"")</f>
        <v>352</v>
      </c>
    </row>
    <row r="6" spans="1:17" s="2" customFormat="1" ht="12.75" customHeight="1">
      <c r="A6" s="127">
        <v>2</v>
      </c>
      <c r="B6" s="21">
        <v>1</v>
      </c>
      <c r="C6" s="108" t="s">
        <v>355</v>
      </c>
      <c r="D6" s="277" t="str">
        <f>VLOOKUP(C6,Machined!C:Q,2,0)</f>
        <v>Clear Polycarb Panel Door  5  1006x944</v>
      </c>
      <c r="E6" s="278"/>
      <c r="F6" s="131" t="str">
        <f>VLOOKUP(C6,Machined!C:R,7,0)</f>
        <v>Polycarb</v>
      </c>
      <c r="G6" s="131" t="str">
        <f>VLOOKUP(C6,Machined!C:R,10,0)</f>
        <v>PRO PLASTICS</v>
      </c>
      <c r="H6" s="131" t="str">
        <f>VLOOKUP(C6,Machined!C:R,11,0)</f>
        <v>Quote 668778; &lt;2 weeks; Drawings/Step are under Polycarbonate Door NuLine</v>
      </c>
      <c r="I6" s="131"/>
      <c r="J6" s="42">
        <f>VLOOKUP(C6,Machined!C:R,12,0)</f>
        <v>45159</v>
      </c>
      <c r="K6" s="42" t="str">
        <f>VLOOKUP(C6,Machined!C:R,13,0)</f>
        <v xml:space="preserve"> 9/19/2023</v>
      </c>
      <c r="L6" s="42">
        <f>VLOOKUP(C6,Machined!C:R,14,0)</f>
        <v>45212</v>
      </c>
      <c r="M6" s="42">
        <f>VLOOKUP(C6,Machined!C:R,15,0)</f>
        <v>45212</v>
      </c>
      <c r="N6" s="43">
        <f>VLOOKUP(C6,Machined!C:R,16,0)</f>
        <v>55157</v>
      </c>
      <c r="O6" s="43" t="e">
        <f t="shared" ca="1" si="0"/>
        <v>#VALUE!</v>
      </c>
      <c r="P6" s="47">
        <f>IFERROR(VLOOKUP(C6,Machined!C:F,3,0),"")</f>
        <v>54.973300000000002</v>
      </c>
      <c r="Q6" s="48">
        <f t="shared" si="1"/>
        <v>54.973300000000002</v>
      </c>
    </row>
    <row r="7" spans="1:17" s="2" customFormat="1" ht="12.75" customHeight="1">
      <c r="A7" s="127">
        <v>3</v>
      </c>
      <c r="B7" s="21">
        <v>1</v>
      </c>
      <c r="C7" s="108" t="s">
        <v>356</v>
      </c>
      <c r="D7" s="277" t="str">
        <f>VLOOKUP(C7,Machined!C:Q,2,0)</f>
        <v>Clear Polycarb Panel Door  5  1051x944</v>
      </c>
      <c r="E7" s="278"/>
      <c r="F7" s="131" t="str">
        <f>VLOOKUP(C7,Machined!C:R,7,0)</f>
        <v>Polycarb</v>
      </c>
      <c r="G7" s="131" t="str">
        <f>VLOOKUP(C7,Machined!C:R,10,0)</f>
        <v>PRO PLASTICS</v>
      </c>
      <c r="H7" s="131" t="str">
        <f>VLOOKUP(C7,Machined!C:R,11,0)</f>
        <v>Quote 668778; &lt;2 weeks; Drawings/Step are under Polycarbonate Door NuLine</v>
      </c>
      <c r="I7" s="131"/>
      <c r="J7" s="42">
        <f>VLOOKUP(C7,Machined!C:R,12,0)</f>
        <v>45159</v>
      </c>
      <c r="K7" s="42" t="str">
        <f>VLOOKUP(C7,Machined!C:R,13,0)</f>
        <v xml:space="preserve"> 9/19/2023</v>
      </c>
      <c r="L7" s="42">
        <f>VLOOKUP(C7,Machined!C:R,14,0)</f>
        <v>45212</v>
      </c>
      <c r="M7" s="42">
        <f>VLOOKUP(C7,Machined!C:R,15,0)</f>
        <v>45212</v>
      </c>
      <c r="N7" s="43">
        <f>VLOOKUP(C7,Machined!C:R,16,0)</f>
        <v>55157</v>
      </c>
      <c r="O7" s="43" t="e">
        <f t="shared" ca="1" si="0"/>
        <v>#VALUE!</v>
      </c>
      <c r="P7" s="47">
        <f>IFERROR(VLOOKUP(C7,Machined!C:F,3,0),"")</f>
        <v>54.973300000000002</v>
      </c>
      <c r="Q7" s="48">
        <f t="shared" si="1"/>
        <v>54.973300000000002</v>
      </c>
    </row>
    <row r="8" spans="1:17" s="2" customFormat="1" ht="12.75" customHeight="1">
      <c r="A8" s="127">
        <v>4</v>
      </c>
      <c r="B8" s="21">
        <v>1</v>
      </c>
      <c r="C8" s="108" t="s">
        <v>357</v>
      </c>
      <c r="D8" s="277" t="str">
        <f>VLOOKUP(C8,Machined!C:Q,2,0)</f>
        <v>Clear Polycarb Panel Door  6  1006x1212</v>
      </c>
      <c r="E8" s="278"/>
      <c r="F8" s="131" t="str">
        <f>VLOOKUP(C8,Machined!C:R,7,0)</f>
        <v>Polycarb</v>
      </c>
      <c r="G8" s="131" t="str">
        <f>VLOOKUP(C8,Machined!C:R,10,0)</f>
        <v>PRO PLASTICS</v>
      </c>
      <c r="H8" s="131" t="str">
        <f>VLOOKUP(C8,Machined!C:R,11,0)</f>
        <v>Quote 668778; &lt;2 weeks; Drawings/Step are under Polycarbonate Door NuLine</v>
      </c>
      <c r="I8" s="131"/>
      <c r="J8" s="42">
        <f>VLOOKUP(C8,Machined!C:R,12,0)</f>
        <v>45159</v>
      </c>
      <c r="K8" s="42" t="str">
        <f>VLOOKUP(C8,Machined!C:R,13,0)</f>
        <v xml:space="preserve"> 9/19/2023</v>
      </c>
      <c r="L8" s="42">
        <f>VLOOKUP(C8,Machined!C:R,14,0)</f>
        <v>45212</v>
      </c>
      <c r="M8" s="42">
        <f>VLOOKUP(C8,Machined!C:R,15,0)</f>
        <v>45212</v>
      </c>
      <c r="N8" s="43">
        <f>VLOOKUP(C8,Machined!C:R,16,0)</f>
        <v>55157</v>
      </c>
      <c r="O8" s="43" t="e">
        <f t="shared" ca="1" si="0"/>
        <v>#VALUE!</v>
      </c>
      <c r="P8" s="47">
        <f>IFERROR(VLOOKUP(C8,Machined!C:F,3,0),"")</f>
        <v>54.973300000000002</v>
      </c>
      <c r="Q8" s="48">
        <f t="shared" si="1"/>
        <v>54.973300000000002</v>
      </c>
    </row>
    <row r="9" spans="1:17" s="2" customFormat="1" ht="12.75" customHeight="1">
      <c r="A9" s="127">
        <v>5</v>
      </c>
      <c r="B9" s="21">
        <v>1</v>
      </c>
      <c r="C9" s="108" t="s">
        <v>358</v>
      </c>
      <c r="D9" s="277" t="str">
        <f>VLOOKUP(C9,Machined!C:Q,2,0)</f>
        <v>Clear Polycarb Panel Door  6  1051x1212</v>
      </c>
      <c r="E9" s="278"/>
      <c r="F9" s="131" t="str">
        <f>VLOOKUP(C9,Machined!C:R,7,0)</f>
        <v>Polycarb</v>
      </c>
      <c r="G9" s="131" t="str">
        <f>VLOOKUP(C9,Machined!C:R,10,0)</f>
        <v>PRO PLASTICS</v>
      </c>
      <c r="H9" s="131" t="str">
        <f>VLOOKUP(C9,Machined!C:R,11,0)</f>
        <v>Quote 668778; &lt;2 weeks; Drawings/Step are under Polycarbonate Door NuLine</v>
      </c>
      <c r="I9" s="131"/>
      <c r="J9" s="42">
        <f>VLOOKUP(C9,Machined!C:R,12,0)</f>
        <v>45159</v>
      </c>
      <c r="K9" s="42" t="str">
        <f>VLOOKUP(C9,Machined!C:R,13,0)</f>
        <v xml:space="preserve"> 9/19/2023</v>
      </c>
      <c r="L9" s="42">
        <f>VLOOKUP(C9,Machined!C:R,14,0)</f>
        <v>45212</v>
      </c>
      <c r="M9" s="42">
        <f>VLOOKUP(C9,Machined!C:R,15,0)</f>
        <v>45212</v>
      </c>
      <c r="N9" s="43">
        <f>VLOOKUP(C9,Machined!C:R,16,0)</f>
        <v>55157</v>
      </c>
      <c r="O9" s="43" t="e">
        <f t="shared" ca="1" si="0"/>
        <v>#VALUE!</v>
      </c>
      <c r="P9" s="47">
        <f>IFERROR(VLOOKUP(C9,Machined!C:F,3,0),"")</f>
        <v>54.973300000000002</v>
      </c>
      <c r="Q9" s="48">
        <f t="shared" si="1"/>
        <v>54.973300000000002</v>
      </c>
    </row>
    <row r="10" spans="1:17" s="2" customFormat="1" ht="12.75" customHeight="1">
      <c r="A10" s="143"/>
      <c r="B10" s="26"/>
      <c r="C10" s="26"/>
      <c r="D10" s="272"/>
      <c r="E10" s="273"/>
      <c r="F10" s="26"/>
      <c r="G10" s="26"/>
      <c r="H10" s="274"/>
      <c r="I10" s="275"/>
      <c r="J10" s="27"/>
      <c r="K10" s="27"/>
      <c r="L10" s="27"/>
      <c r="M10" s="28"/>
      <c r="N10" s="29"/>
      <c r="O10" s="29"/>
      <c r="P10" s="141"/>
      <c r="Q10" s="142"/>
    </row>
    <row r="11" spans="1:17" s="2" customFormat="1" ht="12.75" customHeight="1">
      <c r="A11" s="4">
        <v>301</v>
      </c>
      <c r="B11" s="2">
        <v>16</v>
      </c>
      <c r="C11" s="114" t="s">
        <v>244</v>
      </c>
      <c r="D11" s="268" t="str">
        <f>VLOOKUP(C11,Purchased!A:B,2,0)</f>
        <v>BRX GOTO QUICK CONNECTOR N10 0°</v>
      </c>
      <c r="E11" s="269"/>
      <c r="F11" s="112" t="str">
        <f>VLOOKUP(C11,Purchased!A:Q,9,0)</f>
        <v>BRX</v>
      </c>
      <c r="G11" s="112" t="str">
        <f>VLOOKUP(C11,Purchased!A:Q,10,0)</f>
        <v>AAP</v>
      </c>
      <c r="H11" s="112" t="str">
        <f>VLOOKUP(C11,Purchased!A:Q,12,0)</f>
        <v>17 in stock</v>
      </c>
      <c r="I11" s="113"/>
      <c r="J11" s="44" t="str">
        <f>VLOOKUP(C11,Purchased!A:Q,13,0)</f>
        <v>N/A</v>
      </c>
      <c r="K11" s="44">
        <f>VLOOKUP(C11,Purchased!A:Q,14,0)</f>
        <v>45089</v>
      </c>
      <c r="L11" s="44">
        <f>VLOOKUP(C11,Purchased!A:Q,15,0)</f>
        <v>45124</v>
      </c>
      <c r="M11" s="44">
        <f>VLOOKUP(C11,Purchased!A:Q,16,0)</f>
        <v>45124</v>
      </c>
      <c r="N11" s="45" t="str">
        <f>VLOOKUP(C11,Purchased!A:Q,17,0)</f>
        <v>500x54927, 500x55060</v>
      </c>
      <c r="O11" s="45" t="e">
        <f t="shared" ref="O11:O16" ca="1" si="2">B11*$L$2</f>
        <v>#VALUE!</v>
      </c>
      <c r="P11" s="49">
        <f>IFERROR(VLOOKUP(C11,Purchased!A:E,3,FALSE),"")</f>
        <v>5.2857000000000003</v>
      </c>
      <c r="Q11" s="50">
        <f t="shared" ref="Q11:Q16" si="3">IFERROR(B11*P11,"")</f>
        <v>84.571200000000005</v>
      </c>
    </row>
    <row r="12" spans="1:17" s="2" customFormat="1" ht="12" customHeight="1">
      <c r="A12" s="4">
        <f t="shared" ref="A12:A16" si="4">A11+1</f>
        <v>302</v>
      </c>
      <c r="B12" s="2">
        <v>16</v>
      </c>
      <c r="C12" s="114" t="s">
        <v>325</v>
      </c>
      <c r="D12" s="268" t="str">
        <f>VLOOKUP(C12,Purchased!A:B,2,0)</f>
        <v>BRX GOTO T-NUT 10 M4</v>
      </c>
      <c r="E12" s="269"/>
      <c r="F12" s="112" t="str">
        <f>VLOOKUP(C12,Purchased!A:Q,9,0)</f>
        <v>BRX</v>
      </c>
      <c r="G12" s="112" t="str">
        <f>VLOOKUP(C12,Purchased!A:Q,10,0)</f>
        <v>AAP</v>
      </c>
      <c r="H12" s="112" t="str">
        <f>VLOOKUP(C12,Purchased!A:Q,12,0)</f>
        <v>14 NuLine Stock</v>
      </c>
      <c r="I12" s="113"/>
      <c r="J12" s="44">
        <f>VLOOKUP(C12,Purchased!A:Q,13,0)</f>
        <v>45104</v>
      </c>
      <c r="K12" s="44">
        <f>VLOOKUP(C12,Purchased!A:Q,14,0)</f>
        <v>45105</v>
      </c>
      <c r="L12" s="44">
        <f>VLOOKUP(C12,Purchased!A:Q,15,0)</f>
        <v>45133</v>
      </c>
      <c r="M12" s="44">
        <f>VLOOKUP(C12,Purchased!A:Q,16,0)</f>
        <v>45133</v>
      </c>
      <c r="N12" s="45">
        <f>VLOOKUP(C12,Purchased!A:Q,17,0)</f>
        <v>54968</v>
      </c>
      <c r="O12" s="45" t="e">
        <f t="shared" ca="1" si="2"/>
        <v>#VALUE!</v>
      </c>
      <c r="P12" s="49">
        <f>IFERROR(VLOOKUP(C12,Purchased!A:E,3,FALSE),"")</f>
        <v>0.64290000000000003</v>
      </c>
      <c r="Q12" s="50">
        <f t="shared" si="3"/>
        <v>10.2864</v>
      </c>
    </row>
    <row r="13" spans="1:17" s="2" customFormat="1" ht="12" customHeight="1">
      <c r="A13" s="4">
        <f t="shared" si="4"/>
        <v>303</v>
      </c>
      <c r="B13" s="2">
        <v>8</v>
      </c>
      <c r="C13" s="114" t="s">
        <v>256</v>
      </c>
      <c r="D13" s="268" t="str">
        <f>VLOOKUP(C13,Purchased!A:B,2,0)</f>
        <v>BRX GOTO T-NUT 10 M8</v>
      </c>
      <c r="E13" s="269"/>
      <c r="F13" s="112" t="str">
        <f>VLOOKUP(C13,Purchased!A:Q,9,0)</f>
        <v>BRX</v>
      </c>
      <c r="G13" s="112" t="str">
        <f>VLOOKUP(C13,Purchased!A:Q,10,0)</f>
        <v>AAP</v>
      </c>
      <c r="H13" s="112" t="str">
        <f>VLOOKUP(C13,Purchased!A:Q,12,0)</f>
        <v xml:space="preserve">  </v>
      </c>
      <c r="I13" s="113"/>
      <c r="J13" s="44">
        <f>VLOOKUP(C13,Purchased!A:Q,13,0)</f>
        <v>45104</v>
      </c>
      <c r="K13" s="44">
        <f>VLOOKUP(C13,Purchased!A:Q,14,0)</f>
        <v>45105</v>
      </c>
      <c r="L13" s="44">
        <f>VLOOKUP(C13,Purchased!A:Q,15,0)</f>
        <v>45133</v>
      </c>
      <c r="M13" s="44">
        <f>VLOOKUP(C13,Purchased!A:Q,16,0)</f>
        <v>45133</v>
      </c>
      <c r="N13" s="45" t="str">
        <f>VLOOKUP(C13,Purchased!A:Q,17,0)</f>
        <v>54968, 55147</v>
      </c>
      <c r="O13" s="45" t="e">
        <f t="shared" ca="1" si="2"/>
        <v>#VALUE!</v>
      </c>
      <c r="P13" s="49">
        <f>IFERROR(VLOOKUP(C13,Purchased!A:E,3,FALSE),"")</f>
        <v>0.64290000000000003</v>
      </c>
      <c r="Q13" s="50">
        <f t="shared" si="3"/>
        <v>5.1432000000000002</v>
      </c>
    </row>
    <row r="14" spans="1:17" s="2" customFormat="1" ht="12" customHeight="1">
      <c r="A14" s="4">
        <f t="shared" si="4"/>
        <v>304</v>
      </c>
      <c r="B14" s="2">
        <v>4</v>
      </c>
      <c r="C14" s="114" t="s">
        <v>359</v>
      </c>
      <c r="D14" s="268" t="str">
        <f>VLOOKUP(C14,Purchased!A:B,2,0)</f>
        <v>ELESA 260411-C1 Black Bridge Handle EBP.200-8-C1</v>
      </c>
      <c r="E14" s="269"/>
      <c r="F14" s="112" t="str">
        <f>VLOOKUP(C14,Purchased!A:Q,9,0)</f>
        <v>ELESA</v>
      </c>
      <c r="G14" s="112" t="str">
        <f>VLOOKUP(C14,Purchased!A:Q,10,0)</f>
        <v>ELESA</v>
      </c>
      <c r="H14" s="112">
        <f>VLOOKUP(C14,Purchased!A:Q,12,0)</f>
        <v>0</v>
      </c>
      <c r="I14" s="113"/>
      <c r="J14" s="44" t="str">
        <f>VLOOKUP(C14,Purchased!A:Q,13,0)</f>
        <v>N/A</v>
      </c>
      <c r="K14" s="44">
        <f>VLOOKUP(C14,Purchased!A:Q,14,0)</f>
        <v>45205</v>
      </c>
      <c r="L14" s="44">
        <f>VLOOKUP(C14,Purchased!A:Q,15,0)</f>
        <v>45219</v>
      </c>
      <c r="M14" s="44">
        <f>VLOOKUP(C14,Purchased!A:Q,16,0)</f>
        <v>45225</v>
      </c>
      <c r="N14" s="45">
        <f>VLOOKUP(C14,Purchased!A:Q,17,0)</f>
        <v>55195</v>
      </c>
      <c r="O14" s="45" t="e">
        <f t="shared" ca="1" si="2"/>
        <v>#VALUE!</v>
      </c>
      <c r="P14" s="49">
        <f>IFERROR(VLOOKUP(C14,Purchased!A:E,3,FALSE),"")</f>
        <v>0</v>
      </c>
      <c r="Q14" s="50">
        <f t="shared" si="3"/>
        <v>0</v>
      </c>
    </row>
    <row r="15" spans="1:17" s="2" customFormat="1" ht="12" customHeight="1">
      <c r="A15" s="4">
        <f t="shared" si="4"/>
        <v>305</v>
      </c>
      <c r="B15" s="2">
        <v>12</v>
      </c>
      <c r="C15" s="114">
        <v>3842544531</v>
      </c>
      <c r="D15" s="268" t="e">
        <f>VLOOKUP(C15,Purchased!A:B,2,0)</f>
        <v>#N/A</v>
      </c>
      <c r="E15" s="269"/>
      <c r="F15" s="112" t="e">
        <f>VLOOKUP(C15,Purchased!A:Q,9,0)</f>
        <v>#N/A</v>
      </c>
      <c r="G15" s="112" t="e">
        <f>VLOOKUP(C15,Purchased!A:Q,10,0)</f>
        <v>#N/A</v>
      </c>
      <c r="H15" s="112" t="e">
        <f>VLOOKUP(C15,Purchased!A:Q,12,0)</f>
        <v>#N/A</v>
      </c>
      <c r="I15" s="113"/>
      <c r="J15" s="44" t="e">
        <f>VLOOKUP(C15,Purchased!A:Q,13,0)</f>
        <v>#N/A</v>
      </c>
      <c r="K15" s="44" t="e">
        <f>VLOOKUP(C15,Purchased!A:Q,14,0)</f>
        <v>#N/A</v>
      </c>
      <c r="L15" s="44" t="e">
        <f>VLOOKUP(C15,Purchased!A:Q,15,0)</f>
        <v>#N/A</v>
      </c>
      <c r="M15" s="44" t="e">
        <f>VLOOKUP(C15,Purchased!A:Q,16,0)</f>
        <v>#N/A</v>
      </c>
      <c r="N15" s="45" t="e">
        <f>VLOOKUP(C15,Purchased!A:Q,17,0)</f>
        <v>#N/A</v>
      </c>
      <c r="O15" s="45" t="e">
        <f t="shared" ca="1" si="2"/>
        <v>#VALUE!</v>
      </c>
      <c r="P15" s="49" t="str">
        <f>IFERROR(VLOOKUP(C15,Purchased!A:E,3,FALSE),"")</f>
        <v/>
      </c>
      <c r="Q15" s="50" t="str">
        <f t="shared" si="3"/>
        <v/>
      </c>
    </row>
    <row r="16" spans="1:17" s="2" customFormat="1" ht="12" customHeight="1">
      <c r="A16" s="4">
        <f t="shared" si="4"/>
        <v>306</v>
      </c>
      <c r="B16" s="2">
        <v>4</v>
      </c>
      <c r="C16" s="114" t="s">
        <v>360</v>
      </c>
      <c r="D16" s="268" t="str">
        <f>VLOOKUP(C16,Purchased!A:B,2,0)</f>
        <v>BRX GUIDE COMPONENT NUT 8/10</v>
      </c>
      <c r="E16" s="269"/>
      <c r="F16" s="112" t="str">
        <f>VLOOKUP(C16,Purchased!A:Q,9,0)</f>
        <v>BRX</v>
      </c>
      <c r="G16" s="112" t="str">
        <f>VLOOKUP(C16,Purchased!A:Q,10,0)</f>
        <v>AAP</v>
      </c>
      <c r="H16" s="112" t="str">
        <f>VLOOKUP(C16,Purchased!A:Q,12,0)</f>
        <v xml:space="preserve"> </v>
      </c>
      <c r="I16" s="113"/>
      <c r="J16" s="44" t="str">
        <f>VLOOKUP(C16,Purchased!A:Q,13,0)</f>
        <v>N/A</v>
      </c>
      <c r="K16" s="44">
        <f>VLOOKUP(C16,Purchased!A:Q,14,0)</f>
        <v>45162</v>
      </c>
      <c r="L16" s="44">
        <f>VLOOKUP(C16,Purchased!A:Q,15,0)</f>
        <v>45184</v>
      </c>
      <c r="M16" s="44">
        <f>VLOOKUP(C16,Purchased!A:Q,16,0)</f>
        <v>45197</v>
      </c>
      <c r="N16" s="45">
        <f>VLOOKUP(C16,Purchased!A:Q,17,0)</f>
        <v>55073</v>
      </c>
      <c r="O16" s="45" t="e">
        <f t="shared" ca="1" si="2"/>
        <v>#VALUE!</v>
      </c>
      <c r="P16" s="49">
        <f>IFERROR(VLOOKUP(C16,Purchased!A:E,3,FALSE),"")</f>
        <v>14.042899999999999</v>
      </c>
      <c r="Q16" s="50">
        <f t="shared" si="3"/>
        <v>56.171599999999998</v>
      </c>
    </row>
    <row r="17" spans="1:17" s="2" customFormat="1" ht="12.75" customHeight="1">
      <c r="A17" s="25"/>
      <c r="B17" s="26"/>
      <c r="C17" s="26"/>
      <c r="D17" s="272"/>
      <c r="E17" s="273"/>
      <c r="F17" s="26"/>
      <c r="G17" s="26"/>
      <c r="H17" s="274"/>
      <c r="I17" s="275"/>
      <c r="J17" s="27"/>
      <c r="K17" s="27"/>
      <c r="L17" s="27"/>
      <c r="M17" s="28"/>
      <c r="N17" s="29"/>
      <c r="O17" s="29" t="e">
        <f t="shared" ref="O17:O19" ca="1" si="5">B17*$L$2</f>
        <v>#VALUE!</v>
      </c>
      <c r="P17" s="141"/>
      <c r="Q17" s="142"/>
    </row>
    <row r="18" spans="1:17" s="2" customFormat="1" ht="12.75" customHeight="1">
      <c r="A18" s="4">
        <v>501</v>
      </c>
      <c r="B18" s="2">
        <v>16</v>
      </c>
      <c r="C18" s="110" t="s">
        <v>361</v>
      </c>
      <c r="D18" s="268"/>
      <c r="E18" s="276"/>
      <c r="F18" s="112" t="str">
        <f>VLOOKUP(C18,Bolts!A:L,5,0)</f>
        <v xml:space="preserve">  </v>
      </c>
      <c r="G18" s="112" t="str">
        <f>VLOOKUP(C18,Bolts!A:L,6,0)</f>
        <v>Monroe Fasteners</v>
      </c>
      <c r="H18" s="112" t="str">
        <f>VLOOKUP(C18,Bolts!A:L,7,0)</f>
        <v xml:space="preserve">  </v>
      </c>
      <c r="I18" s="112"/>
      <c r="J18" s="44" t="str">
        <f>VLOOKUP(C18,Bolts!A:L,8,0)</f>
        <v xml:space="preserve"> </v>
      </c>
      <c r="K18" s="44" t="str">
        <f>VLOOKUP(C18,Bolts!A:L,9,0)</f>
        <v xml:space="preserve"> </v>
      </c>
      <c r="L18" s="44" t="str">
        <f>VLOOKUP(C18,Bolts!A:L,10,0)</f>
        <v xml:space="preserve"> </v>
      </c>
      <c r="M18" s="44" t="str">
        <f>VLOOKUP(C18,Bolts!A:L,11,0)</f>
        <v xml:space="preserve"> </v>
      </c>
      <c r="N18" s="45" t="str">
        <f>VLOOKUP(C18,Bolts!A:L,12,0)</f>
        <v xml:space="preserve"> </v>
      </c>
      <c r="O18" s="45" t="e">
        <f t="shared" ca="1" si="5"/>
        <v>#VALUE!</v>
      </c>
      <c r="P18" s="49" t="str">
        <f>IFERROR(VLOOKUP(C18,Bolts!A:B,2,FALSE),"")</f>
        <v xml:space="preserve"> </v>
      </c>
      <c r="Q18" s="50" t="str">
        <f t="shared" ref="Q18:Q19" si="6">IFERROR(B18*P18,"")</f>
        <v/>
      </c>
    </row>
    <row r="19" spans="1:17" s="2" customFormat="1" ht="12.75" customHeight="1">
      <c r="A19" s="4">
        <f t="shared" ref="A19" si="7">A18+1</f>
        <v>502</v>
      </c>
      <c r="B19" s="2">
        <v>8</v>
      </c>
      <c r="C19" s="110" t="s">
        <v>362</v>
      </c>
      <c r="D19" s="268"/>
      <c r="E19" s="276"/>
      <c r="F19" s="112" t="str">
        <f>VLOOKUP(C19,Bolts!A:L,5,0)</f>
        <v xml:space="preserve">  </v>
      </c>
      <c r="G19" s="112" t="str">
        <f>VLOOKUP(C19,Bolts!A:L,6,0)</f>
        <v>Monroe Fasteners</v>
      </c>
      <c r="H19" s="112" t="str">
        <f>VLOOKUP(C19,Bolts!A:L,7,0)</f>
        <v xml:space="preserve">  </v>
      </c>
      <c r="I19" s="112"/>
      <c r="J19" s="44" t="str">
        <f>VLOOKUP(C19,Bolts!A:L,8,0)</f>
        <v xml:space="preserve"> </v>
      </c>
      <c r="K19" s="44" t="str">
        <f>VLOOKUP(C19,Bolts!A:L,9,0)</f>
        <v xml:space="preserve"> </v>
      </c>
      <c r="L19" s="44" t="str">
        <f>VLOOKUP(C19,Bolts!A:L,10,0)</f>
        <v xml:space="preserve"> </v>
      </c>
      <c r="M19" s="44" t="str">
        <f>VLOOKUP(C19,Bolts!A:L,11,0)</f>
        <v xml:space="preserve"> </v>
      </c>
      <c r="N19" s="45" t="str">
        <f>VLOOKUP(C19,Bolts!A:L,12,0)</f>
        <v xml:space="preserve"> </v>
      </c>
      <c r="O19" s="45" t="e">
        <f t="shared" ca="1" si="5"/>
        <v>#VALUE!</v>
      </c>
      <c r="P19" s="49" t="str">
        <f>IFERROR(VLOOKUP(C19,Bolts!A:B,2,FALSE),"")</f>
        <v xml:space="preserve"> </v>
      </c>
      <c r="Q19" s="50" t="str">
        <f t="shared" si="6"/>
        <v/>
      </c>
    </row>
    <row r="20" spans="1:17" s="2" customFormat="1" ht="12.75" customHeight="1">
      <c r="A20" s="25"/>
      <c r="B20" s="26"/>
      <c r="C20" s="26"/>
      <c r="D20" s="272"/>
      <c r="E20" s="280"/>
      <c r="F20" s="26"/>
      <c r="G20" s="26"/>
      <c r="H20" s="274"/>
      <c r="I20" s="274"/>
      <c r="J20" s="27"/>
      <c r="K20" s="27"/>
      <c r="L20" s="27"/>
      <c r="M20" s="28"/>
      <c r="N20" s="29"/>
      <c r="O20" s="29"/>
      <c r="P20" s="141"/>
      <c r="Q20" s="142"/>
    </row>
    <row r="21" spans="1:17" s="2" customFormat="1" ht="12.75" customHeight="1">
      <c r="A21" s="4">
        <v>701</v>
      </c>
      <c r="B21" s="2">
        <v>4</v>
      </c>
      <c r="C21" s="111" t="s">
        <v>363</v>
      </c>
      <c r="D21" s="268" t="str">
        <f>VLOOKUP(C21,Extrusion!B:C,2,0)</f>
        <v>Doors</v>
      </c>
      <c r="E21" s="276"/>
      <c r="F21" s="112" t="str">
        <f>VLOOKUP(C21,Extrusion!B:M,6,0)</f>
        <v>BOSCH</v>
      </c>
      <c r="G21" s="112" t="str">
        <f>VLOOKUP(C21,Extrusion!B:M,7,0)</f>
        <v>NULINE</v>
      </c>
      <c r="H21" s="112" t="str">
        <f>VLOOKUP(C21,Extrusion!B:M,8,0)</f>
        <v xml:space="preserve"> </v>
      </c>
      <c r="I21" s="113"/>
      <c r="J21" s="44" t="str">
        <f>VLOOKUP(C21,Extrusion!B:M,9,0)</f>
        <v>N/A</v>
      </c>
      <c r="K21" s="44">
        <f>VLOOKUP(C21,Extrusion!B:M,10,0)</f>
        <v>44894</v>
      </c>
      <c r="L21" s="44">
        <f>VLOOKUP(C21,Extrusion!B:M,11,0)</f>
        <v>44970</v>
      </c>
      <c r="M21" s="44">
        <f>VLOOKUP(C21,Extrusion!B:M,12,0)</f>
        <v>44970</v>
      </c>
      <c r="N21" s="45">
        <f>VLOOKUP(C21,Extrusion!B:N,13,0)</f>
        <v>54598</v>
      </c>
      <c r="O21" s="45" t="e">
        <f t="shared" ref="O21:O24" ca="1" si="8">B21*$L$2</f>
        <v>#VALUE!</v>
      </c>
      <c r="P21" s="49">
        <f>IFERROR(VLOOKUP(C21,Extrusion!B:F,5,0),"")</f>
        <v>35.997158200000001</v>
      </c>
      <c r="Q21" s="50">
        <f t="shared" ref="Q21:Q24" si="9">IFERROR(B21*P21,"")</f>
        <v>143.9886328</v>
      </c>
    </row>
    <row r="22" spans="1:17" s="2" customFormat="1" ht="12" customHeight="1">
      <c r="A22" s="4">
        <f t="shared" ref="A22:A24" si="10">A21+1</f>
        <v>702</v>
      </c>
      <c r="B22" s="2">
        <v>4</v>
      </c>
      <c r="C22" s="111" t="s">
        <v>364</v>
      </c>
      <c r="D22" s="268" t="str">
        <f>VLOOKUP(C22,Extrusion!B:C,2,0)</f>
        <v>Doors</v>
      </c>
      <c r="E22" s="276"/>
      <c r="F22" s="112" t="str">
        <f>VLOOKUP(C22,Extrusion!B:M,6,0)</f>
        <v>BOSCH</v>
      </c>
      <c r="G22" s="112" t="str">
        <f>VLOOKUP(C22,Extrusion!B:M,7,0)</f>
        <v>NULINE</v>
      </c>
      <c r="H22" s="112" t="str">
        <f>VLOOKUP(C22,Extrusion!B:M,8,0)</f>
        <v xml:space="preserve"> </v>
      </c>
      <c r="I22" s="113"/>
      <c r="J22" s="44" t="str">
        <f>VLOOKUP(C22,Extrusion!B:M,9,0)</f>
        <v>N/A</v>
      </c>
      <c r="K22" s="44">
        <f>VLOOKUP(C22,Extrusion!B:M,10,0)</f>
        <v>44894</v>
      </c>
      <c r="L22" s="44">
        <f>VLOOKUP(C22,Extrusion!B:M,11,0)</f>
        <v>44970</v>
      </c>
      <c r="M22" s="44">
        <f>VLOOKUP(C22,Extrusion!B:M,12,0)</f>
        <v>44970</v>
      </c>
      <c r="N22" s="45">
        <f>VLOOKUP(C22,Extrusion!B:N,13,0)</f>
        <v>54598</v>
      </c>
      <c r="O22" s="45" t="e">
        <f t="shared" ca="1" si="8"/>
        <v>#VALUE!</v>
      </c>
      <c r="P22" s="49">
        <f>IFERROR(VLOOKUP(C22,Extrusion!B:F,5,0),"")</f>
        <v>39.245608466666667</v>
      </c>
      <c r="Q22" s="50">
        <f t="shared" si="9"/>
        <v>156.98243386666667</v>
      </c>
    </row>
    <row r="23" spans="1:17" s="2" customFormat="1" ht="12" customHeight="1">
      <c r="A23" s="4">
        <f t="shared" si="10"/>
        <v>703</v>
      </c>
      <c r="B23" s="2">
        <v>4</v>
      </c>
      <c r="C23" s="111" t="s">
        <v>365</v>
      </c>
      <c r="D23" s="268" t="str">
        <f>VLOOKUP(C23,Extrusion!B:C,2,0)</f>
        <v>Doors</v>
      </c>
      <c r="E23" s="276"/>
      <c r="F23" s="112" t="str">
        <f>VLOOKUP(C23,Extrusion!B:M,6,0)</f>
        <v>BOSCH</v>
      </c>
      <c r="G23" s="112" t="str">
        <f>VLOOKUP(C23,Extrusion!B:M,7,0)</f>
        <v>NULINE</v>
      </c>
      <c r="H23" s="112" t="str">
        <f>VLOOKUP(C23,Extrusion!B:M,8,0)</f>
        <v xml:space="preserve"> </v>
      </c>
      <c r="I23" s="113"/>
      <c r="J23" s="44" t="str">
        <f>VLOOKUP(C23,Extrusion!B:M,9,0)</f>
        <v>N/A</v>
      </c>
      <c r="K23" s="44">
        <f>VLOOKUP(C23,Extrusion!B:M,10,0)</f>
        <v>44894</v>
      </c>
      <c r="L23" s="44">
        <f>VLOOKUP(C23,Extrusion!B:M,11,0)</f>
        <v>44970</v>
      </c>
      <c r="M23" s="44">
        <f>VLOOKUP(C23,Extrusion!B:M,12,0)</f>
        <v>44970</v>
      </c>
      <c r="N23" s="45">
        <f>VLOOKUP(C23,Extrusion!B:N,13,0)</f>
        <v>54598</v>
      </c>
      <c r="O23" s="45" t="e">
        <f t="shared" ca="1" si="8"/>
        <v>#VALUE!</v>
      </c>
      <c r="P23" s="49">
        <f>IFERROR(VLOOKUP(C23,Extrusion!B:F,5,0),"")</f>
        <v>40.207320716666665</v>
      </c>
      <c r="Q23" s="50">
        <f t="shared" si="9"/>
        <v>160.82928286666666</v>
      </c>
    </row>
    <row r="24" spans="1:17" s="2" customFormat="1" ht="12" customHeight="1" thickBot="1">
      <c r="A24" s="4">
        <f t="shared" si="10"/>
        <v>704</v>
      </c>
      <c r="B24" s="2">
        <v>4</v>
      </c>
      <c r="C24" s="111" t="s">
        <v>366</v>
      </c>
      <c r="D24" s="268" t="str">
        <f>VLOOKUP(C24,Extrusion!B:C,2,0)</f>
        <v>Doors</v>
      </c>
      <c r="E24" s="276"/>
      <c r="F24" s="112" t="str">
        <f>VLOOKUP(C24,Extrusion!B:M,6,0)</f>
        <v>BOSCH</v>
      </c>
      <c r="G24" s="112" t="str">
        <f>VLOOKUP(C24,Extrusion!B:M,7,0)</f>
        <v>NULINE</v>
      </c>
      <c r="H24" s="112" t="str">
        <f>VLOOKUP(C24,Extrusion!B:M,8,0)</f>
        <v xml:space="preserve"> </v>
      </c>
      <c r="I24" s="113"/>
      <c r="J24" s="44" t="str">
        <f>VLOOKUP(C24,Extrusion!B:M,9,0)</f>
        <v>N/A</v>
      </c>
      <c r="K24" s="44">
        <f>VLOOKUP(C24,Extrusion!B:M,10,0)</f>
        <v>44894</v>
      </c>
      <c r="L24" s="44">
        <f>VLOOKUP(C24,Extrusion!B:M,11,0)</f>
        <v>44970</v>
      </c>
      <c r="M24" s="44">
        <f>VLOOKUP(C24,Extrusion!B:M,12,0)</f>
        <v>44970</v>
      </c>
      <c r="N24" s="45">
        <f>VLOOKUP(C24,Extrusion!B:N,13,0)</f>
        <v>54598</v>
      </c>
      <c r="O24" s="45" t="e">
        <f t="shared" ca="1" si="8"/>
        <v>#VALUE!</v>
      </c>
      <c r="P24" s="49">
        <f>IFERROR(VLOOKUP(C24,Extrusion!B:F,5,0),"")</f>
        <v>41.724688933333326</v>
      </c>
      <c r="Q24" s="50">
        <f t="shared" si="9"/>
        <v>166.8987557333333</v>
      </c>
    </row>
    <row r="25" spans="1:17" s="2" customFormat="1" ht="12.75" customHeight="1" thickBot="1">
      <c r="A25" s="34"/>
      <c r="B25" s="35"/>
      <c r="C25" s="35"/>
      <c r="D25" s="256"/>
      <c r="E25" s="257"/>
      <c r="F25" s="35"/>
      <c r="G25" s="35"/>
      <c r="H25" s="294"/>
      <c r="I25" s="295"/>
      <c r="J25" s="36"/>
      <c r="K25" s="36"/>
      <c r="L25" s="36"/>
      <c r="M25" s="37"/>
      <c r="N25" s="38"/>
      <c r="O25" s="38"/>
      <c r="P25" s="89" t="s">
        <v>43</v>
      </c>
      <c r="Q25" s="94">
        <f>SUM(Q5:Q24)</f>
        <v>1356.7647052666666</v>
      </c>
    </row>
    <row r="26" spans="1:17" s="2" customFormat="1" ht="12" customHeight="1">
      <c r="D26" s="22"/>
      <c r="E26" s="22"/>
      <c r="J26" s="8"/>
      <c r="K26" s="8"/>
      <c r="L26" s="8"/>
      <c r="M26" s="8"/>
      <c r="N26" s="5"/>
      <c r="O26" s="5"/>
      <c r="P26" s="88"/>
      <c r="Q26" s="95"/>
    </row>
    <row r="27" spans="1:17" s="2" customFormat="1" ht="12" customHeight="1">
      <c r="D27" s="22"/>
      <c r="E27" s="22"/>
      <c r="J27" s="5"/>
      <c r="K27" s="5"/>
      <c r="L27" s="5"/>
      <c r="M27" s="5"/>
      <c r="N27" s="5"/>
      <c r="O27" s="5"/>
      <c r="P27" s="88"/>
      <c r="Q27" s="95"/>
    </row>
    <row r="28" spans="1:17" s="2" customFormat="1" ht="12" customHeight="1">
      <c r="D28" s="22"/>
      <c r="E28" s="22"/>
      <c r="J28" s="5"/>
      <c r="K28" s="5"/>
      <c r="L28" s="5"/>
      <c r="M28" s="5"/>
      <c r="N28" s="5"/>
      <c r="O28" s="5"/>
      <c r="P28" s="88"/>
      <c r="Q28" s="95"/>
    </row>
    <row r="29" spans="1:17" s="2" customFormat="1" ht="12" customHeight="1">
      <c r="D29" s="22"/>
      <c r="E29" s="22"/>
      <c r="J29" s="5"/>
      <c r="K29" s="5"/>
      <c r="L29" s="5"/>
      <c r="M29" s="5"/>
      <c r="N29" s="5"/>
      <c r="O29" s="5"/>
      <c r="P29" s="88"/>
      <c r="Q29" s="95"/>
    </row>
    <row r="30" spans="1:17" s="2" customFormat="1" ht="12" customHeight="1">
      <c r="D30" s="22"/>
      <c r="E30" s="22"/>
      <c r="J30" s="5"/>
      <c r="K30" s="5"/>
      <c r="L30" s="5"/>
      <c r="M30" s="5"/>
      <c r="N30" s="5"/>
      <c r="O30" s="5"/>
      <c r="P30" s="88"/>
      <c r="Q30" s="95"/>
    </row>
    <row r="31" spans="1:17" s="2" customFormat="1" ht="12" customHeight="1">
      <c r="D31" s="22"/>
      <c r="E31" s="22"/>
      <c r="J31" s="5"/>
      <c r="K31" s="5"/>
      <c r="L31" s="5"/>
      <c r="M31" s="5"/>
      <c r="N31" s="5"/>
      <c r="O31" s="5"/>
      <c r="P31" s="88"/>
      <c r="Q31" s="95"/>
    </row>
    <row r="32" spans="1:17" s="2" customFormat="1" ht="12" customHeight="1">
      <c r="D32" s="22"/>
      <c r="E32" s="22"/>
      <c r="J32" s="5"/>
      <c r="K32" s="5"/>
      <c r="L32" s="5"/>
      <c r="M32" s="5"/>
      <c r="N32" s="5"/>
      <c r="O32" s="5"/>
      <c r="P32" s="88"/>
      <c r="Q32" s="95"/>
    </row>
    <row r="33" spans="4:17" s="2" customFormat="1" ht="12" customHeight="1">
      <c r="D33" s="22"/>
      <c r="E33" s="22"/>
      <c r="J33" s="5"/>
      <c r="K33" s="5"/>
      <c r="L33" s="5"/>
      <c r="M33" s="5"/>
      <c r="N33" s="5"/>
      <c r="O33" s="5"/>
      <c r="P33" s="88"/>
      <c r="Q33" s="95"/>
    </row>
    <row r="34" spans="4:17" s="2" customFormat="1" ht="12" customHeight="1">
      <c r="D34" s="22"/>
      <c r="E34" s="22"/>
      <c r="J34" s="5"/>
      <c r="K34" s="5"/>
      <c r="L34" s="5"/>
      <c r="M34" s="5"/>
      <c r="N34" s="5"/>
      <c r="O34" s="5"/>
      <c r="P34" s="88"/>
      <c r="Q34" s="95"/>
    </row>
    <row r="35" spans="4:17" s="2" customFormat="1" ht="12" customHeight="1">
      <c r="D35" s="22"/>
      <c r="E35" s="22"/>
      <c r="J35" s="5"/>
      <c r="K35" s="5"/>
      <c r="L35" s="5"/>
      <c r="M35" s="5"/>
      <c r="N35" s="5"/>
      <c r="O35" s="5"/>
      <c r="P35" s="88"/>
      <c r="Q35" s="95"/>
    </row>
    <row r="36" spans="4:17" s="2" customFormat="1" ht="12" customHeight="1">
      <c r="D36" s="22"/>
      <c r="E36" s="22"/>
      <c r="J36" s="5"/>
      <c r="K36" s="5"/>
      <c r="L36" s="5"/>
      <c r="M36" s="5"/>
      <c r="N36" s="5"/>
      <c r="O36" s="5"/>
      <c r="P36" s="88"/>
      <c r="Q36" s="95"/>
    </row>
    <row r="37" spans="4:17" s="2" customFormat="1" ht="12" customHeight="1">
      <c r="D37" s="22"/>
      <c r="E37" s="22"/>
      <c r="J37" s="5"/>
      <c r="K37" s="5"/>
      <c r="L37" s="5"/>
      <c r="M37" s="5"/>
      <c r="N37" s="5"/>
      <c r="O37" s="5"/>
      <c r="P37" s="88"/>
      <c r="Q37" s="95"/>
    </row>
    <row r="38" spans="4:17" s="2" customFormat="1" ht="12" customHeight="1">
      <c r="D38" s="22"/>
      <c r="E38" s="22"/>
      <c r="J38" s="5"/>
      <c r="K38" s="5"/>
      <c r="L38" s="5"/>
      <c r="M38" s="5"/>
      <c r="N38" s="5"/>
      <c r="O38" s="5"/>
      <c r="P38" s="88"/>
      <c r="Q38" s="95"/>
    </row>
    <row r="39" spans="4:17" s="2" customFormat="1" ht="12" customHeight="1">
      <c r="D39" s="22"/>
      <c r="E39" s="22"/>
      <c r="J39" s="5"/>
      <c r="K39" s="5"/>
      <c r="L39" s="5"/>
      <c r="M39" s="5"/>
      <c r="N39" s="5"/>
      <c r="O39" s="5"/>
      <c r="P39" s="88"/>
      <c r="Q39" s="95"/>
    </row>
    <row r="40" spans="4:17" s="2" customFormat="1" ht="12" customHeight="1">
      <c r="D40" s="22"/>
      <c r="E40" s="22"/>
      <c r="J40" s="5"/>
      <c r="K40" s="5"/>
      <c r="L40" s="5"/>
      <c r="M40" s="5"/>
      <c r="N40" s="5"/>
      <c r="O40" s="5"/>
      <c r="P40" s="88"/>
      <c r="Q40" s="95"/>
    </row>
    <row r="41" spans="4:17" s="2" customFormat="1" ht="12" customHeight="1">
      <c r="D41" s="22"/>
      <c r="E41" s="22"/>
      <c r="J41" s="5"/>
      <c r="K41" s="5"/>
      <c r="L41" s="5"/>
      <c r="M41" s="5"/>
      <c r="N41" s="5"/>
      <c r="O41" s="5"/>
      <c r="P41" s="88"/>
      <c r="Q41" s="95"/>
    </row>
    <row r="42" spans="4:17" s="2" customFormat="1" ht="12" customHeight="1">
      <c r="D42" s="22"/>
      <c r="E42" s="22"/>
      <c r="J42" s="5"/>
      <c r="K42" s="5"/>
      <c r="L42" s="5"/>
      <c r="M42" s="5"/>
      <c r="N42" s="5"/>
      <c r="O42" s="5"/>
      <c r="P42" s="88"/>
      <c r="Q42" s="95"/>
    </row>
    <row r="43" spans="4:17" s="2" customFormat="1" ht="12" customHeight="1">
      <c r="D43" s="22"/>
      <c r="E43" s="22"/>
      <c r="J43" s="5"/>
      <c r="K43" s="5"/>
      <c r="L43" s="5"/>
      <c r="M43" s="5"/>
      <c r="N43" s="5"/>
      <c r="O43" s="5"/>
      <c r="P43" s="88"/>
      <c r="Q43" s="95"/>
    </row>
    <row r="44" spans="4:17" s="2" customFormat="1" ht="12" customHeight="1">
      <c r="D44" s="22"/>
      <c r="E44" s="22"/>
      <c r="J44" s="5"/>
      <c r="K44" s="5"/>
      <c r="L44" s="5"/>
      <c r="M44" s="5"/>
      <c r="N44" s="5"/>
      <c r="O44" s="5"/>
      <c r="P44" s="88"/>
      <c r="Q44" s="95"/>
    </row>
    <row r="45" spans="4:17" s="2" customFormat="1" ht="12" customHeight="1">
      <c r="D45" s="22"/>
      <c r="E45" s="22"/>
      <c r="J45" s="5"/>
      <c r="K45" s="5"/>
      <c r="L45" s="5"/>
      <c r="M45" s="5"/>
      <c r="N45" s="5"/>
      <c r="O45" s="5"/>
      <c r="P45" s="88"/>
      <c r="Q45" s="95"/>
    </row>
    <row r="46" spans="4:17" s="2" customFormat="1" ht="12" customHeight="1">
      <c r="D46" s="22"/>
      <c r="E46" s="22"/>
      <c r="J46" s="5"/>
      <c r="K46" s="5"/>
      <c r="L46" s="5"/>
      <c r="M46" s="5"/>
      <c r="N46" s="5"/>
      <c r="O46" s="5"/>
      <c r="P46" s="88"/>
      <c r="Q46" s="95"/>
    </row>
    <row r="47" spans="4:17" s="2" customFormat="1" ht="12" customHeight="1">
      <c r="D47" s="22"/>
      <c r="E47" s="22"/>
      <c r="J47" s="5"/>
      <c r="K47" s="5"/>
      <c r="L47" s="5"/>
      <c r="M47" s="5"/>
      <c r="N47" s="5"/>
      <c r="O47" s="5"/>
      <c r="P47" s="88"/>
      <c r="Q47" s="95"/>
    </row>
    <row r="48" spans="4:17" s="2" customFormat="1" ht="12" customHeight="1">
      <c r="D48" s="22"/>
      <c r="E48" s="22"/>
      <c r="J48" s="5"/>
      <c r="K48" s="5"/>
      <c r="L48" s="5"/>
      <c r="M48" s="5"/>
      <c r="N48" s="5"/>
      <c r="O48" s="5"/>
      <c r="P48" s="88"/>
      <c r="Q48" s="95"/>
    </row>
    <row r="49" spans="4:17" s="2" customFormat="1" ht="12" customHeight="1">
      <c r="D49" s="22"/>
      <c r="E49" s="22"/>
      <c r="J49" s="5"/>
      <c r="K49" s="5"/>
      <c r="L49" s="5"/>
      <c r="M49" s="5"/>
      <c r="N49" s="5"/>
      <c r="O49" s="5"/>
      <c r="P49" s="88"/>
      <c r="Q49" s="95"/>
    </row>
    <row r="50" spans="4:17" s="2" customFormat="1" ht="12" customHeight="1">
      <c r="D50" s="22"/>
      <c r="E50" s="22"/>
      <c r="J50" s="5"/>
      <c r="K50" s="5"/>
      <c r="L50" s="5"/>
      <c r="M50" s="5"/>
      <c r="N50" s="5"/>
      <c r="O50" s="5"/>
      <c r="P50" s="88"/>
      <c r="Q50" s="95"/>
    </row>
    <row r="51" spans="4:17" s="2" customFormat="1" ht="12" customHeight="1">
      <c r="D51" s="22"/>
      <c r="E51" s="22"/>
      <c r="J51" s="5"/>
      <c r="K51" s="5"/>
      <c r="L51" s="5"/>
      <c r="M51" s="5"/>
      <c r="N51" s="5"/>
      <c r="O51" s="5"/>
      <c r="P51" s="88"/>
      <c r="Q51" s="95"/>
    </row>
    <row r="52" spans="4:17" s="2" customFormat="1" ht="12" customHeight="1">
      <c r="D52" s="22"/>
      <c r="E52" s="22"/>
      <c r="J52" s="5"/>
      <c r="K52" s="5"/>
      <c r="L52" s="5"/>
      <c r="M52" s="5"/>
      <c r="N52" s="5"/>
      <c r="O52" s="5"/>
      <c r="P52" s="88"/>
      <c r="Q52" s="95"/>
    </row>
    <row r="53" spans="4:17" s="2" customFormat="1" ht="12" customHeight="1">
      <c r="D53" s="22"/>
      <c r="E53" s="22"/>
      <c r="J53" s="5"/>
      <c r="K53" s="5"/>
      <c r="L53" s="5"/>
      <c r="M53" s="5"/>
      <c r="N53" s="5"/>
      <c r="O53" s="5"/>
      <c r="P53" s="88"/>
      <c r="Q53" s="95"/>
    </row>
    <row r="54" spans="4:17" s="2" customFormat="1" ht="12" customHeight="1">
      <c r="D54" s="22"/>
      <c r="E54" s="22"/>
      <c r="J54" s="5"/>
      <c r="K54" s="5"/>
      <c r="L54" s="5"/>
      <c r="M54" s="5"/>
      <c r="N54" s="5"/>
      <c r="O54" s="5"/>
      <c r="P54" s="88"/>
      <c r="Q54" s="95"/>
    </row>
    <row r="55" spans="4:17" s="2" customFormat="1" ht="12" customHeight="1">
      <c r="D55" s="22"/>
      <c r="E55" s="22"/>
      <c r="J55" s="5"/>
      <c r="K55" s="5"/>
      <c r="L55" s="5"/>
      <c r="M55" s="5"/>
      <c r="N55" s="5"/>
      <c r="O55" s="5"/>
      <c r="P55" s="88"/>
      <c r="Q55" s="95"/>
    </row>
    <row r="56" spans="4:17" s="2" customFormat="1" ht="12" customHeight="1">
      <c r="D56" s="22"/>
      <c r="E56" s="22"/>
      <c r="J56" s="5"/>
      <c r="K56" s="5"/>
      <c r="L56" s="5"/>
      <c r="M56" s="5"/>
      <c r="N56" s="5"/>
      <c r="O56" s="5"/>
      <c r="P56" s="88"/>
      <c r="Q56" s="95"/>
    </row>
    <row r="57" spans="4:17" s="2" customFormat="1" ht="12" customHeight="1">
      <c r="D57" s="22"/>
      <c r="E57" s="22"/>
      <c r="J57" s="5"/>
      <c r="K57" s="5"/>
      <c r="L57" s="5"/>
      <c r="M57" s="5"/>
      <c r="N57" s="5"/>
      <c r="O57" s="5"/>
      <c r="P57" s="88"/>
      <c r="Q57" s="95"/>
    </row>
    <row r="58" spans="4:17" s="2" customFormat="1" ht="12" customHeight="1">
      <c r="D58" s="22"/>
      <c r="E58" s="22"/>
      <c r="J58" s="5"/>
      <c r="K58" s="5"/>
      <c r="L58" s="5"/>
      <c r="M58" s="5"/>
      <c r="N58" s="5"/>
      <c r="O58" s="5"/>
      <c r="P58" s="88"/>
      <c r="Q58" s="95"/>
    </row>
    <row r="59" spans="4:17" s="2" customFormat="1" ht="12" customHeight="1">
      <c r="D59" s="22"/>
      <c r="E59" s="22"/>
      <c r="J59" s="5"/>
      <c r="K59" s="5"/>
      <c r="L59" s="5"/>
      <c r="M59" s="5"/>
      <c r="N59" s="5"/>
      <c r="O59" s="5"/>
      <c r="P59" s="88"/>
      <c r="Q59" s="95"/>
    </row>
    <row r="60" spans="4:17" s="2" customFormat="1" ht="12" customHeight="1">
      <c r="D60" s="22"/>
      <c r="E60" s="22"/>
      <c r="J60" s="5"/>
      <c r="K60" s="5"/>
      <c r="L60" s="5"/>
      <c r="M60" s="5"/>
      <c r="N60" s="5"/>
      <c r="O60" s="5"/>
      <c r="P60" s="88"/>
      <c r="Q60" s="95"/>
    </row>
    <row r="61" spans="4:17" s="2" customFormat="1" ht="12" customHeight="1">
      <c r="D61" s="22"/>
      <c r="E61" s="22"/>
      <c r="J61" s="5"/>
      <c r="K61" s="5"/>
      <c r="L61" s="5"/>
      <c r="M61" s="5"/>
      <c r="N61" s="5"/>
      <c r="O61" s="5"/>
      <c r="P61" s="88"/>
      <c r="Q61" s="95"/>
    </row>
    <row r="62" spans="4:17" s="2" customFormat="1" ht="12" customHeight="1">
      <c r="D62" s="22"/>
      <c r="E62" s="22"/>
      <c r="J62" s="5"/>
      <c r="K62" s="5"/>
      <c r="L62" s="5"/>
      <c r="M62" s="5"/>
      <c r="N62" s="5"/>
      <c r="O62" s="5"/>
      <c r="P62" s="88"/>
      <c r="Q62" s="95"/>
    </row>
    <row r="63" spans="4:17" s="2" customFormat="1" ht="12" customHeight="1">
      <c r="D63" s="22"/>
      <c r="E63" s="22"/>
      <c r="J63" s="5"/>
      <c r="K63" s="5"/>
      <c r="L63" s="5"/>
      <c r="M63" s="5"/>
      <c r="N63" s="5"/>
      <c r="O63" s="5"/>
      <c r="P63" s="88"/>
      <c r="Q63" s="95"/>
    </row>
    <row r="64" spans="4:17" s="2" customFormat="1" ht="12" customHeight="1">
      <c r="D64" s="22"/>
      <c r="E64" s="22"/>
      <c r="J64" s="5"/>
      <c r="K64" s="5"/>
      <c r="L64" s="5"/>
      <c r="M64" s="5"/>
      <c r="N64" s="5"/>
      <c r="O64" s="5"/>
      <c r="P64" s="88"/>
      <c r="Q64" s="96"/>
    </row>
    <row r="65" spans="1:17" s="2" customFormat="1" ht="12" customHeight="1">
      <c r="D65" s="22"/>
      <c r="E65" s="22"/>
      <c r="J65" s="5"/>
      <c r="K65" s="5"/>
      <c r="L65" s="5"/>
      <c r="M65" s="5"/>
      <c r="N65" s="5"/>
      <c r="O65" s="5"/>
      <c r="P65" s="88"/>
      <c r="Q65" s="96"/>
    </row>
    <row r="66" spans="1:17" s="2" customFormat="1" ht="12" customHeight="1">
      <c r="D66" s="22"/>
      <c r="E66" s="22"/>
      <c r="J66" s="5"/>
      <c r="K66" s="5"/>
      <c r="L66" s="5"/>
      <c r="M66" s="5"/>
      <c r="N66" s="5"/>
      <c r="O66" s="5"/>
      <c r="P66" s="88"/>
      <c r="Q66" s="96"/>
    </row>
    <row r="67" spans="1:17" s="2" customFormat="1" ht="12" customHeight="1">
      <c r="D67" s="22"/>
      <c r="E67" s="22"/>
      <c r="J67" s="5"/>
      <c r="K67" s="5"/>
      <c r="L67" s="5"/>
      <c r="M67" s="5"/>
      <c r="N67" s="5"/>
      <c r="O67" s="5"/>
      <c r="P67" s="88"/>
      <c r="Q67" s="96"/>
    </row>
    <row r="68" spans="1:17" s="2" customFormat="1" ht="12" customHeight="1">
      <c r="A68"/>
      <c r="B68"/>
      <c r="C68"/>
      <c r="D68" s="23"/>
      <c r="E68" s="23"/>
      <c r="F68"/>
      <c r="G68"/>
      <c r="H68"/>
      <c r="I68"/>
      <c r="J68" s="19"/>
      <c r="K68" s="19"/>
      <c r="L68" s="19"/>
      <c r="M68" s="19"/>
      <c r="N68" s="19"/>
      <c r="O68" s="19"/>
      <c r="P68" s="90"/>
      <c r="Q68" s="96"/>
    </row>
    <row r="69" spans="1:17" s="2" customFormat="1" ht="12" customHeight="1">
      <c r="A69"/>
      <c r="B69"/>
      <c r="C69"/>
      <c r="D69" s="23"/>
      <c r="E69" s="23"/>
      <c r="F69"/>
      <c r="G69"/>
      <c r="H69"/>
      <c r="I69"/>
      <c r="J69" s="19"/>
      <c r="K69" s="19"/>
      <c r="L69" s="19"/>
      <c r="M69" s="19"/>
      <c r="N69" s="19"/>
      <c r="O69" s="19"/>
      <c r="P69" s="90"/>
      <c r="Q69" s="96"/>
    </row>
    <row r="70" spans="1:17" s="2" customFormat="1" ht="12" customHeight="1">
      <c r="A70"/>
      <c r="B70"/>
      <c r="C70"/>
      <c r="D70" s="23"/>
      <c r="E70" s="23"/>
      <c r="F70"/>
      <c r="G70"/>
      <c r="H70"/>
      <c r="I70"/>
      <c r="J70" s="19"/>
      <c r="K70" s="19"/>
      <c r="L70" s="19"/>
      <c r="M70" s="19"/>
      <c r="N70" s="19"/>
      <c r="O70" s="19"/>
      <c r="P70" s="90"/>
      <c r="Q70" s="96"/>
    </row>
    <row r="71" spans="1:17" s="2" customFormat="1" ht="12" customHeight="1">
      <c r="A71"/>
      <c r="B71"/>
      <c r="C71"/>
      <c r="D71" s="23"/>
      <c r="E71" s="23"/>
      <c r="F71"/>
      <c r="G71"/>
      <c r="H71"/>
      <c r="I71"/>
      <c r="J71" s="19"/>
      <c r="K71" s="19"/>
      <c r="L71" s="19"/>
      <c r="M71" s="19"/>
      <c r="N71" s="19"/>
      <c r="O71" s="19"/>
      <c r="P71" s="90"/>
      <c r="Q71" s="96"/>
    </row>
    <row r="72" spans="1:17" s="2" customFormat="1" ht="12" customHeight="1">
      <c r="A72"/>
      <c r="B72"/>
      <c r="C72"/>
      <c r="D72" s="23"/>
      <c r="E72" s="23"/>
      <c r="F72"/>
      <c r="G72"/>
      <c r="H72"/>
      <c r="I72"/>
      <c r="J72" s="19"/>
      <c r="K72" s="19"/>
      <c r="L72" s="19"/>
      <c r="M72" s="19"/>
      <c r="N72" s="19"/>
      <c r="O72" s="19"/>
      <c r="P72" s="90"/>
      <c r="Q72" s="96"/>
    </row>
    <row r="73" spans="1:17">
      <c r="Q73" s="96"/>
    </row>
    <row r="74" spans="1:17">
      <c r="Q74" s="96"/>
    </row>
    <row r="75" spans="1:17">
      <c r="Q75" s="96"/>
    </row>
    <row r="76" spans="1:17">
      <c r="Q76" s="96"/>
    </row>
    <row r="77" spans="1:17">
      <c r="Q77" s="96"/>
    </row>
    <row r="78" spans="1:17">
      <c r="Q78" s="96"/>
    </row>
    <row r="79" spans="1:17">
      <c r="Q79" s="96"/>
    </row>
    <row r="80" spans="1:17">
      <c r="Q80" s="96"/>
    </row>
    <row r="81" spans="17:17">
      <c r="Q81" s="96"/>
    </row>
    <row r="82" spans="17:17">
      <c r="Q82" s="96"/>
    </row>
    <row r="83" spans="17:17">
      <c r="Q83" s="96"/>
    </row>
    <row r="84" spans="17:17">
      <c r="Q84" s="96"/>
    </row>
    <row r="85" spans="17:17">
      <c r="Q85" s="96"/>
    </row>
    <row r="86" spans="17:17">
      <c r="Q86" s="96"/>
    </row>
    <row r="87" spans="17:17">
      <c r="Q87" s="96"/>
    </row>
    <row r="88" spans="17:17">
      <c r="Q88" s="96"/>
    </row>
    <row r="89" spans="17:17">
      <c r="Q89" s="96"/>
    </row>
    <row r="90" spans="17:17">
      <c r="Q90" s="96"/>
    </row>
    <row r="91" spans="17:17">
      <c r="Q91" s="96"/>
    </row>
    <row r="92" spans="17:17">
      <c r="Q92" s="96"/>
    </row>
    <row r="129" ht="12" customHeight="1"/>
    <row r="130" ht="12" customHeight="1"/>
    <row r="131" ht="12" customHeight="1"/>
    <row r="132" ht="12" customHeight="1"/>
    <row r="133" ht="12" customHeight="1"/>
    <row r="134" ht="12" customHeight="1"/>
    <row r="135" ht="12" customHeight="1"/>
    <row r="136" ht="12" customHeight="1"/>
    <row r="137" ht="12" customHeight="1"/>
    <row r="138" ht="12" customHeight="1"/>
    <row r="139" ht="12" customHeight="1"/>
    <row r="140" ht="12" customHeight="1"/>
    <row r="141" ht="12" customHeight="1"/>
    <row r="142" ht="12" customHeight="1"/>
    <row r="143" ht="12" customHeight="1"/>
    <row r="144" ht="12" customHeight="1"/>
    <row r="145" ht="12" customHeight="1"/>
    <row r="146" ht="12" customHeight="1"/>
    <row r="147" ht="12" customHeight="1"/>
    <row r="148" ht="12" customHeight="1"/>
    <row r="149" ht="12" customHeight="1"/>
    <row r="150" ht="12" customHeight="1"/>
    <row r="151" ht="12" customHeight="1"/>
    <row r="152" ht="12" customHeight="1"/>
    <row r="153" ht="12" customHeight="1"/>
    <row r="154" ht="12" customHeight="1"/>
    <row r="155" ht="12" customHeight="1"/>
    <row r="156" ht="12" customHeight="1"/>
    <row r="157" ht="12" customHeight="1"/>
    <row r="158" ht="12" customHeight="1"/>
    <row r="159" ht="12" customHeight="1"/>
    <row r="160" ht="12" customHeight="1"/>
    <row r="161" ht="12" customHeight="1"/>
    <row r="162" ht="12" customHeight="1"/>
    <row r="163" ht="12" customHeight="1"/>
    <row r="164" ht="12" customHeight="1"/>
    <row r="165" ht="12" customHeight="1"/>
    <row r="166" ht="12" customHeight="1"/>
    <row r="167" ht="12" customHeight="1"/>
    <row r="168" ht="12" customHeight="1"/>
    <row r="169" ht="12" customHeight="1"/>
    <row r="170" ht="12" customHeight="1"/>
    <row r="171" ht="12" customHeight="1"/>
    <row r="172" ht="12" customHeight="1"/>
    <row r="173" ht="12" customHeight="1"/>
    <row r="174" ht="12" customHeight="1"/>
    <row r="175" ht="12" customHeight="1"/>
    <row r="176" ht="12" customHeight="1"/>
    <row r="177" ht="12" customHeight="1"/>
    <row r="178" ht="12" customHeight="1"/>
  </sheetData>
  <mergeCells count="28">
    <mergeCell ref="D25:E25"/>
    <mergeCell ref="H25:I25"/>
    <mergeCell ref="D23:E23"/>
    <mergeCell ref="D24:E24"/>
    <mergeCell ref="H10:I10"/>
    <mergeCell ref="D11:E11"/>
    <mergeCell ref="D12:E12"/>
    <mergeCell ref="D20:E20"/>
    <mergeCell ref="D13:E13"/>
    <mergeCell ref="D14:E14"/>
    <mergeCell ref="D15:E15"/>
    <mergeCell ref="D16:E16"/>
    <mergeCell ref="D17:E17"/>
    <mergeCell ref="H20:I20"/>
    <mergeCell ref="H17:I17"/>
    <mergeCell ref="D18:E18"/>
    <mergeCell ref="D19:E19"/>
    <mergeCell ref="D7:E7"/>
    <mergeCell ref="D8:E8"/>
    <mergeCell ref="D9:E9"/>
    <mergeCell ref="D22:E22"/>
    <mergeCell ref="D10:E10"/>
    <mergeCell ref="D21:E21"/>
    <mergeCell ref="D1:E1"/>
    <mergeCell ref="D4:E4"/>
    <mergeCell ref="H4:I4"/>
    <mergeCell ref="D5:E5"/>
    <mergeCell ref="D6:E6"/>
  </mergeCells>
  <conditionalFormatting sqref="M5:M9">
    <cfRule type="cellIs" dxfId="579" priority="3" stopIfTrue="1" operator="lessThanOrEqual">
      <formula>$L5</formula>
    </cfRule>
    <cfRule type="cellIs" dxfId="578" priority="4" operator="greaterThan">
      <formula>L5</formula>
    </cfRule>
  </conditionalFormatting>
  <conditionalFormatting sqref="M11:M16 M18:M19">
    <cfRule type="cellIs" dxfId="577" priority="5" stopIfTrue="1" operator="lessThanOrEqual">
      <formula>$L11</formula>
    </cfRule>
    <cfRule type="cellIs" dxfId="576" priority="6" operator="greaterThan">
      <formula>L11</formula>
    </cfRule>
  </conditionalFormatting>
  <conditionalFormatting sqref="M21:M24">
    <cfRule type="cellIs" dxfId="575" priority="1" stopIfTrue="1" operator="lessThanOrEqual">
      <formula>$L21</formula>
    </cfRule>
    <cfRule type="cellIs" dxfId="574" priority="2" operator="greaterThan">
      <formula>L21</formula>
    </cfRule>
  </conditionalFormatting>
  <pageMargins left="0.7" right="0.7" top="0.75" bottom="0.75" header="0.3" footer="0.3"/>
  <pageSetup paperSize="3" fitToHeight="0" orientation="landscape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E07DDFF3-51EE-40B9-B398-4FB99D160DF0}">
          <x14:formula1>
            <xm:f>Bolts!$A:$A</xm:f>
          </x14:formula1>
          <xm:sqref>C18:C19</xm:sqref>
        </x14:dataValidation>
        <x14:dataValidation type="list" allowBlank="1" showInputMessage="1" showErrorMessage="1" xr:uid="{00B2AB22-E082-42E9-B702-F5922FF6FB9B}">
          <x14:formula1>
            <xm:f>Purchased!$A:$A</xm:f>
          </x14:formula1>
          <xm:sqref>C11:C16</xm:sqref>
        </x14:dataValidation>
        <x14:dataValidation type="list" allowBlank="1" showInputMessage="1" showErrorMessage="1" xr:uid="{67620265-4E5B-4512-A863-D803167BBD17}">
          <x14:formula1>
            <xm:f>Extrusion!$B:$B</xm:f>
          </x14:formula1>
          <xm:sqref>C21:C24</xm:sqref>
        </x14:dataValidation>
        <x14:dataValidation type="list" allowBlank="1" showInputMessage="1" showErrorMessage="1" xr:uid="{8C604651-579D-4DB9-8EBD-180E59075DC3}">
          <x14:formula1>
            <xm:f>Machined!$C:$C</xm:f>
          </x14:formula1>
          <xm:sqref>C5:C9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BD8C58-09AF-44A8-94F1-315741B9158A}">
  <sheetPr codeName="Sheet26">
    <tabColor theme="3" tint="0.79998168889431442"/>
    <pageSetUpPr fitToPage="1"/>
  </sheetPr>
  <dimension ref="A1:Q174"/>
  <sheetViews>
    <sheetView zoomScaleNormal="100" workbookViewId="0">
      <selection activeCell="C16" sqref="C16"/>
    </sheetView>
  </sheetViews>
  <sheetFormatPr defaultColWidth="9.140625" defaultRowHeight="15"/>
  <cols>
    <col min="1" max="1" width="5.7109375" customWidth="1"/>
    <col min="2" max="2" width="5.42578125" bestFit="1" customWidth="1"/>
    <col min="3" max="3" width="30.7109375" customWidth="1"/>
    <col min="4" max="5" width="20.7109375" style="23" customWidth="1"/>
    <col min="6" max="6" width="16.85546875" bestFit="1" customWidth="1"/>
    <col min="7" max="7" width="9.7109375" customWidth="1"/>
    <col min="8" max="8" width="8.7109375" customWidth="1"/>
    <col min="9" max="9" width="20.7109375" customWidth="1"/>
    <col min="10" max="13" width="11.7109375" style="19" customWidth="1"/>
    <col min="14" max="14" width="11.85546875" style="19" bestFit="1" customWidth="1"/>
    <col min="15" max="15" width="7.7109375" style="19" customWidth="1"/>
    <col min="16" max="16" width="10.7109375" style="90" customWidth="1"/>
    <col min="17" max="17" width="10.7109375" style="97" customWidth="1"/>
  </cols>
  <sheetData>
    <row r="1" spans="1:17" s="55" customFormat="1" ht="12" customHeight="1">
      <c r="A1" s="68" t="s">
        <v>0</v>
      </c>
      <c r="B1" s="69"/>
      <c r="C1" s="69"/>
      <c r="D1" s="262" t="s">
        <v>1</v>
      </c>
      <c r="E1" s="263"/>
      <c r="F1" s="70"/>
      <c r="G1" s="69"/>
      <c r="H1" s="70"/>
      <c r="I1" s="71"/>
      <c r="J1" s="72"/>
      <c r="K1" s="72"/>
      <c r="L1" s="72"/>
      <c r="M1" s="72"/>
      <c r="N1" s="72"/>
      <c r="O1" s="72"/>
      <c r="P1" s="85"/>
      <c r="Q1" s="91"/>
    </row>
    <row r="2" spans="1:17" s="55" customFormat="1" ht="12" customHeight="1">
      <c r="A2" s="74" t="s">
        <v>48</v>
      </c>
      <c r="B2" s="58"/>
      <c r="C2" s="57" t="e">
        <f ca="1">VLOOKUP(E3,Assemblies!B:F,4,0)</f>
        <v>#VALUE!</v>
      </c>
      <c r="D2" s="75" t="s">
        <v>3</v>
      </c>
      <c r="E2" s="76" t="e">
        <f ca="1">'GF12'!E2</f>
        <v>#VALUE!</v>
      </c>
      <c r="F2" s="77" t="s">
        <v>4</v>
      </c>
      <c r="G2" s="58" t="str">
        <f>'GF12'!G2</f>
        <v>GH</v>
      </c>
      <c r="H2" s="77" t="s">
        <v>6</v>
      </c>
      <c r="I2" s="59">
        <f>'GF12'!I2</f>
        <v>44775</v>
      </c>
      <c r="J2" s="39"/>
      <c r="K2" s="40" t="s">
        <v>49</v>
      </c>
      <c r="L2" s="41" t="e">
        <f ca="1">VLOOKUP(C2,Assemblies!E:G,3,0)</f>
        <v>#VALUE!</v>
      </c>
      <c r="M2" s="78"/>
      <c r="N2" s="78"/>
      <c r="O2" s="78"/>
      <c r="P2" s="86"/>
      <c r="Q2" s="92"/>
    </row>
    <row r="3" spans="1:17" s="55" customFormat="1" ht="12" customHeight="1" thickBot="1">
      <c r="A3" s="74" t="s">
        <v>7</v>
      </c>
      <c r="B3" s="58"/>
      <c r="C3" s="57" t="e">
        <f ca="1">VLOOKUP(E3,Assemblies!B:F,5,0)</f>
        <v>#VALUE!</v>
      </c>
      <c r="D3" s="75" t="s">
        <v>50</v>
      </c>
      <c r="E3" s="76" t="e">
        <f ca="1">MID(CELL("filename",A1),FIND("]",CELL("filename",A1))+1,256)</f>
        <v>#VALUE!</v>
      </c>
      <c r="F3" s="77" t="s">
        <v>11</v>
      </c>
      <c r="G3" s="58" t="str">
        <f>'GF12'!G3</f>
        <v>GH</v>
      </c>
      <c r="H3" s="77" t="s">
        <v>6</v>
      </c>
      <c r="I3" s="59">
        <f>'GF12'!I3</f>
        <v>44775</v>
      </c>
      <c r="J3" s="78"/>
      <c r="K3" s="78"/>
      <c r="L3" s="78"/>
      <c r="M3" s="78"/>
      <c r="N3" s="78"/>
      <c r="O3" s="78"/>
      <c r="P3" s="86"/>
      <c r="Q3" s="92"/>
    </row>
    <row r="4" spans="1:17" s="56" customFormat="1" ht="12.75" customHeight="1" thickBot="1">
      <c r="A4" s="80" t="s">
        <v>12</v>
      </c>
      <c r="B4" s="81" t="s">
        <v>13</v>
      </c>
      <c r="C4" s="81" t="s">
        <v>14</v>
      </c>
      <c r="D4" s="270" t="s">
        <v>15</v>
      </c>
      <c r="E4" s="271"/>
      <c r="F4" s="104" t="s">
        <v>16</v>
      </c>
      <c r="G4" s="81" t="s">
        <v>17</v>
      </c>
      <c r="H4" s="260" t="s">
        <v>18</v>
      </c>
      <c r="I4" s="261"/>
      <c r="J4" s="81" t="s">
        <v>51</v>
      </c>
      <c r="K4" s="81" t="s">
        <v>20</v>
      </c>
      <c r="L4" s="81" t="s">
        <v>21</v>
      </c>
      <c r="M4" s="81" t="s">
        <v>52</v>
      </c>
      <c r="N4" s="81" t="s">
        <v>22</v>
      </c>
      <c r="O4" s="81" t="s">
        <v>53</v>
      </c>
      <c r="P4" s="107" t="s">
        <v>26</v>
      </c>
      <c r="Q4" s="82" t="s">
        <v>27</v>
      </c>
    </row>
    <row r="5" spans="1:17" s="2" customFormat="1" ht="12.75" customHeight="1">
      <c r="A5" s="127">
        <v>1</v>
      </c>
      <c r="B5" s="21">
        <v>1</v>
      </c>
      <c r="C5" s="108" t="s">
        <v>367</v>
      </c>
      <c r="D5" s="277" t="str">
        <f>VLOOKUP(C5,Machined!C:Q,2,0)</f>
        <v>Clear Polycarb Panel Door  7  722x1097</v>
      </c>
      <c r="E5" s="278"/>
      <c r="F5" s="131" t="str">
        <f>VLOOKUP(C5,Machined!C:R,7,0)</f>
        <v>Polycarb</v>
      </c>
      <c r="G5" s="131" t="str">
        <f>VLOOKUP(C5,Machined!C:R,10,0)</f>
        <v>PRO PLASTICS</v>
      </c>
      <c r="H5" s="131" t="str">
        <f>VLOOKUP(C5,Machined!C:R,11,0)</f>
        <v>Quote 668778; &lt;2 weeks; Drawings/Step are under Polycarbonate Door NuLine</v>
      </c>
      <c r="I5" s="131"/>
      <c r="J5" s="42">
        <f>VLOOKUP(C5,Machined!C:R,12,0)</f>
        <v>45159</v>
      </c>
      <c r="K5" s="42" t="str">
        <f>VLOOKUP(C5,Machined!C:R,13,0)</f>
        <v xml:space="preserve"> 9/19/2023</v>
      </c>
      <c r="L5" s="42">
        <f>VLOOKUP(C5,Machined!C:R,14,0)</f>
        <v>45212</v>
      </c>
      <c r="M5" s="42">
        <f>VLOOKUP(C5,Machined!C:R,15,0)</f>
        <v>45212</v>
      </c>
      <c r="N5" s="43">
        <f>VLOOKUP(C5,Machined!C:R,16,0)</f>
        <v>55157</v>
      </c>
      <c r="O5" s="43" t="e">
        <f t="shared" ref="O5:O6" ca="1" si="0">B5*$L$2</f>
        <v>#VALUE!</v>
      </c>
      <c r="P5" s="47">
        <f>IFERROR(VLOOKUP(C5,Machined!C:F,3,0),"")</f>
        <v>54.973300000000002</v>
      </c>
      <c r="Q5" s="48">
        <f t="shared" ref="Q5:Q6" si="1">IFERROR(B5*P5,"")</f>
        <v>54.973300000000002</v>
      </c>
    </row>
    <row r="6" spans="1:17" s="2" customFormat="1" ht="12.75" customHeight="1">
      <c r="A6" s="127">
        <v>2</v>
      </c>
      <c r="B6" s="21">
        <v>1</v>
      </c>
      <c r="C6" s="108" t="s">
        <v>368</v>
      </c>
      <c r="D6" s="277" t="str">
        <f>VLOOKUP(C6,Machined!C:Q,2,0)</f>
        <v>Clear Polycarb Panel Door  8  722x1214</v>
      </c>
      <c r="E6" s="278"/>
      <c r="F6" s="131" t="str">
        <f>VLOOKUP(C6,Machined!C:R,7,0)</f>
        <v>Polycarb</v>
      </c>
      <c r="G6" s="131" t="str">
        <f>VLOOKUP(C6,Machined!C:R,10,0)</f>
        <v>PRO PLASTICS</v>
      </c>
      <c r="H6" s="131" t="str">
        <f>VLOOKUP(C6,Machined!C:R,11,0)</f>
        <v>Quote 668778; &lt;2 weeks; Drawings/Step are under Polycarbonate Door NuLine</v>
      </c>
      <c r="I6" s="131"/>
      <c r="J6" s="42">
        <f>VLOOKUP(C6,Machined!C:R,12,0)</f>
        <v>45159</v>
      </c>
      <c r="K6" s="42" t="str">
        <f>VLOOKUP(C6,Machined!C:R,13,0)</f>
        <v xml:space="preserve"> 9/19/2023</v>
      </c>
      <c r="L6" s="42">
        <f>VLOOKUP(C6,Machined!C:R,14,0)</f>
        <v>45212</v>
      </c>
      <c r="M6" s="42">
        <f>VLOOKUP(C6,Machined!C:R,15,0)</f>
        <v>45212</v>
      </c>
      <c r="N6" s="43">
        <f>VLOOKUP(C6,Machined!C:R,16,0)</f>
        <v>55157</v>
      </c>
      <c r="O6" s="43" t="e">
        <f t="shared" ca="1" si="0"/>
        <v>#VALUE!</v>
      </c>
      <c r="P6" s="47">
        <f>IFERROR(VLOOKUP(C6,Machined!C:F,3,0),"")</f>
        <v>54.973300000000002</v>
      </c>
      <c r="Q6" s="48">
        <f t="shared" si="1"/>
        <v>54.973300000000002</v>
      </c>
    </row>
    <row r="7" spans="1:17" s="2" customFormat="1" ht="12.75" customHeight="1">
      <c r="A7" s="127">
        <v>3</v>
      </c>
      <c r="B7" s="21">
        <v>4</v>
      </c>
      <c r="C7" s="108" t="s">
        <v>354</v>
      </c>
      <c r="D7" s="277" t="str">
        <f>VLOOKUP(C7,Machined!C:Q,2,0)</f>
        <v>Door Support</v>
      </c>
      <c r="E7" s="278"/>
      <c r="F7" s="131" t="str">
        <f>VLOOKUP(C7,Machined!C:R,7,0)</f>
        <v>Delrin - White</v>
      </c>
      <c r="G7" s="131" t="str">
        <f>VLOOKUP(C7,Machined!C:R,10,0)</f>
        <v>BIG SKY</v>
      </c>
      <c r="H7" s="131" t="str">
        <f>VLOOKUP(C7,Machined!C:R,11,0)</f>
        <v xml:space="preserve">  </v>
      </c>
      <c r="I7" s="131"/>
      <c r="J7" s="42">
        <f>VLOOKUP(C7,Machined!C:R,12,0)</f>
        <v>45142</v>
      </c>
      <c r="K7" s="42">
        <f>VLOOKUP(C7,Machined!C:R,13,0)</f>
        <v>45146</v>
      </c>
      <c r="L7" s="42">
        <f>VLOOKUP(C7,Machined!C:R,14,0)</f>
        <v>45176</v>
      </c>
      <c r="M7" s="42">
        <f>VLOOKUP(C7,Machined!C:R,15,0)</f>
        <v>45176</v>
      </c>
      <c r="N7" s="43">
        <f>VLOOKUP(C7,Machined!C:R,16,0)</f>
        <v>55032</v>
      </c>
      <c r="O7" s="43" t="e">
        <f ca="1">B7*$L$2</f>
        <v>#VALUE!</v>
      </c>
      <c r="P7" s="47">
        <f>IFERROR(VLOOKUP(C7,Machined!C:F,3,0),"")</f>
        <v>88</v>
      </c>
      <c r="Q7" s="48">
        <f>IFERROR(B7*P7,"")</f>
        <v>352</v>
      </c>
    </row>
    <row r="8" spans="1:17" s="2" customFormat="1" ht="12.75" customHeight="1">
      <c r="A8" s="143"/>
      <c r="B8" s="26"/>
      <c r="C8" s="26"/>
      <c r="D8" s="272"/>
      <c r="E8" s="273"/>
      <c r="F8" s="26"/>
      <c r="G8" s="26"/>
      <c r="H8" s="274"/>
      <c r="I8" s="275"/>
      <c r="J8" s="27"/>
      <c r="K8" s="27"/>
      <c r="L8" s="27"/>
      <c r="M8" s="28"/>
      <c r="N8" s="29"/>
      <c r="O8" s="29"/>
      <c r="P8" s="141"/>
      <c r="Q8" s="142"/>
    </row>
    <row r="9" spans="1:17" s="2" customFormat="1" ht="12.75" customHeight="1">
      <c r="A9" s="4">
        <v>301</v>
      </c>
      <c r="B9" s="2">
        <v>8</v>
      </c>
      <c r="C9" s="114" t="s">
        <v>244</v>
      </c>
      <c r="D9" s="268" t="str">
        <f>VLOOKUP(C9,Purchased!A:B,2,0)</f>
        <v>BRX GOTO QUICK CONNECTOR N10 0°</v>
      </c>
      <c r="E9" s="269"/>
      <c r="F9" s="112" t="str">
        <f>VLOOKUP(C9,Purchased!A:Q,9,0)</f>
        <v>BRX</v>
      </c>
      <c r="G9" s="112" t="str">
        <f>VLOOKUP(C9,Purchased!A:Q,10,0)</f>
        <v>AAP</v>
      </c>
      <c r="H9" s="112" t="str">
        <f>VLOOKUP(C9,Purchased!A:Q,12,0)</f>
        <v>17 in stock</v>
      </c>
      <c r="I9" s="113"/>
      <c r="J9" s="44" t="str">
        <f>VLOOKUP(C9,Purchased!A:Q,13,0)</f>
        <v>N/A</v>
      </c>
      <c r="K9" s="44">
        <f>VLOOKUP(C9,Purchased!A:Q,14,0)</f>
        <v>45089</v>
      </c>
      <c r="L9" s="44">
        <f>VLOOKUP(C9,Purchased!A:Q,15,0)</f>
        <v>45124</v>
      </c>
      <c r="M9" s="44">
        <f>VLOOKUP(C9,Purchased!A:Q,16,0)</f>
        <v>45124</v>
      </c>
      <c r="N9" s="45" t="str">
        <f>VLOOKUP(C9,Purchased!A:Q,17,0)</f>
        <v>500x54927, 500x55060</v>
      </c>
      <c r="O9" s="45" t="e">
        <f t="shared" ref="O9:O13" ca="1" si="2">B9*$L$2</f>
        <v>#VALUE!</v>
      </c>
      <c r="P9" s="49">
        <f>IFERROR(VLOOKUP(C9,Purchased!A:E,3,FALSE),"")</f>
        <v>5.2857000000000003</v>
      </c>
      <c r="Q9" s="50">
        <f t="shared" ref="Q9:Q13" si="3">IFERROR(B9*P9,"")</f>
        <v>42.285600000000002</v>
      </c>
    </row>
    <row r="10" spans="1:17" s="2" customFormat="1" ht="12" customHeight="1">
      <c r="A10" s="4">
        <f t="shared" ref="A10:A13" si="4">A9+1</f>
        <v>302</v>
      </c>
      <c r="B10" s="2">
        <v>16</v>
      </c>
      <c r="C10" s="114" t="s">
        <v>325</v>
      </c>
      <c r="D10" s="268" t="str">
        <f>VLOOKUP(C10,Purchased!A:B,2,0)</f>
        <v>BRX GOTO T-NUT 10 M4</v>
      </c>
      <c r="E10" s="269"/>
      <c r="F10" s="112" t="str">
        <f>VLOOKUP(C10,Purchased!A:Q,9,0)</f>
        <v>BRX</v>
      </c>
      <c r="G10" s="112" t="str">
        <f>VLOOKUP(C10,Purchased!A:Q,10,0)</f>
        <v>AAP</v>
      </c>
      <c r="H10" s="112" t="str">
        <f>VLOOKUP(C10,Purchased!A:Q,12,0)</f>
        <v>14 NuLine Stock</v>
      </c>
      <c r="I10" s="113"/>
      <c r="J10" s="44">
        <f>VLOOKUP(C10,Purchased!A:Q,13,0)</f>
        <v>45104</v>
      </c>
      <c r="K10" s="44">
        <f>VLOOKUP(C10,Purchased!A:Q,14,0)</f>
        <v>45105</v>
      </c>
      <c r="L10" s="44">
        <f>VLOOKUP(C10,Purchased!A:Q,15,0)</f>
        <v>45133</v>
      </c>
      <c r="M10" s="44">
        <f>VLOOKUP(C10,Purchased!A:Q,16,0)</f>
        <v>45133</v>
      </c>
      <c r="N10" s="45">
        <f>VLOOKUP(C10,Purchased!A:Q,17,0)</f>
        <v>54968</v>
      </c>
      <c r="O10" s="45" t="e">
        <f t="shared" ca="1" si="2"/>
        <v>#VALUE!</v>
      </c>
      <c r="P10" s="49">
        <f>IFERROR(VLOOKUP(C10,Purchased!A:E,3,FALSE),"")</f>
        <v>0.64290000000000003</v>
      </c>
      <c r="Q10" s="50">
        <f t="shared" si="3"/>
        <v>10.2864</v>
      </c>
    </row>
    <row r="11" spans="1:17" s="2" customFormat="1" ht="12" customHeight="1">
      <c r="A11" s="4">
        <f t="shared" si="4"/>
        <v>303</v>
      </c>
      <c r="B11" s="2">
        <v>4</v>
      </c>
      <c r="C11" s="114" t="s">
        <v>256</v>
      </c>
      <c r="D11" s="268" t="str">
        <f>VLOOKUP(C11,Purchased!A:B,2,0)</f>
        <v>BRX GOTO T-NUT 10 M8</v>
      </c>
      <c r="E11" s="269"/>
      <c r="F11" s="112" t="str">
        <f>VLOOKUP(C11,Purchased!A:Q,9,0)</f>
        <v>BRX</v>
      </c>
      <c r="G11" s="112" t="str">
        <f>VLOOKUP(C11,Purchased!A:Q,10,0)</f>
        <v>AAP</v>
      </c>
      <c r="H11" s="112" t="str">
        <f>VLOOKUP(C11,Purchased!A:Q,12,0)</f>
        <v xml:space="preserve">  </v>
      </c>
      <c r="I11" s="113"/>
      <c r="J11" s="44">
        <f>VLOOKUP(C11,Purchased!A:Q,13,0)</f>
        <v>45104</v>
      </c>
      <c r="K11" s="44">
        <f>VLOOKUP(C11,Purchased!A:Q,14,0)</f>
        <v>45105</v>
      </c>
      <c r="L11" s="44">
        <f>VLOOKUP(C11,Purchased!A:Q,15,0)</f>
        <v>45133</v>
      </c>
      <c r="M11" s="44">
        <f>VLOOKUP(C11,Purchased!A:Q,16,0)</f>
        <v>45133</v>
      </c>
      <c r="N11" s="45" t="str">
        <f>VLOOKUP(C11,Purchased!A:Q,17,0)</f>
        <v>54968, 55147</v>
      </c>
      <c r="O11" s="45" t="e">
        <f t="shared" ca="1" si="2"/>
        <v>#VALUE!</v>
      </c>
      <c r="P11" s="49">
        <f>IFERROR(VLOOKUP(C11,Purchased!A:E,3,FALSE),"")</f>
        <v>0.64290000000000003</v>
      </c>
      <c r="Q11" s="50">
        <f t="shared" si="3"/>
        <v>2.5716000000000001</v>
      </c>
    </row>
    <row r="12" spans="1:17" s="2" customFormat="1" ht="12" customHeight="1">
      <c r="A12" s="4">
        <f t="shared" si="4"/>
        <v>304</v>
      </c>
      <c r="B12" s="2">
        <v>2</v>
      </c>
      <c r="C12" s="114" t="s">
        <v>359</v>
      </c>
      <c r="D12" s="268" t="str">
        <f>VLOOKUP(C12,Purchased!A:B,2,0)</f>
        <v>ELESA 260411-C1 Black Bridge Handle EBP.200-8-C1</v>
      </c>
      <c r="E12" s="269"/>
      <c r="F12" s="112" t="str">
        <f>VLOOKUP(C12,Purchased!A:Q,9,0)</f>
        <v>ELESA</v>
      </c>
      <c r="G12" s="112" t="str">
        <f>VLOOKUP(C12,Purchased!A:Q,10,0)</f>
        <v>ELESA</v>
      </c>
      <c r="H12" s="112">
        <f>VLOOKUP(C12,Purchased!A:Q,12,0)</f>
        <v>0</v>
      </c>
      <c r="I12" s="113"/>
      <c r="J12" s="44" t="str">
        <f>VLOOKUP(C12,Purchased!A:Q,13,0)</f>
        <v>N/A</v>
      </c>
      <c r="K12" s="44">
        <f>VLOOKUP(C12,Purchased!A:Q,14,0)</f>
        <v>45205</v>
      </c>
      <c r="L12" s="44">
        <f>VLOOKUP(C12,Purchased!A:Q,15,0)</f>
        <v>45219</v>
      </c>
      <c r="M12" s="44">
        <f>VLOOKUP(C12,Purchased!A:Q,16,0)</f>
        <v>45225</v>
      </c>
      <c r="N12" s="45">
        <f>VLOOKUP(C12,Purchased!A:Q,17,0)</f>
        <v>55195</v>
      </c>
      <c r="O12" s="45" t="e">
        <f t="shared" ca="1" si="2"/>
        <v>#VALUE!</v>
      </c>
      <c r="P12" s="49">
        <f>IFERROR(VLOOKUP(C12,Purchased!A:E,3,FALSE),"")</f>
        <v>0</v>
      </c>
      <c r="Q12" s="50">
        <f t="shared" si="3"/>
        <v>0</v>
      </c>
    </row>
    <row r="13" spans="1:17" s="2" customFormat="1" ht="12" customHeight="1">
      <c r="A13" s="4">
        <f t="shared" si="4"/>
        <v>305</v>
      </c>
      <c r="B13" s="2">
        <v>6</v>
      </c>
      <c r="C13" s="114">
        <v>3842544531</v>
      </c>
      <c r="D13" s="268" t="e">
        <f>VLOOKUP(C13,Purchased!A:B,2,0)</f>
        <v>#N/A</v>
      </c>
      <c r="E13" s="269"/>
      <c r="F13" s="112" t="e">
        <f>VLOOKUP(C13,Purchased!A:Q,9,0)</f>
        <v>#N/A</v>
      </c>
      <c r="G13" s="112" t="e">
        <f>VLOOKUP(C13,Purchased!A:Q,10,0)</f>
        <v>#N/A</v>
      </c>
      <c r="H13" s="112" t="e">
        <f>VLOOKUP(C13,Purchased!A:Q,12,0)</f>
        <v>#N/A</v>
      </c>
      <c r="I13" s="113"/>
      <c r="J13" s="44" t="e">
        <f>VLOOKUP(C13,Purchased!A:Q,13,0)</f>
        <v>#N/A</v>
      </c>
      <c r="K13" s="44" t="e">
        <f>VLOOKUP(C13,Purchased!A:Q,14,0)</f>
        <v>#N/A</v>
      </c>
      <c r="L13" s="44" t="e">
        <f>VLOOKUP(C13,Purchased!A:Q,15,0)</f>
        <v>#N/A</v>
      </c>
      <c r="M13" s="44" t="e">
        <f>VLOOKUP(C13,Purchased!A:Q,16,0)</f>
        <v>#N/A</v>
      </c>
      <c r="N13" s="45" t="e">
        <f>VLOOKUP(C13,Purchased!A:Q,17,0)</f>
        <v>#N/A</v>
      </c>
      <c r="O13" s="45" t="e">
        <f t="shared" ca="1" si="2"/>
        <v>#VALUE!</v>
      </c>
      <c r="P13" s="49" t="str">
        <f>IFERROR(VLOOKUP(C13,Purchased!A:E,3,FALSE),"")</f>
        <v/>
      </c>
      <c r="Q13" s="50" t="str">
        <f t="shared" si="3"/>
        <v/>
      </c>
    </row>
    <row r="14" spans="1:17" s="2" customFormat="1" ht="12.75" customHeight="1">
      <c r="A14" s="25"/>
      <c r="B14" s="26"/>
      <c r="C14" s="26"/>
      <c r="D14" s="272"/>
      <c r="E14" s="273"/>
      <c r="F14" s="26"/>
      <c r="G14" s="26"/>
      <c r="H14" s="274"/>
      <c r="I14" s="275"/>
      <c r="J14" s="27"/>
      <c r="K14" s="27"/>
      <c r="L14" s="27"/>
      <c r="M14" s="28"/>
      <c r="N14" s="29"/>
      <c r="O14" s="29" t="e">
        <f t="shared" ref="O14:O16" ca="1" si="5">B14*$L$2</f>
        <v>#VALUE!</v>
      </c>
      <c r="P14" s="141"/>
      <c r="Q14" s="142"/>
    </row>
    <row r="15" spans="1:17" s="2" customFormat="1" ht="12.75" customHeight="1">
      <c r="A15" s="4">
        <v>501</v>
      </c>
      <c r="B15" s="2">
        <v>16</v>
      </c>
      <c r="C15" s="110" t="s">
        <v>361</v>
      </c>
      <c r="D15" s="268"/>
      <c r="E15" s="276"/>
      <c r="F15" s="112" t="str">
        <f>VLOOKUP(C15,Bolts!A:L,5,0)</f>
        <v xml:space="preserve">  </v>
      </c>
      <c r="G15" s="112" t="str">
        <f>VLOOKUP(C15,Bolts!A:L,6,0)</f>
        <v>Monroe Fasteners</v>
      </c>
      <c r="H15" s="112" t="str">
        <f>VLOOKUP(C15,Bolts!A:L,7,0)</f>
        <v xml:space="preserve">  </v>
      </c>
      <c r="I15" s="112"/>
      <c r="J15" s="44" t="str">
        <f>VLOOKUP(C15,Bolts!A:L,8,0)</f>
        <v xml:space="preserve"> </v>
      </c>
      <c r="K15" s="44" t="str">
        <f>VLOOKUP(C15,Bolts!A:L,9,0)</f>
        <v xml:space="preserve"> </v>
      </c>
      <c r="L15" s="44" t="str">
        <f>VLOOKUP(C15,Bolts!A:L,10,0)</f>
        <v xml:space="preserve"> </v>
      </c>
      <c r="M15" s="44" t="str">
        <f>VLOOKUP(C15,Bolts!A:L,11,0)</f>
        <v xml:space="preserve"> </v>
      </c>
      <c r="N15" s="45" t="str">
        <f>VLOOKUP(C15,Bolts!A:L,12,0)</f>
        <v xml:space="preserve"> </v>
      </c>
      <c r="O15" s="45" t="e">
        <f t="shared" ca="1" si="5"/>
        <v>#VALUE!</v>
      </c>
      <c r="P15" s="49" t="str">
        <f>IFERROR(VLOOKUP(C15,Bolts!A:B,2,FALSE),"")</f>
        <v xml:space="preserve"> </v>
      </c>
      <c r="Q15" s="50" t="str">
        <f t="shared" ref="Q15:Q16" si="6">IFERROR(B15*P15,"")</f>
        <v/>
      </c>
    </row>
    <row r="16" spans="1:17" s="2" customFormat="1" ht="12.75" customHeight="1">
      <c r="A16" s="4">
        <f t="shared" ref="A16" si="7">A15+1</f>
        <v>502</v>
      </c>
      <c r="B16" s="2">
        <v>4</v>
      </c>
      <c r="C16" s="110" t="s">
        <v>362</v>
      </c>
      <c r="D16" s="268"/>
      <c r="E16" s="276"/>
      <c r="F16" s="112" t="str">
        <f>VLOOKUP(C16,Bolts!A:L,5,0)</f>
        <v xml:space="preserve">  </v>
      </c>
      <c r="G16" s="112" t="str">
        <f>VLOOKUP(C16,Bolts!A:L,6,0)</f>
        <v>Monroe Fasteners</v>
      </c>
      <c r="H16" s="112" t="str">
        <f>VLOOKUP(C16,Bolts!A:L,7,0)</f>
        <v xml:space="preserve">  </v>
      </c>
      <c r="I16" s="112"/>
      <c r="J16" s="44" t="str">
        <f>VLOOKUP(C16,Bolts!A:L,8,0)</f>
        <v xml:space="preserve"> </v>
      </c>
      <c r="K16" s="44" t="str">
        <f>VLOOKUP(C16,Bolts!A:L,9,0)</f>
        <v xml:space="preserve"> </v>
      </c>
      <c r="L16" s="44" t="str">
        <f>VLOOKUP(C16,Bolts!A:L,10,0)</f>
        <v xml:space="preserve"> </v>
      </c>
      <c r="M16" s="44" t="str">
        <f>VLOOKUP(C16,Bolts!A:L,11,0)</f>
        <v xml:space="preserve"> </v>
      </c>
      <c r="N16" s="45" t="str">
        <f>VLOOKUP(C16,Bolts!A:L,12,0)</f>
        <v xml:space="preserve"> </v>
      </c>
      <c r="O16" s="45" t="e">
        <f t="shared" ca="1" si="5"/>
        <v>#VALUE!</v>
      </c>
      <c r="P16" s="49" t="str">
        <f>IFERROR(VLOOKUP(C16,Bolts!A:B,2,FALSE),"")</f>
        <v xml:space="preserve"> </v>
      </c>
      <c r="Q16" s="50" t="str">
        <f t="shared" si="6"/>
        <v/>
      </c>
    </row>
    <row r="17" spans="1:17" s="2" customFormat="1" ht="12.75" customHeight="1">
      <c r="A17" s="25"/>
      <c r="B17" s="26"/>
      <c r="C17" s="26"/>
      <c r="D17" s="272"/>
      <c r="E17" s="273"/>
      <c r="F17" s="26"/>
      <c r="G17" s="26"/>
      <c r="H17" s="274"/>
      <c r="I17" s="275"/>
      <c r="J17" s="27"/>
      <c r="K17" s="27"/>
      <c r="L17" s="27"/>
      <c r="M17" s="28"/>
      <c r="N17" s="29"/>
      <c r="O17" s="29"/>
      <c r="P17" s="141"/>
      <c r="Q17" s="142"/>
    </row>
    <row r="18" spans="1:17" s="2" customFormat="1" ht="12.75" customHeight="1">
      <c r="A18" s="4">
        <v>701</v>
      </c>
      <c r="B18" s="2">
        <v>2</v>
      </c>
      <c r="C18" s="111" t="s">
        <v>369</v>
      </c>
      <c r="D18" s="268" t="str">
        <f>VLOOKUP(C18,Extrusion!B:C,2,0)</f>
        <v>Doors</v>
      </c>
      <c r="E18" s="269"/>
      <c r="F18" s="112" t="str">
        <f>VLOOKUP(C18,Extrusion!B:M,6,0)</f>
        <v>BOSCH</v>
      </c>
      <c r="G18" s="112" t="str">
        <f>VLOOKUP(C18,Extrusion!B:M,7,0)</f>
        <v>NULINE</v>
      </c>
      <c r="H18" s="112" t="str">
        <f>VLOOKUP(C18,Extrusion!B:M,8,0)</f>
        <v xml:space="preserve"> </v>
      </c>
      <c r="I18" s="113"/>
      <c r="J18" s="44" t="str">
        <f>VLOOKUP(C18,Extrusion!B:M,9,0)</f>
        <v>N/A</v>
      </c>
      <c r="K18" s="44">
        <f>VLOOKUP(C18,Extrusion!B:M,10,0)</f>
        <v>44894</v>
      </c>
      <c r="L18" s="44">
        <f>VLOOKUP(C18,Extrusion!B:M,11,0)</f>
        <v>44970</v>
      </c>
      <c r="M18" s="44">
        <f>VLOOKUP(C18,Extrusion!B:M,12,0)</f>
        <v>44970</v>
      </c>
      <c r="N18" s="45">
        <f>VLOOKUP(C18,Extrusion!B:N,13,0)</f>
        <v>54598</v>
      </c>
      <c r="O18" s="45" t="e">
        <f t="shared" ref="O18:O20" ca="1" si="8">B18*$L$2</f>
        <v>#VALUE!</v>
      </c>
      <c r="P18" s="49">
        <f>IFERROR(VLOOKUP(C18,Extrusion!B:F,5,0),"")</f>
        <v>39.224237083333335</v>
      </c>
      <c r="Q18" s="50">
        <f t="shared" ref="Q18:Q20" si="9">IFERROR(B18*P18,"")</f>
        <v>78.448474166666671</v>
      </c>
    </row>
    <row r="19" spans="1:17" s="2" customFormat="1" ht="12" customHeight="1">
      <c r="A19" s="4">
        <f t="shared" ref="A19:A20" si="10">A18+1</f>
        <v>702</v>
      </c>
      <c r="B19" s="2">
        <v>2</v>
      </c>
      <c r="C19" s="111" t="s">
        <v>366</v>
      </c>
      <c r="D19" s="268" t="str">
        <f>VLOOKUP(C19,Extrusion!B:C,2,0)</f>
        <v>Doors</v>
      </c>
      <c r="E19" s="269"/>
      <c r="F19" s="112" t="str">
        <f>VLOOKUP(C19,Extrusion!B:M,6,0)</f>
        <v>BOSCH</v>
      </c>
      <c r="G19" s="112" t="str">
        <f>VLOOKUP(C19,Extrusion!B:M,7,0)</f>
        <v>NULINE</v>
      </c>
      <c r="H19" s="112" t="str">
        <f>VLOOKUP(C19,Extrusion!B:M,8,0)</f>
        <v xml:space="preserve"> </v>
      </c>
      <c r="I19" s="113"/>
      <c r="J19" s="44" t="str">
        <f>VLOOKUP(C19,Extrusion!B:M,9,0)</f>
        <v>N/A</v>
      </c>
      <c r="K19" s="44">
        <f>VLOOKUP(C19,Extrusion!B:M,10,0)</f>
        <v>44894</v>
      </c>
      <c r="L19" s="44">
        <f>VLOOKUP(C19,Extrusion!B:M,11,0)</f>
        <v>44970</v>
      </c>
      <c r="M19" s="44">
        <f>VLOOKUP(C19,Extrusion!B:M,12,0)</f>
        <v>44970</v>
      </c>
      <c r="N19" s="45">
        <f>VLOOKUP(C19,Extrusion!B:N,13,0)</f>
        <v>54598</v>
      </c>
      <c r="O19" s="45" t="e">
        <f t="shared" ca="1" si="8"/>
        <v>#VALUE!</v>
      </c>
      <c r="P19" s="49">
        <f>IFERROR(VLOOKUP(C19,Extrusion!B:F,5,0),"")</f>
        <v>41.724688933333326</v>
      </c>
      <c r="Q19" s="50">
        <f t="shared" si="9"/>
        <v>83.449377866666651</v>
      </c>
    </row>
    <row r="20" spans="1:17" s="2" customFormat="1" ht="12" customHeight="1" thickBot="1">
      <c r="A20" s="4">
        <f t="shared" si="10"/>
        <v>703</v>
      </c>
      <c r="B20" s="2">
        <v>4</v>
      </c>
      <c r="C20" s="111" t="s">
        <v>370</v>
      </c>
      <c r="D20" s="268" t="str">
        <f>VLOOKUP(C20,Extrusion!B:C,2,0)</f>
        <v>Doors</v>
      </c>
      <c r="E20" s="269"/>
      <c r="F20" s="112" t="str">
        <f>VLOOKUP(C20,Extrusion!B:M,6,0)</f>
        <v>BOSCH</v>
      </c>
      <c r="G20" s="112" t="str">
        <f>VLOOKUP(C20,Extrusion!B:M,7,0)</f>
        <v>NULINE</v>
      </c>
      <c r="H20" s="112" t="str">
        <f>VLOOKUP(C20,Extrusion!B:M,8,0)</f>
        <v xml:space="preserve"> </v>
      </c>
      <c r="I20" s="113"/>
      <c r="J20" s="44" t="str">
        <f>VLOOKUP(C20,Extrusion!B:M,9,0)</f>
        <v>N/A</v>
      </c>
      <c r="K20" s="44">
        <f>VLOOKUP(C20,Extrusion!B:M,10,0)</f>
        <v>44894</v>
      </c>
      <c r="L20" s="44">
        <f>VLOOKUP(C20,Extrusion!B:M,11,0)</f>
        <v>44970</v>
      </c>
      <c r="M20" s="44">
        <f>VLOOKUP(C20,Extrusion!B:M,12,0)</f>
        <v>44970</v>
      </c>
      <c r="N20" s="45">
        <f>VLOOKUP(C20,Extrusion!B:N,13,0)</f>
        <v>54598</v>
      </c>
      <c r="O20" s="45" t="e">
        <f t="shared" ca="1" si="8"/>
        <v>#VALUE!</v>
      </c>
      <c r="P20" s="49">
        <f>IFERROR(VLOOKUP(C20,Extrusion!B:F,5,0),"")</f>
        <v>33.176135599999995</v>
      </c>
      <c r="Q20" s="50">
        <f t="shared" si="9"/>
        <v>132.70454239999998</v>
      </c>
    </row>
    <row r="21" spans="1:17" s="2" customFormat="1" ht="12.75" customHeight="1" thickBot="1">
      <c r="A21" s="34"/>
      <c r="B21" s="35"/>
      <c r="C21" s="35"/>
      <c r="D21" s="256"/>
      <c r="E21" s="257"/>
      <c r="F21" s="35"/>
      <c r="G21" s="35"/>
      <c r="H21" s="294"/>
      <c r="I21" s="295"/>
      <c r="J21" s="36"/>
      <c r="K21" s="36"/>
      <c r="L21" s="36"/>
      <c r="M21" s="37"/>
      <c r="N21" s="38"/>
      <c r="O21" s="38"/>
      <c r="P21" s="89" t="s">
        <v>43</v>
      </c>
      <c r="Q21" s="94">
        <f>SUM(Q5:Q20)</f>
        <v>811.69259443333317</v>
      </c>
    </row>
    <row r="22" spans="1:17" s="2" customFormat="1" ht="12" customHeight="1">
      <c r="D22" s="22"/>
      <c r="E22" s="22"/>
      <c r="J22" s="8"/>
      <c r="K22" s="8"/>
      <c r="L22" s="8"/>
      <c r="M22" s="8"/>
      <c r="N22" s="5"/>
      <c r="O22" s="5"/>
      <c r="P22" s="88"/>
      <c r="Q22" s="95"/>
    </row>
    <row r="23" spans="1:17" s="2" customFormat="1" ht="12" customHeight="1">
      <c r="D23" s="22"/>
      <c r="E23" s="22"/>
      <c r="J23" s="5"/>
      <c r="K23" s="5"/>
      <c r="L23" s="5"/>
      <c r="M23" s="5"/>
      <c r="N23" s="5"/>
      <c r="O23" s="5"/>
      <c r="P23" s="88"/>
      <c r="Q23" s="95"/>
    </row>
    <row r="24" spans="1:17" s="2" customFormat="1" ht="12" customHeight="1">
      <c r="D24" s="22"/>
      <c r="E24" s="22"/>
      <c r="J24" s="5"/>
      <c r="K24" s="5"/>
      <c r="L24" s="5"/>
      <c r="M24" s="5"/>
      <c r="N24" s="5"/>
      <c r="O24" s="5"/>
      <c r="P24" s="88"/>
      <c r="Q24" s="95"/>
    </row>
    <row r="25" spans="1:17" s="2" customFormat="1" ht="12" customHeight="1">
      <c r="D25" s="22"/>
      <c r="E25" s="22"/>
      <c r="J25" s="5"/>
      <c r="K25" s="5"/>
      <c r="L25" s="5"/>
      <c r="M25" s="5"/>
      <c r="N25" s="5"/>
      <c r="O25" s="5"/>
      <c r="P25" s="88"/>
      <c r="Q25" s="95"/>
    </row>
    <row r="26" spans="1:17" s="2" customFormat="1" ht="12" customHeight="1">
      <c r="D26" s="22"/>
      <c r="E26" s="22"/>
      <c r="J26" s="5"/>
      <c r="K26" s="5"/>
      <c r="L26" s="5"/>
      <c r="M26" s="5"/>
      <c r="N26" s="5"/>
      <c r="O26" s="5"/>
      <c r="P26" s="88"/>
      <c r="Q26" s="95"/>
    </row>
    <row r="27" spans="1:17" s="2" customFormat="1" ht="12" customHeight="1">
      <c r="D27" s="22"/>
      <c r="E27" s="22"/>
      <c r="J27" s="5"/>
      <c r="K27" s="5"/>
      <c r="L27" s="5"/>
      <c r="M27" s="5"/>
      <c r="N27" s="5"/>
      <c r="O27" s="5"/>
      <c r="P27" s="88"/>
      <c r="Q27" s="95"/>
    </row>
    <row r="28" spans="1:17" s="2" customFormat="1" ht="12" customHeight="1">
      <c r="D28" s="22"/>
      <c r="E28" s="22"/>
      <c r="J28" s="5"/>
      <c r="K28" s="5"/>
      <c r="L28" s="5"/>
      <c r="M28" s="5"/>
      <c r="N28" s="5"/>
      <c r="O28" s="5"/>
      <c r="P28" s="88"/>
      <c r="Q28" s="95"/>
    </row>
    <row r="29" spans="1:17" s="2" customFormat="1" ht="12" customHeight="1">
      <c r="D29" s="22"/>
      <c r="E29" s="22"/>
      <c r="J29" s="5"/>
      <c r="K29" s="5"/>
      <c r="L29" s="5"/>
      <c r="M29" s="5"/>
      <c r="N29" s="5"/>
      <c r="O29" s="5"/>
      <c r="P29" s="88"/>
      <c r="Q29" s="95"/>
    </row>
    <row r="30" spans="1:17" s="2" customFormat="1" ht="12" customHeight="1">
      <c r="D30" s="22"/>
      <c r="E30" s="22"/>
      <c r="J30" s="5"/>
      <c r="K30" s="5"/>
      <c r="L30" s="5"/>
      <c r="M30" s="5"/>
      <c r="N30" s="5"/>
      <c r="O30" s="5"/>
      <c r="P30" s="88"/>
      <c r="Q30" s="95"/>
    </row>
    <row r="31" spans="1:17" s="2" customFormat="1" ht="12" customHeight="1">
      <c r="D31" s="22"/>
      <c r="E31" s="22"/>
      <c r="J31" s="5"/>
      <c r="K31" s="5"/>
      <c r="L31" s="5"/>
      <c r="M31" s="5"/>
      <c r="N31" s="5"/>
      <c r="O31" s="5"/>
      <c r="P31" s="88"/>
      <c r="Q31" s="95"/>
    </row>
    <row r="32" spans="1:17" s="2" customFormat="1" ht="12" customHeight="1">
      <c r="D32" s="22"/>
      <c r="E32" s="22"/>
      <c r="J32" s="5"/>
      <c r="K32" s="5"/>
      <c r="L32" s="5"/>
      <c r="M32" s="5"/>
      <c r="N32" s="5"/>
      <c r="O32" s="5"/>
      <c r="P32" s="88"/>
      <c r="Q32" s="95"/>
    </row>
    <row r="33" spans="4:17" s="2" customFormat="1" ht="12" customHeight="1">
      <c r="D33" s="22"/>
      <c r="E33" s="22"/>
      <c r="J33" s="5"/>
      <c r="K33" s="5"/>
      <c r="L33" s="5"/>
      <c r="M33" s="5"/>
      <c r="N33" s="5"/>
      <c r="O33" s="5"/>
      <c r="P33" s="88"/>
      <c r="Q33" s="95"/>
    </row>
    <row r="34" spans="4:17" s="2" customFormat="1" ht="12" customHeight="1">
      <c r="D34" s="22"/>
      <c r="E34" s="22"/>
      <c r="J34" s="5"/>
      <c r="K34" s="5"/>
      <c r="L34" s="5"/>
      <c r="M34" s="5"/>
      <c r="N34" s="5"/>
      <c r="O34" s="5"/>
      <c r="P34" s="88"/>
      <c r="Q34" s="95"/>
    </row>
    <row r="35" spans="4:17" s="2" customFormat="1" ht="12" customHeight="1">
      <c r="D35" s="22"/>
      <c r="E35" s="22"/>
      <c r="J35" s="5"/>
      <c r="K35" s="5"/>
      <c r="L35" s="5"/>
      <c r="M35" s="5"/>
      <c r="N35" s="5"/>
      <c r="O35" s="5"/>
      <c r="P35" s="88"/>
      <c r="Q35" s="95"/>
    </row>
    <row r="36" spans="4:17" s="2" customFormat="1" ht="12" customHeight="1">
      <c r="D36" s="22"/>
      <c r="E36" s="22"/>
      <c r="J36" s="5"/>
      <c r="K36" s="5"/>
      <c r="L36" s="5"/>
      <c r="M36" s="5"/>
      <c r="N36" s="5"/>
      <c r="O36" s="5"/>
      <c r="P36" s="88"/>
      <c r="Q36" s="95"/>
    </row>
    <row r="37" spans="4:17" s="2" customFormat="1" ht="12" customHeight="1">
      <c r="D37" s="22"/>
      <c r="E37" s="22"/>
      <c r="J37" s="5"/>
      <c r="K37" s="5"/>
      <c r="L37" s="5"/>
      <c r="M37" s="5"/>
      <c r="N37" s="5"/>
      <c r="O37" s="5"/>
      <c r="P37" s="88"/>
      <c r="Q37" s="95"/>
    </row>
    <row r="38" spans="4:17" s="2" customFormat="1" ht="12" customHeight="1">
      <c r="D38" s="22"/>
      <c r="E38" s="22"/>
      <c r="J38" s="5"/>
      <c r="K38" s="5"/>
      <c r="L38" s="5"/>
      <c r="M38" s="5"/>
      <c r="N38" s="5"/>
      <c r="O38" s="5"/>
      <c r="P38" s="88"/>
      <c r="Q38" s="95"/>
    </row>
    <row r="39" spans="4:17" s="2" customFormat="1" ht="12" customHeight="1">
      <c r="D39" s="22"/>
      <c r="E39" s="22"/>
      <c r="J39" s="5"/>
      <c r="K39" s="5"/>
      <c r="L39" s="5"/>
      <c r="M39" s="5"/>
      <c r="N39" s="5"/>
      <c r="O39" s="5"/>
      <c r="P39" s="88"/>
      <c r="Q39" s="95"/>
    </row>
    <row r="40" spans="4:17" s="2" customFormat="1" ht="12" customHeight="1">
      <c r="D40" s="22"/>
      <c r="E40" s="22"/>
      <c r="J40" s="5"/>
      <c r="K40" s="5"/>
      <c r="L40" s="5"/>
      <c r="M40" s="5"/>
      <c r="N40" s="5"/>
      <c r="O40" s="5"/>
      <c r="P40" s="88"/>
      <c r="Q40" s="95"/>
    </row>
    <row r="41" spans="4:17" s="2" customFormat="1" ht="12" customHeight="1">
      <c r="D41" s="22"/>
      <c r="E41" s="22"/>
      <c r="J41" s="5"/>
      <c r="K41" s="5"/>
      <c r="L41" s="5"/>
      <c r="M41" s="5"/>
      <c r="N41" s="5"/>
      <c r="O41" s="5"/>
      <c r="P41" s="88"/>
      <c r="Q41" s="95"/>
    </row>
    <row r="42" spans="4:17" s="2" customFormat="1" ht="12" customHeight="1">
      <c r="D42" s="22"/>
      <c r="E42" s="22"/>
      <c r="J42" s="5"/>
      <c r="K42" s="5"/>
      <c r="L42" s="5"/>
      <c r="M42" s="5"/>
      <c r="N42" s="5"/>
      <c r="O42" s="5"/>
      <c r="P42" s="88"/>
      <c r="Q42" s="95"/>
    </row>
    <row r="43" spans="4:17" s="2" customFormat="1" ht="12" customHeight="1">
      <c r="D43" s="22"/>
      <c r="E43" s="22"/>
      <c r="J43" s="5"/>
      <c r="K43" s="5"/>
      <c r="L43" s="5"/>
      <c r="M43" s="5"/>
      <c r="N43" s="5"/>
      <c r="O43" s="5"/>
      <c r="P43" s="88"/>
      <c r="Q43" s="95"/>
    </row>
    <row r="44" spans="4:17" s="2" customFormat="1" ht="12" customHeight="1">
      <c r="D44" s="22"/>
      <c r="E44" s="22"/>
      <c r="J44" s="5"/>
      <c r="K44" s="5"/>
      <c r="L44" s="5"/>
      <c r="M44" s="5"/>
      <c r="N44" s="5"/>
      <c r="O44" s="5"/>
      <c r="P44" s="88"/>
      <c r="Q44" s="95"/>
    </row>
    <row r="45" spans="4:17" s="2" customFormat="1" ht="12" customHeight="1">
      <c r="D45" s="22"/>
      <c r="E45" s="22"/>
      <c r="J45" s="5"/>
      <c r="K45" s="5"/>
      <c r="L45" s="5"/>
      <c r="M45" s="5"/>
      <c r="N45" s="5"/>
      <c r="O45" s="5"/>
      <c r="P45" s="88"/>
      <c r="Q45" s="95"/>
    </row>
    <row r="46" spans="4:17" s="2" customFormat="1" ht="12" customHeight="1">
      <c r="D46" s="22"/>
      <c r="E46" s="22"/>
      <c r="J46" s="5"/>
      <c r="K46" s="5"/>
      <c r="L46" s="5"/>
      <c r="M46" s="5"/>
      <c r="N46" s="5"/>
      <c r="O46" s="5"/>
      <c r="P46" s="88"/>
      <c r="Q46" s="95"/>
    </row>
    <row r="47" spans="4:17" s="2" customFormat="1" ht="12" customHeight="1">
      <c r="D47" s="22"/>
      <c r="E47" s="22"/>
      <c r="J47" s="5"/>
      <c r="K47" s="5"/>
      <c r="L47" s="5"/>
      <c r="M47" s="5"/>
      <c r="N47" s="5"/>
      <c r="O47" s="5"/>
      <c r="P47" s="88"/>
      <c r="Q47" s="95"/>
    </row>
    <row r="48" spans="4:17" s="2" customFormat="1" ht="12" customHeight="1">
      <c r="D48" s="22"/>
      <c r="E48" s="22"/>
      <c r="J48" s="5"/>
      <c r="K48" s="5"/>
      <c r="L48" s="5"/>
      <c r="M48" s="5"/>
      <c r="N48" s="5"/>
      <c r="O48" s="5"/>
      <c r="P48" s="88"/>
      <c r="Q48" s="95"/>
    </row>
    <row r="49" spans="1:17" s="2" customFormat="1" ht="12" customHeight="1">
      <c r="D49" s="22"/>
      <c r="E49" s="22"/>
      <c r="J49" s="5"/>
      <c r="K49" s="5"/>
      <c r="L49" s="5"/>
      <c r="M49" s="5"/>
      <c r="N49" s="5"/>
      <c r="O49" s="5"/>
      <c r="P49" s="88"/>
      <c r="Q49" s="95"/>
    </row>
    <row r="50" spans="1:17" s="2" customFormat="1" ht="12" customHeight="1">
      <c r="D50" s="22"/>
      <c r="E50" s="22"/>
      <c r="J50" s="5"/>
      <c r="K50" s="5"/>
      <c r="L50" s="5"/>
      <c r="M50" s="5"/>
      <c r="N50" s="5"/>
      <c r="O50" s="5"/>
      <c r="P50" s="88"/>
      <c r="Q50" s="95"/>
    </row>
    <row r="51" spans="1:17" s="2" customFormat="1" ht="12" customHeight="1">
      <c r="D51" s="22"/>
      <c r="E51" s="22"/>
      <c r="J51" s="5"/>
      <c r="K51" s="5"/>
      <c r="L51" s="5"/>
      <c r="M51" s="5"/>
      <c r="N51" s="5"/>
      <c r="O51" s="5"/>
      <c r="P51" s="88"/>
      <c r="Q51" s="95"/>
    </row>
    <row r="52" spans="1:17" s="2" customFormat="1" ht="12" customHeight="1">
      <c r="D52" s="22"/>
      <c r="E52" s="22"/>
      <c r="J52" s="5"/>
      <c r="K52" s="5"/>
      <c r="L52" s="5"/>
      <c r="M52" s="5"/>
      <c r="N52" s="5"/>
      <c r="O52" s="5"/>
      <c r="P52" s="88"/>
      <c r="Q52" s="95"/>
    </row>
    <row r="53" spans="1:17" s="2" customFormat="1" ht="12" customHeight="1">
      <c r="D53" s="22"/>
      <c r="E53" s="22"/>
      <c r="J53" s="5"/>
      <c r="K53" s="5"/>
      <c r="L53" s="5"/>
      <c r="M53" s="5"/>
      <c r="N53" s="5"/>
      <c r="O53" s="5"/>
      <c r="P53" s="88"/>
      <c r="Q53" s="95"/>
    </row>
    <row r="54" spans="1:17" s="2" customFormat="1" ht="12" customHeight="1">
      <c r="D54" s="22"/>
      <c r="E54" s="22"/>
      <c r="J54" s="5"/>
      <c r="K54" s="5"/>
      <c r="L54" s="5"/>
      <c r="M54" s="5"/>
      <c r="N54" s="5"/>
      <c r="O54" s="5"/>
      <c r="P54" s="88"/>
      <c r="Q54" s="95"/>
    </row>
    <row r="55" spans="1:17" s="2" customFormat="1" ht="12" customHeight="1">
      <c r="D55" s="22"/>
      <c r="E55" s="22"/>
      <c r="J55" s="5"/>
      <c r="K55" s="5"/>
      <c r="L55" s="5"/>
      <c r="M55" s="5"/>
      <c r="N55" s="5"/>
      <c r="O55" s="5"/>
      <c r="P55" s="88"/>
      <c r="Q55" s="95"/>
    </row>
    <row r="56" spans="1:17" s="2" customFormat="1" ht="12" customHeight="1">
      <c r="D56" s="22"/>
      <c r="E56" s="22"/>
      <c r="J56" s="5"/>
      <c r="K56" s="5"/>
      <c r="L56" s="5"/>
      <c r="M56" s="5"/>
      <c r="N56" s="5"/>
      <c r="O56" s="5"/>
      <c r="P56" s="88"/>
      <c r="Q56" s="95"/>
    </row>
    <row r="57" spans="1:17" s="2" customFormat="1" ht="12" customHeight="1">
      <c r="D57" s="22"/>
      <c r="E57" s="22"/>
      <c r="J57" s="5"/>
      <c r="K57" s="5"/>
      <c r="L57" s="5"/>
      <c r="M57" s="5"/>
      <c r="N57" s="5"/>
      <c r="O57" s="5"/>
      <c r="P57" s="88"/>
      <c r="Q57" s="95"/>
    </row>
    <row r="58" spans="1:17" s="2" customFormat="1" ht="12" customHeight="1">
      <c r="D58" s="22"/>
      <c r="E58" s="22"/>
      <c r="J58" s="5"/>
      <c r="K58" s="5"/>
      <c r="L58" s="5"/>
      <c r="M58" s="5"/>
      <c r="N58" s="5"/>
      <c r="O58" s="5"/>
      <c r="P58" s="88"/>
      <c r="Q58" s="95"/>
    </row>
    <row r="59" spans="1:17" s="2" customFormat="1" ht="12" customHeight="1">
      <c r="D59" s="22"/>
      <c r="E59" s="22"/>
      <c r="J59" s="5"/>
      <c r="K59" s="5"/>
      <c r="L59" s="5"/>
      <c r="M59" s="5"/>
      <c r="N59" s="5"/>
      <c r="O59" s="5"/>
      <c r="P59" s="88"/>
      <c r="Q59" s="95"/>
    </row>
    <row r="60" spans="1:17" s="2" customFormat="1" ht="12" customHeight="1">
      <c r="D60" s="22"/>
      <c r="E60" s="22"/>
      <c r="J60" s="5"/>
      <c r="K60" s="5"/>
      <c r="L60" s="5"/>
      <c r="M60" s="5"/>
      <c r="N60" s="5"/>
      <c r="O60" s="5"/>
      <c r="P60" s="88"/>
      <c r="Q60" s="96"/>
    </row>
    <row r="61" spans="1:17" s="2" customFormat="1" ht="12" customHeight="1">
      <c r="D61" s="22"/>
      <c r="E61" s="22"/>
      <c r="J61" s="5"/>
      <c r="K61" s="5"/>
      <c r="L61" s="5"/>
      <c r="M61" s="5"/>
      <c r="N61" s="5"/>
      <c r="O61" s="5"/>
      <c r="P61" s="88"/>
      <c r="Q61" s="96"/>
    </row>
    <row r="62" spans="1:17" s="2" customFormat="1" ht="12" customHeight="1">
      <c r="D62" s="22"/>
      <c r="E62" s="22"/>
      <c r="J62" s="5"/>
      <c r="K62" s="5"/>
      <c r="L62" s="5"/>
      <c r="M62" s="5"/>
      <c r="N62" s="5"/>
      <c r="O62" s="5"/>
      <c r="P62" s="88"/>
      <c r="Q62" s="96"/>
    </row>
    <row r="63" spans="1:17" s="2" customFormat="1" ht="12" customHeight="1">
      <c r="D63" s="22"/>
      <c r="E63" s="22"/>
      <c r="J63" s="5"/>
      <c r="K63" s="5"/>
      <c r="L63" s="5"/>
      <c r="M63" s="5"/>
      <c r="N63" s="5"/>
      <c r="O63" s="5"/>
      <c r="P63" s="88"/>
      <c r="Q63" s="96"/>
    </row>
    <row r="64" spans="1:17" s="2" customFormat="1" ht="12" customHeight="1">
      <c r="A64"/>
      <c r="B64"/>
      <c r="C64"/>
      <c r="D64" s="23"/>
      <c r="E64" s="23"/>
      <c r="F64"/>
      <c r="G64"/>
      <c r="H64"/>
      <c r="I64"/>
      <c r="J64" s="19"/>
      <c r="K64" s="19"/>
      <c r="L64" s="19"/>
      <c r="M64" s="19"/>
      <c r="N64" s="19"/>
      <c r="O64" s="19"/>
      <c r="P64" s="90"/>
      <c r="Q64" s="96"/>
    </row>
    <row r="65" spans="1:17" s="2" customFormat="1" ht="12" customHeight="1">
      <c r="A65"/>
      <c r="B65"/>
      <c r="C65"/>
      <c r="D65" s="23"/>
      <c r="E65" s="23"/>
      <c r="F65"/>
      <c r="G65"/>
      <c r="H65"/>
      <c r="I65"/>
      <c r="J65" s="19"/>
      <c r="K65" s="19"/>
      <c r="L65" s="19"/>
      <c r="M65" s="19"/>
      <c r="N65" s="19"/>
      <c r="O65" s="19"/>
      <c r="P65" s="90"/>
      <c r="Q65" s="96"/>
    </row>
    <row r="66" spans="1:17" s="2" customFormat="1" ht="12" customHeight="1">
      <c r="A66"/>
      <c r="B66"/>
      <c r="C66"/>
      <c r="D66" s="23"/>
      <c r="E66" s="23"/>
      <c r="F66"/>
      <c r="G66"/>
      <c r="H66"/>
      <c r="I66"/>
      <c r="J66" s="19"/>
      <c r="K66" s="19"/>
      <c r="L66" s="19"/>
      <c r="M66" s="19"/>
      <c r="N66" s="19"/>
      <c r="O66" s="19"/>
      <c r="P66" s="90"/>
      <c r="Q66" s="96"/>
    </row>
    <row r="67" spans="1:17" s="2" customFormat="1" ht="12" customHeight="1">
      <c r="A67"/>
      <c r="B67"/>
      <c r="C67"/>
      <c r="D67" s="23"/>
      <c r="E67" s="23"/>
      <c r="F67"/>
      <c r="G67"/>
      <c r="H67"/>
      <c r="I67"/>
      <c r="J67" s="19"/>
      <c r="K67" s="19"/>
      <c r="L67" s="19"/>
      <c r="M67" s="19"/>
      <c r="N67" s="19"/>
      <c r="O67" s="19"/>
      <c r="P67" s="90"/>
      <c r="Q67" s="96"/>
    </row>
    <row r="68" spans="1:17" s="2" customFormat="1" ht="12" customHeight="1">
      <c r="A68"/>
      <c r="B68"/>
      <c r="C68"/>
      <c r="D68" s="23"/>
      <c r="E68" s="23"/>
      <c r="F68"/>
      <c r="G68"/>
      <c r="H68"/>
      <c r="I68"/>
      <c r="J68" s="19"/>
      <c r="K68" s="19"/>
      <c r="L68" s="19"/>
      <c r="M68" s="19"/>
      <c r="N68" s="19"/>
      <c r="O68" s="19"/>
      <c r="P68" s="90"/>
      <c r="Q68" s="96"/>
    </row>
    <row r="69" spans="1:17">
      <c r="Q69" s="96"/>
    </row>
    <row r="70" spans="1:17">
      <c r="Q70" s="96"/>
    </row>
    <row r="71" spans="1:17">
      <c r="Q71" s="96"/>
    </row>
    <row r="72" spans="1:17">
      <c r="Q72" s="96"/>
    </row>
    <row r="73" spans="1:17">
      <c r="Q73" s="96"/>
    </row>
    <row r="74" spans="1:17">
      <c r="Q74" s="96"/>
    </row>
    <row r="75" spans="1:17">
      <c r="Q75" s="96"/>
    </row>
    <row r="76" spans="1:17">
      <c r="Q76" s="96"/>
    </row>
    <row r="77" spans="1:17">
      <c r="Q77" s="96"/>
    </row>
    <row r="78" spans="1:17">
      <c r="Q78" s="96"/>
    </row>
    <row r="79" spans="1:17">
      <c r="Q79" s="96"/>
    </row>
    <row r="80" spans="1:17">
      <c r="Q80" s="96"/>
    </row>
    <row r="81" spans="17:17">
      <c r="Q81" s="96"/>
    </row>
    <row r="82" spans="17:17">
      <c r="Q82" s="96"/>
    </row>
    <row r="83" spans="17:17">
      <c r="Q83" s="96"/>
    </row>
    <row r="84" spans="17:17">
      <c r="Q84" s="96"/>
    </row>
    <row r="85" spans="17:17">
      <c r="Q85" s="96"/>
    </row>
    <row r="86" spans="17:17">
      <c r="Q86" s="96"/>
    </row>
    <row r="87" spans="17:17">
      <c r="Q87" s="96"/>
    </row>
    <row r="88" spans="17:17">
      <c r="Q88" s="96"/>
    </row>
    <row r="125" ht="12" customHeight="1"/>
    <row r="126" ht="12" customHeight="1"/>
    <row r="127" ht="12" customHeight="1"/>
    <row r="128" ht="12" customHeight="1"/>
    <row r="129" ht="12" customHeight="1"/>
    <row r="130" ht="12" customHeight="1"/>
    <row r="131" ht="12" customHeight="1"/>
    <row r="132" ht="12" customHeight="1"/>
    <row r="133" ht="12" customHeight="1"/>
    <row r="134" ht="12" customHeight="1"/>
    <row r="135" ht="12" customHeight="1"/>
    <row r="136" ht="12" customHeight="1"/>
    <row r="137" ht="12" customHeight="1"/>
    <row r="138" ht="12" customHeight="1"/>
    <row r="139" ht="12" customHeight="1"/>
    <row r="140" ht="12" customHeight="1"/>
    <row r="141" ht="12" customHeight="1"/>
    <row r="142" ht="12" customHeight="1"/>
    <row r="143" ht="12" customHeight="1"/>
    <row r="144" ht="12" customHeight="1"/>
    <row r="145" ht="12" customHeight="1"/>
    <row r="146" ht="12" customHeight="1"/>
    <row r="147" ht="12" customHeight="1"/>
    <row r="148" ht="12" customHeight="1"/>
    <row r="149" ht="12" customHeight="1"/>
    <row r="150" ht="12" customHeight="1"/>
    <row r="151" ht="12" customHeight="1"/>
    <row r="152" ht="12" customHeight="1"/>
    <row r="153" ht="12" customHeight="1"/>
    <row r="154" ht="12" customHeight="1"/>
    <row r="155" ht="12" customHeight="1"/>
    <row r="156" ht="12" customHeight="1"/>
    <row r="157" ht="12" customHeight="1"/>
    <row r="158" ht="12" customHeight="1"/>
    <row r="159" ht="12" customHeight="1"/>
    <row r="160" ht="12" customHeight="1"/>
    <row r="161" ht="12" customHeight="1"/>
    <row r="162" ht="12" customHeight="1"/>
    <row r="163" ht="12" customHeight="1"/>
    <row r="164" ht="12" customHeight="1"/>
    <row r="165" ht="12" customHeight="1"/>
    <row r="166" ht="12" customHeight="1"/>
    <row r="167" ht="12" customHeight="1"/>
    <row r="168" ht="12" customHeight="1"/>
    <row r="169" ht="12" customHeight="1"/>
    <row r="170" ht="12" customHeight="1"/>
    <row r="171" ht="12" customHeight="1"/>
    <row r="172" ht="12" customHeight="1"/>
    <row r="173" ht="12" customHeight="1"/>
    <row r="174" ht="12" customHeight="1"/>
  </sheetData>
  <mergeCells count="24">
    <mergeCell ref="D16:E16"/>
    <mergeCell ref="D21:E21"/>
    <mergeCell ref="H21:I21"/>
    <mergeCell ref="D17:E17"/>
    <mergeCell ref="H17:I17"/>
    <mergeCell ref="D18:E18"/>
    <mergeCell ref="D19:E19"/>
    <mergeCell ref="D20:E20"/>
    <mergeCell ref="D12:E12"/>
    <mergeCell ref="D13:E13"/>
    <mergeCell ref="H14:I14"/>
    <mergeCell ref="D14:E14"/>
    <mergeCell ref="D15:E15"/>
    <mergeCell ref="D8:E8"/>
    <mergeCell ref="H8:I8"/>
    <mergeCell ref="D9:E9"/>
    <mergeCell ref="D10:E10"/>
    <mergeCell ref="D11:E11"/>
    <mergeCell ref="D1:E1"/>
    <mergeCell ref="D4:E4"/>
    <mergeCell ref="H4:I4"/>
    <mergeCell ref="D7:E7"/>
    <mergeCell ref="D5:E5"/>
    <mergeCell ref="D6:E6"/>
  </mergeCells>
  <conditionalFormatting sqref="M5:M7">
    <cfRule type="cellIs" dxfId="573" priority="3" stopIfTrue="1" operator="lessThanOrEqual">
      <formula>$L5</formula>
    </cfRule>
    <cfRule type="cellIs" dxfId="572" priority="4" operator="greaterThan">
      <formula>L5</formula>
    </cfRule>
  </conditionalFormatting>
  <conditionalFormatting sqref="M9:M13 M15:M16">
    <cfRule type="cellIs" dxfId="571" priority="5" stopIfTrue="1" operator="lessThanOrEqual">
      <formula>$L9</formula>
    </cfRule>
    <cfRule type="cellIs" dxfId="570" priority="6" operator="greaterThan">
      <formula>L9</formula>
    </cfRule>
  </conditionalFormatting>
  <conditionalFormatting sqref="M18:M20">
    <cfRule type="cellIs" dxfId="569" priority="1" stopIfTrue="1" operator="lessThanOrEqual">
      <formula>$L18</formula>
    </cfRule>
    <cfRule type="cellIs" dxfId="568" priority="2" operator="greaterThan">
      <formula>L18</formula>
    </cfRule>
  </conditionalFormatting>
  <pageMargins left="0.7" right="0.7" top="0.75" bottom="0.75" header="0.3" footer="0.3"/>
  <pageSetup paperSize="3" fitToHeight="0" orientation="landscape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48410257-9C34-4FC7-B6E0-4FC95F51C81A}">
          <x14:formula1>
            <xm:f>Bolts!$A:$A</xm:f>
          </x14:formula1>
          <xm:sqref>C15:C16</xm:sqref>
        </x14:dataValidation>
        <x14:dataValidation type="list" allowBlank="1" showInputMessage="1" showErrorMessage="1" xr:uid="{E26B6FD4-5CF2-4775-9A2C-814C8F1835EE}">
          <x14:formula1>
            <xm:f>Purchased!$A:$A</xm:f>
          </x14:formula1>
          <xm:sqref>C9:C13</xm:sqref>
        </x14:dataValidation>
        <x14:dataValidation type="list" allowBlank="1" showInputMessage="1" showErrorMessage="1" xr:uid="{5B1C40BD-0106-48AC-831E-5BBF8E544279}">
          <x14:formula1>
            <xm:f>Extrusion!$B:$B</xm:f>
          </x14:formula1>
          <xm:sqref>C18:C20</xm:sqref>
        </x14:dataValidation>
        <x14:dataValidation type="list" allowBlank="1" showInputMessage="1" showErrorMessage="1" xr:uid="{C2570017-CEB2-4AB6-9D15-94D0D8C51A59}">
          <x14:formula1>
            <xm:f>Machined!$C:$C</xm:f>
          </x14:formula1>
          <xm:sqref>C5:C7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83F09F-9933-4759-AD21-5C39DAADC08C}">
  <sheetPr codeName="Sheet27">
    <tabColor theme="3" tint="0.79998168889431442"/>
    <pageSetUpPr fitToPage="1"/>
  </sheetPr>
  <dimension ref="A1:Q178"/>
  <sheetViews>
    <sheetView zoomScaleNormal="100" workbookViewId="0">
      <selection activeCell="C19" sqref="C19"/>
    </sheetView>
  </sheetViews>
  <sheetFormatPr defaultColWidth="9.140625" defaultRowHeight="15"/>
  <cols>
    <col min="1" max="1" width="5.7109375" customWidth="1"/>
    <col min="2" max="2" width="5.42578125" bestFit="1" customWidth="1"/>
    <col min="3" max="3" width="30.7109375" customWidth="1"/>
    <col min="4" max="5" width="20.7109375" style="23" customWidth="1"/>
    <col min="6" max="6" width="16.85546875" bestFit="1" customWidth="1"/>
    <col min="7" max="7" width="9.7109375" customWidth="1"/>
    <col min="8" max="8" width="8.7109375" customWidth="1"/>
    <col min="9" max="9" width="20.7109375" customWidth="1"/>
    <col min="10" max="13" width="11.7109375" style="19" customWidth="1"/>
    <col min="14" max="14" width="11.85546875" style="19" bestFit="1" customWidth="1"/>
    <col min="15" max="15" width="7.7109375" style="19" customWidth="1"/>
    <col min="16" max="16" width="10.7109375" style="90" customWidth="1"/>
    <col min="17" max="17" width="10.7109375" style="97" customWidth="1"/>
  </cols>
  <sheetData>
    <row r="1" spans="1:17" s="55" customFormat="1" ht="12" customHeight="1">
      <c r="A1" s="68" t="s">
        <v>0</v>
      </c>
      <c r="B1" s="69"/>
      <c r="C1" s="69"/>
      <c r="D1" s="262" t="s">
        <v>1</v>
      </c>
      <c r="E1" s="263"/>
      <c r="F1" s="70"/>
      <c r="G1" s="69"/>
      <c r="H1" s="70"/>
      <c r="I1" s="71"/>
      <c r="J1" s="72"/>
      <c r="K1" s="72"/>
      <c r="L1" s="72"/>
      <c r="M1" s="72"/>
      <c r="N1" s="72"/>
      <c r="O1" s="72"/>
      <c r="P1" s="85"/>
      <c r="Q1" s="91"/>
    </row>
    <row r="2" spans="1:17" s="55" customFormat="1" ht="12" customHeight="1">
      <c r="A2" s="74" t="s">
        <v>48</v>
      </c>
      <c r="B2" s="58"/>
      <c r="C2" s="57" t="e">
        <f ca="1">VLOOKUP(E3,Assemblies!B:F,4,0)</f>
        <v>#VALUE!</v>
      </c>
      <c r="D2" s="75" t="s">
        <v>3</v>
      </c>
      <c r="E2" s="76" t="e">
        <f ca="1">'GF12'!E2</f>
        <v>#VALUE!</v>
      </c>
      <c r="F2" s="77" t="s">
        <v>4</v>
      </c>
      <c r="G2" s="58" t="str">
        <f>'GF12'!G2</f>
        <v>GH</v>
      </c>
      <c r="H2" s="77" t="s">
        <v>6</v>
      </c>
      <c r="I2" s="59">
        <f>'GF12'!I2</f>
        <v>44775</v>
      </c>
      <c r="J2" s="39"/>
      <c r="K2" s="40" t="s">
        <v>49</v>
      </c>
      <c r="L2" s="41" t="e">
        <f ca="1">VLOOKUP(C2,Assemblies!E:G,3,0)</f>
        <v>#VALUE!</v>
      </c>
      <c r="M2" s="78"/>
      <c r="N2" s="78"/>
      <c r="O2" s="78"/>
      <c r="P2" s="86"/>
      <c r="Q2" s="92"/>
    </row>
    <row r="3" spans="1:17" s="55" customFormat="1" ht="12" customHeight="1" thickBot="1">
      <c r="A3" s="74" t="s">
        <v>7</v>
      </c>
      <c r="B3" s="58"/>
      <c r="C3" s="57" t="e">
        <f ca="1">VLOOKUP(E3,Assemblies!B:F,5,0)</f>
        <v>#VALUE!</v>
      </c>
      <c r="D3" s="75" t="s">
        <v>50</v>
      </c>
      <c r="E3" s="76" t="e">
        <f ca="1">MID(CELL("filename",A1),FIND("]",CELL("filename",A1))+1,256)</f>
        <v>#VALUE!</v>
      </c>
      <c r="F3" s="77" t="s">
        <v>11</v>
      </c>
      <c r="G3" s="58" t="str">
        <f>'GF12'!G3</f>
        <v>GH</v>
      </c>
      <c r="H3" s="77" t="s">
        <v>6</v>
      </c>
      <c r="I3" s="59">
        <f>'GF12'!I3</f>
        <v>44775</v>
      </c>
      <c r="J3" s="78"/>
      <c r="K3" s="78"/>
      <c r="L3" s="78"/>
      <c r="M3" s="78"/>
      <c r="N3" s="78"/>
      <c r="O3" s="78"/>
      <c r="P3" s="86"/>
      <c r="Q3" s="92"/>
    </row>
    <row r="4" spans="1:17" s="56" customFormat="1" ht="12.75" customHeight="1" thickBot="1">
      <c r="A4" s="80" t="s">
        <v>12</v>
      </c>
      <c r="B4" s="81" t="s">
        <v>13</v>
      </c>
      <c r="C4" s="81" t="s">
        <v>14</v>
      </c>
      <c r="D4" s="270" t="s">
        <v>15</v>
      </c>
      <c r="E4" s="271"/>
      <c r="F4" s="104" t="s">
        <v>16</v>
      </c>
      <c r="G4" s="81" t="s">
        <v>17</v>
      </c>
      <c r="H4" s="260" t="s">
        <v>18</v>
      </c>
      <c r="I4" s="261"/>
      <c r="J4" s="81" t="s">
        <v>51</v>
      </c>
      <c r="K4" s="81" t="s">
        <v>20</v>
      </c>
      <c r="L4" s="81" t="s">
        <v>21</v>
      </c>
      <c r="M4" s="81" t="s">
        <v>52</v>
      </c>
      <c r="N4" s="81" t="s">
        <v>22</v>
      </c>
      <c r="O4" s="81" t="s">
        <v>53</v>
      </c>
      <c r="P4" s="107" t="s">
        <v>26</v>
      </c>
      <c r="Q4" s="82" t="s">
        <v>27</v>
      </c>
    </row>
    <row r="5" spans="1:17" s="2" customFormat="1" ht="12.75" customHeight="1">
      <c r="A5" s="127">
        <v>1</v>
      </c>
      <c r="B5" s="21">
        <v>1</v>
      </c>
      <c r="C5" s="108" t="s">
        <v>371</v>
      </c>
      <c r="D5" s="277" t="str">
        <f>VLOOKUP(C5,Machined!C:Q,2,0)</f>
        <v>Clear Polycarb Panel Door  9  515x1097</v>
      </c>
      <c r="E5" s="278"/>
      <c r="F5" s="131" t="str">
        <f>VLOOKUP(C5,Machined!C:R,7,0)</f>
        <v>Polycarb</v>
      </c>
      <c r="G5" s="131" t="str">
        <f>VLOOKUP(C5,Machined!C:R,10,0)</f>
        <v>PRO PLASTICS</v>
      </c>
      <c r="H5" s="131" t="str">
        <f>VLOOKUP(C5,Machined!C:R,11,0)</f>
        <v>Quote 668778; &lt;2 weeks; Drawings/Step are under Polycarbonate Door NuLine</v>
      </c>
      <c r="I5" s="131"/>
      <c r="J5" s="42">
        <f>VLOOKUP(C5,Machined!C:R,12,0)</f>
        <v>45159</v>
      </c>
      <c r="K5" s="42" t="str">
        <f>VLOOKUP(C5,Machined!C:R,13,0)</f>
        <v xml:space="preserve"> 9/19/2023</v>
      </c>
      <c r="L5" s="42">
        <f>VLOOKUP(C5,Machined!C:R,14,0)</f>
        <v>45212</v>
      </c>
      <c r="M5" s="42">
        <f>VLOOKUP(C5,Machined!C:R,15,0)</f>
        <v>45212</v>
      </c>
      <c r="N5" s="43">
        <f>VLOOKUP(C5,Machined!C:R,16,0)</f>
        <v>55157</v>
      </c>
      <c r="O5" s="43" t="e">
        <f t="shared" ref="O5:O8" ca="1" si="0">B5*$L$2</f>
        <v>#VALUE!</v>
      </c>
      <c r="P5" s="47">
        <f>IFERROR(VLOOKUP(C5,Machined!C:F,3,0),"")</f>
        <v>54.973300000000002</v>
      </c>
      <c r="Q5" s="48">
        <f t="shared" ref="Q5:Q8" si="1">IFERROR(B5*P5,"")</f>
        <v>54.973300000000002</v>
      </c>
    </row>
    <row r="6" spans="1:17" s="2" customFormat="1" ht="12.75" customHeight="1">
      <c r="A6" s="127">
        <v>2</v>
      </c>
      <c r="B6" s="21">
        <v>1</v>
      </c>
      <c r="C6" s="108" t="s">
        <v>372</v>
      </c>
      <c r="D6" s="277" t="str">
        <f>VLOOKUP(C6,Machined!C:Q,2,0)</f>
        <v>Clear Polycarb Panel Door  9  560 x1097</v>
      </c>
      <c r="E6" s="278"/>
      <c r="F6" s="131" t="str">
        <f>VLOOKUP(C6,Machined!C:R,7,0)</f>
        <v>Polycarb</v>
      </c>
      <c r="G6" s="131" t="str">
        <f>VLOOKUP(C6,Machined!C:R,10,0)</f>
        <v>PRO PLASTICS</v>
      </c>
      <c r="H6" s="131" t="str">
        <f>VLOOKUP(C6,Machined!C:R,11,0)</f>
        <v>Quote 668778; &lt;2 weeks; Drawings/Step are under Polycarbonate Door NuLine</v>
      </c>
      <c r="I6" s="131"/>
      <c r="J6" s="42">
        <f>VLOOKUP(C6,Machined!C:R,12,0)</f>
        <v>45159</v>
      </c>
      <c r="K6" s="42" t="str">
        <f>VLOOKUP(C6,Machined!C:R,13,0)</f>
        <v xml:space="preserve"> 9/19/2023</v>
      </c>
      <c r="L6" s="42">
        <f>VLOOKUP(C6,Machined!C:R,14,0)</f>
        <v>45212</v>
      </c>
      <c r="M6" s="42">
        <f>VLOOKUP(C6,Machined!C:R,15,0)</f>
        <v>45212</v>
      </c>
      <c r="N6" s="43">
        <f>VLOOKUP(C6,Machined!C:R,16,0)</f>
        <v>55157</v>
      </c>
      <c r="O6" s="43" t="e">
        <f t="shared" ca="1" si="0"/>
        <v>#VALUE!</v>
      </c>
      <c r="P6" s="47">
        <f>IFERROR(VLOOKUP(C6,Machined!C:F,3,0),"")</f>
        <v>54.973300000000002</v>
      </c>
      <c r="Q6" s="48">
        <f t="shared" si="1"/>
        <v>54.973300000000002</v>
      </c>
    </row>
    <row r="7" spans="1:17" s="2" customFormat="1" ht="12.75" customHeight="1">
      <c r="A7" s="127">
        <v>3</v>
      </c>
      <c r="B7" s="21">
        <v>1</v>
      </c>
      <c r="C7" s="108" t="s">
        <v>373</v>
      </c>
      <c r="D7" s="277" t="str">
        <f>VLOOKUP(C7,Machined!C:Q,2,0)</f>
        <v>Clear Polycarb Panel Door  10  515x1214</v>
      </c>
      <c r="E7" s="278"/>
      <c r="F7" s="131" t="str">
        <f>VLOOKUP(C7,Machined!C:R,7,0)</f>
        <v>Polycarb</v>
      </c>
      <c r="G7" s="131" t="str">
        <f>VLOOKUP(C7,Machined!C:R,10,0)</f>
        <v>PRO PLASTICS</v>
      </c>
      <c r="H7" s="131" t="str">
        <f>VLOOKUP(C7,Machined!C:R,11,0)</f>
        <v>Quote 668778; &lt;2 weeks; Drawings/Step are under Polycarbonate Door NuLine</v>
      </c>
      <c r="I7" s="131"/>
      <c r="J7" s="42">
        <f>VLOOKUP(C7,Machined!C:R,12,0)</f>
        <v>45159</v>
      </c>
      <c r="K7" s="42" t="str">
        <f>VLOOKUP(C7,Machined!C:R,13,0)</f>
        <v xml:space="preserve"> 9/19/2023</v>
      </c>
      <c r="L7" s="42">
        <f>VLOOKUP(C7,Machined!C:R,14,0)</f>
        <v>45212</v>
      </c>
      <c r="M7" s="42">
        <f>VLOOKUP(C7,Machined!C:R,15,0)</f>
        <v>45212</v>
      </c>
      <c r="N7" s="43">
        <f>VLOOKUP(C7,Machined!C:R,16,0)</f>
        <v>55157</v>
      </c>
      <c r="O7" s="43" t="e">
        <f t="shared" ca="1" si="0"/>
        <v>#VALUE!</v>
      </c>
      <c r="P7" s="47">
        <f>IFERROR(VLOOKUP(C7,Machined!C:F,3,0),"")</f>
        <v>54.973300000000002</v>
      </c>
      <c r="Q7" s="48">
        <f t="shared" si="1"/>
        <v>54.973300000000002</v>
      </c>
    </row>
    <row r="8" spans="1:17" s="2" customFormat="1" ht="12.75" customHeight="1">
      <c r="A8" s="127">
        <v>4</v>
      </c>
      <c r="B8" s="21">
        <v>1</v>
      </c>
      <c r="C8" s="108" t="s">
        <v>374</v>
      </c>
      <c r="D8" s="277" t="str">
        <f>VLOOKUP(C8,Machined!C:Q,2,0)</f>
        <v>Clear Polycarb Panel Door  10  560x1214</v>
      </c>
      <c r="E8" s="278"/>
      <c r="F8" s="131" t="str">
        <f>VLOOKUP(C8,Machined!C:R,7,0)</f>
        <v>Polycarb</v>
      </c>
      <c r="G8" s="131" t="str">
        <f>VLOOKUP(C8,Machined!C:R,10,0)</f>
        <v>PRO PLASTICS</v>
      </c>
      <c r="H8" s="131" t="str">
        <f>VLOOKUP(C8,Machined!C:R,11,0)</f>
        <v>Quote 668778; &lt;2 weeks; Drawings/Step are under Polycarbonate Door NuLine</v>
      </c>
      <c r="I8" s="131"/>
      <c r="J8" s="42">
        <f>VLOOKUP(C8,Machined!C:R,12,0)</f>
        <v>45159</v>
      </c>
      <c r="K8" s="42" t="str">
        <f>VLOOKUP(C8,Machined!C:R,13,0)</f>
        <v xml:space="preserve"> 9/19/2023</v>
      </c>
      <c r="L8" s="42">
        <f>VLOOKUP(C8,Machined!C:R,14,0)</f>
        <v>45212</v>
      </c>
      <c r="M8" s="42">
        <f>VLOOKUP(C8,Machined!C:R,15,0)</f>
        <v>45212</v>
      </c>
      <c r="N8" s="43">
        <f>VLOOKUP(C8,Machined!C:R,16,0)</f>
        <v>55157</v>
      </c>
      <c r="O8" s="43" t="e">
        <f t="shared" ca="1" si="0"/>
        <v>#VALUE!</v>
      </c>
      <c r="P8" s="47">
        <f>IFERROR(VLOOKUP(C8,Machined!C:F,3,0),"")</f>
        <v>54.973300000000002</v>
      </c>
      <c r="Q8" s="48">
        <f t="shared" si="1"/>
        <v>54.973300000000002</v>
      </c>
    </row>
    <row r="9" spans="1:17" s="2" customFormat="1" ht="12.75" customHeight="1">
      <c r="A9" s="127">
        <v>5</v>
      </c>
      <c r="B9" s="21">
        <v>4</v>
      </c>
      <c r="C9" s="108" t="s">
        <v>354</v>
      </c>
      <c r="D9" s="277" t="str">
        <f>VLOOKUP(C9,Machined!C:Q,2,0)</f>
        <v>Door Support</v>
      </c>
      <c r="E9" s="278"/>
      <c r="F9" s="131" t="str">
        <f>VLOOKUP(C9,Machined!C:R,7,0)</f>
        <v>Delrin - White</v>
      </c>
      <c r="G9" s="131" t="str">
        <f>VLOOKUP(C9,Machined!C:R,10,0)</f>
        <v>BIG SKY</v>
      </c>
      <c r="H9" s="131" t="str">
        <f>VLOOKUP(C9,Machined!C:R,11,0)</f>
        <v xml:space="preserve">  </v>
      </c>
      <c r="I9" s="131"/>
      <c r="J9" s="42">
        <f>VLOOKUP(C9,Machined!C:R,12,0)</f>
        <v>45142</v>
      </c>
      <c r="K9" s="42">
        <f>VLOOKUP(C9,Machined!C:R,13,0)</f>
        <v>45146</v>
      </c>
      <c r="L9" s="42">
        <f>VLOOKUP(C9,Machined!C:R,14,0)</f>
        <v>45176</v>
      </c>
      <c r="M9" s="42">
        <f>VLOOKUP(C9,Machined!C:R,15,0)</f>
        <v>45176</v>
      </c>
      <c r="N9" s="43">
        <f>VLOOKUP(C9,Machined!C:R,16,0)</f>
        <v>55032</v>
      </c>
      <c r="O9" s="43" t="e">
        <f ca="1">B9*$L$2</f>
        <v>#VALUE!</v>
      </c>
      <c r="P9" s="47">
        <f>IFERROR(VLOOKUP(C9,Machined!C:F,3,0),"")</f>
        <v>88</v>
      </c>
      <c r="Q9" s="48">
        <f>IFERROR(B9*P9,"")</f>
        <v>352</v>
      </c>
    </row>
    <row r="10" spans="1:17" s="2" customFormat="1" ht="12.75" customHeight="1">
      <c r="A10" s="143"/>
      <c r="B10" s="26"/>
      <c r="C10" s="26"/>
      <c r="D10" s="272"/>
      <c r="E10" s="273"/>
      <c r="F10" s="26"/>
      <c r="G10" s="26"/>
      <c r="H10" s="274"/>
      <c r="I10" s="275"/>
      <c r="J10" s="27"/>
      <c r="K10" s="27"/>
      <c r="L10" s="27"/>
      <c r="M10" s="28"/>
      <c r="N10" s="29"/>
      <c r="O10" s="29"/>
      <c r="P10" s="141"/>
      <c r="Q10" s="142"/>
    </row>
    <row r="11" spans="1:17" s="2" customFormat="1" ht="12.75" customHeight="1">
      <c r="A11" s="4">
        <v>301</v>
      </c>
      <c r="B11" s="2">
        <v>16</v>
      </c>
      <c r="C11" s="114" t="s">
        <v>244</v>
      </c>
      <c r="D11" s="268" t="str">
        <f>VLOOKUP(C11,Purchased!A:B,2,0)</f>
        <v>BRX GOTO QUICK CONNECTOR N10 0°</v>
      </c>
      <c r="E11" s="269"/>
      <c r="F11" s="112" t="str">
        <f>VLOOKUP(C11,Purchased!A:Q,9,0)</f>
        <v>BRX</v>
      </c>
      <c r="G11" s="112" t="str">
        <f>VLOOKUP(C11,Purchased!A:Q,10,0)</f>
        <v>AAP</v>
      </c>
      <c r="H11" s="112" t="str">
        <f>VLOOKUP(C11,Purchased!A:Q,12,0)</f>
        <v>17 in stock</v>
      </c>
      <c r="I11" s="113"/>
      <c r="J11" s="44" t="str">
        <f>VLOOKUP(C11,Purchased!A:Q,13,0)</f>
        <v>N/A</v>
      </c>
      <c r="K11" s="44">
        <f>VLOOKUP(C11,Purchased!A:Q,14,0)</f>
        <v>45089</v>
      </c>
      <c r="L11" s="44">
        <f>VLOOKUP(C11,Purchased!A:Q,15,0)</f>
        <v>45124</v>
      </c>
      <c r="M11" s="44">
        <f>VLOOKUP(C11,Purchased!A:Q,16,0)</f>
        <v>45124</v>
      </c>
      <c r="N11" s="45" t="str">
        <f>VLOOKUP(C11,Purchased!A:Q,17,0)</f>
        <v>500x54927, 500x55060</v>
      </c>
      <c r="O11" s="45" t="e">
        <f t="shared" ref="O11:O16" ca="1" si="2">B11*$L$2</f>
        <v>#VALUE!</v>
      </c>
      <c r="P11" s="49">
        <f>IFERROR(VLOOKUP(C11,Purchased!A:E,3,FALSE),"")</f>
        <v>5.2857000000000003</v>
      </c>
      <c r="Q11" s="50">
        <f t="shared" ref="Q11:Q16" si="3">IFERROR(B11*P11,"")</f>
        <v>84.571200000000005</v>
      </c>
    </row>
    <row r="12" spans="1:17" s="2" customFormat="1" ht="12" customHeight="1">
      <c r="A12" s="4">
        <f t="shared" ref="A12:A16" si="4">A11+1</f>
        <v>302</v>
      </c>
      <c r="B12" s="2">
        <v>16</v>
      </c>
      <c r="C12" s="114" t="s">
        <v>325</v>
      </c>
      <c r="D12" s="268" t="str">
        <f>VLOOKUP(C12,Purchased!A:B,2,0)</f>
        <v>BRX GOTO T-NUT 10 M4</v>
      </c>
      <c r="E12" s="269"/>
      <c r="F12" s="112" t="str">
        <f>VLOOKUP(C12,Purchased!A:Q,9,0)</f>
        <v>BRX</v>
      </c>
      <c r="G12" s="112" t="str">
        <f>VLOOKUP(C12,Purchased!A:Q,10,0)</f>
        <v>AAP</v>
      </c>
      <c r="H12" s="112" t="str">
        <f>VLOOKUP(C12,Purchased!A:Q,12,0)</f>
        <v>14 NuLine Stock</v>
      </c>
      <c r="I12" s="113"/>
      <c r="J12" s="44">
        <f>VLOOKUP(C12,Purchased!A:Q,13,0)</f>
        <v>45104</v>
      </c>
      <c r="K12" s="44">
        <f>VLOOKUP(C12,Purchased!A:Q,14,0)</f>
        <v>45105</v>
      </c>
      <c r="L12" s="44">
        <f>VLOOKUP(C12,Purchased!A:Q,15,0)</f>
        <v>45133</v>
      </c>
      <c r="M12" s="44">
        <f>VLOOKUP(C12,Purchased!A:Q,16,0)</f>
        <v>45133</v>
      </c>
      <c r="N12" s="45">
        <f>VLOOKUP(C12,Purchased!A:Q,17,0)</f>
        <v>54968</v>
      </c>
      <c r="O12" s="45" t="e">
        <f t="shared" ca="1" si="2"/>
        <v>#VALUE!</v>
      </c>
      <c r="P12" s="49">
        <f>IFERROR(VLOOKUP(C12,Purchased!A:E,3,FALSE),"")</f>
        <v>0.64290000000000003</v>
      </c>
      <c r="Q12" s="50">
        <f t="shared" si="3"/>
        <v>10.2864</v>
      </c>
    </row>
    <row r="13" spans="1:17" s="2" customFormat="1" ht="12" customHeight="1">
      <c r="A13" s="4">
        <f t="shared" si="4"/>
        <v>303</v>
      </c>
      <c r="B13" s="2">
        <v>8</v>
      </c>
      <c r="C13" s="114" t="s">
        <v>256</v>
      </c>
      <c r="D13" s="268" t="str">
        <f>VLOOKUP(C13,Purchased!A:B,2,0)</f>
        <v>BRX GOTO T-NUT 10 M8</v>
      </c>
      <c r="E13" s="269"/>
      <c r="F13" s="112" t="str">
        <f>VLOOKUP(C13,Purchased!A:Q,9,0)</f>
        <v>BRX</v>
      </c>
      <c r="G13" s="112" t="str">
        <f>VLOOKUP(C13,Purchased!A:Q,10,0)</f>
        <v>AAP</v>
      </c>
      <c r="H13" s="112" t="str">
        <f>VLOOKUP(C13,Purchased!A:Q,12,0)</f>
        <v xml:space="preserve">  </v>
      </c>
      <c r="I13" s="113"/>
      <c r="J13" s="44">
        <f>VLOOKUP(C13,Purchased!A:Q,13,0)</f>
        <v>45104</v>
      </c>
      <c r="K13" s="44">
        <f>VLOOKUP(C13,Purchased!A:Q,14,0)</f>
        <v>45105</v>
      </c>
      <c r="L13" s="44">
        <f>VLOOKUP(C13,Purchased!A:Q,15,0)</f>
        <v>45133</v>
      </c>
      <c r="M13" s="44">
        <f>VLOOKUP(C13,Purchased!A:Q,16,0)</f>
        <v>45133</v>
      </c>
      <c r="N13" s="45" t="str">
        <f>VLOOKUP(C13,Purchased!A:Q,17,0)</f>
        <v>54968, 55147</v>
      </c>
      <c r="O13" s="45" t="e">
        <f t="shared" ca="1" si="2"/>
        <v>#VALUE!</v>
      </c>
      <c r="P13" s="49">
        <f>IFERROR(VLOOKUP(C13,Purchased!A:E,3,FALSE),"")</f>
        <v>0.64290000000000003</v>
      </c>
      <c r="Q13" s="50">
        <f t="shared" si="3"/>
        <v>5.1432000000000002</v>
      </c>
    </row>
    <row r="14" spans="1:17" s="2" customFormat="1" ht="12" customHeight="1">
      <c r="A14" s="4">
        <f t="shared" si="4"/>
        <v>304</v>
      </c>
      <c r="B14" s="2">
        <v>4</v>
      </c>
      <c r="C14" s="114" t="s">
        <v>359</v>
      </c>
      <c r="D14" s="268" t="str">
        <f>VLOOKUP(C14,Purchased!A:B,2,0)</f>
        <v>ELESA 260411-C1 Black Bridge Handle EBP.200-8-C1</v>
      </c>
      <c r="E14" s="269"/>
      <c r="F14" s="112" t="str">
        <f>VLOOKUP(C14,Purchased!A:Q,9,0)</f>
        <v>ELESA</v>
      </c>
      <c r="G14" s="112" t="str">
        <f>VLOOKUP(C14,Purchased!A:Q,10,0)</f>
        <v>ELESA</v>
      </c>
      <c r="H14" s="112">
        <f>VLOOKUP(C14,Purchased!A:Q,12,0)</f>
        <v>0</v>
      </c>
      <c r="I14" s="113"/>
      <c r="J14" s="44" t="str">
        <f>VLOOKUP(C14,Purchased!A:Q,13,0)</f>
        <v>N/A</v>
      </c>
      <c r="K14" s="44">
        <f>VLOOKUP(C14,Purchased!A:Q,14,0)</f>
        <v>45205</v>
      </c>
      <c r="L14" s="44">
        <f>VLOOKUP(C14,Purchased!A:Q,15,0)</f>
        <v>45219</v>
      </c>
      <c r="M14" s="44">
        <f>VLOOKUP(C14,Purchased!A:Q,16,0)</f>
        <v>45225</v>
      </c>
      <c r="N14" s="45">
        <f>VLOOKUP(C14,Purchased!A:Q,17,0)</f>
        <v>55195</v>
      </c>
      <c r="O14" s="45" t="e">
        <f t="shared" ca="1" si="2"/>
        <v>#VALUE!</v>
      </c>
      <c r="P14" s="49">
        <f>IFERROR(VLOOKUP(C14,Purchased!A:E,3,FALSE),"")</f>
        <v>0</v>
      </c>
      <c r="Q14" s="50">
        <f t="shared" si="3"/>
        <v>0</v>
      </c>
    </row>
    <row r="15" spans="1:17" s="2" customFormat="1" ht="12" customHeight="1">
      <c r="A15" s="4">
        <f t="shared" si="4"/>
        <v>305</v>
      </c>
      <c r="B15" s="2">
        <v>12</v>
      </c>
      <c r="C15" s="114">
        <v>3842544531</v>
      </c>
      <c r="D15" s="268" t="e">
        <f>VLOOKUP(C15,Purchased!A:B,2,0)</f>
        <v>#N/A</v>
      </c>
      <c r="E15" s="269"/>
      <c r="F15" s="112" t="e">
        <f>VLOOKUP(C15,Purchased!A:Q,9,0)</f>
        <v>#N/A</v>
      </c>
      <c r="G15" s="112" t="e">
        <f>VLOOKUP(C15,Purchased!A:Q,10,0)</f>
        <v>#N/A</v>
      </c>
      <c r="H15" s="112" t="e">
        <f>VLOOKUP(C15,Purchased!A:Q,12,0)</f>
        <v>#N/A</v>
      </c>
      <c r="I15" s="113"/>
      <c r="J15" s="44" t="e">
        <f>VLOOKUP(C15,Purchased!A:Q,13,0)</f>
        <v>#N/A</v>
      </c>
      <c r="K15" s="44" t="e">
        <f>VLOOKUP(C15,Purchased!A:Q,14,0)</f>
        <v>#N/A</v>
      </c>
      <c r="L15" s="44" t="e">
        <f>VLOOKUP(C15,Purchased!A:Q,15,0)</f>
        <v>#N/A</v>
      </c>
      <c r="M15" s="44" t="e">
        <f>VLOOKUP(C15,Purchased!A:Q,16,0)</f>
        <v>#N/A</v>
      </c>
      <c r="N15" s="45" t="e">
        <f>VLOOKUP(C15,Purchased!A:Q,17,0)</f>
        <v>#N/A</v>
      </c>
      <c r="O15" s="45" t="e">
        <f t="shared" ca="1" si="2"/>
        <v>#VALUE!</v>
      </c>
      <c r="P15" s="49" t="str">
        <f>IFERROR(VLOOKUP(C15,Purchased!A:E,3,FALSE),"")</f>
        <v/>
      </c>
      <c r="Q15" s="50" t="str">
        <f t="shared" si="3"/>
        <v/>
      </c>
    </row>
    <row r="16" spans="1:17" s="2" customFormat="1" ht="12" customHeight="1">
      <c r="A16" s="4">
        <f t="shared" si="4"/>
        <v>306</v>
      </c>
      <c r="B16" s="2">
        <v>4</v>
      </c>
      <c r="C16" s="114" t="s">
        <v>360</v>
      </c>
      <c r="D16" s="268" t="str">
        <f>VLOOKUP(C16,Purchased!A:B,2,0)</f>
        <v>BRX GUIDE COMPONENT NUT 8/10</v>
      </c>
      <c r="E16" s="269"/>
      <c r="F16" s="112" t="str">
        <f>VLOOKUP(C16,Purchased!A:Q,9,0)</f>
        <v>BRX</v>
      </c>
      <c r="G16" s="112" t="str">
        <f>VLOOKUP(C16,Purchased!A:Q,10,0)</f>
        <v>AAP</v>
      </c>
      <c r="H16" s="112" t="str">
        <f>VLOOKUP(C16,Purchased!A:Q,12,0)</f>
        <v xml:space="preserve"> </v>
      </c>
      <c r="I16" s="113"/>
      <c r="J16" s="44" t="str">
        <f>VLOOKUP(C16,Purchased!A:Q,13,0)</f>
        <v>N/A</v>
      </c>
      <c r="K16" s="44">
        <f>VLOOKUP(C16,Purchased!A:Q,14,0)</f>
        <v>45162</v>
      </c>
      <c r="L16" s="44">
        <f>VLOOKUP(C16,Purchased!A:Q,15,0)</f>
        <v>45184</v>
      </c>
      <c r="M16" s="44">
        <f>VLOOKUP(C16,Purchased!A:Q,16,0)</f>
        <v>45197</v>
      </c>
      <c r="N16" s="45">
        <f>VLOOKUP(C16,Purchased!A:Q,17,0)</f>
        <v>55073</v>
      </c>
      <c r="O16" s="45" t="e">
        <f t="shared" ca="1" si="2"/>
        <v>#VALUE!</v>
      </c>
      <c r="P16" s="49">
        <f>IFERROR(VLOOKUP(C16,Purchased!A:E,3,FALSE),"")</f>
        <v>14.042899999999999</v>
      </c>
      <c r="Q16" s="50">
        <f t="shared" si="3"/>
        <v>56.171599999999998</v>
      </c>
    </row>
    <row r="17" spans="1:17" s="2" customFormat="1" ht="12.75" customHeight="1">
      <c r="A17" s="25"/>
      <c r="B17" s="26"/>
      <c r="C17" s="26"/>
      <c r="D17" s="272"/>
      <c r="E17" s="273"/>
      <c r="F17" s="26"/>
      <c r="G17" s="26"/>
      <c r="H17" s="274"/>
      <c r="I17" s="275"/>
      <c r="J17" s="27"/>
      <c r="K17" s="27"/>
      <c r="L17" s="27"/>
      <c r="M17" s="28"/>
      <c r="N17" s="29"/>
      <c r="O17" s="29" t="e">
        <f t="shared" ref="O17:O19" ca="1" si="5">B17*$L$2</f>
        <v>#VALUE!</v>
      </c>
      <c r="P17" s="141"/>
      <c r="Q17" s="142"/>
    </row>
    <row r="18" spans="1:17" s="2" customFormat="1" ht="12.75" customHeight="1">
      <c r="A18" s="4">
        <v>501</v>
      </c>
      <c r="B18" s="2">
        <v>16</v>
      </c>
      <c r="C18" s="110" t="s">
        <v>361</v>
      </c>
      <c r="D18" s="268"/>
      <c r="E18" s="276"/>
      <c r="F18" s="112" t="str">
        <f>VLOOKUP(C18,Bolts!A:L,5,0)</f>
        <v xml:space="preserve">  </v>
      </c>
      <c r="G18" s="112" t="str">
        <f>VLOOKUP(C18,Bolts!A:L,6,0)</f>
        <v>Monroe Fasteners</v>
      </c>
      <c r="H18" s="112" t="str">
        <f>VLOOKUP(C18,Bolts!A:L,7,0)</f>
        <v xml:space="preserve">  </v>
      </c>
      <c r="I18" s="112"/>
      <c r="J18" s="44" t="str">
        <f>VLOOKUP(C18,Bolts!A:L,8,0)</f>
        <v xml:space="preserve"> </v>
      </c>
      <c r="K18" s="44" t="str">
        <f>VLOOKUP(C18,Bolts!A:L,9,0)</f>
        <v xml:space="preserve"> </v>
      </c>
      <c r="L18" s="44" t="str">
        <f>VLOOKUP(C18,Bolts!A:L,10,0)</f>
        <v xml:space="preserve"> </v>
      </c>
      <c r="M18" s="44" t="str">
        <f>VLOOKUP(C18,Bolts!A:L,11,0)</f>
        <v xml:space="preserve"> </v>
      </c>
      <c r="N18" s="45" t="str">
        <f>VLOOKUP(C18,Bolts!A:L,12,0)</f>
        <v xml:space="preserve"> </v>
      </c>
      <c r="O18" s="45" t="e">
        <f t="shared" ca="1" si="5"/>
        <v>#VALUE!</v>
      </c>
      <c r="P18" s="49" t="str">
        <f>IFERROR(VLOOKUP(C18,Bolts!A:B,2,FALSE),"")</f>
        <v xml:space="preserve"> </v>
      </c>
      <c r="Q18" s="50" t="str">
        <f t="shared" ref="Q18:Q19" si="6">IFERROR(B18*P18,"")</f>
        <v/>
      </c>
    </row>
    <row r="19" spans="1:17" s="2" customFormat="1" ht="12.75" customHeight="1">
      <c r="A19" s="4">
        <f t="shared" ref="A19" si="7">A18+1</f>
        <v>502</v>
      </c>
      <c r="B19" s="2">
        <v>8</v>
      </c>
      <c r="C19" s="110" t="s">
        <v>362</v>
      </c>
      <c r="D19" s="268"/>
      <c r="E19" s="276"/>
      <c r="F19" s="112" t="str">
        <f>VLOOKUP(C19,Bolts!A:L,5,0)</f>
        <v xml:space="preserve">  </v>
      </c>
      <c r="G19" s="112" t="str">
        <f>VLOOKUP(C19,Bolts!A:L,6,0)</f>
        <v>Monroe Fasteners</v>
      </c>
      <c r="H19" s="112" t="str">
        <f>VLOOKUP(C19,Bolts!A:L,7,0)</f>
        <v xml:space="preserve">  </v>
      </c>
      <c r="I19" s="112"/>
      <c r="J19" s="44" t="str">
        <f>VLOOKUP(C19,Bolts!A:L,8,0)</f>
        <v xml:space="preserve"> </v>
      </c>
      <c r="K19" s="44" t="str">
        <f>VLOOKUP(C19,Bolts!A:L,9,0)</f>
        <v xml:space="preserve"> </v>
      </c>
      <c r="L19" s="44" t="str">
        <f>VLOOKUP(C19,Bolts!A:L,10,0)</f>
        <v xml:space="preserve"> </v>
      </c>
      <c r="M19" s="44" t="str">
        <f>VLOOKUP(C19,Bolts!A:L,11,0)</f>
        <v xml:space="preserve"> </v>
      </c>
      <c r="N19" s="45" t="str">
        <f>VLOOKUP(C19,Bolts!A:L,12,0)</f>
        <v xml:space="preserve"> </v>
      </c>
      <c r="O19" s="45" t="e">
        <f t="shared" ca="1" si="5"/>
        <v>#VALUE!</v>
      </c>
      <c r="P19" s="49" t="str">
        <f>IFERROR(VLOOKUP(C19,Bolts!A:B,2,FALSE),"")</f>
        <v xml:space="preserve"> </v>
      </c>
      <c r="Q19" s="50" t="str">
        <f t="shared" si="6"/>
        <v/>
      </c>
    </row>
    <row r="20" spans="1:17" s="2" customFormat="1" ht="12.75" customHeight="1">
      <c r="A20" s="25"/>
      <c r="B20" s="26"/>
      <c r="C20" s="26"/>
      <c r="D20" s="272"/>
      <c r="E20" s="273"/>
      <c r="F20" s="26"/>
      <c r="G20" s="26"/>
      <c r="H20" s="274"/>
      <c r="I20" s="275"/>
      <c r="J20" s="27"/>
      <c r="K20" s="27"/>
      <c r="L20" s="27"/>
      <c r="M20" s="28"/>
      <c r="N20" s="29"/>
      <c r="O20" s="29"/>
      <c r="P20" s="141"/>
      <c r="Q20" s="142"/>
    </row>
    <row r="21" spans="1:17" s="2" customFormat="1" ht="12.75" customHeight="1">
      <c r="A21" s="4">
        <v>701</v>
      </c>
      <c r="B21" s="2">
        <v>4</v>
      </c>
      <c r="C21" s="111" t="s">
        <v>369</v>
      </c>
      <c r="D21" s="268" t="str">
        <f>VLOOKUP(C21,Extrusion!B:C,2,0)</f>
        <v>Doors</v>
      </c>
      <c r="E21" s="269"/>
      <c r="F21" s="112" t="str">
        <f>VLOOKUP(C21,Extrusion!B:M,6,0)</f>
        <v>BOSCH</v>
      </c>
      <c r="G21" s="112" t="str">
        <f>VLOOKUP(C21,Extrusion!B:M,7,0)</f>
        <v>NULINE</v>
      </c>
      <c r="H21" s="112" t="str">
        <f>VLOOKUP(C21,Extrusion!B:M,8,0)</f>
        <v xml:space="preserve"> </v>
      </c>
      <c r="I21" s="113"/>
      <c r="J21" s="44" t="str">
        <f>VLOOKUP(C21,Extrusion!B:M,9,0)</f>
        <v>N/A</v>
      </c>
      <c r="K21" s="44">
        <f>VLOOKUP(C21,Extrusion!B:M,10,0)</f>
        <v>44894</v>
      </c>
      <c r="L21" s="44">
        <f>VLOOKUP(C21,Extrusion!B:M,11,0)</f>
        <v>44970</v>
      </c>
      <c r="M21" s="44">
        <f>VLOOKUP(C21,Extrusion!B:M,12,0)</f>
        <v>44970</v>
      </c>
      <c r="N21" s="45">
        <f>VLOOKUP(C21,Extrusion!B:N,13,0)</f>
        <v>54598</v>
      </c>
      <c r="O21" s="45" t="e">
        <f t="shared" ref="O21:O24" ca="1" si="8">B21*$L$2</f>
        <v>#VALUE!</v>
      </c>
      <c r="P21" s="49">
        <f>IFERROR(VLOOKUP(C21,Extrusion!B:F,5,0),"")</f>
        <v>39.224237083333335</v>
      </c>
      <c r="Q21" s="50">
        <f t="shared" ref="Q21:Q24" si="9">IFERROR(B21*P21,"")</f>
        <v>156.89694833333334</v>
      </c>
    </row>
    <row r="22" spans="1:17" s="2" customFormat="1" ht="12" customHeight="1">
      <c r="A22" s="4">
        <f t="shared" ref="A22:A24" si="10">A21+1</f>
        <v>702</v>
      </c>
      <c r="B22" s="2">
        <v>4</v>
      </c>
      <c r="C22" s="111" t="s">
        <v>366</v>
      </c>
      <c r="D22" s="268" t="str">
        <f>VLOOKUP(C22,Extrusion!B:C,2,0)</f>
        <v>Doors</v>
      </c>
      <c r="E22" s="269"/>
      <c r="F22" s="112" t="str">
        <f>VLOOKUP(C22,Extrusion!B:M,6,0)</f>
        <v>BOSCH</v>
      </c>
      <c r="G22" s="112" t="str">
        <f>VLOOKUP(C22,Extrusion!B:M,7,0)</f>
        <v>NULINE</v>
      </c>
      <c r="H22" s="112" t="str">
        <f>VLOOKUP(C22,Extrusion!B:M,8,0)</f>
        <v xml:space="preserve"> </v>
      </c>
      <c r="I22" s="113"/>
      <c r="J22" s="44" t="str">
        <f>VLOOKUP(C22,Extrusion!B:M,9,0)</f>
        <v>N/A</v>
      </c>
      <c r="K22" s="44">
        <f>VLOOKUP(C22,Extrusion!B:M,10,0)</f>
        <v>44894</v>
      </c>
      <c r="L22" s="44">
        <f>VLOOKUP(C22,Extrusion!B:M,11,0)</f>
        <v>44970</v>
      </c>
      <c r="M22" s="44">
        <f>VLOOKUP(C22,Extrusion!B:M,12,0)</f>
        <v>44970</v>
      </c>
      <c r="N22" s="45">
        <f>VLOOKUP(C22,Extrusion!B:N,13,0)</f>
        <v>54598</v>
      </c>
      <c r="O22" s="45" t="e">
        <f t="shared" ca="1" si="8"/>
        <v>#VALUE!</v>
      </c>
      <c r="P22" s="49">
        <f>IFERROR(VLOOKUP(C22,Extrusion!B:F,5,0),"")</f>
        <v>41.724688933333326</v>
      </c>
      <c r="Q22" s="50">
        <f t="shared" si="9"/>
        <v>166.8987557333333</v>
      </c>
    </row>
    <row r="23" spans="1:17" s="2" customFormat="1" ht="12" customHeight="1">
      <c r="A23" s="4">
        <f t="shared" si="10"/>
        <v>703</v>
      </c>
      <c r="B23" s="2">
        <v>4</v>
      </c>
      <c r="C23" s="111" t="s">
        <v>375</v>
      </c>
      <c r="D23" s="268" t="str">
        <f>VLOOKUP(C23,Extrusion!B:C,2,0)</f>
        <v>Doors</v>
      </c>
      <c r="E23" s="269"/>
      <c r="F23" s="112" t="str">
        <f>VLOOKUP(C23,Extrusion!B:M,6,0)</f>
        <v>BOSCH</v>
      </c>
      <c r="G23" s="112" t="str">
        <f>VLOOKUP(C23,Extrusion!B:M,7,0)</f>
        <v>NULINE</v>
      </c>
      <c r="H23" s="112" t="str">
        <f>VLOOKUP(C23,Extrusion!B:M,8,0)</f>
        <v xml:space="preserve"> </v>
      </c>
      <c r="I23" s="113"/>
      <c r="J23" s="44" t="str">
        <f>VLOOKUP(C23,Extrusion!B:M,9,0)</f>
        <v>N/A</v>
      </c>
      <c r="K23" s="44">
        <f>VLOOKUP(C23,Extrusion!B:M,10,0)</f>
        <v>44894</v>
      </c>
      <c r="L23" s="44">
        <f>VLOOKUP(C23,Extrusion!B:M,11,0)</f>
        <v>44970</v>
      </c>
      <c r="M23" s="44">
        <f>VLOOKUP(C23,Extrusion!B:M,12,0)</f>
        <v>44970</v>
      </c>
      <c r="N23" s="45">
        <f>VLOOKUP(C23,Extrusion!B:N,13,0)</f>
        <v>54598</v>
      </c>
      <c r="O23" s="45" t="e">
        <f t="shared" ca="1" si="8"/>
        <v>#VALUE!</v>
      </c>
      <c r="P23" s="49">
        <f>IFERROR(VLOOKUP(C23,Extrusion!B:F,5,0),"")</f>
        <v>28.752259249999998</v>
      </c>
      <c r="Q23" s="50">
        <f t="shared" si="9"/>
        <v>115.00903699999999</v>
      </c>
    </row>
    <row r="24" spans="1:17" s="2" customFormat="1" ht="12" customHeight="1" thickBot="1">
      <c r="A24" s="4">
        <f t="shared" si="10"/>
        <v>704</v>
      </c>
      <c r="B24" s="2">
        <v>4</v>
      </c>
      <c r="C24" s="111" t="s">
        <v>376</v>
      </c>
      <c r="D24" s="268" t="str">
        <f>VLOOKUP(C24,Extrusion!B:C,2,0)</f>
        <v>Doors</v>
      </c>
      <c r="E24" s="269"/>
      <c r="F24" s="112" t="str">
        <f>VLOOKUP(C24,Extrusion!B:M,6,0)</f>
        <v>BOSCH</v>
      </c>
      <c r="G24" s="112" t="str">
        <f>VLOOKUP(C24,Extrusion!B:M,7,0)</f>
        <v>NULINE</v>
      </c>
      <c r="H24" s="112" t="str">
        <f>VLOOKUP(C24,Extrusion!B:M,8,0)</f>
        <v xml:space="preserve"> </v>
      </c>
      <c r="I24" s="113"/>
      <c r="J24" s="44" t="str">
        <f>VLOOKUP(C24,Extrusion!B:M,9,0)</f>
        <v>N/A</v>
      </c>
      <c r="K24" s="44">
        <f>VLOOKUP(C24,Extrusion!B:M,10,0)</f>
        <v>44894</v>
      </c>
      <c r="L24" s="44">
        <f>VLOOKUP(C24,Extrusion!B:M,11,0)</f>
        <v>44970</v>
      </c>
      <c r="M24" s="44">
        <f>VLOOKUP(C24,Extrusion!B:M,12,0)</f>
        <v>44970</v>
      </c>
      <c r="N24" s="45">
        <f>VLOOKUP(C24,Extrusion!B:N,13,0)</f>
        <v>54598</v>
      </c>
      <c r="O24" s="45" t="e">
        <f t="shared" ca="1" si="8"/>
        <v>#VALUE!</v>
      </c>
      <c r="P24" s="49">
        <f>IFERROR(VLOOKUP(C24,Extrusion!B:F,5,0),"")</f>
        <v>29.7139715</v>
      </c>
      <c r="Q24" s="50">
        <f t="shared" si="9"/>
        <v>118.855886</v>
      </c>
    </row>
    <row r="25" spans="1:17" s="2" customFormat="1" ht="12.75" customHeight="1" thickBot="1">
      <c r="A25" s="34"/>
      <c r="B25" s="35"/>
      <c r="C25" s="35"/>
      <c r="D25" s="256"/>
      <c r="E25" s="257"/>
      <c r="F25" s="35"/>
      <c r="G25" s="35"/>
      <c r="H25" s="294"/>
      <c r="I25" s="295"/>
      <c r="J25" s="36"/>
      <c r="K25" s="36"/>
      <c r="L25" s="36"/>
      <c r="M25" s="37"/>
      <c r="N25" s="38"/>
      <c r="O25" s="38"/>
      <c r="P25" s="89" t="s">
        <v>43</v>
      </c>
      <c r="Q25" s="94">
        <f>SUM(Q5:Q24)</f>
        <v>1285.7262270666665</v>
      </c>
    </row>
    <row r="26" spans="1:17" s="2" customFormat="1" ht="12" customHeight="1">
      <c r="D26" s="22"/>
      <c r="E26" s="22"/>
      <c r="J26" s="8"/>
      <c r="K26" s="8"/>
      <c r="L26" s="8"/>
      <c r="M26" s="8"/>
      <c r="N26" s="5"/>
      <c r="O26" s="5"/>
      <c r="P26" s="88"/>
      <c r="Q26" s="95"/>
    </row>
    <row r="27" spans="1:17" s="2" customFormat="1" ht="12" customHeight="1">
      <c r="D27" s="22"/>
      <c r="E27" s="22"/>
      <c r="J27" s="5"/>
      <c r="K27" s="5"/>
      <c r="L27" s="5"/>
      <c r="M27" s="5"/>
      <c r="N27" s="5"/>
      <c r="O27" s="5"/>
      <c r="P27" s="88"/>
      <c r="Q27" s="95"/>
    </row>
    <row r="28" spans="1:17" s="2" customFormat="1" ht="12" customHeight="1">
      <c r="D28" s="22"/>
      <c r="E28" s="22"/>
      <c r="J28" s="5"/>
      <c r="K28" s="5"/>
      <c r="L28" s="5"/>
      <c r="M28" s="5"/>
      <c r="N28" s="5"/>
      <c r="O28" s="5"/>
      <c r="P28" s="88"/>
      <c r="Q28" s="95"/>
    </row>
    <row r="29" spans="1:17" s="2" customFormat="1" ht="12" customHeight="1">
      <c r="D29" s="22"/>
      <c r="E29" s="22"/>
      <c r="J29" s="5"/>
      <c r="K29" s="5"/>
      <c r="L29" s="5"/>
      <c r="M29" s="5"/>
      <c r="N29" s="5"/>
      <c r="O29" s="5"/>
      <c r="P29" s="88"/>
      <c r="Q29" s="95"/>
    </row>
    <row r="30" spans="1:17" s="2" customFormat="1" ht="12" customHeight="1">
      <c r="D30" s="22"/>
      <c r="E30" s="22"/>
      <c r="J30" s="5"/>
      <c r="K30" s="5"/>
      <c r="L30" s="5"/>
      <c r="M30" s="5"/>
      <c r="N30" s="5"/>
      <c r="O30" s="5"/>
      <c r="P30" s="88"/>
      <c r="Q30" s="95"/>
    </row>
    <row r="31" spans="1:17" s="2" customFormat="1" ht="12" customHeight="1">
      <c r="D31" s="22"/>
      <c r="E31" s="22"/>
      <c r="J31" s="5"/>
      <c r="K31" s="5"/>
      <c r="L31" s="5"/>
      <c r="M31" s="5"/>
      <c r="N31" s="5"/>
      <c r="O31" s="5"/>
      <c r="P31" s="88"/>
      <c r="Q31" s="95"/>
    </row>
    <row r="32" spans="1:17" s="2" customFormat="1" ht="12" customHeight="1">
      <c r="D32" s="22"/>
      <c r="E32" s="22"/>
      <c r="J32" s="5"/>
      <c r="K32" s="5"/>
      <c r="L32" s="5"/>
      <c r="M32" s="5"/>
      <c r="N32" s="5"/>
      <c r="O32" s="5"/>
      <c r="P32" s="88"/>
      <c r="Q32" s="95"/>
    </row>
    <row r="33" spans="4:17" s="2" customFormat="1" ht="12" customHeight="1">
      <c r="D33" s="22"/>
      <c r="E33" s="22"/>
      <c r="J33" s="5"/>
      <c r="K33" s="5"/>
      <c r="L33" s="5"/>
      <c r="M33" s="5"/>
      <c r="N33" s="5"/>
      <c r="O33" s="5"/>
      <c r="P33" s="88"/>
      <c r="Q33" s="95"/>
    </row>
    <row r="34" spans="4:17" s="2" customFormat="1" ht="12" customHeight="1">
      <c r="D34" s="22"/>
      <c r="E34" s="22"/>
      <c r="J34" s="5"/>
      <c r="K34" s="5"/>
      <c r="L34" s="5"/>
      <c r="M34" s="5"/>
      <c r="N34" s="5"/>
      <c r="O34" s="5"/>
      <c r="P34" s="88"/>
      <c r="Q34" s="95"/>
    </row>
    <row r="35" spans="4:17" s="2" customFormat="1" ht="12" customHeight="1">
      <c r="D35" s="22"/>
      <c r="E35" s="22"/>
      <c r="J35" s="5"/>
      <c r="K35" s="5"/>
      <c r="L35" s="5"/>
      <c r="M35" s="5"/>
      <c r="N35" s="5"/>
      <c r="O35" s="5"/>
      <c r="P35" s="88"/>
      <c r="Q35" s="95"/>
    </row>
    <row r="36" spans="4:17" s="2" customFormat="1" ht="12" customHeight="1">
      <c r="D36" s="22"/>
      <c r="E36" s="22"/>
      <c r="J36" s="5"/>
      <c r="K36" s="5"/>
      <c r="L36" s="5"/>
      <c r="M36" s="5"/>
      <c r="N36" s="5"/>
      <c r="O36" s="5"/>
      <c r="P36" s="88"/>
      <c r="Q36" s="95"/>
    </row>
    <row r="37" spans="4:17" s="2" customFormat="1" ht="12" customHeight="1">
      <c r="D37" s="22"/>
      <c r="E37" s="22"/>
      <c r="J37" s="5"/>
      <c r="K37" s="5"/>
      <c r="L37" s="5"/>
      <c r="M37" s="5"/>
      <c r="N37" s="5"/>
      <c r="O37" s="5"/>
      <c r="P37" s="88"/>
      <c r="Q37" s="95"/>
    </row>
    <row r="38" spans="4:17" s="2" customFormat="1" ht="12" customHeight="1">
      <c r="D38" s="22"/>
      <c r="E38" s="22"/>
      <c r="J38" s="5"/>
      <c r="K38" s="5"/>
      <c r="L38" s="5"/>
      <c r="M38" s="5"/>
      <c r="N38" s="5"/>
      <c r="O38" s="5"/>
      <c r="P38" s="88"/>
      <c r="Q38" s="95"/>
    </row>
    <row r="39" spans="4:17" s="2" customFormat="1" ht="12" customHeight="1">
      <c r="D39" s="22"/>
      <c r="E39" s="22"/>
      <c r="J39" s="5"/>
      <c r="K39" s="5"/>
      <c r="L39" s="5"/>
      <c r="M39" s="5"/>
      <c r="N39" s="5"/>
      <c r="O39" s="5"/>
      <c r="P39" s="88"/>
      <c r="Q39" s="95"/>
    </row>
    <row r="40" spans="4:17" s="2" customFormat="1" ht="12" customHeight="1">
      <c r="D40" s="22"/>
      <c r="E40" s="22"/>
      <c r="J40" s="5"/>
      <c r="K40" s="5"/>
      <c r="L40" s="5"/>
      <c r="M40" s="5"/>
      <c r="N40" s="5"/>
      <c r="O40" s="5"/>
      <c r="P40" s="88"/>
      <c r="Q40" s="95"/>
    </row>
    <row r="41" spans="4:17" s="2" customFormat="1" ht="12" customHeight="1">
      <c r="D41" s="22"/>
      <c r="E41" s="22"/>
      <c r="J41" s="5"/>
      <c r="K41" s="5"/>
      <c r="L41" s="5"/>
      <c r="M41" s="5"/>
      <c r="N41" s="5"/>
      <c r="O41" s="5"/>
      <c r="P41" s="88"/>
      <c r="Q41" s="95"/>
    </row>
    <row r="42" spans="4:17" s="2" customFormat="1" ht="12" customHeight="1">
      <c r="D42" s="22"/>
      <c r="E42" s="22"/>
      <c r="J42" s="5"/>
      <c r="K42" s="5"/>
      <c r="L42" s="5"/>
      <c r="M42" s="5"/>
      <c r="N42" s="5"/>
      <c r="O42" s="5"/>
      <c r="P42" s="88"/>
      <c r="Q42" s="95"/>
    </row>
    <row r="43" spans="4:17" s="2" customFormat="1" ht="12" customHeight="1">
      <c r="D43" s="22"/>
      <c r="E43" s="22"/>
      <c r="J43" s="5"/>
      <c r="K43" s="5"/>
      <c r="L43" s="5"/>
      <c r="M43" s="5"/>
      <c r="N43" s="5"/>
      <c r="O43" s="5"/>
      <c r="P43" s="88"/>
      <c r="Q43" s="95"/>
    </row>
    <row r="44" spans="4:17" s="2" customFormat="1" ht="12" customHeight="1">
      <c r="D44" s="22"/>
      <c r="E44" s="22"/>
      <c r="J44" s="5"/>
      <c r="K44" s="5"/>
      <c r="L44" s="5"/>
      <c r="M44" s="5"/>
      <c r="N44" s="5"/>
      <c r="O44" s="5"/>
      <c r="P44" s="88"/>
      <c r="Q44" s="95"/>
    </row>
    <row r="45" spans="4:17" s="2" customFormat="1" ht="12" customHeight="1">
      <c r="D45" s="22"/>
      <c r="E45" s="22"/>
      <c r="J45" s="5"/>
      <c r="K45" s="5"/>
      <c r="L45" s="5"/>
      <c r="M45" s="5"/>
      <c r="N45" s="5"/>
      <c r="O45" s="5"/>
      <c r="P45" s="88"/>
      <c r="Q45" s="95"/>
    </row>
    <row r="46" spans="4:17" s="2" customFormat="1" ht="12" customHeight="1">
      <c r="D46" s="22"/>
      <c r="E46" s="22"/>
      <c r="J46" s="5"/>
      <c r="K46" s="5"/>
      <c r="L46" s="5"/>
      <c r="M46" s="5"/>
      <c r="N46" s="5"/>
      <c r="O46" s="5"/>
      <c r="P46" s="88"/>
      <c r="Q46" s="95"/>
    </row>
    <row r="47" spans="4:17" s="2" customFormat="1" ht="12" customHeight="1">
      <c r="D47" s="22"/>
      <c r="E47" s="22"/>
      <c r="J47" s="5"/>
      <c r="K47" s="5"/>
      <c r="L47" s="5"/>
      <c r="M47" s="5"/>
      <c r="N47" s="5"/>
      <c r="O47" s="5"/>
      <c r="P47" s="88"/>
      <c r="Q47" s="95"/>
    </row>
    <row r="48" spans="4:17" s="2" customFormat="1" ht="12" customHeight="1">
      <c r="D48" s="22"/>
      <c r="E48" s="22"/>
      <c r="J48" s="5"/>
      <c r="K48" s="5"/>
      <c r="L48" s="5"/>
      <c r="M48" s="5"/>
      <c r="N48" s="5"/>
      <c r="O48" s="5"/>
      <c r="P48" s="88"/>
      <c r="Q48" s="95"/>
    </row>
    <row r="49" spans="4:17" s="2" customFormat="1" ht="12" customHeight="1">
      <c r="D49" s="22"/>
      <c r="E49" s="22"/>
      <c r="J49" s="5"/>
      <c r="K49" s="5"/>
      <c r="L49" s="5"/>
      <c r="M49" s="5"/>
      <c r="N49" s="5"/>
      <c r="O49" s="5"/>
      <c r="P49" s="88"/>
      <c r="Q49" s="95"/>
    </row>
    <row r="50" spans="4:17" s="2" customFormat="1" ht="12" customHeight="1">
      <c r="D50" s="22"/>
      <c r="E50" s="22"/>
      <c r="J50" s="5"/>
      <c r="K50" s="5"/>
      <c r="L50" s="5"/>
      <c r="M50" s="5"/>
      <c r="N50" s="5"/>
      <c r="O50" s="5"/>
      <c r="P50" s="88"/>
      <c r="Q50" s="95"/>
    </row>
    <row r="51" spans="4:17" s="2" customFormat="1" ht="12" customHeight="1">
      <c r="D51" s="22"/>
      <c r="E51" s="22"/>
      <c r="J51" s="5"/>
      <c r="K51" s="5"/>
      <c r="L51" s="5"/>
      <c r="M51" s="5"/>
      <c r="N51" s="5"/>
      <c r="O51" s="5"/>
      <c r="P51" s="88"/>
      <c r="Q51" s="95"/>
    </row>
    <row r="52" spans="4:17" s="2" customFormat="1" ht="12" customHeight="1">
      <c r="D52" s="22"/>
      <c r="E52" s="22"/>
      <c r="J52" s="5"/>
      <c r="K52" s="5"/>
      <c r="L52" s="5"/>
      <c r="M52" s="5"/>
      <c r="N52" s="5"/>
      <c r="O52" s="5"/>
      <c r="P52" s="88"/>
      <c r="Q52" s="95"/>
    </row>
    <row r="53" spans="4:17" s="2" customFormat="1" ht="12" customHeight="1">
      <c r="D53" s="22"/>
      <c r="E53" s="22"/>
      <c r="J53" s="5"/>
      <c r="K53" s="5"/>
      <c r="L53" s="5"/>
      <c r="M53" s="5"/>
      <c r="N53" s="5"/>
      <c r="O53" s="5"/>
      <c r="P53" s="88"/>
      <c r="Q53" s="95"/>
    </row>
    <row r="54" spans="4:17" s="2" customFormat="1" ht="12" customHeight="1">
      <c r="D54" s="22"/>
      <c r="E54" s="22"/>
      <c r="J54" s="5"/>
      <c r="K54" s="5"/>
      <c r="L54" s="5"/>
      <c r="M54" s="5"/>
      <c r="N54" s="5"/>
      <c r="O54" s="5"/>
      <c r="P54" s="88"/>
      <c r="Q54" s="95"/>
    </row>
    <row r="55" spans="4:17" s="2" customFormat="1" ht="12" customHeight="1">
      <c r="D55" s="22"/>
      <c r="E55" s="22"/>
      <c r="J55" s="5"/>
      <c r="K55" s="5"/>
      <c r="L55" s="5"/>
      <c r="M55" s="5"/>
      <c r="N55" s="5"/>
      <c r="O55" s="5"/>
      <c r="P55" s="88"/>
      <c r="Q55" s="95"/>
    </row>
    <row r="56" spans="4:17" s="2" customFormat="1" ht="12" customHeight="1">
      <c r="D56" s="22"/>
      <c r="E56" s="22"/>
      <c r="J56" s="5"/>
      <c r="K56" s="5"/>
      <c r="L56" s="5"/>
      <c r="M56" s="5"/>
      <c r="N56" s="5"/>
      <c r="O56" s="5"/>
      <c r="P56" s="88"/>
      <c r="Q56" s="95"/>
    </row>
    <row r="57" spans="4:17" s="2" customFormat="1" ht="12" customHeight="1">
      <c r="D57" s="22"/>
      <c r="E57" s="22"/>
      <c r="J57" s="5"/>
      <c r="K57" s="5"/>
      <c r="L57" s="5"/>
      <c r="M57" s="5"/>
      <c r="N57" s="5"/>
      <c r="O57" s="5"/>
      <c r="P57" s="88"/>
      <c r="Q57" s="95"/>
    </row>
    <row r="58" spans="4:17" s="2" customFormat="1" ht="12" customHeight="1">
      <c r="D58" s="22"/>
      <c r="E58" s="22"/>
      <c r="J58" s="5"/>
      <c r="K58" s="5"/>
      <c r="L58" s="5"/>
      <c r="M58" s="5"/>
      <c r="N58" s="5"/>
      <c r="O58" s="5"/>
      <c r="P58" s="88"/>
      <c r="Q58" s="95"/>
    </row>
    <row r="59" spans="4:17" s="2" customFormat="1" ht="12" customHeight="1">
      <c r="D59" s="22"/>
      <c r="E59" s="22"/>
      <c r="J59" s="5"/>
      <c r="K59" s="5"/>
      <c r="L59" s="5"/>
      <c r="M59" s="5"/>
      <c r="N59" s="5"/>
      <c r="O59" s="5"/>
      <c r="P59" s="88"/>
      <c r="Q59" s="95"/>
    </row>
    <row r="60" spans="4:17" s="2" customFormat="1" ht="12" customHeight="1">
      <c r="D60" s="22"/>
      <c r="E60" s="22"/>
      <c r="J60" s="5"/>
      <c r="K60" s="5"/>
      <c r="L60" s="5"/>
      <c r="M60" s="5"/>
      <c r="N60" s="5"/>
      <c r="O60" s="5"/>
      <c r="P60" s="88"/>
      <c r="Q60" s="95"/>
    </row>
    <row r="61" spans="4:17" s="2" customFormat="1" ht="12" customHeight="1">
      <c r="D61" s="22"/>
      <c r="E61" s="22"/>
      <c r="J61" s="5"/>
      <c r="K61" s="5"/>
      <c r="L61" s="5"/>
      <c r="M61" s="5"/>
      <c r="N61" s="5"/>
      <c r="O61" s="5"/>
      <c r="P61" s="88"/>
      <c r="Q61" s="95"/>
    </row>
    <row r="62" spans="4:17" s="2" customFormat="1" ht="12" customHeight="1">
      <c r="D62" s="22"/>
      <c r="E62" s="22"/>
      <c r="J62" s="5"/>
      <c r="K62" s="5"/>
      <c r="L62" s="5"/>
      <c r="M62" s="5"/>
      <c r="N62" s="5"/>
      <c r="O62" s="5"/>
      <c r="P62" s="88"/>
      <c r="Q62" s="95"/>
    </row>
    <row r="63" spans="4:17" s="2" customFormat="1" ht="12" customHeight="1">
      <c r="D63" s="22"/>
      <c r="E63" s="22"/>
      <c r="J63" s="5"/>
      <c r="K63" s="5"/>
      <c r="L63" s="5"/>
      <c r="M63" s="5"/>
      <c r="N63" s="5"/>
      <c r="O63" s="5"/>
      <c r="P63" s="88"/>
      <c r="Q63" s="95"/>
    </row>
    <row r="64" spans="4:17" s="2" customFormat="1" ht="12" customHeight="1">
      <c r="D64" s="22"/>
      <c r="E64" s="22"/>
      <c r="J64" s="5"/>
      <c r="K64" s="5"/>
      <c r="L64" s="5"/>
      <c r="M64" s="5"/>
      <c r="N64" s="5"/>
      <c r="O64" s="5"/>
      <c r="P64" s="88"/>
      <c r="Q64" s="96"/>
    </row>
    <row r="65" spans="1:17" s="2" customFormat="1" ht="12" customHeight="1">
      <c r="D65" s="22"/>
      <c r="E65" s="22"/>
      <c r="J65" s="5"/>
      <c r="K65" s="5"/>
      <c r="L65" s="5"/>
      <c r="M65" s="5"/>
      <c r="N65" s="5"/>
      <c r="O65" s="5"/>
      <c r="P65" s="88"/>
      <c r="Q65" s="96"/>
    </row>
    <row r="66" spans="1:17" s="2" customFormat="1" ht="12" customHeight="1">
      <c r="D66" s="22"/>
      <c r="E66" s="22"/>
      <c r="J66" s="5"/>
      <c r="K66" s="5"/>
      <c r="L66" s="5"/>
      <c r="M66" s="5"/>
      <c r="N66" s="5"/>
      <c r="O66" s="5"/>
      <c r="P66" s="88"/>
      <c r="Q66" s="96"/>
    </row>
    <row r="67" spans="1:17" s="2" customFormat="1" ht="12" customHeight="1">
      <c r="D67" s="22"/>
      <c r="E67" s="22"/>
      <c r="J67" s="5"/>
      <c r="K67" s="5"/>
      <c r="L67" s="5"/>
      <c r="M67" s="5"/>
      <c r="N67" s="5"/>
      <c r="O67" s="5"/>
      <c r="P67" s="88"/>
      <c r="Q67" s="96"/>
    </row>
    <row r="68" spans="1:17" s="2" customFormat="1" ht="12" customHeight="1">
      <c r="A68"/>
      <c r="B68"/>
      <c r="C68"/>
      <c r="D68" s="23"/>
      <c r="E68" s="23"/>
      <c r="F68"/>
      <c r="G68"/>
      <c r="H68"/>
      <c r="I68"/>
      <c r="J68" s="19"/>
      <c r="K68" s="19"/>
      <c r="L68" s="19"/>
      <c r="M68" s="19"/>
      <c r="N68" s="19"/>
      <c r="O68" s="19"/>
      <c r="P68" s="90"/>
      <c r="Q68" s="96"/>
    </row>
    <row r="69" spans="1:17" s="2" customFormat="1" ht="12" customHeight="1">
      <c r="A69"/>
      <c r="B69"/>
      <c r="C69"/>
      <c r="D69" s="23"/>
      <c r="E69" s="23"/>
      <c r="F69"/>
      <c r="G69"/>
      <c r="H69"/>
      <c r="I69"/>
      <c r="J69" s="19"/>
      <c r="K69" s="19"/>
      <c r="L69" s="19"/>
      <c r="M69" s="19"/>
      <c r="N69" s="19"/>
      <c r="O69" s="19"/>
      <c r="P69" s="90"/>
      <c r="Q69" s="96"/>
    </row>
    <row r="70" spans="1:17" s="2" customFormat="1" ht="12" customHeight="1">
      <c r="A70"/>
      <c r="B70"/>
      <c r="C70"/>
      <c r="D70" s="23"/>
      <c r="E70" s="23"/>
      <c r="F70"/>
      <c r="G70"/>
      <c r="H70"/>
      <c r="I70"/>
      <c r="J70" s="19"/>
      <c r="K70" s="19"/>
      <c r="L70" s="19"/>
      <c r="M70" s="19"/>
      <c r="N70" s="19"/>
      <c r="O70" s="19"/>
      <c r="P70" s="90"/>
      <c r="Q70" s="96"/>
    </row>
    <row r="71" spans="1:17" s="2" customFormat="1" ht="12" customHeight="1">
      <c r="A71"/>
      <c r="B71"/>
      <c r="C71"/>
      <c r="D71" s="23"/>
      <c r="E71" s="23"/>
      <c r="F71"/>
      <c r="G71"/>
      <c r="H71"/>
      <c r="I71"/>
      <c r="J71" s="19"/>
      <c r="K71" s="19"/>
      <c r="L71" s="19"/>
      <c r="M71" s="19"/>
      <c r="N71" s="19"/>
      <c r="O71" s="19"/>
      <c r="P71" s="90"/>
      <c r="Q71" s="96"/>
    </row>
    <row r="72" spans="1:17" s="2" customFormat="1" ht="12" customHeight="1">
      <c r="A72"/>
      <c r="B72"/>
      <c r="C72"/>
      <c r="D72" s="23"/>
      <c r="E72" s="23"/>
      <c r="F72"/>
      <c r="G72"/>
      <c r="H72"/>
      <c r="I72"/>
      <c r="J72" s="19"/>
      <c r="K72" s="19"/>
      <c r="L72" s="19"/>
      <c r="M72" s="19"/>
      <c r="N72" s="19"/>
      <c r="O72" s="19"/>
      <c r="P72" s="90"/>
      <c r="Q72" s="96"/>
    </row>
    <row r="73" spans="1:17">
      <c r="Q73" s="96"/>
    </row>
    <row r="74" spans="1:17">
      <c r="Q74" s="96"/>
    </row>
    <row r="75" spans="1:17">
      <c r="Q75" s="96"/>
    </row>
    <row r="76" spans="1:17">
      <c r="Q76" s="96"/>
    </row>
    <row r="77" spans="1:17">
      <c r="Q77" s="96"/>
    </row>
    <row r="78" spans="1:17">
      <c r="Q78" s="96"/>
    </row>
    <row r="79" spans="1:17">
      <c r="Q79" s="96"/>
    </row>
    <row r="80" spans="1:17">
      <c r="Q80" s="96"/>
    </row>
    <row r="81" spans="17:17">
      <c r="Q81" s="96"/>
    </row>
    <row r="82" spans="17:17">
      <c r="Q82" s="96"/>
    </row>
    <row r="83" spans="17:17">
      <c r="Q83" s="96"/>
    </row>
    <row r="84" spans="17:17">
      <c r="Q84" s="96"/>
    </row>
    <row r="85" spans="17:17">
      <c r="Q85" s="96"/>
    </row>
    <row r="86" spans="17:17">
      <c r="Q86" s="96"/>
    </row>
    <row r="87" spans="17:17">
      <c r="Q87" s="96"/>
    </row>
    <row r="88" spans="17:17">
      <c r="Q88" s="96"/>
    </row>
    <row r="89" spans="17:17">
      <c r="Q89" s="96"/>
    </row>
    <row r="90" spans="17:17">
      <c r="Q90" s="96"/>
    </row>
    <row r="91" spans="17:17">
      <c r="Q91" s="96"/>
    </row>
    <row r="92" spans="17:17">
      <c r="Q92" s="96"/>
    </row>
    <row r="129" ht="12" customHeight="1"/>
    <row r="130" ht="12" customHeight="1"/>
    <row r="131" ht="12" customHeight="1"/>
    <row r="132" ht="12" customHeight="1"/>
    <row r="133" ht="12" customHeight="1"/>
    <row r="134" ht="12" customHeight="1"/>
    <row r="135" ht="12" customHeight="1"/>
    <row r="136" ht="12" customHeight="1"/>
    <row r="137" ht="12" customHeight="1"/>
    <row r="138" ht="12" customHeight="1"/>
    <row r="139" ht="12" customHeight="1"/>
    <row r="140" ht="12" customHeight="1"/>
    <row r="141" ht="12" customHeight="1"/>
    <row r="142" ht="12" customHeight="1"/>
    <row r="143" ht="12" customHeight="1"/>
    <row r="144" ht="12" customHeight="1"/>
    <row r="145" ht="12" customHeight="1"/>
    <row r="146" ht="12" customHeight="1"/>
    <row r="147" ht="12" customHeight="1"/>
    <row r="148" ht="12" customHeight="1"/>
    <row r="149" ht="12" customHeight="1"/>
    <row r="150" ht="12" customHeight="1"/>
    <row r="151" ht="12" customHeight="1"/>
    <row r="152" ht="12" customHeight="1"/>
    <row r="153" ht="12" customHeight="1"/>
    <row r="154" ht="12" customHeight="1"/>
    <row r="155" ht="12" customHeight="1"/>
    <row r="156" ht="12" customHeight="1"/>
    <row r="157" ht="12" customHeight="1"/>
    <row r="158" ht="12" customHeight="1"/>
    <row r="159" ht="12" customHeight="1"/>
    <row r="160" ht="12" customHeight="1"/>
    <row r="161" ht="12" customHeight="1"/>
    <row r="162" ht="12" customHeight="1"/>
    <row r="163" ht="12" customHeight="1"/>
    <row r="164" ht="12" customHeight="1"/>
    <row r="165" ht="12" customHeight="1"/>
    <row r="166" ht="12" customHeight="1"/>
    <row r="167" ht="12" customHeight="1"/>
    <row r="168" ht="12" customHeight="1"/>
    <row r="169" ht="12" customHeight="1"/>
    <row r="170" ht="12" customHeight="1"/>
    <row r="171" ht="12" customHeight="1"/>
    <row r="172" ht="12" customHeight="1"/>
    <row r="173" ht="12" customHeight="1"/>
    <row r="174" ht="12" customHeight="1"/>
    <row r="175" ht="12" customHeight="1"/>
    <row r="176" ht="12" customHeight="1"/>
    <row r="177" ht="12" customHeight="1"/>
    <row r="178" ht="12" customHeight="1"/>
  </sheetData>
  <mergeCells count="28">
    <mergeCell ref="D23:E23"/>
    <mergeCell ref="D25:E25"/>
    <mergeCell ref="H25:I25"/>
    <mergeCell ref="D24:E24"/>
    <mergeCell ref="D20:E20"/>
    <mergeCell ref="D18:E18"/>
    <mergeCell ref="D19:E19"/>
    <mergeCell ref="H20:I20"/>
    <mergeCell ref="D21:E21"/>
    <mergeCell ref="D22:E22"/>
    <mergeCell ref="D10:E10"/>
    <mergeCell ref="H10:I10"/>
    <mergeCell ref="D11:E11"/>
    <mergeCell ref="D12:E12"/>
    <mergeCell ref="D17:E17"/>
    <mergeCell ref="H17:I17"/>
    <mergeCell ref="D13:E13"/>
    <mergeCell ref="D14:E14"/>
    <mergeCell ref="D15:E15"/>
    <mergeCell ref="D16:E16"/>
    <mergeCell ref="D1:E1"/>
    <mergeCell ref="D4:E4"/>
    <mergeCell ref="H4:I4"/>
    <mergeCell ref="D9:E9"/>
    <mergeCell ref="D5:E5"/>
    <mergeCell ref="D6:E6"/>
    <mergeCell ref="D7:E7"/>
    <mergeCell ref="D8:E8"/>
  </mergeCells>
  <conditionalFormatting sqref="M5:M9">
    <cfRule type="cellIs" dxfId="567" priority="3" stopIfTrue="1" operator="lessThanOrEqual">
      <formula>$L5</formula>
    </cfRule>
    <cfRule type="cellIs" dxfId="566" priority="4" operator="greaterThan">
      <formula>L5</formula>
    </cfRule>
  </conditionalFormatting>
  <conditionalFormatting sqref="M11:M16 M18:M19">
    <cfRule type="cellIs" dxfId="565" priority="5" stopIfTrue="1" operator="lessThanOrEqual">
      <formula>$L11</formula>
    </cfRule>
    <cfRule type="cellIs" dxfId="564" priority="6" operator="greaterThan">
      <formula>L11</formula>
    </cfRule>
  </conditionalFormatting>
  <conditionalFormatting sqref="M21:M24">
    <cfRule type="cellIs" dxfId="563" priority="1" stopIfTrue="1" operator="lessThanOrEqual">
      <formula>$L21</formula>
    </cfRule>
    <cfRule type="cellIs" dxfId="562" priority="2" operator="greaterThan">
      <formula>L21</formula>
    </cfRule>
  </conditionalFormatting>
  <pageMargins left="0.7" right="0.7" top="0.75" bottom="0.75" header="0.3" footer="0.3"/>
  <pageSetup paperSize="3" fitToHeight="0" orientation="landscape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CB4C70F-700B-45CC-9BBA-5348D7216A06}">
          <x14:formula1>
            <xm:f>Bolts!$A:$A</xm:f>
          </x14:formula1>
          <xm:sqref>C18:C19</xm:sqref>
        </x14:dataValidation>
        <x14:dataValidation type="list" allowBlank="1" showInputMessage="1" showErrorMessage="1" xr:uid="{2901B0F4-76AD-45A6-B406-D89EE96261BF}">
          <x14:formula1>
            <xm:f>Purchased!$A:$A</xm:f>
          </x14:formula1>
          <xm:sqref>C11:C16</xm:sqref>
        </x14:dataValidation>
        <x14:dataValidation type="list" allowBlank="1" showInputMessage="1" showErrorMessage="1" xr:uid="{DA925FB3-2A77-4DF5-A85B-EEBE9F9C11E8}">
          <x14:formula1>
            <xm:f>Extrusion!$B:$B</xm:f>
          </x14:formula1>
          <xm:sqref>C21:C24</xm:sqref>
        </x14:dataValidation>
        <x14:dataValidation type="list" allowBlank="1" showInputMessage="1" showErrorMessage="1" xr:uid="{4728BB24-5B0A-47D0-A4FF-8456F30EC4FE}">
          <x14:formula1>
            <xm:f>Machined!$C:$C</xm:f>
          </x14:formula1>
          <xm:sqref>C5:C9</xm:sqref>
        </x14:dataValidation>
      </x14:dataValidation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AB2286-130E-404B-934A-8E46A8ED1D79}">
  <sheetPr codeName="Sheet28">
    <tabColor theme="3" tint="0.79998168889431442"/>
    <pageSetUpPr fitToPage="1"/>
  </sheetPr>
  <dimension ref="A1:Q178"/>
  <sheetViews>
    <sheetView zoomScaleNormal="100" workbookViewId="0">
      <selection activeCell="C19" sqref="C19"/>
    </sheetView>
  </sheetViews>
  <sheetFormatPr defaultColWidth="9.140625" defaultRowHeight="15"/>
  <cols>
    <col min="1" max="1" width="5.7109375" customWidth="1"/>
    <col min="2" max="2" width="5.42578125" bestFit="1" customWidth="1"/>
    <col min="3" max="3" width="30.7109375" customWidth="1"/>
    <col min="4" max="5" width="20.7109375" style="23" customWidth="1"/>
    <col min="6" max="6" width="16.85546875" bestFit="1" customWidth="1"/>
    <col min="7" max="7" width="9.7109375" customWidth="1"/>
    <col min="8" max="8" width="8.7109375" customWidth="1"/>
    <col min="9" max="9" width="20.7109375" customWidth="1"/>
    <col min="10" max="13" width="11.7109375" style="19" customWidth="1"/>
    <col min="14" max="14" width="11.85546875" style="19" bestFit="1" customWidth="1"/>
    <col min="15" max="15" width="7.7109375" style="19" customWidth="1"/>
    <col min="16" max="16" width="10.7109375" style="90" customWidth="1"/>
    <col min="17" max="17" width="10.7109375" style="97" customWidth="1"/>
  </cols>
  <sheetData>
    <row r="1" spans="1:17" s="55" customFormat="1" ht="12" customHeight="1">
      <c r="A1" s="68" t="s">
        <v>0</v>
      </c>
      <c r="B1" s="69"/>
      <c r="C1" s="69"/>
      <c r="D1" s="262" t="s">
        <v>1</v>
      </c>
      <c r="E1" s="263"/>
      <c r="F1" s="70"/>
      <c r="G1" s="69"/>
      <c r="H1" s="70"/>
      <c r="I1" s="71"/>
      <c r="J1" s="72"/>
      <c r="K1" s="72"/>
      <c r="L1" s="72"/>
      <c r="M1" s="72"/>
      <c r="N1" s="72"/>
      <c r="O1" s="72"/>
      <c r="P1" s="85"/>
      <c r="Q1" s="91"/>
    </row>
    <row r="2" spans="1:17" s="55" customFormat="1" ht="12" customHeight="1">
      <c r="A2" s="74" t="s">
        <v>48</v>
      </c>
      <c r="B2" s="58"/>
      <c r="C2" s="57" t="e">
        <f ca="1">VLOOKUP(E3,Assemblies!B:F,4,0)</f>
        <v>#VALUE!</v>
      </c>
      <c r="D2" s="75" t="s">
        <v>3</v>
      </c>
      <c r="E2" s="76" t="e">
        <f ca="1">'GF12'!E2</f>
        <v>#VALUE!</v>
      </c>
      <c r="F2" s="77" t="s">
        <v>4</v>
      </c>
      <c r="G2" s="58" t="str">
        <f>'GF12'!G2</f>
        <v>GH</v>
      </c>
      <c r="H2" s="77" t="s">
        <v>6</v>
      </c>
      <c r="I2" s="59">
        <f>'GF12'!I2</f>
        <v>44775</v>
      </c>
      <c r="J2" s="39"/>
      <c r="K2" s="40" t="s">
        <v>49</v>
      </c>
      <c r="L2" s="41" t="e">
        <f ca="1">VLOOKUP(C2,Assemblies!E:G,3,0)</f>
        <v>#VALUE!</v>
      </c>
      <c r="M2" s="78"/>
      <c r="N2" s="78"/>
      <c r="O2" s="78"/>
      <c r="P2" s="86"/>
      <c r="Q2" s="92"/>
    </row>
    <row r="3" spans="1:17" s="55" customFormat="1" ht="12" customHeight="1" thickBot="1">
      <c r="A3" s="74" t="s">
        <v>7</v>
      </c>
      <c r="B3" s="58"/>
      <c r="C3" s="57" t="e">
        <f ca="1">VLOOKUP(E3,Assemblies!B:F,5,0)</f>
        <v>#VALUE!</v>
      </c>
      <c r="D3" s="75" t="s">
        <v>50</v>
      </c>
      <c r="E3" s="76" t="e">
        <f ca="1">MID(CELL("filename",A1),FIND("]",CELL("filename",A1))+1,256)</f>
        <v>#VALUE!</v>
      </c>
      <c r="F3" s="77" t="s">
        <v>11</v>
      </c>
      <c r="G3" s="58" t="str">
        <f>'GF12'!G3</f>
        <v>GH</v>
      </c>
      <c r="H3" s="77" t="s">
        <v>6</v>
      </c>
      <c r="I3" s="59">
        <f>'GF12'!I3</f>
        <v>44775</v>
      </c>
      <c r="J3" s="78"/>
      <c r="K3" s="78"/>
      <c r="L3" s="78"/>
      <c r="M3" s="78"/>
      <c r="N3" s="78"/>
      <c r="O3" s="78"/>
      <c r="P3" s="86"/>
      <c r="Q3" s="92"/>
    </row>
    <row r="4" spans="1:17" s="56" customFormat="1" ht="12.75" customHeight="1" thickBot="1">
      <c r="A4" s="80" t="s">
        <v>12</v>
      </c>
      <c r="B4" s="81" t="s">
        <v>13</v>
      </c>
      <c r="C4" s="81" t="s">
        <v>14</v>
      </c>
      <c r="D4" s="270" t="s">
        <v>15</v>
      </c>
      <c r="E4" s="271"/>
      <c r="F4" s="104" t="s">
        <v>16</v>
      </c>
      <c r="G4" s="81" t="s">
        <v>17</v>
      </c>
      <c r="H4" s="260" t="s">
        <v>18</v>
      </c>
      <c r="I4" s="261"/>
      <c r="J4" s="81" t="s">
        <v>51</v>
      </c>
      <c r="K4" s="81" t="s">
        <v>20</v>
      </c>
      <c r="L4" s="81" t="s">
        <v>21</v>
      </c>
      <c r="M4" s="81" t="s">
        <v>52</v>
      </c>
      <c r="N4" s="81" t="s">
        <v>22</v>
      </c>
      <c r="O4" s="81" t="s">
        <v>53</v>
      </c>
      <c r="P4" s="107" t="s">
        <v>26</v>
      </c>
      <c r="Q4" s="82" t="s">
        <v>27</v>
      </c>
    </row>
    <row r="5" spans="1:17" s="2" customFormat="1" ht="12.75" customHeight="1">
      <c r="A5" s="127">
        <v>1</v>
      </c>
      <c r="B5" s="21">
        <v>1</v>
      </c>
      <c r="C5" s="108" t="s">
        <v>377</v>
      </c>
      <c r="D5" s="277" t="str">
        <f>VLOOKUP(C5,Machined!C:Q,2,0)</f>
        <v>Clear Polycarb Panel Door  11  765x947</v>
      </c>
      <c r="E5" s="278"/>
      <c r="F5" s="131" t="str">
        <f>VLOOKUP(C5,Machined!C:R,7,0)</f>
        <v>Polycarb</v>
      </c>
      <c r="G5" s="131" t="str">
        <f>VLOOKUP(C5,Machined!C:R,10,0)</f>
        <v>PRO PLASTICS</v>
      </c>
      <c r="H5" s="131" t="str">
        <f>VLOOKUP(C5,Machined!C:R,11,0)</f>
        <v>Quote 668778; &lt;2 weeks; Drawings/Step are under Polycarbonate Door NuLine</v>
      </c>
      <c r="I5" s="131"/>
      <c r="J5" s="42">
        <f>VLOOKUP(C5,Machined!C:R,12,0)</f>
        <v>45159</v>
      </c>
      <c r="K5" s="42" t="str">
        <f>VLOOKUP(C5,Machined!C:R,13,0)</f>
        <v xml:space="preserve"> 9/19/2023</v>
      </c>
      <c r="L5" s="42">
        <f>VLOOKUP(C5,Machined!C:R,14,0)</f>
        <v>45212</v>
      </c>
      <c r="M5" s="42">
        <f>VLOOKUP(C5,Machined!C:R,15,0)</f>
        <v>45212</v>
      </c>
      <c r="N5" s="43">
        <f>VLOOKUP(C5,Machined!C:R,16,0)</f>
        <v>55157</v>
      </c>
      <c r="O5" s="43" t="e">
        <f t="shared" ref="O5:O8" ca="1" si="0">B5*$L$2</f>
        <v>#VALUE!</v>
      </c>
      <c r="P5" s="47">
        <f>IFERROR(VLOOKUP(C5,Machined!C:F,3,0),"")</f>
        <v>54.973300000000002</v>
      </c>
      <c r="Q5" s="48">
        <f t="shared" ref="Q5:Q8" si="1">IFERROR(B5*P5,"")</f>
        <v>54.973300000000002</v>
      </c>
    </row>
    <row r="6" spans="1:17" s="2" customFormat="1" ht="12.75" customHeight="1">
      <c r="A6" s="127">
        <v>2</v>
      </c>
      <c r="B6" s="21">
        <v>1</v>
      </c>
      <c r="C6" s="108" t="s">
        <v>378</v>
      </c>
      <c r="D6" s="277" t="str">
        <f>VLOOKUP(C6,Machined!C:Q,2,0)</f>
        <v>Clear Polycarb Panel Door  11  810x947</v>
      </c>
      <c r="E6" s="278"/>
      <c r="F6" s="131" t="str">
        <f>VLOOKUP(C6,Machined!C:R,7,0)</f>
        <v>Polycarb</v>
      </c>
      <c r="G6" s="131" t="str">
        <f>VLOOKUP(C6,Machined!C:R,10,0)</f>
        <v>PRO PLASTICS</v>
      </c>
      <c r="H6" s="131" t="str">
        <f>VLOOKUP(C6,Machined!C:R,11,0)</f>
        <v>Quote 668778; &lt;2 weeks; Drawings/Step are under Polycarbonate Door NuLine</v>
      </c>
      <c r="I6" s="131"/>
      <c r="J6" s="42">
        <f>VLOOKUP(C6,Machined!C:R,12,0)</f>
        <v>45159</v>
      </c>
      <c r="K6" s="42" t="str">
        <f>VLOOKUP(C6,Machined!C:R,13,0)</f>
        <v xml:space="preserve"> 9/19/2023</v>
      </c>
      <c r="L6" s="42">
        <f>VLOOKUP(C6,Machined!C:R,14,0)</f>
        <v>45212</v>
      </c>
      <c r="M6" s="42">
        <f>VLOOKUP(C6,Machined!C:R,15,0)</f>
        <v>45212</v>
      </c>
      <c r="N6" s="43">
        <f>VLOOKUP(C6,Machined!C:R,16,0)</f>
        <v>55157</v>
      </c>
      <c r="O6" s="43" t="e">
        <f t="shared" ca="1" si="0"/>
        <v>#VALUE!</v>
      </c>
      <c r="P6" s="47">
        <f>IFERROR(VLOOKUP(C6,Machined!C:F,3,0),"")</f>
        <v>54.973300000000002</v>
      </c>
      <c r="Q6" s="48">
        <f t="shared" si="1"/>
        <v>54.973300000000002</v>
      </c>
    </row>
    <row r="7" spans="1:17" s="2" customFormat="1" ht="12.75" customHeight="1">
      <c r="A7" s="127">
        <v>3</v>
      </c>
      <c r="B7" s="21">
        <v>1</v>
      </c>
      <c r="C7" s="108" t="s">
        <v>379</v>
      </c>
      <c r="D7" s="277" t="str">
        <f>VLOOKUP(C7,Machined!C:Q,2,0)</f>
        <v>Clear Polycarb Panel Door  12  765x1214</v>
      </c>
      <c r="E7" s="278"/>
      <c r="F7" s="131" t="str">
        <f>VLOOKUP(C7,Machined!C:R,7,0)</f>
        <v>Polycarb</v>
      </c>
      <c r="G7" s="131" t="str">
        <f>VLOOKUP(C7,Machined!C:R,10,0)</f>
        <v>PRO PLASTICS</v>
      </c>
      <c r="H7" s="131" t="str">
        <f>VLOOKUP(C7,Machined!C:R,11,0)</f>
        <v>Quote 668778; &lt;2 weeks; Drawings/Step are under Polycarbonate Door NuLine</v>
      </c>
      <c r="I7" s="131"/>
      <c r="J7" s="42">
        <f>VLOOKUP(C7,Machined!C:R,12,0)</f>
        <v>45159</v>
      </c>
      <c r="K7" s="42" t="str">
        <f>VLOOKUP(C7,Machined!C:R,13,0)</f>
        <v xml:space="preserve"> 9/19/2023</v>
      </c>
      <c r="L7" s="42">
        <f>VLOOKUP(C7,Machined!C:R,14,0)</f>
        <v>45212</v>
      </c>
      <c r="M7" s="42">
        <f>VLOOKUP(C7,Machined!C:R,15,0)</f>
        <v>45212</v>
      </c>
      <c r="N7" s="43">
        <f>VLOOKUP(C7,Machined!C:R,16,0)</f>
        <v>55157</v>
      </c>
      <c r="O7" s="43" t="e">
        <f t="shared" ca="1" si="0"/>
        <v>#VALUE!</v>
      </c>
      <c r="P7" s="47">
        <f>IFERROR(VLOOKUP(C7,Machined!C:F,3,0),"")</f>
        <v>54.973300000000002</v>
      </c>
      <c r="Q7" s="48">
        <f t="shared" si="1"/>
        <v>54.973300000000002</v>
      </c>
    </row>
    <row r="8" spans="1:17" s="2" customFormat="1" ht="12.75" customHeight="1">
      <c r="A8" s="127">
        <v>4</v>
      </c>
      <c r="B8" s="21">
        <v>1</v>
      </c>
      <c r="C8" s="108" t="s">
        <v>380</v>
      </c>
      <c r="D8" s="277" t="str">
        <f>VLOOKUP(C8,Machined!C:Q,2,0)</f>
        <v>Clear Polycarb Panel Door  12  810x1214</v>
      </c>
      <c r="E8" s="278"/>
      <c r="F8" s="131" t="str">
        <f>VLOOKUP(C8,Machined!C:R,7,0)</f>
        <v>Polycarb</v>
      </c>
      <c r="G8" s="131" t="str">
        <f>VLOOKUP(C8,Machined!C:R,10,0)</f>
        <v>PRO PLASTICS</v>
      </c>
      <c r="H8" s="131" t="str">
        <f>VLOOKUP(C8,Machined!C:R,11,0)</f>
        <v>Quote 668778; &lt;2 weeks; Drawings/Step are under Polycarbonate Door NuLine</v>
      </c>
      <c r="I8" s="131"/>
      <c r="J8" s="42">
        <f>VLOOKUP(C8,Machined!C:R,12,0)</f>
        <v>45159</v>
      </c>
      <c r="K8" s="42" t="str">
        <f>VLOOKUP(C8,Machined!C:R,13,0)</f>
        <v xml:space="preserve"> 9/19/2023</v>
      </c>
      <c r="L8" s="42">
        <f>VLOOKUP(C8,Machined!C:R,14,0)</f>
        <v>45212</v>
      </c>
      <c r="M8" s="42">
        <f>VLOOKUP(C8,Machined!C:R,15,0)</f>
        <v>45212</v>
      </c>
      <c r="N8" s="43">
        <f>VLOOKUP(C8,Machined!C:R,16,0)</f>
        <v>55157</v>
      </c>
      <c r="O8" s="43" t="e">
        <f t="shared" ca="1" si="0"/>
        <v>#VALUE!</v>
      </c>
      <c r="P8" s="47">
        <f>IFERROR(VLOOKUP(C8,Machined!C:F,3,0),"")</f>
        <v>54.973300000000002</v>
      </c>
      <c r="Q8" s="48">
        <f t="shared" si="1"/>
        <v>54.973300000000002</v>
      </c>
    </row>
    <row r="9" spans="1:17" s="2" customFormat="1" ht="12.75" customHeight="1">
      <c r="A9" s="127">
        <v>5</v>
      </c>
      <c r="B9" s="21">
        <v>4</v>
      </c>
      <c r="C9" s="108" t="s">
        <v>354</v>
      </c>
      <c r="D9" s="277" t="str">
        <f>VLOOKUP(C9,Machined!C:Q,2,0)</f>
        <v>Door Support</v>
      </c>
      <c r="E9" s="278"/>
      <c r="F9" s="131" t="str">
        <f>VLOOKUP(C9,Machined!C:R,7,0)</f>
        <v>Delrin - White</v>
      </c>
      <c r="G9" s="131" t="str">
        <f>VLOOKUP(C9,Machined!C:R,10,0)</f>
        <v>BIG SKY</v>
      </c>
      <c r="H9" s="131" t="str">
        <f>VLOOKUP(C9,Machined!C:R,11,0)</f>
        <v xml:space="preserve">  </v>
      </c>
      <c r="I9" s="131"/>
      <c r="J9" s="42">
        <f>VLOOKUP(C9,Machined!C:R,12,0)</f>
        <v>45142</v>
      </c>
      <c r="K9" s="42">
        <f>VLOOKUP(C9,Machined!C:R,13,0)</f>
        <v>45146</v>
      </c>
      <c r="L9" s="42">
        <f>VLOOKUP(C9,Machined!C:R,14,0)</f>
        <v>45176</v>
      </c>
      <c r="M9" s="42">
        <f>VLOOKUP(C9,Machined!C:R,15,0)</f>
        <v>45176</v>
      </c>
      <c r="N9" s="43">
        <f>VLOOKUP(C9,Machined!C:R,16,0)</f>
        <v>55032</v>
      </c>
      <c r="O9" s="43" t="e">
        <f ca="1">B9*$L$2</f>
        <v>#VALUE!</v>
      </c>
      <c r="P9" s="47">
        <f>IFERROR(VLOOKUP(C9,Machined!C:F,3,0),"")</f>
        <v>88</v>
      </c>
      <c r="Q9" s="48">
        <f>IFERROR(B9*P9,"")</f>
        <v>352</v>
      </c>
    </row>
    <row r="10" spans="1:17" s="2" customFormat="1" ht="12.75" customHeight="1">
      <c r="A10" s="143"/>
      <c r="B10" s="26"/>
      <c r="C10" s="26"/>
      <c r="D10" s="272"/>
      <c r="E10" s="273"/>
      <c r="F10" s="26"/>
      <c r="G10" s="26"/>
      <c r="H10" s="274"/>
      <c r="I10" s="275"/>
      <c r="J10" s="27"/>
      <c r="K10" s="27"/>
      <c r="L10" s="27"/>
      <c r="M10" s="28"/>
      <c r="N10" s="29"/>
      <c r="O10" s="29"/>
      <c r="P10" s="141"/>
      <c r="Q10" s="142"/>
    </row>
    <row r="11" spans="1:17" s="2" customFormat="1" ht="12.75" customHeight="1">
      <c r="A11" s="4">
        <v>301</v>
      </c>
      <c r="B11" s="2">
        <v>16</v>
      </c>
      <c r="C11" s="114" t="s">
        <v>244</v>
      </c>
      <c r="D11" s="268" t="str">
        <f>VLOOKUP(C11,Purchased!A:B,2,0)</f>
        <v>BRX GOTO QUICK CONNECTOR N10 0°</v>
      </c>
      <c r="E11" s="269"/>
      <c r="F11" s="112" t="str">
        <f>VLOOKUP(C11,Purchased!A:Q,9,0)</f>
        <v>BRX</v>
      </c>
      <c r="G11" s="112" t="str">
        <f>VLOOKUP(C11,Purchased!A:Q,10,0)</f>
        <v>AAP</v>
      </c>
      <c r="H11" s="112" t="str">
        <f>VLOOKUP(C11,Purchased!A:Q,12,0)</f>
        <v>17 in stock</v>
      </c>
      <c r="I11" s="113"/>
      <c r="J11" s="44" t="str">
        <f>VLOOKUP(C11,Purchased!A:Q,13,0)</f>
        <v>N/A</v>
      </c>
      <c r="K11" s="44">
        <f>VLOOKUP(C11,Purchased!A:Q,14,0)</f>
        <v>45089</v>
      </c>
      <c r="L11" s="44">
        <f>VLOOKUP(C11,Purchased!A:Q,15,0)</f>
        <v>45124</v>
      </c>
      <c r="M11" s="44">
        <f>VLOOKUP(C11,Purchased!A:Q,16,0)</f>
        <v>45124</v>
      </c>
      <c r="N11" s="45" t="str">
        <f>VLOOKUP(C11,Purchased!A:Q,17,0)</f>
        <v>500x54927, 500x55060</v>
      </c>
      <c r="O11" s="45" t="e">
        <f t="shared" ref="O11:O16" ca="1" si="2">B11*$L$2</f>
        <v>#VALUE!</v>
      </c>
      <c r="P11" s="49">
        <f>IFERROR(VLOOKUP(C11,Purchased!A:E,3,FALSE),"")</f>
        <v>5.2857000000000003</v>
      </c>
      <c r="Q11" s="50">
        <f t="shared" ref="Q11:Q16" si="3">IFERROR(B11*P11,"")</f>
        <v>84.571200000000005</v>
      </c>
    </row>
    <row r="12" spans="1:17" s="2" customFormat="1" ht="12" customHeight="1">
      <c r="A12" s="4">
        <f t="shared" ref="A12:A16" si="4">A11+1</f>
        <v>302</v>
      </c>
      <c r="B12" s="2">
        <v>16</v>
      </c>
      <c r="C12" s="114" t="s">
        <v>325</v>
      </c>
      <c r="D12" s="268" t="str">
        <f>VLOOKUP(C12,Purchased!A:B,2,0)</f>
        <v>BRX GOTO T-NUT 10 M4</v>
      </c>
      <c r="E12" s="269"/>
      <c r="F12" s="112" t="str">
        <f>VLOOKUP(C12,Purchased!A:Q,9,0)</f>
        <v>BRX</v>
      </c>
      <c r="G12" s="112" t="str">
        <f>VLOOKUP(C12,Purchased!A:Q,10,0)</f>
        <v>AAP</v>
      </c>
      <c r="H12" s="112" t="str">
        <f>VLOOKUP(C12,Purchased!A:Q,12,0)</f>
        <v>14 NuLine Stock</v>
      </c>
      <c r="I12" s="113"/>
      <c r="J12" s="44">
        <f>VLOOKUP(C12,Purchased!A:Q,13,0)</f>
        <v>45104</v>
      </c>
      <c r="K12" s="44">
        <f>VLOOKUP(C12,Purchased!A:Q,14,0)</f>
        <v>45105</v>
      </c>
      <c r="L12" s="44">
        <f>VLOOKUP(C12,Purchased!A:Q,15,0)</f>
        <v>45133</v>
      </c>
      <c r="M12" s="44">
        <f>VLOOKUP(C12,Purchased!A:Q,16,0)</f>
        <v>45133</v>
      </c>
      <c r="N12" s="45">
        <f>VLOOKUP(C12,Purchased!A:Q,17,0)</f>
        <v>54968</v>
      </c>
      <c r="O12" s="45" t="e">
        <f t="shared" ca="1" si="2"/>
        <v>#VALUE!</v>
      </c>
      <c r="P12" s="49">
        <f>IFERROR(VLOOKUP(C12,Purchased!A:E,3,FALSE),"")</f>
        <v>0.64290000000000003</v>
      </c>
      <c r="Q12" s="50">
        <f t="shared" si="3"/>
        <v>10.2864</v>
      </c>
    </row>
    <row r="13" spans="1:17" s="2" customFormat="1" ht="12" customHeight="1">
      <c r="A13" s="4">
        <f t="shared" si="4"/>
        <v>303</v>
      </c>
      <c r="B13" s="2">
        <v>8</v>
      </c>
      <c r="C13" s="114" t="s">
        <v>256</v>
      </c>
      <c r="D13" s="268" t="str">
        <f>VLOOKUP(C13,Purchased!A:B,2,0)</f>
        <v>BRX GOTO T-NUT 10 M8</v>
      </c>
      <c r="E13" s="269"/>
      <c r="F13" s="112" t="str">
        <f>VLOOKUP(C13,Purchased!A:Q,9,0)</f>
        <v>BRX</v>
      </c>
      <c r="G13" s="112" t="str">
        <f>VLOOKUP(C13,Purchased!A:Q,10,0)</f>
        <v>AAP</v>
      </c>
      <c r="H13" s="112" t="str">
        <f>VLOOKUP(C13,Purchased!A:Q,12,0)</f>
        <v xml:space="preserve">  </v>
      </c>
      <c r="I13" s="113"/>
      <c r="J13" s="44">
        <f>VLOOKUP(C13,Purchased!A:Q,13,0)</f>
        <v>45104</v>
      </c>
      <c r="K13" s="44">
        <f>VLOOKUP(C13,Purchased!A:Q,14,0)</f>
        <v>45105</v>
      </c>
      <c r="L13" s="44">
        <f>VLOOKUP(C13,Purchased!A:Q,15,0)</f>
        <v>45133</v>
      </c>
      <c r="M13" s="44">
        <f>VLOOKUP(C13,Purchased!A:Q,16,0)</f>
        <v>45133</v>
      </c>
      <c r="N13" s="45" t="str">
        <f>VLOOKUP(C13,Purchased!A:Q,17,0)</f>
        <v>54968, 55147</v>
      </c>
      <c r="O13" s="45" t="e">
        <f t="shared" ca="1" si="2"/>
        <v>#VALUE!</v>
      </c>
      <c r="P13" s="49">
        <f>IFERROR(VLOOKUP(C13,Purchased!A:E,3,FALSE),"")</f>
        <v>0.64290000000000003</v>
      </c>
      <c r="Q13" s="50">
        <f t="shared" si="3"/>
        <v>5.1432000000000002</v>
      </c>
    </row>
    <row r="14" spans="1:17" s="2" customFormat="1" ht="12" customHeight="1">
      <c r="A14" s="4">
        <f t="shared" si="4"/>
        <v>304</v>
      </c>
      <c r="B14" s="2">
        <v>4</v>
      </c>
      <c r="C14" s="114" t="s">
        <v>359</v>
      </c>
      <c r="D14" s="268" t="str">
        <f>VLOOKUP(C14,Purchased!A:B,2,0)</f>
        <v>ELESA 260411-C1 Black Bridge Handle EBP.200-8-C1</v>
      </c>
      <c r="E14" s="269"/>
      <c r="F14" s="112" t="str">
        <f>VLOOKUP(C14,Purchased!A:Q,9,0)</f>
        <v>ELESA</v>
      </c>
      <c r="G14" s="112" t="str">
        <f>VLOOKUP(C14,Purchased!A:Q,10,0)</f>
        <v>ELESA</v>
      </c>
      <c r="H14" s="112">
        <f>VLOOKUP(C14,Purchased!A:Q,12,0)</f>
        <v>0</v>
      </c>
      <c r="I14" s="113"/>
      <c r="J14" s="44" t="str">
        <f>VLOOKUP(C14,Purchased!A:Q,13,0)</f>
        <v>N/A</v>
      </c>
      <c r="K14" s="44">
        <f>VLOOKUP(C14,Purchased!A:Q,14,0)</f>
        <v>45205</v>
      </c>
      <c r="L14" s="44">
        <f>VLOOKUP(C14,Purchased!A:Q,15,0)</f>
        <v>45219</v>
      </c>
      <c r="M14" s="44">
        <f>VLOOKUP(C14,Purchased!A:Q,16,0)</f>
        <v>45225</v>
      </c>
      <c r="N14" s="45">
        <f>VLOOKUP(C14,Purchased!A:Q,17,0)</f>
        <v>55195</v>
      </c>
      <c r="O14" s="45" t="e">
        <f t="shared" ca="1" si="2"/>
        <v>#VALUE!</v>
      </c>
      <c r="P14" s="49">
        <f>IFERROR(VLOOKUP(C14,Purchased!A:E,3,FALSE),"")</f>
        <v>0</v>
      </c>
      <c r="Q14" s="50">
        <f t="shared" si="3"/>
        <v>0</v>
      </c>
    </row>
    <row r="15" spans="1:17" s="2" customFormat="1" ht="12" customHeight="1">
      <c r="A15" s="4">
        <f t="shared" si="4"/>
        <v>305</v>
      </c>
      <c r="B15" s="2">
        <v>12</v>
      </c>
      <c r="C15" s="114">
        <v>3842544531</v>
      </c>
      <c r="D15" s="268" t="e">
        <f>VLOOKUP(C15,Purchased!A:B,2,0)</f>
        <v>#N/A</v>
      </c>
      <c r="E15" s="269"/>
      <c r="F15" s="112" t="e">
        <f>VLOOKUP(C15,Purchased!A:Q,9,0)</f>
        <v>#N/A</v>
      </c>
      <c r="G15" s="112" t="e">
        <f>VLOOKUP(C15,Purchased!A:Q,10,0)</f>
        <v>#N/A</v>
      </c>
      <c r="H15" s="112" t="e">
        <f>VLOOKUP(C15,Purchased!A:Q,12,0)</f>
        <v>#N/A</v>
      </c>
      <c r="I15" s="113"/>
      <c r="J15" s="44" t="e">
        <f>VLOOKUP(C15,Purchased!A:Q,13,0)</f>
        <v>#N/A</v>
      </c>
      <c r="K15" s="44" t="e">
        <f>VLOOKUP(C15,Purchased!A:Q,14,0)</f>
        <v>#N/A</v>
      </c>
      <c r="L15" s="44" t="e">
        <f>VLOOKUP(C15,Purchased!A:Q,15,0)</f>
        <v>#N/A</v>
      </c>
      <c r="M15" s="44" t="e">
        <f>VLOOKUP(C15,Purchased!A:Q,16,0)</f>
        <v>#N/A</v>
      </c>
      <c r="N15" s="45" t="e">
        <f>VLOOKUP(C15,Purchased!A:Q,17,0)</f>
        <v>#N/A</v>
      </c>
      <c r="O15" s="45" t="e">
        <f t="shared" ca="1" si="2"/>
        <v>#VALUE!</v>
      </c>
      <c r="P15" s="49" t="str">
        <f>IFERROR(VLOOKUP(C15,Purchased!A:E,3,FALSE),"")</f>
        <v/>
      </c>
      <c r="Q15" s="50" t="str">
        <f t="shared" si="3"/>
        <v/>
      </c>
    </row>
    <row r="16" spans="1:17" s="2" customFormat="1" ht="12" customHeight="1">
      <c r="A16" s="4">
        <f t="shared" si="4"/>
        <v>306</v>
      </c>
      <c r="B16" s="2">
        <v>4</v>
      </c>
      <c r="C16" s="114" t="s">
        <v>360</v>
      </c>
      <c r="D16" s="268" t="str">
        <f>VLOOKUP(C16,Purchased!A:B,2,0)</f>
        <v>BRX GUIDE COMPONENT NUT 8/10</v>
      </c>
      <c r="E16" s="269"/>
      <c r="F16" s="112" t="str">
        <f>VLOOKUP(C16,Purchased!A:Q,9,0)</f>
        <v>BRX</v>
      </c>
      <c r="G16" s="112" t="str">
        <f>VLOOKUP(C16,Purchased!A:Q,10,0)</f>
        <v>AAP</v>
      </c>
      <c r="H16" s="112" t="str">
        <f>VLOOKUP(C16,Purchased!A:Q,12,0)</f>
        <v xml:space="preserve"> </v>
      </c>
      <c r="I16" s="113"/>
      <c r="J16" s="44" t="str">
        <f>VLOOKUP(C16,Purchased!A:Q,13,0)</f>
        <v>N/A</v>
      </c>
      <c r="K16" s="44">
        <f>VLOOKUP(C16,Purchased!A:Q,14,0)</f>
        <v>45162</v>
      </c>
      <c r="L16" s="44">
        <f>VLOOKUP(C16,Purchased!A:Q,15,0)</f>
        <v>45184</v>
      </c>
      <c r="M16" s="44">
        <f>VLOOKUP(C16,Purchased!A:Q,16,0)</f>
        <v>45197</v>
      </c>
      <c r="N16" s="45">
        <f>VLOOKUP(C16,Purchased!A:Q,17,0)</f>
        <v>55073</v>
      </c>
      <c r="O16" s="45" t="e">
        <f t="shared" ca="1" si="2"/>
        <v>#VALUE!</v>
      </c>
      <c r="P16" s="49">
        <f>IFERROR(VLOOKUP(C16,Purchased!A:E,3,FALSE),"")</f>
        <v>14.042899999999999</v>
      </c>
      <c r="Q16" s="50">
        <f t="shared" si="3"/>
        <v>56.171599999999998</v>
      </c>
    </row>
    <row r="17" spans="1:17" s="2" customFormat="1" ht="12.75" customHeight="1">
      <c r="A17" s="25"/>
      <c r="B17" s="26"/>
      <c r="C17" s="26"/>
      <c r="D17" s="272"/>
      <c r="E17" s="273"/>
      <c r="F17" s="26"/>
      <c r="G17" s="26"/>
      <c r="H17" s="274"/>
      <c r="I17" s="275"/>
      <c r="J17" s="27"/>
      <c r="K17" s="27"/>
      <c r="L17" s="27"/>
      <c r="M17" s="28"/>
      <c r="N17" s="29"/>
      <c r="O17" s="29" t="e">
        <f t="shared" ref="O17:O19" ca="1" si="5">B17*$L$2</f>
        <v>#VALUE!</v>
      </c>
      <c r="P17" s="141"/>
      <c r="Q17" s="142"/>
    </row>
    <row r="18" spans="1:17" s="2" customFormat="1" ht="12.75" customHeight="1">
      <c r="A18" s="4">
        <v>501</v>
      </c>
      <c r="B18" s="2">
        <v>16</v>
      </c>
      <c r="C18" s="110" t="s">
        <v>361</v>
      </c>
      <c r="D18" s="268"/>
      <c r="E18" s="276"/>
      <c r="F18" s="112" t="str">
        <f>VLOOKUP(C18,Bolts!A:L,5,0)</f>
        <v xml:space="preserve">  </v>
      </c>
      <c r="G18" s="112" t="str">
        <f>VLOOKUP(C18,Bolts!A:L,6,0)</f>
        <v>Monroe Fasteners</v>
      </c>
      <c r="H18" s="112" t="str">
        <f>VLOOKUP(C18,Bolts!A:L,7,0)</f>
        <v xml:space="preserve">  </v>
      </c>
      <c r="I18" s="112"/>
      <c r="J18" s="44" t="str">
        <f>VLOOKUP(C18,Bolts!A:L,8,0)</f>
        <v xml:space="preserve"> </v>
      </c>
      <c r="K18" s="44" t="str">
        <f>VLOOKUP(C18,Bolts!A:L,9,0)</f>
        <v xml:space="preserve"> </v>
      </c>
      <c r="L18" s="44" t="str">
        <f>VLOOKUP(C18,Bolts!A:L,10,0)</f>
        <v xml:space="preserve"> </v>
      </c>
      <c r="M18" s="44" t="str">
        <f>VLOOKUP(C18,Bolts!A:L,11,0)</f>
        <v xml:space="preserve"> </v>
      </c>
      <c r="N18" s="45" t="str">
        <f>VLOOKUP(C18,Bolts!A:L,12,0)</f>
        <v xml:space="preserve"> </v>
      </c>
      <c r="O18" s="45" t="e">
        <f t="shared" ca="1" si="5"/>
        <v>#VALUE!</v>
      </c>
      <c r="P18" s="49" t="str">
        <f>IFERROR(VLOOKUP(C18,Bolts!A:B,2,FALSE),"")</f>
        <v xml:space="preserve"> </v>
      </c>
      <c r="Q18" s="50" t="str">
        <f t="shared" ref="Q18:Q19" si="6">IFERROR(B18*P18,"")</f>
        <v/>
      </c>
    </row>
    <row r="19" spans="1:17" s="2" customFormat="1" ht="12.75" customHeight="1">
      <c r="A19" s="4">
        <f t="shared" ref="A19" si="7">A18+1</f>
        <v>502</v>
      </c>
      <c r="B19" s="2">
        <v>8</v>
      </c>
      <c r="C19" s="110" t="s">
        <v>362</v>
      </c>
      <c r="D19" s="268"/>
      <c r="E19" s="276"/>
      <c r="F19" s="112" t="str">
        <f>VLOOKUP(C19,Bolts!A:L,5,0)</f>
        <v xml:space="preserve">  </v>
      </c>
      <c r="G19" s="112" t="str">
        <f>VLOOKUP(C19,Bolts!A:L,6,0)</f>
        <v>Monroe Fasteners</v>
      </c>
      <c r="H19" s="112" t="str">
        <f>VLOOKUP(C19,Bolts!A:L,7,0)</f>
        <v xml:space="preserve">  </v>
      </c>
      <c r="I19" s="112"/>
      <c r="J19" s="44" t="str">
        <f>VLOOKUP(C19,Bolts!A:L,8,0)</f>
        <v xml:space="preserve"> </v>
      </c>
      <c r="K19" s="44" t="str">
        <f>VLOOKUP(C19,Bolts!A:L,9,0)</f>
        <v xml:space="preserve"> </v>
      </c>
      <c r="L19" s="44" t="str">
        <f>VLOOKUP(C19,Bolts!A:L,10,0)</f>
        <v xml:space="preserve"> </v>
      </c>
      <c r="M19" s="44" t="str">
        <f>VLOOKUP(C19,Bolts!A:L,11,0)</f>
        <v xml:space="preserve"> </v>
      </c>
      <c r="N19" s="45" t="str">
        <f>VLOOKUP(C19,Bolts!A:L,12,0)</f>
        <v xml:space="preserve"> </v>
      </c>
      <c r="O19" s="45" t="e">
        <f t="shared" ca="1" si="5"/>
        <v>#VALUE!</v>
      </c>
      <c r="P19" s="49" t="str">
        <f>IFERROR(VLOOKUP(C19,Bolts!A:B,2,FALSE),"")</f>
        <v xml:space="preserve"> </v>
      </c>
      <c r="Q19" s="50" t="str">
        <f t="shared" si="6"/>
        <v/>
      </c>
    </row>
    <row r="20" spans="1:17" s="2" customFormat="1" ht="12.75" customHeight="1">
      <c r="A20" s="25"/>
      <c r="B20" s="26"/>
      <c r="C20" s="26"/>
      <c r="D20" s="272"/>
      <c r="E20" s="273"/>
      <c r="F20" s="26"/>
      <c r="G20" s="26"/>
      <c r="H20" s="274"/>
      <c r="I20" s="275"/>
      <c r="J20" s="27"/>
      <c r="K20" s="27"/>
      <c r="L20" s="27"/>
      <c r="M20" s="28"/>
      <c r="N20" s="29"/>
      <c r="O20" s="29"/>
      <c r="P20" s="141"/>
      <c r="Q20" s="142"/>
    </row>
    <row r="21" spans="1:17" s="2" customFormat="1" ht="12.75" customHeight="1">
      <c r="A21" s="4">
        <v>701</v>
      </c>
      <c r="B21" s="2">
        <v>4</v>
      </c>
      <c r="C21" s="111" t="s">
        <v>363</v>
      </c>
      <c r="D21" s="268" t="str">
        <f>VLOOKUP(C21,Extrusion!B:C,2,0)</f>
        <v>Doors</v>
      </c>
      <c r="E21" s="269"/>
      <c r="F21" s="112" t="str">
        <f>VLOOKUP(C21,Extrusion!B:M,6,0)</f>
        <v>BOSCH</v>
      </c>
      <c r="G21" s="112" t="str">
        <f>VLOOKUP(C21,Extrusion!B:M,7,0)</f>
        <v>NULINE</v>
      </c>
      <c r="H21" s="112" t="str">
        <f>VLOOKUP(C21,Extrusion!B:M,8,0)</f>
        <v xml:space="preserve"> </v>
      </c>
      <c r="I21" s="113"/>
      <c r="J21" s="44" t="str">
        <f>VLOOKUP(C21,Extrusion!B:M,9,0)</f>
        <v>N/A</v>
      </c>
      <c r="K21" s="44">
        <f>VLOOKUP(C21,Extrusion!B:M,10,0)</f>
        <v>44894</v>
      </c>
      <c r="L21" s="44">
        <f>VLOOKUP(C21,Extrusion!B:M,11,0)</f>
        <v>44970</v>
      </c>
      <c r="M21" s="44">
        <f>VLOOKUP(C21,Extrusion!B:M,12,0)</f>
        <v>44970</v>
      </c>
      <c r="N21" s="45">
        <f>VLOOKUP(C21,Extrusion!B:N,13,0)</f>
        <v>54598</v>
      </c>
      <c r="O21" s="45" t="e">
        <f t="shared" ref="O21:O24" ca="1" si="8">B21*$L$2</f>
        <v>#VALUE!</v>
      </c>
      <c r="P21" s="49">
        <f>IFERROR(VLOOKUP(C21,Extrusion!B:F,5,0),"")</f>
        <v>35.997158200000001</v>
      </c>
      <c r="Q21" s="50">
        <f t="shared" ref="Q21:Q24" si="9">IFERROR(B21*P21,"")</f>
        <v>143.9886328</v>
      </c>
    </row>
    <row r="22" spans="1:17" s="2" customFormat="1" ht="12" customHeight="1">
      <c r="A22" s="4">
        <f t="shared" ref="A22:A24" si="10">A21+1</f>
        <v>702</v>
      </c>
      <c r="B22" s="2">
        <v>4</v>
      </c>
      <c r="C22" s="111" t="s">
        <v>366</v>
      </c>
      <c r="D22" s="268" t="str">
        <f>VLOOKUP(C22,Extrusion!B:C,2,0)</f>
        <v>Doors</v>
      </c>
      <c r="E22" s="269"/>
      <c r="F22" s="112" t="str">
        <f>VLOOKUP(C22,Extrusion!B:M,6,0)</f>
        <v>BOSCH</v>
      </c>
      <c r="G22" s="112" t="str">
        <f>VLOOKUP(C22,Extrusion!B:M,7,0)</f>
        <v>NULINE</v>
      </c>
      <c r="H22" s="112" t="str">
        <f>VLOOKUP(C22,Extrusion!B:M,8,0)</f>
        <v xml:space="preserve"> </v>
      </c>
      <c r="I22" s="113"/>
      <c r="J22" s="44" t="str">
        <f>VLOOKUP(C22,Extrusion!B:M,9,0)</f>
        <v>N/A</v>
      </c>
      <c r="K22" s="44">
        <f>VLOOKUP(C22,Extrusion!B:M,10,0)</f>
        <v>44894</v>
      </c>
      <c r="L22" s="44">
        <f>VLOOKUP(C22,Extrusion!B:M,11,0)</f>
        <v>44970</v>
      </c>
      <c r="M22" s="44">
        <f>VLOOKUP(C22,Extrusion!B:M,12,0)</f>
        <v>44970</v>
      </c>
      <c r="N22" s="45">
        <f>VLOOKUP(C22,Extrusion!B:N,13,0)</f>
        <v>54598</v>
      </c>
      <c r="O22" s="45" t="e">
        <f t="shared" ca="1" si="8"/>
        <v>#VALUE!</v>
      </c>
      <c r="P22" s="49">
        <f>IFERROR(VLOOKUP(C22,Extrusion!B:F,5,0),"")</f>
        <v>41.724688933333326</v>
      </c>
      <c r="Q22" s="50">
        <f t="shared" si="9"/>
        <v>166.8987557333333</v>
      </c>
    </row>
    <row r="23" spans="1:17" s="2" customFormat="1" ht="12" customHeight="1">
      <c r="A23" s="4">
        <f t="shared" si="10"/>
        <v>703</v>
      </c>
      <c r="B23" s="2">
        <v>4</v>
      </c>
      <c r="C23" s="111" t="s">
        <v>381</v>
      </c>
      <c r="D23" s="268" t="str">
        <f>VLOOKUP(C23,Extrusion!B:C,2,0)</f>
        <v>Doors</v>
      </c>
      <c r="E23" s="269"/>
      <c r="F23" s="112" t="str">
        <f>VLOOKUP(C23,Extrusion!B:M,6,0)</f>
        <v>BOSCH</v>
      </c>
      <c r="G23" s="112" t="str">
        <f>VLOOKUP(C23,Extrusion!B:M,7,0)</f>
        <v>NULINE</v>
      </c>
      <c r="H23" s="112" t="str">
        <f>VLOOKUP(C23,Extrusion!B:M,8,0)</f>
        <v xml:space="preserve"> </v>
      </c>
      <c r="I23" s="113"/>
      <c r="J23" s="44" t="str">
        <f>VLOOKUP(C23,Extrusion!B:M,9,0)</f>
        <v>N/A</v>
      </c>
      <c r="K23" s="44">
        <f>VLOOKUP(C23,Extrusion!B:M,10,0)</f>
        <v>44894</v>
      </c>
      <c r="L23" s="44">
        <f>VLOOKUP(C23,Extrusion!B:M,11,0)</f>
        <v>44970</v>
      </c>
      <c r="M23" s="44">
        <f>VLOOKUP(C23,Extrusion!B:M,12,0)</f>
        <v>44970</v>
      </c>
      <c r="N23" s="45">
        <f>VLOOKUP(C23,Extrusion!B:N,13,0)</f>
        <v>54598</v>
      </c>
      <c r="O23" s="45" t="e">
        <f t="shared" ca="1" si="8"/>
        <v>#VALUE!</v>
      </c>
      <c r="P23" s="49">
        <f>IFERROR(VLOOKUP(C23,Extrusion!B:F,5,0),"")</f>
        <v>34.09510508333333</v>
      </c>
      <c r="Q23" s="50">
        <f t="shared" si="9"/>
        <v>136.38042033333332</v>
      </c>
    </row>
    <row r="24" spans="1:17" s="2" customFormat="1" ht="12" customHeight="1" thickBot="1">
      <c r="A24" s="4">
        <f t="shared" si="10"/>
        <v>704</v>
      </c>
      <c r="B24" s="2">
        <v>4</v>
      </c>
      <c r="C24" s="111" t="s">
        <v>382</v>
      </c>
      <c r="D24" s="268" t="str">
        <f>VLOOKUP(C24,Extrusion!B:C,2,0)</f>
        <v>Doors</v>
      </c>
      <c r="E24" s="269"/>
      <c r="F24" s="112" t="str">
        <f>VLOOKUP(C24,Extrusion!B:M,6,0)</f>
        <v>BOSCH</v>
      </c>
      <c r="G24" s="112" t="str">
        <f>VLOOKUP(C24,Extrusion!B:M,7,0)</f>
        <v>NULINE</v>
      </c>
      <c r="H24" s="112" t="str">
        <f>VLOOKUP(C24,Extrusion!B:M,8,0)</f>
        <v xml:space="preserve"> </v>
      </c>
      <c r="I24" s="113"/>
      <c r="J24" s="44" t="str">
        <f>VLOOKUP(C24,Extrusion!B:M,9,0)</f>
        <v>N/A</v>
      </c>
      <c r="K24" s="44">
        <f>VLOOKUP(C24,Extrusion!B:M,10,0)</f>
        <v>44894</v>
      </c>
      <c r="L24" s="44">
        <f>VLOOKUP(C24,Extrusion!B:M,11,0)</f>
        <v>44970</v>
      </c>
      <c r="M24" s="44">
        <f>VLOOKUP(C24,Extrusion!B:M,12,0)</f>
        <v>44970</v>
      </c>
      <c r="N24" s="45">
        <f>VLOOKUP(C24,Extrusion!B:N,13,0)</f>
        <v>54598</v>
      </c>
      <c r="O24" s="45" t="e">
        <f t="shared" ca="1" si="8"/>
        <v>#VALUE!</v>
      </c>
      <c r="P24" s="49">
        <f>IFERROR(VLOOKUP(C24,Extrusion!B:F,5,0),"")</f>
        <v>35.056817333333328</v>
      </c>
      <c r="Q24" s="50">
        <f t="shared" si="9"/>
        <v>140.22726933333331</v>
      </c>
    </row>
    <row r="25" spans="1:17" s="2" customFormat="1" ht="12.75" customHeight="1" thickBot="1">
      <c r="A25" s="34"/>
      <c r="B25" s="35"/>
      <c r="C25" s="35"/>
      <c r="D25" s="256"/>
      <c r="E25" s="257"/>
      <c r="F25" s="35"/>
      <c r="G25" s="35"/>
      <c r="H25" s="294"/>
      <c r="I25" s="295"/>
      <c r="J25" s="36"/>
      <c r="K25" s="36"/>
      <c r="L25" s="36"/>
      <c r="M25" s="37"/>
      <c r="N25" s="38"/>
      <c r="O25" s="38"/>
      <c r="P25" s="89" t="s">
        <v>43</v>
      </c>
      <c r="Q25" s="94">
        <f>SUM(Q5:Q24)</f>
        <v>1315.5606782</v>
      </c>
    </row>
    <row r="26" spans="1:17" s="2" customFormat="1" ht="12" customHeight="1">
      <c r="D26" s="22"/>
      <c r="E26" s="22"/>
      <c r="J26" s="8"/>
      <c r="K26" s="8"/>
      <c r="L26" s="8"/>
      <c r="M26" s="8"/>
      <c r="N26" s="5"/>
      <c r="O26" s="5"/>
      <c r="P26" s="88"/>
      <c r="Q26" s="95"/>
    </row>
    <row r="27" spans="1:17" s="2" customFormat="1" ht="12" customHeight="1">
      <c r="D27" s="22"/>
      <c r="E27" s="22"/>
      <c r="J27" s="5"/>
      <c r="K27" s="5"/>
      <c r="L27" s="5"/>
      <c r="M27" s="5"/>
      <c r="N27" s="5"/>
      <c r="O27" s="5"/>
      <c r="P27" s="88"/>
      <c r="Q27" s="95"/>
    </row>
    <row r="28" spans="1:17" s="2" customFormat="1" ht="12" customHeight="1">
      <c r="D28" s="22"/>
      <c r="E28" s="22"/>
      <c r="J28" s="5"/>
      <c r="K28" s="5"/>
      <c r="L28" s="5"/>
      <c r="M28" s="5"/>
      <c r="N28" s="5"/>
      <c r="O28" s="5"/>
      <c r="P28" s="88"/>
      <c r="Q28" s="95"/>
    </row>
    <row r="29" spans="1:17" s="2" customFormat="1" ht="12" customHeight="1">
      <c r="D29" s="22"/>
      <c r="E29" s="22"/>
      <c r="J29" s="5"/>
      <c r="K29" s="5"/>
      <c r="L29" s="5"/>
      <c r="M29" s="5"/>
      <c r="N29" s="5"/>
      <c r="O29" s="5"/>
      <c r="P29" s="88"/>
      <c r="Q29" s="95"/>
    </row>
    <row r="30" spans="1:17" s="2" customFormat="1" ht="12" customHeight="1">
      <c r="D30" s="22"/>
      <c r="E30" s="22"/>
      <c r="J30" s="5"/>
      <c r="K30" s="5"/>
      <c r="L30" s="5"/>
      <c r="M30" s="5"/>
      <c r="N30" s="5"/>
      <c r="O30" s="5"/>
      <c r="P30" s="88"/>
      <c r="Q30" s="95"/>
    </row>
    <row r="31" spans="1:17" s="2" customFormat="1" ht="12" customHeight="1">
      <c r="D31" s="22"/>
      <c r="E31" s="22"/>
      <c r="J31" s="5"/>
      <c r="K31" s="5"/>
      <c r="L31" s="5"/>
      <c r="M31" s="5"/>
      <c r="N31" s="5"/>
      <c r="O31" s="5"/>
      <c r="P31" s="88"/>
      <c r="Q31" s="95"/>
    </row>
    <row r="32" spans="1:17" s="2" customFormat="1" ht="12" customHeight="1">
      <c r="D32" s="22"/>
      <c r="E32" s="22"/>
      <c r="J32" s="5"/>
      <c r="K32" s="5"/>
      <c r="L32" s="5"/>
      <c r="M32" s="5"/>
      <c r="N32" s="5"/>
      <c r="O32" s="5"/>
      <c r="P32" s="88"/>
      <c r="Q32" s="95"/>
    </row>
    <row r="33" spans="4:17" s="2" customFormat="1" ht="12" customHeight="1">
      <c r="D33" s="22"/>
      <c r="E33" s="22"/>
      <c r="J33" s="5"/>
      <c r="K33" s="5"/>
      <c r="L33" s="5"/>
      <c r="M33" s="5"/>
      <c r="N33" s="5"/>
      <c r="O33" s="5"/>
      <c r="P33" s="88"/>
      <c r="Q33" s="95"/>
    </row>
    <row r="34" spans="4:17" s="2" customFormat="1" ht="12" customHeight="1">
      <c r="D34" s="22"/>
      <c r="E34" s="22"/>
      <c r="J34" s="5"/>
      <c r="K34" s="5"/>
      <c r="L34" s="5"/>
      <c r="M34" s="5"/>
      <c r="N34" s="5"/>
      <c r="O34" s="5"/>
      <c r="P34" s="88"/>
      <c r="Q34" s="95"/>
    </row>
    <row r="35" spans="4:17" s="2" customFormat="1" ht="12" customHeight="1">
      <c r="D35" s="22"/>
      <c r="E35" s="22"/>
      <c r="J35" s="5"/>
      <c r="K35" s="5"/>
      <c r="L35" s="5"/>
      <c r="M35" s="5"/>
      <c r="N35" s="5"/>
      <c r="O35" s="5"/>
      <c r="P35" s="88"/>
      <c r="Q35" s="95"/>
    </row>
    <row r="36" spans="4:17" s="2" customFormat="1" ht="12" customHeight="1">
      <c r="D36" s="22"/>
      <c r="E36" s="22"/>
      <c r="J36" s="5"/>
      <c r="K36" s="5"/>
      <c r="L36" s="5"/>
      <c r="M36" s="5"/>
      <c r="N36" s="5"/>
      <c r="O36" s="5"/>
      <c r="P36" s="88"/>
      <c r="Q36" s="95"/>
    </row>
    <row r="37" spans="4:17" s="2" customFormat="1" ht="12" customHeight="1">
      <c r="D37" s="22"/>
      <c r="E37" s="22"/>
      <c r="J37" s="5"/>
      <c r="K37" s="5"/>
      <c r="L37" s="5"/>
      <c r="M37" s="5"/>
      <c r="N37" s="5"/>
      <c r="O37" s="5"/>
      <c r="P37" s="88"/>
      <c r="Q37" s="95"/>
    </row>
    <row r="38" spans="4:17" s="2" customFormat="1" ht="12" customHeight="1">
      <c r="D38" s="22"/>
      <c r="E38" s="22"/>
      <c r="J38" s="5"/>
      <c r="K38" s="5"/>
      <c r="L38" s="5"/>
      <c r="M38" s="5"/>
      <c r="N38" s="5"/>
      <c r="O38" s="5"/>
      <c r="P38" s="88"/>
      <c r="Q38" s="95"/>
    </row>
    <row r="39" spans="4:17" s="2" customFormat="1" ht="12" customHeight="1">
      <c r="D39" s="22"/>
      <c r="E39" s="22"/>
      <c r="J39" s="5"/>
      <c r="K39" s="5"/>
      <c r="L39" s="5"/>
      <c r="M39" s="5"/>
      <c r="N39" s="5"/>
      <c r="O39" s="5"/>
      <c r="P39" s="88"/>
      <c r="Q39" s="95"/>
    </row>
    <row r="40" spans="4:17" s="2" customFormat="1" ht="12" customHeight="1">
      <c r="D40" s="22"/>
      <c r="E40" s="22"/>
      <c r="J40" s="5"/>
      <c r="K40" s="5"/>
      <c r="L40" s="5"/>
      <c r="M40" s="5"/>
      <c r="N40" s="5"/>
      <c r="O40" s="5"/>
      <c r="P40" s="88"/>
      <c r="Q40" s="95"/>
    </row>
    <row r="41" spans="4:17" s="2" customFormat="1" ht="12" customHeight="1">
      <c r="D41" s="22"/>
      <c r="E41" s="22"/>
      <c r="J41" s="5"/>
      <c r="K41" s="5"/>
      <c r="L41" s="5"/>
      <c r="M41" s="5"/>
      <c r="N41" s="5"/>
      <c r="O41" s="5"/>
      <c r="P41" s="88"/>
      <c r="Q41" s="95"/>
    </row>
    <row r="42" spans="4:17" s="2" customFormat="1" ht="12" customHeight="1">
      <c r="D42" s="22"/>
      <c r="E42" s="22"/>
      <c r="J42" s="5"/>
      <c r="K42" s="5"/>
      <c r="L42" s="5"/>
      <c r="M42" s="5"/>
      <c r="N42" s="5"/>
      <c r="O42" s="5"/>
      <c r="P42" s="88"/>
      <c r="Q42" s="95"/>
    </row>
    <row r="43" spans="4:17" s="2" customFormat="1" ht="12" customHeight="1">
      <c r="D43" s="22"/>
      <c r="E43" s="22"/>
      <c r="J43" s="5"/>
      <c r="K43" s="5"/>
      <c r="L43" s="5"/>
      <c r="M43" s="5"/>
      <c r="N43" s="5"/>
      <c r="O43" s="5"/>
      <c r="P43" s="88"/>
      <c r="Q43" s="95"/>
    </row>
    <row r="44" spans="4:17" s="2" customFormat="1" ht="12" customHeight="1">
      <c r="D44" s="22"/>
      <c r="E44" s="22"/>
      <c r="J44" s="5"/>
      <c r="K44" s="5"/>
      <c r="L44" s="5"/>
      <c r="M44" s="5"/>
      <c r="N44" s="5"/>
      <c r="O44" s="5"/>
      <c r="P44" s="88"/>
      <c r="Q44" s="95"/>
    </row>
    <row r="45" spans="4:17" s="2" customFormat="1" ht="12" customHeight="1">
      <c r="D45" s="22"/>
      <c r="E45" s="22"/>
      <c r="J45" s="5"/>
      <c r="K45" s="5"/>
      <c r="L45" s="5"/>
      <c r="M45" s="5"/>
      <c r="N45" s="5"/>
      <c r="O45" s="5"/>
      <c r="P45" s="88"/>
      <c r="Q45" s="95"/>
    </row>
    <row r="46" spans="4:17" s="2" customFormat="1" ht="12" customHeight="1">
      <c r="D46" s="22"/>
      <c r="E46" s="22"/>
      <c r="J46" s="5"/>
      <c r="K46" s="5"/>
      <c r="L46" s="5"/>
      <c r="M46" s="5"/>
      <c r="N46" s="5"/>
      <c r="O46" s="5"/>
      <c r="P46" s="88"/>
      <c r="Q46" s="95"/>
    </row>
    <row r="47" spans="4:17" s="2" customFormat="1" ht="12" customHeight="1">
      <c r="D47" s="22"/>
      <c r="E47" s="22"/>
      <c r="J47" s="5"/>
      <c r="K47" s="5"/>
      <c r="L47" s="5"/>
      <c r="M47" s="5"/>
      <c r="N47" s="5"/>
      <c r="O47" s="5"/>
      <c r="P47" s="88"/>
      <c r="Q47" s="95"/>
    </row>
    <row r="48" spans="4:17" s="2" customFormat="1" ht="12" customHeight="1">
      <c r="D48" s="22"/>
      <c r="E48" s="22"/>
      <c r="J48" s="5"/>
      <c r="K48" s="5"/>
      <c r="L48" s="5"/>
      <c r="M48" s="5"/>
      <c r="N48" s="5"/>
      <c r="O48" s="5"/>
      <c r="P48" s="88"/>
      <c r="Q48" s="95"/>
    </row>
    <row r="49" spans="4:17" s="2" customFormat="1" ht="12" customHeight="1">
      <c r="D49" s="22"/>
      <c r="E49" s="22"/>
      <c r="J49" s="5"/>
      <c r="K49" s="5"/>
      <c r="L49" s="5"/>
      <c r="M49" s="5"/>
      <c r="N49" s="5"/>
      <c r="O49" s="5"/>
      <c r="P49" s="88"/>
      <c r="Q49" s="95"/>
    </row>
    <row r="50" spans="4:17" s="2" customFormat="1" ht="12" customHeight="1">
      <c r="D50" s="22"/>
      <c r="E50" s="22"/>
      <c r="J50" s="5"/>
      <c r="K50" s="5"/>
      <c r="L50" s="5"/>
      <c r="M50" s="5"/>
      <c r="N50" s="5"/>
      <c r="O50" s="5"/>
      <c r="P50" s="88"/>
      <c r="Q50" s="95"/>
    </row>
    <row r="51" spans="4:17" s="2" customFormat="1" ht="12" customHeight="1">
      <c r="D51" s="22"/>
      <c r="E51" s="22"/>
      <c r="J51" s="5"/>
      <c r="K51" s="5"/>
      <c r="L51" s="5"/>
      <c r="M51" s="5"/>
      <c r="N51" s="5"/>
      <c r="O51" s="5"/>
      <c r="P51" s="88"/>
      <c r="Q51" s="95"/>
    </row>
    <row r="52" spans="4:17" s="2" customFormat="1" ht="12" customHeight="1">
      <c r="D52" s="22"/>
      <c r="E52" s="22"/>
      <c r="J52" s="5"/>
      <c r="K52" s="5"/>
      <c r="L52" s="5"/>
      <c r="M52" s="5"/>
      <c r="N52" s="5"/>
      <c r="O52" s="5"/>
      <c r="P52" s="88"/>
      <c r="Q52" s="95"/>
    </row>
    <row r="53" spans="4:17" s="2" customFormat="1" ht="12" customHeight="1">
      <c r="D53" s="22"/>
      <c r="E53" s="22"/>
      <c r="J53" s="5"/>
      <c r="K53" s="5"/>
      <c r="L53" s="5"/>
      <c r="M53" s="5"/>
      <c r="N53" s="5"/>
      <c r="O53" s="5"/>
      <c r="P53" s="88"/>
      <c r="Q53" s="95"/>
    </row>
    <row r="54" spans="4:17" s="2" customFormat="1" ht="12" customHeight="1">
      <c r="D54" s="22"/>
      <c r="E54" s="22"/>
      <c r="J54" s="5"/>
      <c r="K54" s="5"/>
      <c r="L54" s="5"/>
      <c r="M54" s="5"/>
      <c r="N54" s="5"/>
      <c r="O54" s="5"/>
      <c r="P54" s="88"/>
      <c r="Q54" s="95"/>
    </row>
    <row r="55" spans="4:17" s="2" customFormat="1" ht="12" customHeight="1">
      <c r="D55" s="22"/>
      <c r="E55" s="22"/>
      <c r="J55" s="5"/>
      <c r="K55" s="5"/>
      <c r="L55" s="5"/>
      <c r="M55" s="5"/>
      <c r="N55" s="5"/>
      <c r="O55" s="5"/>
      <c r="P55" s="88"/>
      <c r="Q55" s="95"/>
    </row>
    <row r="56" spans="4:17" s="2" customFormat="1" ht="12" customHeight="1">
      <c r="D56" s="22"/>
      <c r="E56" s="22"/>
      <c r="J56" s="5"/>
      <c r="K56" s="5"/>
      <c r="L56" s="5"/>
      <c r="M56" s="5"/>
      <c r="N56" s="5"/>
      <c r="O56" s="5"/>
      <c r="P56" s="88"/>
      <c r="Q56" s="95"/>
    </row>
    <row r="57" spans="4:17" s="2" customFormat="1" ht="12" customHeight="1">
      <c r="D57" s="22"/>
      <c r="E57" s="22"/>
      <c r="J57" s="5"/>
      <c r="K57" s="5"/>
      <c r="L57" s="5"/>
      <c r="M57" s="5"/>
      <c r="N57" s="5"/>
      <c r="O57" s="5"/>
      <c r="P57" s="88"/>
      <c r="Q57" s="95"/>
    </row>
    <row r="58" spans="4:17" s="2" customFormat="1" ht="12" customHeight="1">
      <c r="D58" s="22"/>
      <c r="E58" s="22"/>
      <c r="J58" s="5"/>
      <c r="K58" s="5"/>
      <c r="L58" s="5"/>
      <c r="M58" s="5"/>
      <c r="N58" s="5"/>
      <c r="O58" s="5"/>
      <c r="P58" s="88"/>
      <c r="Q58" s="95"/>
    </row>
    <row r="59" spans="4:17" s="2" customFormat="1" ht="12" customHeight="1">
      <c r="D59" s="22"/>
      <c r="E59" s="22"/>
      <c r="J59" s="5"/>
      <c r="K59" s="5"/>
      <c r="L59" s="5"/>
      <c r="M59" s="5"/>
      <c r="N59" s="5"/>
      <c r="O59" s="5"/>
      <c r="P59" s="88"/>
      <c r="Q59" s="95"/>
    </row>
    <row r="60" spans="4:17" s="2" customFormat="1" ht="12" customHeight="1">
      <c r="D60" s="22"/>
      <c r="E60" s="22"/>
      <c r="J60" s="5"/>
      <c r="K60" s="5"/>
      <c r="L60" s="5"/>
      <c r="M60" s="5"/>
      <c r="N60" s="5"/>
      <c r="O60" s="5"/>
      <c r="P60" s="88"/>
      <c r="Q60" s="95"/>
    </row>
    <row r="61" spans="4:17" s="2" customFormat="1" ht="12" customHeight="1">
      <c r="D61" s="22"/>
      <c r="E61" s="22"/>
      <c r="J61" s="5"/>
      <c r="K61" s="5"/>
      <c r="L61" s="5"/>
      <c r="M61" s="5"/>
      <c r="N61" s="5"/>
      <c r="O61" s="5"/>
      <c r="P61" s="88"/>
      <c r="Q61" s="95"/>
    </row>
    <row r="62" spans="4:17" s="2" customFormat="1" ht="12" customHeight="1">
      <c r="D62" s="22"/>
      <c r="E62" s="22"/>
      <c r="J62" s="5"/>
      <c r="K62" s="5"/>
      <c r="L62" s="5"/>
      <c r="M62" s="5"/>
      <c r="N62" s="5"/>
      <c r="O62" s="5"/>
      <c r="P62" s="88"/>
      <c r="Q62" s="95"/>
    </row>
    <row r="63" spans="4:17" s="2" customFormat="1" ht="12" customHeight="1">
      <c r="D63" s="22"/>
      <c r="E63" s="22"/>
      <c r="J63" s="5"/>
      <c r="K63" s="5"/>
      <c r="L63" s="5"/>
      <c r="M63" s="5"/>
      <c r="N63" s="5"/>
      <c r="O63" s="5"/>
      <c r="P63" s="88"/>
      <c r="Q63" s="95"/>
    </row>
    <row r="64" spans="4:17" s="2" customFormat="1" ht="12" customHeight="1">
      <c r="D64" s="22"/>
      <c r="E64" s="22"/>
      <c r="J64" s="5"/>
      <c r="K64" s="5"/>
      <c r="L64" s="5"/>
      <c r="M64" s="5"/>
      <c r="N64" s="5"/>
      <c r="O64" s="5"/>
      <c r="P64" s="88"/>
      <c r="Q64" s="96"/>
    </row>
    <row r="65" spans="1:17" s="2" customFormat="1" ht="12" customHeight="1">
      <c r="D65" s="22"/>
      <c r="E65" s="22"/>
      <c r="J65" s="5"/>
      <c r="K65" s="5"/>
      <c r="L65" s="5"/>
      <c r="M65" s="5"/>
      <c r="N65" s="5"/>
      <c r="O65" s="5"/>
      <c r="P65" s="88"/>
      <c r="Q65" s="96"/>
    </row>
    <row r="66" spans="1:17" s="2" customFormat="1" ht="12" customHeight="1">
      <c r="D66" s="22"/>
      <c r="E66" s="22"/>
      <c r="J66" s="5"/>
      <c r="K66" s="5"/>
      <c r="L66" s="5"/>
      <c r="M66" s="5"/>
      <c r="N66" s="5"/>
      <c r="O66" s="5"/>
      <c r="P66" s="88"/>
      <c r="Q66" s="96"/>
    </row>
    <row r="67" spans="1:17" s="2" customFormat="1" ht="12" customHeight="1">
      <c r="D67" s="22"/>
      <c r="E67" s="22"/>
      <c r="J67" s="5"/>
      <c r="K67" s="5"/>
      <c r="L67" s="5"/>
      <c r="M67" s="5"/>
      <c r="N67" s="5"/>
      <c r="O67" s="5"/>
      <c r="P67" s="88"/>
      <c r="Q67" s="96"/>
    </row>
    <row r="68" spans="1:17" s="2" customFormat="1" ht="12" customHeight="1">
      <c r="A68"/>
      <c r="B68"/>
      <c r="C68"/>
      <c r="D68" s="23"/>
      <c r="E68" s="23"/>
      <c r="F68"/>
      <c r="G68"/>
      <c r="H68"/>
      <c r="I68"/>
      <c r="J68" s="19"/>
      <c r="K68" s="19"/>
      <c r="L68" s="19"/>
      <c r="M68" s="19"/>
      <c r="N68" s="19"/>
      <c r="O68" s="19"/>
      <c r="P68" s="90"/>
      <c r="Q68" s="96"/>
    </row>
    <row r="69" spans="1:17" s="2" customFormat="1" ht="12" customHeight="1">
      <c r="A69"/>
      <c r="B69"/>
      <c r="C69"/>
      <c r="D69" s="23"/>
      <c r="E69" s="23"/>
      <c r="F69"/>
      <c r="G69"/>
      <c r="H69"/>
      <c r="I69"/>
      <c r="J69" s="19"/>
      <c r="K69" s="19"/>
      <c r="L69" s="19"/>
      <c r="M69" s="19"/>
      <c r="N69" s="19"/>
      <c r="O69" s="19"/>
      <c r="P69" s="90"/>
      <c r="Q69" s="96"/>
    </row>
    <row r="70" spans="1:17" s="2" customFormat="1" ht="12" customHeight="1">
      <c r="A70"/>
      <c r="B70"/>
      <c r="C70"/>
      <c r="D70" s="23"/>
      <c r="E70" s="23"/>
      <c r="F70"/>
      <c r="G70"/>
      <c r="H70"/>
      <c r="I70"/>
      <c r="J70" s="19"/>
      <c r="K70" s="19"/>
      <c r="L70" s="19"/>
      <c r="M70" s="19"/>
      <c r="N70" s="19"/>
      <c r="O70" s="19"/>
      <c r="P70" s="90"/>
      <c r="Q70" s="96"/>
    </row>
    <row r="71" spans="1:17" s="2" customFormat="1" ht="12" customHeight="1">
      <c r="A71"/>
      <c r="B71"/>
      <c r="C71"/>
      <c r="D71" s="23"/>
      <c r="E71" s="23"/>
      <c r="F71"/>
      <c r="G71"/>
      <c r="H71"/>
      <c r="I71"/>
      <c r="J71" s="19"/>
      <c r="K71" s="19"/>
      <c r="L71" s="19"/>
      <c r="M71" s="19"/>
      <c r="N71" s="19"/>
      <c r="O71" s="19"/>
      <c r="P71" s="90"/>
      <c r="Q71" s="96"/>
    </row>
    <row r="72" spans="1:17" s="2" customFormat="1" ht="12" customHeight="1">
      <c r="A72"/>
      <c r="B72"/>
      <c r="C72"/>
      <c r="D72" s="23"/>
      <c r="E72" s="23"/>
      <c r="F72"/>
      <c r="G72"/>
      <c r="H72"/>
      <c r="I72"/>
      <c r="J72" s="19"/>
      <c r="K72" s="19"/>
      <c r="L72" s="19"/>
      <c r="M72" s="19"/>
      <c r="N72" s="19"/>
      <c r="O72" s="19"/>
      <c r="P72" s="90"/>
      <c r="Q72" s="96"/>
    </row>
    <row r="73" spans="1:17">
      <c r="Q73" s="96"/>
    </row>
    <row r="74" spans="1:17">
      <c r="Q74" s="96"/>
    </row>
    <row r="75" spans="1:17">
      <c r="Q75" s="96"/>
    </row>
    <row r="76" spans="1:17">
      <c r="Q76" s="96"/>
    </row>
    <row r="77" spans="1:17">
      <c r="Q77" s="96"/>
    </row>
    <row r="78" spans="1:17">
      <c r="Q78" s="96"/>
    </row>
    <row r="79" spans="1:17">
      <c r="Q79" s="96"/>
    </row>
    <row r="80" spans="1:17">
      <c r="Q80" s="96"/>
    </row>
    <row r="81" spans="17:17">
      <c r="Q81" s="96"/>
    </row>
    <row r="82" spans="17:17">
      <c r="Q82" s="96"/>
    </row>
    <row r="83" spans="17:17">
      <c r="Q83" s="96"/>
    </row>
    <row r="84" spans="17:17">
      <c r="Q84" s="96"/>
    </row>
    <row r="85" spans="17:17">
      <c r="Q85" s="96"/>
    </row>
    <row r="86" spans="17:17">
      <c r="Q86" s="96"/>
    </row>
    <row r="87" spans="17:17">
      <c r="Q87" s="96"/>
    </row>
    <row r="88" spans="17:17">
      <c r="Q88" s="96"/>
    </row>
    <row r="89" spans="17:17">
      <c r="Q89" s="96"/>
    </row>
    <row r="90" spans="17:17">
      <c r="Q90" s="96"/>
    </row>
    <row r="91" spans="17:17">
      <c r="Q91" s="96"/>
    </row>
    <row r="92" spans="17:17">
      <c r="Q92" s="96"/>
    </row>
    <row r="129" ht="12" customHeight="1"/>
    <row r="130" ht="12" customHeight="1"/>
    <row r="131" ht="12" customHeight="1"/>
    <row r="132" ht="12" customHeight="1"/>
    <row r="133" ht="12" customHeight="1"/>
    <row r="134" ht="12" customHeight="1"/>
    <row r="135" ht="12" customHeight="1"/>
    <row r="136" ht="12" customHeight="1"/>
    <row r="137" ht="12" customHeight="1"/>
    <row r="138" ht="12" customHeight="1"/>
    <row r="139" ht="12" customHeight="1"/>
    <row r="140" ht="12" customHeight="1"/>
    <row r="141" ht="12" customHeight="1"/>
    <row r="142" ht="12" customHeight="1"/>
    <row r="143" ht="12" customHeight="1"/>
    <row r="144" ht="12" customHeight="1"/>
    <row r="145" ht="12" customHeight="1"/>
    <row r="146" ht="12" customHeight="1"/>
    <row r="147" ht="12" customHeight="1"/>
    <row r="148" ht="12" customHeight="1"/>
    <row r="149" ht="12" customHeight="1"/>
    <row r="150" ht="12" customHeight="1"/>
    <row r="151" ht="12" customHeight="1"/>
    <row r="152" ht="12" customHeight="1"/>
    <row r="153" ht="12" customHeight="1"/>
    <row r="154" ht="12" customHeight="1"/>
    <row r="155" ht="12" customHeight="1"/>
    <row r="156" ht="12" customHeight="1"/>
    <row r="157" ht="12" customHeight="1"/>
    <row r="158" ht="12" customHeight="1"/>
    <row r="159" ht="12" customHeight="1"/>
    <row r="160" ht="12" customHeight="1"/>
    <row r="161" ht="12" customHeight="1"/>
    <row r="162" ht="12" customHeight="1"/>
    <row r="163" ht="12" customHeight="1"/>
    <row r="164" ht="12" customHeight="1"/>
    <row r="165" ht="12" customHeight="1"/>
    <row r="166" ht="12" customHeight="1"/>
    <row r="167" ht="12" customHeight="1"/>
    <row r="168" ht="12" customHeight="1"/>
    <row r="169" ht="12" customHeight="1"/>
    <row r="170" ht="12" customHeight="1"/>
    <row r="171" ht="12" customHeight="1"/>
    <row r="172" ht="12" customHeight="1"/>
    <row r="173" ht="12" customHeight="1"/>
    <row r="174" ht="12" customHeight="1"/>
    <row r="175" ht="12" customHeight="1"/>
    <row r="176" ht="12" customHeight="1"/>
    <row r="177" ht="12" customHeight="1"/>
    <row r="178" ht="12" customHeight="1"/>
  </sheetData>
  <mergeCells count="28">
    <mergeCell ref="H17:I17"/>
    <mergeCell ref="D25:E25"/>
    <mergeCell ref="H25:I25"/>
    <mergeCell ref="D20:E20"/>
    <mergeCell ref="H20:I20"/>
    <mergeCell ref="D21:E21"/>
    <mergeCell ref="D22:E22"/>
    <mergeCell ref="D23:E23"/>
    <mergeCell ref="D24:E24"/>
    <mergeCell ref="D14:E14"/>
    <mergeCell ref="D15:E15"/>
    <mergeCell ref="D16:E16"/>
    <mergeCell ref="D18:E18"/>
    <mergeCell ref="D19:E19"/>
    <mergeCell ref="D17:E17"/>
    <mergeCell ref="D10:E10"/>
    <mergeCell ref="H10:I10"/>
    <mergeCell ref="D11:E11"/>
    <mergeCell ref="D12:E12"/>
    <mergeCell ref="D13:E13"/>
    <mergeCell ref="D1:E1"/>
    <mergeCell ref="D4:E4"/>
    <mergeCell ref="H4:I4"/>
    <mergeCell ref="D9:E9"/>
    <mergeCell ref="D5:E5"/>
    <mergeCell ref="D6:E6"/>
    <mergeCell ref="D7:E7"/>
    <mergeCell ref="D8:E8"/>
  </mergeCells>
  <conditionalFormatting sqref="M5:M9">
    <cfRule type="cellIs" dxfId="561" priority="3" stopIfTrue="1" operator="lessThanOrEqual">
      <formula>$L5</formula>
    </cfRule>
    <cfRule type="cellIs" dxfId="560" priority="4" operator="greaterThan">
      <formula>L5</formula>
    </cfRule>
  </conditionalFormatting>
  <conditionalFormatting sqref="M11:M16 M18:M19">
    <cfRule type="cellIs" dxfId="559" priority="5" stopIfTrue="1" operator="lessThanOrEqual">
      <formula>$L11</formula>
    </cfRule>
    <cfRule type="cellIs" dxfId="558" priority="6" operator="greaterThan">
      <formula>L11</formula>
    </cfRule>
  </conditionalFormatting>
  <conditionalFormatting sqref="M21:M24">
    <cfRule type="cellIs" dxfId="557" priority="1" stopIfTrue="1" operator="lessThanOrEqual">
      <formula>$L21</formula>
    </cfRule>
    <cfRule type="cellIs" dxfId="556" priority="2" operator="greaterThan">
      <formula>L21</formula>
    </cfRule>
  </conditionalFormatting>
  <pageMargins left="0.7" right="0.7" top="0.75" bottom="0.75" header="0.3" footer="0.3"/>
  <pageSetup paperSize="3" fitToHeight="0" orientation="landscape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42785189-0E2C-4A51-8798-59B991626352}">
          <x14:formula1>
            <xm:f>Bolts!$A:$A</xm:f>
          </x14:formula1>
          <xm:sqref>C18:C19</xm:sqref>
        </x14:dataValidation>
        <x14:dataValidation type="list" allowBlank="1" showInputMessage="1" showErrorMessage="1" xr:uid="{E59538F6-ED2E-460B-868C-3B22BF84BF0F}">
          <x14:formula1>
            <xm:f>Purchased!$A:$A</xm:f>
          </x14:formula1>
          <xm:sqref>C11:C16</xm:sqref>
        </x14:dataValidation>
        <x14:dataValidation type="list" allowBlank="1" showInputMessage="1" showErrorMessage="1" xr:uid="{AC14112E-F9EE-4FD7-B466-19FB0A15F92B}">
          <x14:formula1>
            <xm:f>Extrusion!$B:$B</xm:f>
          </x14:formula1>
          <xm:sqref>C21:C24</xm:sqref>
        </x14:dataValidation>
        <x14:dataValidation type="list" allowBlank="1" showInputMessage="1" showErrorMessage="1" xr:uid="{757B5F80-7DD2-4C66-9949-8FEC5A97D0DB}">
          <x14:formula1>
            <xm:f>Machined!$C:$C</xm:f>
          </x14:formula1>
          <xm:sqref>C5:C9</xm:sqref>
        </x14:dataValidation>
      </x14:dataValidation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0E447-2807-4FA1-AB62-65DD346482DF}">
  <sheetPr codeName="Sheet29">
    <tabColor theme="3" tint="0.79998168889431442"/>
    <pageSetUpPr fitToPage="1"/>
  </sheetPr>
  <dimension ref="A1:Q174"/>
  <sheetViews>
    <sheetView zoomScaleNormal="100" workbookViewId="0">
      <selection activeCell="C16" sqref="C16"/>
    </sheetView>
  </sheetViews>
  <sheetFormatPr defaultColWidth="9.140625" defaultRowHeight="15"/>
  <cols>
    <col min="1" max="1" width="5.7109375" customWidth="1"/>
    <col min="2" max="2" width="5.42578125" bestFit="1" customWidth="1"/>
    <col min="3" max="3" width="30.7109375" customWidth="1"/>
    <col min="4" max="5" width="20.7109375" style="23" customWidth="1"/>
    <col min="6" max="6" width="16.85546875" bestFit="1" customWidth="1"/>
    <col min="7" max="7" width="9.7109375" customWidth="1"/>
    <col min="8" max="8" width="8.7109375" customWidth="1"/>
    <col min="9" max="9" width="20.7109375" customWidth="1"/>
    <col min="10" max="13" width="11.7109375" style="19" customWidth="1"/>
    <col min="14" max="14" width="11.85546875" style="19" bestFit="1" customWidth="1"/>
    <col min="15" max="15" width="7.7109375" style="19" customWidth="1"/>
    <col min="16" max="16" width="10.7109375" style="90" customWidth="1"/>
    <col min="17" max="17" width="10.7109375" style="97" customWidth="1"/>
  </cols>
  <sheetData>
    <row r="1" spans="1:17" s="55" customFormat="1" ht="12" customHeight="1">
      <c r="A1" s="68" t="s">
        <v>0</v>
      </c>
      <c r="B1" s="69"/>
      <c r="C1" s="69"/>
      <c r="D1" s="262" t="s">
        <v>1</v>
      </c>
      <c r="E1" s="263"/>
      <c r="F1" s="70"/>
      <c r="G1" s="69"/>
      <c r="H1" s="70"/>
      <c r="I1" s="71"/>
      <c r="J1" s="72"/>
      <c r="K1" s="72"/>
      <c r="L1" s="72"/>
      <c r="M1" s="72"/>
      <c r="N1" s="72"/>
      <c r="O1" s="72"/>
      <c r="P1" s="85"/>
      <c r="Q1" s="91"/>
    </row>
    <row r="2" spans="1:17" s="55" customFormat="1" ht="12" customHeight="1">
      <c r="A2" s="74" t="s">
        <v>48</v>
      </c>
      <c r="B2" s="58"/>
      <c r="C2" s="57" t="e">
        <f ca="1">VLOOKUP(E3,Assemblies!B:F,4,0)</f>
        <v>#VALUE!</v>
      </c>
      <c r="D2" s="75" t="s">
        <v>3</v>
      </c>
      <c r="E2" s="76" t="e">
        <f ca="1">'GF12'!E2</f>
        <v>#VALUE!</v>
      </c>
      <c r="F2" s="77" t="s">
        <v>4</v>
      </c>
      <c r="G2" s="58" t="str">
        <f>'GF12'!G2</f>
        <v>GH</v>
      </c>
      <c r="H2" s="77" t="s">
        <v>6</v>
      </c>
      <c r="I2" s="59">
        <f>'GF12'!I2</f>
        <v>44775</v>
      </c>
      <c r="J2" s="39"/>
      <c r="K2" s="40" t="s">
        <v>49</v>
      </c>
      <c r="L2" s="41" t="e">
        <f ca="1">VLOOKUP(C2,Assemblies!E:G,3,0)</f>
        <v>#VALUE!</v>
      </c>
      <c r="M2" s="78"/>
      <c r="N2" s="78"/>
      <c r="O2" s="78"/>
      <c r="P2" s="86"/>
      <c r="Q2" s="92"/>
    </row>
    <row r="3" spans="1:17" s="55" customFormat="1" ht="12" customHeight="1" thickBot="1">
      <c r="A3" s="74" t="s">
        <v>7</v>
      </c>
      <c r="B3" s="58"/>
      <c r="C3" s="57" t="e">
        <f ca="1">VLOOKUP(E3,Assemblies!B:F,5,0)</f>
        <v>#VALUE!</v>
      </c>
      <c r="D3" s="75" t="s">
        <v>50</v>
      </c>
      <c r="E3" s="76" t="e">
        <f ca="1">MID(CELL("filename",A1),FIND("]",CELL("filename",A1))+1,256)</f>
        <v>#VALUE!</v>
      </c>
      <c r="F3" s="77" t="s">
        <v>11</v>
      </c>
      <c r="G3" s="58" t="str">
        <f>'GF12'!G3</f>
        <v>GH</v>
      </c>
      <c r="H3" s="77" t="s">
        <v>6</v>
      </c>
      <c r="I3" s="59">
        <f>'GF12'!I3</f>
        <v>44775</v>
      </c>
      <c r="J3" s="78"/>
      <c r="K3" s="78"/>
      <c r="L3" s="78"/>
      <c r="M3" s="78"/>
      <c r="N3" s="78"/>
      <c r="O3" s="78"/>
      <c r="P3" s="86"/>
      <c r="Q3" s="92"/>
    </row>
    <row r="4" spans="1:17" s="56" customFormat="1" ht="12.75" customHeight="1" thickBot="1">
      <c r="A4" s="80" t="s">
        <v>12</v>
      </c>
      <c r="B4" s="81" t="s">
        <v>13</v>
      </c>
      <c r="C4" s="81" t="s">
        <v>14</v>
      </c>
      <c r="D4" s="270" t="s">
        <v>15</v>
      </c>
      <c r="E4" s="271"/>
      <c r="F4" s="104" t="s">
        <v>16</v>
      </c>
      <c r="G4" s="81" t="s">
        <v>17</v>
      </c>
      <c r="H4" s="260" t="s">
        <v>18</v>
      </c>
      <c r="I4" s="261"/>
      <c r="J4" s="81" t="s">
        <v>51</v>
      </c>
      <c r="K4" s="81" t="s">
        <v>20</v>
      </c>
      <c r="L4" s="81" t="s">
        <v>21</v>
      </c>
      <c r="M4" s="81" t="s">
        <v>52</v>
      </c>
      <c r="N4" s="81" t="s">
        <v>22</v>
      </c>
      <c r="O4" s="81" t="s">
        <v>53</v>
      </c>
      <c r="P4" s="107" t="s">
        <v>26</v>
      </c>
      <c r="Q4" s="82" t="s">
        <v>27</v>
      </c>
    </row>
    <row r="5" spans="1:17" s="2" customFormat="1" ht="12.75" customHeight="1">
      <c r="A5" s="127">
        <v>1</v>
      </c>
      <c r="B5" s="21">
        <v>1</v>
      </c>
      <c r="C5" s="108" t="s">
        <v>383</v>
      </c>
      <c r="D5" s="277" t="str">
        <f>VLOOKUP(C5,Machined!C:Q,2,0)</f>
        <v>Clear Polycarb Panel Door  13  536x1097</v>
      </c>
      <c r="E5" s="278"/>
      <c r="F5" s="131" t="str">
        <f>VLOOKUP(C5,Machined!C:R,7,0)</f>
        <v>Polycarb</v>
      </c>
      <c r="G5" s="131" t="str">
        <f>VLOOKUP(C5,Machined!C:R,10,0)</f>
        <v>PRO PLASTICS</v>
      </c>
      <c r="H5" s="131" t="str">
        <f>VLOOKUP(C5,Machined!C:R,11,0)</f>
        <v>Quote 668778; &lt;2 weeks; Drawings/Step are under Polycarbonate Door NuLine</v>
      </c>
      <c r="I5" s="131"/>
      <c r="J5" s="42">
        <f>VLOOKUP(C5,Machined!C:R,12,0)</f>
        <v>45159</v>
      </c>
      <c r="K5" s="42" t="str">
        <f>VLOOKUP(C5,Machined!C:R,13,0)</f>
        <v xml:space="preserve"> 9/19/2023</v>
      </c>
      <c r="L5" s="42">
        <f>VLOOKUP(C5,Machined!C:R,14,0)</f>
        <v>45212</v>
      </c>
      <c r="M5" s="42">
        <f>VLOOKUP(C5,Machined!C:R,15,0)</f>
        <v>45212</v>
      </c>
      <c r="N5" s="43">
        <f>VLOOKUP(C5,Machined!C:R,16,0)</f>
        <v>55157</v>
      </c>
      <c r="O5" s="43" t="e">
        <f t="shared" ref="O5:O6" ca="1" si="0">B5*$L$2</f>
        <v>#VALUE!</v>
      </c>
      <c r="P5" s="47">
        <f>IFERROR(VLOOKUP(C5,Machined!C:F,3,0),"")</f>
        <v>54.973300000000002</v>
      </c>
      <c r="Q5" s="48">
        <f t="shared" ref="Q5:Q6" si="1">IFERROR(B5*P5,"")</f>
        <v>54.973300000000002</v>
      </c>
    </row>
    <row r="6" spans="1:17" s="2" customFormat="1" ht="12.75" customHeight="1">
      <c r="A6" s="127">
        <v>2</v>
      </c>
      <c r="B6" s="21">
        <v>1</v>
      </c>
      <c r="C6" s="108" t="s">
        <v>384</v>
      </c>
      <c r="D6" s="277" t="str">
        <f>VLOOKUP(C6,Machined!C:Q,2,0)</f>
        <v>Clear Polycarb Panel Door  14  536x1214</v>
      </c>
      <c r="E6" s="278"/>
      <c r="F6" s="131" t="str">
        <f>VLOOKUP(C6,Machined!C:R,7,0)</f>
        <v>Polycarb</v>
      </c>
      <c r="G6" s="131" t="str">
        <f>VLOOKUP(C6,Machined!C:R,10,0)</f>
        <v>PRO PLASTICS</v>
      </c>
      <c r="H6" s="131" t="str">
        <f>VLOOKUP(C6,Machined!C:R,11,0)</f>
        <v>Quote 668778; &lt;2 weeks; Drawings/Step are under Polycarbonate Door NuLine</v>
      </c>
      <c r="I6" s="131"/>
      <c r="J6" s="42">
        <f>VLOOKUP(C6,Machined!C:R,12,0)</f>
        <v>45159</v>
      </c>
      <c r="K6" s="42" t="str">
        <f>VLOOKUP(C6,Machined!C:R,13,0)</f>
        <v xml:space="preserve"> 9/19/2023</v>
      </c>
      <c r="L6" s="42">
        <f>VLOOKUP(C6,Machined!C:R,14,0)</f>
        <v>45212</v>
      </c>
      <c r="M6" s="42">
        <f>VLOOKUP(C6,Machined!C:R,15,0)</f>
        <v>45212</v>
      </c>
      <c r="N6" s="43">
        <f>VLOOKUP(C6,Machined!C:R,16,0)</f>
        <v>55157</v>
      </c>
      <c r="O6" s="43" t="e">
        <f t="shared" ca="1" si="0"/>
        <v>#VALUE!</v>
      </c>
      <c r="P6" s="47">
        <f>IFERROR(VLOOKUP(C6,Machined!C:F,3,0),"")</f>
        <v>54.973300000000002</v>
      </c>
      <c r="Q6" s="48">
        <f t="shared" si="1"/>
        <v>54.973300000000002</v>
      </c>
    </row>
    <row r="7" spans="1:17" s="2" customFormat="1" ht="12.75" customHeight="1">
      <c r="A7" s="127">
        <v>3</v>
      </c>
      <c r="B7" s="21">
        <v>4</v>
      </c>
      <c r="C7" s="108" t="s">
        <v>354</v>
      </c>
      <c r="D7" s="277" t="str">
        <f>VLOOKUP(C7,Machined!C:Q,2,0)</f>
        <v>Door Support</v>
      </c>
      <c r="E7" s="278"/>
      <c r="F7" s="131" t="str">
        <f>VLOOKUP(C7,Machined!C:R,7,0)</f>
        <v>Delrin - White</v>
      </c>
      <c r="G7" s="131" t="str">
        <f>VLOOKUP(C7,Machined!C:R,10,0)</f>
        <v>BIG SKY</v>
      </c>
      <c r="H7" s="131" t="str">
        <f>VLOOKUP(C7,Machined!C:R,11,0)</f>
        <v xml:space="preserve">  </v>
      </c>
      <c r="I7" s="131"/>
      <c r="J7" s="42">
        <f>VLOOKUP(C7,Machined!C:R,12,0)</f>
        <v>45142</v>
      </c>
      <c r="K7" s="42">
        <f>VLOOKUP(C7,Machined!C:R,13,0)</f>
        <v>45146</v>
      </c>
      <c r="L7" s="42">
        <f>VLOOKUP(C7,Machined!C:R,14,0)</f>
        <v>45176</v>
      </c>
      <c r="M7" s="42">
        <f>VLOOKUP(C7,Machined!C:R,15,0)</f>
        <v>45176</v>
      </c>
      <c r="N7" s="43">
        <f>VLOOKUP(C7,Machined!C:R,16,0)</f>
        <v>55032</v>
      </c>
      <c r="O7" s="43" t="e">
        <f ca="1">B7*$L$2</f>
        <v>#VALUE!</v>
      </c>
      <c r="P7" s="47">
        <f>IFERROR(VLOOKUP(C7,Machined!C:F,3,0),"")</f>
        <v>88</v>
      </c>
      <c r="Q7" s="48">
        <f>IFERROR(B7*P7,"")</f>
        <v>352</v>
      </c>
    </row>
    <row r="8" spans="1:17" s="2" customFormat="1" ht="12.75" customHeight="1">
      <c r="A8" s="143"/>
      <c r="B8" s="26"/>
      <c r="C8" s="26"/>
      <c r="D8" s="272"/>
      <c r="E8" s="273"/>
      <c r="F8" s="26"/>
      <c r="G8" s="26"/>
      <c r="H8" s="274"/>
      <c r="I8" s="275"/>
      <c r="J8" s="27"/>
      <c r="K8" s="27"/>
      <c r="L8" s="27"/>
      <c r="M8" s="28"/>
      <c r="N8" s="29"/>
      <c r="O8" s="29"/>
      <c r="P8" s="141"/>
      <c r="Q8" s="142"/>
    </row>
    <row r="9" spans="1:17" s="2" customFormat="1" ht="12.75" customHeight="1">
      <c r="A9" s="4">
        <v>301</v>
      </c>
      <c r="B9" s="2">
        <v>8</v>
      </c>
      <c r="C9" s="114" t="s">
        <v>244</v>
      </c>
      <c r="D9" s="268" t="str">
        <f>VLOOKUP(C9,Purchased!A:B,2,0)</f>
        <v>BRX GOTO QUICK CONNECTOR N10 0°</v>
      </c>
      <c r="E9" s="269"/>
      <c r="F9" s="112" t="str">
        <f>VLOOKUP(C9,Purchased!A:Q,9,0)</f>
        <v>BRX</v>
      </c>
      <c r="G9" s="112" t="str">
        <f>VLOOKUP(C9,Purchased!A:Q,10,0)</f>
        <v>AAP</v>
      </c>
      <c r="H9" s="112" t="str">
        <f>VLOOKUP(C9,Purchased!A:Q,12,0)</f>
        <v>17 in stock</v>
      </c>
      <c r="I9" s="113"/>
      <c r="J9" s="44" t="str">
        <f>VLOOKUP(C9,Purchased!A:Q,13,0)</f>
        <v>N/A</v>
      </c>
      <c r="K9" s="44">
        <f>VLOOKUP(C9,Purchased!A:Q,14,0)</f>
        <v>45089</v>
      </c>
      <c r="L9" s="44">
        <f>VLOOKUP(C9,Purchased!A:Q,15,0)</f>
        <v>45124</v>
      </c>
      <c r="M9" s="44">
        <f>VLOOKUP(C9,Purchased!A:Q,16,0)</f>
        <v>45124</v>
      </c>
      <c r="N9" s="45" t="str">
        <f>VLOOKUP(C9,Purchased!A:Q,17,0)</f>
        <v>500x54927, 500x55060</v>
      </c>
      <c r="O9" s="45" t="e">
        <f t="shared" ref="O9:O13" ca="1" si="2">B9*$L$2</f>
        <v>#VALUE!</v>
      </c>
      <c r="P9" s="49">
        <f>IFERROR(VLOOKUP(C9,Purchased!A:E,3,FALSE),"")</f>
        <v>5.2857000000000003</v>
      </c>
      <c r="Q9" s="50">
        <f t="shared" ref="Q9:Q13" si="3">IFERROR(B9*P9,"")</f>
        <v>42.285600000000002</v>
      </c>
    </row>
    <row r="10" spans="1:17" s="2" customFormat="1" ht="12" customHeight="1">
      <c r="A10" s="4">
        <f t="shared" ref="A10:A13" si="4">A9+1</f>
        <v>302</v>
      </c>
      <c r="B10" s="2">
        <v>16</v>
      </c>
      <c r="C10" s="114" t="s">
        <v>325</v>
      </c>
      <c r="D10" s="268" t="str">
        <f>VLOOKUP(C10,Purchased!A:B,2,0)</f>
        <v>BRX GOTO T-NUT 10 M4</v>
      </c>
      <c r="E10" s="269"/>
      <c r="F10" s="112" t="str">
        <f>VLOOKUP(C10,Purchased!A:Q,9,0)</f>
        <v>BRX</v>
      </c>
      <c r="G10" s="112" t="str">
        <f>VLOOKUP(C10,Purchased!A:Q,10,0)</f>
        <v>AAP</v>
      </c>
      <c r="H10" s="112" t="str">
        <f>VLOOKUP(C10,Purchased!A:Q,12,0)</f>
        <v>14 NuLine Stock</v>
      </c>
      <c r="I10" s="113"/>
      <c r="J10" s="44">
        <f>VLOOKUP(C10,Purchased!A:Q,13,0)</f>
        <v>45104</v>
      </c>
      <c r="K10" s="44">
        <f>VLOOKUP(C10,Purchased!A:Q,14,0)</f>
        <v>45105</v>
      </c>
      <c r="L10" s="44">
        <f>VLOOKUP(C10,Purchased!A:Q,15,0)</f>
        <v>45133</v>
      </c>
      <c r="M10" s="44">
        <f>VLOOKUP(C10,Purchased!A:Q,16,0)</f>
        <v>45133</v>
      </c>
      <c r="N10" s="45">
        <f>VLOOKUP(C10,Purchased!A:Q,17,0)</f>
        <v>54968</v>
      </c>
      <c r="O10" s="45" t="e">
        <f t="shared" ca="1" si="2"/>
        <v>#VALUE!</v>
      </c>
      <c r="P10" s="49">
        <f>IFERROR(VLOOKUP(C10,Purchased!A:E,3,FALSE),"")</f>
        <v>0.64290000000000003</v>
      </c>
      <c r="Q10" s="50">
        <f t="shared" si="3"/>
        <v>10.2864</v>
      </c>
    </row>
    <row r="11" spans="1:17" s="2" customFormat="1" ht="12" customHeight="1">
      <c r="A11" s="4">
        <f t="shared" si="4"/>
        <v>303</v>
      </c>
      <c r="B11" s="2">
        <v>4</v>
      </c>
      <c r="C11" s="114" t="s">
        <v>256</v>
      </c>
      <c r="D11" s="268" t="str">
        <f>VLOOKUP(C11,Purchased!A:B,2,0)</f>
        <v>BRX GOTO T-NUT 10 M8</v>
      </c>
      <c r="E11" s="269"/>
      <c r="F11" s="112" t="str">
        <f>VLOOKUP(C11,Purchased!A:Q,9,0)</f>
        <v>BRX</v>
      </c>
      <c r="G11" s="112" t="str">
        <f>VLOOKUP(C11,Purchased!A:Q,10,0)</f>
        <v>AAP</v>
      </c>
      <c r="H11" s="112" t="str">
        <f>VLOOKUP(C11,Purchased!A:Q,12,0)</f>
        <v xml:space="preserve">  </v>
      </c>
      <c r="I11" s="113"/>
      <c r="J11" s="44">
        <f>VLOOKUP(C11,Purchased!A:Q,13,0)</f>
        <v>45104</v>
      </c>
      <c r="K11" s="44">
        <f>VLOOKUP(C11,Purchased!A:Q,14,0)</f>
        <v>45105</v>
      </c>
      <c r="L11" s="44">
        <f>VLOOKUP(C11,Purchased!A:Q,15,0)</f>
        <v>45133</v>
      </c>
      <c r="M11" s="44">
        <f>VLOOKUP(C11,Purchased!A:Q,16,0)</f>
        <v>45133</v>
      </c>
      <c r="N11" s="45" t="str">
        <f>VLOOKUP(C11,Purchased!A:Q,17,0)</f>
        <v>54968, 55147</v>
      </c>
      <c r="O11" s="45" t="e">
        <f t="shared" ca="1" si="2"/>
        <v>#VALUE!</v>
      </c>
      <c r="P11" s="49">
        <f>IFERROR(VLOOKUP(C11,Purchased!A:E,3,FALSE),"")</f>
        <v>0.64290000000000003</v>
      </c>
      <c r="Q11" s="50">
        <f t="shared" si="3"/>
        <v>2.5716000000000001</v>
      </c>
    </row>
    <row r="12" spans="1:17" s="2" customFormat="1" ht="12" customHeight="1">
      <c r="A12" s="4">
        <f t="shared" si="4"/>
        <v>304</v>
      </c>
      <c r="B12" s="2">
        <v>2</v>
      </c>
      <c r="C12" s="114" t="s">
        <v>359</v>
      </c>
      <c r="D12" s="268" t="str">
        <f>VLOOKUP(C12,Purchased!A:B,2,0)</f>
        <v>ELESA 260411-C1 Black Bridge Handle EBP.200-8-C1</v>
      </c>
      <c r="E12" s="269"/>
      <c r="F12" s="112" t="str">
        <f>VLOOKUP(C12,Purchased!A:Q,9,0)</f>
        <v>ELESA</v>
      </c>
      <c r="G12" s="112" t="str">
        <f>VLOOKUP(C12,Purchased!A:Q,10,0)</f>
        <v>ELESA</v>
      </c>
      <c r="H12" s="112">
        <f>VLOOKUP(C12,Purchased!A:Q,12,0)</f>
        <v>0</v>
      </c>
      <c r="I12" s="113"/>
      <c r="J12" s="44" t="str">
        <f>VLOOKUP(C12,Purchased!A:Q,13,0)</f>
        <v>N/A</v>
      </c>
      <c r="K12" s="44">
        <f>VLOOKUP(C12,Purchased!A:Q,14,0)</f>
        <v>45205</v>
      </c>
      <c r="L12" s="44">
        <f>VLOOKUP(C12,Purchased!A:Q,15,0)</f>
        <v>45219</v>
      </c>
      <c r="M12" s="44">
        <f>VLOOKUP(C12,Purchased!A:Q,16,0)</f>
        <v>45225</v>
      </c>
      <c r="N12" s="45">
        <f>VLOOKUP(C12,Purchased!A:Q,17,0)</f>
        <v>55195</v>
      </c>
      <c r="O12" s="45" t="e">
        <f t="shared" ca="1" si="2"/>
        <v>#VALUE!</v>
      </c>
      <c r="P12" s="49">
        <f>IFERROR(VLOOKUP(C12,Purchased!A:E,3,FALSE),"")</f>
        <v>0</v>
      </c>
      <c r="Q12" s="50">
        <f t="shared" si="3"/>
        <v>0</v>
      </c>
    </row>
    <row r="13" spans="1:17" s="2" customFormat="1" ht="12" customHeight="1">
      <c r="A13" s="4">
        <f t="shared" si="4"/>
        <v>305</v>
      </c>
      <c r="B13" s="2">
        <v>6</v>
      </c>
      <c r="C13" s="114">
        <v>3842544531</v>
      </c>
      <c r="D13" s="268" t="e">
        <f>VLOOKUP(C13,Purchased!A:B,2,0)</f>
        <v>#N/A</v>
      </c>
      <c r="E13" s="269"/>
      <c r="F13" s="112" t="e">
        <f>VLOOKUP(C13,Purchased!A:Q,9,0)</f>
        <v>#N/A</v>
      </c>
      <c r="G13" s="112" t="e">
        <f>VLOOKUP(C13,Purchased!A:Q,10,0)</f>
        <v>#N/A</v>
      </c>
      <c r="H13" s="112" t="e">
        <f>VLOOKUP(C13,Purchased!A:Q,12,0)</f>
        <v>#N/A</v>
      </c>
      <c r="I13" s="113"/>
      <c r="J13" s="44" t="e">
        <f>VLOOKUP(C13,Purchased!A:Q,13,0)</f>
        <v>#N/A</v>
      </c>
      <c r="K13" s="44" t="e">
        <f>VLOOKUP(C13,Purchased!A:Q,14,0)</f>
        <v>#N/A</v>
      </c>
      <c r="L13" s="44" t="e">
        <f>VLOOKUP(C13,Purchased!A:Q,15,0)</f>
        <v>#N/A</v>
      </c>
      <c r="M13" s="44" t="e">
        <f>VLOOKUP(C13,Purchased!A:Q,16,0)</f>
        <v>#N/A</v>
      </c>
      <c r="N13" s="45" t="e">
        <f>VLOOKUP(C13,Purchased!A:Q,17,0)</f>
        <v>#N/A</v>
      </c>
      <c r="O13" s="45" t="e">
        <f t="shared" ca="1" si="2"/>
        <v>#VALUE!</v>
      </c>
      <c r="P13" s="49" t="str">
        <f>IFERROR(VLOOKUP(C13,Purchased!A:E,3,FALSE),"")</f>
        <v/>
      </c>
      <c r="Q13" s="50" t="str">
        <f t="shared" si="3"/>
        <v/>
      </c>
    </row>
    <row r="14" spans="1:17" s="2" customFormat="1" ht="12.75" customHeight="1">
      <c r="A14" s="25"/>
      <c r="B14" s="26"/>
      <c r="C14" s="26"/>
      <c r="D14" s="272"/>
      <c r="E14" s="273"/>
      <c r="F14" s="26"/>
      <c r="G14" s="26"/>
      <c r="H14" s="274"/>
      <c r="I14" s="275"/>
      <c r="J14" s="27"/>
      <c r="K14" s="27"/>
      <c r="L14" s="27"/>
      <c r="M14" s="28"/>
      <c r="N14" s="29"/>
      <c r="O14" s="29" t="e">
        <f t="shared" ref="O14:O16" ca="1" si="5">B14*$L$2</f>
        <v>#VALUE!</v>
      </c>
      <c r="P14" s="141"/>
      <c r="Q14" s="142"/>
    </row>
    <row r="15" spans="1:17" s="2" customFormat="1" ht="12.75" customHeight="1">
      <c r="A15" s="4">
        <v>501</v>
      </c>
      <c r="B15" s="2">
        <v>16</v>
      </c>
      <c r="C15" s="110" t="s">
        <v>361</v>
      </c>
      <c r="D15" s="268"/>
      <c r="E15" s="276"/>
      <c r="F15" s="112" t="str">
        <f>VLOOKUP(C15,Bolts!A:L,5,0)</f>
        <v xml:space="preserve">  </v>
      </c>
      <c r="G15" s="112" t="str">
        <f>VLOOKUP(C15,Bolts!A:L,6,0)</f>
        <v>Monroe Fasteners</v>
      </c>
      <c r="H15" s="112" t="str">
        <f>VLOOKUP(C15,Bolts!A:L,7,0)</f>
        <v xml:space="preserve">  </v>
      </c>
      <c r="I15" s="112"/>
      <c r="J15" s="44" t="str">
        <f>VLOOKUP(C15,Bolts!A:L,8,0)</f>
        <v xml:space="preserve"> </v>
      </c>
      <c r="K15" s="44" t="str">
        <f>VLOOKUP(C15,Bolts!A:L,9,0)</f>
        <v xml:space="preserve"> </v>
      </c>
      <c r="L15" s="44" t="str">
        <f>VLOOKUP(C15,Bolts!A:L,10,0)</f>
        <v xml:space="preserve"> </v>
      </c>
      <c r="M15" s="44" t="str">
        <f>VLOOKUP(C15,Bolts!A:L,11,0)</f>
        <v xml:space="preserve"> </v>
      </c>
      <c r="N15" s="45" t="str">
        <f>VLOOKUP(C15,Bolts!A:L,12,0)</f>
        <v xml:space="preserve"> </v>
      </c>
      <c r="O15" s="45" t="e">
        <f t="shared" ca="1" si="5"/>
        <v>#VALUE!</v>
      </c>
      <c r="P15" s="49" t="str">
        <f>IFERROR(VLOOKUP(C15,Bolts!A:B,2,FALSE),"")</f>
        <v xml:space="preserve"> </v>
      </c>
      <c r="Q15" s="50" t="str">
        <f t="shared" ref="Q15:Q16" si="6">IFERROR(B15*P15,"")</f>
        <v/>
      </c>
    </row>
    <row r="16" spans="1:17" s="2" customFormat="1" ht="12.75" customHeight="1">
      <c r="A16" s="4">
        <f t="shared" ref="A16" si="7">A15+1</f>
        <v>502</v>
      </c>
      <c r="B16" s="2">
        <v>4</v>
      </c>
      <c r="C16" s="110" t="s">
        <v>362</v>
      </c>
      <c r="D16" s="268"/>
      <c r="E16" s="276"/>
      <c r="F16" s="112" t="str">
        <f>VLOOKUP(C16,Bolts!A:L,5,0)</f>
        <v xml:space="preserve">  </v>
      </c>
      <c r="G16" s="112" t="str">
        <f>VLOOKUP(C16,Bolts!A:L,6,0)</f>
        <v>Monroe Fasteners</v>
      </c>
      <c r="H16" s="112" t="str">
        <f>VLOOKUP(C16,Bolts!A:L,7,0)</f>
        <v xml:space="preserve">  </v>
      </c>
      <c r="I16" s="112"/>
      <c r="J16" s="44" t="str">
        <f>VLOOKUP(C16,Bolts!A:L,8,0)</f>
        <v xml:space="preserve"> </v>
      </c>
      <c r="K16" s="44" t="str">
        <f>VLOOKUP(C16,Bolts!A:L,9,0)</f>
        <v xml:space="preserve"> </v>
      </c>
      <c r="L16" s="44" t="str">
        <f>VLOOKUP(C16,Bolts!A:L,10,0)</f>
        <v xml:space="preserve"> </v>
      </c>
      <c r="M16" s="44" t="str">
        <f>VLOOKUP(C16,Bolts!A:L,11,0)</f>
        <v xml:space="preserve"> </v>
      </c>
      <c r="N16" s="45" t="str">
        <f>VLOOKUP(C16,Bolts!A:L,12,0)</f>
        <v xml:space="preserve"> </v>
      </c>
      <c r="O16" s="45" t="e">
        <f t="shared" ca="1" si="5"/>
        <v>#VALUE!</v>
      </c>
      <c r="P16" s="49" t="str">
        <f>IFERROR(VLOOKUP(C16,Bolts!A:B,2,FALSE),"")</f>
        <v xml:space="preserve"> </v>
      </c>
      <c r="Q16" s="50" t="str">
        <f t="shared" si="6"/>
        <v/>
      </c>
    </row>
    <row r="17" spans="1:17" s="2" customFormat="1" ht="12.75" customHeight="1">
      <c r="A17" s="25"/>
      <c r="B17" s="26"/>
      <c r="C17" s="26"/>
      <c r="D17" s="272"/>
      <c r="E17" s="273"/>
      <c r="F17" s="26"/>
      <c r="G17" s="26"/>
      <c r="H17" s="274"/>
      <c r="I17" s="275"/>
      <c r="J17" s="27"/>
      <c r="K17" s="27"/>
      <c r="L17" s="27"/>
      <c r="M17" s="28"/>
      <c r="N17" s="29"/>
      <c r="O17" s="29"/>
      <c r="P17" s="141"/>
      <c r="Q17" s="142"/>
    </row>
    <row r="18" spans="1:17" s="2" customFormat="1" ht="12.75" customHeight="1">
      <c r="A18" s="4">
        <v>701</v>
      </c>
      <c r="B18" s="2">
        <v>2</v>
      </c>
      <c r="C18" s="111" t="s">
        <v>369</v>
      </c>
      <c r="D18" s="268" t="str">
        <f>VLOOKUP(C18,Extrusion!B:C,2,0)</f>
        <v>Doors</v>
      </c>
      <c r="E18" s="269"/>
      <c r="F18" s="112" t="str">
        <f>VLOOKUP(C18,Extrusion!B:M,6,0)</f>
        <v>BOSCH</v>
      </c>
      <c r="G18" s="112" t="str">
        <f>VLOOKUP(C18,Extrusion!B:M,7,0)</f>
        <v>NULINE</v>
      </c>
      <c r="H18" s="112" t="str">
        <f>VLOOKUP(C18,Extrusion!B:M,8,0)</f>
        <v xml:space="preserve"> </v>
      </c>
      <c r="I18" s="113"/>
      <c r="J18" s="44" t="str">
        <f>VLOOKUP(C18,Extrusion!B:M,9,0)</f>
        <v>N/A</v>
      </c>
      <c r="K18" s="44">
        <f>VLOOKUP(C18,Extrusion!B:M,10,0)</f>
        <v>44894</v>
      </c>
      <c r="L18" s="44">
        <f>VLOOKUP(C18,Extrusion!B:M,11,0)</f>
        <v>44970</v>
      </c>
      <c r="M18" s="44">
        <f>VLOOKUP(C18,Extrusion!B:M,12,0)</f>
        <v>44970</v>
      </c>
      <c r="N18" s="45">
        <f>VLOOKUP(C18,Extrusion!B:N,13,0)</f>
        <v>54598</v>
      </c>
      <c r="O18" s="45" t="e">
        <f t="shared" ref="O18:O20" ca="1" si="8">B18*$L$2</f>
        <v>#VALUE!</v>
      </c>
      <c r="P18" s="49">
        <f>IFERROR(VLOOKUP(C18,Extrusion!B:F,5,0),"")</f>
        <v>39.224237083333335</v>
      </c>
      <c r="Q18" s="50">
        <f t="shared" ref="Q18:Q20" si="9">IFERROR(B18*P18,"")</f>
        <v>78.448474166666671</v>
      </c>
    </row>
    <row r="19" spans="1:17" s="2" customFormat="1" ht="12" customHeight="1">
      <c r="A19" s="4">
        <f t="shared" ref="A19:A20" si="10">A18+1</f>
        <v>702</v>
      </c>
      <c r="B19" s="2">
        <v>2</v>
      </c>
      <c r="C19" s="111" t="s">
        <v>366</v>
      </c>
      <c r="D19" s="268" t="str">
        <f>VLOOKUP(C19,Extrusion!B:C,2,0)</f>
        <v>Doors</v>
      </c>
      <c r="E19" s="269"/>
      <c r="F19" s="112" t="str">
        <f>VLOOKUP(C19,Extrusion!B:M,6,0)</f>
        <v>BOSCH</v>
      </c>
      <c r="G19" s="112" t="str">
        <f>VLOOKUP(C19,Extrusion!B:M,7,0)</f>
        <v>NULINE</v>
      </c>
      <c r="H19" s="112" t="str">
        <f>VLOOKUP(C19,Extrusion!B:M,8,0)</f>
        <v xml:space="preserve"> </v>
      </c>
      <c r="I19" s="113"/>
      <c r="J19" s="44" t="str">
        <f>VLOOKUP(C19,Extrusion!B:M,9,0)</f>
        <v>N/A</v>
      </c>
      <c r="K19" s="44">
        <f>VLOOKUP(C19,Extrusion!B:M,10,0)</f>
        <v>44894</v>
      </c>
      <c r="L19" s="44">
        <f>VLOOKUP(C19,Extrusion!B:M,11,0)</f>
        <v>44970</v>
      </c>
      <c r="M19" s="44">
        <f>VLOOKUP(C19,Extrusion!B:M,12,0)</f>
        <v>44970</v>
      </c>
      <c r="N19" s="45">
        <f>VLOOKUP(C19,Extrusion!B:N,13,0)</f>
        <v>54598</v>
      </c>
      <c r="O19" s="45" t="e">
        <f t="shared" ca="1" si="8"/>
        <v>#VALUE!</v>
      </c>
      <c r="P19" s="49">
        <f>IFERROR(VLOOKUP(C19,Extrusion!B:F,5,0),"")</f>
        <v>41.724688933333326</v>
      </c>
      <c r="Q19" s="50">
        <f t="shared" si="9"/>
        <v>83.449377866666651</v>
      </c>
    </row>
    <row r="20" spans="1:17" s="2" customFormat="1" ht="12" customHeight="1" thickBot="1">
      <c r="A20" s="4">
        <f t="shared" si="10"/>
        <v>703</v>
      </c>
      <c r="B20" s="2">
        <v>4</v>
      </c>
      <c r="C20" s="111" t="s">
        <v>385</v>
      </c>
      <c r="D20" s="268" t="str">
        <f>VLOOKUP(C20,Extrusion!B:C,2,0)</f>
        <v>Doors</v>
      </c>
      <c r="E20" s="269"/>
      <c r="F20" s="112" t="str">
        <f>VLOOKUP(C20,Extrusion!B:M,6,0)</f>
        <v>BOSCH</v>
      </c>
      <c r="G20" s="112" t="str">
        <f>VLOOKUP(C20,Extrusion!B:M,7,0)</f>
        <v>NULINE</v>
      </c>
      <c r="H20" s="112" t="str">
        <f>VLOOKUP(C20,Extrusion!B:M,8,0)</f>
        <v xml:space="preserve"> </v>
      </c>
      <c r="I20" s="113"/>
      <c r="J20" s="44" t="str">
        <f>VLOOKUP(C20,Extrusion!B:M,9,0)</f>
        <v>N/A</v>
      </c>
      <c r="K20" s="44">
        <f>VLOOKUP(C20,Extrusion!B:M,10,0)</f>
        <v>44894</v>
      </c>
      <c r="L20" s="44">
        <f>VLOOKUP(C20,Extrusion!B:M,11,0)</f>
        <v>44970</v>
      </c>
      <c r="M20" s="44">
        <f>VLOOKUP(C20,Extrusion!B:M,12,0)</f>
        <v>44970</v>
      </c>
      <c r="N20" s="45">
        <f>VLOOKUP(C20,Extrusion!B:N,13,0)</f>
        <v>54598</v>
      </c>
      <c r="O20" s="45" t="e">
        <f t="shared" ca="1" si="8"/>
        <v>#VALUE!</v>
      </c>
      <c r="P20" s="49">
        <f>IFERROR(VLOOKUP(C20,Extrusion!B:F,5,0),"")</f>
        <v>29.2010583</v>
      </c>
      <c r="Q20" s="50">
        <f t="shared" si="9"/>
        <v>116.8042332</v>
      </c>
    </row>
    <row r="21" spans="1:17" s="2" customFormat="1" ht="12.75" customHeight="1" thickBot="1">
      <c r="A21" s="34"/>
      <c r="B21" s="35"/>
      <c r="C21" s="35"/>
      <c r="D21" s="256"/>
      <c r="E21" s="257"/>
      <c r="F21" s="35"/>
      <c r="G21" s="35"/>
      <c r="H21" s="294"/>
      <c r="I21" s="295"/>
      <c r="J21" s="36"/>
      <c r="K21" s="36"/>
      <c r="L21" s="36"/>
      <c r="M21" s="37"/>
      <c r="N21" s="38"/>
      <c r="O21" s="38"/>
      <c r="P21" s="89" t="s">
        <v>43</v>
      </c>
      <c r="Q21" s="94">
        <f>SUM(Q5:Q20)</f>
        <v>795.79228523333325</v>
      </c>
    </row>
    <row r="22" spans="1:17" s="2" customFormat="1" ht="12" customHeight="1">
      <c r="D22" s="22"/>
      <c r="E22" s="22"/>
      <c r="J22" s="8"/>
      <c r="K22" s="8"/>
      <c r="L22" s="8"/>
      <c r="M22" s="8"/>
      <c r="N22" s="5"/>
      <c r="O22" s="5"/>
      <c r="P22" s="88"/>
      <c r="Q22" s="95"/>
    </row>
    <row r="23" spans="1:17" s="2" customFormat="1" ht="12" customHeight="1">
      <c r="D23" s="22"/>
      <c r="E23" s="22"/>
      <c r="J23" s="5"/>
      <c r="K23" s="5"/>
      <c r="L23" s="5"/>
      <c r="M23" s="5"/>
      <c r="N23" s="5"/>
      <c r="O23" s="5"/>
      <c r="P23" s="88"/>
      <c r="Q23" s="95"/>
    </row>
    <row r="24" spans="1:17" s="2" customFormat="1" ht="12" customHeight="1">
      <c r="D24" s="22"/>
      <c r="E24" s="22"/>
      <c r="J24" s="5"/>
      <c r="K24" s="5"/>
      <c r="L24" s="5"/>
      <c r="M24" s="5"/>
      <c r="N24" s="5"/>
      <c r="O24" s="5"/>
      <c r="P24" s="88"/>
      <c r="Q24" s="95"/>
    </row>
    <row r="25" spans="1:17" s="2" customFormat="1" ht="12" customHeight="1">
      <c r="D25" s="22"/>
      <c r="E25" s="22"/>
      <c r="J25" s="5"/>
      <c r="K25" s="5"/>
      <c r="L25" s="5"/>
      <c r="M25" s="5"/>
      <c r="N25" s="5"/>
      <c r="O25" s="5"/>
      <c r="P25" s="88"/>
      <c r="Q25" s="95"/>
    </row>
    <row r="26" spans="1:17" s="2" customFormat="1" ht="12" customHeight="1">
      <c r="D26" s="22"/>
      <c r="E26" s="22"/>
      <c r="J26" s="5"/>
      <c r="K26" s="5"/>
      <c r="L26" s="5"/>
      <c r="M26" s="5"/>
      <c r="N26" s="5"/>
      <c r="O26" s="5"/>
      <c r="P26" s="88"/>
      <c r="Q26" s="95"/>
    </row>
    <row r="27" spans="1:17" s="2" customFormat="1" ht="12" customHeight="1">
      <c r="D27" s="22"/>
      <c r="E27" s="22"/>
      <c r="J27" s="5"/>
      <c r="K27" s="5"/>
      <c r="L27" s="5"/>
      <c r="M27" s="5"/>
      <c r="N27" s="5"/>
      <c r="O27" s="5"/>
      <c r="P27" s="88"/>
      <c r="Q27" s="95"/>
    </row>
    <row r="28" spans="1:17" s="2" customFormat="1" ht="12" customHeight="1">
      <c r="D28" s="22"/>
      <c r="E28" s="22"/>
      <c r="J28" s="5"/>
      <c r="K28" s="5"/>
      <c r="L28" s="5"/>
      <c r="M28" s="5"/>
      <c r="N28" s="5"/>
      <c r="O28" s="5"/>
      <c r="P28" s="88"/>
      <c r="Q28" s="95"/>
    </row>
    <row r="29" spans="1:17" s="2" customFormat="1" ht="12" customHeight="1">
      <c r="D29" s="22"/>
      <c r="E29" s="22"/>
      <c r="J29" s="5"/>
      <c r="K29" s="5"/>
      <c r="L29" s="5"/>
      <c r="M29" s="5"/>
      <c r="N29" s="5"/>
      <c r="O29" s="5"/>
      <c r="P29" s="88"/>
      <c r="Q29" s="95"/>
    </row>
    <row r="30" spans="1:17" s="2" customFormat="1" ht="12" customHeight="1">
      <c r="D30" s="22"/>
      <c r="E30" s="22"/>
      <c r="J30" s="5"/>
      <c r="K30" s="5"/>
      <c r="L30" s="5"/>
      <c r="M30" s="5"/>
      <c r="N30" s="5"/>
      <c r="O30" s="5"/>
      <c r="P30" s="88"/>
      <c r="Q30" s="95"/>
    </row>
    <row r="31" spans="1:17" s="2" customFormat="1" ht="12" customHeight="1">
      <c r="D31" s="22"/>
      <c r="E31" s="22"/>
      <c r="J31" s="5"/>
      <c r="K31" s="5"/>
      <c r="L31" s="5"/>
      <c r="M31" s="5"/>
      <c r="N31" s="5"/>
      <c r="O31" s="5"/>
      <c r="P31" s="88"/>
      <c r="Q31" s="95"/>
    </row>
    <row r="32" spans="1:17" s="2" customFormat="1" ht="12" customHeight="1">
      <c r="D32" s="22"/>
      <c r="E32" s="22"/>
      <c r="J32" s="5"/>
      <c r="K32" s="5"/>
      <c r="L32" s="5"/>
      <c r="M32" s="5"/>
      <c r="N32" s="5"/>
      <c r="O32" s="5"/>
      <c r="P32" s="88"/>
      <c r="Q32" s="95"/>
    </row>
    <row r="33" spans="4:17" s="2" customFormat="1" ht="12" customHeight="1">
      <c r="D33" s="22"/>
      <c r="E33" s="22"/>
      <c r="J33" s="5"/>
      <c r="K33" s="5"/>
      <c r="L33" s="5"/>
      <c r="M33" s="5"/>
      <c r="N33" s="5"/>
      <c r="O33" s="5"/>
      <c r="P33" s="88"/>
      <c r="Q33" s="95"/>
    </row>
    <row r="34" spans="4:17" s="2" customFormat="1" ht="12" customHeight="1">
      <c r="D34" s="22"/>
      <c r="E34" s="22"/>
      <c r="J34" s="5"/>
      <c r="K34" s="5"/>
      <c r="L34" s="5"/>
      <c r="M34" s="5"/>
      <c r="N34" s="5"/>
      <c r="O34" s="5"/>
      <c r="P34" s="88"/>
      <c r="Q34" s="95"/>
    </row>
    <row r="35" spans="4:17" s="2" customFormat="1" ht="12" customHeight="1">
      <c r="D35" s="22"/>
      <c r="E35" s="22"/>
      <c r="J35" s="5"/>
      <c r="K35" s="5"/>
      <c r="L35" s="5"/>
      <c r="M35" s="5"/>
      <c r="N35" s="5"/>
      <c r="O35" s="5"/>
      <c r="P35" s="88"/>
      <c r="Q35" s="95"/>
    </row>
    <row r="36" spans="4:17" s="2" customFormat="1" ht="12" customHeight="1">
      <c r="D36" s="22"/>
      <c r="E36" s="22"/>
      <c r="J36" s="5"/>
      <c r="K36" s="5"/>
      <c r="L36" s="5"/>
      <c r="M36" s="5"/>
      <c r="N36" s="5"/>
      <c r="O36" s="5"/>
      <c r="P36" s="88"/>
      <c r="Q36" s="95"/>
    </row>
    <row r="37" spans="4:17" s="2" customFormat="1" ht="12" customHeight="1">
      <c r="D37" s="22"/>
      <c r="E37" s="22"/>
      <c r="J37" s="5"/>
      <c r="K37" s="5"/>
      <c r="L37" s="5"/>
      <c r="M37" s="5"/>
      <c r="N37" s="5"/>
      <c r="O37" s="5"/>
      <c r="P37" s="88"/>
      <c r="Q37" s="95"/>
    </row>
    <row r="38" spans="4:17" s="2" customFormat="1" ht="12" customHeight="1">
      <c r="D38" s="22"/>
      <c r="E38" s="22"/>
      <c r="J38" s="5"/>
      <c r="K38" s="5"/>
      <c r="L38" s="5"/>
      <c r="M38" s="5"/>
      <c r="N38" s="5"/>
      <c r="O38" s="5"/>
      <c r="P38" s="88"/>
      <c r="Q38" s="95"/>
    </row>
    <row r="39" spans="4:17" s="2" customFormat="1" ht="12" customHeight="1">
      <c r="D39" s="22"/>
      <c r="E39" s="22"/>
      <c r="J39" s="5"/>
      <c r="K39" s="5"/>
      <c r="L39" s="5"/>
      <c r="M39" s="5"/>
      <c r="N39" s="5"/>
      <c r="O39" s="5"/>
      <c r="P39" s="88"/>
      <c r="Q39" s="95"/>
    </row>
    <row r="40" spans="4:17" s="2" customFormat="1" ht="12" customHeight="1">
      <c r="D40" s="22"/>
      <c r="E40" s="22"/>
      <c r="J40" s="5"/>
      <c r="K40" s="5"/>
      <c r="L40" s="5"/>
      <c r="M40" s="5"/>
      <c r="N40" s="5"/>
      <c r="O40" s="5"/>
      <c r="P40" s="88"/>
      <c r="Q40" s="95"/>
    </row>
    <row r="41" spans="4:17" s="2" customFormat="1" ht="12" customHeight="1">
      <c r="D41" s="22"/>
      <c r="E41" s="22"/>
      <c r="J41" s="5"/>
      <c r="K41" s="5"/>
      <c r="L41" s="5"/>
      <c r="M41" s="5"/>
      <c r="N41" s="5"/>
      <c r="O41" s="5"/>
      <c r="P41" s="88"/>
      <c r="Q41" s="95"/>
    </row>
    <row r="42" spans="4:17" s="2" customFormat="1" ht="12" customHeight="1">
      <c r="D42" s="22"/>
      <c r="E42" s="22"/>
      <c r="J42" s="5"/>
      <c r="K42" s="5"/>
      <c r="L42" s="5"/>
      <c r="M42" s="5"/>
      <c r="N42" s="5"/>
      <c r="O42" s="5"/>
      <c r="P42" s="88"/>
      <c r="Q42" s="95"/>
    </row>
    <row r="43" spans="4:17" s="2" customFormat="1" ht="12" customHeight="1">
      <c r="D43" s="22"/>
      <c r="E43" s="22"/>
      <c r="J43" s="5"/>
      <c r="K43" s="5"/>
      <c r="L43" s="5"/>
      <c r="M43" s="5"/>
      <c r="N43" s="5"/>
      <c r="O43" s="5"/>
      <c r="P43" s="88"/>
      <c r="Q43" s="95"/>
    </row>
    <row r="44" spans="4:17" s="2" customFormat="1" ht="12" customHeight="1">
      <c r="D44" s="22"/>
      <c r="E44" s="22"/>
      <c r="J44" s="5"/>
      <c r="K44" s="5"/>
      <c r="L44" s="5"/>
      <c r="M44" s="5"/>
      <c r="N44" s="5"/>
      <c r="O44" s="5"/>
      <c r="P44" s="88"/>
      <c r="Q44" s="95"/>
    </row>
    <row r="45" spans="4:17" s="2" customFormat="1" ht="12" customHeight="1">
      <c r="D45" s="22"/>
      <c r="E45" s="22"/>
      <c r="J45" s="5"/>
      <c r="K45" s="5"/>
      <c r="L45" s="5"/>
      <c r="M45" s="5"/>
      <c r="N45" s="5"/>
      <c r="O45" s="5"/>
      <c r="P45" s="88"/>
      <c r="Q45" s="95"/>
    </row>
    <row r="46" spans="4:17" s="2" customFormat="1" ht="12" customHeight="1">
      <c r="D46" s="22"/>
      <c r="E46" s="22"/>
      <c r="J46" s="5"/>
      <c r="K46" s="5"/>
      <c r="L46" s="5"/>
      <c r="M46" s="5"/>
      <c r="N46" s="5"/>
      <c r="O46" s="5"/>
      <c r="P46" s="88"/>
      <c r="Q46" s="95"/>
    </row>
    <row r="47" spans="4:17" s="2" customFormat="1" ht="12" customHeight="1">
      <c r="D47" s="22"/>
      <c r="E47" s="22"/>
      <c r="J47" s="5"/>
      <c r="K47" s="5"/>
      <c r="L47" s="5"/>
      <c r="M47" s="5"/>
      <c r="N47" s="5"/>
      <c r="O47" s="5"/>
      <c r="P47" s="88"/>
      <c r="Q47" s="95"/>
    </row>
    <row r="48" spans="4:17" s="2" customFormat="1" ht="12" customHeight="1">
      <c r="D48" s="22"/>
      <c r="E48" s="22"/>
      <c r="J48" s="5"/>
      <c r="K48" s="5"/>
      <c r="L48" s="5"/>
      <c r="M48" s="5"/>
      <c r="N48" s="5"/>
      <c r="O48" s="5"/>
      <c r="P48" s="88"/>
      <c r="Q48" s="95"/>
    </row>
    <row r="49" spans="1:17" s="2" customFormat="1" ht="12" customHeight="1">
      <c r="D49" s="22"/>
      <c r="E49" s="22"/>
      <c r="J49" s="5"/>
      <c r="K49" s="5"/>
      <c r="L49" s="5"/>
      <c r="M49" s="5"/>
      <c r="N49" s="5"/>
      <c r="O49" s="5"/>
      <c r="P49" s="88"/>
      <c r="Q49" s="95"/>
    </row>
    <row r="50" spans="1:17" s="2" customFormat="1" ht="12" customHeight="1">
      <c r="D50" s="22"/>
      <c r="E50" s="22"/>
      <c r="J50" s="5"/>
      <c r="K50" s="5"/>
      <c r="L50" s="5"/>
      <c r="M50" s="5"/>
      <c r="N50" s="5"/>
      <c r="O50" s="5"/>
      <c r="P50" s="88"/>
      <c r="Q50" s="95"/>
    </row>
    <row r="51" spans="1:17" s="2" customFormat="1" ht="12" customHeight="1">
      <c r="D51" s="22"/>
      <c r="E51" s="22"/>
      <c r="J51" s="5"/>
      <c r="K51" s="5"/>
      <c r="L51" s="5"/>
      <c r="M51" s="5"/>
      <c r="N51" s="5"/>
      <c r="O51" s="5"/>
      <c r="P51" s="88"/>
      <c r="Q51" s="95"/>
    </row>
    <row r="52" spans="1:17" s="2" customFormat="1" ht="12" customHeight="1">
      <c r="D52" s="22"/>
      <c r="E52" s="22"/>
      <c r="J52" s="5"/>
      <c r="K52" s="5"/>
      <c r="L52" s="5"/>
      <c r="M52" s="5"/>
      <c r="N52" s="5"/>
      <c r="O52" s="5"/>
      <c r="P52" s="88"/>
      <c r="Q52" s="95"/>
    </row>
    <row r="53" spans="1:17" s="2" customFormat="1" ht="12" customHeight="1">
      <c r="D53" s="22"/>
      <c r="E53" s="22"/>
      <c r="J53" s="5"/>
      <c r="K53" s="5"/>
      <c r="L53" s="5"/>
      <c r="M53" s="5"/>
      <c r="N53" s="5"/>
      <c r="O53" s="5"/>
      <c r="P53" s="88"/>
      <c r="Q53" s="95"/>
    </row>
    <row r="54" spans="1:17" s="2" customFormat="1" ht="12" customHeight="1">
      <c r="D54" s="22"/>
      <c r="E54" s="22"/>
      <c r="J54" s="5"/>
      <c r="K54" s="5"/>
      <c r="L54" s="5"/>
      <c r="M54" s="5"/>
      <c r="N54" s="5"/>
      <c r="O54" s="5"/>
      <c r="P54" s="88"/>
      <c r="Q54" s="95"/>
    </row>
    <row r="55" spans="1:17" s="2" customFormat="1" ht="12" customHeight="1">
      <c r="D55" s="22"/>
      <c r="E55" s="22"/>
      <c r="J55" s="5"/>
      <c r="K55" s="5"/>
      <c r="L55" s="5"/>
      <c r="M55" s="5"/>
      <c r="N55" s="5"/>
      <c r="O55" s="5"/>
      <c r="P55" s="88"/>
      <c r="Q55" s="95"/>
    </row>
    <row r="56" spans="1:17" s="2" customFormat="1" ht="12" customHeight="1">
      <c r="D56" s="22"/>
      <c r="E56" s="22"/>
      <c r="J56" s="5"/>
      <c r="K56" s="5"/>
      <c r="L56" s="5"/>
      <c r="M56" s="5"/>
      <c r="N56" s="5"/>
      <c r="O56" s="5"/>
      <c r="P56" s="88"/>
      <c r="Q56" s="95"/>
    </row>
    <row r="57" spans="1:17" s="2" customFormat="1" ht="12" customHeight="1">
      <c r="D57" s="22"/>
      <c r="E57" s="22"/>
      <c r="J57" s="5"/>
      <c r="K57" s="5"/>
      <c r="L57" s="5"/>
      <c r="M57" s="5"/>
      <c r="N57" s="5"/>
      <c r="O57" s="5"/>
      <c r="P57" s="88"/>
      <c r="Q57" s="95"/>
    </row>
    <row r="58" spans="1:17" s="2" customFormat="1" ht="12" customHeight="1">
      <c r="D58" s="22"/>
      <c r="E58" s="22"/>
      <c r="J58" s="5"/>
      <c r="K58" s="5"/>
      <c r="L58" s="5"/>
      <c r="M58" s="5"/>
      <c r="N58" s="5"/>
      <c r="O58" s="5"/>
      <c r="P58" s="88"/>
      <c r="Q58" s="95"/>
    </row>
    <row r="59" spans="1:17" s="2" customFormat="1" ht="12" customHeight="1">
      <c r="D59" s="22"/>
      <c r="E59" s="22"/>
      <c r="J59" s="5"/>
      <c r="K59" s="5"/>
      <c r="L59" s="5"/>
      <c r="M59" s="5"/>
      <c r="N59" s="5"/>
      <c r="O59" s="5"/>
      <c r="P59" s="88"/>
      <c r="Q59" s="95"/>
    </row>
    <row r="60" spans="1:17" s="2" customFormat="1" ht="12" customHeight="1">
      <c r="D60" s="22"/>
      <c r="E60" s="22"/>
      <c r="J60" s="5"/>
      <c r="K60" s="5"/>
      <c r="L60" s="5"/>
      <c r="M60" s="5"/>
      <c r="N60" s="5"/>
      <c r="O60" s="5"/>
      <c r="P60" s="88"/>
      <c r="Q60" s="96"/>
    </row>
    <row r="61" spans="1:17" s="2" customFormat="1" ht="12" customHeight="1">
      <c r="D61" s="22"/>
      <c r="E61" s="22"/>
      <c r="J61" s="5"/>
      <c r="K61" s="5"/>
      <c r="L61" s="5"/>
      <c r="M61" s="5"/>
      <c r="N61" s="5"/>
      <c r="O61" s="5"/>
      <c r="P61" s="88"/>
      <c r="Q61" s="96"/>
    </row>
    <row r="62" spans="1:17" s="2" customFormat="1" ht="12" customHeight="1">
      <c r="D62" s="22"/>
      <c r="E62" s="22"/>
      <c r="J62" s="5"/>
      <c r="K62" s="5"/>
      <c r="L62" s="5"/>
      <c r="M62" s="5"/>
      <c r="N62" s="5"/>
      <c r="O62" s="5"/>
      <c r="P62" s="88"/>
      <c r="Q62" s="96"/>
    </row>
    <row r="63" spans="1:17" s="2" customFormat="1" ht="12" customHeight="1">
      <c r="D63" s="22"/>
      <c r="E63" s="22"/>
      <c r="J63" s="5"/>
      <c r="K63" s="5"/>
      <c r="L63" s="5"/>
      <c r="M63" s="5"/>
      <c r="N63" s="5"/>
      <c r="O63" s="5"/>
      <c r="P63" s="88"/>
      <c r="Q63" s="96"/>
    </row>
    <row r="64" spans="1:17" s="2" customFormat="1" ht="12" customHeight="1">
      <c r="A64"/>
      <c r="B64"/>
      <c r="C64"/>
      <c r="D64" s="23"/>
      <c r="E64" s="23"/>
      <c r="F64"/>
      <c r="G64"/>
      <c r="H64"/>
      <c r="I64"/>
      <c r="J64" s="19"/>
      <c r="K64" s="19"/>
      <c r="L64" s="19"/>
      <c r="M64" s="19"/>
      <c r="N64" s="19"/>
      <c r="O64" s="19"/>
      <c r="P64" s="90"/>
      <c r="Q64" s="96"/>
    </row>
    <row r="65" spans="1:17" s="2" customFormat="1" ht="12" customHeight="1">
      <c r="A65"/>
      <c r="B65"/>
      <c r="C65"/>
      <c r="D65" s="23"/>
      <c r="E65" s="23"/>
      <c r="F65"/>
      <c r="G65"/>
      <c r="H65"/>
      <c r="I65"/>
      <c r="J65" s="19"/>
      <c r="K65" s="19"/>
      <c r="L65" s="19"/>
      <c r="M65" s="19"/>
      <c r="N65" s="19"/>
      <c r="O65" s="19"/>
      <c r="P65" s="90"/>
      <c r="Q65" s="96"/>
    </row>
    <row r="66" spans="1:17" s="2" customFormat="1" ht="12" customHeight="1">
      <c r="A66"/>
      <c r="B66"/>
      <c r="C66"/>
      <c r="D66" s="23"/>
      <c r="E66" s="23"/>
      <c r="F66"/>
      <c r="G66"/>
      <c r="H66"/>
      <c r="I66"/>
      <c r="J66" s="19"/>
      <c r="K66" s="19"/>
      <c r="L66" s="19"/>
      <c r="M66" s="19"/>
      <c r="N66" s="19"/>
      <c r="O66" s="19"/>
      <c r="P66" s="90"/>
      <c r="Q66" s="96"/>
    </row>
    <row r="67" spans="1:17" s="2" customFormat="1" ht="12" customHeight="1">
      <c r="A67"/>
      <c r="B67"/>
      <c r="C67"/>
      <c r="D67" s="23"/>
      <c r="E67" s="23"/>
      <c r="F67"/>
      <c r="G67"/>
      <c r="H67"/>
      <c r="I67"/>
      <c r="J67" s="19"/>
      <c r="K67" s="19"/>
      <c r="L67" s="19"/>
      <c r="M67" s="19"/>
      <c r="N67" s="19"/>
      <c r="O67" s="19"/>
      <c r="P67" s="90"/>
      <c r="Q67" s="96"/>
    </row>
    <row r="68" spans="1:17" s="2" customFormat="1" ht="12" customHeight="1">
      <c r="A68"/>
      <c r="B68"/>
      <c r="C68"/>
      <c r="D68" s="23"/>
      <c r="E68" s="23"/>
      <c r="F68"/>
      <c r="G68"/>
      <c r="H68"/>
      <c r="I68"/>
      <c r="J68" s="19"/>
      <c r="K68" s="19"/>
      <c r="L68" s="19"/>
      <c r="M68" s="19"/>
      <c r="N68" s="19"/>
      <c r="O68" s="19"/>
      <c r="P68" s="90"/>
      <c r="Q68" s="96"/>
    </row>
    <row r="69" spans="1:17">
      <c r="Q69" s="96"/>
    </row>
    <row r="70" spans="1:17">
      <c r="Q70" s="96"/>
    </row>
    <row r="71" spans="1:17">
      <c r="Q71" s="96"/>
    </row>
    <row r="72" spans="1:17">
      <c r="Q72" s="96"/>
    </row>
    <row r="73" spans="1:17">
      <c r="Q73" s="96"/>
    </row>
    <row r="74" spans="1:17">
      <c r="Q74" s="96"/>
    </row>
    <row r="75" spans="1:17">
      <c r="Q75" s="96"/>
    </row>
    <row r="76" spans="1:17">
      <c r="Q76" s="96"/>
    </row>
    <row r="77" spans="1:17">
      <c r="Q77" s="96"/>
    </row>
    <row r="78" spans="1:17">
      <c r="Q78" s="96"/>
    </row>
    <row r="79" spans="1:17">
      <c r="Q79" s="96"/>
    </row>
    <row r="80" spans="1:17">
      <c r="Q80" s="96"/>
    </row>
    <row r="81" spans="17:17">
      <c r="Q81" s="96"/>
    </row>
    <row r="82" spans="17:17">
      <c r="Q82" s="96"/>
    </row>
    <row r="83" spans="17:17">
      <c r="Q83" s="96"/>
    </row>
    <row r="84" spans="17:17">
      <c r="Q84" s="96"/>
    </row>
    <row r="85" spans="17:17">
      <c r="Q85" s="96"/>
    </row>
    <row r="86" spans="17:17">
      <c r="Q86" s="96"/>
    </row>
    <row r="87" spans="17:17">
      <c r="Q87" s="96"/>
    </row>
    <row r="88" spans="17:17">
      <c r="Q88" s="96"/>
    </row>
    <row r="125" ht="12" customHeight="1"/>
    <row r="126" ht="12" customHeight="1"/>
    <row r="127" ht="12" customHeight="1"/>
    <row r="128" ht="12" customHeight="1"/>
    <row r="129" ht="12" customHeight="1"/>
    <row r="130" ht="12" customHeight="1"/>
    <row r="131" ht="12" customHeight="1"/>
    <row r="132" ht="12" customHeight="1"/>
    <row r="133" ht="12" customHeight="1"/>
    <row r="134" ht="12" customHeight="1"/>
    <row r="135" ht="12" customHeight="1"/>
    <row r="136" ht="12" customHeight="1"/>
    <row r="137" ht="12" customHeight="1"/>
    <row r="138" ht="12" customHeight="1"/>
    <row r="139" ht="12" customHeight="1"/>
    <row r="140" ht="12" customHeight="1"/>
    <row r="141" ht="12" customHeight="1"/>
    <row r="142" ht="12" customHeight="1"/>
    <row r="143" ht="12" customHeight="1"/>
    <row r="144" ht="12" customHeight="1"/>
    <row r="145" ht="12" customHeight="1"/>
    <row r="146" ht="12" customHeight="1"/>
    <row r="147" ht="12" customHeight="1"/>
    <row r="148" ht="12" customHeight="1"/>
    <row r="149" ht="12" customHeight="1"/>
    <row r="150" ht="12" customHeight="1"/>
    <row r="151" ht="12" customHeight="1"/>
    <row r="152" ht="12" customHeight="1"/>
    <row r="153" ht="12" customHeight="1"/>
    <row r="154" ht="12" customHeight="1"/>
    <row r="155" ht="12" customHeight="1"/>
    <row r="156" ht="12" customHeight="1"/>
    <row r="157" ht="12" customHeight="1"/>
    <row r="158" ht="12" customHeight="1"/>
    <row r="159" ht="12" customHeight="1"/>
    <row r="160" ht="12" customHeight="1"/>
    <row r="161" ht="12" customHeight="1"/>
    <row r="162" ht="12" customHeight="1"/>
    <row r="163" ht="12" customHeight="1"/>
    <row r="164" ht="12" customHeight="1"/>
    <row r="165" ht="12" customHeight="1"/>
    <row r="166" ht="12" customHeight="1"/>
    <row r="167" ht="12" customHeight="1"/>
    <row r="168" ht="12" customHeight="1"/>
    <row r="169" ht="12" customHeight="1"/>
    <row r="170" ht="12" customHeight="1"/>
    <row r="171" ht="12" customHeight="1"/>
    <row r="172" ht="12" customHeight="1"/>
    <row r="173" ht="12" customHeight="1"/>
    <row r="174" ht="12" customHeight="1"/>
  </sheetData>
  <mergeCells count="24">
    <mergeCell ref="D15:E15"/>
    <mergeCell ref="D16:E16"/>
    <mergeCell ref="D21:E21"/>
    <mergeCell ref="H21:I21"/>
    <mergeCell ref="D17:E17"/>
    <mergeCell ref="H17:I17"/>
    <mergeCell ref="D18:E18"/>
    <mergeCell ref="D19:E19"/>
    <mergeCell ref="D20:E20"/>
    <mergeCell ref="D14:E14"/>
    <mergeCell ref="H14:I14"/>
    <mergeCell ref="D11:E11"/>
    <mergeCell ref="D12:E12"/>
    <mergeCell ref="D13:E13"/>
    <mergeCell ref="D9:E9"/>
    <mergeCell ref="D10:E10"/>
    <mergeCell ref="D7:E7"/>
    <mergeCell ref="D5:E5"/>
    <mergeCell ref="D6:E6"/>
    <mergeCell ref="D1:E1"/>
    <mergeCell ref="D4:E4"/>
    <mergeCell ref="H4:I4"/>
    <mergeCell ref="D8:E8"/>
    <mergeCell ref="H8:I8"/>
  </mergeCells>
  <conditionalFormatting sqref="M5:M7">
    <cfRule type="cellIs" dxfId="555" priority="3" stopIfTrue="1" operator="lessThanOrEqual">
      <formula>$L5</formula>
    </cfRule>
    <cfRule type="cellIs" dxfId="554" priority="4" operator="greaterThan">
      <formula>L5</formula>
    </cfRule>
  </conditionalFormatting>
  <conditionalFormatting sqref="M9:M13 M15:M16">
    <cfRule type="cellIs" dxfId="553" priority="5" stopIfTrue="1" operator="lessThanOrEqual">
      <formula>$L9</formula>
    </cfRule>
    <cfRule type="cellIs" dxfId="552" priority="6" operator="greaterThan">
      <formula>L9</formula>
    </cfRule>
  </conditionalFormatting>
  <conditionalFormatting sqref="M18:M20">
    <cfRule type="cellIs" dxfId="551" priority="1" stopIfTrue="1" operator="lessThanOrEqual">
      <formula>$L18</formula>
    </cfRule>
    <cfRule type="cellIs" dxfId="550" priority="2" operator="greaterThan">
      <formula>L18</formula>
    </cfRule>
  </conditionalFormatting>
  <pageMargins left="0.7" right="0.7" top="0.75" bottom="0.75" header="0.3" footer="0.3"/>
  <pageSetup paperSize="3" fitToHeight="0" orientation="landscape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B98D9D2-3650-4EDC-B820-047EAE76FC09}">
          <x14:formula1>
            <xm:f>Bolts!$A:$A</xm:f>
          </x14:formula1>
          <xm:sqref>C15:C16</xm:sqref>
        </x14:dataValidation>
        <x14:dataValidation type="list" allowBlank="1" showInputMessage="1" showErrorMessage="1" xr:uid="{8E9D8672-CE4B-46B5-B36D-5345EA299911}">
          <x14:formula1>
            <xm:f>Purchased!$A:$A</xm:f>
          </x14:formula1>
          <xm:sqref>C9:C13</xm:sqref>
        </x14:dataValidation>
        <x14:dataValidation type="list" allowBlank="1" showInputMessage="1" showErrorMessage="1" xr:uid="{97C25815-807C-45D6-BECE-6F2ACEF07996}">
          <x14:formula1>
            <xm:f>Extrusion!$B:$B</xm:f>
          </x14:formula1>
          <xm:sqref>C18:C20</xm:sqref>
        </x14:dataValidation>
        <x14:dataValidation type="list" allowBlank="1" showInputMessage="1" showErrorMessage="1" xr:uid="{948D9714-876E-4B65-8CAA-2F68620EC55F}">
          <x14:formula1>
            <xm:f>Machined!$C:$C</xm:f>
          </x14:formula1>
          <xm:sqref>C5:C7</xm:sqref>
        </x14:dataValidation>
      </x14:dataValidation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C8EF3-0866-4DA9-8D1D-50156EE11406}">
  <sheetPr codeName="Sheet30">
    <tabColor theme="3" tint="0.59999389629810485"/>
    <pageSetUpPr fitToPage="1"/>
  </sheetPr>
  <dimension ref="A1:R217"/>
  <sheetViews>
    <sheetView zoomScale="106" zoomScaleNormal="106" workbookViewId="0">
      <selection activeCell="B44" sqref="B44:C45"/>
    </sheetView>
  </sheetViews>
  <sheetFormatPr defaultColWidth="9.140625" defaultRowHeight="15"/>
  <cols>
    <col min="1" max="1" width="5.7109375" customWidth="1"/>
    <col min="2" max="2" width="5.42578125" bestFit="1" customWidth="1"/>
    <col min="3" max="3" width="30.7109375" customWidth="1"/>
    <col min="4" max="5" width="20.7109375" style="23" customWidth="1"/>
    <col min="6" max="6" width="16.85546875" bestFit="1" customWidth="1"/>
    <col min="7" max="7" width="9.7109375" customWidth="1"/>
    <col min="8" max="8" width="8.7109375" customWidth="1"/>
    <col min="9" max="9" width="20.7109375" customWidth="1"/>
    <col min="10" max="13" width="11.7109375" style="19" customWidth="1"/>
    <col min="14" max="14" width="11.85546875" style="19" bestFit="1" customWidth="1"/>
    <col min="15" max="15" width="7.7109375" style="19" customWidth="1"/>
    <col min="16" max="16" width="10.7109375" style="90" customWidth="1"/>
    <col min="17" max="17" width="10.7109375" style="97" customWidth="1"/>
  </cols>
  <sheetData>
    <row r="1" spans="1:18" s="55" customFormat="1" ht="12" customHeight="1">
      <c r="A1" s="68" t="s">
        <v>0</v>
      </c>
      <c r="B1" s="69"/>
      <c r="C1" s="69"/>
      <c r="D1" s="262" t="s">
        <v>1</v>
      </c>
      <c r="E1" s="263"/>
      <c r="F1" s="70"/>
      <c r="G1" s="69"/>
      <c r="H1" s="70"/>
      <c r="I1" s="71"/>
      <c r="J1" s="72"/>
      <c r="K1" s="72"/>
      <c r="L1" s="72"/>
      <c r="M1" s="72"/>
      <c r="N1" s="72"/>
      <c r="O1" s="72"/>
      <c r="P1" s="85"/>
      <c r="Q1" s="91"/>
    </row>
    <row r="2" spans="1:18" s="55" customFormat="1" ht="12" customHeight="1">
      <c r="A2" s="74" t="s">
        <v>48</v>
      </c>
      <c r="B2" s="58"/>
      <c r="C2" s="57" t="e">
        <f ca="1">VLOOKUP(E3,Assemblies!B:F,4,0)</f>
        <v>#VALUE!</v>
      </c>
      <c r="D2" s="75" t="s">
        <v>3</v>
      </c>
      <c r="E2" s="76" t="e">
        <f ca="1">'GF12'!E2</f>
        <v>#VALUE!</v>
      </c>
      <c r="F2" s="77" t="s">
        <v>4</v>
      </c>
      <c r="G2" s="58" t="str">
        <f>'GF12'!G2</f>
        <v>GH</v>
      </c>
      <c r="H2" s="77" t="s">
        <v>6</v>
      </c>
      <c r="I2" s="59">
        <f>'GF12'!I2</f>
        <v>44775</v>
      </c>
      <c r="J2" s="39"/>
      <c r="K2" s="40" t="s">
        <v>49</v>
      </c>
      <c r="L2" s="41" t="e">
        <f ca="1">VLOOKUP(C2,Assemblies!E:G,3,0)</f>
        <v>#VALUE!</v>
      </c>
      <c r="M2" s="78"/>
      <c r="N2" s="78"/>
      <c r="O2" s="78"/>
      <c r="P2" s="86"/>
      <c r="Q2" s="92"/>
    </row>
    <row r="3" spans="1:18" s="55" customFormat="1" ht="12" customHeight="1" thickBot="1">
      <c r="A3" s="74" t="s">
        <v>7</v>
      </c>
      <c r="B3" s="58"/>
      <c r="C3" s="57" t="e">
        <f ca="1">VLOOKUP(E3,Assemblies!B:F,5,0)</f>
        <v>#VALUE!</v>
      </c>
      <c r="D3" s="75" t="s">
        <v>50</v>
      </c>
      <c r="E3" s="76" t="e">
        <f ca="1">MID(CELL("filename",A1),FIND("]",CELL("filename",A1))+1,256)</f>
        <v>#VALUE!</v>
      </c>
      <c r="F3" s="77" t="s">
        <v>11</v>
      </c>
      <c r="G3" s="58" t="str">
        <f>'GF12'!G3</f>
        <v>GH</v>
      </c>
      <c r="H3" s="77" t="s">
        <v>6</v>
      </c>
      <c r="I3" s="59">
        <f>'GF12'!I3</f>
        <v>44775</v>
      </c>
      <c r="J3" s="78"/>
      <c r="K3" s="78"/>
      <c r="L3" s="78"/>
      <c r="M3" s="78"/>
      <c r="N3" s="78"/>
      <c r="O3" s="78"/>
      <c r="P3" s="86"/>
      <c r="Q3" s="92"/>
    </row>
    <row r="4" spans="1:18" s="56" customFormat="1" ht="12.75" customHeight="1" thickBot="1">
      <c r="A4" s="80" t="s">
        <v>12</v>
      </c>
      <c r="B4" s="81" t="s">
        <v>13</v>
      </c>
      <c r="C4" s="81" t="s">
        <v>14</v>
      </c>
      <c r="D4" s="270" t="s">
        <v>15</v>
      </c>
      <c r="E4" s="271"/>
      <c r="F4" s="104" t="s">
        <v>16</v>
      </c>
      <c r="G4" s="81" t="s">
        <v>17</v>
      </c>
      <c r="H4" s="260" t="s">
        <v>18</v>
      </c>
      <c r="I4" s="261"/>
      <c r="J4" s="81" t="s">
        <v>51</v>
      </c>
      <c r="K4" s="81" t="s">
        <v>20</v>
      </c>
      <c r="L4" s="81" t="s">
        <v>21</v>
      </c>
      <c r="M4" s="81" t="s">
        <v>52</v>
      </c>
      <c r="N4" s="81" t="s">
        <v>22</v>
      </c>
      <c r="O4" s="81" t="s">
        <v>53</v>
      </c>
      <c r="P4" s="107" t="s">
        <v>26</v>
      </c>
      <c r="Q4" s="82" t="s">
        <v>27</v>
      </c>
    </row>
    <row r="5" spans="1:18" s="21" customFormat="1" ht="12.75" customHeight="1">
      <c r="A5" s="66" t="s">
        <v>54</v>
      </c>
      <c r="B5" s="1">
        <v>1</v>
      </c>
      <c r="C5" s="67" t="s">
        <v>386</v>
      </c>
      <c r="D5" s="277" t="e">
        <f ca="1">VLOOKUP(C5,Assemblies!E:S,2,0)</f>
        <v>#N/A</v>
      </c>
      <c r="E5" s="278"/>
      <c r="F5" s="32"/>
      <c r="G5" s="32"/>
      <c r="H5" s="292"/>
      <c r="I5" s="293"/>
      <c r="J5" s="28"/>
      <c r="K5" s="28"/>
      <c r="L5" s="28"/>
      <c r="M5" s="28"/>
      <c r="N5" s="33"/>
      <c r="O5" s="46" t="e">
        <f t="shared" ref="O5:O7" ca="1" si="0">B5*$L$2</f>
        <v>#VALUE!</v>
      </c>
      <c r="P5" s="87">
        <f>'131'!Q8</f>
        <v>4112.3</v>
      </c>
      <c r="Q5" s="93">
        <f t="shared" ref="Q5:Q7" si="1">B5*P5</f>
        <v>4112.3</v>
      </c>
    </row>
    <row r="6" spans="1:18" s="21" customFormat="1" ht="12.75" customHeight="1">
      <c r="A6" s="66" t="s">
        <v>56</v>
      </c>
      <c r="B6" s="1">
        <v>1</v>
      </c>
      <c r="C6" s="67" t="s">
        <v>387</v>
      </c>
      <c r="D6" s="277" t="e">
        <f ca="1">VLOOKUP(C6,Assemblies!E:S,2,0)</f>
        <v>#N/A</v>
      </c>
      <c r="E6" s="278"/>
      <c r="F6" s="32"/>
      <c r="G6" s="32"/>
      <c r="H6" s="292"/>
      <c r="I6" s="293"/>
      <c r="J6" s="28"/>
      <c r="K6" s="28"/>
      <c r="L6" s="28"/>
      <c r="M6" s="28"/>
      <c r="N6" s="33"/>
      <c r="O6" s="46" t="e">
        <f t="shared" ca="1" si="0"/>
        <v>#VALUE!</v>
      </c>
      <c r="P6" s="87">
        <f>'132'!Q10</f>
        <v>1878.37</v>
      </c>
      <c r="Q6" s="93">
        <f t="shared" si="1"/>
        <v>1878.37</v>
      </c>
    </row>
    <row r="7" spans="1:18" s="21" customFormat="1" ht="12.75" customHeight="1">
      <c r="A7" s="66" t="s">
        <v>58</v>
      </c>
      <c r="B7" s="1">
        <v>1</v>
      </c>
      <c r="C7" s="67" t="s">
        <v>388</v>
      </c>
      <c r="D7" s="277" t="e">
        <f ca="1">VLOOKUP(C7,Assemblies!E:S,2,0)</f>
        <v>#N/A</v>
      </c>
      <c r="E7" s="278"/>
      <c r="F7" s="32"/>
      <c r="G7" s="32"/>
      <c r="H7" s="292"/>
      <c r="I7" s="293"/>
      <c r="J7" s="28"/>
      <c r="K7" s="28"/>
      <c r="L7" s="28"/>
      <c r="M7" s="28"/>
      <c r="N7" s="33"/>
      <c r="O7" s="46" t="e">
        <f t="shared" ca="1" si="0"/>
        <v>#VALUE!</v>
      </c>
      <c r="P7" s="87">
        <f>'133'!Q19</f>
        <v>6733.1970000000001</v>
      </c>
      <c r="Q7" s="93">
        <f t="shared" si="1"/>
        <v>6733.1970000000001</v>
      </c>
    </row>
    <row r="8" spans="1:18" s="21" customFormat="1" ht="12.75" customHeight="1">
      <c r="A8" s="66" t="s">
        <v>60</v>
      </c>
      <c r="B8" s="1">
        <v>1</v>
      </c>
      <c r="C8" s="67" t="s">
        <v>389</v>
      </c>
      <c r="D8" s="182" t="e">
        <f ca="1">VLOOKUP(C8,Assemblies!E:S,2,0)</f>
        <v>#N/A</v>
      </c>
      <c r="E8" s="183"/>
      <c r="F8" s="32"/>
      <c r="G8" s="32"/>
      <c r="H8" s="32"/>
      <c r="I8" s="179"/>
      <c r="J8" s="28"/>
      <c r="K8" s="28"/>
      <c r="L8" s="28"/>
      <c r="M8" s="28"/>
      <c r="N8" s="33"/>
      <c r="O8" s="46" t="e">
        <f t="shared" ref="O8" ca="1" si="2">B8*$L$2</f>
        <v>#VALUE!</v>
      </c>
      <c r="P8" s="87">
        <f>'133'!Q20</f>
        <v>0</v>
      </c>
      <c r="Q8" s="93">
        <f t="shared" ref="Q8" si="3">B8*P8</f>
        <v>0</v>
      </c>
    </row>
    <row r="9" spans="1:18" s="21" customFormat="1" ht="12.75" customHeight="1">
      <c r="A9" s="25"/>
      <c r="B9" s="26"/>
      <c r="C9" s="26"/>
      <c r="D9" s="272"/>
      <c r="E9" s="273"/>
      <c r="F9" s="26"/>
      <c r="G9" s="26"/>
      <c r="H9" s="274"/>
      <c r="I9" s="275"/>
      <c r="J9" s="27"/>
      <c r="K9" s="27"/>
      <c r="L9" s="27"/>
      <c r="M9" s="28"/>
      <c r="N9" s="29"/>
      <c r="O9" s="29"/>
      <c r="P9" s="141"/>
      <c r="Q9" s="142"/>
      <c r="R9" s="20"/>
    </row>
    <row r="10" spans="1:18" s="2" customFormat="1" ht="12.75" customHeight="1">
      <c r="A10" s="127">
        <v>1</v>
      </c>
      <c r="B10" s="21">
        <v>2</v>
      </c>
      <c r="C10" s="108" t="s">
        <v>390</v>
      </c>
      <c r="D10" s="277" t="str">
        <f>VLOOKUP(C10,Machined!C:Q,2,0)</f>
        <v>Nip Side Plate</v>
      </c>
      <c r="E10" s="278"/>
      <c r="F10" s="131" t="str">
        <f>VLOOKUP(C10,Machined!C:R,7,0)</f>
        <v>6061-T6 Alum</v>
      </c>
      <c r="G10" s="131" t="str">
        <f>VLOOKUP(C10,Machined!C:R,10,0)</f>
        <v>BEMOX</v>
      </c>
      <c r="H10" s="131" t="str">
        <f>VLOOKUP(C10,Machined!C:R,11,0)</f>
        <v xml:space="preserve">  </v>
      </c>
      <c r="I10" s="131"/>
      <c r="J10" s="42">
        <f>VLOOKUP(C10,Machined!C:R,12,0)</f>
        <v>45142</v>
      </c>
      <c r="K10" s="42">
        <f>VLOOKUP(C10,Machined!C:R,13,0)</f>
        <v>45146</v>
      </c>
      <c r="L10" s="42">
        <f>VLOOKUP(C10,Machined!C:R,14,0)</f>
        <v>45170</v>
      </c>
      <c r="M10" s="42">
        <f>VLOOKUP(C10,Machined!C:R,15,0)</f>
        <v>45170</v>
      </c>
      <c r="N10" s="43">
        <f>VLOOKUP(C10,Machined!C:R,16,0)</f>
        <v>55041</v>
      </c>
      <c r="O10" s="43" t="e">
        <f t="shared" ref="O10:O15" ca="1" si="4">B10*$L$2</f>
        <v>#VALUE!</v>
      </c>
      <c r="P10" s="47">
        <f>IFERROR(VLOOKUP(C10,Machined!C:F,3,0),"")</f>
        <v>311.17</v>
      </c>
      <c r="Q10" s="48">
        <f t="shared" ref="Q10:Q15" si="5">IFERROR(B10*P10,"")</f>
        <v>622.34</v>
      </c>
    </row>
    <row r="11" spans="1:18" s="2" customFormat="1" ht="12.75" customHeight="1">
      <c r="A11" s="127">
        <v>2</v>
      </c>
      <c r="B11" s="21">
        <v>2</v>
      </c>
      <c r="C11" s="108" t="s">
        <v>391</v>
      </c>
      <c r="D11" s="277" t="str">
        <f>VLOOKUP(C11,Machined!C:Q,2,0)</f>
        <v>Nip Support Bar</v>
      </c>
      <c r="E11" s="278"/>
      <c r="F11" s="131" t="str">
        <f>VLOOKUP(C11,Machined!C:R,7,0)</f>
        <v>6061-T6 Alum</v>
      </c>
      <c r="G11" s="131" t="str">
        <f>VLOOKUP(C11,Machined!C:R,10,0)</f>
        <v>BEMOX</v>
      </c>
      <c r="H11" s="131" t="str">
        <f>VLOOKUP(C11,Machined!C:R,11,0)</f>
        <v xml:space="preserve">  </v>
      </c>
      <c r="I11" s="131"/>
      <c r="J11" s="42">
        <f>VLOOKUP(C11,Machined!C:R,12,0)</f>
        <v>45142</v>
      </c>
      <c r="K11" s="42">
        <f>VLOOKUP(C11,Machined!C:R,13,0)</f>
        <v>45146</v>
      </c>
      <c r="L11" s="42">
        <f>VLOOKUP(C11,Machined!C:R,14,0)</f>
        <v>45170</v>
      </c>
      <c r="M11" s="42">
        <f>VLOOKUP(C11,Machined!C:R,15,0)</f>
        <v>45170</v>
      </c>
      <c r="N11" s="43">
        <f>VLOOKUP(C11,Machined!C:R,16,0)</f>
        <v>55041</v>
      </c>
      <c r="O11" s="43" t="e">
        <f t="shared" ca="1" si="4"/>
        <v>#VALUE!</v>
      </c>
      <c r="P11" s="47">
        <f>IFERROR(VLOOKUP(C11,Machined!C:F,3,0),"")</f>
        <v>147.30000000000001</v>
      </c>
      <c r="Q11" s="48">
        <f t="shared" si="5"/>
        <v>294.60000000000002</v>
      </c>
    </row>
    <row r="12" spans="1:18" s="2" customFormat="1" ht="12.75" customHeight="1">
      <c r="A12" s="127">
        <v>3</v>
      </c>
      <c r="B12" s="21">
        <v>2</v>
      </c>
      <c r="C12" s="108" t="s">
        <v>392</v>
      </c>
      <c r="D12" s="277" t="str">
        <f>VLOOKUP(C12,Machined!C:Q,2,0)</f>
        <v>Drive Bearing Base</v>
      </c>
      <c r="E12" s="278"/>
      <c r="F12" s="131" t="str">
        <f>VLOOKUP(C12,Machined!C:R,7,0)</f>
        <v>6061-T6 Alum</v>
      </c>
      <c r="G12" s="131" t="str">
        <f>VLOOKUP(C12,Machined!C:R,10,0)</f>
        <v>FRONTIER</v>
      </c>
      <c r="H12" s="131" t="str">
        <f>VLOOKUP(C12,Machined!C:R,11,0)</f>
        <v xml:space="preserve">  </v>
      </c>
      <c r="I12" s="131"/>
      <c r="J12" s="42">
        <f>VLOOKUP(C12,Machined!C:R,12,0)</f>
        <v>45139</v>
      </c>
      <c r="K12" s="42">
        <f>VLOOKUP(C12,Machined!C:R,13,0)</f>
        <v>45140</v>
      </c>
      <c r="L12" s="42">
        <f>VLOOKUP(C12,Machined!C:R,14,0)</f>
        <v>45170</v>
      </c>
      <c r="M12" s="42">
        <f>VLOOKUP(C12,Machined!C:R,15,0)</f>
        <v>45170</v>
      </c>
      <c r="N12" s="43">
        <f>VLOOKUP(C12,Machined!C:R,16,0)</f>
        <v>55025</v>
      </c>
      <c r="O12" s="43" t="e">
        <f t="shared" ca="1" si="4"/>
        <v>#VALUE!</v>
      </c>
      <c r="P12" s="47">
        <f>IFERROR(VLOOKUP(C12,Machined!C:F,3,0),"")</f>
        <v>0</v>
      </c>
      <c r="Q12" s="48">
        <f t="shared" si="5"/>
        <v>0</v>
      </c>
    </row>
    <row r="13" spans="1:18" s="2" customFormat="1" ht="12.75" customHeight="1">
      <c r="A13" s="127">
        <v>4</v>
      </c>
      <c r="B13" s="21">
        <v>2</v>
      </c>
      <c r="C13" s="108" t="s">
        <v>393</v>
      </c>
      <c r="D13" s="277" t="str">
        <f>VLOOKUP(C13,Machined!C:Q,2,0)</f>
        <v>Drive Bearing Cap</v>
      </c>
      <c r="E13" s="278"/>
      <c r="F13" s="131" t="str">
        <f>VLOOKUP(C13,Machined!C:R,7,0)</f>
        <v>6061-T6 Alum</v>
      </c>
      <c r="G13" s="131" t="str">
        <f>VLOOKUP(C13,Machined!C:R,10,0)</f>
        <v>FRONTIER</v>
      </c>
      <c r="H13" s="131" t="str">
        <f>VLOOKUP(C13,Machined!C:R,11,0)</f>
        <v xml:space="preserve">  </v>
      </c>
      <c r="I13" s="131"/>
      <c r="J13" s="42">
        <f>VLOOKUP(C13,Machined!C:R,12,0)</f>
        <v>45139</v>
      </c>
      <c r="K13" s="42">
        <f>VLOOKUP(C13,Machined!C:R,13,0)</f>
        <v>45140</v>
      </c>
      <c r="L13" s="42">
        <f>VLOOKUP(C13,Machined!C:R,14,0)</f>
        <v>45170</v>
      </c>
      <c r="M13" s="42">
        <f>VLOOKUP(C13,Machined!C:R,15,0)</f>
        <v>45170</v>
      </c>
      <c r="N13" s="43">
        <f>VLOOKUP(C13,Machined!C:R,16,0)</f>
        <v>55025</v>
      </c>
      <c r="O13" s="43" t="e">
        <f t="shared" ca="1" si="4"/>
        <v>#VALUE!</v>
      </c>
      <c r="P13" s="47">
        <f>IFERROR(VLOOKUP(C13,Machined!C:F,3,0),"")</f>
        <v>0</v>
      </c>
      <c r="Q13" s="48">
        <f t="shared" si="5"/>
        <v>0</v>
      </c>
    </row>
    <row r="14" spans="1:18" s="2" customFormat="1" ht="12.75" customHeight="1">
      <c r="A14" s="127">
        <v>5</v>
      </c>
      <c r="B14" s="21">
        <v>2</v>
      </c>
      <c r="C14" s="108" t="s">
        <v>394</v>
      </c>
      <c r="D14" s="277" t="str">
        <f>VLOOKUP(C14,Machined!C:Q,2,0)</f>
        <v>Idler Bearing Mount</v>
      </c>
      <c r="E14" s="278"/>
      <c r="F14" s="131" t="str">
        <f>VLOOKUP(C14,Machined!C:R,7,0)</f>
        <v>1018 CRS</v>
      </c>
      <c r="G14" s="131" t="str">
        <f>VLOOKUP(C14,Machined!C:R,10,0)</f>
        <v>FRONTIER</v>
      </c>
      <c r="H14" s="131" t="str">
        <f>VLOOKUP(C14,Machined!C:R,11,0)</f>
        <v xml:space="preserve">  </v>
      </c>
      <c r="I14" s="131"/>
      <c r="J14" s="42">
        <f>VLOOKUP(C14,Machined!C:R,12,0)</f>
        <v>45139</v>
      </c>
      <c r="K14" s="42">
        <f>VLOOKUP(C14,Machined!C:R,13,0)</f>
        <v>45140</v>
      </c>
      <c r="L14" s="42">
        <f>VLOOKUP(C14,Machined!C:R,14,0)</f>
        <v>45170</v>
      </c>
      <c r="M14" s="42">
        <f>VLOOKUP(C14,Machined!C:R,15,0)</f>
        <v>45170</v>
      </c>
      <c r="N14" s="43">
        <f>VLOOKUP(C14,Machined!C:R,16,0)</f>
        <v>55025</v>
      </c>
      <c r="O14" s="43" t="e">
        <f t="shared" ca="1" si="4"/>
        <v>#VALUE!</v>
      </c>
      <c r="P14" s="47">
        <f>IFERROR(VLOOKUP(C14,Machined!C:F,3,0),"")</f>
        <v>0</v>
      </c>
      <c r="Q14" s="48">
        <f t="shared" si="5"/>
        <v>0</v>
      </c>
    </row>
    <row r="15" spans="1:18" s="2" customFormat="1" ht="12.75" customHeight="1">
      <c r="A15" s="127">
        <v>6</v>
      </c>
      <c r="B15" s="21">
        <v>2</v>
      </c>
      <c r="C15" s="108" t="s">
        <v>395</v>
      </c>
      <c r="D15" s="277" t="str">
        <f>VLOOKUP(C15,Machined!C:Q,2,0)</f>
        <v>Cylinder Mount Plate</v>
      </c>
      <c r="E15" s="278"/>
      <c r="F15" s="131" t="str">
        <f>VLOOKUP(C15,Machined!C:R,7,0)</f>
        <v>1018 CRS</v>
      </c>
      <c r="G15" s="131" t="str">
        <f>VLOOKUP(C15,Machined!C:R,10,0)</f>
        <v>FRONTIER</v>
      </c>
      <c r="H15" s="131" t="str">
        <f>VLOOKUP(C15,Machined!C:R,11,0)</f>
        <v xml:space="preserve">  </v>
      </c>
      <c r="I15" s="131"/>
      <c r="J15" s="42">
        <f>VLOOKUP(C15,Machined!C:R,12,0)</f>
        <v>45139</v>
      </c>
      <c r="K15" s="42">
        <f>VLOOKUP(C15,Machined!C:R,13,0)</f>
        <v>45140</v>
      </c>
      <c r="L15" s="42">
        <f>VLOOKUP(C15,Machined!C:R,14,0)</f>
        <v>45170</v>
      </c>
      <c r="M15" s="42">
        <f>VLOOKUP(C15,Machined!C:R,15,0)</f>
        <v>45170</v>
      </c>
      <c r="N15" s="43">
        <f>VLOOKUP(C15,Machined!C:R,16,0)</f>
        <v>55025</v>
      </c>
      <c r="O15" s="43" t="e">
        <f t="shared" ca="1" si="4"/>
        <v>#VALUE!</v>
      </c>
      <c r="P15" s="47">
        <f>IFERROR(VLOOKUP(C15,Machined!C:F,3,0),"")</f>
        <v>0</v>
      </c>
      <c r="Q15" s="48">
        <f t="shared" si="5"/>
        <v>0</v>
      </c>
    </row>
    <row r="16" spans="1:18" s="2" customFormat="1" ht="12.75" customHeight="1">
      <c r="A16" s="127">
        <v>7</v>
      </c>
      <c r="B16" s="21">
        <v>1</v>
      </c>
      <c r="C16" s="108" t="s">
        <v>396</v>
      </c>
      <c r="D16" s="277" t="str">
        <f>VLOOKUP(C16,Machined!C:Q,2,0)</f>
        <v>Lower Nip Support Strut</v>
      </c>
      <c r="E16" s="278"/>
      <c r="F16" s="131" t="str">
        <f>VLOOKUP(C16,Machined!C:R,7,0)</f>
        <v>6061-T6 Alum</v>
      </c>
      <c r="G16" s="131" t="str">
        <f>VLOOKUP(C16,Machined!C:R,10,0)</f>
        <v>BEMOX</v>
      </c>
      <c r="H16" s="131" t="str">
        <f>VLOOKUP(C16,Machined!C:R,11,0)</f>
        <v xml:space="preserve">  </v>
      </c>
      <c r="I16" s="131"/>
      <c r="J16" s="42">
        <f>VLOOKUP(C16,Machined!C:R,12,0)</f>
        <v>45142</v>
      </c>
      <c r="K16" s="42">
        <f>VLOOKUP(C16,Machined!C:R,13,0)</f>
        <v>45146</v>
      </c>
      <c r="L16" s="42">
        <f>VLOOKUP(C16,Machined!C:R,14,0)</f>
        <v>45170</v>
      </c>
      <c r="M16" s="42">
        <f>VLOOKUP(C16,Machined!C:R,15,0)</f>
        <v>45170</v>
      </c>
      <c r="N16" s="43">
        <f>VLOOKUP(C16,Machined!C:R,16,0)</f>
        <v>55041</v>
      </c>
      <c r="O16" s="43" t="e">
        <f t="shared" ref="O16:O20" ca="1" si="6">B16*$L$2</f>
        <v>#VALUE!</v>
      </c>
      <c r="P16" s="47">
        <f>IFERROR(VLOOKUP(C16,Machined!C:F,3,0),"")</f>
        <v>369.8</v>
      </c>
      <c r="Q16" s="48">
        <f t="shared" ref="Q16:Q20" si="7">IFERROR(B16*P16,"")</f>
        <v>369.8</v>
      </c>
    </row>
    <row r="17" spans="1:17" s="2" customFormat="1" ht="12.75" customHeight="1">
      <c r="A17" s="127">
        <v>8</v>
      </c>
      <c r="B17" s="21">
        <v>2</v>
      </c>
      <c r="C17" s="108" t="s">
        <v>397</v>
      </c>
      <c r="D17" s="277" t="str">
        <f>VLOOKUP(C17,Machined!C:Q,2,0)</f>
        <v>Nip Adjustment Block</v>
      </c>
      <c r="E17" s="278"/>
      <c r="F17" s="131" t="str">
        <f>VLOOKUP(C17,Machined!C:R,7,0)</f>
        <v>6061-T6 Alum</v>
      </c>
      <c r="G17" s="131" t="str">
        <f>VLOOKUP(C17,Machined!C:R,10,0)</f>
        <v>FRONTIER</v>
      </c>
      <c r="H17" s="131" t="str">
        <f>VLOOKUP(C17,Machined!C:R,11,0)</f>
        <v xml:space="preserve">  </v>
      </c>
      <c r="I17" s="131"/>
      <c r="J17" s="42">
        <f>VLOOKUP(C17,Machined!C:R,12,0)</f>
        <v>45139</v>
      </c>
      <c r="K17" s="42">
        <f>VLOOKUP(C17,Machined!C:R,13,0)</f>
        <v>45140</v>
      </c>
      <c r="L17" s="42">
        <f>VLOOKUP(C17,Machined!C:R,14,0)</f>
        <v>45170</v>
      </c>
      <c r="M17" s="42">
        <f>VLOOKUP(C17,Machined!C:R,15,0)</f>
        <v>45170</v>
      </c>
      <c r="N17" s="43">
        <f>VLOOKUP(C17,Machined!C:R,16,0)</f>
        <v>55025</v>
      </c>
      <c r="O17" s="43" t="e">
        <f t="shared" ca="1" si="6"/>
        <v>#VALUE!</v>
      </c>
      <c r="P17" s="47">
        <f>IFERROR(VLOOKUP(C17,Machined!C:F,3,0),"")</f>
        <v>0</v>
      </c>
      <c r="Q17" s="48">
        <f t="shared" si="7"/>
        <v>0</v>
      </c>
    </row>
    <row r="18" spans="1:17" s="2" customFormat="1" ht="12.75" customHeight="1">
      <c r="A18" s="127">
        <v>9</v>
      </c>
      <c r="B18" s="21">
        <v>2</v>
      </c>
      <c r="C18" s="108" t="s">
        <v>398</v>
      </c>
      <c r="D18" s="277" t="str">
        <f>VLOOKUP(C18,Machined!C:Q,2,0)</f>
        <v>Nip Pivot Block</v>
      </c>
      <c r="E18" s="278"/>
      <c r="F18" s="131" t="str">
        <f>VLOOKUP(C18,Machined!C:R,7,0)</f>
        <v>6061-T6 Alum</v>
      </c>
      <c r="G18" s="131" t="str">
        <f>VLOOKUP(C18,Machined!C:R,10,0)</f>
        <v>FRONTIER</v>
      </c>
      <c r="H18" s="131" t="str">
        <f>VLOOKUP(C18,Machined!C:R,11,0)</f>
        <v xml:space="preserve">  </v>
      </c>
      <c r="I18" s="131"/>
      <c r="J18" s="42">
        <f>VLOOKUP(C18,Machined!C:R,12,0)</f>
        <v>45139</v>
      </c>
      <c r="K18" s="42">
        <f>VLOOKUP(C18,Machined!C:R,13,0)</f>
        <v>45140</v>
      </c>
      <c r="L18" s="42">
        <f>VLOOKUP(C18,Machined!C:R,14,0)</f>
        <v>45170</v>
      </c>
      <c r="M18" s="42">
        <f>VLOOKUP(C18,Machined!C:R,15,0)</f>
        <v>45170</v>
      </c>
      <c r="N18" s="43">
        <f>VLOOKUP(C18,Machined!C:R,16,0)</f>
        <v>55025</v>
      </c>
      <c r="O18" s="43" t="e">
        <f t="shared" ca="1" si="6"/>
        <v>#VALUE!</v>
      </c>
      <c r="P18" s="47">
        <f>IFERROR(VLOOKUP(C18,Machined!C:F,3,0),"")</f>
        <v>0</v>
      </c>
      <c r="Q18" s="48">
        <f t="shared" si="7"/>
        <v>0</v>
      </c>
    </row>
    <row r="19" spans="1:17" s="2" customFormat="1" ht="12.75" customHeight="1">
      <c r="A19" s="127">
        <v>10</v>
      </c>
      <c r="B19" s="21">
        <v>2</v>
      </c>
      <c r="C19" s="108" t="s">
        <v>399</v>
      </c>
      <c r="D19" s="277" t="str">
        <f>VLOOKUP(C19,Machined!C:Q,2,0)</f>
        <v>Adj Side Frame Mount</v>
      </c>
      <c r="E19" s="278"/>
      <c r="F19" s="131" t="str">
        <f>VLOOKUP(C19,Machined!C:R,7,0)</f>
        <v>6061-T6 Alum</v>
      </c>
      <c r="G19" s="131" t="str">
        <f>VLOOKUP(C19,Machined!C:R,10,0)</f>
        <v>FRONTIER</v>
      </c>
      <c r="H19" s="131" t="str">
        <f>VLOOKUP(C19,Machined!C:R,11,0)</f>
        <v xml:space="preserve">  </v>
      </c>
      <c r="I19" s="131"/>
      <c r="J19" s="42">
        <f>VLOOKUP(C19,Machined!C:R,12,0)</f>
        <v>45139</v>
      </c>
      <c r="K19" s="42">
        <f>VLOOKUP(C19,Machined!C:R,13,0)</f>
        <v>45140</v>
      </c>
      <c r="L19" s="42">
        <f>VLOOKUP(C19,Machined!C:R,14,0)</f>
        <v>45170</v>
      </c>
      <c r="M19" s="42">
        <f>VLOOKUP(C19,Machined!C:R,15,0)</f>
        <v>45170</v>
      </c>
      <c r="N19" s="43">
        <f>VLOOKUP(C19,Machined!C:R,16,0)</f>
        <v>55025</v>
      </c>
      <c r="O19" s="43" t="e">
        <f t="shared" ca="1" si="6"/>
        <v>#VALUE!</v>
      </c>
      <c r="P19" s="47">
        <f>IFERROR(VLOOKUP(C19,Machined!C:F,3,0),"")</f>
        <v>0</v>
      </c>
      <c r="Q19" s="48">
        <f t="shared" si="7"/>
        <v>0</v>
      </c>
    </row>
    <row r="20" spans="1:17" s="2" customFormat="1" ht="12.75" customHeight="1">
      <c r="A20" s="127">
        <v>11</v>
      </c>
      <c r="B20" s="21">
        <v>2</v>
      </c>
      <c r="C20" s="108" t="s">
        <v>400</v>
      </c>
      <c r="D20" s="277" t="str">
        <f>VLOOKUP(C20,Machined!C:Q,2,0)</f>
        <v>Pivot Side Frame Mount</v>
      </c>
      <c r="E20" s="278"/>
      <c r="F20" s="131" t="str">
        <f>VLOOKUP(C20,Machined!C:R,7,0)</f>
        <v>6061-T6 Alum</v>
      </c>
      <c r="G20" s="131" t="str">
        <f>VLOOKUP(C20,Machined!C:R,10,0)</f>
        <v>FRONTIER</v>
      </c>
      <c r="H20" s="131" t="str">
        <f>VLOOKUP(C20,Machined!C:R,11,0)</f>
        <v xml:space="preserve">  </v>
      </c>
      <c r="I20" s="131"/>
      <c r="J20" s="42">
        <f>VLOOKUP(C20,Machined!C:R,12,0)</f>
        <v>45139</v>
      </c>
      <c r="K20" s="42">
        <f>VLOOKUP(C20,Machined!C:R,13,0)</f>
        <v>45140</v>
      </c>
      <c r="L20" s="42">
        <f>VLOOKUP(C20,Machined!C:R,14,0)</f>
        <v>45170</v>
      </c>
      <c r="M20" s="42">
        <f>VLOOKUP(C20,Machined!C:R,15,0)</f>
        <v>45170</v>
      </c>
      <c r="N20" s="43">
        <f>VLOOKUP(C20,Machined!C:R,16,0)</f>
        <v>55025</v>
      </c>
      <c r="O20" s="43" t="e">
        <f t="shared" ca="1" si="6"/>
        <v>#VALUE!</v>
      </c>
      <c r="P20" s="47">
        <f>IFERROR(VLOOKUP(C20,Machined!C:F,3,0),"")</f>
        <v>0</v>
      </c>
      <c r="Q20" s="48">
        <f t="shared" si="7"/>
        <v>0</v>
      </c>
    </row>
    <row r="21" spans="1:17" s="2" customFormat="1" ht="12.75" customHeight="1">
      <c r="A21" s="143"/>
      <c r="B21" s="26"/>
      <c r="C21" s="26"/>
      <c r="D21" s="272"/>
      <c r="E21" s="273"/>
      <c r="F21" s="26"/>
      <c r="G21" s="26"/>
      <c r="H21" s="274"/>
      <c r="I21" s="275"/>
      <c r="J21" s="27"/>
      <c r="K21" s="27"/>
      <c r="L21" s="27"/>
      <c r="M21" s="28"/>
      <c r="N21" s="29"/>
      <c r="O21" s="29"/>
      <c r="P21" s="141"/>
      <c r="Q21" s="142"/>
    </row>
    <row r="22" spans="1:17" s="2" customFormat="1" ht="12.75" customHeight="1">
      <c r="A22" s="4">
        <v>301</v>
      </c>
      <c r="B22" s="2">
        <v>0</v>
      </c>
      <c r="C22" s="114" t="s">
        <v>169</v>
      </c>
      <c r="D22" s="268" t="str">
        <f>VLOOKUP(C22,Purchased!A:B,2,0)</f>
        <v>SMC SS5Y5 D SIDE END PLATE</v>
      </c>
      <c r="E22" s="269"/>
      <c r="F22" s="112" t="str">
        <f>VLOOKUP(C22,Purchased!A:Q,9,0)</f>
        <v>SMC</v>
      </c>
      <c r="G22" s="112" t="str">
        <f>VLOOKUP(C22,Purchased!A:Q,10,0)</f>
        <v>AAP</v>
      </c>
      <c r="H22" s="112" t="s">
        <v>401</v>
      </c>
      <c r="I22" s="113"/>
      <c r="J22" s="44" t="str">
        <f>VLOOKUP(C22,Purchased!A:Q,13,0)</f>
        <v>N/A</v>
      </c>
      <c r="K22" s="44">
        <f>VLOOKUP(C22,Purchased!A:Q,14,0)</f>
        <v>45086</v>
      </c>
      <c r="L22" s="44">
        <f>VLOOKUP(C22,Purchased!A:Q,15,0)</f>
        <v>45103</v>
      </c>
      <c r="M22" s="44">
        <f>VLOOKUP(C22,Purchased!A:Q,16,0)</f>
        <v>45103</v>
      </c>
      <c r="N22" s="45">
        <f>VLOOKUP(C22,Purchased!A:Q,17,0)</f>
        <v>54926</v>
      </c>
      <c r="O22" s="45" t="e">
        <f t="shared" ref="O22:O41" ca="1" si="8">B22*$L$2</f>
        <v>#VALUE!</v>
      </c>
      <c r="P22" s="49">
        <f>IFERROR(VLOOKUP(C22,Purchased!A:E,3,FALSE),"")</f>
        <v>49.398800000000001</v>
      </c>
      <c r="Q22" s="50">
        <f t="shared" ref="Q22:Q41" si="9">IFERROR(B22*P22,"")</f>
        <v>0</v>
      </c>
    </row>
    <row r="23" spans="1:17" s="2" customFormat="1" ht="12" customHeight="1">
      <c r="A23" s="4">
        <f>A22+1</f>
        <v>302</v>
      </c>
      <c r="B23" s="2">
        <v>0</v>
      </c>
      <c r="C23" s="114" t="s">
        <v>170</v>
      </c>
      <c r="D23" s="268" t="str">
        <f>VLOOKUP(C23,Purchased!A:B,2,0)</f>
        <v>SMC BLOCK ASSY</v>
      </c>
      <c r="E23" s="269"/>
      <c r="F23" s="112" t="str">
        <f>VLOOKUP(C23,Purchased!A:Q,9,0)</f>
        <v>SMC</v>
      </c>
      <c r="G23" s="112" t="str">
        <f>VLOOKUP(C23,Purchased!A:Q,10,0)</f>
        <v>AAP</v>
      </c>
      <c r="H23" s="112" t="s">
        <v>401</v>
      </c>
      <c r="I23" s="113"/>
      <c r="J23" s="44" t="str">
        <f>VLOOKUP(C23,Purchased!A:Q,13,0)</f>
        <v>N/A</v>
      </c>
      <c r="K23" s="44">
        <f>VLOOKUP(C23,Purchased!A:Q,14,0)</f>
        <v>45086</v>
      </c>
      <c r="L23" s="44">
        <f>VLOOKUP(C23,Purchased!A:Q,15,0)</f>
        <v>45103</v>
      </c>
      <c r="M23" s="44">
        <f>VLOOKUP(C23,Purchased!A:Q,16,0)</f>
        <v>45103</v>
      </c>
      <c r="N23" s="45">
        <f>VLOOKUP(C23,Purchased!A:Q,17,0)</f>
        <v>54926</v>
      </c>
      <c r="O23" s="45" t="e">
        <f t="shared" ca="1" si="8"/>
        <v>#VALUE!</v>
      </c>
      <c r="P23" s="49">
        <f>IFERROR(VLOOKUP(C23,Purchased!A:E,3,FALSE),"")</f>
        <v>17.9833</v>
      </c>
      <c r="Q23" s="50">
        <f t="shared" si="9"/>
        <v>0</v>
      </c>
    </row>
    <row r="24" spans="1:17" s="2" customFormat="1" ht="12" customHeight="1">
      <c r="A24" s="4">
        <f t="shared" ref="A24:A50" si="10">A23+1</f>
        <v>303</v>
      </c>
      <c r="B24" s="2">
        <v>0</v>
      </c>
      <c r="C24" s="114" t="s">
        <v>172</v>
      </c>
      <c r="D24" s="268" t="str">
        <f>VLOOKUP(C24,Purchased!A:B,2,0)</f>
        <v>SMC Valve, 5 Port Solenoid</v>
      </c>
      <c r="E24" s="269"/>
      <c r="F24" s="112" t="str">
        <f>VLOOKUP(C24,Purchased!A:Q,9,0)</f>
        <v>SMC</v>
      </c>
      <c r="G24" s="112" t="str">
        <f>VLOOKUP(C24,Purchased!A:Q,10,0)</f>
        <v>AAP</v>
      </c>
      <c r="H24" s="112" t="s">
        <v>401</v>
      </c>
      <c r="I24" s="113"/>
      <c r="J24" s="44" t="str">
        <f>VLOOKUP(C24,Purchased!A:Q,13,0)</f>
        <v>N/A</v>
      </c>
      <c r="K24" s="44">
        <f>VLOOKUP(C24,Purchased!A:Q,14,0)</f>
        <v>45086</v>
      </c>
      <c r="L24" s="44">
        <f>VLOOKUP(C24,Purchased!A:Q,15,0)</f>
        <v>45103</v>
      </c>
      <c r="M24" s="44">
        <f>VLOOKUP(C24,Purchased!A:Q,16,0)</f>
        <v>45103</v>
      </c>
      <c r="N24" s="45">
        <f>VLOOKUP(C24,Purchased!A:Q,17,0)</f>
        <v>54926</v>
      </c>
      <c r="O24" s="45" t="e">
        <f t="shared" ca="1" si="8"/>
        <v>#VALUE!</v>
      </c>
      <c r="P24" s="49">
        <f>IFERROR(VLOOKUP(C24,Purchased!A:E,3,FALSE),"")</f>
        <v>83.1798</v>
      </c>
      <c r="Q24" s="50">
        <f t="shared" si="9"/>
        <v>0</v>
      </c>
    </row>
    <row r="25" spans="1:17" s="2" customFormat="1" ht="12" customHeight="1">
      <c r="A25" s="4">
        <f t="shared" si="10"/>
        <v>304</v>
      </c>
      <c r="B25" s="2">
        <v>0</v>
      </c>
      <c r="C25" s="114" t="s">
        <v>200</v>
      </c>
      <c r="D25" s="268" t="str">
        <f>VLOOKUP(C25,Purchased!A:B,2,0)</f>
        <v>SMC Valve, 5 Port Solenoid</v>
      </c>
      <c r="E25" s="269"/>
      <c r="F25" s="112" t="str">
        <f>VLOOKUP(C25,Purchased!A:Q,9,0)</f>
        <v>SMC</v>
      </c>
      <c r="G25" s="112" t="str">
        <f>VLOOKUP(C25,Purchased!A:Q,10,0)</f>
        <v>AAP</v>
      </c>
      <c r="H25" s="112" t="s">
        <v>401</v>
      </c>
      <c r="I25" s="113"/>
      <c r="J25" s="44" t="str">
        <f>VLOOKUP(C25,Purchased!A:Q,13,0)</f>
        <v>N/A</v>
      </c>
      <c r="K25" s="44">
        <f>VLOOKUP(C25,Purchased!A:Q,14,0)</f>
        <v>45086</v>
      </c>
      <c r="L25" s="44">
        <f>VLOOKUP(C25,Purchased!A:Q,15,0)</f>
        <v>45103</v>
      </c>
      <c r="M25" s="44">
        <f>VLOOKUP(C25,Purchased!A:Q,16,0)</f>
        <v>45103</v>
      </c>
      <c r="N25" s="45">
        <f>VLOOKUP(C25,Purchased!A:Q,17,0)</f>
        <v>54926</v>
      </c>
      <c r="O25" s="45" t="e">
        <f t="shared" ca="1" si="8"/>
        <v>#VALUE!</v>
      </c>
      <c r="P25" s="49">
        <f>IFERROR(VLOOKUP(C25,Purchased!A:E,3,FALSE),"")</f>
        <v>53.659500000000001</v>
      </c>
      <c r="Q25" s="50">
        <f t="shared" si="9"/>
        <v>0</v>
      </c>
    </row>
    <row r="26" spans="1:17" s="2" customFormat="1" ht="12" customHeight="1">
      <c r="A26" s="4">
        <f t="shared" si="10"/>
        <v>305</v>
      </c>
      <c r="B26" s="2">
        <v>0</v>
      </c>
      <c r="C26" s="114" t="s">
        <v>402</v>
      </c>
      <c r="D26" s="268" t="str">
        <f>VLOOKUP(C26,Purchased!A:B,2,0)</f>
        <v>SMC BLANKING PLATE ASSY</v>
      </c>
      <c r="E26" s="269"/>
      <c r="F26" s="112" t="str">
        <f>VLOOKUP(C26,Purchased!A:Q,9,0)</f>
        <v>SMC</v>
      </c>
      <c r="G26" s="112" t="str">
        <f>VLOOKUP(C26,Purchased!A:Q,10,0)</f>
        <v>AAP</v>
      </c>
      <c r="H26" s="112" t="s">
        <v>401</v>
      </c>
      <c r="I26" s="113"/>
      <c r="J26" s="44" t="str">
        <f>VLOOKUP(C26,Purchased!A:Q,13,0)</f>
        <v>N/A</v>
      </c>
      <c r="K26" s="44">
        <f>VLOOKUP(C26,Purchased!A:Q,14,0)</f>
        <v>45086</v>
      </c>
      <c r="L26" s="44">
        <f>VLOOKUP(C26,Purchased!A:Q,15,0)</f>
        <v>45103</v>
      </c>
      <c r="M26" s="44">
        <f>VLOOKUP(C26,Purchased!A:Q,16,0)</f>
        <v>45103</v>
      </c>
      <c r="N26" s="45">
        <f>VLOOKUP(C26,Purchased!A:Q,17,0)</f>
        <v>54926</v>
      </c>
      <c r="O26" s="45" t="e">
        <f t="shared" ca="1" si="8"/>
        <v>#VALUE!</v>
      </c>
      <c r="P26" s="49">
        <f>IFERROR(VLOOKUP(C26,Purchased!A:E,3,FALSE),"")</f>
        <v>5.6577999999999999</v>
      </c>
      <c r="Q26" s="50">
        <f t="shared" si="9"/>
        <v>0</v>
      </c>
    </row>
    <row r="27" spans="1:17" s="2" customFormat="1" ht="12" customHeight="1">
      <c r="A27" s="4">
        <f t="shared" si="10"/>
        <v>306</v>
      </c>
      <c r="B27" s="2">
        <v>0</v>
      </c>
      <c r="C27" s="114" t="s">
        <v>403</v>
      </c>
      <c r="D27" s="268" t="str">
        <f>VLOOKUP(C27,Purchased!A:B,2,0)</f>
        <v>SMC SS5Y5 U SIDE END PLATE</v>
      </c>
      <c r="E27" s="269"/>
      <c r="F27" s="112" t="str">
        <f>VLOOKUP(C27,Purchased!A:Q,9,0)</f>
        <v>SMC</v>
      </c>
      <c r="G27" s="112" t="str">
        <f>VLOOKUP(C27,Purchased!A:Q,10,0)</f>
        <v>AAP</v>
      </c>
      <c r="H27" s="112" t="s">
        <v>401</v>
      </c>
      <c r="I27" s="113"/>
      <c r="J27" s="44" t="str">
        <f>VLOOKUP(C27,Purchased!A:Q,13,0)</f>
        <v>N/A</v>
      </c>
      <c r="K27" s="44">
        <f>VLOOKUP(C27,Purchased!A:Q,14,0)</f>
        <v>45086</v>
      </c>
      <c r="L27" s="44">
        <f>VLOOKUP(C27,Purchased!A:Q,15,0)</f>
        <v>45103</v>
      </c>
      <c r="M27" s="44">
        <f>VLOOKUP(C27,Purchased!A:Q,16,0)</f>
        <v>45103</v>
      </c>
      <c r="N27" s="45">
        <f>VLOOKUP(C27,Purchased!A:Q,17,0)</f>
        <v>54926</v>
      </c>
      <c r="O27" s="45" t="e">
        <f t="shared" ca="1" si="8"/>
        <v>#VALUE!</v>
      </c>
      <c r="P27" s="49">
        <f>IFERROR(VLOOKUP(C27,Purchased!A:E,3,FALSE),"")</f>
        <v>32.0242</v>
      </c>
      <c r="Q27" s="50">
        <f t="shared" si="9"/>
        <v>0</v>
      </c>
    </row>
    <row r="28" spans="1:17" s="2" customFormat="1" ht="12" customHeight="1">
      <c r="A28" s="4">
        <f t="shared" si="10"/>
        <v>307</v>
      </c>
      <c r="B28" s="2">
        <v>0</v>
      </c>
      <c r="C28" s="114" t="s">
        <v>404</v>
      </c>
      <c r="D28" s="268" t="str">
        <f>VLOOKUP(C28,Purchased!A:B,2,0)</f>
        <v>SMC TIE ROD</v>
      </c>
      <c r="E28" s="269"/>
      <c r="F28" s="112" t="str">
        <f>VLOOKUP(C28,Purchased!A:Q,9,0)</f>
        <v>SMC</v>
      </c>
      <c r="G28" s="112" t="str">
        <f>VLOOKUP(C28,Purchased!A:Q,10,0)</f>
        <v>AAP</v>
      </c>
      <c r="H28" s="112" t="s">
        <v>401</v>
      </c>
      <c r="I28" s="113"/>
      <c r="J28" s="44" t="str">
        <f>VLOOKUP(C28,Purchased!A:Q,13,0)</f>
        <v>N/A</v>
      </c>
      <c r="K28" s="44">
        <f>VLOOKUP(C28,Purchased!A:Q,14,0)</f>
        <v>45086</v>
      </c>
      <c r="L28" s="44">
        <f>VLOOKUP(C28,Purchased!A:Q,15,0)</f>
        <v>45103</v>
      </c>
      <c r="M28" s="44">
        <f>VLOOKUP(C28,Purchased!A:Q,16,0)</f>
        <v>45103</v>
      </c>
      <c r="N28" s="45">
        <f>VLOOKUP(C28,Purchased!A:Q,17,0)</f>
        <v>54926</v>
      </c>
      <c r="O28" s="45" t="e">
        <f t="shared" ca="1" si="8"/>
        <v>#VALUE!</v>
      </c>
      <c r="P28" s="49">
        <f>IFERROR(VLOOKUP(C28,Purchased!A:E,3,FALSE),"")</f>
        <v>2.9603000000000002</v>
      </c>
      <c r="Q28" s="50">
        <f t="shared" si="9"/>
        <v>0</v>
      </c>
    </row>
    <row r="29" spans="1:17" s="2" customFormat="1" ht="12" customHeight="1">
      <c r="A29" s="4">
        <f t="shared" si="10"/>
        <v>308</v>
      </c>
      <c r="B29" s="2">
        <v>0</v>
      </c>
      <c r="C29" s="114" t="s">
        <v>175</v>
      </c>
      <c r="D29" s="268" t="str">
        <f>VLOOKUP(C29,Purchased!A:B,2,0)</f>
        <v>SMC FITTING ASSY</v>
      </c>
      <c r="E29" s="269"/>
      <c r="F29" s="112" t="str">
        <f>VLOOKUP(C29,Purchased!A:Q,9,0)</f>
        <v>SMC</v>
      </c>
      <c r="G29" s="112" t="str">
        <f>VLOOKUP(C29,Purchased!A:Q,10,0)</f>
        <v>AAP</v>
      </c>
      <c r="H29" s="112" t="s">
        <v>401</v>
      </c>
      <c r="I29" s="113"/>
      <c r="J29" s="44" t="str">
        <f>VLOOKUP(C29,Purchased!A:Q,13,0)</f>
        <v>N/A</v>
      </c>
      <c r="K29" s="44">
        <f>VLOOKUP(C29,Purchased!A:Q,14,0)</f>
        <v>45086</v>
      </c>
      <c r="L29" s="44">
        <f>VLOOKUP(C29,Purchased!A:Q,15,0)</f>
        <v>45103</v>
      </c>
      <c r="M29" s="44">
        <f>VLOOKUP(C29,Purchased!A:Q,16,0)</f>
        <v>45103</v>
      </c>
      <c r="N29" s="45">
        <f>VLOOKUP(C29,Purchased!A:Q,17,0)</f>
        <v>54926</v>
      </c>
      <c r="O29" s="45" t="e">
        <f t="shared" ca="1" si="8"/>
        <v>#VALUE!</v>
      </c>
      <c r="P29" s="49">
        <f>IFERROR(VLOOKUP(C29,Purchased!A:E,3,FALSE),"")</f>
        <v>3.3892000000000002</v>
      </c>
      <c r="Q29" s="50">
        <f t="shared" si="9"/>
        <v>0</v>
      </c>
    </row>
    <row r="30" spans="1:17" s="2" customFormat="1" ht="12" customHeight="1">
      <c r="A30" s="4">
        <f t="shared" si="10"/>
        <v>309</v>
      </c>
      <c r="B30" s="2">
        <v>8</v>
      </c>
      <c r="C30" s="114" t="s">
        <v>256</v>
      </c>
      <c r="D30" s="268" t="str">
        <f>VLOOKUP(C30,Purchased!A:B,2,0)</f>
        <v>BRX GOTO T-NUT 10 M8</v>
      </c>
      <c r="E30" s="269"/>
      <c r="F30" s="112" t="str">
        <f>VLOOKUP(C30,Purchased!A:Q,9,0)</f>
        <v>BRX</v>
      </c>
      <c r="G30" s="112" t="str">
        <f>VLOOKUP(C30,Purchased!A:Q,10,0)</f>
        <v>AAP</v>
      </c>
      <c r="H30" s="112" t="str">
        <f>VLOOKUP(C30,Purchased!A:Q,12,0)</f>
        <v xml:space="preserve">  </v>
      </c>
      <c r="I30" s="113"/>
      <c r="J30" s="44">
        <f>VLOOKUP(C30,Purchased!A:Q,13,0)</f>
        <v>45104</v>
      </c>
      <c r="K30" s="44">
        <f>VLOOKUP(C30,Purchased!A:Q,14,0)</f>
        <v>45105</v>
      </c>
      <c r="L30" s="44">
        <f>VLOOKUP(C30,Purchased!A:Q,15,0)</f>
        <v>45133</v>
      </c>
      <c r="M30" s="44">
        <f>VLOOKUP(C30,Purchased!A:Q,16,0)</f>
        <v>45133</v>
      </c>
      <c r="N30" s="45" t="str">
        <f>VLOOKUP(C30,Purchased!A:Q,17,0)</f>
        <v>54968, 55147</v>
      </c>
      <c r="O30" s="45" t="e">
        <f t="shared" ca="1" si="8"/>
        <v>#VALUE!</v>
      </c>
      <c r="P30" s="49">
        <f>IFERROR(VLOOKUP(C30,Purchased!A:E,3,FALSE),"")</f>
        <v>0.64290000000000003</v>
      </c>
      <c r="Q30" s="50">
        <f t="shared" si="9"/>
        <v>5.1432000000000002</v>
      </c>
    </row>
    <row r="31" spans="1:17" s="2" customFormat="1" ht="12" customHeight="1">
      <c r="A31" s="4">
        <f t="shared" si="10"/>
        <v>310</v>
      </c>
      <c r="B31" s="2">
        <v>2</v>
      </c>
      <c r="C31" s="114" t="s">
        <v>405</v>
      </c>
      <c r="D31" s="268" t="str">
        <f>VLOOKUP(C31,Purchased!A:B,2,0)</f>
        <v>BRL 25mm Ball Rail, Nips</v>
      </c>
      <c r="E31" s="269"/>
      <c r="F31" s="112" t="str">
        <f>VLOOKUP(C31,Purchased!A:Q,9,0)</f>
        <v>BRL</v>
      </c>
      <c r="G31" s="112" t="str">
        <f>VLOOKUP(C31,Purchased!A:Q,10,0)</f>
        <v>AAP</v>
      </c>
      <c r="H31" s="112" t="str">
        <f>VLOOKUP(C31,Purchased!A:Q,12,0)</f>
        <v xml:space="preserve"> </v>
      </c>
      <c r="I31" s="113"/>
      <c r="J31" s="44">
        <f>VLOOKUP(C31,Purchased!A:Q,13,0)</f>
        <v>45093</v>
      </c>
      <c r="K31" s="44">
        <f>VLOOKUP(C31,Purchased!A:Q,14,0)</f>
        <v>45093</v>
      </c>
      <c r="L31" s="44">
        <f>VLOOKUP(C31,Purchased!A:Q,15,0)</f>
        <v>45184</v>
      </c>
      <c r="M31" s="44">
        <f>VLOOKUP(C31,Purchased!A:Q,16,0)</f>
        <v>45184</v>
      </c>
      <c r="N31" s="45">
        <f>VLOOKUP(C31,Purchased!A:Q,17,0)</f>
        <v>54942</v>
      </c>
      <c r="O31" s="45" t="e">
        <f t="shared" ca="1" si="8"/>
        <v>#VALUE!</v>
      </c>
      <c r="P31" s="49">
        <f>IFERROR(VLOOKUP(C31,Purchased!A:E,3,FALSE),"")</f>
        <v>87.938500000000005</v>
      </c>
      <c r="Q31" s="50">
        <f t="shared" si="9"/>
        <v>175.87700000000001</v>
      </c>
    </row>
    <row r="32" spans="1:17" s="2" customFormat="1" ht="12" customHeight="1">
      <c r="A32" s="4">
        <f t="shared" si="10"/>
        <v>311</v>
      </c>
      <c r="B32" s="2">
        <v>2</v>
      </c>
      <c r="C32" s="114" t="s">
        <v>406</v>
      </c>
      <c r="D32" s="268" t="str">
        <f>VLOOKUP(C32,Purchased!A:B,2,0)</f>
        <v>BRL 25mm runner block, flanged</v>
      </c>
      <c r="E32" s="269"/>
      <c r="F32" s="112" t="str">
        <f>VLOOKUP(C32,Purchased!A:Q,9,0)</f>
        <v>BRL</v>
      </c>
      <c r="G32" s="112" t="str">
        <f>VLOOKUP(C32,Purchased!A:Q,10,0)</f>
        <v>AAP</v>
      </c>
      <c r="H32" s="112" t="str">
        <f>VLOOKUP(C32,Purchased!A:Q,12,0)</f>
        <v xml:space="preserve">  </v>
      </c>
      <c r="I32" s="113"/>
      <c r="J32" s="44">
        <f>VLOOKUP(C32,Purchased!A:Q,13,0)</f>
        <v>45093</v>
      </c>
      <c r="K32" s="44">
        <f>VLOOKUP(C32,Purchased!A:Q,14,0)</f>
        <v>45093</v>
      </c>
      <c r="L32" s="44">
        <f>VLOOKUP(C32,Purchased!A:Q,15,0)</f>
        <v>45184</v>
      </c>
      <c r="M32" s="44">
        <f>VLOOKUP(C32,Purchased!A:Q,16,0)</f>
        <v>45184</v>
      </c>
      <c r="N32" s="45">
        <f>VLOOKUP(C32,Purchased!A:Q,17,0)</f>
        <v>54942</v>
      </c>
      <c r="O32" s="45" t="e">
        <f t="shared" ca="1" si="8"/>
        <v>#VALUE!</v>
      </c>
      <c r="P32" s="49">
        <f>IFERROR(VLOOKUP(C32,Purchased!A:E,3,FALSE),"")</f>
        <v>138.67920000000001</v>
      </c>
      <c r="Q32" s="50">
        <f t="shared" si="9"/>
        <v>277.35840000000002</v>
      </c>
    </row>
    <row r="33" spans="1:17" s="2" customFormat="1" ht="12" customHeight="1">
      <c r="A33" s="4">
        <f t="shared" si="10"/>
        <v>312</v>
      </c>
      <c r="B33" s="2">
        <v>0</v>
      </c>
      <c r="C33" s="114" t="s">
        <v>407</v>
      </c>
      <c r="D33" s="268" t="str">
        <f>VLOOKUP(C33,Purchased!A:B,2,0)</f>
        <v>Gates P35-8MGT-30 Pully</v>
      </c>
      <c r="E33" s="269"/>
      <c r="F33" s="112" t="str">
        <f>VLOOKUP(C33,Purchased!A:Q,9,0)</f>
        <v>Gates</v>
      </c>
      <c r="G33" s="112" t="str">
        <f>VLOOKUP(C33,Purchased!A:Q,10,0)</f>
        <v>MOTION</v>
      </c>
      <c r="H33" s="112">
        <f>VLOOKUP(C33,Purchased!A:Q,12,0)</f>
        <v>3220129</v>
      </c>
      <c r="I33" s="113"/>
      <c r="J33" s="44">
        <f>VLOOKUP(C33,Purchased!A:Q,13,0)</f>
        <v>45125</v>
      </c>
      <c r="K33" s="44">
        <f>VLOOKUP(C33,Purchased!A:Q,14,0)</f>
        <v>45147</v>
      </c>
      <c r="L33" s="44">
        <f>VLOOKUP(C33,Purchased!A:Q,15,0)</f>
        <v>45176</v>
      </c>
      <c r="M33" s="44">
        <f>VLOOKUP(C33,Purchased!A:Q,16,0)</f>
        <v>45176</v>
      </c>
      <c r="N33" s="45">
        <f>VLOOKUP(C33,Purchased!A:Q,17,0)</f>
        <v>55042</v>
      </c>
      <c r="O33" s="45" t="e">
        <f t="shared" ref="O33:O38" ca="1" si="11">B33*$L$2</f>
        <v>#VALUE!</v>
      </c>
      <c r="P33" s="49">
        <f>IFERROR(VLOOKUP(C33,Purchased!A:E,3,FALSE),"")</f>
        <v>110.48</v>
      </c>
      <c r="Q33" s="50">
        <f t="shared" ref="Q33:Q38" si="12">IFERROR(B33*P33,"")</f>
        <v>0</v>
      </c>
    </row>
    <row r="34" spans="1:17" s="2" customFormat="1" ht="12" customHeight="1">
      <c r="A34" s="4">
        <f t="shared" si="10"/>
        <v>313</v>
      </c>
      <c r="B34" s="2">
        <v>0</v>
      </c>
      <c r="C34" s="114" t="s">
        <v>408</v>
      </c>
      <c r="D34" s="268" t="str">
        <f>VLOOKUP(C34,Purchased!A:B,2,0)</f>
        <v>XL, Hub, 2 Flanges, 9.5mm Maximum Width, 57mm OD, 12mm Shaft</v>
      </c>
      <c r="E34" s="269"/>
      <c r="F34" s="112" t="str">
        <f>VLOOKUP(C34,Purchased!A:Q,9,0)</f>
        <v>Gates</v>
      </c>
      <c r="G34" s="112" t="str">
        <f>VLOOKUP(C34,Purchased!A:Q,10,0)</f>
        <v>MOTION</v>
      </c>
      <c r="H34" s="112">
        <f>VLOOKUP(C34,Purchased!A:Q,12,0)</f>
        <v>221594</v>
      </c>
      <c r="I34" s="113"/>
      <c r="J34" s="44">
        <f>VLOOKUP(C34,Purchased!A:Q,13,0)</f>
        <v>45125</v>
      </c>
      <c r="K34" s="44">
        <f>VLOOKUP(C34,Purchased!A:Q,14,0)</f>
        <v>45147</v>
      </c>
      <c r="L34" s="44">
        <f>VLOOKUP(C34,Purchased!A:Q,15,0)</f>
        <v>45176</v>
      </c>
      <c r="M34" s="44">
        <f>VLOOKUP(C34,Purchased!A:Q,16,0)</f>
        <v>45176</v>
      </c>
      <c r="N34" s="45">
        <f>VLOOKUP(C34,Purchased!A:Q,17,0)</f>
        <v>55042</v>
      </c>
      <c r="O34" s="45" t="e">
        <f t="shared" ca="1" si="11"/>
        <v>#VALUE!</v>
      </c>
      <c r="P34" s="49">
        <f>IFERROR(VLOOKUP(C34,Purchased!A:E,3,FALSE),"")</f>
        <v>23.22</v>
      </c>
      <c r="Q34" s="50">
        <f t="shared" si="12"/>
        <v>0</v>
      </c>
    </row>
    <row r="35" spans="1:17" s="2" customFormat="1" ht="12" customHeight="1">
      <c r="A35" s="4">
        <f t="shared" si="10"/>
        <v>314</v>
      </c>
      <c r="B35" s="2">
        <v>0</v>
      </c>
      <c r="C35" s="114" t="s">
        <v>409</v>
      </c>
      <c r="D35" s="268" t="str">
        <f>VLOOKUP(C35,Purchased!A:B,2,0)</f>
        <v>Gates 640-8MGT-30 Toothed belt</v>
      </c>
      <c r="E35" s="269"/>
      <c r="F35" s="112" t="str">
        <f>VLOOKUP(C35,Purchased!A:Q,9,0)</f>
        <v>Gates</v>
      </c>
      <c r="G35" s="112" t="str">
        <f>VLOOKUP(C35,Purchased!A:Q,10,0)</f>
        <v>MOTION</v>
      </c>
      <c r="H35" s="112">
        <f>VLOOKUP(C35,Purchased!A:Q,12,0)</f>
        <v>9165546</v>
      </c>
      <c r="I35" s="113"/>
      <c r="J35" s="44">
        <f>VLOOKUP(C35,Purchased!A:Q,13,0)</f>
        <v>45125</v>
      </c>
      <c r="K35" s="44">
        <f>VLOOKUP(C35,Purchased!A:Q,14,0)</f>
        <v>45147</v>
      </c>
      <c r="L35" s="44">
        <f>VLOOKUP(C35,Purchased!A:Q,15,0)</f>
        <v>45176</v>
      </c>
      <c r="M35" s="44">
        <f>VLOOKUP(C35,Purchased!A:Q,16,0)</f>
        <v>45176</v>
      </c>
      <c r="N35" s="45">
        <f>VLOOKUP(C35,Purchased!A:Q,17,0)</f>
        <v>55042</v>
      </c>
      <c r="O35" s="45" t="e">
        <f t="shared" ca="1" si="11"/>
        <v>#VALUE!</v>
      </c>
      <c r="P35" s="49">
        <f>IFERROR(VLOOKUP(C35,Purchased!A:E,3,FALSE),"")</f>
        <v>48.31</v>
      </c>
      <c r="Q35" s="50">
        <f t="shared" si="12"/>
        <v>0</v>
      </c>
    </row>
    <row r="36" spans="1:17" s="2" customFormat="1" ht="12" customHeight="1">
      <c r="A36" s="4">
        <f t="shared" si="10"/>
        <v>315</v>
      </c>
      <c r="B36" s="2">
        <v>2</v>
      </c>
      <c r="C36" s="114" t="s">
        <v>410</v>
      </c>
      <c r="D36" s="268" t="str">
        <f>VLOOKUP(C36,Purchased!A:B,2,0)</f>
        <v>EMERSON ER16 Insert Bearing</v>
      </c>
      <c r="E36" s="269"/>
      <c r="F36" s="112" t="str">
        <f>VLOOKUP(C36,Purchased!A:Q,9,0)</f>
        <v>EMERSON</v>
      </c>
      <c r="G36" s="112" t="str">
        <f>VLOOKUP(C36,Purchased!A:Q,10,0)</f>
        <v>MOTION</v>
      </c>
      <c r="H36" s="112">
        <f>VLOOKUP(C36,Purchased!A:Q,12,0)</f>
        <v>584951</v>
      </c>
      <c r="I36" s="113"/>
      <c r="J36" s="44">
        <f>VLOOKUP(C36,Purchased!A:Q,13,0)</f>
        <v>45125</v>
      </c>
      <c r="K36" s="44">
        <f>VLOOKUP(C36,Purchased!A:Q,14,0)</f>
        <v>45147</v>
      </c>
      <c r="L36" s="44">
        <f>VLOOKUP(C36,Purchased!A:Q,15,0)</f>
        <v>45176</v>
      </c>
      <c r="M36" s="44">
        <f>VLOOKUP(C36,Purchased!A:Q,16,0)</f>
        <v>45176</v>
      </c>
      <c r="N36" s="45">
        <f>VLOOKUP(C36,Purchased!A:Q,17,0)</f>
        <v>55042</v>
      </c>
      <c r="O36" s="45" t="e">
        <f t="shared" ca="1" si="11"/>
        <v>#VALUE!</v>
      </c>
      <c r="P36" s="49">
        <f>IFERROR(VLOOKUP(C36,Purchased!A:E,3,FALSE),"")</f>
        <v>36.880000000000003</v>
      </c>
      <c r="Q36" s="50">
        <f t="shared" si="12"/>
        <v>73.760000000000005</v>
      </c>
    </row>
    <row r="37" spans="1:17" s="2" customFormat="1" ht="12" customHeight="1">
      <c r="A37" s="4">
        <f t="shared" si="10"/>
        <v>316</v>
      </c>
      <c r="B37" s="2">
        <v>4</v>
      </c>
      <c r="C37" s="114" t="s">
        <v>411</v>
      </c>
      <c r="D37" s="268" t="str">
        <f>VLOOKUP(C37,Purchased!A:B,2,0)</f>
        <v>Alloy Steel Flat-Tip Set Screws M8 x 1.25 mm Thread, 80 mm Long, 5pk</v>
      </c>
      <c r="E37" s="269"/>
      <c r="F37" s="112" t="str">
        <f>VLOOKUP(C37,Purchased!A:Q,9,0)</f>
        <v>MCM</v>
      </c>
      <c r="G37" s="112" t="str">
        <f>VLOOKUP(C37,Purchased!A:Q,10,0)</f>
        <v>MCM</v>
      </c>
      <c r="H37" s="112" t="str">
        <f>VLOOKUP(C37,Purchased!A:Q,12,0)</f>
        <v>Pack of 5</v>
      </c>
      <c r="I37" s="113"/>
      <c r="J37" s="44" t="str">
        <f>VLOOKUP(C37,Purchased!A:Q,13,0)</f>
        <v>N/A</v>
      </c>
      <c r="K37" s="44">
        <f>VLOOKUP(C37,Purchased!A:Q,14,0)</f>
        <v>45162</v>
      </c>
      <c r="L37" s="44">
        <f>VLOOKUP(C37,Purchased!A:Q,15,0)</f>
        <v>45184</v>
      </c>
      <c r="M37" s="44">
        <f>VLOOKUP(C37,Purchased!A:Q,16,0)</f>
        <v>45163</v>
      </c>
      <c r="N37" s="45">
        <f>VLOOKUP(C37,Purchased!A:Q,17,0)</f>
        <v>55089</v>
      </c>
      <c r="O37" s="45" t="e">
        <f t="shared" ca="1" si="11"/>
        <v>#VALUE!</v>
      </c>
      <c r="P37" s="49">
        <f>IFERROR(VLOOKUP(C37,Purchased!A:E,3,FALSE),"")</f>
        <v>14.77</v>
      </c>
      <c r="Q37" s="50">
        <f t="shared" si="12"/>
        <v>59.08</v>
      </c>
    </row>
    <row r="38" spans="1:17" s="2" customFormat="1" ht="12" customHeight="1">
      <c r="A38" s="4">
        <f t="shared" si="10"/>
        <v>317</v>
      </c>
      <c r="B38" s="2">
        <v>4</v>
      </c>
      <c r="C38" s="114" t="s">
        <v>412</v>
      </c>
      <c r="D38" s="268" t="str">
        <f>VLOOKUP(C38,Purchased!A:B,2,0)</f>
        <v>Steel Oversized Washer for M12 Screw Size, 12 mm ID, 25 mm OD, 25pk</v>
      </c>
      <c r="E38" s="269"/>
      <c r="F38" s="112" t="str">
        <f>VLOOKUP(C38,Purchased!A:Q,9,0)</f>
        <v>MCM</v>
      </c>
      <c r="G38" s="112" t="str">
        <f>VLOOKUP(C38,Purchased!A:Q,10,0)</f>
        <v>MCM</v>
      </c>
      <c r="H38" s="112" t="str">
        <f>VLOOKUP(C38,Purchased!A:Q,12,0)</f>
        <v>Pack of 25</v>
      </c>
      <c r="I38" s="113"/>
      <c r="J38" s="44" t="str">
        <f>VLOOKUP(C38,Purchased!A:Q,13,0)</f>
        <v>N/A</v>
      </c>
      <c r="K38" s="44">
        <f>VLOOKUP(C38,Purchased!A:Q,14,0)</f>
        <v>45162</v>
      </c>
      <c r="L38" s="44">
        <f>VLOOKUP(C38,Purchased!A:Q,15,0)</f>
        <v>45184</v>
      </c>
      <c r="M38" s="44">
        <f>VLOOKUP(C38,Purchased!A:Q,16,0)</f>
        <v>45163</v>
      </c>
      <c r="N38" s="45">
        <f>VLOOKUP(C38,Purchased!A:Q,17,0)</f>
        <v>55089</v>
      </c>
      <c r="O38" s="45" t="e">
        <f t="shared" ca="1" si="11"/>
        <v>#VALUE!</v>
      </c>
      <c r="P38" s="49">
        <f>IFERROR(VLOOKUP(C38,Purchased!A:E,3,FALSE),"")</f>
        <v>10</v>
      </c>
      <c r="Q38" s="50">
        <f t="shared" si="12"/>
        <v>40</v>
      </c>
    </row>
    <row r="39" spans="1:17" s="2" customFormat="1" ht="12" customHeight="1">
      <c r="A39" s="4">
        <f t="shared" si="10"/>
        <v>318</v>
      </c>
      <c r="B39" s="2">
        <v>8</v>
      </c>
      <c r="C39" s="114" t="s">
        <v>413</v>
      </c>
      <c r="D39" s="268" t="str">
        <f>VLOOKUP(C39,Purchased!A:B,2,0)</f>
        <v>Dowel Pin 52100 Alloy Steel, 10 mm Diameter, 30 mm Long, 10pk</v>
      </c>
      <c r="E39" s="269"/>
      <c r="F39" s="112" t="str">
        <f>VLOOKUP(C39,Purchased!A:Q,9,0)</f>
        <v>MCM</v>
      </c>
      <c r="G39" s="112" t="str">
        <f>VLOOKUP(C39,Purchased!A:Q,10,0)</f>
        <v>MCM</v>
      </c>
      <c r="H39" s="112" t="str">
        <f>VLOOKUP(C39,Purchased!A:Q,12,0)</f>
        <v>Pack of 10</v>
      </c>
      <c r="I39" s="113"/>
      <c r="J39" s="44" t="str">
        <f>VLOOKUP(C39,Purchased!A:Q,13,0)</f>
        <v>N/A</v>
      </c>
      <c r="K39" s="44">
        <f>VLOOKUP(C39,Purchased!A:Q,14,0)</f>
        <v>45162</v>
      </c>
      <c r="L39" s="44">
        <f>VLOOKUP(C39,Purchased!A:Q,15,0)</f>
        <v>45184</v>
      </c>
      <c r="M39" s="44">
        <f>VLOOKUP(C39,Purchased!A:Q,16,0)</f>
        <v>45163</v>
      </c>
      <c r="N39" s="45">
        <f>VLOOKUP(C39,Purchased!A:Q,17,0)</f>
        <v>55088</v>
      </c>
      <c r="O39" s="45" t="e">
        <f t="shared" ca="1" si="8"/>
        <v>#VALUE!</v>
      </c>
      <c r="P39" s="49">
        <f>IFERROR(VLOOKUP(C39,Purchased!A:E,3,FALSE),"")</f>
        <v>12.91</v>
      </c>
      <c r="Q39" s="50">
        <f t="shared" si="9"/>
        <v>103.28</v>
      </c>
    </row>
    <row r="40" spans="1:17" s="2" customFormat="1" ht="12" customHeight="1">
      <c r="A40" s="4">
        <f t="shared" si="10"/>
        <v>319</v>
      </c>
      <c r="B40" s="2">
        <v>4</v>
      </c>
      <c r="C40" s="114" t="s">
        <v>414</v>
      </c>
      <c r="D40" s="268" t="str">
        <f>VLOOKUP(C40,Purchased!A:B,2,0)</f>
        <v>Alloy Steel Shoulder Screws 12 mm Shoulder Diameter, 30 mm Shoulder Length, M10 x 1.5 mm Thread</v>
      </c>
      <c r="E40" s="269"/>
      <c r="F40" s="112" t="str">
        <f>VLOOKUP(C40,Purchased!A:Q,9,0)</f>
        <v>MCM</v>
      </c>
      <c r="G40" s="112" t="str">
        <f>VLOOKUP(C40,Purchased!A:Q,10,0)</f>
        <v>MCM</v>
      </c>
      <c r="H40" s="112" t="str">
        <f>VLOOKUP(C40,Purchased!A:Q,12,0)</f>
        <v xml:space="preserve"> </v>
      </c>
      <c r="I40" s="113"/>
      <c r="J40" s="44" t="str">
        <f>VLOOKUP(C40,Purchased!A:Q,13,0)</f>
        <v>N/A</v>
      </c>
      <c r="K40" s="44">
        <f>VLOOKUP(C40,Purchased!A:Q,14,0)</f>
        <v>45162</v>
      </c>
      <c r="L40" s="44">
        <f>VLOOKUP(C40,Purchased!A:Q,15,0)</f>
        <v>45184</v>
      </c>
      <c r="M40" s="44">
        <f>VLOOKUP(C40,Purchased!A:Q,16,0)</f>
        <v>45163</v>
      </c>
      <c r="N40" s="45">
        <f>VLOOKUP(C40,Purchased!A:Q,17,0)</f>
        <v>55089</v>
      </c>
      <c r="O40" s="45" t="e">
        <f t="shared" ca="1" si="8"/>
        <v>#VALUE!</v>
      </c>
      <c r="P40" s="49">
        <f>IFERROR(VLOOKUP(C40,Purchased!A:E,3,FALSE),"")</f>
        <v>4.71</v>
      </c>
      <c r="Q40" s="50">
        <f t="shared" si="9"/>
        <v>18.84</v>
      </c>
    </row>
    <row r="41" spans="1:17" s="2" customFormat="1" ht="12" customHeight="1">
      <c r="A41" s="4">
        <f t="shared" si="10"/>
        <v>320</v>
      </c>
      <c r="B41" s="2">
        <v>0</v>
      </c>
      <c r="C41" s="114" t="s">
        <v>415</v>
      </c>
      <c r="D41" s="268" t="str">
        <f>VLOOKUP(C41,Purchased!A:B,2,0)</f>
        <v>T-Handle Locking Quick-Release Pin with Lanyard, 10 mm Diameter, 100 mm Usable Length</v>
      </c>
      <c r="E41" s="269"/>
      <c r="F41" s="112" t="str">
        <f>VLOOKUP(C41,Purchased!A:Q,9,0)</f>
        <v>MCM</v>
      </c>
      <c r="G41" s="112" t="str">
        <f>VLOOKUP(C41,Purchased!A:Q,10,0)</f>
        <v>MCM</v>
      </c>
      <c r="H41" s="112" t="str">
        <f>VLOOKUP(C41,Purchased!A:Q,12,0)</f>
        <v xml:space="preserve"> </v>
      </c>
      <c r="I41" s="113"/>
      <c r="J41" s="44" t="str">
        <f>VLOOKUP(C41,Purchased!A:Q,13,0)</f>
        <v>N/A</v>
      </c>
      <c r="K41" s="44">
        <f>VLOOKUP(C41,Purchased!A:Q,14,0)</f>
        <v>45162</v>
      </c>
      <c r="L41" s="44">
        <f>VLOOKUP(C41,Purchased!A:Q,15,0)</f>
        <v>45184</v>
      </c>
      <c r="M41" s="44">
        <f>VLOOKUP(C41,Purchased!A:Q,16,0)</f>
        <v>45163</v>
      </c>
      <c r="N41" s="45">
        <f>VLOOKUP(C41,Purchased!A:Q,17,0)</f>
        <v>55089</v>
      </c>
      <c r="O41" s="45" t="e">
        <f t="shared" ca="1" si="8"/>
        <v>#VALUE!</v>
      </c>
      <c r="P41" s="49">
        <f>IFERROR(VLOOKUP(C41,Purchased!A:E,3,FALSE),"")</f>
        <v>56.87</v>
      </c>
      <c r="Q41" s="50">
        <f t="shared" si="9"/>
        <v>0</v>
      </c>
    </row>
    <row r="42" spans="1:17" s="2" customFormat="1" ht="12" customHeight="1">
      <c r="A42" s="4">
        <f t="shared" si="10"/>
        <v>321</v>
      </c>
      <c r="B42" s="2">
        <v>2</v>
      </c>
      <c r="C42" s="114" t="s">
        <v>416</v>
      </c>
      <c r="D42" s="268" t="str">
        <f>VLOOKUP(C42,Purchased!A:B,2,0)</f>
        <v>EMERSON ER24 Insert Bearing</v>
      </c>
      <c r="E42" s="269"/>
      <c r="F42" s="112" t="str">
        <f>VLOOKUP(C42,Purchased!A:Q,9,0)</f>
        <v>EMERSON</v>
      </c>
      <c r="G42" s="112" t="str">
        <f>VLOOKUP(C42,Purchased!A:Q,10,0)</f>
        <v>MOTION</v>
      </c>
      <c r="H42" s="112">
        <f>VLOOKUP(C42,Purchased!A:Q,12,0)</f>
        <v>585257</v>
      </c>
      <c r="I42" s="113"/>
      <c r="J42" s="44">
        <f>VLOOKUP(C42,Purchased!A:Q,13,0)</f>
        <v>45125</v>
      </c>
      <c r="K42" s="44">
        <f>VLOOKUP(C42,Purchased!A:Q,14,0)</f>
        <v>45147</v>
      </c>
      <c r="L42" s="44">
        <f>VLOOKUP(C42,Purchased!A:Q,15,0)</f>
        <v>45176</v>
      </c>
      <c r="M42" s="44">
        <f>VLOOKUP(C42,Purchased!A:Q,16,0)</f>
        <v>45176</v>
      </c>
      <c r="N42" s="45">
        <f>VLOOKUP(C42,Purchased!A:Q,17,0)</f>
        <v>55042</v>
      </c>
      <c r="O42" s="45" t="e">
        <f t="shared" ref="O42:O45" ca="1" si="13">B42*$L$2</f>
        <v>#VALUE!</v>
      </c>
      <c r="P42" s="49">
        <f>IFERROR(VLOOKUP(C42,Purchased!A:E,3,FALSE),"")</f>
        <v>99.48</v>
      </c>
      <c r="Q42" s="50">
        <f t="shared" ref="Q42:Q45" si="14">IFERROR(B42*P42,"")</f>
        <v>198.96</v>
      </c>
    </row>
    <row r="43" spans="1:17" s="2" customFormat="1" ht="12" customHeight="1">
      <c r="A43" s="4">
        <f t="shared" si="10"/>
        <v>322</v>
      </c>
      <c r="B43" s="2">
        <v>2</v>
      </c>
      <c r="C43" s="114" t="s">
        <v>417</v>
      </c>
      <c r="D43" s="268" t="str">
        <f>VLOOKUP(C43,Purchased!A:B,2,0)</f>
        <v>SMC CYL, COMPACT</v>
      </c>
      <c r="E43" s="269"/>
      <c r="F43" s="112" t="str">
        <f>VLOOKUP(C43,Purchased!A:Q,9,0)</f>
        <v>SMC</v>
      </c>
      <c r="G43" s="112" t="str">
        <f>VLOOKUP(C43,Purchased!A:Q,10,0)</f>
        <v>AAP</v>
      </c>
      <c r="H43" s="112" t="str">
        <f>VLOOKUP(C43,Purchased!A:Q,12,0)</f>
        <v xml:space="preserve"> </v>
      </c>
      <c r="I43" s="113"/>
      <c r="J43" s="44" t="str">
        <f>VLOOKUP(C43,Purchased!A:Q,13,0)</f>
        <v>N/A</v>
      </c>
      <c r="K43" s="44">
        <f>VLOOKUP(C43,Purchased!A:Q,14,0)</f>
        <v>45042</v>
      </c>
      <c r="L43" s="44">
        <f>VLOOKUP(C43,Purchased!A:Q,15,0)</f>
        <v>45098</v>
      </c>
      <c r="M43" s="44">
        <f>VLOOKUP(C43,Purchased!A:Q,16,0)</f>
        <v>45145</v>
      </c>
      <c r="N43" s="45">
        <f>VLOOKUP(C43,Purchased!A:Q,17,0)</f>
        <v>54862</v>
      </c>
      <c r="O43" s="45" t="e">
        <f ca="1">B43*$L$2</f>
        <v>#VALUE!</v>
      </c>
      <c r="P43" s="49">
        <f>IFERROR(VLOOKUP(C43,Purchased!A:E,3,FALSE),"")</f>
        <v>75.585300000000004</v>
      </c>
      <c r="Q43" s="50">
        <f>IFERROR(B43*P43,"")</f>
        <v>151.17060000000001</v>
      </c>
    </row>
    <row r="44" spans="1:17" s="2" customFormat="1" ht="12" customHeight="1">
      <c r="A44" s="4">
        <f t="shared" si="10"/>
        <v>323</v>
      </c>
      <c r="B44" s="2">
        <v>1</v>
      </c>
      <c r="C44" s="114" t="s">
        <v>418</v>
      </c>
      <c r="D44" s="268" t="str">
        <f>VLOOKUP(C44,Purchased!A:B,2,0)</f>
        <v>BRC RL2-043DBB-NN-010,0 - 10m Power Servo Cable</v>
      </c>
      <c r="E44" s="269"/>
      <c r="F44" s="112" t="str">
        <f>VLOOKUP(C44,Purchased!A:Q,9,0)</f>
        <v>BRC</v>
      </c>
      <c r="G44" s="112" t="str">
        <f>VLOOKUP(C44,Purchased!A:Q,10,0)</f>
        <v>AAP</v>
      </c>
      <c r="H44" s="112" t="str">
        <f>VLOOKUP(C44,Purchased!A:Q,12,0)</f>
        <v>2x unwind rolls 3x seg nips</v>
      </c>
      <c r="I44" s="113"/>
      <c r="J44" s="44">
        <f>VLOOKUP(C44,Purchased!A:Q,13,0)</f>
        <v>45089</v>
      </c>
      <c r="K44" s="44">
        <f>VLOOKUP(C44,Purchased!A:Q,14,0)</f>
        <v>45092</v>
      </c>
      <c r="L44" s="44">
        <f>VLOOKUP(C44,Purchased!A:Q,15,0)</f>
        <v>45139</v>
      </c>
      <c r="M44" s="44">
        <f>VLOOKUP(C44,Purchased!A:Q,16,0)</f>
        <v>45155</v>
      </c>
      <c r="N44" s="45">
        <f>VLOOKUP(C44,Purchased!A:Q,17,0)</f>
        <v>54940</v>
      </c>
      <c r="O44" s="45" t="e">
        <f ca="1">B44*$L$2</f>
        <v>#VALUE!</v>
      </c>
      <c r="P44" s="49">
        <f>IFERROR(VLOOKUP(C44,Purchased!A:E,3,FALSE),"")</f>
        <v>481.34809999999999</v>
      </c>
      <c r="Q44" s="50">
        <f>IFERROR(B44*P44,"")</f>
        <v>481.34809999999999</v>
      </c>
    </row>
    <row r="45" spans="1:17" s="2" customFormat="1" ht="12" customHeight="1">
      <c r="A45" s="4">
        <f t="shared" si="10"/>
        <v>324</v>
      </c>
      <c r="B45" s="2">
        <v>1</v>
      </c>
      <c r="C45" s="114" t="s">
        <v>419</v>
      </c>
      <c r="D45" s="268" t="str">
        <f>VLOOKUP(C45,Purchased!A:B,2,0)</f>
        <v>BRC RG2-002ABB-NN-010,0 - 10m Encoder Servo cable</v>
      </c>
      <c r="E45" s="269"/>
      <c r="F45" s="112" t="str">
        <f>VLOOKUP(C45,Purchased!A:Q,9,0)</f>
        <v>BRC</v>
      </c>
      <c r="G45" s="112" t="str">
        <f>VLOOKUP(C45,Purchased!A:Q,10,0)</f>
        <v>AAP</v>
      </c>
      <c r="H45" s="112" t="str">
        <f>VLOOKUP(C45,Purchased!A:Q,12,0)</f>
        <v>2x unwind rolls 3x seg nips</v>
      </c>
      <c r="I45" s="113"/>
      <c r="J45" s="44">
        <f>VLOOKUP(C45,Purchased!A:Q,13,0)</f>
        <v>45089</v>
      </c>
      <c r="K45" s="44">
        <f>VLOOKUP(C45,Purchased!A:Q,14,0)</f>
        <v>45092</v>
      </c>
      <c r="L45" s="44">
        <f>VLOOKUP(C45,Purchased!A:Q,15,0)</f>
        <v>45139</v>
      </c>
      <c r="M45" s="44">
        <f>VLOOKUP(C45,Purchased!A:Q,16,0)</f>
        <v>45155</v>
      </c>
      <c r="N45" s="45">
        <f>VLOOKUP(C45,Purchased!A:Q,17,0)</f>
        <v>54940</v>
      </c>
      <c r="O45" s="45" t="e">
        <f t="shared" ca="1" si="13"/>
        <v>#VALUE!</v>
      </c>
      <c r="P45" s="49">
        <f>IFERROR(VLOOKUP(C45,Purchased!A:E,3,FALSE),"")</f>
        <v>183.85980000000001</v>
      </c>
      <c r="Q45" s="50">
        <f t="shared" si="14"/>
        <v>183.85980000000001</v>
      </c>
    </row>
    <row r="46" spans="1:17" s="2" customFormat="1" ht="12" customHeight="1">
      <c r="A46" s="4">
        <f t="shared" si="10"/>
        <v>325</v>
      </c>
      <c r="B46" s="2">
        <v>4</v>
      </c>
      <c r="C46" s="114" t="s">
        <v>420</v>
      </c>
      <c r="D46" s="268" t="str">
        <f>VLOOKUP(C46,Purchased!A:B,2,0)</f>
        <v>SMC FITTING, UNIFIT</v>
      </c>
      <c r="E46" s="269"/>
      <c r="F46" s="112" t="str">
        <f>VLOOKUP(C46,Purchased!A:Q,9,0)</f>
        <v>SMC</v>
      </c>
      <c r="G46" s="112" t="str">
        <f>VLOOKUP(C46,Purchased!A:Q,10,0)</f>
        <v>AAP</v>
      </c>
      <c r="H46" s="112" t="str">
        <f>VLOOKUP(C46,Purchased!A:Q,12,0)</f>
        <v xml:space="preserve"> </v>
      </c>
      <c r="I46" s="113"/>
      <c r="J46" s="44" t="str">
        <f>VLOOKUP(C46,Purchased!A:Q,13,0)</f>
        <v>N/A</v>
      </c>
      <c r="K46" s="44">
        <f>VLOOKUP(C46,Purchased!A:Q,14,0)</f>
        <v>45162</v>
      </c>
      <c r="L46" s="44">
        <f>VLOOKUP(C46,Purchased!A:Q,15,0)</f>
        <v>45184</v>
      </c>
      <c r="M46" s="44">
        <f>VLOOKUP(C46,Purchased!A:Q,16,0)</f>
        <v>45180</v>
      </c>
      <c r="N46" s="45">
        <f>VLOOKUP(C46,Purchased!A:Q,17,0)</f>
        <v>55037</v>
      </c>
      <c r="O46" s="45" t="e">
        <f t="shared" ref="O46:O49" ca="1" si="15">B46*$L$2</f>
        <v>#VALUE!</v>
      </c>
      <c r="P46" s="49">
        <f>IFERROR(VLOOKUP(C46,Purchased!A:E,3,FALSE),"")</f>
        <v>2.5453000000000001</v>
      </c>
      <c r="Q46" s="50">
        <f t="shared" ref="Q46:Q49" si="16">IFERROR(B46*P46,"")</f>
        <v>10.1812</v>
      </c>
    </row>
    <row r="47" spans="1:17" s="2" customFormat="1" ht="12" customHeight="1">
      <c r="A47" s="4">
        <f t="shared" si="10"/>
        <v>326</v>
      </c>
      <c r="B47" s="2">
        <v>0</v>
      </c>
      <c r="C47" s="114" t="s">
        <v>421</v>
      </c>
      <c r="D47" s="164" t="str">
        <f>VLOOKUP(C47,Purchased!A:B,2,0)</f>
        <v>SMC KIT, L-BRACKET, AS2052F</v>
      </c>
      <c r="E47" s="169"/>
      <c r="F47" s="112" t="str">
        <f>VLOOKUP(C47,Purchased!A:Q,9,0)</f>
        <v>SMC</v>
      </c>
      <c r="G47" s="112" t="str">
        <f>VLOOKUP(C47,Purchased!A:Q,10,0)</f>
        <v>AAP</v>
      </c>
      <c r="H47" s="112" t="str">
        <f>VLOOKUP(C47,Purchased!A:Q,12,0)</f>
        <v xml:space="preserve"> </v>
      </c>
      <c r="I47" s="113"/>
      <c r="J47" s="44" t="str">
        <f>VLOOKUP(C47,Purchased!A:Q,13,0)</f>
        <v>N/A</v>
      </c>
      <c r="K47" s="44">
        <f>VLOOKUP(C47,Purchased!A:Q,14,0)</f>
        <v>45162</v>
      </c>
      <c r="L47" s="44">
        <f>VLOOKUP(C47,Purchased!A:Q,15,0)</f>
        <v>45184</v>
      </c>
      <c r="M47" s="44">
        <f>VLOOKUP(C47,Purchased!A:Q,16,0)</f>
        <v>45180</v>
      </c>
      <c r="N47" s="45">
        <f>VLOOKUP(C47,Purchased!A:Q,17,0)</f>
        <v>55037</v>
      </c>
      <c r="O47" s="45" t="e">
        <f t="shared" ref="O47" ca="1" si="17">B47*$L$2</f>
        <v>#VALUE!</v>
      </c>
      <c r="P47" s="49">
        <f>IFERROR(VLOOKUP(C47,Purchased!A:E,3,FALSE),"")</f>
        <v>2.2410000000000001</v>
      </c>
      <c r="Q47" s="50">
        <f t="shared" ref="Q47" si="18">IFERROR(B47*P47,"")</f>
        <v>0</v>
      </c>
    </row>
    <row r="48" spans="1:17" s="2" customFormat="1" ht="12" customHeight="1">
      <c r="A48" s="4">
        <f t="shared" si="10"/>
        <v>327</v>
      </c>
      <c r="B48" s="2">
        <v>2</v>
      </c>
      <c r="C48" s="114" t="s">
        <v>422</v>
      </c>
      <c r="D48" s="268" t="str">
        <f>VLOOKUP(C48,Purchased!A:B,2,0)</f>
        <v>SMC FITTING, UNION TEE</v>
      </c>
      <c r="E48" s="269"/>
      <c r="F48" s="112" t="str">
        <f>VLOOKUP(C48,Purchased!A:Q,9,0)</f>
        <v>SMC</v>
      </c>
      <c r="G48" s="112" t="str">
        <f>VLOOKUP(C48,Purchased!A:Q,10,0)</f>
        <v>AAP</v>
      </c>
      <c r="H48" s="112" t="str">
        <f>VLOOKUP(C48,Purchased!A:Q,12,0)</f>
        <v xml:space="preserve"> </v>
      </c>
      <c r="I48" s="113"/>
      <c r="J48" s="44" t="str">
        <f>VLOOKUP(C48,Purchased!A:Q,13,0)</f>
        <v>N/A</v>
      </c>
      <c r="K48" s="44">
        <f>VLOOKUP(C48,Purchased!A:Q,14,0)</f>
        <v>45162</v>
      </c>
      <c r="L48" s="44">
        <f>VLOOKUP(C48,Purchased!A:Q,15,0)</f>
        <v>45184</v>
      </c>
      <c r="M48" s="44">
        <f>VLOOKUP(C48,Purchased!A:Q,16,0)</f>
        <v>45180</v>
      </c>
      <c r="N48" s="45">
        <f>VLOOKUP(C48,Purchased!A:Q,17,0)</f>
        <v>55037</v>
      </c>
      <c r="O48" s="45" t="e">
        <f ca="1">B48*$L$2</f>
        <v>#VALUE!</v>
      </c>
      <c r="P48" s="49">
        <f>IFERROR(VLOOKUP(C48,Purchased!A:E,3,FALSE),"")</f>
        <v>2.4346999999999999</v>
      </c>
      <c r="Q48" s="50">
        <f>IFERROR(B48*P48,"")</f>
        <v>4.8693999999999997</v>
      </c>
    </row>
    <row r="49" spans="1:17" s="2" customFormat="1" ht="12" customHeight="1">
      <c r="A49" s="4">
        <f t="shared" si="10"/>
        <v>328</v>
      </c>
      <c r="B49" s="2">
        <v>4</v>
      </c>
      <c r="C49" s="114" t="s">
        <v>423</v>
      </c>
      <c r="D49" s="268" t="str">
        <f>VLOOKUP(C49,Purchased!A:B,2,0)</f>
        <v>1095K23_Zinc-Plated Steel Grease Fitting 1/8 NPT</v>
      </c>
      <c r="E49" s="269"/>
      <c r="F49" s="112" t="str">
        <f>VLOOKUP(C49,Purchased!A:Q,9,0)</f>
        <v>MCM</v>
      </c>
      <c r="G49" s="112" t="str">
        <f>VLOOKUP(C49,Purchased!A:Q,10,0)</f>
        <v>MCM</v>
      </c>
      <c r="H49" s="112" t="str">
        <f>VLOOKUP(C49,Purchased!A:Q,12,0)</f>
        <v xml:space="preserve"> </v>
      </c>
      <c r="I49" s="113"/>
      <c r="J49" s="44" t="str">
        <f>VLOOKUP(C49,Purchased!A:Q,13,0)</f>
        <v>N/A</v>
      </c>
      <c r="K49" s="44">
        <f>VLOOKUP(C49,Purchased!A:Q,14,0)</f>
        <v>45162</v>
      </c>
      <c r="L49" s="44">
        <f>VLOOKUP(C49,Purchased!A:Q,15,0)</f>
        <v>45184</v>
      </c>
      <c r="M49" s="44">
        <f>VLOOKUP(C49,Purchased!A:Q,16,0)</f>
        <v>45166</v>
      </c>
      <c r="N49" s="45">
        <f>VLOOKUP(C49,Purchased!A:Q,17,0)</f>
        <v>55087</v>
      </c>
      <c r="O49" s="45" t="e">
        <f t="shared" ca="1" si="15"/>
        <v>#VALUE!</v>
      </c>
      <c r="P49" s="49">
        <f>IFERROR(VLOOKUP(C49,Purchased!A:E,3,FALSE),"")</f>
        <v>8.85</v>
      </c>
      <c r="Q49" s="50">
        <f t="shared" si="16"/>
        <v>35.4</v>
      </c>
    </row>
    <row r="50" spans="1:17" s="2" customFormat="1" ht="12" customHeight="1">
      <c r="A50" s="4">
        <f t="shared" si="10"/>
        <v>329</v>
      </c>
      <c r="B50" s="2">
        <v>1</v>
      </c>
      <c r="C50" s="114" t="s">
        <v>424</v>
      </c>
      <c r="D50" s="268" t="str">
        <f>VLOOKUP(C50,Purchased!A:B,2,0)</f>
        <v>Male High Speed Rotary Elbow Push to Connect Fitting, 6mm, 1/4 Rc thread</v>
      </c>
      <c r="E50" s="269"/>
      <c r="F50" s="112" t="str">
        <f>VLOOKUP(C50,Purchased!A:Q,9,0)</f>
        <v>SMC</v>
      </c>
      <c r="G50" s="112" t="str">
        <f>VLOOKUP(C50,Purchased!A:Q,10,0)</f>
        <v>OC PNEUMATICS</v>
      </c>
      <c r="H50" s="112">
        <f>VLOOKUP(C50,Purchased!A:Q,12,0)</f>
        <v>0</v>
      </c>
      <c r="I50" s="113"/>
      <c r="J50" s="44" t="str">
        <f>VLOOKUP(C50,Purchased!A:Q,13,0)</f>
        <v>N/A</v>
      </c>
      <c r="K50" s="44">
        <f>VLOOKUP(C50,Purchased!A:Q,14,0)</f>
        <v>45215</v>
      </c>
      <c r="L50" s="44">
        <f>VLOOKUP(C50,Purchased!A:Q,15,0)</f>
        <v>45222</v>
      </c>
      <c r="M50" s="44">
        <f>VLOOKUP(C50,Purchased!A:Q,16,0)</f>
        <v>45222</v>
      </c>
      <c r="N50" s="45">
        <f>VLOOKUP(C50,Purchased!A:Q,17,0)</f>
        <v>55211</v>
      </c>
      <c r="O50" s="45" t="e">
        <f t="shared" ref="O50" ca="1" si="19">B50*$L$2</f>
        <v>#VALUE!</v>
      </c>
      <c r="P50" s="49">
        <f>IFERROR(VLOOKUP(C50,Purchased!A:E,3,FALSE),"")</f>
        <v>34.64</v>
      </c>
      <c r="Q50" s="50">
        <f t="shared" ref="Q50" si="20">IFERROR(B50*P50,"")</f>
        <v>34.64</v>
      </c>
    </row>
    <row r="51" spans="1:17" s="2" customFormat="1" ht="12.75" customHeight="1">
      <c r="A51" s="25"/>
      <c r="B51" s="26"/>
      <c r="C51" s="26"/>
      <c r="D51" s="272"/>
      <c r="E51" s="273"/>
      <c r="F51" s="26"/>
      <c r="G51" s="26"/>
      <c r="H51" s="274"/>
      <c r="I51" s="275"/>
      <c r="J51" s="27"/>
      <c r="K51" s="27"/>
      <c r="L51" s="27"/>
      <c r="M51" s="28"/>
      <c r="N51" s="29"/>
      <c r="O51" s="29" t="e">
        <f t="shared" ref="O51" ca="1" si="21">B51*$L$2</f>
        <v>#VALUE!</v>
      </c>
      <c r="P51" s="141"/>
      <c r="Q51" s="142"/>
    </row>
    <row r="52" spans="1:17" s="2" customFormat="1" ht="12.75" customHeight="1">
      <c r="A52" s="4">
        <v>501</v>
      </c>
      <c r="B52" s="2">
        <v>8</v>
      </c>
      <c r="C52" s="110" t="s">
        <v>267</v>
      </c>
      <c r="D52" s="268"/>
      <c r="E52" s="276"/>
      <c r="F52" s="112" t="str">
        <f>VLOOKUP(C52,Bolts!A:L,5,0)</f>
        <v xml:space="preserve">  </v>
      </c>
      <c r="G52" s="112" t="str">
        <f>VLOOKUP(C52,Bolts!A:L,6,0)</f>
        <v>Monroe Fasteners</v>
      </c>
      <c r="H52" s="112" t="str">
        <f>VLOOKUP(C52,Bolts!A:L,7,0)</f>
        <v xml:space="preserve">  </v>
      </c>
      <c r="I52" s="112"/>
      <c r="J52" s="44" t="str">
        <f>VLOOKUP(C52,Bolts!A:L,8,0)</f>
        <v xml:space="preserve"> </v>
      </c>
      <c r="K52" s="44" t="str">
        <f>VLOOKUP(C52,Bolts!A:L,9,0)</f>
        <v xml:space="preserve"> </v>
      </c>
      <c r="L52" s="44" t="str">
        <f>VLOOKUP(C52,Bolts!A:L,10,0)</f>
        <v xml:space="preserve"> </v>
      </c>
      <c r="M52" s="44" t="str">
        <f>VLOOKUP(C52,Bolts!A:L,11,0)</f>
        <v xml:space="preserve"> </v>
      </c>
      <c r="N52" s="45" t="str">
        <f>VLOOKUP(C52,Bolts!A:L,12,0)</f>
        <v xml:space="preserve"> </v>
      </c>
      <c r="O52" s="45" t="e">
        <f t="shared" ref="O52:O56" ca="1" si="22">B52*$L$2</f>
        <v>#VALUE!</v>
      </c>
      <c r="P52" s="49" t="str">
        <f>IFERROR(VLOOKUP(C52,Bolts!A:B,2,FALSE),"")</f>
        <v xml:space="preserve"> </v>
      </c>
      <c r="Q52" s="50" t="str">
        <f t="shared" ref="Q52:Q56" si="23">IFERROR(B52*P52,"")</f>
        <v/>
      </c>
    </row>
    <row r="53" spans="1:17" s="2" customFormat="1" ht="12.75" customHeight="1">
      <c r="A53" s="4">
        <f t="shared" ref="A53:A63" si="24">A52+1</f>
        <v>502</v>
      </c>
      <c r="B53" s="2">
        <v>20</v>
      </c>
      <c r="C53" s="110" t="s">
        <v>425</v>
      </c>
      <c r="D53" s="268"/>
      <c r="E53" s="276"/>
      <c r="F53" s="112" t="str">
        <f>VLOOKUP(C53,Bolts!A:L,5,0)</f>
        <v xml:space="preserve">  </v>
      </c>
      <c r="G53" s="112" t="str">
        <f>VLOOKUP(C53,Bolts!A:L,6,0)</f>
        <v>Monroe Fasteners</v>
      </c>
      <c r="H53" s="112" t="str">
        <f>VLOOKUP(C53,Bolts!A:L,7,0)</f>
        <v xml:space="preserve">  </v>
      </c>
      <c r="I53" s="112"/>
      <c r="J53" s="44" t="str">
        <f>VLOOKUP(C53,Bolts!A:L,8,0)</f>
        <v xml:space="preserve"> </v>
      </c>
      <c r="K53" s="44" t="str">
        <f>VLOOKUP(C53,Bolts!A:L,9,0)</f>
        <v xml:space="preserve"> </v>
      </c>
      <c r="L53" s="44" t="str">
        <f>VLOOKUP(C53,Bolts!A:L,10,0)</f>
        <v xml:space="preserve"> </v>
      </c>
      <c r="M53" s="44" t="str">
        <f>VLOOKUP(C53,Bolts!A:L,11,0)</f>
        <v xml:space="preserve"> </v>
      </c>
      <c r="N53" s="45" t="str">
        <f>VLOOKUP(C53,Bolts!A:L,12,0)</f>
        <v xml:space="preserve"> </v>
      </c>
      <c r="O53" s="45" t="e">
        <f t="shared" ca="1" si="22"/>
        <v>#VALUE!</v>
      </c>
      <c r="P53" s="49" t="str">
        <f>IFERROR(VLOOKUP(C53,Bolts!A:B,2,FALSE),"")</f>
        <v xml:space="preserve"> </v>
      </c>
      <c r="Q53" s="50" t="str">
        <f t="shared" si="23"/>
        <v/>
      </c>
    </row>
    <row r="54" spans="1:17" s="2" customFormat="1" ht="12" customHeight="1">
      <c r="A54" s="4">
        <f t="shared" si="24"/>
        <v>503</v>
      </c>
      <c r="B54" s="2">
        <v>16</v>
      </c>
      <c r="C54" s="110" t="s">
        <v>426</v>
      </c>
      <c r="D54" s="268"/>
      <c r="E54" s="276"/>
      <c r="F54" s="112" t="str">
        <f>VLOOKUP(C54,Bolts!A:L,5,0)</f>
        <v xml:space="preserve">  </v>
      </c>
      <c r="G54" s="112" t="str">
        <f>VLOOKUP(C54,Bolts!A:L,6,0)</f>
        <v>Monroe Fasteners</v>
      </c>
      <c r="H54" s="112" t="str">
        <f>VLOOKUP(C54,Bolts!A:L,7,0)</f>
        <v xml:space="preserve">  </v>
      </c>
      <c r="I54" s="112"/>
      <c r="J54" s="44" t="str">
        <f>VLOOKUP(C54,Bolts!A:L,8,0)</f>
        <v xml:space="preserve"> </v>
      </c>
      <c r="K54" s="44" t="str">
        <f>VLOOKUP(C54,Bolts!A:L,9,0)</f>
        <v xml:space="preserve"> </v>
      </c>
      <c r="L54" s="44" t="str">
        <f>VLOOKUP(C54,Bolts!A:L,10,0)</f>
        <v xml:space="preserve"> </v>
      </c>
      <c r="M54" s="44" t="str">
        <f>VLOOKUP(C54,Bolts!A:L,11,0)</f>
        <v xml:space="preserve"> </v>
      </c>
      <c r="N54" s="45" t="str">
        <f>VLOOKUP(C54,Bolts!A:L,12,0)</f>
        <v xml:space="preserve"> </v>
      </c>
      <c r="O54" s="45" t="e">
        <f t="shared" ca="1" si="22"/>
        <v>#VALUE!</v>
      </c>
      <c r="P54" s="49" t="str">
        <f>IFERROR(VLOOKUP(C54,Bolts!A:B,2,FALSE),"")</f>
        <v xml:space="preserve"> </v>
      </c>
      <c r="Q54" s="50" t="str">
        <f t="shared" si="23"/>
        <v/>
      </c>
    </row>
    <row r="55" spans="1:17" s="2" customFormat="1" ht="12" customHeight="1">
      <c r="A55" s="4">
        <f t="shared" si="24"/>
        <v>504</v>
      </c>
      <c r="B55" s="2">
        <v>8</v>
      </c>
      <c r="C55" s="110" t="s">
        <v>362</v>
      </c>
      <c r="D55" s="268"/>
      <c r="E55" s="276"/>
      <c r="F55" s="112" t="str">
        <f>VLOOKUP(C55,Bolts!A:L,5,0)</f>
        <v xml:space="preserve">  </v>
      </c>
      <c r="G55" s="112" t="str">
        <f>VLOOKUP(C55,Bolts!A:L,6,0)</f>
        <v>Monroe Fasteners</v>
      </c>
      <c r="H55" s="112" t="str">
        <f>VLOOKUP(C55,Bolts!A:L,7,0)</f>
        <v xml:space="preserve">  </v>
      </c>
      <c r="I55" s="112"/>
      <c r="J55" s="44" t="str">
        <f>VLOOKUP(C55,Bolts!A:L,8,0)</f>
        <v xml:space="preserve"> </v>
      </c>
      <c r="K55" s="44" t="str">
        <f>VLOOKUP(C55,Bolts!A:L,9,0)</f>
        <v xml:space="preserve"> </v>
      </c>
      <c r="L55" s="44" t="str">
        <f>VLOOKUP(C55,Bolts!A:L,10,0)</f>
        <v xml:space="preserve"> </v>
      </c>
      <c r="M55" s="44" t="str">
        <f>VLOOKUP(C55,Bolts!A:L,11,0)</f>
        <v xml:space="preserve"> </v>
      </c>
      <c r="N55" s="45" t="str">
        <f>VLOOKUP(C55,Bolts!A:L,12,0)</f>
        <v xml:space="preserve"> </v>
      </c>
      <c r="O55" s="45" t="e">
        <f t="shared" ca="1" si="22"/>
        <v>#VALUE!</v>
      </c>
      <c r="P55" s="49" t="str">
        <f>IFERROR(VLOOKUP(C55,Bolts!A:B,2,FALSE),"")</f>
        <v xml:space="preserve"> </v>
      </c>
      <c r="Q55" s="50" t="str">
        <f t="shared" si="23"/>
        <v/>
      </c>
    </row>
    <row r="56" spans="1:17" s="2" customFormat="1" ht="12" customHeight="1">
      <c r="A56" s="4">
        <f t="shared" si="24"/>
        <v>505</v>
      </c>
      <c r="B56" s="2">
        <v>0</v>
      </c>
      <c r="C56" s="110" t="s">
        <v>427</v>
      </c>
      <c r="D56" s="268"/>
      <c r="E56" s="276"/>
      <c r="F56" s="112" t="str">
        <f>VLOOKUP(C56,Bolts!A:L,5,0)</f>
        <v xml:space="preserve">  </v>
      </c>
      <c r="G56" s="112" t="str">
        <f>VLOOKUP(C56,Bolts!A:L,6,0)</f>
        <v>Monroe Fasteners</v>
      </c>
      <c r="H56" s="112" t="str">
        <f>VLOOKUP(C56,Bolts!A:L,7,0)</f>
        <v xml:space="preserve">  </v>
      </c>
      <c r="I56" s="112"/>
      <c r="J56" s="44" t="str">
        <f>VLOOKUP(C56,Bolts!A:L,8,0)</f>
        <v xml:space="preserve"> </v>
      </c>
      <c r="K56" s="44" t="str">
        <f>VLOOKUP(C56,Bolts!A:L,9,0)</f>
        <v xml:space="preserve"> </v>
      </c>
      <c r="L56" s="44" t="str">
        <f>VLOOKUP(C56,Bolts!A:L,10,0)</f>
        <v xml:space="preserve"> </v>
      </c>
      <c r="M56" s="44" t="str">
        <f>VLOOKUP(C56,Bolts!A:L,11,0)</f>
        <v xml:space="preserve"> </v>
      </c>
      <c r="N56" s="45" t="str">
        <f>VLOOKUP(C56,Bolts!A:L,12,0)</f>
        <v xml:space="preserve"> </v>
      </c>
      <c r="O56" s="45" t="e">
        <f t="shared" ca="1" si="22"/>
        <v>#VALUE!</v>
      </c>
      <c r="P56" s="49" t="str">
        <f>IFERROR(VLOOKUP(C56,Bolts!A:B,2,FALSE),"")</f>
        <v xml:space="preserve"> </v>
      </c>
      <c r="Q56" s="50" t="str">
        <f t="shared" si="23"/>
        <v/>
      </c>
    </row>
    <row r="57" spans="1:17" s="2" customFormat="1" ht="12.75" customHeight="1">
      <c r="A57" s="4">
        <f t="shared" si="24"/>
        <v>506</v>
      </c>
      <c r="B57" s="2">
        <v>4</v>
      </c>
      <c r="C57" s="110" t="s">
        <v>428</v>
      </c>
      <c r="D57" s="268"/>
      <c r="E57" s="276"/>
      <c r="F57" s="112" t="str">
        <f>VLOOKUP(C57,Bolts!A:L,5,0)</f>
        <v xml:space="preserve">  </v>
      </c>
      <c r="G57" s="112" t="str">
        <f>VLOOKUP(C57,Bolts!A:L,6,0)</f>
        <v>Monroe Fasteners</v>
      </c>
      <c r="H57" s="112" t="str">
        <f>VLOOKUP(C57,Bolts!A:L,7,0)</f>
        <v xml:space="preserve">  </v>
      </c>
      <c r="I57" s="112"/>
      <c r="J57" s="44" t="str">
        <f>VLOOKUP(C57,Bolts!A:L,8,0)</f>
        <v xml:space="preserve"> </v>
      </c>
      <c r="K57" s="44" t="str">
        <f>VLOOKUP(C57,Bolts!A:L,9,0)</f>
        <v xml:space="preserve"> </v>
      </c>
      <c r="L57" s="44" t="str">
        <f>VLOOKUP(C57,Bolts!A:L,10,0)</f>
        <v xml:space="preserve"> </v>
      </c>
      <c r="M57" s="44" t="str">
        <f>VLOOKUP(C57,Bolts!A:L,11,0)</f>
        <v xml:space="preserve"> </v>
      </c>
      <c r="N57" s="45" t="str">
        <f>VLOOKUP(C57,Bolts!A:L,12,0)</f>
        <v xml:space="preserve"> </v>
      </c>
      <c r="O57" s="45" t="e">
        <f t="shared" ref="O57:O61" ca="1" si="25">B57*$L$2</f>
        <v>#VALUE!</v>
      </c>
      <c r="P57" s="49" t="str">
        <f>IFERROR(VLOOKUP(C57,Bolts!A:B,2,FALSE),"")</f>
        <v xml:space="preserve"> </v>
      </c>
      <c r="Q57" s="50" t="str">
        <f t="shared" ref="Q57:Q63" si="26">IFERROR(B57*P57,"")</f>
        <v/>
      </c>
    </row>
    <row r="58" spans="1:17" s="2" customFormat="1" ht="12.75" customHeight="1">
      <c r="A58" s="4">
        <f t="shared" si="24"/>
        <v>507</v>
      </c>
      <c r="B58" s="2">
        <v>4</v>
      </c>
      <c r="C58" s="110" t="s">
        <v>429</v>
      </c>
      <c r="D58" s="268"/>
      <c r="E58" s="276"/>
      <c r="F58" s="112" t="str">
        <f>VLOOKUP(C58,Bolts!A:L,5,0)</f>
        <v xml:space="preserve">  </v>
      </c>
      <c r="G58" s="112" t="str">
        <f>VLOOKUP(C58,Bolts!A:L,6,0)</f>
        <v>Monroe Fasteners</v>
      </c>
      <c r="H58" s="112" t="str">
        <f>VLOOKUP(C58,Bolts!A:L,7,0)</f>
        <v xml:space="preserve">  </v>
      </c>
      <c r="I58" s="112"/>
      <c r="J58" s="44" t="str">
        <f>VLOOKUP(C58,Bolts!A:L,8,0)</f>
        <v xml:space="preserve"> </v>
      </c>
      <c r="K58" s="44" t="str">
        <f>VLOOKUP(C58,Bolts!A:L,9,0)</f>
        <v xml:space="preserve"> </v>
      </c>
      <c r="L58" s="44" t="str">
        <f>VLOOKUP(C58,Bolts!A:L,10,0)</f>
        <v xml:space="preserve"> </v>
      </c>
      <c r="M58" s="44" t="str">
        <f>VLOOKUP(C58,Bolts!A:L,11,0)</f>
        <v xml:space="preserve"> </v>
      </c>
      <c r="N58" s="45" t="str">
        <f>VLOOKUP(C58,Bolts!A:L,12,0)</f>
        <v xml:space="preserve"> </v>
      </c>
      <c r="O58" s="45" t="e">
        <f t="shared" ca="1" si="25"/>
        <v>#VALUE!</v>
      </c>
      <c r="P58" s="49" t="str">
        <f>IFERROR(VLOOKUP(C58,Bolts!A:B,2,FALSE),"")</f>
        <v xml:space="preserve"> </v>
      </c>
      <c r="Q58" s="50" t="str">
        <f t="shared" si="26"/>
        <v/>
      </c>
    </row>
    <row r="59" spans="1:17" s="2" customFormat="1" ht="12.75" customHeight="1">
      <c r="A59" s="4">
        <f t="shared" si="24"/>
        <v>508</v>
      </c>
      <c r="B59" s="2">
        <v>8</v>
      </c>
      <c r="C59" s="110" t="s">
        <v>430</v>
      </c>
      <c r="D59" s="268"/>
      <c r="E59" s="276"/>
      <c r="F59" s="112">
        <f>VLOOKUP(C59,Bolts!A:L,5,0)</f>
        <v>0</v>
      </c>
      <c r="G59" s="112">
        <f>VLOOKUP(C59,Bolts!A:L,6,0)</f>
        <v>0</v>
      </c>
      <c r="H59" s="112">
        <f>VLOOKUP(C59,Bolts!A:L,7,0)</f>
        <v>0</v>
      </c>
      <c r="I59" s="112"/>
      <c r="J59" s="44">
        <f>VLOOKUP(C59,Bolts!A:L,8,0)</f>
        <v>0</v>
      </c>
      <c r="K59" s="44">
        <f>VLOOKUP(C59,Bolts!A:L,9,0)</f>
        <v>0</v>
      </c>
      <c r="L59" s="44">
        <f>VLOOKUP(C59,Bolts!A:L,10,0)</f>
        <v>0</v>
      </c>
      <c r="M59" s="44">
        <f>VLOOKUP(C59,Bolts!A:L,11,0)</f>
        <v>0</v>
      </c>
      <c r="N59" s="45">
        <f>VLOOKUP(C59,Bolts!A:L,12,0)</f>
        <v>0</v>
      </c>
      <c r="O59" s="45" t="e">
        <f t="shared" ref="O59" ca="1" si="27">B59*$L$2</f>
        <v>#VALUE!</v>
      </c>
      <c r="P59" s="49">
        <f>IFERROR(VLOOKUP(C59,Bolts!A:B,2,FALSE),"")</f>
        <v>0</v>
      </c>
      <c r="Q59" s="50">
        <f t="shared" si="26"/>
        <v>0</v>
      </c>
    </row>
    <row r="60" spans="1:17" s="2" customFormat="1" ht="12" customHeight="1">
      <c r="A60" s="4">
        <f t="shared" si="24"/>
        <v>509</v>
      </c>
      <c r="B60" s="2">
        <v>4</v>
      </c>
      <c r="C60" s="110" t="s">
        <v>431</v>
      </c>
      <c r="D60" s="268"/>
      <c r="E60" s="276"/>
      <c r="F60" s="112" t="str">
        <f>VLOOKUP(C60,Bolts!A:L,5,0)</f>
        <v xml:space="preserve">  </v>
      </c>
      <c r="G60" s="112" t="str">
        <f>VLOOKUP(C60,Bolts!A:L,6,0)</f>
        <v>Monroe Fasteners</v>
      </c>
      <c r="H60" s="112" t="str">
        <f>VLOOKUP(C60,Bolts!A:L,7,0)</f>
        <v xml:space="preserve">  </v>
      </c>
      <c r="I60" s="112"/>
      <c r="J60" s="44" t="str">
        <f>VLOOKUP(C60,Bolts!A:L,8,0)</f>
        <v xml:space="preserve"> </v>
      </c>
      <c r="K60" s="44" t="str">
        <f>VLOOKUP(C60,Bolts!A:L,9,0)</f>
        <v xml:space="preserve"> </v>
      </c>
      <c r="L60" s="44" t="str">
        <f>VLOOKUP(C60,Bolts!A:L,10,0)</f>
        <v xml:space="preserve"> </v>
      </c>
      <c r="M60" s="44" t="str">
        <f>VLOOKUP(C60,Bolts!A:L,11,0)</f>
        <v xml:space="preserve"> </v>
      </c>
      <c r="N60" s="45" t="str">
        <f>VLOOKUP(C60,Bolts!A:L,12,0)</f>
        <v xml:space="preserve"> </v>
      </c>
      <c r="O60" s="45" t="e">
        <f t="shared" ca="1" si="25"/>
        <v>#VALUE!</v>
      </c>
      <c r="P60" s="49" t="str">
        <f>IFERROR(VLOOKUP(C60,Bolts!A:B,2,FALSE),"")</f>
        <v xml:space="preserve"> </v>
      </c>
      <c r="Q60" s="50" t="str">
        <f t="shared" si="26"/>
        <v/>
      </c>
    </row>
    <row r="61" spans="1:17" s="2" customFormat="1" ht="12" customHeight="1">
      <c r="A61" s="4">
        <f t="shared" si="24"/>
        <v>510</v>
      </c>
      <c r="B61" s="2">
        <v>4</v>
      </c>
      <c r="C61" s="110" t="s">
        <v>432</v>
      </c>
      <c r="D61" s="268"/>
      <c r="E61" s="276"/>
      <c r="F61" s="112" t="str">
        <f>VLOOKUP(C61,Bolts!A:L,5,0)</f>
        <v xml:space="preserve">  </v>
      </c>
      <c r="G61" s="112" t="str">
        <f>VLOOKUP(C61,Bolts!A:L,6,0)</f>
        <v>Monroe Fasteners</v>
      </c>
      <c r="H61" s="112" t="str">
        <f>VLOOKUP(C61,Bolts!A:L,7,0)</f>
        <v xml:space="preserve">  </v>
      </c>
      <c r="I61" s="112"/>
      <c r="J61" s="44" t="str">
        <f>VLOOKUP(C61,Bolts!A:L,8,0)</f>
        <v xml:space="preserve"> </v>
      </c>
      <c r="K61" s="44" t="str">
        <f>VLOOKUP(C61,Bolts!A:L,9,0)</f>
        <v xml:space="preserve"> </v>
      </c>
      <c r="L61" s="44" t="str">
        <f>VLOOKUP(C61,Bolts!A:L,10,0)</f>
        <v xml:space="preserve"> </v>
      </c>
      <c r="M61" s="44" t="str">
        <f>VLOOKUP(C61,Bolts!A:L,11,0)</f>
        <v xml:space="preserve"> </v>
      </c>
      <c r="N61" s="45" t="str">
        <f>VLOOKUP(C61,Bolts!A:L,12,0)</f>
        <v xml:space="preserve"> </v>
      </c>
      <c r="O61" s="45" t="e">
        <f t="shared" ca="1" si="25"/>
        <v>#VALUE!</v>
      </c>
      <c r="P61" s="49" t="str">
        <f>IFERROR(VLOOKUP(C61,Bolts!A:B,2,FALSE),"")</f>
        <v xml:space="preserve"> </v>
      </c>
      <c r="Q61" s="50" t="str">
        <f t="shared" si="26"/>
        <v/>
      </c>
    </row>
    <row r="62" spans="1:17" s="2" customFormat="1" ht="12" customHeight="1">
      <c r="A62" s="4">
        <f t="shared" si="24"/>
        <v>511</v>
      </c>
      <c r="B62" s="2">
        <v>2</v>
      </c>
      <c r="C62" s="110" t="s">
        <v>433</v>
      </c>
      <c r="D62" s="164"/>
      <c r="E62" s="165"/>
      <c r="F62" s="112" t="e">
        <f>VLOOKUP(C62,Bolts!A:L,5,0)</f>
        <v>#N/A</v>
      </c>
      <c r="G62" s="112" t="e">
        <f>VLOOKUP(C62,Bolts!A:L,6,0)</f>
        <v>#N/A</v>
      </c>
      <c r="H62" s="112" t="e">
        <f>VLOOKUP(C62,Bolts!A:L,7,0)</f>
        <v>#N/A</v>
      </c>
      <c r="I62" s="112"/>
      <c r="J62" s="44" t="e">
        <f>VLOOKUP(C62,Bolts!A:L,8,0)</f>
        <v>#N/A</v>
      </c>
      <c r="K62" s="44" t="e">
        <f>VLOOKUP(C62,Bolts!A:L,9,0)</f>
        <v>#N/A</v>
      </c>
      <c r="L62" s="44" t="e">
        <f>VLOOKUP(C62,Bolts!A:L,10,0)</f>
        <v>#N/A</v>
      </c>
      <c r="M62" s="44" t="e">
        <f>VLOOKUP(C62,Bolts!A:L,11,0)</f>
        <v>#N/A</v>
      </c>
      <c r="N62" s="45" t="e">
        <f>VLOOKUP(C62,Bolts!A:L,12,0)</f>
        <v>#N/A</v>
      </c>
      <c r="O62" s="45" t="e">
        <f t="shared" ref="O62:O63" ca="1" si="28">B62*$L$2</f>
        <v>#VALUE!</v>
      </c>
      <c r="P62" s="49" t="str">
        <f>IFERROR(VLOOKUP(C62,Bolts!A:B,2,FALSE),"")</f>
        <v/>
      </c>
      <c r="Q62" s="50" t="str">
        <f t="shared" si="26"/>
        <v/>
      </c>
    </row>
    <row r="63" spans="1:17" s="2" customFormat="1" ht="12" customHeight="1" thickBot="1">
      <c r="A63" s="4">
        <f t="shared" si="24"/>
        <v>512</v>
      </c>
      <c r="B63" s="2">
        <v>8</v>
      </c>
      <c r="C63" s="110" t="s">
        <v>434</v>
      </c>
      <c r="D63" s="164"/>
      <c r="E63" s="165"/>
      <c r="F63" s="112" t="str">
        <f>VLOOKUP(C63,Bolts!A:L,5,0)</f>
        <v xml:space="preserve">  </v>
      </c>
      <c r="G63" s="112" t="str">
        <f>VLOOKUP(C63,Bolts!A:L,6,0)</f>
        <v>Monroe Fasteners</v>
      </c>
      <c r="H63" s="112" t="str">
        <f>VLOOKUP(C63,Bolts!A:L,7,0)</f>
        <v xml:space="preserve">  </v>
      </c>
      <c r="I63" s="112"/>
      <c r="J63" s="44" t="str">
        <f>VLOOKUP(C63,Bolts!A:L,8,0)</f>
        <v xml:space="preserve"> </v>
      </c>
      <c r="K63" s="44" t="str">
        <f>VLOOKUP(C63,Bolts!A:L,9,0)</f>
        <v xml:space="preserve"> </v>
      </c>
      <c r="L63" s="44" t="str">
        <f>VLOOKUP(C63,Bolts!A:L,10,0)</f>
        <v xml:space="preserve"> </v>
      </c>
      <c r="M63" s="44" t="str">
        <f>VLOOKUP(C63,Bolts!A:L,11,0)</f>
        <v xml:space="preserve"> </v>
      </c>
      <c r="N63" s="45" t="str">
        <f>VLOOKUP(C63,Bolts!A:L,12,0)</f>
        <v xml:space="preserve"> </v>
      </c>
      <c r="O63" s="45" t="e">
        <f t="shared" ca="1" si="28"/>
        <v>#VALUE!</v>
      </c>
      <c r="P63" s="49" t="str">
        <f>IFERROR(VLOOKUP(C63,Bolts!A:B,2,FALSE),"")</f>
        <v xml:space="preserve"> </v>
      </c>
      <c r="Q63" s="50" t="str">
        <f t="shared" si="26"/>
        <v/>
      </c>
    </row>
    <row r="64" spans="1:17" s="2" customFormat="1" ht="12.75" customHeight="1" thickBot="1">
      <c r="A64" s="34"/>
      <c r="B64" s="35"/>
      <c r="C64" s="35"/>
      <c r="D64" s="256"/>
      <c r="E64" s="257"/>
      <c r="F64" s="35"/>
      <c r="G64" s="35"/>
      <c r="H64" s="294"/>
      <c r="I64" s="295"/>
      <c r="J64" s="36"/>
      <c r="K64" s="36"/>
      <c r="L64" s="36"/>
      <c r="M64" s="37"/>
      <c r="N64" s="38"/>
      <c r="O64" s="38"/>
      <c r="P64" s="89" t="s">
        <v>43</v>
      </c>
      <c r="Q64" s="94">
        <f>SUM(Q5:Q61)</f>
        <v>15864.374699999998</v>
      </c>
    </row>
    <row r="65" spans="4:17" s="2" customFormat="1" ht="12" customHeight="1">
      <c r="D65" s="22"/>
      <c r="E65" s="22"/>
      <c r="J65" s="8"/>
      <c r="K65" s="8"/>
      <c r="L65" s="8"/>
      <c r="M65" s="8"/>
      <c r="N65" s="5"/>
      <c r="O65" s="5"/>
      <c r="P65" s="88"/>
      <c r="Q65" s="95"/>
    </row>
    <row r="66" spans="4:17" s="2" customFormat="1" ht="12" customHeight="1">
      <c r="D66" s="22"/>
      <c r="E66" s="22"/>
      <c r="J66" s="5"/>
      <c r="K66" s="5"/>
      <c r="L66" s="5"/>
      <c r="M66" s="5"/>
      <c r="N66" s="5"/>
      <c r="O66" s="5"/>
      <c r="P66" s="88"/>
      <c r="Q66" s="95"/>
    </row>
    <row r="67" spans="4:17" s="2" customFormat="1" ht="12" customHeight="1">
      <c r="D67" s="22"/>
      <c r="E67" s="22"/>
      <c r="J67" s="5"/>
      <c r="K67" s="5"/>
      <c r="L67" s="5"/>
      <c r="M67" s="5"/>
      <c r="N67" s="5"/>
      <c r="O67" s="5"/>
      <c r="P67" s="88"/>
      <c r="Q67" s="95"/>
    </row>
    <row r="68" spans="4:17" s="2" customFormat="1" ht="12" customHeight="1">
      <c r="D68" s="22"/>
      <c r="E68" s="22"/>
      <c r="J68" s="5"/>
      <c r="K68" s="5"/>
      <c r="L68" s="5"/>
      <c r="M68" s="5"/>
      <c r="N68" s="5"/>
      <c r="O68" s="5"/>
      <c r="P68" s="88"/>
      <c r="Q68" s="95"/>
    </row>
    <row r="69" spans="4:17" s="2" customFormat="1" ht="12" customHeight="1">
      <c r="D69" s="22"/>
      <c r="E69" s="22"/>
      <c r="J69" s="5"/>
      <c r="K69" s="5"/>
      <c r="L69" s="5"/>
      <c r="M69" s="5"/>
      <c r="N69" s="5"/>
      <c r="O69" s="5"/>
      <c r="P69" s="88"/>
      <c r="Q69" s="95"/>
    </row>
    <row r="70" spans="4:17" s="2" customFormat="1" ht="12" customHeight="1">
      <c r="D70" s="22"/>
      <c r="E70" s="22"/>
      <c r="J70" s="5"/>
      <c r="K70" s="5"/>
      <c r="L70" s="5"/>
      <c r="M70" s="5"/>
      <c r="N70" s="5"/>
      <c r="O70" s="5"/>
      <c r="P70" s="88"/>
      <c r="Q70" s="95"/>
    </row>
    <row r="71" spans="4:17" s="2" customFormat="1" ht="12" customHeight="1">
      <c r="D71" s="22"/>
      <c r="E71" s="22"/>
      <c r="J71" s="5"/>
      <c r="K71" s="5"/>
      <c r="L71" s="5"/>
      <c r="M71" s="5"/>
      <c r="N71" s="5"/>
      <c r="O71" s="5"/>
      <c r="P71" s="88"/>
      <c r="Q71" s="95"/>
    </row>
    <row r="72" spans="4:17" s="2" customFormat="1" ht="12" customHeight="1">
      <c r="D72" s="22"/>
      <c r="E72" s="22"/>
      <c r="J72" s="5"/>
      <c r="K72" s="5"/>
      <c r="L72" s="5"/>
      <c r="M72" s="5"/>
      <c r="N72" s="5"/>
      <c r="O72" s="5"/>
      <c r="P72" s="88"/>
      <c r="Q72" s="95"/>
    </row>
    <row r="73" spans="4:17" s="2" customFormat="1" ht="12" customHeight="1">
      <c r="D73" s="22"/>
      <c r="E73" s="22"/>
      <c r="J73" s="5"/>
      <c r="K73" s="5"/>
      <c r="L73" s="5"/>
      <c r="M73" s="5"/>
      <c r="N73" s="5"/>
      <c r="O73" s="5"/>
      <c r="P73" s="88"/>
      <c r="Q73" s="95"/>
    </row>
    <row r="74" spans="4:17" s="2" customFormat="1" ht="12" customHeight="1">
      <c r="D74" s="22"/>
      <c r="E74" s="22"/>
      <c r="J74" s="5"/>
      <c r="K74" s="5"/>
      <c r="L74" s="5"/>
      <c r="M74" s="5"/>
      <c r="N74" s="5"/>
      <c r="O74" s="5"/>
      <c r="P74" s="88"/>
      <c r="Q74" s="95"/>
    </row>
    <row r="75" spans="4:17" s="2" customFormat="1" ht="12" customHeight="1">
      <c r="D75" s="22"/>
      <c r="E75" s="22"/>
      <c r="J75" s="5"/>
      <c r="K75" s="5"/>
      <c r="L75" s="5"/>
      <c r="M75" s="5"/>
      <c r="N75" s="5"/>
      <c r="O75" s="5"/>
      <c r="P75" s="88"/>
      <c r="Q75" s="95"/>
    </row>
    <row r="76" spans="4:17" s="2" customFormat="1" ht="12" customHeight="1">
      <c r="D76" s="22"/>
      <c r="E76" s="22"/>
      <c r="J76" s="5"/>
      <c r="K76" s="5"/>
      <c r="L76" s="5"/>
      <c r="M76" s="5"/>
      <c r="N76" s="5"/>
      <c r="O76" s="5"/>
      <c r="P76" s="88"/>
      <c r="Q76" s="95"/>
    </row>
    <row r="77" spans="4:17" s="2" customFormat="1" ht="12" customHeight="1">
      <c r="D77" s="22"/>
      <c r="E77" s="22"/>
      <c r="J77" s="5"/>
      <c r="K77" s="5"/>
      <c r="L77" s="5"/>
      <c r="M77" s="5"/>
      <c r="N77" s="5"/>
      <c r="O77" s="5"/>
      <c r="P77" s="88"/>
      <c r="Q77" s="95"/>
    </row>
    <row r="78" spans="4:17" s="2" customFormat="1" ht="12" customHeight="1">
      <c r="D78" s="22"/>
      <c r="E78" s="22"/>
      <c r="J78" s="5"/>
      <c r="K78" s="5"/>
      <c r="L78" s="5"/>
      <c r="M78" s="5"/>
      <c r="N78" s="5"/>
      <c r="O78" s="5"/>
      <c r="P78" s="88"/>
      <c r="Q78" s="95"/>
    </row>
    <row r="79" spans="4:17" s="2" customFormat="1" ht="12" customHeight="1">
      <c r="D79" s="22"/>
      <c r="E79" s="22"/>
      <c r="J79" s="5"/>
      <c r="K79" s="5"/>
      <c r="L79" s="5"/>
      <c r="M79" s="5"/>
      <c r="N79" s="5"/>
      <c r="O79" s="5"/>
      <c r="P79" s="88"/>
      <c r="Q79" s="95"/>
    </row>
    <row r="80" spans="4:17" s="2" customFormat="1" ht="12" customHeight="1">
      <c r="D80" s="22"/>
      <c r="E80" s="22"/>
      <c r="J80" s="5"/>
      <c r="K80" s="5"/>
      <c r="L80" s="5"/>
      <c r="M80" s="5"/>
      <c r="N80" s="5"/>
      <c r="O80" s="5"/>
      <c r="P80" s="88"/>
      <c r="Q80" s="95"/>
    </row>
    <row r="81" spans="4:17" s="2" customFormat="1" ht="12" customHeight="1">
      <c r="D81" s="22"/>
      <c r="E81" s="22"/>
      <c r="J81" s="5"/>
      <c r="K81" s="5"/>
      <c r="L81" s="5"/>
      <c r="M81" s="5"/>
      <c r="N81" s="5"/>
      <c r="O81" s="5"/>
      <c r="P81" s="88"/>
      <c r="Q81" s="95"/>
    </row>
    <row r="82" spans="4:17" s="2" customFormat="1" ht="12" customHeight="1">
      <c r="D82" s="22"/>
      <c r="E82" s="22"/>
      <c r="J82" s="5"/>
      <c r="K82" s="5"/>
      <c r="L82" s="5"/>
      <c r="M82" s="5"/>
      <c r="N82" s="5"/>
      <c r="O82" s="5"/>
      <c r="P82" s="88"/>
      <c r="Q82" s="95"/>
    </row>
    <row r="83" spans="4:17" s="2" customFormat="1" ht="12" customHeight="1">
      <c r="D83" s="22"/>
      <c r="E83" s="22"/>
      <c r="J83" s="5"/>
      <c r="K83" s="5"/>
      <c r="L83" s="5"/>
      <c r="M83" s="5"/>
      <c r="N83" s="5"/>
      <c r="O83" s="5"/>
      <c r="P83" s="88"/>
      <c r="Q83" s="95"/>
    </row>
    <row r="84" spans="4:17" s="2" customFormat="1" ht="12" customHeight="1">
      <c r="D84" s="22"/>
      <c r="E84" s="22"/>
      <c r="J84" s="5"/>
      <c r="K84" s="5"/>
      <c r="L84" s="5"/>
      <c r="M84" s="5"/>
      <c r="N84" s="5"/>
      <c r="O84" s="5"/>
      <c r="P84" s="88"/>
      <c r="Q84" s="95"/>
    </row>
    <row r="85" spans="4:17" s="2" customFormat="1" ht="12" customHeight="1">
      <c r="D85" s="22"/>
      <c r="E85" s="22"/>
      <c r="J85" s="5"/>
      <c r="K85" s="5"/>
      <c r="L85" s="5"/>
      <c r="M85" s="5"/>
      <c r="N85" s="5"/>
      <c r="O85" s="5"/>
      <c r="P85" s="88"/>
      <c r="Q85" s="95"/>
    </row>
    <row r="86" spans="4:17" s="2" customFormat="1" ht="12" customHeight="1">
      <c r="D86" s="22"/>
      <c r="E86" s="22"/>
      <c r="J86" s="5"/>
      <c r="K86" s="5"/>
      <c r="L86" s="5"/>
      <c r="M86" s="5"/>
      <c r="N86" s="5"/>
      <c r="O86" s="5"/>
      <c r="P86" s="88"/>
      <c r="Q86" s="95"/>
    </row>
    <row r="87" spans="4:17" s="2" customFormat="1" ht="12" customHeight="1">
      <c r="D87" s="22"/>
      <c r="E87" s="22"/>
      <c r="J87" s="5"/>
      <c r="K87" s="5"/>
      <c r="L87" s="5"/>
      <c r="M87" s="5"/>
      <c r="N87" s="5"/>
      <c r="O87" s="5"/>
      <c r="P87" s="88"/>
      <c r="Q87" s="95"/>
    </row>
    <row r="88" spans="4:17" s="2" customFormat="1" ht="12" customHeight="1">
      <c r="D88" s="22"/>
      <c r="E88" s="22"/>
      <c r="J88" s="5"/>
      <c r="K88" s="5"/>
      <c r="L88" s="5"/>
      <c r="M88" s="5"/>
      <c r="N88" s="5"/>
      <c r="O88" s="5"/>
      <c r="P88" s="88"/>
      <c r="Q88" s="95"/>
    </row>
    <row r="89" spans="4:17" s="2" customFormat="1" ht="12" customHeight="1">
      <c r="D89" s="22"/>
      <c r="E89" s="22"/>
      <c r="J89" s="5"/>
      <c r="K89" s="5"/>
      <c r="L89" s="5"/>
      <c r="M89" s="5"/>
      <c r="N89" s="5"/>
      <c r="O89" s="5"/>
      <c r="P89" s="88"/>
      <c r="Q89" s="95"/>
    </row>
    <row r="90" spans="4:17" s="2" customFormat="1" ht="12" customHeight="1">
      <c r="D90" s="22"/>
      <c r="E90" s="22"/>
      <c r="J90" s="5"/>
      <c r="K90" s="5"/>
      <c r="L90" s="5"/>
      <c r="M90" s="5"/>
      <c r="N90" s="5"/>
      <c r="O90" s="5"/>
      <c r="P90" s="88"/>
      <c r="Q90" s="95"/>
    </row>
    <row r="91" spans="4:17" s="2" customFormat="1" ht="12" customHeight="1">
      <c r="D91" s="22"/>
      <c r="E91" s="22"/>
      <c r="J91" s="5"/>
      <c r="K91" s="5"/>
      <c r="L91" s="5"/>
      <c r="M91" s="5"/>
      <c r="N91" s="5"/>
      <c r="O91" s="5"/>
      <c r="P91" s="88"/>
      <c r="Q91" s="95"/>
    </row>
    <row r="92" spans="4:17" s="2" customFormat="1" ht="12" customHeight="1">
      <c r="D92" s="22"/>
      <c r="E92" s="22"/>
      <c r="J92" s="5"/>
      <c r="K92" s="5"/>
      <c r="L92" s="5"/>
      <c r="M92" s="5"/>
      <c r="N92" s="5"/>
      <c r="O92" s="5"/>
      <c r="P92" s="88"/>
      <c r="Q92" s="95"/>
    </row>
    <row r="93" spans="4:17" s="2" customFormat="1" ht="12" customHeight="1">
      <c r="D93" s="22"/>
      <c r="E93" s="22"/>
      <c r="J93" s="5"/>
      <c r="K93" s="5"/>
      <c r="L93" s="5"/>
      <c r="M93" s="5"/>
      <c r="N93" s="5"/>
      <c r="O93" s="5"/>
      <c r="P93" s="88"/>
      <c r="Q93" s="95"/>
    </row>
    <row r="94" spans="4:17" s="2" customFormat="1" ht="12" customHeight="1">
      <c r="D94" s="22"/>
      <c r="E94" s="22"/>
      <c r="J94" s="5"/>
      <c r="K94" s="5"/>
      <c r="L94" s="5"/>
      <c r="M94" s="5"/>
      <c r="N94" s="5"/>
      <c r="O94" s="5"/>
      <c r="P94" s="88"/>
      <c r="Q94" s="95"/>
    </row>
    <row r="95" spans="4:17" s="2" customFormat="1" ht="12" customHeight="1">
      <c r="D95" s="22"/>
      <c r="E95" s="22"/>
      <c r="J95" s="5"/>
      <c r="K95" s="5"/>
      <c r="L95" s="5"/>
      <c r="M95" s="5"/>
      <c r="N95" s="5"/>
      <c r="O95" s="5"/>
      <c r="P95" s="88"/>
      <c r="Q95" s="95"/>
    </row>
    <row r="96" spans="4:17" s="2" customFormat="1" ht="12" customHeight="1">
      <c r="D96" s="22"/>
      <c r="E96" s="22"/>
      <c r="J96" s="5"/>
      <c r="K96" s="5"/>
      <c r="L96" s="5"/>
      <c r="M96" s="5"/>
      <c r="N96" s="5"/>
      <c r="O96" s="5"/>
      <c r="P96" s="88"/>
      <c r="Q96" s="95"/>
    </row>
    <row r="97" spans="1:17" s="2" customFormat="1" ht="12" customHeight="1">
      <c r="D97" s="22"/>
      <c r="E97" s="22"/>
      <c r="J97" s="5"/>
      <c r="K97" s="5"/>
      <c r="L97" s="5"/>
      <c r="M97" s="5"/>
      <c r="N97" s="5"/>
      <c r="O97" s="5"/>
      <c r="P97" s="88"/>
      <c r="Q97" s="95"/>
    </row>
    <row r="98" spans="1:17" s="2" customFormat="1" ht="12" customHeight="1">
      <c r="D98" s="22"/>
      <c r="E98" s="22"/>
      <c r="J98" s="5"/>
      <c r="K98" s="5"/>
      <c r="L98" s="5"/>
      <c r="M98" s="5"/>
      <c r="N98" s="5"/>
      <c r="O98" s="5"/>
      <c r="P98" s="88"/>
      <c r="Q98" s="95"/>
    </row>
    <row r="99" spans="1:17" s="2" customFormat="1" ht="12" customHeight="1">
      <c r="D99" s="22"/>
      <c r="E99" s="22"/>
      <c r="J99" s="5"/>
      <c r="K99" s="5"/>
      <c r="L99" s="5"/>
      <c r="M99" s="5"/>
      <c r="N99" s="5"/>
      <c r="O99" s="5"/>
      <c r="P99" s="88"/>
      <c r="Q99" s="95"/>
    </row>
    <row r="100" spans="1:17" s="2" customFormat="1" ht="12" customHeight="1">
      <c r="D100" s="22"/>
      <c r="E100" s="22"/>
      <c r="J100" s="5"/>
      <c r="K100" s="5"/>
      <c r="L100" s="5"/>
      <c r="M100" s="5"/>
      <c r="N100" s="5"/>
      <c r="O100" s="5"/>
      <c r="P100" s="88"/>
      <c r="Q100" s="95"/>
    </row>
    <row r="101" spans="1:17" s="2" customFormat="1" ht="12" customHeight="1">
      <c r="D101" s="22"/>
      <c r="E101" s="22"/>
      <c r="J101" s="5"/>
      <c r="K101" s="5"/>
      <c r="L101" s="5"/>
      <c r="M101" s="5"/>
      <c r="N101" s="5"/>
      <c r="O101" s="5"/>
      <c r="P101" s="88"/>
      <c r="Q101" s="95"/>
    </row>
    <row r="102" spans="1:17" s="2" customFormat="1" ht="12" customHeight="1">
      <c r="D102" s="22"/>
      <c r="E102" s="22"/>
      <c r="J102" s="5"/>
      <c r="K102" s="5"/>
      <c r="L102" s="5"/>
      <c r="M102" s="5"/>
      <c r="N102" s="5"/>
      <c r="O102" s="5"/>
      <c r="P102" s="88"/>
      <c r="Q102" s="95"/>
    </row>
    <row r="103" spans="1:17" s="2" customFormat="1" ht="12" customHeight="1">
      <c r="D103" s="22"/>
      <c r="E103" s="22"/>
      <c r="J103" s="5"/>
      <c r="K103" s="5"/>
      <c r="L103" s="5"/>
      <c r="M103" s="5"/>
      <c r="N103" s="5"/>
      <c r="O103" s="5"/>
      <c r="P103" s="88"/>
      <c r="Q103" s="96"/>
    </row>
    <row r="104" spans="1:17" s="2" customFormat="1" ht="12" customHeight="1">
      <c r="D104" s="22"/>
      <c r="E104" s="22"/>
      <c r="J104" s="5"/>
      <c r="K104" s="5"/>
      <c r="L104" s="5"/>
      <c r="M104" s="5"/>
      <c r="N104" s="5"/>
      <c r="O104" s="5"/>
      <c r="P104" s="88"/>
      <c r="Q104" s="96"/>
    </row>
    <row r="105" spans="1:17" s="2" customFormat="1" ht="12" customHeight="1">
      <c r="D105" s="22"/>
      <c r="E105" s="22"/>
      <c r="J105" s="5"/>
      <c r="K105" s="5"/>
      <c r="L105" s="5"/>
      <c r="M105" s="5"/>
      <c r="N105" s="5"/>
      <c r="O105" s="5"/>
      <c r="P105" s="88"/>
      <c r="Q105" s="96"/>
    </row>
    <row r="106" spans="1:17" s="2" customFormat="1" ht="12" customHeight="1">
      <c r="D106" s="22"/>
      <c r="E106" s="22"/>
      <c r="J106" s="5"/>
      <c r="K106" s="5"/>
      <c r="L106" s="5"/>
      <c r="M106" s="5"/>
      <c r="N106" s="5"/>
      <c r="O106" s="5"/>
      <c r="P106" s="88"/>
      <c r="Q106" s="96"/>
    </row>
    <row r="107" spans="1:17" s="2" customFormat="1" ht="12" customHeight="1">
      <c r="A107"/>
      <c r="B107"/>
      <c r="C107"/>
      <c r="D107" s="23"/>
      <c r="E107" s="23"/>
      <c r="F107"/>
      <c r="G107"/>
      <c r="H107"/>
      <c r="I107"/>
      <c r="J107" s="19"/>
      <c r="K107" s="19"/>
      <c r="L107" s="19"/>
      <c r="M107" s="19"/>
      <c r="N107" s="19"/>
      <c r="O107" s="19"/>
      <c r="P107" s="90"/>
      <c r="Q107" s="96"/>
    </row>
    <row r="108" spans="1:17" s="2" customFormat="1" ht="12" customHeight="1">
      <c r="A108"/>
      <c r="B108"/>
      <c r="C108"/>
      <c r="D108" s="23"/>
      <c r="E108" s="23"/>
      <c r="F108"/>
      <c r="G108"/>
      <c r="H108"/>
      <c r="I108"/>
      <c r="J108" s="19"/>
      <c r="K108" s="19"/>
      <c r="L108" s="19"/>
      <c r="M108" s="19"/>
      <c r="N108" s="19"/>
      <c r="O108" s="19"/>
      <c r="P108" s="90"/>
      <c r="Q108" s="96"/>
    </row>
    <row r="109" spans="1:17" s="2" customFormat="1" ht="12" customHeight="1">
      <c r="A109"/>
      <c r="B109"/>
      <c r="C109"/>
      <c r="D109" s="23"/>
      <c r="E109" s="23"/>
      <c r="F109"/>
      <c r="G109"/>
      <c r="H109"/>
      <c r="I109"/>
      <c r="J109" s="19"/>
      <c r="K109" s="19"/>
      <c r="L109" s="19"/>
      <c r="M109" s="19"/>
      <c r="N109" s="19"/>
      <c r="O109" s="19"/>
      <c r="P109" s="90"/>
      <c r="Q109" s="96"/>
    </row>
    <row r="110" spans="1:17" s="2" customFormat="1" ht="12" customHeight="1">
      <c r="A110"/>
      <c r="B110"/>
      <c r="C110"/>
      <c r="D110" s="23"/>
      <c r="E110" s="23"/>
      <c r="F110"/>
      <c r="G110"/>
      <c r="H110"/>
      <c r="I110"/>
      <c r="J110" s="19"/>
      <c r="K110" s="19"/>
      <c r="L110" s="19"/>
      <c r="M110" s="19"/>
      <c r="N110" s="19"/>
      <c r="O110" s="19"/>
      <c r="P110" s="90"/>
      <c r="Q110" s="96"/>
    </row>
    <row r="111" spans="1:17" s="2" customFormat="1" ht="12" customHeight="1">
      <c r="A111"/>
      <c r="B111"/>
      <c r="C111"/>
      <c r="D111" s="23"/>
      <c r="E111" s="23"/>
      <c r="F111"/>
      <c r="G111"/>
      <c r="H111"/>
      <c r="I111"/>
      <c r="J111" s="19"/>
      <c r="K111" s="19"/>
      <c r="L111" s="19"/>
      <c r="M111" s="19"/>
      <c r="N111" s="19"/>
      <c r="O111" s="19"/>
      <c r="P111" s="90"/>
      <c r="Q111" s="96"/>
    </row>
    <row r="112" spans="1:17">
      <c r="Q112" s="96"/>
    </row>
    <row r="113" spans="17:17">
      <c r="Q113" s="96"/>
    </row>
    <row r="114" spans="17:17">
      <c r="Q114" s="96"/>
    </row>
    <row r="115" spans="17:17">
      <c r="Q115" s="96"/>
    </row>
    <row r="116" spans="17:17">
      <c r="Q116" s="96"/>
    </row>
    <row r="117" spans="17:17">
      <c r="Q117" s="96"/>
    </row>
    <row r="118" spans="17:17">
      <c r="Q118" s="96"/>
    </row>
    <row r="119" spans="17:17">
      <c r="Q119" s="96"/>
    </row>
    <row r="120" spans="17:17">
      <c r="Q120" s="96"/>
    </row>
    <row r="121" spans="17:17">
      <c r="Q121" s="96"/>
    </row>
    <row r="122" spans="17:17">
      <c r="Q122" s="96"/>
    </row>
    <row r="123" spans="17:17">
      <c r="Q123" s="96"/>
    </row>
    <row r="124" spans="17:17">
      <c r="Q124" s="96"/>
    </row>
    <row r="125" spans="17:17">
      <c r="Q125" s="96"/>
    </row>
    <row r="126" spans="17:17">
      <c r="Q126" s="96"/>
    </row>
    <row r="127" spans="17:17">
      <c r="Q127" s="96"/>
    </row>
    <row r="128" spans="17:17">
      <c r="Q128" s="96"/>
    </row>
    <row r="129" spans="17:17">
      <c r="Q129" s="96"/>
    </row>
    <row r="130" spans="17:17">
      <c r="Q130" s="96"/>
    </row>
    <row r="131" spans="17:17">
      <c r="Q131" s="96"/>
    </row>
    <row r="168" ht="12" customHeight="1"/>
    <row r="169" ht="12" customHeight="1"/>
    <row r="170" ht="12" customHeight="1"/>
    <row r="171" ht="12" customHeight="1"/>
    <row r="172" ht="12" customHeight="1"/>
    <row r="173" ht="12" customHeight="1"/>
    <row r="174" ht="12" customHeight="1"/>
    <row r="175" ht="12" customHeight="1"/>
    <row r="176" ht="12" customHeight="1"/>
    <row r="177" ht="12" customHeight="1"/>
    <row r="178" ht="12" customHeight="1"/>
    <row r="179" ht="12" customHeight="1"/>
    <row r="180" ht="12" customHeight="1"/>
    <row r="181" ht="12" customHeight="1"/>
    <row r="182" ht="12" customHeight="1"/>
    <row r="183" ht="12" customHeight="1"/>
    <row r="184" ht="12" customHeight="1"/>
    <row r="185" ht="12" customHeight="1"/>
    <row r="186" ht="12" customHeight="1"/>
    <row r="187" ht="12" customHeight="1"/>
    <row r="188" ht="12" customHeight="1"/>
    <row r="189" ht="12" customHeight="1"/>
    <row r="190" ht="12" customHeight="1"/>
    <row r="191" ht="12" customHeight="1"/>
    <row r="192" ht="12" customHeight="1"/>
    <row r="193" ht="12" customHeight="1"/>
    <row r="194" ht="12" customHeight="1"/>
    <row r="195" ht="12" customHeight="1"/>
    <row r="196" ht="12" customHeight="1"/>
    <row r="197" ht="12" customHeight="1"/>
    <row r="198" ht="12" customHeight="1"/>
    <row r="199" ht="12" customHeight="1"/>
    <row r="200" ht="12" customHeight="1"/>
    <row r="201" ht="12" customHeight="1"/>
    <row r="202" ht="12" customHeight="1"/>
    <row r="203" ht="12" customHeight="1"/>
    <row r="204" ht="12" customHeight="1"/>
    <row r="205" ht="12" customHeight="1"/>
    <row r="206" ht="12" customHeight="1"/>
    <row r="207" ht="12" customHeight="1"/>
    <row r="208" ht="12" customHeight="1"/>
    <row r="209" ht="12" customHeight="1"/>
    <row r="210" ht="12" customHeight="1"/>
    <row r="211" ht="12" customHeight="1"/>
    <row r="212" ht="12" customHeight="1"/>
    <row r="213" ht="12" customHeight="1"/>
    <row r="214" ht="12" customHeight="1"/>
    <row r="215" ht="12" customHeight="1"/>
    <row r="216" ht="12" customHeight="1"/>
    <row r="217" ht="12" customHeight="1"/>
  </sheetData>
  <mergeCells count="66">
    <mergeCell ref="D54:E54"/>
    <mergeCell ref="D55:E55"/>
    <mergeCell ref="D56:E56"/>
    <mergeCell ref="D38:E38"/>
    <mergeCell ref="D42:E42"/>
    <mergeCell ref="D45:E45"/>
    <mergeCell ref="D40:E40"/>
    <mergeCell ref="D41:E41"/>
    <mergeCell ref="D43:E43"/>
    <mergeCell ref="D44:E44"/>
    <mergeCell ref="D51:E51"/>
    <mergeCell ref="D46:E46"/>
    <mergeCell ref="D49:E49"/>
    <mergeCell ref="D52:E52"/>
    <mergeCell ref="D53:E53"/>
    <mergeCell ref="D48:E48"/>
    <mergeCell ref="D64:E64"/>
    <mergeCell ref="H64:I64"/>
    <mergeCell ref="D57:E57"/>
    <mergeCell ref="D59:E59"/>
    <mergeCell ref="D60:E60"/>
    <mergeCell ref="D61:E61"/>
    <mergeCell ref="D58:E58"/>
    <mergeCell ref="H51:I51"/>
    <mergeCell ref="D39:E39"/>
    <mergeCell ref="H21:I21"/>
    <mergeCell ref="D22:E22"/>
    <mergeCell ref="D23:E23"/>
    <mergeCell ref="D24:E24"/>
    <mergeCell ref="D25:E25"/>
    <mergeCell ref="D33:E33"/>
    <mergeCell ref="D34:E34"/>
    <mergeCell ref="D35:E35"/>
    <mergeCell ref="D30:E30"/>
    <mergeCell ref="D31:E31"/>
    <mergeCell ref="D32:E32"/>
    <mergeCell ref="D36:E36"/>
    <mergeCell ref="D37:E37"/>
    <mergeCell ref="D50:E50"/>
    <mergeCell ref="D10:E10"/>
    <mergeCell ref="D11:E11"/>
    <mergeCell ref="D12:E12"/>
    <mergeCell ref="D13:E13"/>
    <mergeCell ref="D29:E29"/>
    <mergeCell ref="D21:E21"/>
    <mergeCell ref="D26:E26"/>
    <mergeCell ref="D27:E27"/>
    <mergeCell ref="D28:E28"/>
    <mergeCell ref="D14:E14"/>
    <mergeCell ref="D15:E15"/>
    <mergeCell ref="D16:E16"/>
    <mergeCell ref="D17:E17"/>
    <mergeCell ref="D18:E18"/>
    <mergeCell ref="D19:E19"/>
    <mergeCell ref="D20:E20"/>
    <mergeCell ref="D9:E9"/>
    <mergeCell ref="H9:I9"/>
    <mergeCell ref="D7:E7"/>
    <mergeCell ref="H7:I7"/>
    <mergeCell ref="D6:E6"/>
    <mergeCell ref="H6:I6"/>
    <mergeCell ref="D1:E1"/>
    <mergeCell ref="D4:E4"/>
    <mergeCell ref="H4:I4"/>
    <mergeCell ref="D5:E5"/>
    <mergeCell ref="H5:I5"/>
  </mergeCells>
  <phoneticPr fontId="8" type="noConversion"/>
  <conditionalFormatting sqref="M10:M20 M52:M63">
    <cfRule type="cellIs" dxfId="549" priority="1" stopIfTrue="1" operator="lessThanOrEqual">
      <formula>$L10</formula>
    </cfRule>
    <cfRule type="cellIs" dxfId="548" priority="2" operator="greaterThan">
      <formula>L10</formula>
    </cfRule>
  </conditionalFormatting>
  <conditionalFormatting sqref="M22:M50">
    <cfRule type="cellIs" dxfId="547" priority="3" stopIfTrue="1" operator="lessThanOrEqual">
      <formula>$L22</formula>
    </cfRule>
    <cfRule type="cellIs" dxfId="546" priority="4" operator="greaterThan">
      <formula>L22</formula>
    </cfRule>
  </conditionalFormatting>
  <pageMargins left="0.7" right="0.7" top="0.75" bottom="0.75" header="0.3" footer="0.3"/>
  <pageSetup paperSize="3" fitToHeight="0" orientation="landscape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8D1CAB76-4B83-43BB-9E0D-49ED9331F08F}">
          <x14:formula1>
            <xm:f>Assemblies!$E:$E</xm:f>
          </x14:formula1>
          <xm:sqref>C5:C8</xm:sqref>
        </x14:dataValidation>
        <x14:dataValidation type="list" allowBlank="1" showInputMessage="1" showErrorMessage="1" xr:uid="{ACFB2F17-A6AF-44BA-864C-C55C702C1008}">
          <x14:formula1>
            <xm:f>Purchased!$A:$A</xm:f>
          </x14:formula1>
          <xm:sqref>C22:C50</xm:sqref>
        </x14:dataValidation>
        <x14:dataValidation type="list" allowBlank="1" showInputMessage="1" showErrorMessage="1" xr:uid="{DB645DBD-EE2C-46A7-9E66-325157531FCE}">
          <x14:formula1>
            <xm:f>Machined!$C:$C</xm:f>
          </x14:formula1>
          <xm:sqref>C10:C20</xm:sqref>
        </x14:dataValidation>
      </x14:dataValidation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1F68F2-8704-48B4-AEB2-C0282212B09E}">
  <sheetPr codeName="Sheet31">
    <tabColor theme="3" tint="0.79998168889431442"/>
    <pageSetUpPr fitToPage="1"/>
  </sheetPr>
  <dimension ref="A1:Q161"/>
  <sheetViews>
    <sheetView zoomScaleNormal="100" workbookViewId="0">
      <selection activeCell="G23" sqref="G23"/>
    </sheetView>
  </sheetViews>
  <sheetFormatPr defaultColWidth="9.140625" defaultRowHeight="15"/>
  <cols>
    <col min="1" max="1" width="5.7109375" customWidth="1"/>
    <col min="2" max="2" width="5.42578125" bestFit="1" customWidth="1"/>
    <col min="3" max="3" width="30.7109375" customWidth="1"/>
    <col min="4" max="5" width="20.7109375" style="23" customWidth="1"/>
    <col min="6" max="6" width="16.85546875" bestFit="1" customWidth="1"/>
    <col min="7" max="7" width="9.7109375" customWidth="1"/>
    <col min="8" max="8" width="8.7109375" customWidth="1"/>
    <col min="9" max="9" width="20.7109375" customWidth="1"/>
    <col min="10" max="13" width="11.7109375" style="19" customWidth="1"/>
    <col min="14" max="14" width="11.85546875" style="19" bestFit="1" customWidth="1"/>
    <col min="15" max="15" width="7.7109375" style="19" customWidth="1"/>
    <col min="16" max="16" width="10.7109375" style="90" customWidth="1"/>
    <col min="17" max="17" width="10.7109375" style="97" customWidth="1"/>
  </cols>
  <sheetData>
    <row r="1" spans="1:17" s="55" customFormat="1" ht="12" customHeight="1">
      <c r="A1" s="68" t="s">
        <v>0</v>
      </c>
      <c r="B1" s="69"/>
      <c r="C1" s="69"/>
      <c r="D1" s="262" t="s">
        <v>1</v>
      </c>
      <c r="E1" s="263"/>
      <c r="F1" s="70"/>
      <c r="G1" s="69"/>
      <c r="H1" s="70"/>
      <c r="I1" s="71"/>
      <c r="J1" s="72"/>
      <c r="K1" s="72"/>
      <c r="L1" s="72"/>
      <c r="M1" s="72"/>
      <c r="N1" s="72"/>
      <c r="O1" s="72"/>
      <c r="P1" s="85"/>
      <c r="Q1" s="91"/>
    </row>
    <row r="2" spans="1:17" s="55" customFormat="1" ht="12" customHeight="1">
      <c r="A2" s="74" t="s">
        <v>48</v>
      </c>
      <c r="B2" s="58"/>
      <c r="C2" s="57" t="e">
        <f ca="1">VLOOKUP(E3,Assemblies!B:F,4,0)</f>
        <v>#VALUE!</v>
      </c>
      <c r="D2" s="75" t="s">
        <v>3</v>
      </c>
      <c r="E2" s="76" t="e">
        <f ca="1">'GF12'!E2</f>
        <v>#VALUE!</v>
      </c>
      <c r="F2" s="77" t="s">
        <v>4</v>
      </c>
      <c r="G2" s="58" t="str">
        <f>'GF12'!G2</f>
        <v>GH</v>
      </c>
      <c r="H2" s="77" t="s">
        <v>6</v>
      </c>
      <c r="I2" s="59">
        <f>'GF12'!I2</f>
        <v>44775</v>
      </c>
      <c r="J2" s="39"/>
      <c r="K2" s="40" t="s">
        <v>49</v>
      </c>
      <c r="L2" s="41" t="e">
        <f ca="1">VLOOKUP(C2,Assemblies!E:G,3,0)</f>
        <v>#VALUE!</v>
      </c>
      <c r="M2" s="78"/>
      <c r="N2" s="78"/>
      <c r="O2" s="78"/>
      <c r="P2" s="86"/>
      <c r="Q2" s="92"/>
    </row>
    <row r="3" spans="1:17" s="55" customFormat="1" ht="12" customHeight="1" thickBot="1">
      <c r="A3" s="74" t="s">
        <v>7</v>
      </c>
      <c r="B3" s="58"/>
      <c r="C3" s="57" t="e">
        <f ca="1">VLOOKUP(E3,Assemblies!B:F,5,0)</f>
        <v>#VALUE!</v>
      </c>
      <c r="D3" s="75" t="s">
        <v>50</v>
      </c>
      <c r="E3" s="76" t="e">
        <f ca="1">MID(CELL("filename",A1),FIND("]",CELL("filename",A1))+1,256)</f>
        <v>#VALUE!</v>
      </c>
      <c r="F3" s="77" t="s">
        <v>11</v>
      </c>
      <c r="G3" s="58" t="str">
        <f>'GF12'!G3</f>
        <v>GH</v>
      </c>
      <c r="H3" s="77" t="s">
        <v>6</v>
      </c>
      <c r="I3" s="59">
        <f>'GF12'!I3</f>
        <v>44775</v>
      </c>
      <c r="J3" s="78"/>
      <c r="K3" s="78"/>
      <c r="L3" s="78"/>
      <c r="M3" s="78"/>
      <c r="N3" s="78"/>
      <c r="O3" s="78"/>
      <c r="P3" s="86"/>
      <c r="Q3" s="92"/>
    </row>
    <row r="4" spans="1:17" s="56" customFormat="1" ht="12.75" customHeight="1" thickBot="1">
      <c r="A4" s="80" t="s">
        <v>12</v>
      </c>
      <c r="B4" s="81" t="s">
        <v>13</v>
      </c>
      <c r="C4" s="81" t="s">
        <v>14</v>
      </c>
      <c r="D4" s="270" t="s">
        <v>15</v>
      </c>
      <c r="E4" s="271"/>
      <c r="F4" s="104" t="s">
        <v>16</v>
      </c>
      <c r="G4" s="81" t="s">
        <v>17</v>
      </c>
      <c r="H4" s="260" t="s">
        <v>18</v>
      </c>
      <c r="I4" s="261"/>
      <c r="J4" s="81" t="s">
        <v>51</v>
      </c>
      <c r="K4" s="81" t="s">
        <v>20</v>
      </c>
      <c r="L4" s="81" t="s">
        <v>21</v>
      </c>
      <c r="M4" s="81" t="s">
        <v>52</v>
      </c>
      <c r="N4" s="81" t="s">
        <v>22</v>
      </c>
      <c r="O4" s="81" t="s">
        <v>53</v>
      </c>
      <c r="P4" s="107" t="s">
        <v>26</v>
      </c>
      <c r="Q4" s="82" t="s">
        <v>27</v>
      </c>
    </row>
    <row r="5" spans="1:17" s="2" customFormat="1" ht="12.75" customHeight="1">
      <c r="A5" s="127">
        <v>1</v>
      </c>
      <c r="B5" s="21">
        <v>10</v>
      </c>
      <c r="C5" s="108" t="s">
        <v>435</v>
      </c>
      <c r="D5" s="277" t="str">
        <f>VLOOKUP(C5,Machined!C:Q,2,0)</f>
        <v>Nip Segment Core</v>
      </c>
      <c r="E5" s="278"/>
      <c r="F5" s="131">
        <f>VLOOKUP(C5,Machined!C:Q,6,0)</f>
        <v>33</v>
      </c>
      <c r="G5" s="131" t="str">
        <f>VLOOKUP(C5,Machined!C:Q,8,0)</f>
        <v>Clear Anodize</v>
      </c>
      <c r="H5" s="131" t="str">
        <f>VLOOKUP(C5,Machined!C:Q,9,0)</f>
        <v>YES</v>
      </c>
      <c r="I5" s="131"/>
      <c r="J5" s="42" t="str">
        <f>VLOOKUP(C5,Machined!C:Q,10,0)</f>
        <v>XOMETRY</v>
      </c>
      <c r="K5" s="42" t="str">
        <f>VLOOKUP(C5,Machined!C:Q,11,0)</f>
        <v>Covering by H&amp;S - P.O. 55048</v>
      </c>
      <c r="L5" s="42" t="str">
        <f>VLOOKUP(C5,Machined!C:Q,12,0)</f>
        <v>N/A</v>
      </c>
      <c r="M5" s="42">
        <f>VLOOKUP(C5,Machined!C:Q,13,0)</f>
        <v>45126</v>
      </c>
      <c r="N5" s="43">
        <f>VLOOKUP(C5,Machined!C:Q,14,0)</f>
        <v>45148</v>
      </c>
      <c r="O5" s="43" t="e">
        <f t="shared" ref="O5" ca="1" si="0">B5*$L$2</f>
        <v>#VALUE!</v>
      </c>
      <c r="P5" s="47">
        <f>IFERROR(VLOOKUP(C5,Machined!C:F,3,0),"")</f>
        <v>233.53</v>
      </c>
      <c r="Q5" s="48">
        <f t="shared" ref="Q5" si="1">IFERROR(B5*P5,"")</f>
        <v>2335.3000000000002</v>
      </c>
    </row>
    <row r="6" spans="1:17" s="2" customFormat="1" ht="12.75" customHeight="1">
      <c r="A6" s="143"/>
      <c r="B6" s="26"/>
      <c r="C6" s="26"/>
      <c r="D6" s="272"/>
      <c r="E6" s="273"/>
      <c r="F6" s="26"/>
      <c r="G6" s="26"/>
      <c r="H6" s="274"/>
      <c r="I6" s="275"/>
      <c r="J6" s="27"/>
      <c r="K6" s="27"/>
      <c r="L6" s="27"/>
      <c r="M6" s="28"/>
      <c r="N6" s="29"/>
      <c r="O6" s="29"/>
      <c r="P6" s="141"/>
      <c r="Q6" s="142"/>
    </row>
    <row r="7" spans="1:17" s="2" customFormat="1" ht="12.75" customHeight="1" thickBot="1">
      <c r="A7" s="4">
        <v>301</v>
      </c>
      <c r="B7" s="2">
        <v>1</v>
      </c>
      <c r="C7" s="114" t="s">
        <v>436</v>
      </c>
      <c r="D7" s="268" t="str">
        <f>VLOOKUP(C7,Purchased!A:B,2,0)</f>
        <v xml:space="preserve">82SR049S1214XA-001_EE expandable shaft </v>
      </c>
      <c r="E7" s="269"/>
      <c r="F7" s="112" t="str">
        <f>VLOOKUP(C7,Purchased!A:Q,9,0)</f>
        <v>Double E</v>
      </c>
      <c r="G7" s="112" t="str">
        <f>VLOOKUP(C7,Purchased!A:Q,10,0)</f>
        <v>Double E</v>
      </c>
      <c r="H7" s="112" t="str">
        <f>VLOOKUP(C7,Purchased!A:Q,12,0)</f>
        <v xml:space="preserve"> </v>
      </c>
      <c r="I7" s="113"/>
      <c r="J7" s="44" t="str">
        <f>VLOOKUP(C7,Purchased!A:Q,13,0)</f>
        <v>N/A</v>
      </c>
      <c r="K7" s="44">
        <f>VLOOKUP(C7,Purchased!A:Q,14,0)</f>
        <v>45016</v>
      </c>
      <c r="L7" s="44">
        <f>VLOOKUP(C7,Purchased!A:Q,15,0)</f>
        <v>45086</v>
      </c>
      <c r="M7" s="44">
        <f>VLOOKUP(C7,Purchased!A:Q,16,0)</f>
        <v>45086</v>
      </c>
      <c r="N7" s="45">
        <f>VLOOKUP(C7,Purchased!A:Q,17,0)</f>
        <v>54832</v>
      </c>
      <c r="O7" s="45" t="e">
        <f t="shared" ref="O7" ca="1" si="2">B7*$L$2</f>
        <v>#VALUE!</v>
      </c>
      <c r="P7" s="49">
        <f>IFERROR(VLOOKUP(C7,Purchased!A:E,3,FALSE),"")</f>
        <v>1777</v>
      </c>
      <c r="Q7" s="50">
        <f t="shared" ref="Q7" si="3">IFERROR(B7*P7,"")</f>
        <v>1777</v>
      </c>
    </row>
    <row r="8" spans="1:17" s="2" customFormat="1" ht="12.75" customHeight="1" thickBot="1">
      <c r="A8" s="34"/>
      <c r="B8" s="35"/>
      <c r="C8" s="35"/>
      <c r="D8" s="256"/>
      <c r="E8" s="257"/>
      <c r="F8" s="35"/>
      <c r="G8" s="35"/>
      <c r="H8" s="294"/>
      <c r="I8" s="295"/>
      <c r="J8" s="36"/>
      <c r="K8" s="36"/>
      <c r="L8" s="36"/>
      <c r="M8" s="37"/>
      <c r="N8" s="38"/>
      <c r="O8" s="38"/>
      <c r="P8" s="89" t="s">
        <v>43</v>
      </c>
      <c r="Q8" s="94">
        <f>SUM(Q5:Q7)</f>
        <v>4112.3</v>
      </c>
    </row>
    <row r="9" spans="1:17" s="2" customFormat="1" ht="12" customHeight="1">
      <c r="D9" s="22"/>
      <c r="E9" s="22"/>
      <c r="J9" s="8"/>
      <c r="K9" s="8"/>
      <c r="L9" s="8"/>
      <c r="M9" s="8"/>
      <c r="N9" s="5"/>
      <c r="O9" s="5"/>
      <c r="P9" s="88"/>
      <c r="Q9" s="95"/>
    </row>
    <row r="10" spans="1:17" s="2" customFormat="1" ht="12" customHeight="1">
      <c r="D10" s="22"/>
      <c r="E10" s="22"/>
      <c r="J10" s="5"/>
      <c r="K10" s="5"/>
      <c r="L10" s="5"/>
      <c r="M10" s="5"/>
      <c r="N10" s="5"/>
      <c r="O10" s="5"/>
      <c r="P10" s="88"/>
      <c r="Q10" s="95"/>
    </row>
    <row r="11" spans="1:17" s="2" customFormat="1" ht="12" customHeight="1">
      <c r="D11" s="22"/>
      <c r="E11" s="22"/>
      <c r="J11" s="5"/>
      <c r="K11" s="5"/>
      <c r="L11" s="5"/>
      <c r="M11" s="5"/>
      <c r="N11" s="5"/>
      <c r="O11" s="5"/>
      <c r="P11" s="88"/>
      <c r="Q11" s="95"/>
    </row>
    <row r="12" spans="1:17" s="2" customFormat="1" ht="12" customHeight="1">
      <c r="D12" s="22"/>
      <c r="E12" s="22"/>
      <c r="J12" s="5"/>
      <c r="K12" s="5"/>
      <c r="L12" s="5"/>
      <c r="M12" s="5"/>
      <c r="N12" s="5"/>
      <c r="O12" s="5"/>
      <c r="P12" s="88"/>
      <c r="Q12" s="95"/>
    </row>
    <row r="13" spans="1:17" s="2" customFormat="1" ht="12" customHeight="1">
      <c r="D13" s="22"/>
      <c r="E13" s="22"/>
      <c r="J13" s="5"/>
      <c r="K13" s="5"/>
      <c r="L13" s="5"/>
      <c r="M13" s="5"/>
      <c r="N13" s="5"/>
      <c r="O13" s="5"/>
      <c r="P13" s="88"/>
      <c r="Q13" s="95"/>
    </row>
    <row r="14" spans="1:17" s="2" customFormat="1" ht="12" customHeight="1">
      <c r="D14" s="22"/>
      <c r="E14" s="22"/>
      <c r="J14" s="5"/>
      <c r="K14" s="5"/>
      <c r="L14" s="5"/>
      <c r="M14" s="5"/>
      <c r="N14" s="5"/>
      <c r="O14" s="5"/>
      <c r="P14" s="88"/>
      <c r="Q14" s="95"/>
    </row>
    <row r="15" spans="1:17" s="2" customFormat="1" ht="12" customHeight="1">
      <c r="D15" s="22"/>
      <c r="E15" s="22"/>
      <c r="J15" s="5"/>
      <c r="K15" s="5"/>
      <c r="L15" s="5"/>
      <c r="M15" s="5"/>
      <c r="N15" s="5"/>
      <c r="O15" s="5"/>
      <c r="P15" s="88"/>
      <c r="Q15" s="95"/>
    </row>
    <row r="16" spans="1:17" s="2" customFormat="1" ht="12" customHeight="1">
      <c r="D16" s="22"/>
      <c r="E16" s="22"/>
      <c r="J16" s="5"/>
      <c r="K16" s="5"/>
      <c r="L16" s="5"/>
      <c r="M16" s="5"/>
      <c r="N16" s="5"/>
      <c r="O16" s="5"/>
      <c r="P16" s="88"/>
      <c r="Q16" s="95"/>
    </row>
    <row r="17" spans="4:17" s="2" customFormat="1" ht="12" customHeight="1">
      <c r="D17" s="22"/>
      <c r="E17" s="22"/>
      <c r="J17" s="5"/>
      <c r="K17" s="5"/>
      <c r="L17" s="5"/>
      <c r="M17" s="5"/>
      <c r="N17" s="5"/>
      <c r="O17" s="5"/>
      <c r="P17" s="88"/>
      <c r="Q17" s="95"/>
    </row>
    <row r="18" spans="4:17" s="2" customFormat="1" ht="12" customHeight="1">
      <c r="D18" s="22"/>
      <c r="E18" s="22"/>
      <c r="J18" s="5"/>
      <c r="K18" s="5"/>
      <c r="L18" s="5"/>
      <c r="M18" s="5"/>
      <c r="N18" s="5"/>
      <c r="O18" s="5"/>
      <c r="P18" s="88"/>
      <c r="Q18" s="95"/>
    </row>
    <row r="19" spans="4:17" s="2" customFormat="1" ht="12" customHeight="1">
      <c r="D19" s="22"/>
      <c r="E19" s="22"/>
      <c r="J19" s="5"/>
      <c r="K19" s="5"/>
      <c r="L19" s="5"/>
      <c r="M19" s="5"/>
      <c r="N19" s="5"/>
      <c r="O19" s="5"/>
      <c r="P19" s="88"/>
      <c r="Q19" s="95"/>
    </row>
    <row r="20" spans="4:17" s="2" customFormat="1" ht="12" customHeight="1">
      <c r="D20" s="22"/>
      <c r="E20" s="22"/>
      <c r="J20" s="5"/>
      <c r="K20" s="5"/>
      <c r="L20" s="5"/>
      <c r="M20" s="5"/>
      <c r="N20" s="5"/>
      <c r="O20" s="5"/>
      <c r="P20" s="88"/>
      <c r="Q20" s="95"/>
    </row>
    <row r="21" spans="4:17" s="2" customFormat="1" ht="12" customHeight="1">
      <c r="D21" s="22"/>
      <c r="E21" s="22"/>
      <c r="J21" s="5"/>
      <c r="K21" s="5"/>
      <c r="L21" s="5"/>
      <c r="M21" s="5"/>
      <c r="N21" s="5"/>
      <c r="O21" s="5"/>
      <c r="P21" s="88"/>
      <c r="Q21" s="95"/>
    </row>
    <row r="22" spans="4:17" s="2" customFormat="1" ht="12" customHeight="1">
      <c r="D22" s="22"/>
      <c r="E22" s="22"/>
      <c r="J22" s="5"/>
      <c r="K22" s="5"/>
      <c r="L22" s="5"/>
      <c r="M22" s="5"/>
      <c r="N22" s="5"/>
      <c r="O22" s="5"/>
      <c r="P22" s="88"/>
      <c r="Q22" s="95"/>
    </row>
    <row r="23" spans="4:17" s="2" customFormat="1" ht="12" customHeight="1">
      <c r="D23" s="22"/>
      <c r="E23" s="22"/>
      <c r="J23" s="5"/>
      <c r="K23" s="5"/>
      <c r="L23" s="5"/>
      <c r="M23" s="5"/>
      <c r="N23" s="5"/>
      <c r="O23" s="5"/>
      <c r="P23" s="88"/>
      <c r="Q23" s="95"/>
    </row>
    <row r="24" spans="4:17" s="2" customFormat="1" ht="12" customHeight="1">
      <c r="D24" s="22"/>
      <c r="E24" s="22"/>
      <c r="J24" s="5"/>
      <c r="K24" s="5"/>
      <c r="L24" s="5"/>
      <c r="M24" s="5"/>
      <c r="N24" s="5"/>
      <c r="O24" s="5"/>
      <c r="P24" s="88"/>
      <c r="Q24" s="95"/>
    </row>
    <row r="25" spans="4:17" s="2" customFormat="1" ht="12" customHeight="1">
      <c r="D25" s="22"/>
      <c r="E25" s="22"/>
      <c r="J25" s="5"/>
      <c r="K25" s="5"/>
      <c r="L25" s="5"/>
      <c r="M25" s="5"/>
      <c r="N25" s="5"/>
      <c r="O25" s="5"/>
      <c r="P25" s="88"/>
      <c r="Q25" s="95"/>
    </row>
    <row r="26" spans="4:17" s="2" customFormat="1" ht="12" customHeight="1">
      <c r="D26" s="22"/>
      <c r="E26" s="22"/>
      <c r="J26" s="5"/>
      <c r="K26" s="5"/>
      <c r="L26" s="5"/>
      <c r="M26" s="5"/>
      <c r="N26" s="5"/>
      <c r="O26" s="5"/>
      <c r="P26" s="88"/>
      <c r="Q26" s="95"/>
    </row>
    <row r="27" spans="4:17" s="2" customFormat="1" ht="12" customHeight="1">
      <c r="D27" s="22"/>
      <c r="E27" s="22"/>
      <c r="J27" s="5"/>
      <c r="K27" s="5"/>
      <c r="L27" s="5"/>
      <c r="M27" s="5"/>
      <c r="N27" s="5"/>
      <c r="O27" s="5"/>
      <c r="P27" s="88"/>
      <c r="Q27" s="95"/>
    </row>
    <row r="28" spans="4:17" s="2" customFormat="1" ht="12" customHeight="1">
      <c r="D28" s="22"/>
      <c r="E28" s="22"/>
      <c r="J28" s="5"/>
      <c r="K28" s="5"/>
      <c r="L28" s="5"/>
      <c r="M28" s="5"/>
      <c r="N28" s="5"/>
      <c r="O28" s="5"/>
      <c r="P28" s="88"/>
      <c r="Q28" s="95"/>
    </row>
    <row r="29" spans="4:17" s="2" customFormat="1" ht="12" customHeight="1">
      <c r="D29" s="22"/>
      <c r="E29" s="22"/>
      <c r="J29" s="5"/>
      <c r="K29" s="5"/>
      <c r="L29" s="5"/>
      <c r="M29" s="5"/>
      <c r="N29" s="5"/>
      <c r="O29" s="5"/>
      <c r="P29" s="88"/>
      <c r="Q29" s="95"/>
    </row>
    <row r="30" spans="4:17" s="2" customFormat="1" ht="12" customHeight="1">
      <c r="D30" s="22"/>
      <c r="E30" s="22"/>
      <c r="J30" s="5"/>
      <c r="K30" s="5"/>
      <c r="L30" s="5"/>
      <c r="M30" s="5"/>
      <c r="N30" s="5"/>
      <c r="O30" s="5"/>
      <c r="P30" s="88"/>
      <c r="Q30" s="95"/>
    </row>
    <row r="31" spans="4:17" s="2" customFormat="1" ht="12" customHeight="1">
      <c r="D31" s="22"/>
      <c r="E31" s="22"/>
      <c r="J31" s="5"/>
      <c r="K31" s="5"/>
      <c r="L31" s="5"/>
      <c r="M31" s="5"/>
      <c r="N31" s="5"/>
      <c r="O31" s="5"/>
      <c r="P31" s="88"/>
      <c r="Q31" s="95"/>
    </row>
    <row r="32" spans="4:17" s="2" customFormat="1" ht="12" customHeight="1">
      <c r="D32" s="22"/>
      <c r="E32" s="22"/>
      <c r="J32" s="5"/>
      <c r="K32" s="5"/>
      <c r="L32" s="5"/>
      <c r="M32" s="5"/>
      <c r="N32" s="5"/>
      <c r="O32" s="5"/>
      <c r="P32" s="88"/>
      <c r="Q32" s="95"/>
    </row>
    <row r="33" spans="4:17" s="2" customFormat="1" ht="12" customHeight="1">
      <c r="D33" s="22"/>
      <c r="E33" s="22"/>
      <c r="J33" s="5"/>
      <c r="K33" s="5"/>
      <c r="L33" s="5"/>
      <c r="M33" s="5"/>
      <c r="N33" s="5"/>
      <c r="O33" s="5"/>
      <c r="P33" s="88"/>
      <c r="Q33" s="95"/>
    </row>
    <row r="34" spans="4:17" s="2" customFormat="1" ht="12" customHeight="1">
      <c r="D34" s="22"/>
      <c r="E34" s="22"/>
      <c r="J34" s="5"/>
      <c r="K34" s="5"/>
      <c r="L34" s="5"/>
      <c r="M34" s="5"/>
      <c r="N34" s="5"/>
      <c r="O34" s="5"/>
      <c r="P34" s="88"/>
      <c r="Q34" s="95"/>
    </row>
    <row r="35" spans="4:17" s="2" customFormat="1" ht="12" customHeight="1">
      <c r="D35" s="22"/>
      <c r="E35" s="22"/>
      <c r="J35" s="5"/>
      <c r="K35" s="5"/>
      <c r="L35" s="5"/>
      <c r="M35" s="5"/>
      <c r="N35" s="5"/>
      <c r="O35" s="5"/>
      <c r="P35" s="88"/>
      <c r="Q35" s="95"/>
    </row>
    <row r="36" spans="4:17" s="2" customFormat="1" ht="12" customHeight="1">
      <c r="D36" s="22"/>
      <c r="E36" s="22"/>
      <c r="J36" s="5"/>
      <c r="K36" s="5"/>
      <c r="L36" s="5"/>
      <c r="M36" s="5"/>
      <c r="N36" s="5"/>
      <c r="O36" s="5"/>
      <c r="P36" s="88"/>
      <c r="Q36" s="95"/>
    </row>
    <row r="37" spans="4:17" s="2" customFormat="1" ht="12" customHeight="1">
      <c r="D37" s="22"/>
      <c r="E37" s="22"/>
      <c r="J37" s="5"/>
      <c r="K37" s="5"/>
      <c r="L37" s="5"/>
      <c r="M37" s="5"/>
      <c r="N37" s="5"/>
      <c r="O37" s="5"/>
      <c r="P37" s="88"/>
      <c r="Q37" s="95"/>
    </row>
    <row r="38" spans="4:17" s="2" customFormat="1" ht="12" customHeight="1">
      <c r="D38" s="22"/>
      <c r="E38" s="22"/>
      <c r="J38" s="5"/>
      <c r="K38" s="5"/>
      <c r="L38" s="5"/>
      <c r="M38" s="5"/>
      <c r="N38" s="5"/>
      <c r="O38" s="5"/>
      <c r="P38" s="88"/>
      <c r="Q38" s="95"/>
    </row>
    <row r="39" spans="4:17" s="2" customFormat="1" ht="12" customHeight="1">
      <c r="D39" s="22"/>
      <c r="E39" s="22"/>
      <c r="J39" s="5"/>
      <c r="K39" s="5"/>
      <c r="L39" s="5"/>
      <c r="M39" s="5"/>
      <c r="N39" s="5"/>
      <c r="O39" s="5"/>
      <c r="P39" s="88"/>
      <c r="Q39" s="95"/>
    </row>
    <row r="40" spans="4:17" s="2" customFormat="1" ht="12" customHeight="1">
      <c r="D40" s="22"/>
      <c r="E40" s="22"/>
      <c r="J40" s="5"/>
      <c r="K40" s="5"/>
      <c r="L40" s="5"/>
      <c r="M40" s="5"/>
      <c r="N40" s="5"/>
      <c r="O40" s="5"/>
      <c r="P40" s="88"/>
      <c r="Q40" s="95"/>
    </row>
    <row r="41" spans="4:17" s="2" customFormat="1" ht="12" customHeight="1">
      <c r="D41" s="22"/>
      <c r="E41" s="22"/>
      <c r="J41" s="5"/>
      <c r="K41" s="5"/>
      <c r="L41" s="5"/>
      <c r="M41" s="5"/>
      <c r="N41" s="5"/>
      <c r="O41" s="5"/>
      <c r="P41" s="88"/>
      <c r="Q41" s="95"/>
    </row>
    <row r="42" spans="4:17" s="2" customFormat="1" ht="12" customHeight="1">
      <c r="D42" s="22"/>
      <c r="E42" s="22"/>
      <c r="J42" s="5"/>
      <c r="K42" s="5"/>
      <c r="L42" s="5"/>
      <c r="M42" s="5"/>
      <c r="N42" s="5"/>
      <c r="O42" s="5"/>
      <c r="P42" s="88"/>
      <c r="Q42" s="95"/>
    </row>
    <row r="43" spans="4:17" s="2" customFormat="1" ht="12" customHeight="1">
      <c r="D43" s="22"/>
      <c r="E43" s="22"/>
      <c r="J43" s="5"/>
      <c r="K43" s="5"/>
      <c r="L43" s="5"/>
      <c r="M43" s="5"/>
      <c r="N43" s="5"/>
      <c r="O43" s="5"/>
      <c r="P43" s="88"/>
      <c r="Q43" s="95"/>
    </row>
    <row r="44" spans="4:17" s="2" customFormat="1" ht="12" customHeight="1">
      <c r="D44" s="22"/>
      <c r="E44" s="22"/>
      <c r="J44" s="5"/>
      <c r="K44" s="5"/>
      <c r="L44" s="5"/>
      <c r="M44" s="5"/>
      <c r="N44" s="5"/>
      <c r="O44" s="5"/>
      <c r="P44" s="88"/>
      <c r="Q44" s="95"/>
    </row>
    <row r="45" spans="4:17" s="2" customFormat="1" ht="12" customHeight="1">
      <c r="D45" s="22"/>
      <c r="E45" s="22"/>
      <c r="J45" s="5"/>
      <c r="K45" s="5"/>
      <c r="L45" s="5"/>
      <c r="M45" s="5"/>
      <c r="N45" s="5"/>
      <c r="O45" s="5"/>
      <c r="P45" s="88"/>
      <c r="Q45" s="95"/>
    </row>
    <row r="46" spans="4:17" s="2" customFormat="1" ht="12" customHeight="1">
      <c r="D46" s="22"/>
      <c r="E46" s="22"/>
      <c r="J46" s="5"/>
      <c r="K46" s="5"/>
      <c r="L46" s="5"/>
      <c r="M46" s="5"/>
      <c r="N46" s="5"/>
      <c r="O46" s="5"/>
      <c r="P46" s="88"/>
      <c r="Q46" s="95"/>
    </row>
    <row r="47" spans="4:17" s="2" customFormat="1" ht="12" customHeight="1">
      <c r="D47" s="22"/>
      <c r="E47" s="22"/>
      <c r="J47" s="5"/>
      <c r="K47" s="5"/>
      <c r="L47" s="5"/>
      <c r="M47" s="5"/>
      <c r="N47" s="5"/>
      <c r="O47" s="5"/>
      <c r="P47" s="88"/>
      <c r="Q47" s="96"/>
    </row>
    <row r="48" spans="4:17" s="2" customFormat="1" ht="12" customHeight="1">
      <c r="D48" s="22"/>
      <c r="E48" s="22"/>
      <c r="J48" s="5"/>
      <c r="K48" s="5"/>
      <c r="L48" s="5"/>
      <c r="M48" s="5"/>
      <c r="N48" s="5"/>
      <c r="O48" s="5"/>
      <c r="P48" s="88"/>
      <c r="Q48" s="96"/>
    </row>
    <row r="49" spans="1:17" s="2" customFormat="1" ht="12" customHeight="1">
      <c r="D49" s="22"/>
      <c r="E49" s="22"/>
      <c r="J49" s="5"/>
      <c r="K49" s="5"/>
      <c r="L49" s="5"/>
      <c r="M49" s="5"/>
      <c r="N49" s="5"/>
      <c r="O49" s="5"/>
      <c r="P49" s="88"/>
      <c r="Q49" s="96"/>
    </row>
    <row r="50" spans="1:17" s="2" customFormat="1" ht="12" customHeight="1">
      <c r="D50" s="22"/>
      <c r="E50" s="22"/>
      <c r="J50" s="5"/>
      <c r="K50" s="5"/>
      <c r="L50" s="5"/>
      <c r="M50" s="5"/>
      <c r="N50" s="5"/>
      <c r="O50" s="5"/>
      <c r="P50" s="88"/>
      <c r="Q50" s="96"/>
    </row>
    <row r="51" spans="1:17" s="2" customFormat="1" ht="12" customHeight="1">
      <c r="A51"/>
      <c r="B51"/>
      <c r="C51"/>
      <c r="D51" s="23"/>
      <c r="E51" s="23"/>
      <c r="F51"/>
      <c r="G51"/>
      <c r="H51"/>
      <c r="I51"/>
      <c r="J51" s="19"/>
      <c r="K51" s="19"/>
      <c r="L51" s="19"/>
      <c r="M51" s="19"/>
      <c r="N51" s="19"/>
      <c r="O51" s="19"/>
      <c r="P51" s="90"/>
      <c r="Q51" s="96"/>
    </row>
    <row r="52" spans="1:17" s="2" customFormat="1" ht="12" customHeight="1">
      <c r="A52"/>
      <c r="B52"/>
      <c r="C52"/>
      <c r="D52" s="23"/>
      <c r="E52" s="23"/>
      <c r="F52"/>
      <c r="G52"/>
      <c r="H52"/>
      <c r="I52"/>
      <c r="J52" s="19"/>
      <c r="K52" s="19"/>
      <c r="L52" s="19"/>
      <c r="M52" s="19"/>
      <c r="N52" s="19"/>
      <c r="O52" s="19"/>
      <c r="P52" s="90"/>
      <c r="Q52" s="96"/>
    </row>
    <row r="53" spans="1:17" s="2" customFormat="1" ht="12" customHeight="1">
      <c r="A53"/>
      <c r="B53"/>
      <c r="C53"/>
      <c r="D53" s="23"/>
      <c r="E53" s="23"/>
      <c r="F53"/>
      <c r="G53"/>
      <c r="H53"/>
      <c r="I53"/>
      <c r="J53" s="19"/>
      <c r="K53" s="19"/>
      <c r="L53" s="19"/>
      <c r="M53" s="19"/>
      <c r="N53" s="19"/>
      <c r="O53" s="19"/>
      <c r="P53" s="90"/>
      <c r="Q53" s="96"/>
    </row>
    <row r="54" spans="1:17" s="2" customFormat="1" ht="12" customHeight="1">
      <c r="A54"/>
      <c r="B54"/>
      <c r="C54"/>
      <c r="D54" s="23"/>
      <c r="E54" s="23"/>
      <c r="F54"/>
      <c r="G54"/>
      <c r="H54"/>
      <c r="I54"/>
      <c r="J54" s="19"/>
      <c r="K54" s="19"/>
      <c r="L54" s="19"/>
      <c r="M54" s="19"/>
      <c r="N54" s="19"/>
      <c r="O54" s="19"/>
      <c r="P54" s="90"/>
      <c r="Q54" s="96"/>
    </row>
    <row r="55" spans="1:17" s="2" customFormat="1" ht="12" customHeight="1">
      <c r="A55"/>
      <c r="B55"/>
      <c r="C55"/>
      <c r="D55" s="23"/>
      <c r="E55" s="23"/>
      <c r="F55"/>
      <c r="G55"/>
      <c r="H55"/>
      <c r="I55"/>
      <c r="J55" s="19"/>
      <c r="K55" s="19"/>
      <c r="L55" s="19"/>
      <c r="M55" s="19"/>
      <c r="N55" s="19"/>
      <c r="O55" s="19"/>
      <c r="P55" s="90"/>
      <c r="Q55" s="96"/>
    </row>
    <row r="56" spans="1:17">
      <c r="Q56" s="96"/>
    </row>
    <row r="57" spans="1:17">
      <c r="Q57" s="96"/>
    </row>
    <row r="58" spans="1:17">
      <c r="Q58" s="96"/>
    </row>
    <row r="59" spans="1:17">
      <c r="Q59" s="96"/>
    </row>
    <row r="60" spans="1:17">
      <c r="Q60" s="96"/>
    </row>
    <row r="61" spans="1:17">
      <c r="Q61" s="96"/>
    </row>
    <row r="62" spans="1:17">
      <c r="Q62" s="96"/>
    </row>
    <row r="63" spans="1:17">
      <c r="Q63" s="96"/>
    </row>
    <row r="64" spans="1:17">
      <c r="Q64" s="96"/>
    </row>
    <row r="65" spans="17:17">
      <c r="Q65" s="96"/>
    </row>
    <row r="66" spans="17:17">
      <c r="Q66" s="96"/>
    </row>
    <row r="67" spans="17:17">
      <c r="Q67" s="96"/>
    </row>
    <row r="68" spans="17:17">
      <c r="Q68" s="96"/>
    </row>
    <row r="69" spans="17:17">
      <c r="Q69" s="96"/>
    </row>
    <row r="70" spans="17:17">
      <c r="Q70" s="96"/>
    </row>
    <row r="71" spans="17:17">
      <c r="Q71" s="96"/>
    </row>
    <row r="72" spans="17:17">
      <c r="Q72" s="96"/>
    </row>
    <row r="73" spans="17:17">
      <c r="Q73" s="96"/>
    </row>
    <row r="74" spans="17:17">
      <c r="Q74" s="96"/>
    </row>
    <row r="75" spans="17:17">
      <c r="Q75" s="96"/>
    </row>
    <row r="112" ht="12" customHeight="1"/>
    <row r="113" ht="12" customHeight="1"/>
    <row r="114" ht="12" customHeight="1"/>
    <row r="115" ht="12" customHeight="1"/>
    <row r="116" ht="12" customHeight="1"/>
    <row r="117" ht="12" customHeight="1"/>
    <row r="118" ht="12" customHeight="1"/>
    <row r="119" ht="12" customHeight="1"/>
    <row r="120" ht="12" customHeight="1"/>
    <row r="121" ht="12" customHeight="1"/>
    <row r="122" ht="12" customHeight="1"/>
    <row r="123" ht="12" customHeight="1"/>
    <row r="124" ht="12" customHeight="1"/>
    <row r="125" ht="12" customHeight="1"/>
    <row r="126" ht="12" customHeight="1"/>
    <row r="127" ht="12" customHeight="1"/>
    <row r="128" ht="12" customHeight="1"/>
    <row r="129" ht="12" customHeight="1"/>
    <row r="130" ht="12" customHeight="1"/>
    <row r="131" ht="12" customHeight="1"/>
    <row r="132" ht="12" customHeight="1"/>
    <row r="133" ht="12" customHeight="1"/>
    <row r="134" ht="12" customHeight="1"/>
    <row r="135" ht="12" customHeight="1"/>
    <row r="136" ht="12" customHeight="1"/>
    <row r="137" ht="12" customHeight="1"/>
    <row r="138" ht="12" customHeight="1"/>
    <row r="139" ht="12" customHeight="1"/>
    <row r="140" ht="12" customHeight="1"/>
    <row r="141" ht="12" customHeight="1"/>
    <row r="142" ht="12" customHeight="1"/>
    <row r="143" ht="12" customHeight="1"/>
    <row r="144" ht="12" customHeight="1"/>
    <row r="145" ht="12" customHeight="1"/>
    <row r="146" ht="12" customHeight="1"/>
    <row r="147" ht="12" customHeight="1"/>
    <row r="148" ht="12" customHeight="1"/>
    <row r="149" ht="12" customHeight="1"/>
    <row r="150" ht="12" customHeight="1"/>
    <row r="151" ht="12" customHeight="1"/>
    <row r="152" ht="12" customHeight="1"/>
    <row r="153" ht="12" customHeight="1"/>
    <row r="154" ht="12" customHeight="1"/>
    <row r="155" ht="12" customHeight="1"/>
    <row r="156" ht="12" customHeight="1"/>
    <row r="157" ht="12" customHeight="1"/>
    <row r="158" ht="12" customHeight="1"/>
    <row r="159" ht="12" customHeight="1"/>
    <row r="160" ht="12" customHeight="1"/>
    <row r="161" ht="12" customHeight="1"/>
  </sheetData>
  <mergeCells count="9">
    <mergeCell ref="D5:E5"/>
    <mergeCell ref="D1:E1"/>
    <mergeCell ref="D4:E4"/>
    <mergeCell ref="H4:I4"/>
    <mergeCell ref="D8:E8"/>
    <mergeCell ref="H8:I8"/>
    <mergeCell ref="D6:E6"/>
    <mergeCell ref="H6:I6"/>
    <mergeCell ref="D7:E7"/>
  </mergeCells>
  <conditionalFormatting sqref="M5 M7">
    <cfRule type="cellIs" dxfId="545" priority="1" stopIfTrue="1" operator="lessThanOrEqual">
      <formula>$L5</formula>
    </cfRule>
    <cfRule type="cellIs" dxfId="544" priority="2" operator="greaterThan">
      <formula>L5</formula>
    </cfRule>
  </conditionalFormatting>
  <pageMargins left="0.7" right="0.7" top="0.75" bottom="0.75" header="0.3" footer="0.3"/>
  <pageSetup paperSize="3" fitToHeight="0" orientation="landscape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834EA3C-D904-443C-A5BB-0ADB3B668406}">
          <x14:formula1>
            <xm:f>Purchased!$A:$A</xm:f>
          </x14:formula1>
          <xm:sqref>C7</xm:sqref>
        </x14:dataValidation>
        <x14:dataValidation type="list" allowBlank="1" showInputMessage="1" showErrorMessage="1" xr:uid="{1B423622-D11F-4BE3-AD21-C8F6F2199776}">
          <x14:formula1>
            <xm:f>Machined!$C:$C</xm:f>
          </x14:formula1>
          <xm:sqref>C5</xm:sqref>
        </x14:dataValidation>
      </x14:dataValidation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A5EC06-CF3B-4259-9400-3C76F2922AF5}">
  <sheetPr codeName="Sheet32">
    <tabColor theme="3" tint="0.79998168889431442"/>
    <pageSetUpPr fitToPage="1"/>
  </sheetPr>
  <dimension ref="A1:Q163"/>
  <sheetViews>
    <sheetView zoomScaleNormal="100" workbookViewId="0">
      <selection activeCell="F14" sqref="F14"/>
    </sheetView>
  </sheetViews>
  <sheetFormatPr defaultColWidth="9.140625" defaultRowHeight="15"/>
  <cols>
    <col min="1" max="1" width="5.7109375" customWidth="1"/>
    <col min="2" max="2" width="5.42578125" bestFit="1" customWidth="1"/>
    <col min="3" max="3" width="30.7109375" customWidth="1"/>
    <col min="4" max="5" width="20.7109375" style="23" customWidth="1"/>
    <col min="6" max="6" width="16.85546875" bestFit="1" customWidth="1"/>
    <col min="7" max="7" width="9.7109375" customWidth="1"/>
    <col min="8" max="8" width="8.7109375" customWidth="1"/>
    <col min="9" max="9" width="20.7109375" customWidth="1"/>
    <col min="10" max="13" width="11.7109375" style="19" customWidth="1"/>
    <col min="14" max="14" width="11.85546875" style="19" bestFit="1" customWidth="1"/>
    <col min="15" max="15" width="7.7109375" style="19" customWidth="1"/>
    <col min="16" max="16" width="10.7109375" style="90" customWidth="1"/>
    <col min="17" max="17" width="10.7109375" style="97" customWidth="1"/>
  </cols>
  <sheetData>
    <row r="1" spans="1:17" s="55" customFormat="1" ht="12" customHeight="1">
      <c r="A1" s="68" t="s">
        <v>0</v>
      </c>
      <c r="B1" s="69"/>
      <c r="C1" s="69"/>
      <c r="D1" s="262" t="s">
        <v>1</v>
      </c>
      <c r="E1" s="263"/>
      <c r="F1" s="70"/>
      <c r="G1" s="69"/>
      <c r="H1" s="70"/>
      <c r="I1" s="71"/>
      <c r="J1" s="72"/>
      <c r="K1" s="72"/>
      <c r="L1" s="72"/>
      <c r="M1" s="72"/>
      <c r="N1" s="72"/>
      <c r="O1" s="72"/>
      <c r="P1" s="85"/>
      <c r="Q1" s="91"/>
    </row>
    <row r="2" spans="1:17" s="55" customFormat="1" ht="12" customHeight="1">
      <c r="A2" s="74" t="s">
        <v>48</v>
      </c>
      <c r="B2" s="58"/>
      <c r="C2" s="57" t="e">
        <f ca="1">VLOOKUP(E3,Assemblies!B:F,4,0)</f>
        <v>#VALUE!</v>
      </c>
      <c r="D2" s="75" t="s">
        <v>3</v>
      </c>
      <c r="E2" s="76" t="e">
        <f ca="1">'GF12'!E2</f>
        <v>#VALUE!</v>
      </c>
      <c r="F2" s="77" t="s">
        <v>4</v>
      </c>
      <c r="G2" s="58" t="str">
        <f>'GF12'!G2</f>
        <v>GH</v>
      </c>
      <c r="H2" s="77" t="s">
        <v>6</v>
      </c>
      <c r="I2" s="59">
        <f>'GF12'!I2</f>
        <v>44775</v>
      </c>
      <c r="J2" s="39"/>
      <c r="K2" s="40" t="s">
        <v>49</v>
      </c>
      <c r="L2" s="41" t="e">
        <f ca="1">VLOOKUP(C2,Assemblies!E:G,3,0)</f>
        <v>#VALUE!</v>
      </c>
      <c r="M2" s="78"/>
      <c r="N2" s="78"/>
      <c r="O2" s="78"/>
      <c r="P2" s="86"/>
      <c r="Q2" s="92"/>
    </row>
    <row r="3" spans="1:17" s="55" customFormat="1" ht="12" customHeight="1" thickBot="1">
      <c r="A3" s="74" t="s">
        <v>7</v>
      </c>
      <c r="B3" s="58"/>
      <c r="C3" s="57" t="e">
        <f ca="1">VLOOKUP(E3,Assemblies!B:F,5,0)</f>
        <v>#VALUE!</v>
      </c>
      <c r="D3" s="75" t="s">
        <v>50</v>
      </c>
      <c r="E3" s="76" t="e">
        <f ca="1">MID(CELL("filename",A1),FIND("]",CELL("filename",A1))+1,256)</f>
        <v>#VALUE!</v>
      </c>
      <c r="F3" s="77" t="s">
        <v>11</v>
      </c>
      <c r="G3" s="58" t="str">
        <f>'GF12'!G3</f>
        <v>GH</v>
      </c>
      <c r="H3" s="77" t="s">
        <v>6</v>
      </c>
      <c r="I3" s="59">
        <f>'GF12'!I3</f>
        <v>44775</v>
      </c>
      <c r="J3" s="78"/>
      <c r="K3" s="78"/>
      <c r="L3" s="78"/>
      <c r="M3" s="78"/>
      <c r="N3" s="78"/>
      <c r="O3" s="78"/>
      <c r="P3" s="86"/>
      <c r="Q3" s="92"/>
    </row>
    <row r="4" spans="1:17" s="56" customFormat="1" ht="12.75" customHeight="1" thickBot="1">
      <c r="A4" s="80" t="s">
        <v>12</v>
      </c>
      <c r="B4" s="81" t="s">
        <v>13</v>
      </c>
      <c r="C4" s="81" t="s">
        <v>14</v>
      </c>
      <c r="D4" s="270" t="s">
        <v>15</v>
      </c>
      <c r="E4" s="271"/>
      <c r="F4" s="104" t="s">
        <v>16</v>
      </c>
      <c r="G4" s="81" t="s">
        <v>17</v>
      </c>
      <c r="H4" s="260" t="s">
        <v>18</v>
      </c>
      <c r="I4" s="261"/>
      <c r="J4" s="81" t="s">
        <v>51</v>
      </c>
      <c r="K4" s="81" t="s">
        <v>20</v>
      </c>
      <c r="L4" s="81" t="s">
        <v>21</v>
      </c>
      <c r="M4" s="81" t="s">
        <v>52</v>
      </c>
      <c r="N4" s="81" t="s">
        <v>22</v>
      </c>
      <c r="O4" s="81" t="s">
        <v>53</v>
      </c>
      <c r="P4" s="107" t="s">
        <v>26</v>
      </c>
      <c r="Q4" s="82" t="s">
        <v>27</v>
      </c>
    </row>
    <row r="5" spans="1:17" s="2" customFormat="1" ht="12.75" customHeight="1">
      <c r="A5" s="127">
        <v>1</v>
      </c>
      <c r="B5" s="21">
        <v>1</v>
      </c>
      <c r="C5" s="108" t="s">
        <v>437</v>
      </c>
      <c r="D5" s="277" t="str">
        <f>VLOOKUP(C5,Machined!C:Q,2,0)</f>
        <v>Solid Driven Nip Roller</v>
      </c>
      <c r="E5" s="278"/>
      <c r="F5" s="131" t="str">
        <f>VLOOKUP(C5,Machined!C:R,7,0)</f>
        <v>1026 DOM Tube</v>
      </c>
      <c r="G5" s="131" t="str">
        <f>VLOOKUP(C5,Machined!C:R,10,0)</f>
        <v>XOMETRY</v>
      </c>
      <c r="H5" s="131" t="str">
        <f>VLOOKUP(C5,Machined!C:R,11,0)</f>
        <v>Drawing and step files are under 132.00</v>
      </c>
      <c r="I5" s="131"/>
      <c r="J5" s="42" t="str">
        <f>VLOOKUP(C5,Machined!C:R,12,0)</f>
        <v>N/A</v>
      </c>
      <c r="K5" s="42">
        <f>VLOOKUP(C5,Machined!C:R,13,0)</f>
        <v>45124</v>
      </c>
      <c r="L5" s="42">
        <f>VLOOKUP(C5,Machined!C:R,14,0)</f>
        <v>45147</v>
      </c>
      <c r="M5" s="42">
        <f>VLOOKUP(C5,Machined!C:R,15,0)</f>
        <v>45147</v>
      </c>
      <c r="N5" s="43">
        <f>VLOOKUP(C5,Machined!C:R,16,0)</f>
        <v>54996</v>
      </c>
      <c r="O5" s="43" t="e">
        <f t="shared" ref="O5" ca="1" si="0">B5*$L$2</f>
        <v>#VALUE!</v>
      </c>
      <c r="P5" s="47">
        <f>IFERROR(VLOOKUP(C5,Machined!C:F,3,0),"")</f>
        <v>1878.37</v>
      </c>
      <c r="Q5" s="48">
        <f t="shared" ref="Q5" si="1">IFERROR(B5*P5,"")</f>
        <v>1878.37</v>
      </c>
    </row>
    <row r="6" spans="1:17" s="2" customFormat="1" ht="12.75" customHeight="1">
      <c r="A6" s="143"/>
      <c r="B6" s="215"/>
      <c r="C6" s="212"/>
      <c r="D6" s="281"/>
      <c r="E6" s="282"/>
      <c r="F6" s="216"/>
      <c r="G6" s="216"/>
      <c r="H6" s="216"/>
      <c r="I6" s="216"/>
      <c r="J6" s="217"/>
      <c r="K6" s="217"/>
      <c r="L6" s="217"/>
      <c r="M6" s="217"/>
      <c r="N6" s="218"/>
      <c r="O6" s="218"/>
      <c r="P6" s="219"/>
      <c r="Q6" s="220"/>
    </row>
    <row r="7" spans="1:17" s="2" customFormat="1" ht="12.75" customHeight="1">
      <c r="A7" s="127">
        <v>301</v>
      </c>
      <c r="B7" s="21">
        <v>1</v>
      </c>
      <c r="C7" s="114" t="s">
        <v>407</v>
      </c>
      <c r="D7" s="268" t="str">
        <f>VLOOKUP(C7,Purchased!A:B,2,0)</f>
        <v>Gates P35-8MGT-30 Pully</v>
      </c>
      <c r="E7" s="269"/>
      <c r="F7" s="112" t="str">
        <f>VLOOKUP(C7,Purchased!A:Q,9,0)</f>
        <v>Gates</v>
      </c>
      <c r="G7" s="112" t="str">
        <f>VLOOKUP(C7,Purchased!A:Q,10,0)</f>
        <v>MOTION</v>
      </c>
      <c r="H7" s="112">
        <f>VLOOKUP(C7,Purchased!A:Q,12,0)</f>
        <v>3220129</v>
      </c>
      <c r="I7" s="113"/>
      <c r="J7" s="44">
        <f>VLOOKUP(C7,Purchased!A:Q,13,0)</f>
        <v>45125</v>
      </c>
      <c r="K7" s="44">
        <f>VLOOKUP(C7,Purchased!A:Q,14,0)</f>
        <v>45147</v>
      </c>
      <c r="L7" s="44">
        <f>VLOOKUP(C7,Purchased!A:Q,15,0)</f>
        <v>45176</v>
      </c>
      <c r="M7" s="44">
        <f>VLOOKUP(C7,Purchased!A:Q,16,0)</f>
        <v>45176</v>
      </c>
      <c r="N7" s="45">
        <f>VLOOKUP(C7,Purchased!A:Q,17,0)</f>
        <v>55042</v>
      </c>
      <c r="O7" s="45" t="e">
        <f t="shared" ref="O7" ca="1" si="2">B7*$L$2</f>
        <v>#VALUE!</v>
      </c>
      <c r="P7" s="49">
        <f>IFERROR(VLOOKUP(C7,Purchased!A:E,3,FALSE),"")</f>
        <v>110.48</v>
      </c>
      <c r="Q7" s="50">
        <f t="shared" ref="Q7" si="3">IFERROR(B7*P7,"")</f>
        <v>110.48</v>
      </c>
    </row>
    <row r="8" spans="1:17" s="2" customFormat="1" ht="12.75" customHeight="1">
      <c r="A8" s="127">
        <v>302</v>
      </c>
      <c r="B8" s="21">
        <v>1</v>
      </c>
      <c r="C8" s="114" t="s">
        <v>408</v>
      </c>
      <c r="D8" s="268" t="str">
        <f>VLOOKUP(C8,Purchased!A:B,2,0)</f>
        <v>XL, Hub, 2 Flanges, 9.5mm Maximum Width, 57mm OD, 12mm Shaft</v>
      </c>
      <c r="E8" s="269"/>
      <c r="F8" s="112" t="str">
        <f>VLOOKUP(C8,Purchased!A:Q,9,0)</f>
        <v>Gates</v>
      </c>
      <c r="G8" s="112" t="str">
        <f>VLOOKUP(C8,Purchased!A:Q,10,0)</f>
        <v>MOTION</v>
      </c>
      <c r="H8" s="112">
        <f>VLOOKUP(C8,Purchased!A:Q,12,0)</f>
        <v>221594</v>
      </c>
      <c r="I8" s="113"/>
      <c r="J8" s="44">
        <f>VLOOKUP(C8,Purchased!A:Q,13,0)</f>
        <v>45125</v>
      </c>
      <c r="K8" s="44">
        <f>VLOOKUP(C8,Purchased!A:Q,14,0)</f>
        <v>45147</v>
      </c>
      <c r="L8" s="44">
        <f>VLOOKUP(C8,Purchased!A:Q,15,0)</f>
        <v>45176</v>
      </c>
      <c r="M8" s="44">
        <f>VLOOKUP(C8,Purchased!A:Q,16,0)</f>
        <v>45176</v>
      </c>
      <c r="N8" s="45">
        <f>VLOOKUP(C8,Purchased!A:Q,17,0)</f>
        <v>55042</v>
      </c>
      <c r="O8" s="45" t="e">
        <f t="shared" ref="O8:O9" ca="1" si="4">B8*$L$2</f>
        <v>#VALUE!</v>
      </c>
      <c r="P8" s="49">
        <f>IFERROR(VLOOKUP(C8,Purchased!A:E,3,FALSE),"")</f>
        <v>23.22</v>
      </c>
      <c r="Q8" s="50">
        <f t="shared" ref="Q8:Q9" si="5">IFERROR(B8*P8,"")</f>
        <v>23.22</v>
      </c>
    </row>
    <row r="9" spans="1:17" s="2" customFormat="1" ht="12.75" customHeight="1" thickBot="1">
      <c r="A9" s="127">
        <v>303</v>
      </c>
      <c r="B9" s="21">
        <v>1</v>
      </c>
      <c r="C9" s="114" t="s">
        <v>409</v>
      </c>
      <c r="D9" s="268" t="str">
        <f>VLOOKUP(C9,Purchased!A:B,2,0)</f>
        <v>Gates 640-8MGT-30 Toothed belt</v>
      </c>
      <c r="E9" s="269"/>
      <c r="F9" s="112" t="str">
        <f>VLOOKUP(C9,Purchased!A:Q,9,0)</f>
        <v>Gates</v>
      </c>
      <c r="G9" s="112" t="str">
        <f>VLOOKUP(C9,Purchased!A:Q,10,0)</f>
        <v>MOTION</v>
      </c>
      <c r="H9" s="112">
        <f>VLOOKUP(C9,Purchased!A:Q,12,0)</f>
        <v>9165546</v>
      </c>
      <c r="I9" s="113"/>
      <c r="J9" s="44">
        <f>VLOOKUP(C9,Purchased!A:Q,13,0)</f>
        <v>45125</v>
      </c>
      <c r="K9" s="44">
        <f>VLOOKUP(C9,Purchased!A:Q,14,0)</f>
        <v>45147</v>
      </c>
      <c r="L9" s="44">
        <f>VLOOKUP(C9,Purchased!A:Q,15,0)</f>
        <v>45176</v>
      </c>
      <c r="M9" s="44">
        <f>VLOOKUP(C9,Purchased!A:Q,16,0)</f>
        <v>45176</v>
      </c>
      <c r="N9" s="45">
        <f>VLOOKUP(C9,Purchased!A:Q,17,0)</f>
        <v>55042</v>
      </c>
      <c r="O9" s="45" t="e">
        <f t="shared" ca="1" si="4"/>
        <v>#VALUE!</v>
      </c>
      <c r="P9" s="49">
        <f>IFERROR(VLOOKUP(C9,Purchased!A:E,3,FALSE),"")</f>
        <v>48.31</v>
      </c>
      <c r="Q9" s="50">
        <f t="shared" si="5"/>
        <v>48.31</v>
      </c>
    </row>
    <row r="10" spans="1:17" s="2" customFormat="1" ht="12.75" customHeight="1" thickBot="1">
      <c r="A10" s="34"/>
      <c r="B10" s="35"/>
      <c r="C10" s="35"/>
      <c r="D10" s="256"/>
      <c r="E10" s="257"/>
      <c r="F10" s="35"/>
      <c r="G10" s="35"/>
      <c r="H10" s="294"/>
      <c r="I10" s="295"/>
      <c r="J10" s="36"/>
      <c r="K10" s="36"/>
      <c r="L10" s="36"/>
      <c r="M10" s="37"/>
      <c r="N10" s="38"/>
      <c r="O10" s="38"/>
      <c r="P10" s="89" t="s">
        <v>43</v>
      </c>
      <c r="Q10" s="94">
        <f>SUM(Q5:Q5)</f>
        <v>1878.37</v>
      </c>
    </row>
    <row r="11" spans="1:17" s="2" customFormat="1" ht="12" customHeight="1">
      <c r="D11" s="22"/>
      <c r="E11" s="22"/>
      <c r="J11" s="8"/>
      <c r="K11" s="8"/>
      <c r="L11" s="8"/>
      <c r="M11" s="8"/>
      <c r="N11" s="5"/>
      <c r="O11" s="5"/>
      <c r="P11" s="88"/>
      <c r="Q11" s="95"/>
    </row>
    <row r="12" spans="1:17" s="2" customFormat="1" ht="12" customHeight="1">
      <c r="D12" s="22"/>
      <c r="E12" s="22"/>
      <c r="J12" s="5"/>
      <c r="K12" s="5"/>
      <c r="L12" s="5"/>
      <c r="M12" s="5"/>
      <c r="N12" s="5"/>
      <c r="O12" s="5"/>
      <c r="P12" s="88"/>
      <c r="Q12" s="95"/>
    </row>
    <row r="13" spans="1:17" s="2" customFormat="1" ht="12" customHeight="1">
      <c r="D13" s="22"/>
      <c r="E13" s="22"/>
      <c r="J13" s="5"/>
      <c r="K13" s="5"/>
      <c r="L13" s="5"/>
      <c r="M13" s="5"/>
      <c r="N13" s="5"/>
      <c r="O13" s="5"/>
      <c r="P13" s="88"/>
      <c r="Q13" s="95"/>
    </row>
    <row r="14" spans="1:17" s="2" customFormat="1" ht="12" customHeight="1">
      <c r="D14" s="22"/>
      <c r="E14" s="22"/>
      <c r="J14" s="5"/>
      <c r="K14" s="5"/>
      <c r="L14" s="5"/>
      <c r="M14" s="5"/>
      <c r="N14" s="5"/>
      <c r="O14" s="5"/>
      <c r="P14" s="88"/>
      <c r="Q14" s="95"/>
    </row>
    <row r="15" spans="1:17" s="2" customFormat="1" ht="12" customHeight="1">
      <c r="D15" s="22"/>
      <c r="E15" s="22"/>
      <c r="J15" s="5"/>
      <c r="K15" s="5"/>
      <c r="L15" s="5"/>
      <c r="M15" s="5"/>
      <c r="N15" s="5"/>
      <c r="O15" s="5"/>
      <c r="P15" s="88"/>
      <c r="Q15" s="95"/>
    </row>
    <row r="16" spans="1:17" s="2" customFormat="1" ht="12" customHeight="1">
      <c r="D16" s="22"/>
      <c r="E16" s="22"/>
      <c r="J16" s="5"/>
      <c r="K16" s="5"/>
      <c r="L16" s="5"/>
      <c r="M16" s="5"/>
      <c r="N16" s="5"/>
      <c r="O16" s="5"/>
      <c r="P16" s="88"/>
      <c r="Q16" s="95"/>
    </row>
    <row r="17" spans="4:17" s="2" customFormat="1" ht="12" customHeight="1">
      <c r="D17" s="22"/>
      <c r="E17" s="22"/>
      <c r="J17" s="5"/>
      <c r="K17" s="5"/>
      <c r="L17" s="5"/>
      <c r="M17" s="5"/>
      <c r="N17" s="5"/>
      <c r="O17" s="5"/>
      <c r="P17" s="88"/>
      <c r="Q17" s="95"/>
    </row>
    <row r="18" spans="4:17" s="2" customFormat="1" ht="12" customHeight="1">
      <c r="D18" s="22"/>
      <c r="E18" s="22"/>
      <c r="J18" s="5"/>
      <c r="K18" s="5"/>
      <c r="L18" s="5"/>
      <c r="M18" s="5"/>
      <c r="N18" s="5"/>
      <c r="O18" s="5"/>
      <c r="P18" s="88"/>
      <c r="Q18" s="95"/>
    </row>
    <row r="19" spans="4:17" s="2" customFormat="1" ht="12" customHeight="1">
      <c r="D19" s="22"/>
      <c r="E19" s="22"/>
      <c r="J19" s="5"/>
      <c r="K19" s="5"/>
      <c r="L19" s="5"/>
      <c r="M19" s="5"/>
      <c r="N19" s="5"/>
      <c r="O19" s="5"/>
      <c r="P19" s="88"/>
      <c r="Q19" s="95"/>
    </row>
    <row r="20" spans="4:17" s="2" customFormat="1" ht="12" customHeight="1">
      <c r="D20" s="22"/>
      <c r="E20" s="22"/>
      <c r="J20" s="5"/>
      <c r="K20" s="5"/>
      <c r="L20" s="5"/>
      <c r="M20" s="5"/>
      <c r="N20" s="5"/>
      <c r="O20" s="5"/>
      <c r="P20" s="88"/>
      <c r="Q20" s="95"/>
    </row>
    <row r="21" spans="4:17" s="2" customFormat="1" ht="12" customHeight="1">
      <c r="D21" s="22"/>
      <c r="E21" s="22"/>
      <c r="J21" s="5"/>
      <c r="K21" s="5"/>
      <c r="L21" s="5"/>
      <c r="M21" s="5"/>
      <c r="N21" s="5"/>
      <c r="O21" s="5"/>
      <c r="P21" s="88"/>
      <c r="Q21" s="95"/>
    </row>
    <row r="22" spans="4:17" s="2" customFormat="1" ht="12" customHeight="1">
      <c r="D22" s="22"/>
      <c r="E22" s="22"/>
      <c r="J22" s="5"/>
      <c r="K22" s="5"/>
      <c r="L22" s="5"/>
      <c r="M22" s="5"/>
      <c r="N22" s="5"/>
      <c r="O22" s="5"/>
      <c r="P22" s="88"/>
      <c r="Q22" s="95"/>
    </row>
    <row r="23" spans="4:17" s="2" customFormat="1" ht="12" customHeight="1">
      <c r="D23" s="22"/>
      <c r="E23" s="22"/>
      <c r="J23" s="5"/>
      <c r="K23" s="5"/>
      <c r="L23" s="5"/>
      <c r="M23" s="5"/>
      <c r="N23" s="5"/>
      <c r="O23" s="5"/>
      <c r="P23" s="88"/>
      <c r="Q23" s="95"/>
    </row>
    <row r="24" spans="4:17" s="2" customFormat="1" ht="12" customHeight="1">
      <c r="D24" s="22"/>
      <c r="E24" s="22"/>
      <c r="J24" s="5"/>
      <c r="K24" s="5"/>
      <c r="L24" s="5"/>
      <c r="M24" s="5"/>
      <c r="N24" s="5"/>
      <c r="O24" s="5"/>
      <c r="P24" s="88"/>
      <c r="Q24" s="95"/>
    </row>
    <row r="25" spans="4:17" s="2" customFormat="1" ht="12" customHeight="1">
      <c r="D25" s="22"/>
      <c r="E25" s="22"/>
      <c r="J25" s="5"/>
      <c r="K25" s="5"/>
      <c r="L25" s="5"/>
      <c r="M25" s="5"/>
      <c r="N25" s="5"/>
      <c r="O25" s="5"/>
      <c r="P25" s="88"/>
      <c r="Q25" s="95"/>
    </row>
    <row r="26" spans="4:17" s="2" customFormat="1" ht="12" customHeight="1">
      <c r="D26" s="22"/>
      <c r="E26" s="22"/>
      <c r="J26" s="5"/>
      <c r="K26" s="5"/>
      <c r="L26" s="5"/>
      <c r="M26" s="5"/>
      <c r="N26" s="5"/>
      <c r="O26" s="5"/>
      <c r="P26" s="88"/>
      <c r="Q26" s="95"/>
    </row>
    <row r="27" spans="4:17" s="2" customFormat="1" ht="12" customHeight="1">
      <c r="D27" s="22"/>
      <c r="E27" s="22"/>
      <c r="J27" s="5"/>
      <c r="K27" s="5"/>
      <c r="L27" s="5"/>
      <c r="M27" s="5"/>
      <c r="N27" s="5"/>
      <c r="O27" s="5"/>
      <c r="P27" s="88"/>
      <c r="Q27" s="95"/>
    </row>
    <row r="28" spans="4:17" s="2" customFormat="1" ht="12" customHeight="1">
      <c r="D28" s="22"/>
      <c r="E28" s="22"/>
      <c r="J28" s="5"/>
      <c r="K28" s="5"/>
      <c r="L28" s="5"/>
      <c r="M28" s="5"/>
      <c r="N28" s="5"/>
      <c r="O28" s="5"/>
      <c r="P28" s="88"/>
      <c r="Q28" s="95"/>
    </row>
    <row r="29" spans="4:17" s="2" customFormat="1" ht="12" customHeight="1">
      <c r="D29" s="22"/>
      <c r="E29" s="22"/>
      <c r="J29" s="5"/>
      <c r="K29" s="5"/>
      <c r="L29" s="5"/>
      <c r="M29" s="5"/>
      <c r="N29" s="5"/>
      <c r="O29" s="5"/>
      <c r="P29" s="88"/>
      <c r="Q29" s="95"/>
    </row>
    <row r="30" spans="4:17" s="2" customFormat="1" ht="12" customHeight="1">
      <c r="D30" s="22"/>
      <c r="E30" s="22"/>
      <c r="J30" s="5"/>
      <c r="K30" s="5"/>
      <c r="L30" s="5"/>
      <c r="M30" s="5"/>
      <c r="N30" s="5"/>
      <c r="O30" s="5"/>
      <c r="P30" s="88"/>
      <c r="Q30" s="95"/>
    </row>
    <row r="31" spans="4:17" s="2" customFormat="1" ht="12" customHeight="1">
      <c r="D31" s="22"/>
      <c r="E31" s="22"/>
      <c r="J31" s="5"/>
      <c r="K31" s="5"/>
      <c r="L31" s="5"/>
      <c r="M31" s="5"/>
      <c r="N31" s="5"/>
      <c r="O31" s="5"/>
      <c r="P31" s="88"/>
      <c r="Q31" s="95"/>
    </row>
    <row r="32" spans="4:17" s="2" customFormat="1" ht="12" customHeight="1">
      <c r="D32" s="22"/>
      <c r="E32" s="22"/>
      <c r="J32" s="5"/>
      <c r="K32" s="5"/>
      <c r="L32" s="5"/>
      <c r="M32" s="5"/>
      <c r="N32" s="5"/>
      <c r="O32" s="5"/>
      <c r="P32" s="88"/>
      <c r="Q32" s="95"/>
    </row>
    <row r="33" spans="4:17" s="2" customFormat="1" ht="12" customHeight="1">
      <c r="D33" s="22"/>
      <c r="E33" s="22"/>
      <c r="J33" s="5"/>
      <c r="K33" s="5"/>
      <c r="L33" s="5"/>
      <c r="M33" s="5"/>
      <c r="N33" s="5"/>
      <c r="O33" s="5"/>
      <c r="P33" s="88"/>
      <c r="Q33" s="95"/>
    </row>
    <row r="34" spans="4:17" s="2" customFormat="1" ht="12" customHeight="1">
      <c r="D34" s="22"/>
      <c r="E34" s="22"/>
      <c r="J34" s="5"/>
      <c r="K34" s="5"/>
      <c r="L34" s="5"/>
      <c r="M34" s="5"/>
      <c r="N34" s="5"/>
      <c r="O34" s="5"/>
      <c r="P34" s="88"/>
      <c r="Q34" s="95"/>
    </row>
    <row r="35" spans="4:17" s="2" customFormat="1" ht="12" customHeight="1">
      <c r="D35" s="22"/>
      <c r="E35" s="22"/>
      <c r="J35" s="5"/>
      <c r="K35" s="5"/>
      <c r="L35" s="5"/>
      <c r="M35" s="5"/>
      <c r="N35" s="5"/>
      <c r="O35" s="5"/>
      <c r="P35" s="88"/>
      <c r="Q35" s="95"/>
    </row>
    <row r="36" spans="4:17" s="2" customFormat="1" ht="12" customHeight="1">
      <c r="D36" s="22"/>
      <c r="E36" s="22"/>
      <c r="J36" s="5"/>
      <c r="K36" s="5"/>
      <c r="L36" s="5"/>
      <c r="M36" s="5"/>
      <c r="N36" s="5"/>
      <c r="O36" s="5"/>
      <c r="P36" s="88"/>
      <c r="Q36" s="95"/>
    </row>
    <row r="37" spans="4:17" s="2" customFormat="1" ht="12" customHeight="1">
      <c r="D37" s="22"/>
      <c r="E37" s="22"/>
      <c r="J37" s="5"/>
      <c r="K37" s="5"/>
      <c r="L37" s="5"/>
      <c r="M37" s="5"/>
      <c r="N37" s="5"/>
      <c r="O37" s="5"/>
      <c r="P37" s="88"/>
      <c r="Q37" s="95"/>
    </row>
    <row r="38" spans="4:17" s="2" customFormat="1" ht="12" customHeight="1">
      <c r="D38" s="22"/>
      <c r="E38" s="22"/>
      <c r="J38" s="5"/>
      <c r="K38" s="5"/>
      <c r="L38" s="5"/>
      <c r="M38" s="5"/>
      <c r="N38" s="5"/>
      <c r="O38" s="5"/>
      <c r="P38" s="88"/>
      <c r="Q38" s="95"/>
    </row>
    <row r="39" spans="4:17" s="2" customFormat="1" ht="12" customHeight="1">
      <c r="D39" s="22"/>
      <c r="E39" s="22"/>
      <c r="J39" s="5"/>
      <c r="K39" s="5"/>
      <c r="L39" s="5"/>
      <c r="M39" s="5"/>
      <c r="N39" s="5"/>
      <c r="O39" s="5"/>
      <c r="P39" s="88"/>
      <c r="Q39" s="95"/>
    </row>
    <row r="40" spans="4:17" s="2" customFormat="1" ht="12" customHeight="1">
      <c r="D40" s="22"/>
      <c r="E40" s="22"/>
      <c r="J40" s="5"/>
      <c r="K40" s="5"/>
      <c r="L40" s="5"/>
      <c r="M40" s="5"/>
      <c r="N40" s="5"/>
      <c r="O40" s="5"/>
      <c r="P40" s="88"/>
      <c r="Q40" s="95"/>
    </row>
    <row r="41" spans="4:17" s="2" customFormat="1" ht="12" customHeight="1">
      <c r="D41" s="22"/>
      <c r="E41" s="22"/>
      <c r="J41" s="5"/>
      <c r="K41" s="5"/>
      <c r="L41" s="5"/>
      <c r="M41" s="5"/>
      <c r="N41" s="5"/>
      <c r="O41" s="5"/>
      <c r="P41" s="88"/>
      <c r="Q41" s="95"/>
    </row>
    <row r="42" spans="4:17" s="2" customFormat="1" ht="12" customHeight="1">
      <c r="D42" s="22"/>
      <c r="E42" s="22"/>
      <c r="J42" s="5"/>
      <c r="K42" s="5"/>
      <c r="L42" s="5"/>
      <c r="M42" s="5"/>
      <c r="N42" s="5"/>
      <c r="O42" s="5"/>
      <c r="P42" s="88"/>
      <c r="Q42" s="95"/>
    </row>
    <row r="43" spans="4:17" s="2" customFormat="1" ht="12" customHeight="1">
      <c r="D43" s="22"/>
      <c r="E43" s="22"/>
      <c r="J43" s="5"/>
      <c r="K43" s="5"/>
      <c r="L43" s="5"/>
      <c r="M43" s="5"/>
      <c r="N43" s="5"/>
      <c r="O43" s="5"/>
      <c r="P43" s="88"/>
      <c r="Q43" s="95"/>
    </row>
    <row r="44" spans="4:17" s="2" customFormat="1" ht="12" customHeight="1">
      <c r="D44" s="22"/>
      <c r="E44" s="22"/>
      <c r="J44" s="5"/>
      <c r="K44" s="5"/>
      <c r="L44" s="5"/>
      <c r="M44" s="5"/>
      <c r="N44" s="5"/>
      <c r="O44" s="5"/>
      <c r="P44" s="88"/>
      <c r="Q44" s="95"/>
    </row>
    <row r="45" spans="4:17" s="2" customFormat="1" ht="12" customHeight="1">
      <c r="D45" s="22"/>
      <c r="E45" s="22"/>
      <c r="J45" s="5"/>
      <c r="K45" s="5"/>
      <c r="L45" s="5"/>
      <c r="M45" s="5"/>
      <c r="N45" s="5"/>
      <c r="O45" s="5"/>
      <c r="P45" s="88"/>
      <c r="Q45" s="95"/>
    </row>
    <row r="46" spans="4:17" s="2" customFormat="1" ht="12" customHeight="1">
      <c r="D46" s="22"/>
      <c r="E46" s="22"/>
      <c r="J46" s="5"/>
      <c r="K46" s="5"/>
      <c r="L46" s="5"/>
      <c r="M46" s="5"/>
      <c r="N46" s="5"/>
      <c r="O46" s="5"/>
      <c r="P46" s="88"/>
      <c r="Q46" s="95"/>
    </row>
    <row r="47" spans="4:17" s="2" customFormat="1" ht="12" customHeight="1">
      <c r="D47" s="22"/>
      <c r="E47" s="22"/>
      <c r="J47" s="5"/>
      <c r="K47" s="5"/>
      <c r="L47" s="5"/>
      <c r="M47" s="5"/>
      <c r="N47" s="5"/>
      <c r="O47" s="5"/>
      <c r="P47" s="88"/>
      <c r="Q47" s="95"/>
    </row>
    <row r="48" spans="4:17" s="2" customFormat="1" ht="12" customHeight="1">
      <c r="D48" s="22"/>
      <c r="E48" s="22"/>
      <c r="J48" s="5"/>
      <c r="K48" s="5"/>
      <c r="L48" s="5"/>
      <c r="M48" s="5"/>
      <c r="N48" s="5"/>
      <c r="O48" s="5"/>
      <c r="P48" s="88"/>
      <c r="Q48" s="95"/>
    </row>
    <row r="49" spans="1:17" s="2" customFormat="1" ht="12" customHeight="1">
      <c r="D49" s="22"/>
      <c r="E49" s="22"/>
      <c r="J49" s="5"/>
      <c r="K49" s="5"/>
      <c r="L49" s="5"/>
      <c r="M49" s="5"/>
      <c r="N49" s="5"/>
      <c r="O49" s="5"/>
      <c r="P49" s="88"/>
      <c r="Q49" s="96"/>
    </row>
    <row r="50" spans="1:17" s="2" customFormat="1" ht="12" customHeight="1">
      <c r="D50" s="22"/>
      <c r="E50" s="22"/>
      <c r="J50" s="5"/>
      <c r="K50" s="5"/>
      <c r="L50" s="5"/>
      <c r="M50" s="5"/>
      <c r="N50" s="5"/>
      <c r="O50" s="5"/>
      <c r="P50" s="88"/>
      <c r="Q50" s="96"/>
    </row>
    <row r="51" spans="1:17" s="2" customFormat="1" ht="12" customHeight="1">
      <c r="D51" s="22"/>
      <c r="E51" s="22"/>
      <c r="J51" s="5"/>
      <c r="K51" s="5"/>
      <c r="L51" s="5"/>
      <c r="M51" s="5"/>
      <c r="N51" s="5"/>
      <c r="O51" s="5"/>
      <c r="P51" s="88"/>
      <c r="Q51" s="96"/>
    </row>
    <row r="52" spans="1:17" s="2" customFormat="1" ht="12" customHeight="1">
      <c r="D52" s="22"/>
      <c r="E52" s="22"/>
      <c r="J52" s="5"/>
      <c r="K52" s="5"/>
      <c r="L52" s="5"/>
      <c r="M52" s="5"/>
      <c r="N52" s="5"/>
      <c r="O52" s="5"/>
      <c r="P52" s="88"/>
      <c r="Q52" s="96"/>
    </row>
    <row r="53" spans="1:17" s="2" customFormat="1" ht="12" customHeight="1">
      <c r="A53"/>
      <c r="B53"/>
      <c r="C53"/>
      <c r="D53" s="23"/>
      <c r="E53" s="23"/>
      <c r="F53"/>
      <c r="G53"/>
      <c r="H53"/>
      <c r="I53"/>
      <c r="J53" s="19"/>
      <c r="K53" s="19"/>
      <c r="L53" s="19"/>
      <c r="M53" s="19"/>
      <c r="N53" s="19"/>
      <c r="O53" s="19"/>
      <c r="P53" s="90"/>
      <c r="Q53" s="96"/>
    </row>
    <row r="54" spans="1:17" s="2" customFormat="1" ht="12" customHeight="1">
      <c r="A54"/>
      <c r="B54"/>
      <c r="C54"/>
      <c r="D54" s="23"/>
      <c r="E54" s="23"/>
      <c r="F54"/>
      <c r="G54"/>
      <c r="H54"/>
      <c r="I54"/>
      <c r="J54" s="19"/>
      <c r="K54" s="19"/>
      <c r="L54" s="19"/>
      <c r="M54" s="19"/>
      <c r="N54" s="19"/>
      <c r="O54" s="19"/>
      <c r="P54" s="90"/>
      <c r="Q54" s="96"/>
    </row>
    <row r="55" spans="1:17" s="2" customFormat="1" ht="12" customHeight="1">
      <c r="A55"/>
      <c r="B55"/>
      <c r="C55"/>
      <c r="D55" s="23"/>
      <c r="E55" s="23"/>
      <c r="F55"/>
      <c r="G55"/>
      <c r="H55"/>
      <c r="I55"/>
      <c r="J55" s="19"/>
      <c r="K55" s="19"/>
      <c r="L55" s="19"/>
      <c r="M55" s="19"/>
      <c r="N55" s="19"/>
      <c r="O55" s="19"/>
      <c r="P55" s="90"/>
      <c r="Q55" s="96"/>
    </row>
    <row r="56" spans="1:17" s="2" customFormat="1" ht="12" customHeight="1">
      <c r="A56"/>
      <c r="B56"/>
      <c r="C56"/>
      <c r="D56" s="23"/>
      <c r="E56" s="23"/>
      <c r="F56"/>
      <c r="G56"/>
      <c r="H56"/>
      <c r="I56"/>
      <c r="J56" s="19"/>
      <c r="K56" s="19"/>
      <c r="L56" s="19"/>
      <c r="M56" s="19"/>
      <c r="N56" s="19"/>
      <c r="O56" s="19"/>
      <c r="P56" s="90"/>
      <c r="Q56" s="96"/>
    </row>
    <row r="57" spans="1:17" s="2" customFormat="1" ht="12" customHeight="1">
      <c r="A57"/>
      <c r="B57"/>
      <c r="C57"/>
      <c r="D57" s="23"/>
      <c r="E57" s="23"/>
      <c r="F57"/>
      <c r="G57"/>
      <c r="H57"/>
      <c r="I57"/>
      <c r="J57" s="19"/>
      <c r="K57" s="19"/>
      <c r="L57" s="19"/>
      <c r="M57" s="19"/>
      <c r="N57" s="19"/>
      <c r="O57" s="19"/>
      <c r="P57" s="90"/>
      <c r="Q57" s="96"/>
    </row>
    <row r="58" spans="1:17">
      <c r="Q58" s="96"/>
    </row>
    <row r="59" spans="1:17">
      <c r="Q59" s="96"/>
    </row>
    <row r="60" spans="1:17">
      <c r="Q60" s="96"/>
    </row>
    <row r="61" spans="1:17">
      <c r="Q61" s="96"/>
    </row>
    <row r="62" spans="1:17">
      <c r="Q62" s="96"/>
    </row>
    <row r="63" spans="1:17">
      <c r="Q63" s="96"/>
    </row>
    <row r="64" spans="1:17">
      <c r="Q64" s="96"/>
    </row>
    <row r="65" spans="17:17">
      <c r="Q65" s="96"/>
    </row>
    <row r="66" spans="17:17">
      <c r="Q66" s="96"/>
    </row>
    <row r="67" spans="17:17">
      <c r="Q67" s="96"/>
    </row>
    <row r="68" spans="17:17">
      <c r="Q68" s="96"/>
    </row>
    <row r="69" spans="17:17">
      <c r="Q69" s="96"/>
    </row>
    <row r="70" spans="17:17">
      <c r="Q70" s="96"/>
    </row>
    <row r="71" spans="17:17">
      <c r="Q71" s="96"/>
    </row>
    <row r="72" spans="17:17">
      <c r="Q72" s="96"/>
    </row>
    <row r="73" spans="17:17">
      <c r="Q73" s="96"/>
    </row>
    <row r="74" spans="17:17">
      <c r="Q74" s="96"/>
    </row>
    <row r="75" spans="17:17">
      <c r="Q75" s="96"/>
    </row>
    <row r="76" spans="17:17">
      <c r="Q76" s="96"/>
    </row>
    <row r="77" spans="17:17">
      <c r="Q77" s="96"/>
    </row>
    <row r="114" ht="12" customHeight="1"/>
    <row r="115" ht="12" customHeight="1"/>
    <row r="116" ht="12" customHeight="1"/>
    <row r="117" ht="12" customHeight="1"/>
    <row r="118" ht="12" customHeight="1"/>
    <row r="119" ht="12" customHeight="1"/>
    <row r="120" ht="12" customHeight="1"/>
    <row r="121" ht="12" customHeight="1"/>
    <row r="122" ht="12" customHeight="1"/>
    <row r="123" ht="12" customHeight="1"/>
    <row r="124" ht="12" customHeight="1"/>
    <row r="125" ht="12" customHeight="1"/>
    <row r="126" ht="12" customHeight="1"/>
    <row r="127" ht="12" customHeight="1"/>
    <row r="128" ht="12" customHeight="1"/>
    <row r="129" ht="12" customHeight="1"/>
    <row r="130" ht="12" customHeight="1"/>
    <row r="131" ht="12" customHeight="1"/>
    <row r="132" ht="12" customHeight="1"/>
    <row r="133" ht="12" customHeight="1"/>
    <row r="134" ht="12" customHeight="1"/>
    <row r="135" ht="12" customHeight="1"/>
    <row r="136" ht="12" customHeight="1"/>
    <row r="137" ht="12" customHeight="1"/>
    <row r="138" ht="12" customHeight="1"/>
    <row r="139" ht="12" customHeight="1"/>
    <row r="140" ht="12" customHeight="1"/>
    <row r="141" ht="12" customHeight="1"/>
    <row r="142" ht="12" customHeight="1"/>
    <row r="143" ht="12" customHeight="1"/>
    <row r="144" ht="12" customHeight="1"/>
    <row r="145" ht="12" customHeight="1"/>
    <row r="146" ht="12" customHeight="1"/>
    <row r="147" ht="12" customHeight="1"/>
    <row r="148" ht="12" customHeight="1"/>
    <row r="149" ht="12" customHeight="1"/>
    <row r="150" ht="12" customHeight="1"/>
    <row r="151" ht="12" customHeight="1"/>
    <row r="152" ht="12" customHeight="1"/>
    <row r="153" ht="12" customHeight="1"/>
    <row r="154" ht="12" customHeight="1"/>
    <row r="155" ht="12" customHeight="1"/>
    <row r="156" ht="12" customHeight="1"/>
    <row r="157" ht="12" customHeight="1"/>
    <row r="158" ht="12" customHeight="1"/>
    <row r="159" ht="12" customHeight="1"/>
    <row r="160" ht="12" customHeight="1"/>
    <row r="161" ht="12" customHeight="1"/>
    <row r="162" ht="12" customHeight="1"/>
    <row r="163" ht="12" customHeight="1"/>
  </sheetData>
  <mergeCells count="10">
    <mergeCell ref="D5:E5"/>
    <mergeCell ref="D1:E1"/>
    <mergeCell ref="D4:E4"/>
    <mergeCell ref="H4:I4"/>
    <mergeCell ref="D10:E10"/>
    <mergeCell ref="H10:I10"/>
    <mergeCell ref="D6:E6"/>
    <mergeCell ref="D7:E7"/>
    <mergeCell ref="D8:E8"/>
    <mergeCell ref="D9:E9"/>
  </mergeCells>
  <conditionalFormatting sqref="M5:M6">
    <cfRule type="cellIs" dxfId="543" priority="3" stopIfTrue="1" operator="lessThanOrEqual">
      <formula>$L5</formula>
    </cfRule>
    <cfRule type="cellIs" dxfId="542" priority="4" operator="greaterThan">
      <formula>L5</formula>
    </cfRule>
  </conditionalFormatting>
  <conditionalFormatting sqref="M7:M9">
    <cfRule type="cellIs" dxfId="541" priority="1" stopIfTrue="1" operator="lessThanOrEqual">
      <formula>$L7</formula>
    </cfRule>
    <cfRule type="cellIs" dxfId="540" priority="2" operator="greaterThan">
      <formula>L7</formula>
    </cfRule>
  </conditionalFormatting>
  <pageMargins left="0.7" right="0.7" top="0.75" bottom="0.75" header="0.3" footer="0.3"/>
  <pageSetup paperSize="3" fitToHeight="0" orientation="landscape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379E9DD0-AE45-4133-A5BE-A3120BCFABFA}">
          <x14:formula1>
            <xm:f>Purchased!$A:$A</xm:f>
          </x14:formula1>
          <xm:sqref>C7:C9</xm:sqref>
        </x14:dataValidation>
        <x14:dataValidation type="list" allowBlank="1" showInputMessage="1" showErrorMessage="1" xr:uid="{D800202F-163D-4D17-ADF4-088EEF0537C3}">
          <x14:formula1>
            <xm:f>Machined!$C:$C</xm:f>
          </x14:formula1>
          <xm:sqref>C5</xm:sqref>
        </x14:dataValidation>
      </x14:dataValidation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40DFD3-748C-4E0A-A598-B4146A497E06}">
  <sheetPr codeName="Sheet33">
    <tabColor theme="3" tint="0.79998168889431442"/>
    <pageSetUpPr fitToPage="1"/>
  </sheetPr>
  <dimension ref="A1:Q172"/>
  <sheetViews>
    <sheetView zoomScale="108" zoomScaleNormal="108" workbookViewId="0">
      <selection activeCell="F29" sqref="F29"/>
    </sheetView>
  </sheetViews>
  <sheetFormatPr defaultColWidth="9.140625" defaultRowHeight="15"/>
  <cols>
    <col min="1" max="1" width="5.7109375" customWidth="1"/>
    <col min="2" max="2" width="5.42578125" bestFit="1" customWidth="1"/>
    <col min="3" max="3" width="30.7109375" customWidth="1"/>
    <col min="4" max="5" width="20.7109375" style="23" customWidth="1"/>
    <col min="6" max="6" width="16.85546875" bestFit="1" customWidth="1"/>
    <col min="7" max="7" width="9.7109375" customWidth="1"/>
    <col min="8" max="8" width="8.7109375" customWidth="1"/>
    <col min="9" max="9" width="20.7109375" customWidth="1"/>
    <col min="10" max="13" width="11.7109375" style="19" customWidth="1"/>
    <col min="14" max="14" width="11.85546875" style="19" bestFit="1" customWidth="1"/>
    <col min="15" max="15" width="7.7109375" style="19" customWidth="1"/>
    <col min="16" max="16" width="10.7109375" style="90" customWidth="1"/>
    <col min="17" max="17" width="10.7109375" style="97" customWidth="1"/>
  </cols>
  <sheetData>
    <row r="1" spans="1:17" s="55" customFormat="1" ht="12" customHeight="1">
      <c r="A1" s="68" t="s">
        <v>0</v>
      </c>
      <c r="B1" s="69"/>
      <c r="C1" s="69"/>
      <c r="D1" s="262" t="s">
        <v>1</v>
      </c>
      <c r="E1" s="263"/>
      <c r="F1" s="70"/>
      <c r="G1" s="69"/>
      <c r="H1" s="70"/>
      <c r="I1" s="71"/>
      <c r="J1" s="72"/>
      <c r="K1" s="72"/>
      <c r="L1" s="72"/>
      <c r="M1" s="72"/>
      <c r="N1" s="72"/>
      <c r="O1" s="72"/>
      <c r="P1" s="85"/>
      <c r="Q1" s="91"/>
    </row>
    <row r="2" spans="1:17" s="55" customFormat="1" ht="12" customHeight="1">
      <c r="A2" s="74" t="s">
        <v>48</v>
      </c>
      <c r="B2" s="58"/>
      <c r="C2" s="57" t="e">
        <f ca="1">VLOOKUP(E3,Assemblies!B:F,4,0)</f>
        <v>#VALUE!</v>
      </c>
      <c r="D2" s="75" t="s">
        <v>3</v>
      </c>
      <c r="E2" s="76" t="e">
        <f ca="1">'GF12'!E2</f>
        <v>#VALUE!</v>
      </c>
      <c r="F2" s="77" t="s">
        <v>4</v>
      </c>
      <c r="G2" s="58" t="str">
        <f>'GF12'!G2</f>
        <v>GH</v>
      </c>
      <c r="H2" s="77" t="s">
        <v>6</v>
      </c>
      <c r="I2" s="59">
        <f>'GF12'!I2</f>
        <v>44775</v>
      </c>
      <c r="J2" s="39"/>
      <c r="K2" s="40" t="s">
        <v>49</v>
      </c>
      <c r="L2" s="41" t="e">
        <f ca="1">VLOOKUP(C2,Assemblies!E:G,3,0)</f>
        <v>#VALUE!</v>
      </c>
      <c r="M2" s="78"/>
      <c r="N2" s="78"/>
      <c r="O2" s="78"/>
      <c r="P2" s="86"/>
      <c r="Q2" s="92"/>
    </row>
    <row r="3" spans="1:17" s="55" customFormat="1" ht="12" customHeight="1" thickBot="1">
      <c r="A3" s="74" t="s">
        <v>7</v>
      </c>
      <c r="B3" s="58"/>
      <c r="C3" s="57" t="e">
        <f ca="1">VLOOKUP(E3,Assemblies!B:F,5,0)</f>
        <v>#VALUE!</v>
      </c>
      <c r="D3" s="75" t="s">
        <v>50</v>
      </c>
      <c r="E3" s="76" t="e">
        <f ca="1">MID(CELL("filename",A1),FIND("]",CELL("filename",A1))+1,256)</f>
        <v>#VALUE!</v>
      </c>
      <c r="F3" s="77" t="s">
        <v>11</v>
      </c>
      <c r="G3" s="58" t="str">
        <f>'GF12'!G3</f>
        <v>GH</v>
      </c>
      <c r="H3" s="77" t="s">
        <v>6</v>
      </c>
      <c r="I3" s="59">
        <f>'GF12'!I3</f>
        <v>44775</v>
      </c>
      <c r="J3" s="78"/>
      <c r="K3" s="78"/>
      <c r="L3" s="78"/>
      <c r="M3" s="78"/>
      <c r="N3" s="78"/>
      <c r="O3" s="78"/>
      <c r="P3" s="86"/>
      <c r="Q3" s="92"/>
    </row>
    <row r="4" spans="1:17" s="56" customFormat="1" ht="12.75" customHeight="1" thickBot="1">
      <c r="A4" s="80" t="s">
        <v>12</v>
      </c>
      <c r="B4" s="81" t="s">
        <v>13</v>
      </c>
      <c r="C4" s="81" t="s">
        <v>14</v>
      </c>
      <c r="D4" s="270" t="s">
        <v>15</v>
      </c>
      <c r="E4" s="271"/>
      <c r="F4" s="104" t="s">
        <v>16</v>
      </c>
      <c r="G4" s="81" t="s">
        <v>17</v>
      </c>
      <c r="H4" s="260" t="s">
        <v>18</v>
      </c>
      <c r="I4" s="261"/>
      <c r="J4" s="81" t="s">
        <v>51</v>
      </c>
      <c r="K4" s="81" t="s">
        <v>20</v>
      </c>
      <c r="L4" s="81" t="s">
        <v>21</v>
      </c>
      <c r="M4" s="81" t="s">
        <v>52</v>
      </c>
      <c r="N4" s="81" t="s">
        <v>22</v>
      </c>
      <c r="O4" s="81" t="s">
        <v>53</v>
      </c>
      <c r="P4" s="107" t="s">
        <v>26</v>
      </c>
      <c r="Q4" s="82" t="s">
        <v>27</v>
      </c>
    </row>
    <row r="5" spans="1:17" s="2" customFormat="1" ht="12.75" customHeight="1">
      <c r="A5" s="127">
        <v>1</v>
      </c>
      <c r="B5" s="21">
        <v>1</v>
      </c>
      <c r="C5" s="108" t="s">
        <v>438</v>
      </c>
      <c r="D5" s="277" t="str">
        <f>VLOOKUP(C5,Machined!C:Q,2,0)</f>
        <v>Gear Box Mounting Plate</v>
      </c>
      <c r="E5" s="278"/>
      <c r="F5" s="131" t="str">
        <f>VLOOKUP(C5,Machined!C:R,7,0)</f>
        <v>6061-T6 Alum</v>
      </c>
      <c r="G5" s="131" t="str">
        <f>VLOOKUP(C5,Machined!C:R,10,0)</f>
        <v>FRONTIER</v>
      </c>
      <c r="H5" s="131" t="str">
        <f>VLOOKUP(C5,Machined!C:R,11,0)</f>
        <v xml:space="preserve">  </v>
      </c>
      <c r="I5" s="131"/>
      <c r="J5" s="42">
        <f>VLOOKUP(C5,Machined!C:R,12,0)</f>
        <v>45139</v>
      </c>
      <c r="K5" s="42">
        <f>VLOOKUP(C5,Machined!C:R,13,0)</f>
        <v>45140</v>
      </c>
      <c r="L5" s="42">
        <f>VLOOKUP(C5,Machined!C:R,14,0)</f>
        <v>45170</v>
      </c>
      <c r="M5" s="42">
        <f>VLOOKUP(C5,Machined!C:R,15,0)</f>
        <v>45170</v>
      </c>
      <c r="N5" s="43">
        <f>VLOOKUP(C5,Machined!C:R,16,0)</f>
        <v>55025</v>
      </c>
      <c r="O5" s="43" t="e">
        <f t="shared" ref="O5:O6" ca="1" si="0">B5*$L$2</f>
        <v>#VALUE!</v>
      </c>
      <c r="P5" s="47">
        <f>IFERROR(VLOOKUP(C5,Machined!C:F,3,0),"")</f>
        <v>0</v>
      </c>
      <c r="Q5" s="48">
        <f t="shared" ref="Q5:Q6" si="1">IFERROR(B5*P5,"")</f>
        <v>0</v>
      </c>
    </row>
    <row r="6" spans="1:17" s="2" customFormat="1" ht="12.75" customHeight="1">
      <c r="A6" s="127">
        <v>2</v>
      </c>
      <c r="B6" s="21">
        <v>2</v>
      </c>
      <c r="C6" s="108" t="s">
        <v>439</v>
      </c>
      <c r="D6" s="277" t="str">
        <f>VLOOKUP(C6,Machined!C:Q,2,0)</f>
        <v>Gear Box Stand Off</v>
      </c>
      <c r="E6" s="278"/>
      <c r="F6" s="131" t="str">
        <f>VLOOKUP(C6,Machined!C:R,7,0)</f>
        <v>1018 CRS</v>
      </c>
      <c r="G6" s="131" t="str">
        <f>VLOOKUP(C6,Machined!C:R,10,0)</f>
        <v>FRONTIER</v>
      </c>
      <c r="H6" s="131" t="str">
        <f>VLOOKUP(C6,Machined!C:R,11,0)</f>
        <v xml:space="preserve">  </v>
      </c>
      <c r="I6" s="131"/>
      <c r="J6" s="42">
        <f>VLOOKUP(C6,Machined!C:R,12,0)</f>
        <v>45139</v>
      </c>
      <c r="K6" s="42">
        <f>VLOOKUP(C6,Machined!C:R,13,0)</f>
        <v>45140</v>
      </c>
      <c r="L6" s="42">
        <f>VLOOKUP(C6,Machined!C:R,14,0)</f>
        <v>45170</v>
      </c>
      <c r="M6" s="42">
        <f>VLOOKUP(C6,Machined!C:R,15,0)</f>
        <v>45170</v>
      </c>
      <c r="N6" s="43">
        <f>VLOOKUP(C6,Machined!C:R,16,0)</f>
        <v>55025</v>
      </c>
      <c r="O6" s="43" t="e">
        <f t="shared" ca="1" si="0"/>
        <v>#VALUE!</v>
      </c>
      <c r="P6" s="47">
        <f>IFERROR(VLOOKUP(C6,Machined!C:F,3,0),"")</f>
        <v>0</v>
      </c>
      <c r="Q6" s="48">
        <f t="shared" si="1"/>
        <v>0</v>
      </c>
    </row>
    <row r="7" spans="1:17" s="2" customFormat="1" ht="12.75" customHeight="1">
      <c r="A7" s="143"/>
      <c r="B7" s="26"/>
      <c r="C7" s="26"/>
      <c r="D7" s="272"/>
      <c r="E7" s="273"/>
      <c r="F7" s="26"/>
      <c r="G7" s="26"/>
      <c r="H7" s="274"/>
      <c r="I7" s="275"/>
      <c r="J7" s="27"/>
      <c r="K7" s="27"/>
      <c r="L7" s="27"/>
      <c r="M7" s="28"/>
      <c r="N7" s="29"/>
      <c r="O7" s="29"/>
      <c r="P7" s="141"/>
      <c r="Q7" s="142"/>
    </row>
    <row r="8" spans="1:17" s="2" customFormat="1" ht="12.75" customHeight="1">
      <c r="A8" s="4">
        <v>301</v>
      </c>
      <c r="B8" s="2">
        <v>1</v>
      </c>
      <c r="C8" s="114" t="s">
        <v>407</v>
      </c>
      <c r="D8" s="268" t="str">
        <f>VLOOKUP(C8,Purchased!A:B,2,0)</f>
        <v>Gates P35-8MGT-30 Pully</v>
      </c>
      <c r="E8" s="269"/>
      <c r="F8" s="112" t="str">
        <f>VLOOKUP(C8,Purchased!A:Q,9,0)</f>
        <v>Gates</v>
      </c>
      <c r="G8" s="112" t="str">
        <f>VLOOKUP(C8,Purchased!A:Q,10,0)</f>
        <v>MOTION</v>
      </c>
      <c r="H8" s="112">
        <f>VLOOKUP(C8,Purchased!A:Q,12,0)</f>
        <v>3220129</v>
      </c>
      <c r="I8" s="113"/>
      <c r="J8" s="44">
        <f>VLOOKUP(C8,Purchased!A:Q,13,0)</f>
        <v>45125</v>
      </c>
      <c r="K8" s="44">
        <f>VLOOKUP(C8,Purchased!A:Q,14,0)</f>
        <v>45147</v>
      </c>
      <c r="L8" s="44">
        <f>VLOOKUP(C8,Purchased!A:Q,15,0)</f>
        <v>45176</v>
      </c>
      <c r="M8" s="44">
        <f>VLOOKUP(C8,Purchased!A:Q,16,0)</f>
        <v>45176</v>
      </c>
      <c r="N8" s="45">
        <f>VLOOKUP(C8,Purchased!A:Q,17,0)</f>
        <v>55042</v>
      </c>
      <c r="O8" s="45" t="e">
        <f t="shared" ref="O8:O10" ca="1" si="2">B8*$L$2</f>
        <v>#VALUE!</v>
      </c>
      <c r="P8" s="49">
        <f>IFERROR(VLOOKUP(C8,Purchased!A:E,3,FALSE),"")</f>
        <v>110.48</v>
      </c>
      <c r="Q8" s="50">
        <f t="shared" ref="Q8:Q10" si="3">IFERROR(B8*P8,"")</f>
        <v>110.48</v>
      </c>
    </row>
    <row r="9" spans="1:17" s="2" customFormat="1" ht="12" customHeight="1">
      <c r="A9" s="4">
        <f t="shared" ref="A9:A10" si="4">A8+1</f>
        <v>302</v>
      </c>
      <c r="B9" s="2">
        <v>1</v>
      </c>
      <c r="C9" s="114" t="s">
        <v>440</v>
      </c>
      <c r="D9" s="268" t="str">
        <f>VLOOKUP(C9,Purchased!A:B,2,0)</f>
        <v>Gates 1610 40MM - 78581640 Taper-Lock Bushings</v>
      </c>
      <c r="E9" s="269"/>
      <c r="F9" s="112" t="str">
        <f>VLOOKUP(C9,Purchased!A:Q,9,0)</f>
        <v>Gates</v>
      </c>
      <c r="G9" s="112" t="str">
        <f>VLOOKUP(C9,Purchased!A:Q,10,0)</f>
        <v>MOTION</v>
      </c>
      <c r="H9" s="112">
        <f>VLOOKUP(C9,Purchased!A:Q,12,0)</f>
        <v>2043842</v>
      </c>
      <c r="I9" s="113"/>
      <c r="J9" s="44">
        <f>VLOOKUP(C9,Purchased!A:Q,13,0)</f>
        <v>45125</v>
      </c>
      <c r="K9" s="44">
        <f>VLOOKUP(C9,Purchased!A:Q,14,0)</f>
        <v>45147</v>
      </c>
      <c r="L9" s="44">
        <f>VLOOKUP(C9,Purchased!A:Q,15,0)</f>
        <v>45176</v>
      </c>
      <c r="M9" s="44">
        <f>VLOOKUP(C9,Purchased!A:Q,16,0)</f>
        <v>45176</v>
      </c>
      <c r="N9" s="45">
        <f>VLOOKUP(C9,Purchased!A:Q,17,0)</f>
        <v>55042</v>
      </c>
      <c r="O9" s="45" t="e">
        <f t="shared" ca="1" si="2"/>
        <v>#VALUE!</v>
      </c>
      <c r="P9" s="49">
        <f>IFERROR(VLOOKUP(C9,Purchased!A:E,3,FALSE),"")</f>
        <v>23.22</v>
      </c>
      <c r="Q9" s="50">
        <f t="shared" si="3"/>
        <v>23.22</v>
      </c>
    </row>
    <row r="10" spans="1:17" s="2" customFormat="1" ht="12" customHeight="1">
      <c r="A10" s="4">
        <f t="shared" si="4"/>
        <v>303</v>
      </c>
      <c r="B10" s="2">
        <v>1</v>
      </c>
      <c r="C10" s="114" t="s">
        <v>441</v>
      </c>
      <c r="D10" s="268" t="str">
        <f>VLOOKUP(C10,Purchased!A:B,2,0)</f>
        <v>STOBER P731SPSS0100ME GEARBOX</v>
      </c>
      <c r="E10" s="269"/>
      <c r="F10" s="112" t="str">
        <f>VLOOKUP(C10,Purchased!A:Q,9,0)</f>
        <v>STOBER</v>
      </c>
      <c r="G10" s="112" t="str">
        <f>VLOOKUP(C10,Purchased!A:Q,10,0)</f>
        <v>AAP</v>
      </c>
      <c r="H10" s="112" t="str">
        <f>VLOOKUP(C10,Purchased!A:Q,12,0)</f>
        <v xml:space="preserve"> </v>
      </c>
      <c r="I10" s="113"/>
      <c r="J10" s="44" t="str">
        <f>VLOOKUP(C10,Purchased!A:Q,13,0)</f>
        <v>N/A</v>
      </c>
      <c r="K10" s="44">
        <f>VLOOKUP(C10,Purchased!A:Q,14,0)</f>
        <v>45096</v>
      </c>
      <c r="L10" s="44">
        <f>VLOOKUP(C10,Purchased!A:Q,15,0)</f>
        <v>45110</v>
      </c>
      <c r="M10" s="44">
        <f>VLOOKUP(C10,Purchased!A:Q,16,0)</f>
        <v>45110</v>
      </c>
      <c r="N10" s="45">
        <f>VLOOKUP(C10,Purchased!A:Q,17,0)</f>
        <v>54937</v>
      </c>
      <c r="O10" s="45" t="e">
        <f t="shared" ca="1" si="2"/>
        <v>#VALUE!</v>
      </c>
      <c r="P10" s="49">
        <f>IFERROR(VLOOKUP(C10,Purchased!A:E,3,FALSE),"")</f>
        <v>2926.1097</v>
      </c>
      <c r="Q10" s="50">
        <f t="shared" si="3"/>
        <v>2926.1097</v>
      </c>
    </row>
    <row r="11" spans="1:17" s="2" customFormat="1" ht="12" customHeight="1">
      <c r="A11" s="4">
        <v>304</v>
      </c>
      <c r="B11" s="2">
        <v>1</v>
      </c>
      <c r="C11" s="114" t="s">
        <v>442</v>
      </c>
      <c r="D11" s="268" t="str">
        <f>VLOOKUP(C11,Purchased!A:B,2,0)</f>
        <v>BRC MS2N07-EXXXN-BXVG2-XNNNN-NN Servomotor</v>
      </c>
      <c r="E11" s="269"/>
      <c r="F11" s="112" t="str">
        <f>VLOOKUP(C11,Purchased!A:Q,9,0)</f>
        <v>BRC</v>
      </c>
      <c r="G11" s="112" t="str">
        <f>VLOOKUP(C11,Purchased!A:Q,10,0)</f>
        <v>AAP</v>
      </c>
      <c r="H11" s="112" t="str">
        <f>VLOOKUP(C11,Purchased!A:Q,12,0)</f>
        <v xml:space="preserve"> </v>
      </c>
      <c r="I11" s="113"/>
      <c r="J11" s="44" t="str">
        <f>VLOOKUP(C11,Purchased!A:Q,13,0)</f>
        <v>N/A</v>
      </c>
      <c r="K11" s="44">
        <f>VLOOKUP(C11,Purchased!A:Q,14,0)</f>
        <v>44881</v>
      </c>
      <c r="L11" s="44">
        <f>VLOOKUP(C11,Purchased!A:Q,15,0)</f>
        <v>44986</v>
      </c>
      <c r="M11" s="44">
        <f>VLOOKUP(C11,Purchased!A:Q,16,0)</f>
        <v>44986</v>
      </c>
      <c r="N11" s="45">
        <f>VLOOKUP(C11,Purchased!A:Q,17,0)</f>
        <v>54563</v>
      </c>
      <c r="O11" s="45" t="e">
        <f ca="1">B11*$L$2</f>
        <v>#VALUE!</v>
      </c>
      <c r="P11" s="49">
        <f>IFERROR(VLOOKUP(C11,Purchased!A:E,3,FALSE),"")</f>
        <v>3673.3872999999999</v>
      </c>
      <c r="Q11" s="50">
        <f>IFERROR(B11*P11,"")</f>
        <v>3673.3872999999999</v>
      </c>
    </row>
    <row r="12" spans="1:17" s="2" customFormat="1" ht="12.75" customHeight="1">
      <c r="A12" s="25"/>
      <c r="B12" s="26"/>
      <c r="C12" s="26"/>
      <c r="D12" s="272"/>
      <c r="E12" s="273"/>
      <c r="F12" s="26"/>
      <c r="G12" s="26"/>
      <c r="H12" s="274"/>
      <c r="I12" s="275"/>
      <c r="J12" s="27"/>
      <c r="K12" s="27"/>
      <c r="L12" s="27"/>
      <c r="M12" s="28"/>
      <c r="N12" s="29"/>
      <c r="O12" s="29" t="e">
        <f t="shared" ref="O12:O16" ca="1" si="5">B12*$L$2</f>
        <v>#VALUE!</v>
      </c>
      <c r="P12" s="141"/>
      <c r="Q12" s="142"/>
    </row>
    <row r="13" spans="1:17" s="2" customFormat="1" ht="12.75" customHeight="1">
      <c r="A13" s="4">
        <v>501</v>
      </c>
      <c r="B13" s="2">
        <v>4</v>
      </c>
      <c r="C13" s="110" t="s">
        <v>362</v>
      </c>
      <c r="D13" s="268"/>
      <c r="E13" s="276"/>
      <c r="F13" s="112" t="str">
        <f>VLOOKUP(C13,Bolts!A:L,5,0)</f>
        <v xml:space="preserve">  </v>
      </c>
      <c r="G13" s="112" t="str">
        <f>VLOOKUP(C13,Bolts!A:L,6,0)</f>
        <v>Monroe Fasteners</v>
      </c>
      <c r="H13" s="112" t="str">
        <f>VLOOKUP(C13,Bolts!A:L,7,0)</f>
        <v xml:space="preserve">  </v>
      </c>
      <c r="I13" s="112"/>
      <c r="J13" s="44" t="str">
        <f>VLOOKUP(C13,Bolts!A:L,8,0)</f>
        <v xml:space="preserve"> </v>
      </c>
      <c r="K13" s="44" t="str">
        <f>VLOOKUP(C13,Bolts!A:L,9,0)</f>
        <v xml:space="preserve"> </v>
      </c>
      <c r="L13" s="44" t="str">
        <f>VLOOKUP(C13,Bolts!A:L,10,0)</f>
        <v xml:space="preserve"> </v>
      </c>
      <c r="M13" s="44" t="str">
        <f>VLOOKUP(C13,Bolts!A:L,11,0)</f>
        <v xml:space="preserve"> </v>
      </c>
      <c r="N13" s="45" t="str">
        <f>VLOOKUP(C13,Bolts!A:L,12,0)</f>
        <v xml:space="preserve"> </v>
      </c>
      <c r="O13" s="45" t="e">
        <f t="shared" ca="1" si="5"/>
        <v>#VALUE!</v>
      </c>
      <c r="P13" s="49" t="str">
        <f>IFERROR(VLOOKUP(C13,Bolts!A:B,2,FALSE),"")</f>
        <v xml:space="preserve"> </v>
      </c>
      <c r="Q13" s="50" t="str">
        <f t="shared" ref="Q13:Q16" si="6">IFERROR(B13*P13,"")</f>
        <v/>
      </c>
    </row>
    <row r="14" spans="1:17" s="2" customFormat="1" ht="12.75" customHeight="1">
      <c r="A14" s="4">
        <f t="shared" ref="A14:A18" si="7">A13+1</f>
        <v>502</v>
      </c>
      <c r="B14" s="2">
        <v>4</v>
      </c>
      <c r="C14" s="110" t="s">
        <v>353</v>
      </c>
      <c r="D14" s="268"/>
      <c r="E14" s="276"/>
      <c r="F14" s="112" t="str">
        <f>VLOOKUP(C14,Bolts!A:L,5,0)</f>
        <v xml:space="preserve">  </v>
      </c>
      <c r="G14" s="112" t="str">
        <f>VLOOKUP(C14,Bolts!A:L,6,0)</f>
        <v>Monroe Fasteners</v>
      </c>
      <c r="H14" s="112" t="str">
        <f>VLOOKUP(C14,Bolts!A:L,7,0)</f>
        <v xml:space="preserve">  </v>
      </c>
      <c r="I14" s="112"/>
      <c r="J14" s="44" t="str">
        <f>VLOOKUP(C14,Bolts!A:L,8,0)</f>
        <v xml:space="preserve"> </v>
      </c>
      <c r="K14" s="44" t="str">
        <f>VLOOKUP(C14,Bolts!A:L,9,0)</f>
        <v xml:space="preserve"> </v>
      </c>
      <c r="L14" s="44" t="str">
        <f>VLOOKUP(C14,Bolts!A:L,10,0)</f>
        <v xml:space="preserve"> </v>
      </c>
      <c r="M14" s="44" t="str">
        <f>VLOOKUP(C14,Bolts!A:L,11,0)</f>
        <v xml:space="preserve"> </v>
      </c>
      <c r="N14" s="45" t="str">
        <f>VLOOKUP(C14,Bolts!A:L,12,0)</f>
        <v xml:space="preserve"> </v>
      </c>
      <c r="O14" s="45" t="e">
        <f t="shared" ca="1" si="5"/>
        <v>#VALUE!</v>
      </c>
      <c r="P14" s="49" t="str">
        <f>IFERROR(VLOOKUP(C14,Bolts!A:B,2,FALSE),"")</f>
        <v xml:space="preserve"> </v>
      </c>
      <c r="Q14" s="50" t="str">
        <f t="shared" si="6"/>
        <v/>
      </c>
    </row>
    <row r="15" spans="1:17" s="2" customFormat="1" ht="12" customHeight="1">
      <c r="A15" s="4">
        <f t="shared" si="7"/>
        <v>503</v>
      </c>
      <c r="B15" s="2">
        <v>4</v>
      </c>
      <c r="C15" s="110" t="s">
        <v>443</v>
      </c>
      <c r="D15" s="268"/>
      <c r="E15" s="276"/>
      <c r="F15" s="112" t="str">
        <f>VLOOKUP(C15,Bolts!A:L,5,0)</f>
        <v xml:space="preserve">  </v>
      </c>
      <c r="G15" s="112" t="str">
        <f>VLOOKUP(C15,Bolts!A:L,6,0)</f>
        <v>Monroe Fasteners</v>
      </c>
      <c r="H15" s="112" t="str">
        <f>VLOOKUP(C15,Bolts!A:L,7,0)</f>
        <v xml:space="preserve">  </v>
      </c>
      <c r="I15" s="112"/>
      <c r="J15" s="44" t="str">
        <f>VLOOKUP(C15,Bolts!A:L,8,0)</f>
        <v xml:space="preserve"> </v>
      </c>
      <c r="K15" s="44" t="str">
        <f>VLOOKUP(C15,Bolts!A:L,9,0)</f>
        <v xml:space="preserve"> </v>
      </c>
      <c r="L15" s="44" t="str">
        <f>VLOOKUP(C15,Bolts!A:L,10,0)</f>
        <v xml:space="preserve"> </v>
      </c>
      <c r="M15" s="44" t="str">
        <f>VLOOKUP(C15,Bolts!A:L,11,0)</f>
        <v xml:space="preserve"> </v>
      </c>
      <c r="N15" s="45" t="str">
        <f>VLOOKUP(C15,Bolts!A:L,12,0)</f>
        <v xml:space="preserve"> </v>
      </c>
      <c r="O15" s="45" t="e">
        <f t="shared" ca="1" si="5"/>
        <v>#VALUE!</v>
      </c>
      <c r="P15" s="49" t="str">
        <f>IFERROR(VLOOKUP(C15,Bolts!A:B,2,FALSE),"")</f>
        <v xml:space="preserve"> </v>
      </c>
      <c r="Q15" s="50" t="str">
        <f t="shared" si="6"/>
        <v/>
      </c>
    </row>
    <row r="16" spans="1:17" s="2" customFormat="1" ht="12" customHeight="1">
      <c r="A16" s="4">
        <f t="shared" si="7"/>
        <v>504</v>
      </c>
      <c r="B16" s="2">
        <v>4</v>
      </c>
      <c r="C16" s="110" t="s">
        <v>352</v>
      </c>
      <c r="D16" s="268"/>
      <c r="E16" s="276"/>
      <c r="F16" s="112" t="str">
        <f>VLOOKUP(C16,Bolts!A:L,5,0)</f>
        <v xml:space="preserve">  </v>
      </c>
      <c r="G16" s="112" t="str">
        <f>VLOOKUP(C16,Bolts!A:L,6,0)</f>
        <v>Monroe Fasteners</v>
      </c>
      <c r="H16" s="112" t="str">
        <f>VLOOKUP(C16,Bolts!A:L,7,0)</f>
        <v xml:space="preserve">  </v>
      </c>
      <c r="I16" s="112"/>
      <c r="J16" s="44" t="str">
        <f>VLOOKUP(C16,Bolts!A:L,8,0)</f>
        <v xml:space="preserve"> </v>
      </c>
      <c r="K16" s="44" t="str">
        <f>VLOOKUP(C16,Bolts!A:L,9,0)</f>
        <v xml:space="preserve"> </v>
      </c>
      <c r="L16" s="44" t="str">
        <f>VLOOKUP(C16,Bolts!A:L,10,0)</f>
        <v xml:space="preserve"> </v>
      </c>
      <c r="M16" s="44" t="str">
        <f>VLOOKUP(C16,Bolts!A:L,11,0)</f>
        <v xml:space="preserve"> </v>
      </c>
      <c r="N16" s="45" t="str">
        <f>VLOOKUP(C16,Bolts!A:L,12,0)</f>
        <v xml:space="preserve"> </v>
      </c>
      <c r="O16" s="45" t="e">
        <f t="shared" ca="1" si="5"/>
        <v>#VALUE!</v>
      </c>
      <c r="P16" s="49" t="str">
        <f>IFERROR(VLOOKUP(C16,Bolts!A:B,2,FALSE),"")</f>
        <v xml:space="preserve"> </v>
      </c>
      <c r="Q16" s="50" t="str">
        <f t="shared" si="6"/>
        <v/>
      </c>
    </row>
    <row r="17" spans="1:17" s="2" customFormat="1" ht="12" customHeight="1">
      <c r="A17" s="4">
        <f t="shared" si="7"/>
        <v>505</v>
      </c>
      <c r="B17" s="2">
        <v>4</v>
      </c>
      <c r="C17" s="110" t="s">
        <v>427</v>
      </c>
      <c r="D17" s="164"/>
      <c r="E17" s="165"/>
      <c r="F17" s="112" t="str">
        <f>VLOOKUP(C17,Bolts!A:L,5,0)</f>
        <v xml:space="preserve">  </v>
      </c>
      <c r="G17" s="112" t="str">
        <f>VLOOKUP(C17,Bolts!A:L,6,0)</f>
        <v>Monroe Fasteners</v>
      </c>
      <c r="H17" s="112" t="str">
        <f>VLOOKUP(C17,Bolts!A:L,7,0)</f>
        <v xml:space="preserve">  </v>
      </c>
      <c r="I17" s="112"/>
      <c r="J17" s="44" t="str">
        <f>VLOOKUP(C17,Bolts!A:L,8,0)</f>
        <v xml:space="preserve"> </v>
      </c>
      <c r="K17" s="44" t="str">
        <f>VLOOKUP(C17,Bolts!A:L,9,0)</f>
        <v xml:space="preserve"> </v>
      </c>
      <c r="L17" s="44" t="str">
        <f>VLOOKUP(C17,Bolts!A:L,10,0)</f>
        <v xml:space="preserve"> </v>
      </c>
      <c r="M17" s="44" t="str">
        <f>VLOOKUP(C17,Bolts!A:L,11,0)</f>
        <v xml:space="preserve"> </v>
      </c>
      <c r="N17" s="45" t="str">
        <f>VLOOKUP(C17,Bolts!A:L,12,0)</f>
        <v xml:space="preserve"> </v>
      </c>
      <c r="O17" s="45" t="e">
        <f t="shared" ref="O17:O18" ca="1" si="8">B17*$L$2</f>
        <v>#VALUE!</v>
      </c>
      <c r="P17" s="49" t="str">
        <f>IFERROR(VLOOKUP(C17,Bolts!A:B,2,FALSE),"")</f>
        <v xml:space="preserve"> </v>
      </c>
      <c r="Q17" s="50" t="str">
        <f t="shared" ref="Q17:Q18" si="9">IFERROR(B17*P17,"")</f>
        <v/>
      </c>
    </row>
    <row r="18" spans="1:17" s="2" customFormat="1" ht="12" customHeight="1" thickBot="1">
      <c r="A18" s="4">
        <f t="shared" si="7"/>
        <v>506</v>
      </c>
      <c r="B18" s="2">
        <v>4</v>
      </c>
      <c r="C18" s="110" t="s">
        <v>432</v>
      </c>
      <c r="D18" s="164"/>
      <c r="E18" s="165"/>
      <c r="F18" s="112" t="str">
        <f>VLOOKUP(C18,Bolts!A:L,5,0)</f>
        <v xml:space="preserve">  </v>
      </c>
      <c r="G18" s="112" t="str">
        <f>VLOOKUP(C18,Bolts!A:L,6,0)</f>
        <v>Monroe Fasteners</v>
      </c>
      <c r="H18" s="112" t="str">
        <f>VLOOKUP(C18,Bolts!A:L,7,0)</f>
        <v xml:space="preserve">  </v>
      </c>
      <c r="I18" s="112"/>
      <c r="J18" s="44" t="str">
        <f>VLOOKUP(C18,Bolts!A:L,8,0)</f>
        <v xml:space="preserve"> </v>
      </c>
      <c r="K18" s="44" t="str">
        <f>VLOOKUP(C18,Bolts!A:L,9,0)</f>
        <v xml:space="preserve"> </v>
      </c>
      <c r="L18" s="44" t="str">
        <f>VLOOKUP(C18,Bolts!A:L,10,0)</f>
        <v xml:space="preserve"> </v>
      </c>
      <c r="M18" s="44" t="str">
        <f>VLOOKUP(C18,Bolts!A:L,11,0)</f>
        <v xml:space="preserve"> </v>
      </c>
      <c r="N18" s="45" t="str">
        <f>VLOOKUP(C18,Bolts!A:L,12,0)</f>
        <v xml:space="preserve"> </v>
      </c>
      <c r="O18" s="45" t="e">
        <f t="shared" ca="1" si="8"/>
        <v>#VALUE!</v>
      </c>
      <c r="P18" s="49" t="str">
        <f>IFERROR(VLOOKUP(C18,Bolts!A:B,2,FALSE),"")</f>
        <v xml:space="preserve"> </v>
      </c>
      <c r="Q18" s="50" t="str">
        <f t="shared" si="9"/>
        <v/>
      </c>
    </row>
    <row r="19" spans="1:17" s="2" customFormat="1" ht="12.75" customHeight="1" thickBot="1">
      <c r="A19" s="34"/>
      <c r="B19" s="35"/>
      <c r="C19" s="35"/>
      <c r="D19" s="256"/>
      <c r="E19" s="257"/>
      <c r="F19" s="35"/>
      <c r="G19" s="35"/>
      <c r="H19" s="294"/>
      <c r="I19" s="295"/>
      <c r="J19" s="36"/>
      <c r="K19" s="36"/>
      <c r="L19" s="36"/>
      <c r="M19" s="37"/>
      <c r="N19" s="38"/>
      <c r="O19" s="38"/>
      <c r="P19" s="89" t="s">
        <v>43</v>
      </c>
      <c r="Q19" s="94">
        <f>SUM(Q5:Q16)</f>
        <v>6733.1970000000001</v>
      </c>
    </row>
    <row r="20" spans="1:17" s="2" customFormat="1" ht="12" customHeight="1">
      <c r="D20" s="22"/>
      <c r="E20" s="22"/>
      <c r="J20" s="8"/>
      <c r="K20" s="8"/>
      <c r="L20" s="8"/>
      <c r="M20" s="8"/>
      <c r="N20" s="5"/>
      <c r="O20" s="5"/>
      <c r="P20" s="88"/>
      <c r="Q20" s="95"/>
    </row>
    <row r="21" spans="1:17" s="2" customFormat="1" ht="12" customHeight="1">
      <c r="D21" s="22"/>
      <c r="E21" s="22"/>
      <c r="J21" s="5"/>
      <c r="K21" s="5"/>
      <c r="L21" s="5"/>
      <c r="M21" s="5"/>
      <c r="N21" s="5"/>
      <c r="O21" s="5"/>
      <c r="P21" s="88"/>
      <c r="Q21" s="95"/>
    </row>
    <row r="22" spans="1:17" s="2" customFormat="1" ht="12" customHeight="1">
      <c r="D22" s="22"/>
      <c r="E22" s="22"/>
      <c r="J22" s="5"/>
      <c r="K22" s="5"/>
      <c r="L22" s="5"/>
      <c r="M22" s="5"/>
      <c r="N22" s="5"/>
      <c r="O22" s="5"/>
      <c r="P22" s="88"/>
      <c r="Q22" s="95"/>
    </row>
    <row r="23" spans="1:17" s="2" customFormat="1" ht="12" customHeight="1">
      <c r="D23" s="22"/>
      <c r="E23" s="22"/>
      <c r="J23" s="5"/>
      <c r="K23" s="5"/>
      <c r="L23" s="5"/>
      <c r="M23" s="5"/>
      <c r="N23" s="5"/>
      <c r="O23" s="5"/>
      <c r="P23" s="88"/>
      <c r="Q23" s="95"/>
    </row>
    <row r="24" spans="1:17" s="2" customFormat="1" ht="12" customHeight="1">
      <c r="D24" s="22"/>
      <c r="E24" s="22"/>
      <c r="J24" s="5"/>
      <c r="K24" s="5"/>
      <c r="L24" s="5"/>
      <c r="M24" s="5"/>
      <c r="N24" s="5"/>
      <c r="O24" s="5"/>
      <c r="P24" s="88"/>
      <c r="Q24" s="95"/>
    </row>
    <row r="25" spans="1:17" s="2" customFormat="1" ht="12" customHeight="1">
      <c r="D25" s="22"/>
      <c r="E25" s="22"/>
      <c r="J25" s="5"/>
      <c r="K25" s="5"/>
      <c r="L25" s="5"/>
      <c r="M25" s="5"/>
      <c r="N25" s="5"/>
      <c r="O25" s="5"/>
      <c r="P25" s="88"/>
      <c r="Q25" s="95"/>
    </row>
    <row r="26" spans="1:17" s="2" customFormat="1" ht="12" customHeight="1">
      <c r="D26" s="22"/>
      <c r="E26" s="22"/>
      <c r="J26" s="5"/>
      <c r="K26" s="5"/>
      <c r="L26" s="5"/>
      <c r="M26" s="5"/>
      <c r="N26" s="5"/>
      <c r="O26" s="5"/>
      <c r="P26" s="88"/>
      <c r="Q26" s="95"/>
    </row>
    <row r="27" spans="1:17" s="2" customFormat="1" ht="12" customHeight="1">
      <c r="D27" s="22"/>
      <c r="E27" s="22"/>
      <c r="J27" s="5"/>
      <c r="K27" s="5"/>
      <c r="L27" s="5"/>
      <c r="M27" s="5"/>
      <c r="N27" s="5"/>
      <c r="O27" s="5"/>
      <c r="P27" s="88"/>
      <c r="Q27" s="95"/>
    </row>
    <row r="28" spans="1:17" s="2" customFormat="1" ht="12" customHeight="1">
      <c r="D28" s="22"/>
      <c r="E28" s="22"/>
      <c r="J28" s="5"/>
      <c r="K28" s="5"/>
      <c r="L28" s="5"/>
      <c r="M28" s="5"/>
      <c r="N28" s="5"/>
      <c r="O28" s="5"/>
      <c r="P28" s="88"/>
      <c r="Q28" s="95"/>
    </row>
    <row r="29" spans="1:17" s="2" customFormat="1" ht="12" customHeight="1">
      <c r="D29" s="22"/>
      <c r="E29" s="22"/>
      <c r="J29" s="5"/>
      <c r="K29" s="5"/>
      <c r="L29" s="5"/>
      <c r="M29" s="5"/>
      <c r="N29" s="5"/>
      <c r="O29" s="5"/>
      <c r="P29" s="88"/>
      <c r="Q29" s="95"/>
    </row>
    <row r="30" spans="1:17" s="2" customFormat="1" ht="12" customHeight="1">
      <c r="D30" s="22"/>
      <c r="E30" s="22"/>
      <c r="J30" s="5"/>
      <c r="K30" s="5"/>
      <c r="L30" s="5"/>
      <c r="M30" s="5"/>
      <c r="N30" s="5"/>
      <c r="O30" s="5"/>
      <c r="P30" s="88"/>
      <c r="Q30" s="95"/>
    </row>
    <row r="31" spans="1:17" s="2" customFormat="1" ht="12" customHeight="1">
      <c r="D31" s="22"/>
      <c r="E31" s="22"/>
      <c r="J31" s="5"/>
      <c r="K31" s="5"/>
      <c r="L31" s="5"/>
      <c r="M31" s="5"/>
      <c r="N31" s="5"/>
      <c r="O31" s="5"/>
      <c r="P31" s="88"/>
      <c r="Q31" s="95"/>
    </row>
    <row r="32" spans="1:17" s="2" customFormat="1" ht="12" customHeight="1">
      <c r="D32" s="22"/>
      <c r="E32" s="22"/>
      <c r="J32" s="5"/>
      <c r="K32" s="5"/>
      <c r="L32" s="5"/>
      <c r="M32" s="5"/>
      <c r="N32" s="5"/>
      <c r="O32" s="5"/>
      <c r="P32" s="88"/>
      <c r="Q32" s="95"/>
    </row>
    <row r="33" spans="4:17" s="2" customFormat="1" ht="12" customHeight="1">
      <c r="D33" s="22"/>
      <c r="E33" s="22"/>
      <c r="J33" s="5"/>
      <c r="K33" s="5"/>
      <c r="L33" s="5"/>
      <c r="M33" s="5"/>
      <c r="N33" s="5"/>
      <c r="O33" s="5"/>
      <c r="P33" s="88"/>
      <c r="Q33" s="95"/>
    </row>
    <row r="34" spans="4:17" s="2" customFormat="1" ht="12" customHeight="1">
      <c r="D34" s="22"/>
      <c r="E34" s="22"/>
      <c r="J34" s="5"/>
      <c r="K34" s="5"/>
      <c r="L34" s="5"/>
      <c r="M34" s="5"/>
      <c r="N34" s="5"/>
      <c r="O34" s="5"/>
      <c r="P34" s="88"/>
      <c r="Q34" s="95"/>
    </row>
    <row r="35" spans="4:17" s="2" customFormat="1" ht="12" customHeight="1">
      <c r="D35" s="22"/>
      <c r="E35" s="22"/>
      <c r="J35" s="5"/>
      <c r="K35" s="5"/>
      <c r="L35" s="5"/>
      <c r="M35" s="5"/>
      <c r="N35" s="5"/>
      <c r="O35" s="5"/>
      <c r="P35" s="88"/>
      <c r="Q35" s="95"/>
    </row>
    <row r="36" spans="4:17" s="2" customFormat="1" ht="12" customHeight="1">
      <c r="D36" s="22"/>
      <c r="E36" s="22"/>
      <c r="J36" s="5"/>
      <c r="K36" s="5"/>
      <c r="L36" s="5"/>
      <c r="M36" s="5"/>
      <c r="N36" s="5"/>
      <c r="O36" s="5"/>
      <c r="P36" s="88"/>
      <c r="Q36" s="95"/>
    </row>
    <row r="37" spans="4:17" s="2" customFormat="1" ht="12" customHeight="1">
      <c r="D37" s="22"/>
      <c r="E37" s="22"/>
      <c r="J37" s="5"/>
      <c r="K37" s="5"/>
      <c r="L37" s="5"/>
      <c r="M37" s="5"/>
      <c r="N37" s="5"/>
      <c r="O37" s="5"/>
      <c r="P37" s="88"/>
      <c r="Q37" s="95"/>
    </row>
    <row r="38" spans="4:17" s="2" customFormat="1" ht="12" customHeight="1">
      <c r="D38" s="22"/>
      <c r="E38" s="22"/>
      <c r="J38" s="5"/>
      <c r="K38" s="5"/>
      <c r="L38" s="5"/>
      <c r="M38" s="5"/>
      <c r="N38" s="5"/>
      <c r="O38" s="5"/>
      <c r="P38" s="88"/>
      <c r="Q38" s="95"/>
    </row>
    <row r="39" spans="4:17" s="2" customFormat="1" ht="12" customHeight="1">
      <c r="D39" s="22"/>
      <c r="E39" s="22"/>
      <c r="J39" s="5"/>
      <c r="K39" s="5"/>
      <c r="L39" s="5"/>
      <c r="M39" s="5"/>
      <c r="N39" s="5"/>
      <c r="O39" s="5"/>
      <c r="P39" s="88"/>
      <c r="Q39" s="95"/>
    </row>
    <row r="40" spans="4:17" s="2" customFormat="1" ht="12" customHeight="1">
      <c r="D40" s="22"/>
      <c r="E40" s="22"/>
      <c r="J40" s="5"/>
      <c r="K40" s="5"/>
      <c r="L40" s="5"/>
      <c r="M40" s="5"/>
      <c r="N40" s="5"/>
      <c r="O40" s="5"/>
      <c r="P40" s="88"/>
      <c r="Q40" s="95"/>
    </row>
    <row r="41" spans="4:17" s="2" customFormat="1" ht="12" customHeight="1">
      <c r="D41" s="22"/>
      <c r="E41" s="22"/>
      <c r="J41" s="5"/>
      <c r="K41" s="5"/>
      <c r="L41" s="5"/>
      <c r="M41" s="5"/>
      <c r="N41" s="5"/>
      <c r="O41" s="5"/>
      <c r="P41" s="88"/>
      <c r="Q41" s="95"/>
    </row>
    <row r="42" spans="4:17" s="2" customFormat="1" ht="12" customHeight="1">
      <c r="D42" s="22"/>
      <c r="E42" s="22"/>
      <c r="J42" s="5"/>
      <c r="K42" s="5"/>
      <c r="L42" s="5"/>
      <c r="M42" s="5"/>
      <c r="N42" s="5"/>
      <c r="O42" s="5"/>
      <c r="P42" s="88"/>
      <c r="Q42" s="95"/>
    </row>
    <row r="43" spans="4:17" s="2" customFormat="1" ht="12" customHeight="1">
      <c r="D43" s="22"/>
      <c r="E43" s="22"/>
      <c r="J43" s="5"/>
      <c r="K43" s="5"/>
      <c r="L43" s="5"/>
      <c r="M43" s="5"/>
      <c r="N43" s="5"/>
      <c r="O43" s="5"/>
      <c r="P43" s="88"/>
      <c r="Q43" s="95"/>
    </row>
    <row r="44" spans="4:17" s="2" customFormat="1" ht="12" customHeight="1">
      <c r="D44" s="22"/>
      <c r="E44" s="22"/>
      <c r="J44" s="5"/>
      <c r="K44" s="5"/>
      <c r="L44" s="5"/>
      <c r="M44" s="5"/>
      <c r="N44" s="5"/>
      <c r="O44" s="5"/>
      <c r="P44" s="88"/>
      <c r="Q44" s="95"/>
    </row>
    <row r="45" spans="4:17" s="2" customFormat="1" ht="12" customHeight="1">
      <c r="D45" s="22"/>
      <c r="E45" s="22"/>
      <c r="J45" s="5"/>
      <c r="K45" s="5"/>
      <c r="L45" s="5"/>
      <c r="M45" s="5"/>
      <c r="N45" s="5"/>
      <c r="O45" s="5"/>
      <c r="P45" s="88"/>
      <c r="Q45" s="95"/>
    </row>
    <row r="46" spans="4:17" s="2" customFormat="1" ht="12" customHeight="1">
      <c r="D46" s="22"/>
      <c r="E46" s="22"/>
      <c r="J46" s="5"/>
      <c r="K46" s="5"/>
      <c r="L46" s="5"/>
      <c r="M46" s="5"/>
      <c r="N46" s="5"/>
      <c r="O46" s="5"/>
      <c r="P46" s="88"/>
      <c r="Q46" s="95"/>
    </row>
    <row r="47" spans="4:17" s="2" customFormat="1" ht="12" customHeight="1">
      <c r="D47" s="22"/>
      <c r="E47" s="22"/>
      <c r="J47" s="5"/>
      <c r="K47" s="5"/>
      <c r="L47" s="5"/>
      <c r="M47" s="5"/>
      <c r="N47" s="5"/>
      <c r="O47" s="5"/>
      <c r="P47" s="88"/>
      <c r="Q47" s="95"/>
    </row>
    <row r="48" spans="4:17" s="2" customFormat="1" ht="12" customHeight="1">
      <c r="D48" s="22"/>
      <c r="E48" s="22"/>
      <c r="J48" s="5"/>
      <c r="K48" s="5"/>
      <c r="L48" s="5"/>
      <c r="M48" s="5"/>
      <c r="N48" s="5"/>
      <c r="O48" s="5"/>
      <c r="P48" s="88"/>
      <c r="Q48" s="95"/>
    </row>
    <row r="49" spans="1:17" s="2" customFormat="1" ht="12" customHeight="1">
      <c r="D49" s="22"/>
      <c r="E49" s="22"/>
      <c r="J49" s="5"/>
      <c r="K49" s="5"/>
      <c r="L49" s="5"/>
      <c r="M49" s="5"/>
      <c r="N49" s="5"/>
      <c r="O49" s="5"/>
      <c r="P49" s="88"/>
      <c r="Q49" s="95"/>
    </row>
    <row r="50" spans="1:17" s="2" customFormat="1" ht="12" customHeight="1">
      <c r="D50" s="22"/>
      <c r="E50" s="22"/>
      <c r="J50" s="5"/>
      <c r="K50" s="5"/>
      <c r="L50" s="5"/>
      <c r="M50" s="5"/>
      <c r="N50" s="5"/>
      <c r="O50" s="5"/>
      <c r="P50" s="88"/>
      <c r="Q50" s="95"/>
    </row>
    <row r="51" spans="1:17" s="2" customFormat="1" ht="12" customHeight="1">
      <c r="D51" s="22"/>
      <c r="E51" s="22"/>
      <c r="J51" s="5"/>
      <c r="K51" s="5"/>
      <c r="L51" s="5"/>
      <c r="M51" s="5"/>
      <c r="N51" s="5"/>
      <c r="O51" s="5"/>
      <c r="P51" s="88"/>
      <c r="Q51" s="95"/>
    </row>
    <row r="52" spans="1:17" s="2" customFormat="1" ht="12" customHeight="1">
      <c r="D52" s="22"/>
      <c r="E52" s="22"/>
      <c r="J52" s="5"/>
      <c r="K52" s="5"/>
      <c r="L52" s="5"/>
      <c r="M52" s="5"/>
      <c r="N52" s="5"/>
      <c r="O52" s="5"/>
      <c r="P52" s="88"/>
      <c r="Q52" s="95"/>
    </row>
    <row r="53" spans="1:17" s="2" customFormat="1" ht="12" customHeight="1">
      <c r="D53" s="22"/>
      <c r="E53" s="22"/>
      <c r="J53" s="5"/>
      <c r="K53" s="5"/>
      <c r="L53" s="5"/>
      <c r="M53" s="5"/>
      <c r="N53" s="5"/>
      <c r="O53" s="5"/>
      <c r="P53" s="88"/>
      <c r="Q53" s="95"/>
    </row>
    <row r="54" spans="1:17" s="2" customFormat="1" ht="12" customHeight="1">
      <c r="D54" s="22"/>
      <c r="E54" s="22"/>
      <c r="J54" s="5"/>
      <c r="K54" s="5"/>
      <c r="L54" s="5"/>
      <c r="M54" s="5"/>
      <c r="N54" s="5"/>
      <c r="O54" s="5"/>
      <c r="P54" s="88"/>
      <c r="Q54" s="95"/>
    </row>
    <row r="55" spans="1:17" s="2" customFormat="1" ht="12" customHeight="1">
      <c r="D55" s="22"/>
      <c r="E55" s="22"/>
      <c r="J55" s="5"/>
      <c r="K55" s="5"/>
      <c r="L55" s="5"/>
      <c r="M55" s="5"/>
      <c r="N55" s="5"/>
      <c r="O55" s="5"/>
      <c r="P55" s="88"/>
      <c r="Q55" s="95"/>
    </row>
    <row r="56" spans="1:17" s="2" customFormat="1" ht="12" customHeight="1">
      <c r="D56" s="22"/>
      <c r="E56" s="22"/>
      <c r="J56" s="5"/>
      <c r="K56" s="5"/>
      <c r="L56" s="5"/>
      <c r="M56" s="5"/>
      <c r="N56" s="5"/>
      <c r="O56" s="5"/>
      <c r="P56" s="88"/>
      <c r="Q56" s="95"/>
    </row>
    <row r="57" spans="1:17" s="2" customFormat="1" ht="12" customHeight="1">
      <c r="D57" s="22"/>
      <c r="E57" s="22"/>
      <c r="J57" s="5"/>
      <c r="K57" s="5"/>
      <c r="L57" s="5"/>
      <c r="M57" s="5"/>
      <c r="N57" s="5"/>
      <c r="O57" s="5"/>
      <c r="P57" s="88"/>
      <c r="Q57" s="95"/>
    </row>
    <row r="58" spans="1:17" s="2" customFormat="1" ht="12" customHeight="1">
      <c r="D58" s="22"/>
      <c r="E58" s="22"/>
      <c r="J58" s="5"/>
      <c r="K58" s="5"/>
      <c r="L58" s="5"/>
      <c r="M58" s="5"/>
      <c r="N58" s="5"/>
      <c r="O58" s="5"/>
      <c r="P58" s="88"/>
      <c r="Q58" s="96"/>
    </row>
    <row r="59" spans="1:17" s="2" customFormat="1" ht="12" customHeight="1">
      <c r="D59" s="22"/>
      <c r="E59" s="22"/>
      <c r="J59" s="5"/>
      <c r="K59" s="5"/>
      <c r="L59" s="5"/>
      <c r="M59" s="5"/>
      <c r="N59" s="5"/>
      <c r="O59" s="5"/>
      <c r="P59" s="88"/>
      <c r="Q59" s="96"/>
    </row>
    <row r="60" spans="1:17" s="2" customFormat="1" ht="12" customHeight="1">
      <c r="D60" s="22"/>
      <c r="E60" s="22"/>
      <c r="J60" s="5"/>
      <c r="K60" s="5"/>
      <c r="L60" s="5"/>
      <c r="M60" s="5"/>
      <c r="N60" s="5"/>
      <c r="O60" s="5"/>
      <c r="P60" s="88"/>
      <c r="Q60" s="96"/>
    </row>
    <row r="61" spans="1:17" s="2" customFormat="1" ht="12" customHeight="1">
      <c r="D61" s="22"/>
      <c r="E61" s="22"/>
      <c r="J61" s="5"/>
      <c r="K61" s="5"/>
      <c r="L61" s="5"/>
      <c r="M61" s="5"/>
      <c r="N61" s="5"/>
      <c r="O61" s="5"/>
      <c r="P61" s="88"/>
      <c r="Q61" s="96"/>
    </row>
    <row r="62" spans="1:17" s="2" customFormat="1" ht="12" customHeight="1">
      <c r="A62"/>
      <c r="B62"/>
      <c r="C62"/>
      <c r="D62" s="23"/>
      <c r="E62" s="23"/>
      <c r="F62"/>
      <c r="G62"/>
      <c r="H62"/>
      <c r="I62"/>
      <c r="J62" s="19"/>
      <c r="K62" s="19"/>
      <c r="L62" s="19"/>
      <c r="M62" s="19"/>
      <c r="N62" s="19"/>
      <c r="O62" s="19"/>
      <c r="P62" s="90"/>
      <c r="Q62" s="96"/>
    </row>
    <row r="63" spans="1:17" s="2" customFormat="1" ht="12" customHeight="1">
      <c r="A63"/>
      <c r="B63"/>
      <c r="C63"/>
      <c r="D63" s="23"/>
      <c r="E63" s="23"/>
      <c r="F63"/>
      <c r="G63"/>
      <c r="H63"/>
      <c r="I63"/>
      <c r="J63" s="19"/>
      <c r="K63" s="19"/>
      <c r="L63" s="19"/>
      <c r="M63" s="19"/>
      <c r="N63" s="19"/>
      <c r="O63" s="19"/>
      <c r="P63" s="90"/>
      <c r="Q63" s="96"/>
    </row>
    <row r="64" spans="1:17" s="2" customFormat="1" ht="12" customHeight="1">
      <c r="A64"/>
      <c r="B64"/>
      <c r="C64"/>
      <c r="D64" s="23"/>
      <c r="E64" s="23"/>
      <c r="F64"/>
      <c r="G64"/>
      <c r="H64"/>
      <c r="I64"/>
      <c r="J64" s="19"/>
      <c r="K64" s="19"/>
      <c r="L64" s="19"/>
      <c r="M64" s="19"/>
      <c r="N64" s="19"/>
      <c r="O64" s="19"/>
      <c r="P64" s="90"/>
      <c r="Q64" s="96"/>
    </row>
    <row r="65" spans="1:17" s="2" customFormat="1" ht="12" customHeight="1">
      <c r="A65"/>
      <c r="B65"/>
      <c r="C65"/>
      <c r="D65" s="23"/>
      <c r="E65" s="23"/>
      <c r="F65"/>
      <c r="G65"/>
      <c r="H65"/>
      <c r="I65"/>
      <c r="J65" s="19"/>
      <c r="K65" s="19"/>
      <c r="L65" s="19"/>
      <c r="M65" s="19"/>
      <c r="N65" s="19"/>
      <c r="O65" s="19"/>
      <c r="P65" s="90"/>
      <c r="Q65" s="96"/>
    </row>
    <row r="66" spans="1:17" s="2" customFormat="1" ht="12" customHeight="1">
      <c r="A66"/>
      <c r="B66"/>
      <c r="C66"/>
      <c r="D66" s="23"/>
      <c r="E66" s="23"/>
      <c r="F66"/>
      <c r="G66"/>
      <c r="H66"/>
      <c r="I66"/>
      <c r="J66" s="19"/>
      <c r="K66" s="19"/>
      <c r="L66" s="19"/>
      <c r="M66" s="19"/>
      <c r="N66" s="19"/>
      <c r="O66" s="19"/>
      <c r="P66" s="90"/>
      <c r="Q66" s="96"/>
    </row>
    <row r="67" spans="1:17">
      <c r="Q67" s="96"/>
    </row>
    <row r="68" spans="1:17">
      <c r="Q68" s="96"/>
    </row>
    <row r="69" spans="1:17">
      <c r="Q69" s="96"/>
    </row>
    <row r="70" spans="1:17">
      <c r="Q70" s="96"/>
    </row>
    <row r="71" spans="1:17">
      <c r="Q71" s="96"/>
    </row>
    <row r="72" spans="1:17">
      <c r="Q72" s="96"/>
    </row>
    <row r="73" spans="1:17">
      <c r="Q73" s="96"/>
    </row>
    <row r="74" spans="1:17">
      <c r="Q74" s="96"/>
    </row>
    <row r="75" spans="1:17">
      <c r="Q75" s="96"/>
    </row>
    <row r="76" spans="1:17">
      <c r="Q76" s="96"/>
    </row>
    <row r="77" spans="1:17">
      <c r="Q77" s="96"/>
    </row>
    <row r="78" spans="1:17">
      <c r="Q78" s="96"/>
    </row>
    <row r="79" spans="1:17">
      <c r="Q79" s="96"/>
    </row>
    <row r="80" spans="1:17">
      <c r="Q80" s="96"/>
    </row>
    <row r="81" spans="17:17">
      <c r="Q81" s="96"/>
    </row>
    <row r="82" spans="17:17">
      <c r="Q82" s="96"/>
    </row>
    <row r="83" spans="17:17">
      <c r="Q83" s="96"/>
    </row>
    <row r="84" spans="17:17">
      <c r="Q84" s="96"/>
    </row>
    <row r="85" spans="17:17">
      <c r="Q85" s="96"/>
    </row>
    <row r="86" spans="17:17">
      <c r="Q86" s="96"/>
    </row>
    <row r="123" ht="12" customHeight="1"/>
    <row r="124" ht="12" customHeight="1"/>
    <row r="125" ht="12" customHeight="1"/>
    <row r="126" ht="12" customHeight="1"/>
    <row r="127" ht="12" customHeight="1"/>
    <row r="128" ht="12" customHeight="1"/>
    <row r="129" ht="12" customHeight="1"/>
    <row r="130" ht="12" customHeight="1"/>
    <row r="131" ht="12" customHeight="1"/>
    <row r="132" ht="12" customHeight="1"/>
    <row r="133" ht="12" customHeight="1"/>
    <row r="134" ht="12" customHeight="1"/>
    <row r="135" ht="12" customHeight="1"/>
    <row r="136" ht="12" customHeight="1"/>
    <row r="137" ht="12" customHeight="1"/>
    <row r="138" ht="12" customHeight="1"/>
    <row r="139" ht="12" customHeight="1"/>
    <row r="140" ht="12" customHeight="1"/>
    <row r="141" ht="12" customHeight="1"/>
    <row r="142" ht="12" customHeight="1"/>
    <row r="143" ht="12" customHeight="1"/>
    <row r="144" ht="12" customHeight="1"/>
    <row r="145" ht="12" customHeight="1"/>
    <row r="146" ht="12" customHeight="1"/>
    <row r="147" ht="12" customHeight="1"/>
    <row r="148" ht="12" customHeight="1"/>
    <row r="149" ht="12" customHeight="1"/>
    <row r="150" ht="12" customHeight="1"/>
    <row r="151" ht="12" customHeight="1"/>
    <row r="152" ht="12" customHeight="1"/>
    <row r="153" ht="12" customHeight="1"/>
    <row r="154" ht="12" customHeight="1"/>
    <row r="155" ht="12" customHeight="1"/>
    <row r="156" ht="12" customHeight="1"/>
    <row r="157" ht="12" customHeight="1"/>
    <row r="158" ht="12" customHeight="1"/>
    <row r="159" ht="12" customHeight="1"/>
    <row r="160" ht="12" customHeight="1"/>
    <row r="161" ht="12" customHeight="1"/>
    <row r="162" ht="12" customHeight="1"/>
    <row r="163" ht="12" customHeight="1"/>
    <row r="164" ht="12" customHeight="1"/>
    <row r="165" ht="12" customHeight="1"/>
    <row r="166" ht="12" customHeight="1"/>
    <row r="167" ht="12" customHeight="1"/>
    <row r="168" ht="12" customHeight="1"/>
    <row r="169" ht="12" customHeight="1"/>
    <row r="170" ht="12" customHeight="1"/>
    <row r="171" ht="12" customHeight="1"/>
    <row r="172" ht="12" customHeight="1"/>
  </sheetData>
  <mergeCells count="19">
    <mergeCell ref="D11:E11"/>
    <mergeCell ref="H12:I12"/>
    <mergeCell ref="D12:E12"/>
    <mergeCell ref="D19:E19"/>
    <mergeCell ref="H19:I19"/>
    <mergeCell ref="D13:E13"/>
    <mergeCell ref="D14:E14"/>
    <mergeCell ref="D15:E15"/>
    <mergeCell ref="D16:E16"/>
    <mergeCell ref="D7:E7"/>
    <mergeCell ref="H7:I7"/>
    <mergeCell ref="D8:E8"/>
    <mergeCell ref="D9:E9"/>
    <mergeCell ref="D10:E10"/>
    <mergeCell ref="D1:E1"/>
    <mergeCell ref="D4:E4"/>
    <mergeCell ref="H4:I4"/>
    <mergeCell ref="D5:E5"/>
    <mergeCell ref="D6:E6"/>
  </mergeCells>
  <conditionalFormatting sqref="M5:M6">
    <cfRule type="cellIs" dxfId="539" priority="1" stopIfTrue="1" operator="lessThanOrEqual">
      <formula>$L5</formula>
    </cfRule>
    <cfRule type="cellIs" dxfId="538" priority="2" operator="greaterThan">
      <formula>L5</formula>
    </cfRule>
  </conditionalFormatting>
  <conditionalFormatting sqref="M8:M11 M13:M18">
    <cfRule type="cellIs" dxfId="537" priority="3" stopIfTrue="1" operator="lessThanOrEqual">
      <formula>$L8</formula>
    </cfRule>
    <cfRule type="cellIs" dxfId="536" priority="4" operator="greaterThan">
      <formula>L8</formula>
    </cfRule>
  </conditionalFormatting>
  <pageMargins left="0.7" right="0.7" top="0.75" bottom="0.75" header="0.3" footer="0.3"/>
  <pageSetup paperSize="3" fitToHeight="0" orientation="landscape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E44064D-C2CB-454C-93EA-3C7BCF80EB7F}">
          <x14:formula1>
            <xm:f>Purchased!$A:$A</xm:f>
          </x14:formula1>
          <xm:sqref>C8:C11</xm:sqref>
        </x14:dataValidation>
        <x14:dataValidation type="list" allowBlank="1" showInputMessage="1" showErrorMessage="1" xr:uid="{599D829D-AEDC-4D7A-9E30-0E2D6D1B4E06}">
          <x14:formula1>
            <xm:f>Machined!$C:$C</xm:f>
          </x14:formula1>
          <xm:sqref>C5:C6</xm:sqref>
        </x14:dataValidation>
      </x14:dataValidation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0F5942-0982-4D79-8084-B274DC62E823}">
  <sheetPr codeName="Sheet34">
    <tabColor theme="3" tint="0.79998168889431442"/>
    <pageSetUpPr fitToPage="1"/>
  </sheetPr>
  <dimension ref="A1:Q183"/>
  <sheetViews>
    <sheetView zoomScaleNormal="100" workbookViewId="0">
      <selection activeCell="D33" sqref="D33"/>
    </sheetView>
  </sheetViews>
  <sheetFormatPr defaultColWidth="9.140625" defaultRowHeight="15"/>
  <cols>
    <col min="1" max="1" width="5.7109375" customWidth="1"/>
    <col min="2" max="2" width="5.42578125" bestFit="1" customWidth="1"/>
    <col min="3" max="3" width="30.7109375" customWidth="1"/>
    <col min="4" max="5" width="20.7109375" style="23" customWidth="1"/>
    <col min="6" max="6" width="16.85546875" bestFit="1" customWidth="1"/>
    <col min="7" max="7" width="9.7109375" customWidth="1"/>
    <col min="8" max="8" width="8.7109375" customWidth="1"/>
    <col min="9" max="9" width="20.7109375" customWidth="1"/>
    <col min="10" max="13" width="11.7109375" style="19" customWidth="1"/>
    <col min="14" max="14" width="11.85546875" style="19" bestFit="1" customWidth="1"/>
    <col min="15" max="15" width="7.7109375" style="19" customWidth="1"/>
    <col min="16" max="16" width="10.7109375" style="90" customWidth="1"/>
    <col min="17" max="17" width="10.7109375" style="97" customWidth="1"/>
  </cols>
  <sheetData>
    <row r="1" spans="1:17" s="55" customFormat="1" ht="12" customHeight="1">
      <c r="A1" s="68" t="s">
        <v>0</v>
      </c>
      <c r="B1" s="69"/>
      <c r="C1" s="69"/>
      <c r="D1" s="262" t="s">
        <v>1</v>
      </c>
      <c r="E1" s="263"/>
      <c r="F1" s="70"/>
      <c r="G1" s="69"/>
      <c r="H1" s="70"/>
      <c r="I1" s="71"/>
      <c r="J1" s="72"/>
      <c r="K1" s="72"/>
      <c r="L1" s="72"/>
      <c r="M1" s="72"/>
      <c r="N1" s="72"/>
      <c r="O1" s="72"/>
      <c r="P1" s="85"/>
      <c r="Q1" s="91"/>
    </row>
    <row r="2" spans="1:17" s="55" customFormat="1" ht="12" customHeight="1">
      <c r="A2" s="74" t="s">
        <v>48</v>
      </c>
      <c r="B2" s="58"/>
      <c r="C2" s="57" t="e">
        <f ca="1">VLOOKUP(E3,Assemblies!B:F,4,0)</f>
        <v>#VALUE!</v>
      </c>
      <c r="D2" s="75" t="s">
        <v>3</v>
      </c>
      <c r="E2" s="76" t="e">
        <f ca="1">'GF12'!E2</f>
        <v>#VALUE!</v>
      </c>
      <c r="F2" s="77" t="s">
        <v>4</v>
      </c>
      <c r="G2" s="58" t="str">
        <f>'GF12'!G2</f>
        <v>GH</v>
      </c>
      <c r="H2" s="77" t="s">
        <v>6</v>
      </c>
      <c r="I2" s="59">
        <f>'GF12'!I2</f>
        <v>44775</v>
      </c>
      <c r="J2" s="39"/>
      <c r="K2" s="40" t="s">
        <v>49</v>
      </c>
      <c r="L2" s="41" t="e">
        <f ca="1">VLOOKUP(C2,Assemblies!E:G,3,0)</f>
        <v>#VALUE!</v>
      </c>
      <c r="M2" s="78"/>
      <c r="N2" s="78"/>
      <c r="O2" s="78"/>
      <c r="P2" s="86"/>
      <c r="Q2" s="92"/>
    </row>
    <row r="3" spans="1:17" s="55" customFormat="1" ht="12" customHeight="1" thickBot="1">
      <c r="A3" s="74" t="s">
        <v>7</v>
      </c>
      <c r="B3" s="58"/>
      <c r="C3" s="57" t="e">
        <f ca="1">VLOOKUP(E3,Assemblies!B:F,5,0)</f>
        <v>#VALUE!</v>
      </c>
      <c r="D3" s="75" t="s">
        <v>50</v>
      </c>
      <c r="E3" s="76" t="e">
        <f ca="1">MID(CELL("filename",A1),FIND("]",CELL("filename",A1))+1,256)</f>
        <v>#VALUE!</v>
      </c>
      <c r="F3" s="77" t="s">
        <v>11</v>
      </c>
      <c r="G3" s="58" t="str">
        <f>'GF12'!G3</f>
        <v>GH</v>
      </c>
      <c r="H3" s="77" t="s">
        <v>6</v>
      </c>
      <c r="I3" s="59">
        <f>'GF12'!I3</f>
        <v>44775</v>
      </c>
      <c r="J3" s="78"/>
      <c r="K3" s="78"/>
      <c r="L3" s="78"/>
      <c r="M3" s="78"/>
      <c r="N3" s="78"/>
      <c r="O3" s="78"/>
      <c r="P3" s="86"/>
      <c r="Q3" s="92"/>
    </row>
    <row r="4" spans="1:17" s="56" customFormat="1" ht="12.75" customHeight="1" thickBot="1">
      <c r="A4" s="80" t="s">
        <v>12</v>
      </c>
      <c r="B4" s="81" t="s">
        <v>13</v>
      </c>
      <c r="C4" s="81" t="s">
        <v>14</v>
      </c>
      <c r="D4" s="270" t="s">
        <v>15</v>
      </c>
      <c r="E4" s="271"/>
      <c r="F4" s="104" t="s">
        <v>16</v>
      </c>
      <c r="G4" s="81" t="s">
        <v>17</v>
      </c>
      <c r="H4" s="260" t="s">
        <v>18</v>
      </c>
      <c r="I4" s="261"/>
      <c r="J4" s="81" t="s">
        <v>51</v>
      </c>
      <c r="K4" s="81" t="s">
        <v>20</v>
      </c>
      <c r="L4" s="81" t="s">
        <v>21</v>
      </c>
      <c r="M4" s="81" t="s">
        <v>52</v>
      </c>
      <c r="N4" s="81" t="s">
        <v>22</v>
      </c>
      <c r="O4" s="81" t="s">
        <v>53</v>
      </c>
      <c r="P4" s="107" t="s">
        <v>26</v>
      </c>
      <c r="Q4" s="82" t="s">
        <v>27</v>
      </c>
    </row>
    <row r="5" spans="1:17" s="2" customFormat="1" ht="12.75" customHeight="1">
      <c r="A5" s="127">
        <v>1</v>
      </c>
      <c r="B5" s="21">
        <v>1</v>
      </c>
      <c r="C5" s="108" t="s">
        <v>444</v>
      </c>
      <c r="D5" s="277" t="str">
        <f>VLOOKUP(C5,Machined!C:Q,2,0)</f>
        <v>Manifold Mount Plate</v>
      </c>
      <c r="E5" s="278"/>
      <c r="F5" s="131" t="str">
        <f>VLOOKUP(C5,Machined!C:R,7,0)</f>
        <v>6061-T6 Alum</v>
      </c>
      <c r="G5" s="131" t="str">
        <f>VLOOKUP(C5,Machined!C:R,10,0)</f>
        <v>NULINE</v>
      </c>
      <c r="H5" s="131" t="str">
        <f>VLOOKUP(C5,Machined!C:R,11,0)</f>
        <v xml:space="preserve">  </v>
      </c>
      <c r="I5" s="131"/>
      <c r="J5" s="42" t="str">
        <f>VLOOKUP(C5,Machined!C:R,12,0)</f>
        <v>N/A</v>
      </c>
      <c r="K5" s="42" t="str">
        <f>VLOOKUP(C5,Machined!C:R,13,0)</f>
        <v>N/A</v>
      </c>
      <c r="L5" s="42" t="str">
        <f>VLOOKUP(C5,Machined!C:R,14,0)</f>
        <v>N/A</v>
      </c>
      <c r="M5" s="42" t="str">
        <f>VLOOKUP(C5,Machined!C:R,15,0)</f>
        <v>N/A</v>
      </c>
      <c r="N5" s="43" t="str">
        <f>VLOOKUP(C5,Machined!C:R,16,0)</f>
        <v>N/A</v>
      </c>
      <c r="O5" s="43" t="e">
        <f t="shared" ref="O5" ca="1" si="0">B5*$L$2</f>
        <v>#VALUE!</v>
      </c>
      <c r="P5" s="47">
        <f>IFERROR(VLOOKUP(C5,Machined!C:F,3,0),"")</f>
        <v>0</v>
      </c>
      <c r="Q5" s="48">
        <f t="shared" ref="Q5" si="1">IFERROR(B5*P5,"")</f>
        <v>0</v>
      </c>
    </row>
    <row r="6" spans="1:17" s="2" customFormat="1" ht="12.75" customHeight="1">
      <c r="A6" s="143"/>
      <c r="B6" s="26"/>
      <c r="C6" s="26"/>
      <c r="D6" s="272"/>
      <c r="E6" s="273"/>
      <c r="F6" s="26"/>
      <c r="G6" s="26"/>
      <c r="H6" s="274"/>
      <c r="I6" s="275"/>
      <c r="J6" s="27"/>
      <c r="K6" s="27"/>
      <c r="L6" s="27"/>
      <c r="M6" s="28"/>
      <c r="N6" s="29"/>
      <c r="O6" s="29"/>
      <c r="P6" s="141"/>
      <c r="Q6" s="142"/>
    </row>
    <row r="7" spans="1:17" s="2" customFormat="1" ht="12.75" customHeight="1">
      <c r="A7" s="4">
        <v>301</v>
      </c>
      <c r="B7" s="2">
        <v>1</v>
      </c>
      <c r="C7" s="114" t="s">
        <v>169</v>
      </c>
      <c r="D7" s="268" t="str">
        <f>VLOOKUP(C7,Purchased!A:B,2,0)</f>
        <v>SMC SS5Y5 D SIDE END PLATE</v>
      </c>
      <c r="E7" s="269"/>
      <c r="F7" s="112" t="str">
        <f>VLOOKUP(C7,Purchased!A:Q,9,0)</f>
        <v>SMC</v>
      </c>
      <c r="G7" s="112" t="str">
        <f>VLOOKUP(C7,Purchased!A:Q,10,0)</f>
        <v>AAP</v>
      </c>
      <c r="H7" s="112" t="str">
        <f>VLOOKUP(C7,Purchased!A:Q,12,0)</f>
        <v xml:space="preserve">  </v>
      </c>
      <c r="I7" s="113"/>
      <c r="J7" s="44" t="str">
        <f>VLOOKUP(C7,Purchased!A:Q,13,0)</f>
        <v>N/A</v>
      </c>
      <c r="K7" s="44">
        <f>VLOOKUP(C7,Purchased!A:Q,14,0)</f>
        <v>45086</v>
      </c>
      <c r="L7" s="44">
        <f>VLOOKUP(C7,Purchased!A:Q,15,0)</f>
        <v>45103</v>
      </c>
      <c r="M7" s="44">
        <f>VLOOKUP(C7,Purchased!A:Q,16,0)</f>
        <v>45103</v>
      </c>
      <c r="N7" s="45">
        <f>VLOOKUP(C7,Purchased!A:Q,17,0)</f>
        <v>54926</v>
      </c>
      <c r="O7" s="45" t="e">
        <f t="shared" ref="O7:O28" ca="1" si="2">B7*$L$2</f>
        <v>#VALUE!</v>
      </c>
      <c r="P7" s="49">
        <f>IFERROR(VLOOKUP(C7,Purchased!A:E,3,FALSE),"")</f>
        <v>49.398800000000001</v>
      </c>
      <c r="Q7" s="50">
        <f t="shared" ref="Q7:Q19" si="3">IFERROR(B7*P7,"")</f>
        <v>49.398800000000001</v>
      </c>
    </row>
    <row r="8" spans="1:17" s="2" customFormat="1" ht="12" customHeight="1">
      <c r="A8" s="4">
        <v>302</v>
      </c>
      <c r="B8" s="2">
        <v>3</v>
      </c>
      <c r="C8" s="114" t="s">
        <v>170</v>
      </c>
      <c r="D8" s="268" t="str">
        <f>VLOOKUP(C8,Purchased!A:B,2,0)</f>
        <v>SMC BLOCK ASSY</v>
      </c>
      <c r="E8" s="269"/>
      <c r="F8" s="112" t="str">
        <f>VLOOKUP(C8,Purchased!A:Q,9,0)</f>
        <v>SMC</v>
      </c>
      <c r="G8" s="112" t="str">
        <f>VLOOKUP(C8,Purchased!A:Q,10,0)</f>
        <v>AAP</v>
      </c>
      <c r="H8" s="112" t="str">
        <f>VLOOKUP(C8,Purchased!A:Q,12,0)</f>
        <v xml:space="preserve">  </v>
      </c>
      <c r="I8" s="113"/>
      <c r="J8" s="44" t="str">
        <f>VLOOKUP(C8,Purchased!A:Q,13,0)</f>
        <v>N/A</v>
      </c>
      <c r="K8" s="44">
        <f>VLOOKUP(C8,Purchased!A:Q,14,0)</f>
        <v>45086</v>
      </c>
      <c r="L8" s="44">
        <f>VLOOKUP(C8,Purchased!A:Q,15,0)</f>
        <v>45103</v>
      </c>
      <c r="M8" s="44">
        <f>VLOOKUP(C8,Purchased!A:Q,16,0)</f>
        <v>45103</v>
      </c>
      <c r="N8" s="45">
        <f>VLOOKUP(C8,Purchased!A:Q,17,0)</f>
        <v>54926</v>
      </c>
      <c r="O8" s="45" t="e">
        <f t="shared" ca="1" si="2"/>
        <v>#VALUE!</v>
      </c>
      <c r="P8" s="49">
        <f>IFERROR(VLOOKUP(C8,Purchased!A:E,3,FALSE),"")</f>
        <v>17.9833</v>
      </c>
      <c r="Q8" s="50">
        <f t="shared" si="3"/>
        <v>53.9499</v>
      </c>
    </row>
    <row r="9" spans="1:17" s="2" customFormat="1" ht="12" customHeight="1">
      <c r="A9" s="4">
        <v>303</v>
      </c>
      <c r="B9" s="2">
        <v>1</v>
      </c>
      <c r="C9" s="114" t="s">
        <v>172</v>
      </c>
      <c r="D9" s="268" t="str">
        <f>VLOOKUP(C9,Purchased!A:B,2,0)</f>
        <v>SMC Valve, 5 Port Solenoid</v>
      </c>
      <c r="E9" s="269"/>
      <c r="F9" s="112" t="str">
        <f>VLOOKUP(C9,Purchased!A:Q,9,0)</f>
        <v>SMC</v>
      </c>
      <c r="G9" s="112" t="str">
        <f>VLOOKUP(C9,Purchased!A:Q,10,0)</f>
        <v>AAP</v>
      </c>
      <c r="H9" s="112" t="str">
        <f>VLOOKUP(C9,Purchased!A:Q,12,0)</f>
        <v xml:space="preserve"> </v>
      </c>
      <c r="I9" s="113"/>
      <c r="J9" s="44" t="str">
        <f>VLOOKUP(C9,Purchased!A:Q,13,0)</f>
        <v>N/A</v>
      </c>
      <c r="K9" s="44">
        <f>VLOOKUP(C9,Purchased!A:Q,14,0)</f>
        <v>45086</v>
      </c>
      <c r="L9" s="44">
        <f>VLOOKUP(C9,Purchased!A:Q,15,0)</f>
        <v>45103</v>
      </c>
      <c r="M9" s="44">
        <f>VLOOKUP(C9,Purchased!A:Q,16,0)</f>
        <v>45103</v>
      </c>
      <c r="N9" s="45">
        <f>VLOOKUP(C9,Purchased!A:Q,17,0)</f>
        <v>54926</v>
      </c>
      <c r="O9" s="45" t="e">
        <f t="shared" ca="1" si="2"/>
        <v>#VALUE!</v>
      </c>
      <c r="P9" s="49">
        <f>IFERROR(VLOOKUP(C9,Purchased!A:E,3,FALSE),"")</f>
        <v>83.1798</v>
      </c>
      <c r="Q9" s="50">
        <f t="shared" si="3"/>
        <v>83.1798</v>
      </c>
    </row>
    <row r="10" spans="1:17" s="2" customFormat="1" ht="12" customHeight="1">
      <c r="A10" s="4">
        <v>304</v>
      </c>
      <c r="B10" s="2">
        <v>1</v>
      </c>
      <c r="C10" s="114" t="s">
        <v>200</v>
      </c>
      <c r="D10" s="268" t="str">
        <f>VLOOKUP(C10,Purchased!A:B,2,0)</f>
        <v>SMC Valve, 5 Port Solenoid</v>
      </c>
      <c r="E10" s="269"/>
      <c r="F10" s="112" t="str">
        <f>VLOOKUP(C10,Purchased!A:Q,9,0)</f>
        <v>SMC</v>
      </c>
      <c r="G10" s="112" t="str">
        <f>VLOOKUP(C10,Purchased!A:Q,10,0)</f>
        <v>AAP</v>
      </c>
      <c r="H10" s="112" t="str">
        <f>VLOOKUP(C10,Purchased!A:Q,12,0)</f>
        <v xml:space="preserve"> </v>
      </c>
      <c r="I10" s="113"/>
      <c r="J10" s="44" t="str">
        <f>VLOOKUP(C10,Purchased!A:Q,13,0)</f>
        <v>N/A</v>
      </c>
      <c r="K10" s="44">
        <f>VLOOKUP(C10,Purchased!A:Q,14,0)</f>
        <v>45086</v>
      </c>
      <c r="L10" s="44">
        <f>VLOOKUP(C10,Purchased!A:Q,15,0)</f>
        <v>45103</v>
      </c>
      <c r="M10" s="44">
        <f>VLOOKUP(C10,Purchased!A:Q,16,0)</f>
        <v>45103</v>
      </c>
      <c r="N10" s="45">
        <f>VLOOKUP(C10,Purchased!A:Q,17,0)</f>
        <v>54926</v>
      </c>
      <c r="O10" s="45" t="e">
        <f t="shared" ca="1" si="2"/>
        <v>#VALUE!</v>
      </c>
      <c r="P10" s="49">
        <f>IFERROR(VLOOKUP(C10,Purchased!A:E,3,FALSE),"")</f>
        <v>53.659500000000001</v>
      </c>
      <c r="Q10" s="50">
        <f t="shared" si="3"/>
        <v>53.659500000000001</v>
      </c>
    </row>
    <row r="11" spans="1:17" s="2" customFormat="1" ht="12" customHeight="1">
      <c r="A11" s="4">
        <v>305</v>
      </c>
      <c r="B11" s="2">
        <v>1</v>
      </c>
      <c r="C11" s="114" t="s">
        <v>402</v>
      </c>
      <c r="D11" s="268" t="str">
        <f>VLOOKUP(C11,Purchased!A:B,2,0)</f>
        <v>SMC BLANKING PLATE ASSY</v>
      </c>
      <c r="E11" s="269"/>
      <c r="F11" s="112" t="str">
        <f>VLOOKUP(C11,Purchased!A:Q,9,0)</f>
        <v>SMC</v>
      </c>
      <c r="G11" s="112" t="str">
        <f>VLOOKUP(C11,Purchased!A:Q,10,0)</f>
        <v>AAP</v>
      </c>
      <c r="H11" s="112" t="str">
        <f>VLOOKUP(C11,Purchased!A:Q,12,0)</f>
        <v xml:space="preserve">  </v>
      </c>
      <c r="I11" s="113"/>
      <c r="J11" s="44" t="str">
        <f>VLOOKUP(C11,Purchased!A:Q,13,0)</f>
        <v>N/A</v>
      </c>
      <c r="K11" s="44">
        <f>VLOOKUP(C11,Purchased!A:Q,14,0)</f>
        <v>45086</v>
      </c>
      <c r="L11" s="44">
        <f>VLOOKUP(C11,Purchased!A:Q,15,0)</f>
        <v>45103</v>
      </c>
      <c r="M11" s="44">
        <f>VLOOKUP(C11,Purchased!A:Q,16,0)</f>
        <v>45103</v>
      </c>
      <c r="N11" s="45">
        <f>VLOOKUP(C11,Purchased!A:Q,17,0)</f>
        <v>54926</v>
      </c>
      <c r="O11" s="45" t="e">
        <f t="shared" ca="1" si="2"/>
        <v>#VALUE!</v>
      </c>
      <c r="P11" s="49">
        <f>IFERROR(VLOOKUP(C11,Purchased!A:E,3,FALSE),"")</f>
        <v>5.6577999999999999</v>
      </c>
      <c r="Q11" s="50">
        <f t="shared" si="3"/>
        <v>5.6577999999999999</v>
      </c>
    </row>
    <row r="12" spans="1:17" s="2" customFormat="1" ht="12" customHeight="1">
      <c r="A12" s="4">
        <v>306</v>
      </c>
      <c r="B12" s="2">
        <v>1</v>
      </c>
      <c r="C12" s="114" t="s">
        <v>403</v>
      </c>
      <c r="D12" s="268" t="str">
        <f>VLOOKUP(C12,Purchased!A:B,2,0)</f>
        <v>SMC SS5Y5 U SIDE END PLATE</v>
      </c>
      <c r="E12" s="269"/>
      <c r="F12" s="112" t="str">
        <f>VLOOKUP(C12,Purchased!A:Q,9,0)</f>
        <v>SMC</v>
      </c>
      <c r="G12" s="112" t="str">
        <f>VLOOKUP(C12,Purchased!A:Q,10,0)</f>
        <v>AAP</v>
      </c>
      <c r="H12" s="112" t="str">
        <f>VLOOKUP(C12,Purchased!A:Q,12,0)</f>
        <v xml:space="preserve"> </v>
      </c>
      <c r="I12" s="113"/>
      <c r="J12" s="44" t="str">
        <f>VLOOKUP(C12,Purchased!A:Q,13,0)</f>
        <v>N/A</v>
      </c>
      <c r="K12" s="44">
        <f>VLOOKUP(C12,Purchased!A:Q,14,0)</f>
        <v>45086</v>
      </c>
      <c r="L12" s="44">
        <f>VLOOKUP(C12,Purchased!A:Q,15,0)</f>
        <v>45103</v>
      </c>
      <c r="M12" s="44">
        <f>VLOOKUP(C12,Purchased!A:Q,16,0)</f>
        <v>45103</v>
      </c>
      <c r="N12" s="45">
        <f>VLOOKUP(C12,Purchased!A:Q,17,0)</f>
        <v>54926</v>
      </c>
      <c r="O12" s="45" t="e">
        <f t="shared" ca="1" si="2"/>
        <v>#VALUE!</v>
      </c>
      <c r="P12" s="49">
        <f>IFERROR(VLOOKUP(C12,Purchased!A:E,3,FALSE),"")</f>
        <v>32.0242</v>
      </c>
      <c r="Q12" s="50">
        <f t="shared" si="3"/>
        <v>32.0242</v>
      </c>
    </row>
    <row r="13" spans="1:17" s="2" customFormat="1" ht="12" customHeight="1">
      <c r="A13" s="4">
        <v>307</v>
      </c>
      <c r="B13" s="2">
        <v>3</v>
      </c>
      <c r="C13" s="114" t="s">
        <v>404</v>
      </c>
      <c r="D13" s="268" t="str">
        <f>VLOOKUP(C13,Purchased!A:B,2,0)</f>
        <v>SMC TIE ROD</v>
      </c>
      <c r="E13" s="269"/>
      <c r="F13" s="112" t="str">
        <f>VLOOKUP(C13,Purchased!A:Q,9,0)</f>
        <v>SMC</v>
      </c>
      <c r="G13" s="112" t="str">
        <f>VLOOKUP(C13,Purchased!A:Q,10,0)</f>
        <v>AAP</v>
      </c>
      <c r="H13" s="112" t="str">
        <f>VLOOKUP(C13,Purchased!A:Q,12,0)</f>
        <v xml:space="preserve"> </v>
      </c>
      <c r="I13" s="113"/>
      <c r="J13" s="44" t="str">
        <f>VLOOKUP(C13,Purchased!A:Q,13,0)</f>
        <v>N/A</v>
      </c>
      <c r="K13" s="44">
        <f>VLOOKUP(C13,Purchased!A:Q,14,0)</f>
        <v>45086</v>
      </c>
      <c r="L13" s="44">
        <f>VLOOKUP(C13,Purchased!A:Q,15,0)</f>
        <v>45103</v>
      </c>
      <c r="M13" s="44">
        <f>VLOOKUP(C13,Purchased!A:Q,16,0)</f>
        <v>45103</v>
      </c>
      <c r="N13" s="45">
        <f>VLOOKUP(C13,Purchased!A:Q,17,0)</f>
        <v>54926</v>
      </c>
      <c r="O13" s="45" t="e">
        <f t="shared" ca="1" si="2"/>
        <v>#VALUE!</v>
      </c>
      <c r="P13" s="49">
        <f>IFERROR(VLOOKUP(C13,Purchased!A:E,3,FALSE),"")</f>
        <v>2.9603000000000002</v>
      </c>
      <c r="Q13" s="50">
        <f t="shared" si="3"/>
        <v>8.8809000000000005</v>
      </c>
    </row>
    <row r="14" spans="1:17" s="2" customFormat="1" ht="12" customHeight="1">
      <c r="A14" s="4">
        <v>308</v>
      </c>
      <c r="B14" s="2">
        <v>2</v>
      </c>
      <c r="C14" s="114" t="s">
        <v>175</v>
      </c>
      <c r="D14" s="268" t="str">
        <f>VLOOKUP(C14,Purchased!A:B,2,0)</f>
        <v>SMC FITTING ASSY</v>
      </c>
      <c r="E14" s="269"/>
      <c r="F14" s="112" t="str">
        <f>VLOOKUP(C14,Purchased!A:Q,9,0)</f>
        <v>SMC</v>
      </c>
      <c r="G14" s="112" t="str">
        <f>VLOOKUP(C14,Purchased!A:Q,10,0)</f>
        <v>AAP</v>
      </c>
      <c r="H14" s="112" t="str">
        <f>VLOOKUP(C14,Purchased!A:Q,12,0)</f>
        <v xml:space="preserve"> </v>
      </c>
      <c r="I14" s="113"/>
      <c r="J14" s="44" t="str">
        <f>VLOOKUP(C14,Purchased!A:Q,13,0)</f>
        <v>N/A</v>
      </c>
      <c r="K14" s="44">
        <f>VLOOKUP(C14,Purchased!A:Q,14,0)</f>
        <v>45086</v>
      </c>
      <c r="L14" s="44">
        <f>VLOOKUP(C14,Purchased!A:Q,15,0)</f>
        <v>45103</v>
      </c>
      <c r="M14" s="44">
        <f>VLOOKUP(C14,Purchased!A:Q,16,0)</f>
        <v>45103</v>
      </c>
      <c r="N14" s="45">
        <f>VLOOKUP(C14,Purchased!A:Q,17,0)</f>
        <v>54926</v>
      </c>
      <c r="O14" s="45" t="e">
        <f t="shared" ca="1" si="2"/>
        <v>#VALUE!</v>
      </c>
      <c r="P14" s="49">
        <f>IFERROR(VLOOKUP(C14,Purchased!A:E,3,FALSE),"")</f>
        <v>3.3892000000000002</v>
      </c>
      <c r="Q14" s="50">
        <f t="shared" si="3"/>
        <v>6.7784000000000004</v>
      </c>
    </row>
    <row r="15" spans="1:17" s="2" customFormat="1" ht="12" customHeight="1">
      <c r="A15" s="4">
        <v>309</v>
      </c>
      <c r="B15" s="2">
        <v>2</v>
      </c>
      <c r="C15" s="114" t="s">
        <v>421</v>
      </c>
      <c r="D15" s="268" t="str">
        <f>VLOOKUP(C15,Purchased!A:B,2,0)</f>
        <v>SMC KIT, L-BRACKET, AS2052F</v>
      </c>
      <c r="E15" s="269"/>
      <c r="F15" s="112" t="str">
        <f>VLOOKUP(C15,Purchased!A:Q,9,0)</f>
        <v>SMC</v>
      </c>
      <c r="G15" s="112" t="str">
        <f>VLOOKUP(C15,Purchased!A:Q,10,0)</f>
        <v>AAP</v>
      </c>
      <c r="H15" s="112" t="str">
        <f>VLOOKUP(C15,Purchased!A:Q,12,0)</f>
        <v xml:space="preserve"> </v>
      </c>
      <c r="I15" s="113"/>
      <c r="J15" s="44" t="str">
        <f>VLOOKUP(C15,Purchased!A:Q,13,0)</f>
        <v>N/A</v>
      </c>
      <c r="K15" s="44">
        <f>VLOOKUP(C15,Purchased!A:Q,14,0)</f>
        <v>45162</v>
      </c>
      <c r="L15" s="44">
        <f>VLOOKUP(C15,Purchased!A:Q,15,0)</f>
        <v>45184</v>
      </c>
      <c r="M15" s="44">
        <f>VLOOKUP(C15,Purchased!A:Q,16,0)</f>
        <v>45180</v>
      </c>
      <c r="N15" s="45">
        <f>VLOOKUP(C15,Purchased!A:Q,17,0)</f>
        <v>55037</v>
      </c>
      <c r="O15" s="45" t="e">
        <f t="shared" ca="1" si="2"/>
        <v>#VALUE!</v>
      </c>
      <c r="P15" s="49">
        <f>IFERROR(VLOOKUP(C15,Purchased!A:E,3,FALSE),"")</f>
        <v>2.2410000000000001</v>
      </c>
      <c r="Q15" s="50">
        <f t="shared" si="3"/>
        <v>4.4820000000000002</v>
      </c>
    </row>
    <row r="16" spans="1:17" s="2" customFormat="1" ht="12" customHeight="1">
      <c r="A16" s="4">
        <v>310</v>
      </c>
      <c r="B16" s="2">
        <v>2</v>
      </c>
      <c r="C16" s="114" t="s">
        <v>445</v>
      </c>
      <c r="D16" s="268" t="str">
        <f>VLOOKUP(C16,Purchased!A:B,2,0)</f>
        <v>SMC SPEED CONTROLLER</v>
      </c>
      <c r="E16" s="269"/>
      <c r="F16" s="112" t="str">
        <f>VLOOKUP(C16,Purchased!A:Q,9,0)</f>
        <v>SMC</v>
      </c>
      <c r="G16" s="112" t="str">
        <f>VLOOKUP(C16,Purchased!A:Q,10,0)</f>
        <v>AAP</v>
      </c>
      <c r="H16" s="112" t="str">
        <f>VLOOKUP(C16,Purchased!A:Q,12,0)</f>
        <v xml:space="preserve"> </v>
      </c>
      <c r="I16" s="113"/>
      <c r="J16" s="44" t="str">
        <f>VLOOKUP(C16,Purchased!A:Q,13,0)</f>
        <v>N/A</v>
      </c>
      <c r="K16" s="44">
        <f>VLOOKUP(C16,Purchased!A:Q,14,0)</f>
        <v>45162</v>
      </c>
      <c r="L16" s="44">
        <f>VLOOKUP(C16,Purchased!A:Q,15,0)</f>
        <v>45184</v>
      </c>
      <c r="M16" s="44">
        <f>VLOOKUP(C16,Purchased!A:Q,16,0)</f>
        <v>45180</v>
      </c>
      <c r="N16" s="45">
        <f>VLOOKUP(C16,Purchased!A:Q,17,0)</f>
        <v>55037</v>
      </c>
      <c r="O16" s="45" t="e">
        <f t="shared" ca="1" si="2"/>
        <v>#VALUE!</v>
      </c>
      <c r="P16" s="49">
        <f>IFERROR(VLOOKUP(C16,Purchased!A:E,3,FALSE),"")</f>
        <v>20.3765</v>
      </c>
      <c r="Q16" s="50">
        <f t="shared" si="3"/>
        <v>40.753</v>
      </c>
    </row>
    <row r="17" spans="1:17" s="2" customFormat="1" ht="12" customHeight="1">
      <c r="A17" s="4">
        <v>311</v>
      </c>
      <c r="B17" s="2">
        <v>2</v>
      </c>
      <c r="C17" s="114" t="s">
        <v>446</v>
      </c>
      <c r="D17" s="268" t="str">
        <f>VLOOKUP(C17,Purchased!A:B,2,0)</f>
        <v>SMC FITTING, MALE ELBOW</v>
      </c>
      <c r="E17" s="269"/>
      <c r="F17" s="112" t="str">
        <f>VLOOKUP(C17,Purchased!A:Q,9,0)</f>
        <v>SMC</v>
      </c>
      <c r="G17" s="112" t="str">
        <f>VLOOKUP(C17,Purchased!A:Q,10,0)</f>
        <v>AAP</v>
      </c>
      <c r="H17" s="112" t="str">
        <f>VLOOKUP(C17,Purchased!A:Q,12,0)</f>
        <v xml:space="preserve">  </v>
      </c>
      <c r="I17" s="113"/>
      <c r="J17" s="44" t="str">
        <f>VLOOKUP(C17,Purchased!A:Q,13,0)</f>
        <v>N/A</v>
      </c>
      <c r="K17" s="44">
        <f>VLOOKUP(C17,Purchased!A:Q,14,0)</f>
        <v>45162</v>
      </c>
      <c r="L17" s="44">
        <f>VLOOKUP(C17,Purchased!A:Q,15,0)</f>
        <v>45184</v>
      </c>
      <c r="M17" s="44">
        <f>VLOOKUP(C17,Purchased!A:Q,16,0)</f>
        <v>45180</v>
      </c>
      <c r="N17" s="45">
        <f>VLOOKUP(C17,Purchased!A:Q,17,0)</f>
        <v>55037</v>
      </c>
      <c r="O17" s="45" t="e">
        <f t="shared" ca="1" si="2"/>
        <v>#VALUE!</v>
      </c>
      <c r="P17" s="49">
        <f>IFERROR(VLOOKUP(C17,Purchased!A:E,3,FALSE),"")</f>
        <v>1.8674999999999999</v>
      </c>
      <c r="Q17" s="50">
        <f t="shared" si="3"/>
        <v>3.7349999999999999</v>
      </c>
    </row>
    <row r="18" spans="1:17" s="2" customFormat="1" ht="12" customHeight="1">
      <c r="A18" s="4">
        <v>312</v>
      </c>
      <c r="B18" s="2">
        <v>1</v>
      </c>
      <c r="C18" s="114" t="s">
        <v>447</v>
      </c>
      <c r="D18" s="268" t="str">
        <f>VLOOKUP(C18,Purchased!A:B,2,0)</f>
        <v>SMC AR20-02BE-B Air Regulator 1/4 NPT port</v>
      </c>
      <c r="E18" s="269"/>
      <c r="F18" s="112" t="str">
        <f>VLOOKUP(C18,Purchased!A:Q,9,0)</f>
        <v>SMC</v>
      </c>
      <c r="G18" s="112" t="str">
        <f>VLOOKUP(C18,Purchased!A:Q,10,0)</f>
        <v>AAP</v>
      </c>
      <c r="H18" s="112" t="str">
        <f>VLOOKUP(C18,Purchased!A:Q,12,0)</f>
        <v xml:space="preserve"> </v>
      </c>
      <c r="I18" s="113"/>
      <c r="J18" s="44" t="str">
        <f>VLOOKUP(C18,Purchased!A:Q,13,0)</f>
        <v>N/A</v>
      </c>
      <c r="K18" s="44">
        <f>VLOOKUP(C18,Purchased!A:Q,14,0)</f>
        <v>45162</v>
      </c>
      <c r="L18" s="44">
        <f>VLOOKUP(C18,Purchased!A:Q,15,0)</f>
        <v>45184</v>
      </c>
      <c r="M18" s="44">
        <f>VLOOKUP(C18,Purchased!A:Q,16,0)</f>
        <v>45180</v>
      </c>
      <c r="N18" s="45">
        <f>VLOOKUP(C18,Purchased!A:Q,17,0)</f>
        <v>55037</v>
      </c>
      <c r="O18" s="45" t="e">
        <f t="shared" ca="1" si="2"/>
        <v>#VALUE!</v>
      </c>
      <c r="P18" s="49">
        <f>IFERROR(VLOOKUP(C18,Purchased!A:E,3,FALSE),"")</f>
        <v>19.0623</v>
      </c>
      <c r="Q18" s="50">
        <f t="shared" si="3"/>
        <v>19.0623</v>
      </c>
    </row>
    <row r="19" spans="1:17" s="2" customFormat="1" ht="12" customHeight="1">
      <c r="A19" s="4">
        <v>313</v>
      </c>
      <c r="B19" s="2">
        <v>2</v>
      </c>
      <c r="C19" s="114" t="s">
        <v>290</v>
      </c>
      <c r="D19" s="268" t="str">
        <f>VLOOKUP(C19,Purchased!A:B,2,0)</f>
        <v>SMC FITTING, UNIFIT</v>
      </c>
      <c r="E19" s="269"/>
      <c r="F19" s="112" t="str">
        <f>VLOOKUP(C19,Purchased!A:Q,9,0)</f>
        <v>SMC</v>
      </c>
      <c r="G19" s="112" t="str">
        <f>VLOOKUP(C19,Purchased!A:Q,10,0)</f>
        <v>AAP</v>
      </c>
      <c r="H19" s="112" t="str">
        <f>VLOOKUP(C19,Purchased!A:Q,12,0)</f>
        <v xml:space="preserve"> </v>
      </c>
      <c r="I19" s="113"/>
      <c r="J19" s="44" t="str">
        <f>VLOOKUP(C19,Purchased!A:Q,13,0)</f>
        <v>N/A</v>
      </c>
      <c r="K19" s="44">
        <f>VLOOKUP(C19,Purchased!A:Q,14,0)</f>
        <v>45162</v>
      </c>
      <c r="L19" s="44">
        <f>VLOOKUP(C19,Purchased!A:Q,15,0)</f>
        <v>45184</v>
      </c>
      <c r="M19" s="44">
        <f>VLOOKUP(C19,Purchased!A:Q,16,0)</f>
        <v>45180</v>
      </c>
      <c r="N19" s="45" t="str">
        <f>VLOOKUP(C19,Purchased!A:Q,17,0)</f>
        <v>20x55037, 10x55270</v>
      </c>
      <c r="O19" s="45" t="e">
        <f t="shared" ca="1" si="2"/>
        <v>#VALUE!</v>
      </c>
      <c r="P19" s="49">
        <f>IFERROR(VLOOKUP(C19,Purchased!A:E,3,FALSE),"")</f>
        <v>1.6323000000000001</v>
      </c>
      <c r="Q19" s="50">
        <f t="shared" si="3"/>
        <v>3.2646000000000002</v>
      </c>
    </row>
    <row r="20" spans="1:17" s="2" customFormat="1" ht="12" customHeight="1">
      <c r="A20" s="4">
        <v>314</v>
      </c>
      <c r="B20" s="2">
        <v>0.2</v>
      </c>
      <c r="C20" s="114" t="s">
        <v>448</v>
      </c>
      <c r="D20" s="268" t="str">
        <f>VLOOKUP(C20,Purchased!A:B,2,0)</f>
        <v>SMC F TYPE CONNECTOR, 15M LENGTH</v>
      </c>
      <c r="E20" s="269"/>
      <c r="F20" s="112" t="str">
        <f>VLOOKUP(C20,Purchased!A:Q,9,0)</f>
        <v>SMC</v>
      </c>
      <c r="G20" s="112" t="str">
        <f>VLOOKUP(C20,Purchased!A:Q,10,0)</f>
        <v>AAP</v>
      </c>
      <c r="H20" s="112">
        <f>VLOOKUP(C20,Purchased!A:Q,12,0)</f>
        <v>0</v>
      </c>
      <c r="I20" s="113"/>
      <c r="J20" s="44">
        <f>VLOOKUP(C20,Purchased!A:Q,13,0)</f>
        <v>45089</v>
      </c>
      <c r="K20" s="44">
        <f>VLOOKUP(C20,Purchased!A:Q,14,0)</f>
        <v>45167</v>
      </c>
      <c r="L20" s="44">
        <f>VLOOKUP(C20,Purchased!A:Q,15,0)</f>
        <v>45184</v>
      </c>
      <c r="M20" s="44">
        <f>VLOOKUP(C20,Purchased!A:Q,16,0)</f>
        <v>45184</v>
      </c>
      <c r="N20" s="45">
        <f>VLOOKUP(C20,Purchased!A:Q,17,0)</f>
        <v>55114</v>
      </c>
      <c r="O20" s="45" t="e">
        <f t="shared" ref="O20:O21" ca="1" si="4">B20*$L$2</f>
        <v>#VALUE!</v>
      </c>
      <c r="P20" s="49">
        <f>IFERROR(VLOOKUP(C20,Purchased!A:E,3,FALSE),"")</f>
        <v>234.11529999999999</v>
      </c>
      <c r="Q20" s="50">
        <f t="shared" ref="Q20:Q21" si="5">IFERROR(B20*P20,"")</f>
        <v>46.823059999999998</v>
      </c>
    </row>
    <row r="21" spans="1:17" s="2" customFormat="1" ht="12" customHeight="1">
      <c r="A21" s="4">
        <v>315</v>
      </c>
      <c r="B21" s="2">
        <v>0.8</v>
      </c>
      <c r="C21" s="114" t="s">
        <v>449</v>
      </c>
      <c r="D21" s="268" t="str">
        <f>VLOOKUP(C21,Purchased!A:B,2,0)</f>
        <v>SMC F TYPE CONNECTOR, 8M LENGTH</v>
      </c>
      <c r="E21" s="269"/>
      <c r="F21" s="112" t="str">
        <f>VLOOKUP(C21,Purchased!A:Q,9,0)</f>
        <v>SMC</v>
      </c>
      <c r="G21" s="112" t="str">
        <f>VLOOKUP(C21,Purchased!A:Q,10,0)</f>
        <v>AAP</v>
      </c>
      <c r="H21" s="112">
        <f>VLOOKUP(C21,Purchased!A:Q,12,0)</f>
        <v>0</v>
      </c>
      <c r="I21" s="113"/>
      <c r="J21" s="44">
        <f>VLOOKUP(C21,Purchased!A:Q,13,0)</f>
        <v>45089</v>
      </c>
      <c r="K21" s="44">
        <f>VLOOKUP(C21,Purchased!A:Q,14,0)</f>
        <v>45167</v>
      </c>
      <c r="L21" s="44">
        <f>VLOOKUP(C21,Purchased!A:Q,15,0)</f>
        <v>45184</v>
      </c>
      <c r="M21" s="44">
        <f>VLOOKUP(C21,Purchased!A:Q,16,0)</f>
        <v>45184</v>
      </c>
      <c r="N21" s="45">
        <f>VLOOKUP(C21,Purchased!A:Q,17,0)</f>
        <v>55114</v>
      </c>
      <c r="O21" s="45" t="e">
        <f t="shared" ca="1" si="4"/>
        <v>#VALUE!</v>
      </c>
      <c r="P21" s="49">
        <f>IFERROR(VLOOKUP(C21,Purchased!A:E,3,FALSE),"")</f>
        <v>136.85319999999999</v>
      </c>
      <c r="Q21" s="50">
        <f t="shared" si="5"/>
        <v>109.48255999999999</v>
      </c>
    </row>
    <row r="22" spans="1:17" s="2" customFormat="1" ht="12.75" customHeight="1">
      <c r="A22" s="25"/>
      <c r="B22" s="26"/>
      <c r="C22" s="26"/>
      <c r="D22" s="272"/>
      <c r="E22" s="273"/>
      <c r="F22" s="26"/>
      <c r="G22" s="26"/>
      <c r="H22" s="274"/>
      <c r="I22" s="275"/>
      <c r="J22" s="27"/>
      <c r="K22" s="27"/>
      <c r="L22" s="27"/>
      <c r="M22" s="28"/>
      <c r="N22" s="29"/>
      <c r="O22" s="29" t="e">
        <f t="shared" ca="1" si="2"/>
        <v>#VALUE!</v>
      </c>
      <c r="P22" s="141"/>
      <c r="Q22" s="142"/>
    </row>
    <row r="23" spans="1:17" s="2" customFormat="1" ht="12.75" customHeight="1">
      <c r="A23" s="4">
        <v>501</v>
      </c>
      <c r="B23" s="2">
        <v>4</v>
      </c>
      <c r="C23" s="110" t="s">
        <v>336</v>
      </c>
      <c r="D23" s="268"/>
      <c r="E23" s="276"/>
      <c r="F23" s="112" t="str">
        <f>VLOOKUP(C23,Bolts!A:L,5,0)</f>
        <v xml:space="preserve">  </v>
      </c>
      <c r="G23" s="112" t="str">
        <f>VLOOKUP(C23,Bolts!A:L,6,0)</f>
        <v>Monroe Fasteners</v>
      </c>
      <c r="H23" s="112" t="str">
        <f>VLOOKUP(C23,Bolts!A:L,7,0)</f>
        <v xml:space="preserve">  </v>
      </c>
      <c r="I23" s="112"/>
      <c r="J23" s="44" t="str">
        <f>VLOOKUP(C23,Bolts!A:L,8,0)</f>
        <v xml:space="preserve"> </v>
      </c>
      <c r="K23" s="44" t="str">
        <f>VLOOKUP(C23,Bolts!A:L,9,0)</f>
        <v xml:space="preserve"> </v>
      </c>
      <c r="L23" s="44" t="str">
        <f>VLOOKUP(C23,Bolts!A:L,10,0)</f>
        <v xml:space="preserve"> </v>
      </c>
      <c r="M23" s="44" t="str">
        <f>VLOOKUP(C23,Bolts!A:L,11,0)</f>
        <v xml:space="preserve"> </v>
      </c>
      <c r="N23" s="45" t="str">
        <f>VLOOKUP(C23,Bolts!A:L,12,0)</f>
        <v xml:space="preserve"> </v>
      </c>
      <c r="O23" s="45" t="e">
        <f t="shared" ca="1" si="2"/>
        <v>#VALUE!</v>
      </c>
      <c r="P23" s="49" t="str">
        <f>IFERROR(VLOOKUP(C23,Bolts!A:B,2,FALSE),"")</f>
        <v xml:space="preserve"> </v>
      </c>
      <c r="Q23" s="50" t="str">
        <f t="shared" ref="Q23:Q28" si="6">IFERROR(B23*P23,"")</f>
        <v/>
      </c>
    </row>
    <row r="24" spans="1:17" s="2" customFormat="1" ht="12.75" customHeight="1">
      <c r="A24" s="4">
        <f t="shared" ref="A24:A29" si="7">A23+1</f>
        <v>502</v>
      </c>
      <c r="B24" s="2">
        <v>4</v>
      </c>
      <c r="C24" s="110" t="s">
        <v>450</v>
      </c>
      <c r="D24" s="268"/>
      <c r="E24" s="276"/>
      <c r="F24" s="112" t="str">
        <f>VLOOKUP(C24,Bolts!A:L,5,0)</f>
        <v xml:space="preserve">  </v>
      </c>
      <c r="G24" s="112" t="str">
        <f>VLOOKUP(C24,Bolts!A:L,6,0)</f>
        <v>Monroe Fasteners</v>
      </c>
      <c r="H24" s="112" t="str">
        <f>VLOOKUP(C24,Bolts!A:L,7,0)</f>
        <v xml:space="preserve">  </v>
      </c>
      <c r="I24" s="112"/>
      <c r="J24" s="44" t="str">
        <f>VLOOKUP(C24,Bolts!A:L,8,0)</f>
        <v xml:space="preserve"> </v>
      </c>
      <c r="K24" s="44" t="str">
        <f>VLOOKUP(C24,Bolts!A:L,9,0)</f>
        <v xml:space="preserve"> </v>
      </c>
      <c r="L24" s="44" t="str">
        <f>VLOOKUP(C24,Bolts!A:L,10,0)</f>
        <v xml:space="preserve"> </v>
      </c>
      <c r="M24" s="44" t="str">
        <f>VLOOKUP(C24,Bolts!A:L,11,0)</f>
        <v xml:space="preserve"> </v>
      </c>
      <c r="N24" s="45" t="str">
        <f>VLOOKUP(C24,Bolts!A:L,12,0)</f>
        <v xml:space="preserve"> </v>
      </c>
      <c r="O24" s="45" t="e">
        <f t="shared" ca="1" si="2"/>
        <v>#VALUE!</v>
      </c>
      <c r="P24" s="49" t="str">
        <f>IFERROR(VLOOKUP(C24,Bolts!A:B,2,FALSE),"")</f>
        <v xml:space="preserve"> </v>
      </c>
      <c r="Q24" s="50" t="str">
        <f t="shared" si="6"/>
        <v/>
      </c>
    </row>
    <row r="25" spans="1:17" s="2" customFormat="1" ht="12" customHeight="1">
      <c r="A25" s="4">
        <f t="shared" si="7"/>
        <v>503</v>
      </c>
      <c r="B25" s="2">
        <v>2</v>
      </c>
      <c r="C25" s="110" t="s">
        <v>451</v>
      </c>
      <c r="D25" s="268"/>
      <c r="E25" s="276"/>
      <c r="F25" s="112" t="str">
        <f>VLOOKUP(C25,Bolts!A:L,5,0)</f>
        <v xml:space="preserve">  </v>
      </c>
      <c r="G25" s="112" t="str">
        <f>VLOOKUP(C25,Bolts!A:L,6,0)</f>
        <v>Monroe Fasteners</v>
      </c>
      <c r="H25" s="112" t="str">
        <f>VLOOKUP(C25,Bolts!A:L,7,0)</f>
        <v xml:space="preserve">  </v>
      </c>
      <c r="I25" s="112"/>
      <c r="J25" s="44" t="str">
        <f>VLOOKUP(C25,Bolts!A:L,8,0)</f>
        <v xml:space="preserve"> </v>
      </c>
      <c r="K25" s="44" t="str">
        <f>VLOOKUP(C25,Bolts!A:L,9,0)</f>
        <v xml:space="preserve"> </v>
      </c>
      <c r="L25" s="44" t="str">
        <f>VLOOKUP(C25,Bolts!A:L,10,0)</f>
        <v xml:space="preserve"> </v>
      </c>
      <c r="M25" s="44" t="str">
        <f>VLOOKUP(C25,Bolts!A:L,11,0)</f>
        <v xml:space="preserve"> </v>
      </c>
      <c r="N25" s="45" t="str">
        <f>VLOOKUP(C25,Bolts!A:L,12,0)</f>
        <v xml:space="preserve"> </v>
      </c>
      <c r="O25" s="45" t="e">
        <f t="shared" ca="1" si="2"/>
        <v>#VALUE!</v>
      </c>
      <c r="P25" s="49" t="str">
        <f>IFERROR(VLOOKUP(C25,Bolts!A:B,2,FALSE),"")</f>
        <v xml:space="preserve"> </v>
      </c>
      <c r="Q25" s="50" t="str">
        <f t="shared" si="6"/>
        <v/>
      </c>
    </row>
    <row r="26" spans="1:17" s="2" customFormat="1" ht="12" customHeight="1">
      <c r="A26" s="4">
        <f t="shared" si="7"/>
        <v>504</v>
      </c>
      <c r="B26" s="2">
        <v>2</v>
      </c>
      <c r="C26" s="110" t="s">
        <v>452</v>
      </c>
      <c r="D26" s="268"/>
      <c r="E26" s="276"/>
      <c r="F26" s="112" t="str">
        <f>VLOOKUP(C26,Bolts!A:L,5,0)</f>
        <v xml:space="preserve">  </v>
      </c>
      <c r="G26" s="112" t="str">
        <f>VLOOKUP(C26,Bolts!A:L,6,0)</f>
        <v>Monroe Fasteners</v>
      </c>
      <c r="H26" s="112" t="str">
        <f>VLOOKUP(C26,Bolts!A:L,7,0)</f>
        <v xml:space="preserve">  </v>
      </c>
      <c r="I26" s="112"/>
      <c r="J26" s="44" t="str">
        <f>VLOOKUP(C26,Bolts!A:L,8,0)</f>
        <v xml:space="preserve"> </v>
      </c>
      <c r="K26" s="44" t="str">
        <f>VLOOKUP(C26,Bolts!A:L,9,0)</f>
        <v xml:space="preserve"> </v>
      </c>
      <c r="L26" s="44" t="str">
        <f>VLOOKUP(C26,Bolts!A:L,10,0)</f>
        <v xml:space="preserve"> </v>
      </c>
      <c r="M26" s="44" t="str">
        <f>VLOOKUP(C26,Bolts!A:L,11,0)</f>
        <v xml:space="preserve"> </v>
      </c>
      <c r="N26" s="45" t="str">
        <f>VLOOKUP(C26,Bolts!A:L,12,0)</f>
        <v xml:space="preserve"> </v>
      </c>
      <c r="O26" s="45" t="e">
        <f t="shared" ca="1" si="2"/>
        <v>#VALUE!</v>
      </c>
      <c r="P26" s="49" t="str">
        <f>IFERROR(VLOOKUP(C26,Bolts!A:B,2,FALSE),"")</f>
        <v xml:space="preserve"> </v>
      </c>
      <c r="Q26" s="50" t="str">
        <f t="shared" si="6"/>
        <v/>
      </c>
    </row>
    <row r="27" spans="1:17" s="2" customFormat="1" ht="12" customHeight="1">
      <c r="A27" s="4">
        <f t="shared" si="7"/>
        <v>505</v>
      </c>
      <c r="B27" s="2">
        <v>2</v>
      </c>
      <c r="C27" s="110" t="s">
        <v>453</v>
      </c>
      <c r="D27" s="268"/>
      <c r="E27" s="276"/>
      <c r="F27" s="112" t="str">
        <f>VLOOKUP(C27,Bolts!A:L,5,0)</f>
        <v xml:space="preserve">  </v>
      </c>
      <c r="G27" s="112" t="str">
        <f>VLOOKUP(C27,Bolts!A:L,6,0)</f>
        <v>Monroe Fasteners</v>
      </c>
      <c r="H27" s="112" t="str">
        <f>VLOOKUP(C27,Bolts!A:L,7,0)</f>
        <v xml:space="preserve">  </v>
      </c>
      <c r="I27" s="112"/>
      <c r="J27" s="44" t="str">
        <f>VLOOKUP(C27,Bolts!A:L,8,0)</f>
        <v xml:space="preserve"> </v>
      </c>
      <c r="K27" s="44" t="str">
        <f>VLOOKUP(C27,Bolts!A:L,9,0)</f>
        <v xml:space="preserve"> </v>
      </c>
      <c r="L27" s="44" t="str">
        <f>VLOOKUP(C27,Bolts!A:L,10,0)</f>
        <v xml:space="preserve"> </v>
      </c>
      <c r="M27" s="44" t="str">
        <f>VLOOKUP(C27,Bolts!A:L,11,0)</f>
        <v xml:space="preserve"> </v>
      </c>
      <c r="N27" s="45" t="str">
        <f>VLOOKUP(C27,Bolts!A:L,12,0)</f>
        <v xml:space="preserve"> </v>
      </c>
      <c r="O27" s="45" t="e">
        <f t="shared" ca="1" si="2"/>
        <v>#VALUE!</v>
      </c>
      <c r="P27" s="49" t="str">
        <f>IFERROR(VLOOKUP(C27,Bolts!A:B,2,FALSE),"")</f>
        <v xml:space="preserve"> </v>
      </c>
      <c r="Q27" s="50" t="str">
        <f t="shared" si="6"/>
        <v/>
      </c>
    </row>
    <row r="28" spans="1:17" s="2" customFormat="1" ht="12" customHeight="1">
      <c r="A28" s="4">
        <f t="shared" si="7"/>
        <v>506</v>
      </c>
      <c r="B28" s="2">
        <v>2</v>
      </c>
      <c r="C28" s="110" t="s">
        <v>289</v>
      </c>
      <c r="D28" s="268"/>
      <c r="E28" s="276"/>
      <c r="F28" s="112" t="str">
        <f>VLOOKUP(C28,Bolts!A:L,5,0)</f>
        <v xml:space="preserve">  </v>
      </c>
      <c r="G28" s="112" t="str">
        <f>VLOOKUP(C28,Bolts!A:L,6,0)</f>
        <v>Monroe Fasteners</v>
      </c>
      <c r="H28" s="112" t="str">
        <f>VLOOKUP(C28,Bolts!A:L,7,0)</f>
        <v xml:space="preserve">  </v>
      </c>
      <c r="I28" s="112"/>
      <c r="J28" s="44" t="str">
        <f>VLOOKUP(C28,Bolts!A:L,8,0)</f>
        <v xml:space="preserve"> </v>
      </c>
      <c r="K28" s="44" t="str">
        <f>VLOOKUP(C28,Bolts!A:L,9,0)</f>
        <v xml:space="preserve"> </v>
      </c>
      <c r="L28" s="44" t="str">
        <f>VLOOKUP(C28,Bolts!A:L,10,0)</f>
        <v xml:space="preserve"> </v>
      </c>
      <c r="M28" s="44" t="str">
        <f>VLOOKUP(C28,Bolts!A:L,11,0)</f>
        <v xml:space="preserve"> </v>
      </c>
      <c r="N28" s="45" t="str">
        <f>VLOOKUP(C28,Bolts!A:L,12,0)</f>
        <v xml:space="preserve"> </v>
      </c>
      <c r="O28" s="45" t="e">
        <f t="shared" ca="1" si="2"/>
        <v>#VALUE!</v>
      </c>
      <c r="P28" s="49" t="str">
        <f>IFERROR(VLOOKUP(C28,Bolts!A:B,2,FALSE),"")</f>
        <v xml:space="preserve"> </v>
      </c>
      <c r="Q28" s="50" t="str">
        <f t="shared" si="6"/>
        <v/>
      </c>
    </row>
    <row r="29" spans="1:17" s="2" customFormat="1" ht="12" customHeight="1" thickBot="1">
      <c r="A29" s="4">
        <f t="shared" si="7"/>
        <v>507</v>
      </c>
      <c r="B29" s="2">
        <v>8</v>
      </c>
      <c r="C29" s="110" t="s">
        <v>454</v>
      </c>
      <c r="D29" s="164"/>
      <c r="E29" s="165"/>
      <c r="F29" s="112" t="str">
        <f>VLOOKUP(C29,Bolts!A:L,5,0)</f>
        <v xml:space="preserve">  </v>
      </c>
      <c r="G29" s="112" t="str">
        <f>VLOOKUP(C29,Bolts!A:L,6,0)</f>
        <v>Monroe Fasteners</v>
      </c>
      <c r="H29" s="112" t="str">
        <f>VLOOKUP(C29,Bolts!A:L,7,0)</f>
        <v xml:space="preserve">  </v>
      </c>
      <c r="I29" s="112"/>
      <c r="J29" s="44" t="str">
        <f>VLOOKUP(C29,Bolts!A:L,8,0)</f>
        <v xml:space="preserve"> </v>
      </c>
      <c r="K29" s="44" t="str">
        <f>VLOOKUP(C29,Bolts!A:L,9,0)</f>
        <v xml:space="preserve"> </v>
      </c>
      <c r="L29" s="44" t="str">
        <f>VLOOKUP(C29,Bolts!A:L,10,0)</f>
        <v xml:space="preserve"> </v>
      </c>
      <c r="M29" s="44" t="str">
        <f>VLOOKUP(C29,Bolts!A:L,11,0)</f>
        <v xml:space="preserve"> </v>
      </c>
      <c r="N29" s="45" t="str">
        <f>VLOOKUP(C29,Bolts!A:L,12,0)</f>
        <v xml:space="preserve"> </v>
      </c>
      <c r="O29" s="45" t="e">
        <f t="shared" ref="O29" ca="1" si="8">B29*$L$2</f>
        <v>#VALUE!</v>
      </c>
      <c r="P29" s="49" t="str">
        <f>IFERROR(VLOOKUP(C29,Bolts!A:B,2,FALSE),"")</f>
        <v xml:space="preserve"> </v>
      </c>
      <c r="Q29" s="50" t="str">
        <f t="shared" ref="Q29" si="9">IFERROR(B29*P29,"")</f>
        <v/>
      </c>
    </row>
    <row r="30" spans="1:17" s="2" customFormat="1" ht="12.75" customHeight="1" thickBot="1">
      <c r="A30" s="34"/>
      <c r="B30" s="35"/>
      <c r="C30" s="35"/>
      <c r="D30" s="256"/>
      <c r="E30" s="257"/>
      <c r="F30" s="35"/>
      <c r="G30" s="35"/>
      <c r="H30" s="294"/>
      <c r="I30" s="295"/>
      <c r="J30" s="36"/>
      <c r="K30" s="36"/>
      <c r="L30" s="36"/>
      <c r="M30" s="37"/>
      <c r="N30" s="38"/>
      <c r="O30" s="38"/>
      <c r="P30" s="89" t="s">
        <v>43</v>
      </c>
      <c r="Q30" s="94">
        <f>SUM(Q5:Q28)</f>
        <v>521.13181999999995</v>
      </c>
    </row>
    <row r="31" spans="1:17" s="2" customFormat="1" ht="12" customHeight="1">
      <c r="D31" s="22"/>
      <c r="E31" s="22"/>
      <c r="J31" s="8"/>
      <c r="K31" s="8"/>
      <c r="L31" s="8"/>
      <c r="M31" s="8"/>
      <c r="N31" s="5"/>
      <c r="O31" s="5"/>
      <c r="P31" s="88"/>
      <c r="Q31" s="95"/>
    </row>
    <row r="32" spans="1:17" s="2" customFormat="1" ht="12" customHeight="1">
      <c r="D32" s="22"/>
      <c r="E32" s="22"/>
      <c r="J32" s="5"/>
      <c r="K32" s="5"/>
      <c r="L32" s="5"/>
      <c r="M32" s="5"/>
      <c r="N32" s="5"/>
      <c r="O32" s="5"/>
      <c r="P32" s="88"/>
      <c r="Q32" s="95"/>
    </row>
    <row r="33" spans="4:17" s="2" customFormat="1" ht="12" customHeight="1">
      <c r="D33" s="22"/>
      <c r="E33" s="22"/>
      <c r="J33" s="5"/>
      <c r="K33" s="5"/>
      <c r="L33" s="5"/>
      <c r="M33" s="5"/>
      <c r="N33" s="5"/>
      <c r="O33" s="5"/>
      <c r="P33" s="88"/>
      <c r="Q33" s="95"/>
    </row>
    <row r="34" spans="4:17" s="2" customFormat="1" ht="12" customHeight="1">
      <c r="D34" s="22"/>
      <c r="E34" s="22"/>
      <c r="J34" s="5"/>
      <c r="K34" s="5"/>
      <c r="L34" s="5"/>
      <c r="M34" s="5"/>
      <c r="N34" s="5"/>
      <c r="O34" s="5"/>
      <c r="P34" s="88"/>
      <c r="Q34" s="95"/>
    </row>
    <row r="35" spans="4:17" s="2" customFormat="1" ht="12" customHeight="1">
      <c r="D35" s="22"/>
      <c r="E35" s="22"/>
      <c r="J35" s="5"/>
      <c r="K35" s="5"/>
      <c r="L35" s="5"/>
      <c r="M35" s="5"/>
      <c r="N35" s="5"/>
      <c r="O35" s="5"/>
      <c r="P35" s="88"/>
      <c r="Q35" s="95"/>
    </row>
    <row r="36" spans="4:17" s="2" customFormat="1" ht="12" customHeight="1">
      <c r="D36" s="22"/>
      <c r="E36" s="22"/>
      <c r="J36" s="5"/>
      <c r="K36" s="5"/>
      <c r="L36" s="5"/>
      <c r="M36" s="5"/>
      <c r="N36" s="5"/>
      <c r="O36" s="5"/>
      <c r="P36" s="88"/>
      <c r="Q36" s="95"/>
    </row>
    <row r="37" spans="4:17" s="2" customFormat="1" ht="12" customHeight="1">
      <c r="D37" s="22"/>
      <c r="E37" s="22"/>
      <c r="J37" s="5"/>
      <c r="K37" s="5"/>
      <c r="L37" s="5"/>
      <c r="M37" s="5"/>
      <c r="N37" s="5"/>
      <c r="O37" s="5"/>
      <c r="P37" s="88"/>
      <c r="Q37" s="95"/>
    </row>
    <row r="38" spans="4:17" s="2" customFormat="1" ht="12" customHeight="1">
      <c r="D38" s="22"/>
      <c r="E38" s="22"/>
      <c r="J38" s="5"/>
      <c r="K38" s="5"/>
      <c r="L38" s="5"/>
      <c r="M38" s="5"/>
      <c r="N38" s="5"/>
      <c r="O38" s="5"/>
      <c r="P38" s="88"/>
      <c r="Q38" s="95"/>
    </row>
    <row r="39" spans="4:17" s="2" customFormat="1" ht="12" customHeight="1">
      <c r="D39" s="22"/>
      <c r="E39" s="22"/>
      <c r="J39" s="5"/>
      <c r="K39" s="5"/>
      <c r="L39" s="5"/>
      <c r="M39" s="5"/>
      <c r="N39" s="5"/>
      <c r="O39" s="5"/>
      <c r="P39" s="88"/>
      <c r="Q39" s="95"/>
    </row>
    <row r="40" spans="4:17" s="2" customFormat="1" ht="12" customHeight="1">
      <c r="D40" s="22"/>
      <c r="E40" s="22"/>
      <c r="J40" s="5"/>
      <c r="K40" s="5"/>
      <c r="L40" s="5"/>
      <c r="M40" s="5"/>
      <c r="N40" s="5"/>
      <c r="O40" s="5"/>
      <c r="P40" s="88"/>
      <c r="Q40" s="95"/>
    </row>
    <row r="41" spans="4:17" s="2" customFormat="1" ht="12" customHeight="1">
      <c r="D41" s="22"/>
      <c r="E41" s="22"/>
      <c r="J41" s="5"/>
      <c r="K41" s="5"/>
      <c r="L41" s="5"/>
      <c r="M41" s="5"/>
      <c r="N41" s="5"/>
      <c r="O41" s="5"/>
      <c r="P41" s="88"/>
      <c r="Q41" s="95"/>
    </row>
    <row r="42" spans="4:17" s="2" customFormat="1" ht="12" customHeight="1">
      <c r="D42" s="22"/>
      <c r="E42" s="22"/>
      <c r="J42" s="5"/>
      <c r="K42" s="5"/>
      <c r="L42" s="5"/>
      <c r="M42" s="5"/>
      <c r="N42" s="5"/>
      <c r="O42" s="5"/>
      <c r="P42" s="88"/>
      <c r="Q42" s="95"/>
    </row>
    <row r="43" spans="4:17" s="2" customFormat="1" ht="12" customHeight="1">
      <c r="D43" s="22"/>
      <c r="E43" s="22"/>
      <c r="J43" s="5"/>
      <c r="K43" s="5"/>
      <c r="L43" s="5"/>
      <c r="M43" s="5"/>
      <c r="N43" s="5"/>
      <c r="O43" s="5"/>
      <c r="P43" s="88"/>
      <c r="Q43" s="95"/>
    </row>
    <row r="44" spans="4:17" s="2" customFormat="1" ht="12" customHeight="1">
      <c r="D44" s="22"/>
      <c r="E44" s="22"/>
      <c r="J44" s="5"/>
      <c r="K44" s="5"/>
      <c r="L44" s="5"/>
      <c r="M44" s="5"/>
      <c r="N44" s="5"/>
      <c r="O44" s="5"/>
      <c r="P44" s="88"/>
      <c r="Q44" s="95"/>
    </row>
    <row r="45" spans="4:17" s="2" customFormat="1" ht="12" customHeight="1">
      <c r="D45" s="22"/>
      <c r="E45" s="22"/>
      <c r="J45" s="5"/>
      <c r="K45" s="5"/>
      <c r="L45" s="5"/>
      <c r="M45" s="5"/>
      <c r="N45" s="5"/>
      <c r="O45" s="5"/>
      <c r="P45" s="88"/>
      <c r="Q45" s="95"/>
    </row>
    <row r="46" spans="4:17" s="2" customFormat="1" ht="12" customHeight="1">
      <c r="D46" s="22"/>
      <c r="E46" s="22"/>
      <c r="J46" s="5"/>
      <c r="K46" s="5"/>
      <c r="L46" s="5"/>
      <c r="M46" s="5"/>
      <c r="N46" s="5"/>
      <c r="O46" s="5"/>
      <c r="P46" s="88"/>
      <c r="Q46" s="95"/>
    </row>
    <row r="47" spans="4:17" s="2" customFormat="1" ht="12" customHeight="1">
      <c r="D47" s="22"/>
      <c r="E47" s="22"/>
      <c r="J47" s="5"/>
      <c r="K47" s="5"/>
      <c r="L47" s="5"/>
      <c r="M47" s="5"/>
      <c r="N47" s="5"/>
      <c r="O47" s="5"/>
      <c r="P47" s="88"/>
      <c r="Q47" s="95"/>
    </row>
    <row r="48" spans="4:17" s="2" customFormat="1" ht="12" customHeight="1">
      <c r="D48" s="22"/>
      <c r="E48" s="22"/>
      <c r="J48" s="5"/>
      <c r="K48" s="5"/>
      <c r="L48" s="5"/>
      <c r="M48" s="5"/>
      <c r="N48" s="5"/>
      <c r="O48" s="5"/>
      <c r="P48" s="88"/>
      <c r="Q48" s="95"/>
    </row>
    <row r="49" spans="4:17" s="2" customFormat="1" ht="12" customHeight="1">
      <c r="D49" s="22"/>
      <c r="E49" s="22"/>
      <c r="J49" s="5"/>
      <c r="K49" s="5"/>
      <c r="L49" s="5"/>
      <c r="M49" s="5"/>
      <c r="N49" s="5"/>
      <c r="O49" s="5"/>
      <c r="P49" s="88"/>
      <c r="Q49" s="95"/>
    </row>
    <row r="50" spans="4:17" s="2" customFormat="1" ht="12" customHeight="1">
      <c r="D50" s="22"/>
      <c r="E50" s="22"/>
      <c r="J50" s="5"/>
      <c r="K50" s="5"/>
      <c r="L50" s="5"/>
      <c r="M50" s="5"/>
      <c r="N50" s="5"/>
      <c r="O50" s="5"/>
      <c r="P50" s="88"/>
      <c r="Q50" s="95"/>
    </row>
    <row r="51" spans="4:17" s="2" customFormat="1" ht="12" customHeight="1">
      <c r="D51" s="22"/>
      <c r="E51" s="22"/>
      <c r="J51" s="5"/>
      <c r="K51" s="5"/>
      <c r="L51" s="5"/>
      <c r="M51" s="5"/>
      <c r="N51" s="5"/>
      <c r="O51" s="5"/>
      <c r="P51" s="88"/>
      <c r="Q51" s="95"/>
    </row>
    <row r="52" spans="4:17" s="2" customFormat="1" ht="12" customHeight="1">
      <c r="D52" s="22"/>
      <c r="E52" s="22"/>
      <c r="J52" s="5"/>
      <c r="K52" s="5"/>
      <c r="L52" s="5"/>
      <c r="M52" s="5"/>
      <c r="N52" s="5"/>
      <c r="O52" s="5"/>
      <c r="P52" s="88"/>
      <c r="Q52" s="95"/>
    </row>
    <row r="53" spans="4:17" s="2" customFormat="1" ht="12" customHeight="1">
      <c r="D53" s="22"/>
      <c r="E53" s="22"/>
      <c r="J53" s="5"/>
      <c r="K53" s="5"/>
      <c r="L53" s="5"/>
      <c r="M53" s="5"/>
      <c r="N53" s="5"/>
      <c r="O53" s="5"/>
      <c r="P53" s="88"/>
      <c r="Q53" s="95"/>
    </row>
    <row r="54" spans="4:17" s="2" customFormat="1" ht="12" customHeight="1">
      <c r="D54" s="22"/>
      <c r="E54" s="22"/>
      <c r="J54" s="5"/>
      <c r="K54" s="5"/>
      <c r="L54" s="5"/>
      <c r="M54" s="5"/>
      <c r="N54" s="5"/>
      <c r="O54" s="5"/>
      <c r="P54" s="88"/>
      <c r="Q54" s="95"/>
    </row>
    <row r="55" spans="4:17" s="2" customFormat="1" ht="12" customHeight="1">
      <c r="D55" s="22"/>
      <c r="E55" s="22"/>
      <c r="J55" s="5"/>
      <c r="K55" s="5"/>
      <c r="L55" s="5"/>
      <c r="M55" s="5"/>
      <c r="N55" s="5"/>
      <c r="O55" s="5"/>
      <c r="P55" s="88"/>
      <c r="Q55" s="95"/>
    </row>
    <row r="56" spans="4:17" s="2" customFormat="1" ht="12" customHeight="1">
      <c r="D56" s="22"/>
      <c r="E56" s="22"/>
      <c r="J56" s="5"/>
      <c r="K56" s="5"/>
      <c r="L56" s="5"/>
      <c r="M56" s="5"/>
      <c r="N56" s="5"/>
      <c r="O56" s="5"/>
      <c r="P56" s="88"/>
      <c r="Q56" s="95"/>
    </row>
    <row r="57" spans="4:17" s="2" customFormat="1" ht="12" customHeight="1">
      <c r="D57" s="22"/>
      <c r="E57" s="22"/>
      <c r="J57" s="5"/>
      <c r="K57" s="5"/>
      <c r="L57" s="5"/>
      <c r="M57" s="5"/>
      <c r="N57" s="5"/>
      <c r="O57" s="5"/>
      <c r="P57" s="88"/>
      <c r="Q57" s="95"/>
    </row>
    <row r="58" spans="4:17" s="2" customFormat="1" ht="12" customHeight="1">
      <c r="D58" s="22"/>
      <c r="E58" s="22"/>
      <c r="J58" s="5"/>
      <c r="K58" s="5"/>
      <c r="L58" s="5"/>
      <c r="M58" s="5"/>
      <c r="N58" s="5"/>
      <c r="O58" s="5"/>
      <c r="P58" s="88"/>
      <c r="Q58" s="95"/>
    </row>
    <row r="59" spans="4:17" s="2" customFormat="1" ht="12" customHeight="1">
      <c r="D59" s="22"/>
      <c r="E59" s="22"/>
      <c r="J59" s="5"/>
      <c r="K59" s="5"/>
      <c r="L59" s="5"/>
      <c r="M59" s="5"/>
      <c r="N59" s="5"/>
      <c r="O59" s="5"/>
      <c r="P59" s="88"/>
      <c r="Q59" s="95"/>
    </row>
    <row r="60" spans="4:17" s="2" customFormat="1" ht="12" customHeight="1">
      <c r="D60" s="22"/>
      <c r="E60" s="22"/>
      <c r="J60" s="5"/>
      <c r="K60" s="5"/>
      <c r="L60" s="5"/>
      <c r="M60" s="5"/>
      <c r="N60" s="5"/>
      <c r="O60" s="5"/>
      <c r="P60" s="88"/>
      <c r="Q60" s="95"/>
    </row>
    <row r="61" spans="4:17" s="2" customFormat="1" ht="12" customHeight="1">
      <c r="D61" s="22"/>
      <c r="E61" s="22"/>
      <c r="J61" s="5"/>
      <c r="K61" s="5"/>
      <c r="L61" s="5"/>
      <c r="M61" s="5"/>
      <c r="N61" s="5"/>
      <c r="O61" s="5"/>
      <c r="P61" s="88"/>
      <c r="Q61" s="95"/>
    </row>
    <row r="62" spans="4:17" s="2" customFormat="1" ht="12" customHeight="1">
      <c r="D62" s="22"/>
      <c r="E62" s="22"/>
      <c r="J62" s="5"/>
      <c r="K62" s="5"/>
      <c r="L62" s="5"/>
      <c r="M62" s="5"/>
      <c r="N62" s="5"/>
      <c r="O62" s="5"/>
      <c r="P62" s="88"/>
      <c r="Q62" s="95"/>
    </row>
    <row r="63" spans="4:17" s="2" customFormat="1" ht="12" customHeight="1">
      <c r="D63" s="22"/>
      <c r="E63" s="22"/>
      <c r="J63" s="5"/>
      <c r="K63" s="5"/>
      <c r="L63" s="5"/>
      <c r="M63" s="5"/>
      <c r="N63" s="5"/>
      <c r="O63" s="5"/>
      <c r="P63" s="88"/>
      <c r="Q63" s="95"/>
    </row>
    <row r="64" spans="4:17" s="2" customFormat="1" ht="12" customHeight="1">
      <c r="D64" s="22"/>
      <c r="E64" s="22"/>
      <c r="J64" s="5"/>
      <c r="K64" s="5"/>
      <c r="L64" s="5"/>
      <c r="M64" s="5"/>
      <c r="N64" s="5"/>
      <c r="O64" s="5"/>
      <c r="P64" s="88"/>
      <c r="Q64" s="95"/>
    </row>
    <row r="65" spans="1:17" s="2" customFormat="1" ht="12" customHeight="1">
      <c r="D65" s="22"/>
      <c r="E65" s="22"/>
      <c r="J65" s="5"/>
      <c r="K65" s="5"/>
      <c r="L65" s="5"/>
      <c r="M65" s="5"/>
      <c r="N65" s="5"/>
      <c r="O65" s="5"/>
      <c r="P65" s="88"/>
      <c r="Q65" s="95"/>
    </row>
    <row r="66" spans="1:17" s="2" customFormat="1" ht="12" customHeight="1">
      <c r="D66" s="22"/>
      <c r="E66" s="22"/>
      <c r="J66" s="5"/>
      <c r="K66" s="5"/>
      <c r="L66" s="5"/>
      <c r="M66" s="5"/>
      <c r="N66" s="5"/>
      <c r="O66" s="5"/>
      <c r="P66" s="88"/>
      <c r="Q66" s="95"/>
    </row>
    <row r="67" spans="1:17" s="2" customFormat="1" ht="12" customHeight="1">
      <c r="D67" s="22"/>
      <c r="E67" s="22"/>
      <c r="J67" s="5"/>
      <c r="K67" s="5"/>
      <c r="L67" s="5"/>
      <c r="M67" s="5"/>
      <c r="N67" s="5"/>
      <c r="O67" s="5"/>
      <c r="P67" s="88"/>
      <c r="Q67" s="95"/>
    </row>
    <row r="68" spans="1:17" s="2" customFormat="1" ht="12" customHeight="1">
      <c r="D68" s="22"/>
      <c r="E68" s="22"/>
      <c r="J68" s="5"/>
      <c r="K68" s="5"/>
      <c r="L68" s="5"/>
      <c r="M68" s="5"/>
      <c r="N68" s="5"/>
      <c r="O68" s="5"/>
      <c r="P68" s="88"/>
      <c r="Q68" s="95"/>
    </row>
    <row r="69" spans="1:17" s="2" customFormat="1" ht="12" customHeight="1">
      <c r="D69" s="22"/>
      <c r="E69" s="22"/>
      <c r="J69" s="5"/>
      <c r="K69" s="5"/>
      <c r="L69" s="5"/>
      <c r="M69" s="5"/>
      <c r="N69" s="5"/>
      <c r="O69" s="5"/>
      <c r="P69" s="88"/>
      <c r="Q69" s="96"/>
    </row>
    <row r="70" spans="1:17" s="2" customFormat="1" ht="12" customHeight="1">
      <c r="D70" s="22"/>
      <c r="E70" s="22"/>
      <c r="J70" s="5"/>
      <c r="K70" s="5"/>
      <c r="L70" s="5"/>
      <c r="M70" s="5"/>
      <c r="N70" s="5"/>
      <c r="O70" s="5"/>
      <c r="P70" s="88"/>
      <c r="Q70" s="96"/>
    </row>
    <row r="71" spans="1:17" s="2" customFormat="1" ht="12" customHeight="1">
      <c r="D71" s="22"/>
      <c r="E71" s="22"/>
      <c r="J71" s="5"/>
      <c r="K71" s="5"/>
      <c r="L71" s="5"/>
      <c r="M71" s="5"/>
      <c r="N71" s="5"/>
      <c r="O71" s="5"/>
      <c r="P71" s="88"/>
      <c r="Q71" s="96"/>
    </row>
    <row r="72" spans="1:17" s="2" customFormat="1" ht="12" customHeight="1">
      <c r="D72" s="22"/>
      <c r="E72" s="22"/>
      <c r="J72" s="5"/>
      <c r="K72" s="5"/>
      <c r="L72" s="5"/>
      <c r="M72" s="5"/>
      <c r="N72" s="5"/>
      <c r="O72" s="5"/>
      <c r="P72" s="88"/>
      <c r="Q72" s="96"/>
    </row>
    <row r="73" spans="1:17" s="2" customFormat="1" ht="12" customHeight="1">
      <c r="A73"/>
      <c r="B73"/>
      <c r="C73"/>
      <c r="D73" s="23"/>
      <c r="E73" s="23"/>
      <c r="F73"/>
      <c r="G73"/>
      <c r="H73"/>
      <c r="I73"/>
      <c r="J73" s="19"/>
      <c r="K73" s="19"/>
      <c r="L73" s="19"/>
      <c r="M73" s="19"/>
      <c r="N73" s="19"/>
      <c r="O73" s="19"/>
      <c r="P73" s="90"/>
      <c r="Q73" s="96"/>
    </row>
    <row r="74" spans="1:17" s="2" customFormat="1" ht="12" customHeight="1">
      <c r="A74"/>
      <c r="B74"/>
      <c r="C74"/>
      <c r="D74" s="23"/>
      <c r="E74" s="23"/>
      <c r="F74"/>
      <c r="G74"/>
      <c r="H74"/>
      <c r="I74"/>
      <c r="J74" s="19"/>
      <c r="K74" s="19"/>
      <c r="L74" s="19"/>
      <c r="M74" s="19"/>
      <c r="N74" s="19"/>
      <c r="O74" s="19"/>
      <c r="P74" s="90"/>
      <c r="Q74" s="96"/>
    </row>
    <row r="75" spans="1:17" s="2" customFormat="1" ht="12" customHeight="1">
      <c r="A75"/>
      <c r="B75"/>
      <c r="C75"/>
      <c r="D75" s="23"/>
      <c r="E75" s="23"/>
      <c r="F75"/>
      <c r="G75"/>
      <c r="H75"/>
      <c r="I75"/>
      <c r="J75" s="19"/>
      <c r="K75" s="19"/>
      <c r="L75" s="19"/>
      <c r="M75" s="19"/>
      <c r="N75" s="19"/>
      <c r="O75" s="19"/>
      <c r="P75" s="90"/>
      <c r="Q75" s="96"/>
    </row>
    <row r="76" spans="1:17" s="2" customFormat="1" ht="12" customHeight="1">
      <c r="A76"/>
      <c r="B76"/>
      <c r="C76"/>
      <c r="D76" s="23"/>
      <c r="E76" s="23"/>
      <c r="F76"/>
      <c r="G76"/>
      <c r="H76"/>
      <c r="I76"/>
      <c r="J76" s="19"/>
      <c r="K76" s="19"/>
      <c r="L76" s="19"/>
      <c r="M76" s="19"/>
      <c r="N76" s="19"/>
      <c r="O76" s="19"/>
      <c r="P76" s="90"/>
      <c r="Q76" s="96"/>
    </row>
    <row r="77" spans="1:17" s="2" customFormat="1" ht="12" customHeight="1">
      <c r="A77"/>
      <c r="B77"/>
      <c r="C77"/>
      <c r="D77" s="23"/>
      <c r="E77" s="23"/>
      <c r="F77"/>
      <c r="G77"/>
      <c r="H77"/>
      <c r="I77"/>
      <c r="J77" s="19"/>
      <c r="K77" s="19"/>
      <c r="L77" s="19"/>
      <c r="M77" s="19"/>
      <c r="N77" s="19"/>
      <c r="O77" s="19"/>
      <c r="P77" s="90"/>
      <c r="Q77" s="96"/>
    </row>
    <row r="78" spans="1:17">
      <c r="Q78" s="96"/>
    </row>
    <row r="79" spans="1:17">
      <c r="Q79" s="96"/>
    </row>
    <row r="80" spans="1:17">
      <c r="Q80" s="96"/>
    </row>
    <row r="81" spans="17:17">
      <c r="Q81" s="96"/>
    </row>
    <row r="82" spans="17:17">
      <c r="Q82" s="96"/>
    </row>
    <row r="83" spans="17:17">
      <c r="Q83" s="96"/>
    </row>
    <row r="84" spans="17:17">
      <c r="Q84" s="96"/>
    </row>
    <row r="85" spans="17:17">
      <c r="Q85" s="96"/>
    </row>
    <row r="86" spans="17:17">
      <c r="Q86" s="96"/>
    </row>
    <row r="87" spans="17:17">
      <c r="Q87" s="96"/>
    </row>
    <row r="88" spans="17:17">
      <c r="Q88" s="96"/>
    </row>
    <row r="89" spans="17:17">
      <c r="Q89" s="96"/>
    </row>
    <row r="90" spans="17:17">
      <c r="Q90" s="96"/>
    </row>
    <row r="91" spans="17:17">
      <c r="Q91" s="96"/>
    </row>
    <row r="92" spans="17:17">
      <c r="Q92" s="96"/>
    </row>
    <row r="93" spans="17:17">
      <c r="Q93" s="96"/>
    </row>
    <row r="94" spans="17:17">
      <c r="Q94" s="96"/>
    </row>
    <row r="95" spans="17:17">
      <c r="Q95" s="96"/>
    </row>
    <row r="96" spans="17:17">
      <c r="Q96" s="96"/>
    </row>
    <row r="97" spans="17:17">
      <c r="Q97" s="96"/>
    </row>
    <row r="134" ht="12" customHeight="1"/>
    <row r="135" ht="12" customHeight="1"/>
    <row r="136" ht="12" customHeight="1"/>
    <row r="137" ht="12" customHeight="1"/>
    <row r="138" ht="12" customHeight="1"/>
    <row r="139" ht="12" customHeight="1"/>
    <row r="140" ht="12" customHeight="1"/>
    <row r="141" ht="12" customHeight="1"/>
    <row r="142" ht="12" customHeight="1"/>
    <row r="143" ht="12" customHeight="1"/>
    <row r="144" ht="12" customHeight="1"/>
    <row r="145" ht="12" customHeight="1"/>
    <row r="146" ht="12" customHeight="1"/>
    <row r="147" ht="12" customHeight="1"/>
    <row r="148" ht="12" customHeight="1"/>
    <row r="149" ht="12" customHeight="1"/>
    <row r="150" ht="12" customHeight="1"/>
    <row r="151" ht="12" customHeight="1"/>
    <row r="152" ht="12" customHeight="1"/>
    <row r="153" ht="12" customHeight="1"/>
    <row r="154" ht="12" customHeight="1"/>
    <row r="155" ht="12" customHeight="1"/>
    <row r="156" ht="12" customHeight="1"/>
    <row r="157" ht="12" customHeight="1"/>
    <row r="158" ht="12" customHeight="1"/>
    <row r="159" ht="12" customHeight="1"/>
    <row r="160" ht="12" customHeight="1"/>
    <row r="161" ht="12" customHeight="1"/>
    <row r="162" ht="12" customHeight="1"/>
    <row r="163" ht="12" customHeight="1"/>
    <row r="164" ht="12" customHeight="1"/>
    <row r="165" ht="12" customHeight="1"/>
    <row r="166" ht="12" customHeight="1"/>
    <row r="167" ht="12" customHeight="1"/>
    <row r="168" ht="12" customHeight="1"/>
    <row r="169" ht="12" customHeight="1"/>
    <row r="170" ht="12" customHeight="1"/>
    <row r="171" ht="12" customHeight="1"/>
    <row r="172" ht="12" customHeight="1"/>
    <row r="173" ht="12" customHeight="1"/>
    <row r="174" ht="12" customHeight="1"/>
    <row r="175" ht="12" customHeight="1"/>
    <row r="176" ht="12" customHeight="1"/>
    <row r="177" ht="12" customHeight="1"/>
    <row r="178" ht="12" customHeight="1"/>
    <row r="179" ht="12" customHeight="1"/>
    <row r="180" ht="12" customHeight="1"/>
    <row r="181" ht="12" customHeight="1"/>
    <row r="182" ht="12" customHeight="1"/>
    <row r="183" ht="12" customHeight="1"/>
  </sheetData>
  <mergeCells count="31">
    <mergeCell ref="D20:E20"/>
    <mergeCell ref="D21:E21"/>
    <mergeCell ref="D1:E1"/>
    <mergeCell ref="D4:E4"/>
    <mergeCell ref="H4:I4"/>
    <mergeCell ref="D5:E5"/>
    <mergeCell ref="D6:E6"/>
    <mergeCell ref="H6:I6"/>
    <mergeCell ref="D7:E7"/>
    <mergeCell ref="D8:E8"/>
    <mergeCell ref="D15:E15"/>
    <mergeCell ref="D16:E16"/>
    <mergeCell ref="D17:E17"/>
    <mergeCell ref="D18:E18"/>
    <mergeCell ref="D19:E19"/>
    <mergeCell ref="D9:E9"/>
    <mergeCell ref="D10:E10"/>
    <mergeCell ref="D11:E11"/>
    <mergeCell ref="D12:E12"/>
    <mergeCell ref="D13:E13"/>
    <mergeCell ref="D14:E14"/>
    <mergeCell ref="D27:E27"/>
    <mergeCell ref="D28:E28"/>
    <mergeCell ref="D22:E22"/>
    <mergeCell ref="D30:E30"/>
    <mergeCell ref="H30:I30"/>
    <mergeCell ref="H22:I22"/>
    <mergeCell ref="D23:E23"/>
    <mergeCell ref="D24:E24"/>
    <mergeCell ref="D25:E25"/>
    <mergeCell ref="D26:E26"/>
  </mergeCells>
  <conditionalFormatting sqref="M5">
    <cfRule type="cellIs" dxfId="535" priority="1" stopIfTrue="1" operator="lessThanOrEqual">
      <formula>$L5</formula>
    </cfRule>
    <cfRule type="cellIs" dxfId="534" priority="2" operator="greaterThan">
      <formula>L5</formula>
    </cfRule>
  </conditionalFormatting>
  <conditionalFormatting sqref="M7:M21 M23:M29">
    <cfRule type="cellIs" dxfId="533" priority="3" stopIfTrue="1" operator="lessThanOrEqual">
      <formula>$L7</formula>
    </cfRule>
    <cfRule type="cellIs" dxfId="532" priority="4" operator="greaterThan">
      <formula>L7</formula>
    </cfRule>
  </conditionalFormatting>
  <pageMargins left="0.7" right="0.7" top="0.75" bottom="0.75" header="0.3" footer="0.3"/>
  <pageSetup paperSize="3" fitToHeight="0" orientation="landscape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87735F8D-BDE5-474C-9CFB-40FD4A6A9031}">
          <x14:formula1>
            <xm:f>Bolts!$A:$A</xm:f>
          </x14:formula1>
          <xm:sqref>C23:C29</xm:sqref>
        </x14:dataValidation>
        <x14:dataValidation type="list" allowBlank="1" showInputMessage="1" showErrorMessage="1" xr:uid="{94EA16EC-9093-4F5B-886E-C511306F1C9F}">
          <x14:formula1>
            <xm:f>Purchased!$A:$A</xm:f>
          </x14:formula1>
          <xm:sqref>C7:C21</xm:sqref>
        </x14:dataValidation>
        <x14:dataValidation type="list" allowBlank="1" showInputMessage="1" showErrorMessage="1" xr:uid="{44402208-5C51-407D-9CD4-EE405E2F2354}">
          <x14:formula1>
            <xm:f>Machined!$C:$C</xm:f>
          </x14:formula1>
          <xm:sqref>C5</xm:sqref>
        </x14:dataValidation>
      </x14:dataValidation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64421-550F-4235-A6C9-C009305EFF5B}">
  <sheetPr codeName="Sheet35">
    <tabColor theme="3" tint="0.59999389629810485"/>
    <pageSetUpPr fitToPage="1"/>
  </sheetPr>
  <dimension ref="A1:R204"/>
  <sheetViews>
    <sheetView zoomScaleNormal="100" workbookViewId="0">
      <selection activeCell="B25" sqref="B25:Q25"/>
    </sheetView>
  </sheetViews>
  <sheetFormatPr defaultColWidth="9.140625" defaultRowHeight="15"/>
  <cols>
    <col min="1" max="1" width="5.7109375" customWidth="1"/>
    <col min="2" max="2" width="5.42578125" bestFit="1" customWidth="1"/>
    <col min="3" max="3" width="30.7109375" customWidth="1"/>
    <col min="4" max="5" width="20.7109375" style="23" customWidth="1"/>
    <col min="6" max="6" width="16.85546875" bestFit="1" customWidth="1"/>
    <col min="7" max="7" width="9.7109375" customWidth="1"/>
    <col min="8" max="8" width="8.7109375" customWidth="1"/>
    <col min="9" max="9" width="20.7109375" customWidth="1"/>
    <col min="10" max="13" width="11.7109375" style="19" customWidth="1"/>
    <col min="14" max="14" width="11.85546875" style="19" bestFit="1" customWidth="1"/>
    <col min="15" max="15" width="7.7109375" style="19" customWidth="1"/>
    <col min="16" max="16" width="10.7109375" style="90" customWidth="1"/>
    <col min="17" max="17" width="10.7109375" style="97" customWidth="1"/>
  </cols>
  <sheetData>
    <row r="1" spans="1:18" s="55" customFormat="1" ht="12" customHeight="1">
      <c r="A1" s="68" t="s">
        <v>0</v>
      </c>
      <c r="B1" s="69"/>
      <c r="C1" s="69"/>
      <c r="D1" s="262" t="s">
        <v>1</v>
      </c>
      <c r="E1" s="263"/>
      <c r="F1" s="70"/>
      <c r="G1" s="69"/>
      <c r="H1" s="70"/>
      <c r="I1" s="71"/>
      <c r="J1" s="72"/>
      <c r="K1" s="72"/>
      <c r="L1" s="72"/>
      <c r="M1" s="72"/>
      <c r="N1" s="72"/>
      <c r="O1" s="72"/>
      <c r="P1" s="85"/>
      <c r="Q1" s="91"/>
    </row>
    <row r="2" spans="1:18" s="55" customFormat="1" ht="12" customHeight="1">
      <c r="A2" s="74" t="s">
        <v>48</v>
      </c>
      <c r="B2" s="58"/>
      <c r="C2" s="57" t="e">
        <f ca="1">VLOOKUP(E3,Assemblies!B:F,4,0)</f>
        <v>#VALUE!</v>
      </c>
      <c r="D2" s="75" t="s">
        <v>3</v>
      </c>
      <c r="E2" s="76" t="e">
        <f ca="1">'GF12'!E2</f>
        <v>#VALUE!</v>
      </c>
      <c r="F2" s="77" t="s">
        <v>4</v>
      </c>
      <c r="G2" s="58" t="str">
        <f>'GF12'!G2</f>
        <v>GH</v>
      </c>
      <c r="H2" s="77" t="s">
        <v>6</v>
      </c>
      <c r="I2" s="59">
        <f>'GF12'!I2</f>
        <v>44775</v>
      </c>
      <c r="J2" s="39"/>
      <c r="K2" s="40" t="s">
        <v>49</v>
      </c>
      <c r="L2" s="41" t="e">
        <f ca="1">VLOOKUP(C2,Assemblies!E:G,3,0)</f>
        <v>#VALUE!</v>
      </c>
      <c r="M2" s="78"/>
      <c r="N2" s="78"/>
      <c r="O2" s="78"/>
      <c r="P2" s="86"/>
      <c r="Q2" s="92"/>
    </row>
    <row r="3" spans="1:18" s="55" customFormat="1" ht="12" customHeight="1" thickBot="1">
      <c r="A3" s="74" t="s">
        <v>7</v>
      </c>
      <c r="B3" s="58"/>
      <c r="C3" s="57" t="e">
        <f ca="1">VLOOKUP(E3,Assemblies!B:F,5,0)</f>
        <v>#VALUE!</v>
      </c>
      <c r="D3" s="75" t="s">
        <v>50</v>
      </c>
      <c r="E3" s="76" t="e">
        <f ca="1">MID(CELL("filename",A1),FIND("]",CELL("filename",A1))+1,256)</f>
        <v>#VALUE!</v>
      </c>
      <c r="F3" s="77" t="s">
        <v>11</v>
      </c>
      <c r="G3" s="58" t="str">
        <f>'GF12'!G3</f>
        <v>GH</v>
      </c>
      <c r="H3" s="77" t="s">
        <v>6</v>
      </c>
      <c r="I3" s="59">
        <f>'GF12'!I3</f>
        <v>44775</v>
      </c>
      <c r="J3" s="78"/>
      <c r="K3" s="78"/>
      <c r="L3" s="78"/>
      <c r="M3" s="78"/>
      <c r="N3" s="78"/>
      <c r="O3" s="78"/>
      <c r="P3" s="86"/>
      <c r="Q3" s="92"/>
    </row>
    <row r="4" spans="1:18" s="56" customFormat="1" ht="12.75" customHeight="1" thickBot="1">
      <c r="A4" s="80" t="s">
        <v>12</v>
      </c>
      <c r="B4" s="81" t="s">
        <v>13</v>
      </c>
      <c r="C4" s="81" t="s">
        <v>14</v>
      </c>
      <c r="D4" s="270" t="s">
        <v>15</v>
      </c>
      <c r="E4" s="271"/>
      <c r="F4" s="104" t="s">
        <v>16</v>
      </c>
      <c r="G4" s="81" t="s">
        <v>17</v>
      </c>
      <c r="H4" s="260" t="s">
        <v>18</v>
      </c>
      <c r="I4" s="261"/>
      <c r="J4" s="81" t="s">
        <v>51</v>
      </c>
      <c r="K4" s="81" t="s">
        <v>20</v>
      </c>
      <c r="L4" s="81" t="s">
        <v>21</v>
      </c>
      <c r="M4" s="81" t="s">
        <v>52</v>
      </c>
      <c r="N4" s="81" t="s">
        <v>22</v>
      </c>
      <c r="O4" s="81" t="s">
        <v>53</v>
      </c>
      <c r="P4" s="107" t="s">
        <v>26</v>
      </c>
      <c r="Q4" s="82" t="s">
        <v>27</v>
      </c>
    </row>
    <row r="5" spans="1:18" s="21" customFormat="1" ht="12.75" customHeight="1">
      <c r="A5" s="66" t="s">
        <v>54</v>
      </c>
      <c r="B5" s="1">
        <v>1</v>
      </c>
      <c r="C5" s="67" t="s">
        <v>455</v>
      </c>
      <c r="D5" s="277" t="e">
        <f ca="1">VLOOKUP(C5,Assemblies!E:S,2,0)</f>
        <v>#N/A</v>
      </c>
      <c r="E5" s="278"/>
      <c r="F5" s="32"/>
      <c r="G5" s="32"/>
      <c r="H5" s="292"/>
      <c r="I5" s="293"/>
      <c r="J5" s="28"/>
      <c r="K5" s="28"/>
      <c r="L5" s="28"/>
      <c r="M5" s="28"/>
      <c r="N5" s="33"/>
      <c r="O5" s="46" t="e">
        <f t="shared" ref="O5" ca="1" si="0">B5*$L$2</f>
        <v>#VALUE!</v>
      </c>
      <c r="P5" s="87">
        <f>'141'!Q20</f>
        <v>424.48</v>
      </c>
      <c r="Q5" s="93">
        <f t="shared" ref="Q5" si="1">B5*P5</f>
        <v>424.48</v>
      </c>
    </row>
    <row r="6" spans="1:18" s="21" customFormat="1" ht="12.75" customHeight="1">
      <c r="A6" s="25"/>
      <c r="B6" s="26"/>
      <c r="C6" s="26"/>
      <c r="D6" s="272"/>
      <c r="E6" s="273"/>
      <c r="F6" s="26"/>
      <c r="G6" s="26"/>
      <c r="H6" s="274"/>
      <c r="I6" s="275"/>
      <c r="J6" s="27"/>
      <c r="K6" s="27"/>
      <c r="L6" s="27"/>
      <c r="M6" s="28"/>
      <c r="N6" s="29"/>
      <c r="O6" s="29"/>
      <c r="P6" s="141"/>
      <c r="Q6" s="142"/>
      <c r="R6" s="20"/>
    </row>
    <row r="7" spans="1:18" s="2" customFormat="1" ht="12.75" customHeight="1">
      <c r="A7" s="127">
        <v>1</v>
      </c>
      <c r="B7" s="21">
        <v>2</v>
      </c>
      <c r="C7" s="108" t="s">
        <v>456</v>
      </c>
      <c r="D7" s="277" t="str">
        <f>VLOOKUP(C7,Machined!C:Q,2,0)</f>
        <v>Slit Knife Side Plate</v>
      </c>
      <c r="E7" s="278"/>
      <c r="F7" s="131" t="str">
        <f>VLOOKUP(C7,Machined!C:R,7,0)</f>
        <v>MIC 6</v>
      </c>
      <c r="G7" s="131" t="str">
        <f>VLOOKUP(C7,Machined!C:R,10,0)</f>
        <v>BIG SKY</v>
      </c>
      <c r="H7" s="131" t="str">
        <f>VLOOKUP(C7,Machined!C:R,11,0)</f>
        <v xml:space="preserve">  </v>
      </c>
      <c r="I7" s="131"/>
      <c r="J7" s="42">
        <f>VLOOKUP(C7,Machined!C:R,12,0)</f>
        <v>45142</v>
      </c>
      <c r="K7" s="42">
        <f>VLOOKUP(C7,Machined!C:R,13,0)</f>
        <v>45146</v>
      </c>
      <c r="L7" s="42">
        <f>VLOOKUP(C7,Machined!C:R,14,0)</f>
        <v>45176</v>
      </c>
      <c r="M7" s="42">
        <f>VLOOKUP(C7,Machined!C:R,15,0)</f>
        <v>45176</v>
      </c>
      <c r="N7" s="43">
        <f>VLOOKUP(C7,Machined!C:R,16,0)</f>
        <v>55032</v>
      </c>
      <c r="O7" s="43" t="e">
        <f t="shared" ref="O7:O13" ca="1" si="2">B7*$L$2</f>
        <v>#VALUE!</v>
      </c>
      <c r="P7" s="47">
        <f>IFERROR(VLOOKUP(C7,Machined!C:F,3,0),"")</f>
        <v>240</v>
      </c>
      <c r="Q7" s="48">
        <f t="shared" ref="Q7:Q13" si="3">IFERROR(B7*P7,"")</f>
        <v>480</v>
      </c>
    </row>
    <row r="8" spans="1:18" s="2" customFormat="1" ht="12.75" customHeight="1">
      <c r="A8" s="127">
        <f>A7+1</f>
        <v>2</v>
      </c>
      <c r="B8" s="21">
        <v>2</v>
      </c>
      <c r="C8" s="108" t="s">
        <v>457</v>
      </c>
      <c r="D8" s="277" t="str">
        <f>VLOOKUP(C8,Machined!C:Q,2,0)</f>
        <v>Slit Knife Linear Rod Bracket</v>
      </c>
      <c r="E8" s="278"/>
      <c r="F8" s="131" t="str">
        <f>VLOOKUP(C8,Machined!C:R,7,0)</f>
        <v>1018 CRS</v>
      </c>
      <c r="G8" s="131" t="str">
        <f>VLOOKUP(C8,Machined!C:R,10,0)</f>
        <v>FRONTIER</v>
      </c>
      <c r="H8" s="131">
        <f>VLOOKUP(C8,Machined!C:R,11,0)</f>
        <v>0</v>
      </c>
      <c r="I8" s="131"/>
      <c r="J8" s="42">
        <f>VLOOKUP(C8,Machined!C:R,12,0)</f>
        <v>45202</v>
      </c>
      <c r="K8" s="42">
        <f>VLOOKUP(C8,Machined!C:R,13,0)</f>
        <v>45202</v>
      </c>
      <c r="L8" s="42">
        <f>VLOOKUP(C8,Machined!C:R,14,0)</f>
        <v>45216</v>
      </c>
      <c r="M8" s="42">
        <f>VLOOKUP(C8,Machined!C:R,15,0)</f>
        <v>45216</v>
      </c>
      <c r="N8" s="43">
        <f>VLOOKUP(C8,Machined!C:R,16,0)</f>
        <v>55179</v>
      </c>
      <c r="O8" s="43" t="e">
        <f t="shared" ca="1" si="2"/>
        <v>#VALUE!</v>
      </c>
      <c r="P8" s="47">
        <f>IFERROR(VLOOKUP(C8,Machined!C:F,3,0),"")</f>
        <v>168</v>
      </c>
      <c r="Q8" s="48">
        <f t="shared" si="3"/>
        <v>336</v>
      </c>
    </row>
    <row r="9" spans="1:18" s="2" customFormat="1" ht="12.75" customHeight="1">
      <c r="A9" s="127">
        <f t="shared" ref="A9:A14" si="4">A8+1</f>
        <v>3</v>
      </c>
      <c r="B9" s="21">
        <v>1</v>
      </c>
      <c r="C9" s="108" t="s">
        <v>458</v>
      </c>
      <c r="D9" s="277" t="str">
        <f>VLOOKUP(C9,Machined!C:Q,2,0)</f>
        <v>Slit Knife Cylinder Mount 
Plate</v>
      </c>
      <c r="E9" s="278"/>
      <c r="F9" s="131" t="str">
        <f>VLOOKUP(C9,Machined!C:R,7,0)</f>
        <v>6061-T6 Alum</v>
      </c>
      <c r="G9" s="131" t="str">
        <f>VLOOKUP(C9,Machined!C:R,10,0)</f>
        <v>BIG SKY</v>
      </c>
      <c r="H9" s="131" t="str">
        <f>VLOOKUP(C9,Machined!C:R,11,0)</f>
        <v xml:space="preserve">  </v>
      </c>
      <c r="I9" s="131"/>
      <c r="J9" s="42">
        <f>VLOOKUP(C9,Machined!C:R,12,0)</f>
        <v>45142</v>
      </c>
      <c r="K9" s="42">
        <f>VLOOKUP(C9,Machined!C:R,13,0)</f>
        <v>45146</v>
      </c>
      <c r="L9" s="42">
        <f>VLOOKUP(C9,Machined!C:R,14,0)</f>
        <v>45176</v>
      </c>
      <c r="M9" s="42">
        <f>VLOOKUP(C9,Machined!C:R,15,0)</f>
        <v>45176</v>
      </c>
      <c r="N9" s="43">
        <f>VLOOKUP(C9,Machined!C:R,16,0)</f>
        <v>55032</v>
      </c>
      <c r="O9" s="43" t="e">
        <f t="shared" ca="1" si="2"/>
        <v>#VALUE!</v>
      </c>
      <c r="P9" s="47">
        <f>IFERROR(VLOOKUP(C9,Machined!C:F,3,0),"")</f>
        <v>78.5</v>
      </c>
      <c r="Q9" s="48">
        <f t="shared" si="3"/>
        <v>78.5</v>
      </c>
    </row>
    <row r="10" spans="1:18" s="2" customFormat="1" ht="12.75" customHeight="1">
      <c r="A10" s="127">
        <f t="shared" si="4"/>
        <v>4</v>
      </c>
      <c r="B10" s="21">
        <v>1</v>
      </c>
      <c r="C10" s="108" t="s">
        <v>459</v>
      </c>
      <c r="D10" s="277" t="str">
        <f>VLOOKUP(C10,Machined!C:Q,2,0)</f>
        <v>Slit Knife Cylinder 
Adjustment Plate</v>
      </c>
      <c r="E10" s="278"/>
      <c r="F10" s="131" t="str">
        <f>VLOOKUP(C10,Machined!C:R,7,0)</f>
        <v>6061-T6 Alum</v>
      </c>
      <c r="G10" s="131" t="str">
        <f>VLOOKUP(C10,Machined!C:R,10,0)</f>
        <v>BIG SKY</v>
      </c>
      <c r="H10" s="131" t="str">
        <f>VLOOKUP(C10,Machined!C:R,11,0)</f>
        <v xml:space="preserve">  </v>
      </c>
      <c r="I10" s="131"/>
      <c r="J10" s="42">
        <f>VLOOKUP(C10,Machined!C:R,12,0)</f>
        <v>45142</v>
      </c>
      <c r="K10" s="42">
        <f>VLOOKUP(C10,Machined!C:R,13,0)</f>
        <v>45146</v>
      </c>
      <c r="L10" s="42">
        <f>VLOOKUP(C10,Machined!C:R,14,0)</f>
        <v>45176</v>
      </c>
      <c r="M10" s="42">
        <f>VLOOKUP(C10,Machined!C:R,15,0)</f>
        <v>45176</v>
      </c>
      <c r="N10" s="43">
        <f>VLOOKUP(C10,Machined!C:R,16,0)</f>
        <v>55032</v>
      </c>
      <c r="O10" s="43" t="e">
        <f t="shared" ca="1" si="2"/>
        <v>#VALUE!</v>
      </c>
      <c r="P10" s="47">
        <f>IFERROR(VLOOKUP(C10,Machined!C:F,3,0),"")</f>
        <v>162.5</v>
      </c>
      <c r="Q10" s="48">
        <f t="shared" si="3"/>
        <v>162.5</v>
      </c>
    </row>
    <row r="11" spans="1:18" s="2" customFormat="1" ht="12.75" customHeight="1">
      <c r="A11" s="127">
        <f t="shared" si="4"/>
        <v>5</v>
      </c>
      <c r="B11" s="21">
        <v>1</v>
      </c>
      <c r="C11" s="108" t="s">
        <v>460</v>
      </c>
      <c r="D11" s="277" t="str">
        <f>VLOOKUP(C11,Machined!C:Q,2,0)</f>
        <v>Slit Knife Holder</v>
      </c>
      <c r="E11" s="278"/>
      <c r="F11" s="131" t="str">
        <f>VLOOKUP(C11,Machined!C:R,7,0)</f>
        <v>6061-T6 Alum</v>
      </c>
      <c r="G11" s="131" t="str">
        <f>VLOOKUP(C11,Machined!C:R,10,0)</f>
        <v>BIG SKY</v>
      </c>
      <c r="H11" s="131" t="str">
        <f>VLOOKUP(C11,Machined!C:R,11,0)</f>
        <v xml:space="preserve">  </v>
      </c>
      <c r="I11" s="131"/>
      <c r="J11" s="42">
        <f>VLOOKUP(C11,Machined!C:R,12,0)</f>
        <v>45142</v>
      </c>
      <c r="K11" s="42">
        <f>VLOOKUP(C11,Machined!C:R,13,0)</f>
        <v>45146</v>
      </c>
      <c r="L11" s="42">
        <f>VLOOKUP(C11,Machined!C:R,14,0)</f>
        <v>45176</v>
      </c>
      <c r="M11" s="42">
        <f>VLOOKUP(C11,Machined!C:R,15,0)</f>
        <v>45176</v>
      </c>
      <c r="N11" s="43">
        <f>VLOOKUP(C11,Machined!C:R,16,0)</f>
        <v>55032</v>
      </c>
      <c r="O11" s="43" t="e">
        <f t="shared" ca="1" si="2"/>
        <v>#VALUE!</v>
      </c>
      <c r="P11" s="47">
        <f>IFERROR(VLOOKUP(C11,Machined!C:F,3,0),"")</f>
        <v>155</v>
      </c>
      <c r="Q11" s="48">
        <f t="shared" si="3"/>
        <v>155</v>
      </c>
    </row>
    <row r="12" spans="1:18" s="2" customFormat="1" ht="12.75" customHeight="1">
      <c r="A12" s="127">
        <f t="shared" si="4"/>
        <v>6</v>
      </c>
      <c r="B12" s="21">
        <v>2</v>
      </c>
      <c r="C12" s="108" t="s">
        <v>461</v>
      </c>
      <c r="D12" s="277" t="str">
        <f>VLOOKUP(C12,Machined!C:Q,2,0)</f>
        <v>Slit Knife Support Rod</v>
      </c>
      <c r="E12" s="278"/>
      <c r="F12" s="131" t="str">
        <f>VLOOKUP(C12,Machined!C:R,7,0)</f>
        <v>303 SS - TG&amp;P</v>
      </c>
      <c r="G12" s="131" t="str">
        <f>VLOOKUP(C12,Machined!C:R,10,0)</f>
        <v>ALEXANDRIA, Nuline</v>
      </c>
      <c r="H12" s="131" t="str">
        <f>VLOOKUP(C12,Machined!C:R,11,0)</f>
        <v xml:space="preserve"> </v>
      </c>
      <c r="I12" s="131"/>
      <c r="J12" s="42" t="str">
        <f>VLOOKUP(C12,Machined!C:R,12,0)</f>
        <v>N/A</v>
      </c>
      <c r="K12" s="42" t="str">
        <f>VLOOKUP(C12,Machined!C:R,13,0)</f>
        <v>N/A</v>
      </c>
      <c r="L12" s="42" t="str">
        <f>VLOOKUP(C12,Machined!C:R,14,0)</f>
        <v>N/A</v>
      </c>
      <c r="M12" s="42" t="str">
        <f>VLOOKUP(C12,Machined!C:R,15,0)</f>
        <v>N/A</v>
      </c>
      <c r="N12" s="43">
        <f>VLOOKUP(C12,Machined!C:R,16,0)</f>
        <v>55018</v>
      </c>
      <c r="O12" s="43" t="e">
        <f t="shared" ca="1" si="2"/>
        <v>#VALUE!</v>
      </c>
      <c r="P12" s="47">
        <f>IFERROR(VLOOKUP(C12,Machined!C:F,3,0),"")</f>
        <v>7.5</v>
      </c>
      <c r="Q12" s="48">
        <f t="shared" si="3"/>
        <v>15</v>
      </c>
    </row>
    <row r="13" spans="1:18" s="2" customFormat="1" ht="12.75" customHeight="1">
      <c r="A13" s="127">
        <f t="shared" si="4"/>
        <v>7</v>
      </c>
      <c r="B13" s="21">
        <v>1</v>
      </c>
      <c r="C13" s="108" t="s">
        <v>462</v>
      </c>
      <c r="D13" s="277" t="str">
        <f>VLOOKUP(C13,Machined!C:Q,2,0)</f>
        <v>Slit Knife Base</v>
      </c>
      <c r="E13" s="278"/>
      <c r="F13" s="131" t="str">
        <f>VLOOKUP(C13,Machined!C:R,7,0)</f>
        <v>6061-T6 Alum</v>
      </c>
      <c r="G13" s="131" t="str">
        <f>VLOOKUP(C13,Machined!C:R,10,0)</f>
        <v>BIG SKY</v>
      </c>
      <c r="H13" s="131" t="str">
        <f>VLOOKUP(C13,Machined!C:R,11,0)</f>
        <v xml:space="preserve">  </v>
      </c>
      <c r="I13" s="131"/>
      <c r="J13" s="42">
        <f>VLOOKUP(C13,Machined!C:R,12,0)</f>
        <v>45142</v>
      </c>
      <c r="K13" s="42">
        <f>VLOOKUP(C13,Machined!C:R,13,0)</f>
        <v>45146</v>
      </c>
      <c r="L13" s="42">
        <f>VLOOKUP(C13,Machined!C:R,14,0)</f>
        <v>45176</v>
      </c>
      <c r="M13" s="42">
        <f>VLOOKUP(C13,Machined!C:R,15,0)</f>
        <v>45176</v>
      </c>
      <c r="N13" s="43">
        <f>VLOOKUP(C13,Machined!C:R,16,0)</f>
        <v>55032</v>
      </c>
      <c r="O13" s="43" t="e">
        <f t="shared" ca="1" si="2"/>
        <v>#VALUE!</v>
      </c>
      <c r="P13" s="47">
        <f>IFERROR(VLOOKUP(C13,Machined!C:F,3,0),"")</f>
        <v>78</v>
      </c>
      <c r="Q13" s="48">
        <f t="shared" si="3"/>
        <v>78</v>
      </c>
    </row>
    <row r="14" spans="1:18" s="2" customFormat="1" ht="12.75" customHeight="1">
      <c r="A14" s="127">
        <f t="shared" si="4"/>
        <v>8</v>
      </c>
      <c r="B14" s="21">
        <v>1</v>
      </c>
      <c r="C14" s="108" t="s">
        <v>463</v>
      </c>
      <c r="D14" s="277" t="str">
        <f>VLOOKUP(C14,Machined!C:Q,2,0)</f>
        <v>Slit Knife Support Rod</v>
      </c>
      <c r="E14" s="278"/>
      <c r="F14" s="131" t="str">
        <f>VLOOKUP(C14,Machined!C:R,7,0)</f>
        <v>PPH</v>
      </c>
      <c r="G14" s="131" t="str">
        <f>VLOOKUP(C14,Machined!C:R,10,0)</f>
        <v>NULINE</v>
      </c>
      <c r="H14" s="131">
        <f>VLOOKUP(C14,Machined!C:R,11,0)</f>
        <v>0</v>
      </c>
      <c r="I14" s="131"/>
      <c r="J14" s="42" t="str">
        <f>VLOOKUP(C14,Machined!C:R,12,0)</f>
        <v>N/A</v>
      </c>
      <c r="K14" s="42" t="str">
        <f>VLOOKUP(C14,Machined!C:R,13,0)</f>
        <v>N/A</v>
      </c>
      <c r="L14" s="42" t="str">
        <f>VLOOKUP(C14,Machined!C:R,14,0)</f>
        <v>N/A</v>
      </c>
      <c r="M14" s="42" t="str">
        <f>VLOOKUP(C14,Machined!C:R,15,0)</f>
        <v>N/A</v>
      </c>
      <c r="N14" s="43" t="str">
        <f>VLOOKUP(C14,Machined!C:R,16,0)</f>
        <v>N/A</v>
      </c>
      <c r="O14" s="43" t="e">
        <f t="shared" ref="O14" ca="1" si="5">B14*$L$2</f>
        <v>#VALUE!</v>
      </c>
      <c r="P14" s="47">
        <f>IFERROR(VLOOKUP(C14,Machined!C:F,3,0),"")</f>
        <v>0</v>
      </c>
      <c r="Q14" s="48">
        <f t="shared" ref="Q14" si="6">IFERROR(B14*P14,"")</f>
        <v>0</v>
      </c>
    </row>
    <row r="15" spans="1:18" s="2" customFormat="1" ht="12.75" customHeight="1">
      <c r="A15" s="143"/>
      <c r="B15" s="26"/>
      <c r="C15" s="26"/>
      <c r="D15" s="272"/>
      <c r="E15" s="273"/>
      <c r="F15" s="26"/>
      <c r="G15" s="26"/>
      <c r="H15" s="274"/>
      <c r="I15" s="275"/>
      <c r="J15" s="27"/>
      <c r="K15" s="27"/>
      <c r="L15" s="27"/>
      <c r="M15" s="28"/>
      <c r="N15" s="29"/>
      <c r="O15" s="29"/>
      <c r="P15" s="141"/>
      <c r="Q15" s="142"/>
    </row>
    <row r="16" spans="1:18" s="2" customFormat="1" ht="12.75" customHeight="1">
      <c r="A16" s="4">
        <v>301</v>
      </c>
      <c r="B16" s="2">
        <v>12</v>
      </c>
      <c r="C16" s="114" t="s">
        <v>256</v>
      </c>
      <c r="D16" s="268" t="str">
        <f>VLOOKUP(C16,Purchased!A:B,2,0)</f>
        <v>BRX GOTO T-NUT 10 M8</v>
      </c>
      <c r="E16" s="269"/>
      <c r="F16" s="112" t="str">
        <f>VLOOKUP(C16,Purchased!A:Q,9,0)</f>
        <v>BRX</v>
      </c>
      <c r="G16" s="112" t="str">
        <f>VLOOKUP(C16,Purchased!A:Q,10,0)</f>
        <v>AAP</v>
      </c>
      <c r="H16" s="112" t="str">
        <f>VLOOKUP(C16,Purchased!A:Q,12,0)</f>
        <v xml:space="preserve">  </v>
      </c>
      <c r="I16" s="113"/>
      <c r="J16" s="44">
        <f>VLOOKUP(C16,Purchased!A:Q,13,0)</f>
        <v>45104</v>
      </c>
      <c r="K16" s="44">
        <f>VLOOKUP(C16,Purchased!A:Q,14,0)</f>
        <v>45105</v>
      </c>
      <c r="L16" s="44">
        <f>VLOOKUP(C16,Purchased!A:Q,15,0)</f>
        <v>45133</v>
      </c>
      <c r="M16" s="44">
        <f>VLOOKUP(C16,Purchased!A:Q,16,0)</f>
        <v>45133</v>
      </c>
      <c r="N16" s="45" t="str">
        <f>VLOOKUP(C16,Purchased!A:Q,17,0)</f>
        <v>54968, 55147</v>
      </c>
      <c r="O16" s="45" t="e">
        <f t="shared" ref="O16:O31" ca="1" si="7">B16*$L$2</f>
        <v>#VALUE!</v>
      </c>
      <c r="P16" s="49">
        <f>IFERROR(VLOOKUP(C16,Purchased!A:E,3,FALSE),"")</f>
        <v>0.64290000000000003</v>
      </c>
      <c r="Q16" s="50">
        <f t="shared" ref="Q16:Q31" si="8">IFERROR(B16*P16,"")</f>
        <v>7.7148000000000003</v>
      </c>
    </row>
    <row r="17" spans="1:17" s="2" customFormat="1" ht="12" customHeight="1">
      <c r="A17" s="4">
        <f>A16+1</f>
        <v>302</v>
      </c>
      <c r="B17" s="2">
        <v>2</v>
      </c>
      <c r="C17" s="114" t="s">
        <v>262</v>
      </c>
      <c r="D17" s="268" t="str">
        <f>VLOOKUP(C17,Purchased!A:B,2,0)</f>
        <v>BRX GOTO T-NUT 10 M6</v>
      </c>
      <c r="E17" s="269"/>
      <c r="F17" s="112" t="str">
        <f>VLOOKUP(C17,Purchased!A:Q,9,0)</f>
        <v>BRX</v>
      </c>
      <c r="G17" s="112" t="str">
        <f>VLOOKUP(C17,Purchased!A:Q,10,0)</f>
        <v>AAP</v>
      </c>
      <c r="H17" s="112" t="str">
        <f>VLOOKUP(C17,Purchased!A:Q,12,0)</f>
        <v xml:space="preserve">  </v>
      </c>
      <c r="I17" s="113"/>
      <c r="J17" s="44">
        <f>VLOOKUP(C17,Purchased!A:Q,13,0)</f>
        <v>45104</v>
      </c>
      <c r="K17" s="44">
        <f>VLOOKUP(C17,Purchased!A:Q,14,0)</f>
        <v>45105</v>
      </c>
      <c r="L17" s="44">
        <f>VLOOKUP(C17,Purchased!A:Q,15,0)</f>
        <v>45133</v>
      </c>
      <c r="M17" s="44">
        <f>VLOOKUP(C17,Purchased!A:Q,16,0)</f>
        <v>45133</v>
      </c>
      <c r="N17" s="45" t="str">
        <f>VLOOKUP(C17,Purchased!A:Q,17,0)</f>
        <v>54968, 55147, 55270</v>
      </c>
      <c r="O17" s="45" t="e">
        <f t="shared" ca="1" si="7"/>
        <v>#VALUE!</v>
      </c>
      <c r="P17" s="49">
        <f>IFERROR(VLOOKUP(C17,Purchased!A:E,3,FALSE),"")</f>
        <v>0.64290000000000003</v>
      </c>
      <c r="Q17" s="50">
        <f t="shared" si="8"/>
        <v>1.2858000000000001</v>
      </c>
    </row>
    <row r="18" spans="1:17" s="2" customFormat="1" ht="12" customHeight="1">
      <c r="A18" s="4">
        <f t="shared" ref="A18:A35" si="9">A17+1</f>
        <v>303</v>
      </c>
      <c r="B18" s="2">
        <v>1</v>
      </c>
      <c r="C18" s="114" t="s">
        <v>464</v>
      </c>
      <c r="D18" s="268" t="str">
        <f>VLOOKUP(C18,Purchased!A:B,2,0)</f>
        <v>IGUS 12mm Dia x 1372mm Hard Anod Alum Shaft</v>
      </c>
      <c r="E18" s="269"/>
      <c r="F18" s="112" t="str">
        <f>VLOOKUP(C18,Purchased!A:Q,9,0)</f>
        <v>IGUS</v>
      </c>
      <c r="G18" s="112" t="str">
        <f>VLOOKUP(C18,Purchased!A:Q,10,0)</f>
        <v>IGUS</v>
      </c>
      <c r="H18" s="112" t="str">
        <f>VLOOKUP(C18,Purchased!A:Q,12,0)</f>
        <v xml:space="preserve"> </v>
      </c>
      <c r="I18" s="113"/>
      <c r="J18" s="44">
        <f>VLOOKUP(C18,Purchased!A:Q,13,0)</f>
        <v>45125</v>
      </c>
      <c r="K18" s="44">
        <f>VLOOKUP(C18,Purchased!A:Q,14,0)</f>
        <v>45161</v>
      </c>
      <c r="L18" s="44">
        <f>VLOOKUP(C18,Purchased!A:Q,15,0)</f>
        <v>45191</v>
      </c>
      <c r="M18" s="44">
        <f>VLOOKUP(C18,Purchased!A:Q,16,0)</f>
        <v>45208</v>
      </c>
      <c r="N18" s="45">
        <f>VLOOKUP(C18,Purchased!A:Q,17,0)</f>
        <v>55076</v>
      </c>
      <c r="O18" s="45" t="e">
        <f t="shared" ca="1" si="7"/>
        <v>#VALUE!</v>
      </c>
      <c r="P18" s="49">
        <f>IFERROR(VLOOKUP(C18,Purchased!A:E,3,FALSE),"")</f>
        <v>74.900000000000006</v>
      </c>
      <c r="Q18" s="50">
        <f t="shared" si="8"/>
        <v>74.900000000000006</v>
      </c>
    </row>
    <row r="19" spans="1:17" s="2" customFormat="1" ht="12" customHeight="1">
      <c r="A19" s="4">
        <f t="shared" si="9"/>
        <v>304</v>
      </c>
      <c r="B19" s="2">
        <v>1</v>
      </c>
      <c r="C19" s="114" t="s">
        <v>465</v>
      </c>
      <c r="D19" s="268" t="str">
        <f>VLOOKUP(C19,Purchased!A:B,2,0)</f>
        <v>IGUS Drylin Lead Screw Nut</v>
      </c>
      <c r="E19" s="269"/>
      <c r="F19" s="112" t="str">
        <f>VLOOKUP(C19,Purchased!A:Q,9,0)</f>
        <v>IGUS</v>
      </c>
      <c r="G19" s="112" t="str">
        <f>VLOOKUP(C19,Purchased!A:Q,10,0)</f>
        <v>IGUS</v>
      </c>
      <c r="H19" s="112" t="str">
        <f>VLOOKUP(C19,Purchased!A:Q,12,0)</f>
        <v xml:space="preserve"> </v>
      </c>
      <c r="I19" s="113"/>
      <c r="J19" s="44">
        <f>VLOOKUP(C19,Purchased!A:Q,13,0)</f>
        <v>45125</v>
      </c>
      <c r="K19" s="44">
        <f>VLOOKUP(C19,Purchased!A:Q,14,0)</f>
        <v>45161</v>
      </c>
      <c r="L19" s="44">
        <f>VLOOKUP(C19,Purchased!A:Q,15,0)</f>
        <v>45191</v>
      </c>
      <c r="M19" s="44">
        <f>VLOOKUP(C19,Purchased!A:Q,16,0)</f>
        <v>45208</v>
      </c>
      <c r="N19" s="45">
        <f>VLOOKUP(C19,Purchased!A:Q,17,0)</f>
        <v>55076</v>
      </c>
      <c r="O19" s="45" t="e">
        <f t="shared" ca="1" si="7"/>
        <v>#VALUE!</v>
      </c>
      <c r="P19" s="49">
        <f>IFERROR(VLOOKUP(C19,Purchased!A:E,3,FALSE),"")</f>
        <v>20.03</v>
      </c>
      <c r="Q19" s="50">
        <f t="shared" si="8"/>
        <v>20.03</v>
      </c>
    </row>
    <row r="20" spans="1:17" s="2" customFormat="1" ht="12" customHeight="1">
      <c r="A20" s="4">
        <f t="shared" si="9"/>
        <v>305</v>
      </c>
      <c r="B20" s="2">
        <v>1</v>
      </c>
      <c r="C20" s="114" t="s">
        <v>466</v>
      </c>
      <c r="D20" s="268" t="str">
        <f>VLOOKUP(C20,Purchased!A:B,2,0)</f>
        <v>IGUS Custom Machined Lead Screw</v>
      </c>
      <c r="E20" s="269"/>
      <c r="F20" s="112" t="str">
        <f>VLOOKUP(C20,Purchased!A:Q,9,0)</f>
        <v>IGUS</v>
      </c>
      <c r="G20" s="112" t="str">
        <f>VLOOKUP(C20,Purchased!A:Q,10,0)</f>
        <v>IGUS</v>
      </c>
      <c r="H20" s="112" t="str">
        <f>VLOOKUP(C20,Purchased!A:Q,12,0)</f>
        <v xml:space="preserve"> </v>
      </c>
      <c r="I20" s="113"/>
      <c r="J20" s="44">
        <f>VLOOKUP(C20,Purchased!A:Q,13,0)</f>
        <v>45125</v>
      </c>
      <c r="K20" s="44">
        <f>VLOOKUP(C20,Purchased!A:Q,14,0)</f>
        <v>45161</v>
      </c>
      <c r="L20" s="44">
        <f>VLOOKUP(C20,Purchased!A:Q,15,0)</f>
        <v>45191</v>
      </c>
      <c r="M20" s="44">
        <f>VLOOKUP(C20,Purchased!A:Q,16,0)</f>
        <v>45208</v>
      </c>
      <c r="N20" s="45">
        <f>VLOOKUP(C20,Purchased!A:Q,17,0)</f>
        <v>55076</v>
      </c>
      <c r="O20" s="45" t="e">
        <f t="shared" ca="1" si="7"/>
        <v>#VALUE!</v>
      </c>
      <c r="P20" s="49">
        <f>IFERROR(VLOOKUP(C20,Purchased!A:E,3,FALSE),"")</f>
        <v>266.61</v>
      </c>
      <c r="Q20" s="50">
        <f t="shared" si="8"/>
        <v>266.61</v>
      </c>
    </row>
    <row r="21" spans="1:17" s="2" customFormat="1" ht="12" customHeight="1">
      <c r="A21" s="4">
        <f t="shared" si="9"/>
        <v>306</v>
      </c>
      <c r="C21" s="114"/>
      <c r="D21" s="268"/>
      <c r="E21" s="269"/>
      <c r="F21" s="112"/>
      <c r="G21" s="112"/>
      <c r="H21" s="112"/>
      <c r="I21" s="113"/>
      <c r="J21" s="44"/>
      <c r="K21" s="44"/>
      <c r="L21" s="44"/>
      <c r="M21" s="44"/>
      <c r="N21" s="45"/>
      <c r="O21" s="45"/>
      <c r="P21" s="49"/>
      <c r="Q21" s="50"/>
    </row>
    <row r="22" spans="1:17" s="2" customFormat="1" ht="12" customHeight="1">
      <c r="A22" s="4">
        <f t="shared" si="9"/>
        <v>307</v>
      </c>
      <c r="C22" s="114"/>
      <c r="D22" s="268"/>
      <c r="E22" s="269"/>
      <c r="F22" s="112"/>
      <c r="G22" s="112"/>
      <c r="H22" s="112"/>
      <c r="I22" s="113"/>
      <c r="J22" s="44"/>
      <c r="K22" s="44"/>
      <c r="L22" s="44"/>
      <c r="M22" s="44"/>
      <c r="N22" s="45"/>
      <c r="O22" s="45"/>
      <c r="P22" s="49"/>
      <c r="Q22" s="50"/>
    </row>
    <row r="23" spans="1:17" s="2" customFormat="1" ht="12" customHeight="1">
      <c r="A23" s="4">
        <f t="shared" si="9"/>
        <v>308</v>
      </c>
      <c r="B23" s="2">
        <v>1</v>
      </c>
      <c r="C23" s="114" t="s">
        <v>467</v>
      </c>
      <c r="D23" s="268" t="str">
        <f>VLOOKUP(C23,Purchased!A:B,2,0)</f>
        <v>Two-Piece Shaft Coupling Steel, for 8 mm x 8 mm Diameter Round Shaft</v>
      </c>
      <c r="E23" s="269"/>
      <c r="F23" s="112" t="str">
        <f>VLOOKUP(C23,Purchased!A:Q,9,0)</f>
        <v>MOTION</v>
      </c>
      <c r="G23" s="112" t="str">
        <f>VLOOKUP(C23,Purchased!A:Q,10,0)</f>
        <v>MOTION</v>
      </c>
      <c r="H23" s="112" t="str">
        <f>VLOOKUP(C23,Purchased!A:Q,12,0)</f>
        <v>MCM=6508T52</v>
      </c>
      <c r="I23" s="113"/>
      <c r="J23" s="44" t="str">
        <f>VLOOKUP(C23,Purchased!A:Q,13,0)</f>
        <v>N/A</v>
      </c>
      <c r="K23" s="44">
        <f>VLOOKUP(C23,Purchased!A:Q,14,0)</f>
        <v>45161</v>
      </c>
      <c r="L23" s="44">
        <f>VLOOKUP(C23,Purchased!A:Q,15,0)</f>
        <v>45191</v>
      </c>
      <c r="M23" s="44">
        <f>VLOOKUP(C23,Purchased!A:Q,16,0)</f>
        <v>45191</v>
      </c>
      <c r="N23" s="45">
        <f>VLOOKUP(C23,Purchased!A:Q,17,0)</f>
        <v>55079</v>
      </c>
      <c r="O23" s="45" t="e">
        <f t="shared" ca="1" si="7"/>
        <v>#VALUE!</v>
      </c>
      <c r="P23" s="49">
        <f>IFERROR(VLOOKUP(C23,Purchased!A:E,3,FALSE),"")</f>
        <v>57.43</v>
      </c>
      <c r="Q23" s="50">
        <f t="shared" si="8"/>
        <v>57.43</v>
      </c>
    </row>
    <row r="24" spans="1:17" s="2" customFormat="1" ht="12" customHeight="1">
      <c r="A24" s="4">
        <f t="shared" si="9"/>
        <v>309</v>
      </c>
      <c r="B24" s="2">
        <v>4</v>
      </c>
      <c r="C24" s="114" t="s">
        <v>468</v>
      </c>
      <c r="D24" s="268" t="str">
        <f>VLOOKUP(C24,Purchased!A:B,2,0)</f>
        <v>Carbon Steel Set Screw Collar for 12 mm Shaft Diameter, DIN 705</v>
      </c>
      <c r="E24" s="269"/>
      <c r="F24" s="112" t="str">
        <f>VLOOKUP(C24,Purchased!A:Q,9,0)</f>
        <v>MCM</v>
      </c>
      <c r="G24" s="112" t="str">
        <f>VLOOKUP(C24,Purchased!A:Q,10,0)</f>
        <v>MCM</v>
      </c>
      <c r="H24" s="112" t="str">
        <f>VLOOKUP(C24,Purchased!A:Q,12,0)</f>
        <v xml:space="preserve"> </v>
      </c>
      <c r="I24" s="113"/>
      <c r="J24" s="44" t="str">
        <f>VLOOKUP(C24,Purchased!A:Q,13,0)</f>
        <v>N/A</v>
      </c>
      <c r="K24" s="44">
        <f>VLOOKUP(C24,Purchased!A:Q,14,0)</f>
        <v>45162</v>
      </c>
      <c r="L24" s="44">
        <f>VLOOKUP(C24,Purchased!A:Q,15,0)</f>
        <v>45184</v>
      </c>
      <c r="M24" s="44">
        <f>VLOOKUP(C24,Purchased!A:Q,16,0)</f>
        <v>45166</v>
      </c>
      <c r="N24" s="45">
        <f>VLOOKUP(C24,Purchased!A:Q,17,0)</f>
        <v>55087</v>
      </c>
      <c r="O24" s="45" t="e">
        <f t="shared" ca="1" si="7"/>
        <v>#VALUE!</v>
      </c>
      <c r="P24" s="49">
        <f>IFERROR(VLOOKUP(C24,Purchased!A:E,3,FALSE),"")</f>
        <v>3.14</v>
      </c>
      <c r="Q24" s="50">
        <f t="shared" si="8"/>
        <v>12.56</v>
      </c>
    </row>
    <row r="25" spans="1:17" s="2" customFormat="1" ht="12" customHeight="1">
      <c r="A25" s="4">
        <f t="shared" si="9"/>
        <v>310</v>
      </c>
      <c r="C25" s="114"/>
      <c r="D25" s="268"/>
      <c r="E25" s="269"/>
      <c r="F25" s="112"/>
      <c r="G25" s="112"/>
      <c r="H25" s="112"/>
      <c r="I25" s="113"/>
      <c r="J25" s="44"/>
      <c r="K25" s="44"/>
      <c r="L25" s="44"/>
      <c r="M25" s="44"/>
      <c r="N25" s="45"/>
      <c r="O25" s="45"/>
      <c r="P25" s="49"/>
      <c r="Q25" s="50"/>
    </row>
    <row r="26" spans="1:17" s="2" customFormat="1" ht="12" customHeight="1">
      <c r="A26" s="4">
        <f t="shared" si="9"/>
        <v>311</v>
      </c>
      <c r="B26" s="2">
        <v>4</v>
      </c>
      <c r="C26" s="114" t="s">
        <v>263</v>
      </c>
      <c r="D26" s="268" t="str">
        <f>VLOOKUP(C26,Purchased!A:B,2,0)</f>
        <v>Dowel Pin 52100 Alloy Steel, 10 mm Diameter, 20 mm Long, 10pk</v>
      </c>
      <c r="E26" s="269"/>
      <c r="F26" s="112" t="str">
        <f>VLOOKUP(C26,Purchased!A:Q,9,0)</f>
        <v>MCM</v>
      </c>
      <c r="G26" s="112" t="str">
        <f>VLOOKUP(C26,Purchased!A:Q,10,0)</f>
        <v>MCM</v>
      </c>
      <c r="H26" s="112" t="str">
        <f>VLOOKUP(C26,Purchased!A:Q,12,0)</f>
        <v>Pack of 10</v>
      </c>
      <c r="I26" s="113"/>
      <c r="J26" s="44" t="str">
        <f>VLOOKUP(C26,Purchased!A:Q,13,0)</f>
        <v>N/A</v>
      </c>
      <c r="K26" s="44">
        <f>VLOOKUP(C26,Purchased!A:Q,14,0)</f>
        <v>45162</v>
      </c>
      <c r="L26" s="44">
        <f>VLOOKUP(C26,Purchased!A:Q,15,0)</f>
        <v>45184</v>
      </c>
      <c r="M26" s="44">
        <f>VLOOKUP(C26,Purchased!A:Q,16,0)</f>
        <v>45163</v>
      </c>
      <c r="N26" s="45">
        <f>VLOOKUP(C26,Purchased!A:Q,17,0)</f>
        <v>55088</v>
      </c>
      <c r="O26" s="45" t="e">
        <f t="shared" ref="O26" ca="1" si="10">B26*$L$2</f>
        <v>#VALUE!</v>
      </c>
      <c r="P26" s="49">
        <f>IFERROR(VLOOKUP(C26,Purchased!A:E,3,FALSE),"")</f>
        <v>10.57</v>
      </c>
      <c r="Q26" s="50">
        <f t="shared" ref="Q26" si="11">IFERROR(B26*P26,"")</f>
        <v>42.28</v>
      </c>
    </row>
    <row r="27" spans="1:17" s="2" customFormat="1" ht="12" customHeight="1">
      <c r="A27" s="4">
        <f t="shared" si="9"/>
        <v>312</v>
      </c>
      <c r="B27" s="2">
        <v>1</v>
      </c>
      <c r="C27" s="114" t="s">
        <v>469</v>
      </c>
      <c r="D27" s="268" t="str">
        <f>VLOOKUP(C27,Purchased!A:B,2,0)</f>
        <v>316 Stainless Steel Ring Shim 0.5mm Thick, 8mm ID, 10pk</v>
      </c>
      <c r="E27" s="269"/>
      <c r="F27" s="112" t="str">
        <f>VLOOKUP(C27,Purchased!A:Q,9,0)</f>
        <v>MCM</v>
      </c>
      <c r="G27" s="112" t="str">
        <f>VLOOKUP(C27,Purchased!A:Q,10,0)</f>
        <v>MCM</v>
      </c>
      <c r="H27" s="112" t="str">
        <f>VLOOKUP(C27,Purchased!A:Q,12,0)</f>
        <v>Pack of 10</v>
      </c>
      <c r="I27" s="113"/>
      <c r="J27" s="44" t="str">
        <f>VLOOKUP(C27,Purchased!A:Q,13,0)</f>
        <v>N/A</v>
      </c>
      <c r="K27" s="44">
        <f>VLOOKUP(C27,Purchased!A:Q,14,0)</f>
        <v>45162</v>
      </c>
      <c r="L27" s="44">
        <f>VLOOKUP(C27,Purchased!A:Q,15,0)</f>
        <v>45184</v>
      </c>
      <c r="M27" s="44">
        <f>VLOOKUP(C27,Purchased!A:Q,16,0)</f>
        <v>45163</v>
      </c>
      <c r="N27" s="45">
        <f>VLOOKUP(C27,Purchased!A:Q,17,0)</f>
        <v>55088</v>
      </c>
      <c r="O27" s="45" t="e">
        <f t="shared" ref="O27:O28" ca="1" si="12">B27*$L$2</f>
        <v>#VALUE!</v>
      </c>
      <c r="P27" s="49">
        <f>IFERROR(VLOOKUP(C27,Purchased!A:E,3,FALSE),"")</f>
        <v>12.48</v>
      </c>
      <c r="Q27" s="50">
        <f t="shared" ref="Q27:Q28" si="13">IFERROR(B27*P27,"")</f>
        <v>12.48</v>
      </c>
    </row>
    <row r="28" spans="1:17" s="2" customFormat="1" ht="12" customHeight="1">
      <c r="A28" s="4">
        <f t="shared" si="9"/>
        <v>313</v>
      </c>
      <c r="B28" s="2">
        <v>2</v>
      </c>
      <c r="C28" s="114" t="s">
        <v>470</v>
      </c>
      <c r="D28" s="268" t="str">
        <f>VLOOKUP(C28,Purchased!A:B,2,0)</f>
        <v>Set Screw Shaft Collarfor 8 mm Diameter, Black-Oxide 1215 Carbon Steel</v>
      </c>
      <c r="E28" s="269"/>
      <c r="F28" s="112" t="str">
        <f>VLOOKUP(C28,Purchased!A:Q,9,0)</f>
        <v>MOTION</v>
      </c>
      <c r="G28" s="112" t="str">
        <f>VLOOKUP(C28,Purchased!A:Q,10,0)</f>
        <v>MOTION</v>
      </c>
      <c r="H28" s="112" t="str">
        <f>VLOOKUP(C28,Purchased!A:Q,12,0)</f>
        <v>MCM=57485K67</v>
      </c>
      <c r="I28" s="113"/>
      <c r="J28" s="44" t="str">
        <f>VLOOKUP(C28,Purchased!A:Q,13,0)</f>
        <v>N/A</v>
      </c>
      <c r="K28" s="44">
        <f>VLOOKUP(C28,Purchased!A:Q,14,0)</f>
        <v>45161</v>
      </c>
      <c r="L28" s="44">
        <f>VLOOKUP(C28,Purchased!A:Q,15,0)</f>
        <v>45191</v>
      </c>
      <c r="M28" s="44">
        <f>VLOOKUP(C28,Purchased!A:Q,16,0)</f>
        <v>45191</v>
      </c>
      <c r="N28" s="45">
        <f>VLOOKUP(C28,Purchased!A:Q,17,0)</f>
        <v>55079</v>
      </c>
      <c r="O28" s="45" t="e">
        <f t="shared" ca="1" si="12"/>
        <v>#VALUE!</v>
      </c>
      <c r="P28" s="49">
        <f>IFERROR(VLOOKUP(C28,Purchased!A:E,3,FALSE),"")</f>
        <v>2.17</v>
      </c>
      <c r="Q28" s="50">
        <f t="shared" si="13"/>
        <v>4.34</v>
      </c>
    </row>
    <row r="29" spans="1:17" s="2" customFormat="1" ht="12" customHeight="1">
      <c r="A29" s="4">
        <f t="shared" si="9"/>
        <v>314</v>
      </c>
      <c r="B29" s="2">
        <v>1</v>
      </c>
      <c r="C29" s="114" t="s">
        <v>471</v>
      </c>
      <c r="D29" s="268" t="str">
        <f>VLOOKUP(C29,Purchased!A:B,2,0)</f>
        <v>SMC Compact Guide Rod Cylinder, CQM</v>
      </c>
      <c r="E29" s="269"/>
      <c r="F29" s="112" t="str">
        <f>VLOOKUP(C29,Purchased!A:Q,9,0)</f>
        <v>SMC</v>
      </c>
      <c r="G29" s="112" t="str">
        <f>VLOOKUP(C29,Purchased!A:Q,10,0)</f>
        <v>AAP</v>
      </c>
      <c r="H29" s="112" t="str">
        <f>VLOOKUP(C29,Purchased!A:Q,12,0)</f>
        <v xml:space="preserve"> </v>
      </c>
      <c r="I29" s="113"/>
      <c r="J29" s="44" t="str">
        <f>VLOOKUP(C29,Purchased!A:Q,13,0)</f>
        <v>N/A</v>
      </c>
      <c r="K29" s="44">
        <f>VLOOKUP(C29,Purchased!A:Q,14,0)</f>
        <v>45042</v>
      </c>
      <c r="L29" s="44">
        <f>VLOOKUP(C29,Purchased!A:Q,15,0)</f>
        <v>45098</v>
      </c>
      <c r="M29" s="44">
        <f>VLOOKUP(C29,Purchased!A:Q,16,0)</f>
        <v>45138</v>
      </c>
      <c r="N29" s="45">
        <f>VLOOKUP(C29,Purchased!A:Q,17,0)</f>
        <v>54862</v>
      </c>
      <c r="O29" s="45" t="e">
        <f t="shared" ca="1" si="7"/>
        <v>#VALUE!</v>
      </c>
      <c r="P29" s="49">
        <f>IFERROR(VLOOKUP(C29,Purchased!A:E,3,FALSE),"")</f>
        <v>75.820499999999996</v>
      </c>
      <c r="Q29" s="50">
        <f t="shared" si="8"/>
        <v>75.820499999999996</v>
      </c>
    </row>
    <row r="30" spans="1:17" s="2" customFormat="1" ht="12" customHeight="1">
      <c r="A30" s="4">
        <f t="shared" si="9"/>
        <v>315</v>
      </c>
      <c r="B30" s="2">
        <v>1</v>
      </c>
      <c r="C30" s="114" t="s">
        <v>472</v>
      </c>
      <c r="D30" s="268" t="str">
        <f>VLOOKUP(C30,Purchased!A:B,2,0)</f>
        <v>IGUS DryLin Flange Bearing</v>
      </c>
      <c r="E30" s="269"/>
      <c r="F30" s="112" t="str">
        <f>VLOOKUP(C30,Purchased!A:Q,9,0)</f>
        <v>IGUS</v>
      </c>
      <c r="G30" s="112" t="str">
        <f>VLOOKUP(C30,Purchased!A:Q,10,0)</f>
        <v>IGUS</v>
      </c>
      <c r="H30" s="112" t="str">
        <f>VLOOKUP(C30,Purchased!A:Q,12,0)</f>
        <v xml:space="preserve"> </v>
      </c>
      <c r="I30" s="113"/>
      <c r="J30" s="44">
        <f>VLOOKUP(C30,Purchased!A:Q,13,0)</f>
        <v>45125</v>
      </c>
      <c r="K30" s="44">
        <f>VLOOKUP(C30,Purchased!A:Q,14,0)</f>
        <v>45161</v>
      </c>
      <c r="L30" s="44">
        <f>VLOOKUP(C30,Purchased!A:Q,15,0)</f>
        <v>45191</v>
      </c>
      <c r="M30" s="44">
        <f>VLOOKUP(C30,Purchased!A:Q,16,0)</f>
        <v>45208</v>
      </c>
      <c r="N30" s="45">
        <f>VLOOKUP(C30,Purchased!A:Q,17,0)</f>
        <v>55076</v>
      </c>
      <c r="O30" s="45" t="e">
        <f ca="1">B30*$L$2</f>
        <v>#VALUE!</v>
      </c>
      <c r="P30" s="49">
        <f>IFERROR(VLOOKUP(C30,Purchased!A:E,3,FALSE),"")</f>
        <v>56.73</v>
      </c>
      <c r="Q30" s="50">
        <f>IFERROR(B30*P30,"")</f>
        <v>56.73</v>
      </c>
    </row>
    <row r="31" spans="1:17" s="2" customFormat="1" ht="12" customHeight="1">
      <c r="A31" s="4">
        <f t="shared" si="9"/>
        <v>316</v>
      </c>
      <c r="B31" s="2">
        <v>2</v>
      </c>
      <c r="C31" s="114" t="s">
        <v>473</v>
      </c>
      <c r="D31" s="268" t="str">
        <f>VLOOKUP(C31,Purchased!A:B,2,0)</f>
        <v>SMC FITTING, UNIFIT</v>
      </c>
      <c r="E31" s="269"/>
      <c r="F31" s="112" t="str">
        <f>VLOOKUP(C31,Purchased!A:Q,9,0)</f>
        <v>SMC</v>
      </c>
      <c r="G31" s="112" t="str">
        <f>VLOOKUP(C31,Purchased!A:Q,10,0)</f>
        <v>AAP</v>
      </c>
      <c r="H31" s="112" t="str">
        <f>VLOOKUP(C31,Purchased!A:Q,12,0)</f>
        <v xml:space="preserve">  </v>
      </c>
      <c r="I31" s="113"/>
      <c r="J31" s="44" t="str">
        <f>VLOOKUP(C31,Purchased!A:Q,13,0)</f>
        <v>N/A</v>
      </c>
      <c r="K31" s="44">
        <f>VLOOKUP(C31,Purchased!A:Q,14,0)</f>
        <v>45162</v>
      </c>
      <c r="L31" s="44">
        <f>VLOOKUP(C31,Purchased!A:Q,15,0)</f>
        <v>45184</v>
      </c>
      <c r="M31" s="44">
        <f>VLOOKUP(C31,Purchased!A:Q,16,0)</f>
        <v>45184</v>
      </c>
      <c r="N31" s="45">
        <f>VLOOKUP(C31,Purchased!A:Q,17,0)</f>
        <v>55098</v>
      </c>
      <c r="O31" s="45" t="e">
        <f t="shared" ca="1" si="7"/>
        <v>#VALUE!</v>
      </c>
      <c r="P31" s="49">
        <f>IFERROR(VLOOKUP(C31,Purchased!A:E,3,FALSE),"")</f>
        <v>1.3867</v>
      </c>
      <c r="Q31" s="50">
        <f t="shared" si="8"/>
        <v>2.7734000000000001</v>
      </c>
    </row>
    <row r="32" spans="1:17" s="2" customFormat="1" ht="12" customHeight="1">
      <c r="A32" s="4">
        <f t="shared" si="9"/>
        <v>317</v>
      </c>
      <c r="B32" s="2">
        <v>3</v>
      </c>
      <c r="C32" s="114" t="s">
        <v>474</v>
      </c>
      <c r="D32" s="268" t="str">
        <f>VLOOKUP(C32,Purchased!A:B,2,0)</f>
        <v>Ball Bearing Open, Trade Number 608, for 8 mm Shaft Diameter</v>
      </c>
      <c r="E32" s="269"/>
      <c r="F32" s="112" t="str">
        <f>VLOOKUP(C32,Purchased!A:Q,9,0)</f>
        <v>MCM</v>
      </c>
      <c r="G32" s="112" t="str">
        <f>VLOOKUP(C32,Purchased!A:Q,10,0)</f>
        <v>MCM</v>
      </c>
      <c r="H32" s="112" t="str">
        <f>VLOOKUP(C32,Purchased!A:Q,12,0)</f>
        <v xml:space="preserve"> </v>
      </c>
      <c r="I32" s="113"/>
      <c r="J32" s="44" t="str">
        <f>VLOOKUP(C32,Purchased!A:Q,13,0)</f>
        <v>N/A</v>
      </c>
      <c r="K32" s="44">
        <f>VLOOKUP(C32,Purchased!A:Q,14,0)</f>
        <v>45162</v>
      </c>
      <c r="L32" s="44">
        <f>VLOOKUP(C32,Purchased!A:Q,15,0)</f>
        <v>45189</v>
      </c>
      <c r="M32" s="44">
        <f>VLOOKUP(C32,Purchased!A:Q,16,0)</f>
        <v>45189</v>
      </c>
      <c r="N32" s="45" t="str">
        <f>VLOOKUP(C32,Purchased!A:Q,17,0)</f>
        <v>55087, 55152</v>
      </c>
      <c r="O32" s="45" t="e">
        <f t="shared" ref="O32" ca="1" si="14">B32*$L$2</f>
        <v>#VALUE!</v>
      </c>
      <c r="P32" s="49">
        <f>IFERROR(VLOOKUP(C32,Purchased!A:E,3,FALSE),"")</f>
        <v>4.82</v>
      </c>
      <c r="Q32" s="50">
        <f t="shared" ref="Q32" si="15">IFERROR(B32*P32,"")</f>
        <v>14.46</v>
      </c>
    </row>
    <row r="33" spans="1:17" s="2" customFormat="1" ht="12" customHeight="1">
      <c r="A33" s="4">
        <f t="shared" si="9"/>
        <v>318</v>
      </c>
      <c r="B33" s="2">
        <v>1</v>
      </c>
      <c r="C33" s="114" t="s">
        <v>475</v>
      </c>
      <c r="D33" s="268" t="str">
        <f>VLOOKUP(C33,Purchased!A:B,2,0)</f>
        <v>Swivel-in M6 sliding block T-Slot N10</v>
      </c>
      <c r="E33" s="269"/>
      <c r="F33" s="112" t="str">
        <f>VLOOKUP(C33,Purchased!A:Q,9,0)</f>
        <v>BRX</v>
      </c>
      <c r="G33" s="112" t="str">
        <f>VLOOKUP(C33,Purchased!A:Q,10,0)</f>
        <v>AAP</v>
      </c>
      <c r="H33" s="112" t="str">
        <f>VLOOKUP(C33,Purchased!A:Q,12,0)</f>
        <v>1+ IN STOCK</v>
      </c>
      <c r="I33" s="113"/>
      <c r="J33" s="44">
        <f>VLOOKUP(C33,Purchased!A:Q,13,0)</f>
        <v>0</v>
      </c>
      <c r="K33" s="44">
        <f>VLOOKUP(C33,Purchased!A:Q,14,0)</f>
        <v>0</v>
      </c>
      <c r="L33" s="44">
        <f>VLOOKUP(C33,Purchased!A:Q,15,0)</f>
        <v>0</v>
      </c>
      <c r="M33" s="44">
        <f>VLOOKUP(C33,Purchased!A:Q,16,0)</f>
        <v>0</v>
      </c>
      <c r="N33" s="45">
        <f>VLOOKUP(C33,Purchased!A:Q,17,0)</f>
        <v>0</v>
      </c>
      <c r="O33" s="45" t="e">
        <f t="shared" ref="O33" ca="1" si="16">B33*$L$2</f>
        <v>#VALUE!</v>
      </c>
      <c r="P33" s="49">
        <f>IFERROR(VLOOKUP(C33,Purchased!A:E,3,FALSE),"")</f>
        <v>0.97140000000000004</v>
      </c>
      <c r="Q33" s="50">
        <f t="shared" ref="Q33" si="17">IFERROR(B33*P33,"")</f>
        <v>0.97140000000000004</v>
      </c>
    </row>
    <row r="34" spans="1:17" s="2" customFormat="1" ht="12" customHeight="1">
      <c r="A34" s="4">
        <f t="shared" si="9"/>
        <v>319</v>
      </c>
      <c r="B34" s="2">
        <v>2</v>
      </c>
      <c r="C34" s="114" t="s">
        <v>476</v>
      </c>
      <c r="D34" s="268" t="str">
        <f>VLOOKUP(C34,Purchased!A:B,2,0)</f>
        <v>SMC Inline Solid PNP Direct</v>
      </c>
      <c r="E34" s="269"/>
      <c r="F34" s="112" t="str">
        <f>VLOOKUP(C34,Purchased!A:Q,9,0)</f>
        <v>SMC</v>
      </c>
      <c r="G34" s="112" t="str">
        <f>VLOOKUP(C34,Purchased!A:Q,10,0)</f>
        <v>AAP</v>
      </c>
      <c r="H34" s="112" t="str">
        <f>VLOOKUP(C34,Purchased!A:Q,12,0)</f>
        <v xml:space="preserve"> </v>
      </c>
      <c r="I34" s="113"/>
      <c r="J34" s="44" t="str">
        <f>VLOOKUP(C34,Purchased!A:Q,13,0)</f>
        <v>N/A</v>
      </c>
      <c r="K34" s="44">
        <f>VLOOKUP(C34,Purchased!A:Q,14,0)</f>
        <v>45162</v>
      </c>
      <c r="L34" s="44">
        <f>VLOOKUP(C34,Purchased!A:Q,15,0)</f>
        <v>45184</v>
      </c>
      <c r="M34" s="44">
        <f>VLOOKUP(C34,Purchased!A:Q,16,0)</f>
        <v>45180</v>
      </c>
      <c r="N34" s="45">
        <f>VLOOKUP(C34,Purchased!A:Q,17,0)</f>
        <v>55037</v>
      </c>
      <c r="O34" s="45" t="e">
        <f t="shared" ref="O34:O35" ca="1" si="18">B34*$L$2</f>
        <v>#VALUE!</v>
      </c>
      <c r="P34" s="49">
        <f>IFERROR(VLOOKUP(C34,Purchased!A:E,3,FALSE),"")</f>
        <v>37.226700000000001</v>
      </c>
      <c r="Q34" s="50">
        <f t="shared" ref="Q34:Q35" si="19">IFERROR(B34*P34,"")</f>
        <v>74.453400000000002</v>
      </c>
    </row>
    <row r="35" spans="1:17" s="2" customFormat="1" ht="12" customHeight="1">
      <c r="A35" s="4">
        <f t="shared" si="9"/>
        <v>320</v>
      </c>
      <c r="B35" s="2">
        <v>2</v>
      </c>
      <c r="C35" s="114" t="s">
        <v>477</v>
      </c>
      <c r="D35" s="268" t="str">
        <f>VLOOKUP(C35,Purchased!A:B,2,0)</f>
        <v>MURR M8 Female, 0deg A-Coded, 3-Pin, w/ Cable</v>
      </c>
      <c r="E35" s="269"/>
      <c r="F35" s="112" t="str">
        <f>VLOOKUP(C35,Purchased!A:Q,9,0)</f>
        <v>MURR</v>
      </c>
      <c r="G35" s="112" t="str">
        <f>VLOOKUP(C35,Purchased!A:Q,10,0)</f>
        <v>MURR</v>
      </c>
      <c r="H35" s="112" t="str">
        <f>VLOOKUP(C35,Purchased!A:Q,12,0)</f>
        <v xml:space="preserve">  </v>
      </c>
      <c r="I35" s="113"/>
      <c r="J35" s="44">
        <f>VLOOKUP(C35,Purchased!A:Q,13,0)</f>
        <v>45161</v>
      </c>
      <c r="K35" s="44">
        <f>VLOOKUP(C35,Purchased!A:Q,14,0)</f>
        <v>45162</v>
      </c>
      <c r="L35" s="44">
        <f>VLOOKUP(C35,Purchased!A:Q,15,0)</f>
        <v>45184</v>
      </c>
      <c r="M35" s="44">
        <f>VLOOKUP(C35,Purchased!A:Q,16,0)</f>
        <v>45184</v>
      </c>
      <c r="N35" s="45">
        <f>VLOOKUP(C35,Purchased!A:Q,17,0)</f>
        <v>55080</v>
      </c>
      <c r="O35" s="45" t="e">
        <f t="shared" ca="1" si="18"/>
        <v>#VALUE!</v>
      </c>
      <c r="P35" s="49">
        <f>IFERROR(VLOOKUP(C35,Purchased!A:E,3,FALSE),"")</f>
        <v>21.52</v>
      </c>
      <c r="Q35" s="50">
        <f t="shared" si="19"/>
        <v>43.04</v>
      </c>
    </row>
    <row r="36" spans="1:17" s="2" customFormat="1" ht="12.75" customHeight="1">
      <c r="A36" s="25"/>
      <c r="B36" s="26"/>
      <c r="C36" s="26"/>
      <c r="D36" s="272"/>
      <c r="E36" s="273"/>
      <c r="F36" s="26"/>
      <c r="G36" s="26"/>
      <c r="H36" s="274"/>
      <c r="I36" s="275"/>
      <c r="J36" s="27"/>
      <c r="K36" s="27"/>
      <c r="L36" s="27"/>
      <c r="M36" s="28"/>
      <c r="N36" s="29"/>
      <c r="O36" s="29" t="e">
        <f t="shared" ref="O36:O44" ca="1" si="20">B36*$L$2</f>
        <v>#VALUE!</v>
      </c>
      <c r="P36" s="141"/>
      <c r="Q36" s="142"/>
    </row>
    <row r="37" spans="1:17" s="2" customFormat="1" ht="12.75" customHeight="1">
      <c r="A37" s="4">
        <v>501</v>
      </c>
      <c r="B37" s="2">
        <v>4</v>
      </c>
      <c r="C37" s="110" t="s">
        <v>478</v>
      </c>
      <c r="D37" s="268"/>
      <c r="E37" s="276"/>
      <c r="F37" s="112" t="str">
        <f>VLOOKUP(C37,Bolts!A:L,5,0)</f>
        <v xml:space="preserve">  </v>
      </c>
      <c r="G37" s="112" t="str">
        <f>VLOOKUP(C37,Bolts!A:L,6,0)</f>
        <v>Monroe Fasteners</v>
      </c>
      <c r="H37" s="112" t="str">
        <f>VLOOKUP(C37,Bolts!A:L,7,0)</f>
        <v xml:space="preserve">  </v>
      </c>
      <c r="I37" s="112"/>
      <c r="J37" s="44" t="str">
        <f>VLOOKUP(C37,Bolts!A:L,8,0)</f>
        <v xml:space="preserve"> </v>
      </c>
      <c r="K37" s="44" t="str">
        <f>VLOOKUP(C37,Bolts!A:L,9,0)</f>
        <v xml:space="preserve"> </v>
      </c>
      <c r="L37" s="44" t="str">
        <f>VLOOKUP(C37,Bolts!A:L,10,0)</f>
        <v xml:space="preserve"> </v>
      </c>
      <c r="M37" s="44" t="str">
        <f>VLOOKUP(C37,Bolts!A:L,11,0)</f>
        <v xml:space="preserve"> </v>
      </c>
      <c r="N37" s="45" t="str">
        <f>VLOOKUP(C37,Bolts!A:L,12,0)</f>
        <v xml:space="preserve"> </v>
      </c>
      <c r="O37" s="45" t="e">
        <f t="shared" ca="1" si="20"/>
        <v>#VALUE!</v>
      </c>
      <c r="P37" s="49" t="str">
        <f>IFERROR(VLOOKUP(C37,Bolts!A:B,2,FALSE),"")</f>
        <v xml:space="preserve"> </v>
      </c>
      <c r="Q37" s="50" t="str">
        <f t="shared" ref="Q37:Q44" si="21">IFERROR(B37*P37,"")</f>
        <v/>
      </c>
    </row>
    <row r="38" spans="1:17" s="2" customFormat="1" ht="12.75" customHeight="1">
      <c r="A38" s="4">
        <f t="shared" ref="A38:A48" si="22">A37+1</f>
        <v>502</v>
      </c>
      <c r="B38" s="2">
        <v>2</v>
      </c>
      <c r="C38" s="110" t="s">
        <v>311</v>
      </c>
      <c r="D38" s="268"/>
      <c r="E38" s="276"/>
      <c r="F38" s="112" t="str">
        <f>VLOOKUP(C38,Bolts!A:L,5,0)</f>
        <v xml:space="preserve">  </v>
      </c>
      <c r="G38" s="112" t="str">
        <f>VLOOKUP(C38,Bolts!A:L,6,0)</f>
        <v>Monroe Fasteners</v>
      </c>
      <c r="H38" s="112" t="str">
        <f>VLOOKUP(C38,Bolts!A:L,7,0)</f>
        <v xml:space="preserve">  </v>
      </c>
      <c r="I38" s="112"/>
      <c r="J38" s="44" t="str">
        <f>VLOOKUP(C38,Bolts!A:L,8,0)</f>
        <v xml:space="preserve"> </v>
      </c>
      <c r="K38" s="44" t="str">
        <f>VLOOKUP(C38,Bolts!A:L,9,0)</f>
        <v xml:space="preserve"> </v>
      </c>
      <c r="L38" s="44" t="str">
        <f>VLOOKUP(C38,Bolts!A:L,10,0)</f>
        <v xml:space="preserve"> </v>
      </c>
      <c r="M38" s="44" t="str">
        <f>VLOOKUP(C38,Bolts!A:L,11,0)</f>
        <v xml:space="preserve"> </v>
      </c>
      <c r="N38" s="45" t="str">
        <f>VLOOKUP(C38,Bolts!A:L,12,0)</f>
        <v xml:space="preserve"> </v>
      </c>
      <c r="O38" s="45" t="e">
        <f t="shared" ca="1" si="20"/>
        <v>#VALUE!</v>
      </c>
      <c r="P38" s="49" t="str">
        <f>IFERROR(VLOOKUP(C38,Bolts!A:B,2,FALSE),"")</f>
        <v xml:space="preserve"> </v>
      </c>
      <c r="Q38" s="50" t="str">
        <f t="shared" si="21"/>
        <v/>
      </c>
    </row>
    <row r="39" spans="1:17" s="2" customFormat="1" ht="12" customHeight="1">
      <c r="A39" s="4">
        <f t="shared" si="22"/>
        <v>503</v>
      </c>
      <c r="B39" s="2">
        <v>4</v>
      </c>
      <c r="C39" s="110" t="s">
        <v>342</v>
      </c>
      <c r="D39" s="268"/>
      <c r="E39" s="276"/>
      <c r="F39" s="112" t="str">
        <f>VLOOKUP(C39,Bolts!A:L,5,0)</f>
        <v xml:space="preserve">  </v>
      </c>
      <c r="G39" s="112" t="str">
        <f>VLOOKUP(C39,Bolts!A:L,6,0)</f>
        <v>Monroe Fasteners</v>
      </c>
      <c r="H39" s="112" t="str">
        <f>VLOOKUP(C39,Bolts!A:L,7,0)</f>
        <v xml:space="preserve">  </v>
      </c>
      <c r="I39" s="112"/>
      <c r="J39" s="44" t="str">
        <f>VLOOKUP(C39,Bolts!A:L,8,0)</f>
        <v xml:space="preserve"> </v>
      </c>
      <c r="K39" s="44" t="str">
        <f>VLOOKUP(C39,Bolts!A:L,9,0)</f>
        <v xml:space="preserve"> </v>
      </c>
      <c r="L39" s="44" t="str">
        <f>VLOOKUP(C39,Bolts!A:L,10,0)</f>
        <v xml:space="preserve"> </v>
      </c>
      <c r="M39" s="44" t="str">
        <f>VLOOKUP(C39,Bolts!A:L,11,0)</f>
        <v xml:space="preserve"> </v>
      </c>
      <c r="N39" s="45" t="str">
        <f>VLOOKUP(C39,Bolts!A:L,12,0)</f>
        <v xml:space="preserve"> </v>
      </c>
      <c r="O39" s="45" t="e">
        <f t="shared" ca="1" si="20"/>
        <v>#VALUE!</v>
      </c>
      <c r="P39" s="49" t="str">
        <f>IFERROR(VLOOKUP(C39,Bolts!A:B,2,FALSE),"")</f>
        <v xml:space="preserve"> </v>
      </c>
      <c r="Q39" s="50" t="str">
        <f t="shared" si="21"/>
        <v/>
      </c>
    </row>
    <row r="40" spans="1:17" s="2" customFormat="1" ht="12" customHeight="1">
      <c r="A40" s="4">
        <f t="shared" si="22"/>
        <v>504</v>
      </c>
      <c r="B40" s="2">
        <v>4</v>
      </c>
      <c r="C40" s="110" t="s">
        <v>454</v>
      </c>
      <c r="D40" s="268"/>
      <c r="E40" s="276"/>
      <c r="F40" s="112" t="str">
        <f>VLOOKUP(C40,Bolts!A:L,5,0)</f>
        <v xml:space="preserve">  </v>
      </c>
      <c r="G40" s="112" t="str">
        <f>VLOOKUP(C40,Bolts!A:L,6,0)</f>
        <v>Monroe Fasteners</v>
      </c>
      <c r="H40" s="112" t="str">
        <f>VLOOKUP(C40,Bolts!A:L,7,0)</f>
        <v xml:space="preserve">  </v>
      </c>
      <c r="I40" s="112"/>
      <c r="J40" s="44" t="str">
        <f>VLOOKUP(C40,Bolts!A:L,8,0)</f>
        <v xml:space="preserve"> </v>
      </c>
      <c r="K40" s="44" t="str">
        <f>VLOOKUP(C40,Bolts!A:L,9,0)</f>
        <v xml:space="preserve"> </v>
      </c>
      <c r="L40" s="44" t="str">
        <f>VLOOKUP(C40,Bolts!A:L,10,0)</f>
        <v xml:space="preserve"> </v>
      </c>
      <c r="M40" s="44" t="str">
        <f>VLOOKUP(C40,Bolts!A:L,11,0)</f>
        <v xml:space="preserve"> </v>
      </c>
      <c r="N40" s="45" t="str">
        <f>VLOOKUP(C40,Bolts!A:L,12,0)</f>
        <v xml:space="preserve"> </v>
      </c>
      <c r="O40" s="45" t="e">
        <f t="shared" ca="1" si="20"/>
        <v>#VALUE!</v>
      </c>
      <c r="P40" s="49" t="str">
        <f>IFERROR(VLOOKUP(C40,Bolts!A:B,2,FALSE),"")</f>
        <v xml:space="preserve"> </v>
      </c>
      <c r="Q40" s="50" t="str">
        <f t="shared" si="21"/>
        <v/>
      </c>
    </row>
    <row r="41" spans="1:17" s="2" customFormat="1" ht="12" customHeight="1">
      <c r="A41" s="4">
        <f t="shared" si="22"/>
        <v>505</v>
      </c>
      <c r="B41" s="2">
        <v>2</v>
      </c>
      <c r="C41" s="110" t="s">
        <v>278</v>
      </c>
      <c r="D41" s="268"/>
      <c r="E41" s="276"/>
      <c r="F41" s="112" t="str">
        <f>VLOOKUP(C41,Bolts!A:L,5,0)</f>
        <v xml:space="preserve">  </v>
      </c>
      <c r="G41" s="112" t="str">
        <f>VLOOKUP(C41,Bolts!A:L,6,0)</f>
        <v>Monroe Fasteners</v>
      </c>
      <c r="H41" s="112" t="str">
        <f>VLOOKUP(C41,Bolts!A:L,7,0)</f>
        <v xml:space="preserve">  </v>
      </c>
      <c r="I41" s="112"/>
      <c r="J41" s="44" t="str">
        <f>VLOOKUP(C41,Bolts!A:L,8,0)</f>
        <v xml:space="preserve"> </v>
      </c>
      <c r="K41" s="44" t="str">
        <f>VLOOKUP(C41,Bolts!A:L,9,0)</f>
        <v xml:space="preserve"> </v>
      </c>
      <c r="L41" s="44" t="str">
        <f>VLOOKUP(C41,Bolts!A:L,10,0)</f>
        <v xml:space="preserve"> </v>
      </c>
      <c r="M41" s="44" t="str">
        <f>VLOOKUP(C41,Bolts!A:L,11,0)</f>
        <v xml:space="preserve"> </v>
      </c>
      <c r="N41" s="45" t="str">
        <f>VLOOKUP(C41,Bolts!A:L,12,0)</f>
        <v xml:space="preserve"> </v>
      </c>
      <c r="O41" s="45" t="e">
        <f t="shared" ca="1" si="20"/>
        <v>#VALUE!</v>
      </c>
      <c r="P41" s="49" t="str">
        <f>IFERROR(VLOOKUP(C41,Bolts!A:B,2,FALSE),"")</f>
        <v xml:space="preserve"> </v>
      </c>
      <c r="Q41" s="50" t="str">
        <f t="shared" si="21"/>
        <v/>
      </c>
    </row>
    <row r="42" spans="1:17" s="2" customFormat="1" ht="12" customHeight="1">
      <c r="A42" s="4">
        <f t="shared" si="22"/>
        <v>506</v>
      </c>
      <c r="B42" s="2">
        <v>2</v>
      </c>
      <c r="C42" s="110" t="s">
        <v>479</v>
      </c>
      <c r="D42" s="268"/>
      <c r="E42" s="276"/>
      <c r="F42" s="112" t="str">
        <f>VLOOKUP(C42,Bolts!A:L,5,0)</f>
        <v xml:space="preserve">  </v>
      </c>
      <c r="G42" s="112" t="str">
        <f>VLOOKUP(C42,Bolts!A:L,6,0)</f>
        <v>Monroe Fasteners</v>
      </c>
      <c r="H42" s="112" t="str">
        <f>VLOOKUP(C42,Bolts!A:L,7,0)</f>
        <v xml:space="preserve">  </v>
      </c>
      <c r="I42" s="112"/>
      <c r="J42" s="44" t="str">
        <f>VLOOKUP(C42,Bolts!A:L,8,0)</f>
        <v xml:space="preserve"> </v>
      </c>
      <c r="K42" s="44" t="str">
        <f>VLOOKUP(C42,Bolts!A:L,9,0)</f>
        <v xml:space="preserve"> </v>
      </c>
      <c r="L42" s="44" t="str">
        <f>VLOOKUP(C42,Bolts!A:L,10,0)</f>
        <v xml:space="preserve"> </v>
      </c>
      <c r="M42" s="44" t="str">
        <f>VLOOKUP(C42,Bolts!A:L,11,0)</f>
        <v xml:space="preserve"> </v>
      </c>
      <c r="N42" s="45" t="str">
        <f>VLOOKUP(C42,Bolts!A:L,12,0)</f>
        <v xml:space="preserve"> </v>
      </c>
      <c r="O42" s="45" t="e">
        <f t="shared" ca="1" si="20"/>
        <v>#VALUE!</v>
      </c>
      <c r="P42" s="49" t="str">
        <f>IFERROR(VLOOKUP(C42,Bolts!A:B,2,FALSE),"")</f>
        <v xml:space="preserve"> </v>
      </c>
      <c r="Q42" s="50" t="str">
        <f t="shared" si="21"/>
        <v/>
      </c>
    </row>
    <row r="43" spans="1:17" s="2" customFormat="1" ht="12" customHeight="1">
      <c r="A43" s="4">
        <f t="shared" si="22"/>
        <v>507</v>
      </c>
      <c r="B43" s="2">
        <v>12</v>
      </c>
      <c r="C43" s="110" t="s">
        <v>257</v>
      </c>
      <c r="D43" s="268"/>
      <c r="E43" s="276"/>
      <c r="F43" s="112" t="str">
        <f>VLOOKUP(C43,Bolts!A:L,5,0)</f>
        <v xml:space="preserve">  </v>
      </c>
      <c r="G43" s="112" t="str">
        <f>VLOOKUP(C43,Bolts!A:L,6,0)</f>
        <v>Monroe Fasteners</v>
      </c>
      <c r="H43" s="112" t="str">
        <f>VLOOKUP(C43,Bolts!A:L,7,0)</f>
        <v xml:space="preserve">  </v>
      </c>
      <c r="I43" s="112"/>
      <c r="J43" s="44" t="str">
        <f>VLOOKUP(C43,Bolts!A:L,8,0)</f>
        <v xml:space="preserve"> </v>
      </c>
      <c r="K43" s="44" t="str">
        <f>VLOOKUP(C43,Bolts!A:L,9,0)</f>
        <v xml:space="preserve"> </v>
      </c>
      <c r="L43" s="44" t="str">
        <f>VLOOKUP(C43,Bolts!A:L,10,0)</f>
        <v xml:space="preserve"> </v>
      </c>
      <c r="M43" s="44" t="str">
        <f>VLOOKUP(C43,Bolts!A:L,11,0)</f>
        <v xml:space="preserve"> </v>
      </c>
      <c r="N43" s="45" t="str">
        <f>VLOOKUP(C43,Bolts!A:L,12,0)</f>
        <v xml:space="preserve"> </v>
      </c>
      <c r="O43" s="45" t="e">
        <f ca="1">B43*$L$2</f>
        <v>#VALUE!</v>
      </c>
      <c r="P43" s="49" t="str">
        <f>IFERROR(VLOOKUP(C43,Bolts!A:B,2,FALSE),"")</f>
        <v xml:space="preserve"> </v>
      </c>
      <c r="Q43" s="50" t="str">
        <f>IFERROR(B43*P43,"")</f>
        <v/>
      </c>
    </row>
    <row r="44" spans="1:17" s="2" customFormat="1" ht="12" customHeight="1">
      <c r="A44" s="4">
        <f t="shared" si="22"/>
        <v>508</v>
      </c>
      <c r="B44" s="2">
        <v>2</v>
      </c>
      <c r="C44" s="110" t="s">
        <v>287</v>
      </c>
      <c r="D44" s="268"/>
      <c r="E44" s="276"/>
      <c r="F44" s="112" t="str">
        <f>VLOOKUP(C44,Bolts!A:L,5,0)</f>
        <v xml:space="preserve">  </v>
      </c>
      <c r="G44" s="112" t="str">
        <f>VLOOKUP(C44,Bolts!A:L,6,0)</f>
        <v>Monroe Fasteners</v>
      </c>
      <c r="H44" s="112" t="str">
        <f>VLOOKUP(C44,Bolts!A:L,7,0)</f>
        <v xml:space="preserve">  </v>
      </c>
      <c r="I44" s="112"/>
      <c r="J44" s="44" t="str">
        <f>VLOOKUP(C44,Bolts!A:L,8,0)</f>
        <v xml:space="preserve"> </v>
      </c>
      <c r="K44" s="44" t="str">
        <f>VLOOKUP(C44,Bolts!A:L,9,0)</f>
        <v xml:space="preserve"> </v>
      </c>
      <c r="L44" s="44" t="str">
        <f>VLOOKUP(C44,Bolts!A:L,10,0)</f>
        <v xml:space="preserve"> </v>
      </c>
      <c r="M44" s="44" t="str">
        <f>VLOOKUP(C44,Bolts!A:L,11,0)</f>
        <v xml:space="preserve"> </v>
      </c>
      <c r="N44" s="45" t="str">
        <f>VLOOKUP(C44,Bolts!A:L,12,0)</f>
        <v xml:space="preserve"> </v>
      </c>
      <c r="O44" s="45" t="e">
        <f t="shared" ca="1" si="20"/>
        <v>#VALUE!</v>
      </c>
      <c r="P44" s="49" t="str">
        <f>IFERROR(VLOOKUP(C44,Bolts!A:B,2,FALSE),"")</f>
        <v xml:space="preserve"> </v>
      </c>
      <c r="Q44" s="50" t="str">
        <f t="shared" si="21"/>
        <v/>
      </c>
    </row>
    <row r="45" spans="1:17" s="2" customFormat="1" ht="12" customHeight="1">
      <c r="A45" s="4">
        <f t="shared" si="22"/>
        <v>509</v>
      </c>
      <c r="B45" s="2">
        <v>2</v>
      </c>
      <c r="C45" s="110" t="s">
        <v>480</v>
      </c>
      <c r="D45" s="268"/>
      <c r="E45" s="276"/>
      <c r="F45" s="112" t="str">
        <f>VLOOKUP(C45,Bolts!A:L,5,0)</f>
        <v xml:space="preserve">  </v>
      </c>
      <c r="G45" s="112" t="str">
        <f>VLOOKUP(C45,Bolts!A:L,6,0)</f>
        <v>Monroe Fasteners</v>
      </c>
      <c r="H45" s="112" t="str">
        <f>VLOOKUP(C45,Bolts!A:L,7,0)</f>
        <v xml:space="preserve">  </v>
      </c>
      <c r="I45" s="112"/>
      <c r="J45" s="44" t="str">
        <f>VLOOKUP(C45,Bolts!A:L,8,0)</f>
        <v xml:space="preserve"> </v>
      </c>
      <c r="K45" s="44" t="str">
        <f>VLOOKUP(C45,Bolts!A:L,9,0)</f>
        <v xml:space="preserve"> </v>
      </c>
      <c r="L45" s="44" t="str">
        <f>VLOOKUP(C45,Bolts!A:L,10,0)</f>
        <v xml:space="preserve"> </v>
      </c>
      <c r="M45" s="44" t="str">
        <f>VLOOKUP(C45,Bolts!A:L,11,0)</f>
        <v xml:space="preserve"> </v>
      </c>
      <c r="N45" s="45" t="str">
        <f>VLOOKUP(C45,Bolts!A:L,12,0)</f>
        <v xml:space="preserve"> </v>
      </c>
      <c r="O45" s="45" t="e">
        <f t="shared" ref="O45:O48" ca="1" si="23">B45*$L$2</f>
        <v>#VALUE!</v>
      </c>
      <c r="P45" s="49" t="str">
        <f>IFERROR(VLOOKUP(C45,Bolts!A:B,2,FALSE),"")</f>
        <v xml:space="preserve"> </v>
      </c>
      <c r="Q45" s="50" t="str">
        <f t="shared" ref="Q45:Q48" si="24">IFERROR(B45*P45,"")</f>
        <v/>
      </c>
    </row>
    <row r="46" spans="1:17" s="2" customFormat="1" ht="12" customHeight="1">
      <c r="A46" s="4">
        <f t="shared" si="22"/>
        <v>510</v>
      </c>
      <c r="B46" s="2">
        <v>1</v>
      </c>
      <c r="C46" s="110" t="s">
        <v>450</v>
      </c>
      <c r="D46" s="268"/>
      <c r="E46" s="276"/>
      <c r="F46" s="112" t="str">
        <f>VLOOKUP(C46,Bolts!A:L,5,0)</f>
        <v xml:space="preserve">  </v>
      </c>
      <c r="G46" s="112" t="str">
        <f>VLOOKUP(C46,Bolts!A:L,6,0)</f>
        <v>Monroe Fasteners</v>
      </c>
      <c r="H46" s="112" t="str">
        <f>VLOOKUP(C46,Bolts!A:L,7,0)</f>
        <v xml:space="preserve">  </v>
      </c>
      <c r="I46" s="112"/>
      <c r="J46" s="44" t="str">
        <f>VLOOKUP(C46,Bolts!A:L,8,0)</f>
        <v xml:space="preserve"> </v>
      </c>
      <c r="K46" s="44" t="str">
        <f>VLOOKUP(C46,Bolts!A:L,9,0)</f>
        <v xml:space="preserve"> </v>
      </c>
      <c r="L46" s="44" t="str">
        <f>VLOOKUP(C46,Bolts!A:L,10,0)</f>
        <v xml:space="preserve"> </v>
      </c>
      <c r="M46" s="44" t="str">
        <f>VLOOKUP(C46,Bolts!A:L,11,0)</f>
        <v xml:space="preserve"> </v>
      </c>
      <c r="N46" s="45" t="str">
        <f>VLOOKUP(C46,Bolts!A:L,12,0)</f>
        <v xml:space="preserve"> </v>
      </c>
      <c r="O46" s="45" t="e">
        <f t="shared" ca="1" si="23"/>
        <v>#VALUE!</v>
      </c>
      <c r="P46" s="49" t="str">
        <f>IFERROR(VLOOKUP(C46,Bolts!A:B,2,FALSE),"")</f>
        <v xml:space="preserve"> </v>
      </c>
      <c r="Q46" s="50" t="str">
        <f t="shared" si="24"/>
        <v/>
      </c>
    </row>
    <row r="47" spans="1:17" s="2" customFormat="1" ht="12" customHeight="1">
      <c r="A47" s="4">
        <f t="shared" si="22"/>
        <v>511</v>
      </c>
      <c r="B47" s="2">
        <v>1</v>
      </c>
      <c r="C47" s="110" t="s">
        <v>481</v>
      </c>
      <c r="D47" s="268"/>
      <c r="E47" s="276"/>
      <c r="F47" s="112" t="str">
        <f>VLOOKUP(C47,Bolts!A:L,5,0)</f>
        <v xml:space="preserve">  </v>
      </c>
      <c r="G47" s="112" t="str">
        <f>VLOOKUP(C47,Bolts!A:L,6,0)</f>
        <v>Monroe Fasteners</v>
      </c>
      <c r="H47" s="112" t="str">
        <f>VLOOKUP(C47,Bolts!A:L,7,0)</f>
        <v xml:space="preserve">  </v>
      </c>
      <c r="I47" s="112"/>
      <c r="J47" s="44" t="str">
        <f>VLOOKUP(C47,Bolts!A:L,8,0)</f>
        <v xml:space="preserve"> </v>
      </c>
      <c r="K47" s="44" t="str">
        <f>VLOOKUP(C47,Bolts!A:L,9,0)</f>
        <v xml:space="preserve"> </v>
      </c>
      <c r="L47" s="44" t="str">
        <f>VLOOKUP(C47,Bolts!A:L,10,0)</f>
        <v xml:space="preserve"> </v>
      </c>
      <c r="M47" s="44" t="str">
        <f>VLOOKUP(C47,Bolts!A:L,11,0)</f>
        <v xml:space="preserve"> </v>
      </c>
      <c r="N47" s="45" t="str">
        <f>VLOOKUP(C47,Bolts!A:L,12,0)</f>
        <v xml:space="preserve"> </v>
      </c>
      <c r="O47" s="45" t="e">
        <f t="shared" ca="1" si="23"/>
        <v>#VALUE!</v>
      </c>
      <c r="P47" s="49" t="str">
        <f>IFERROR(VLOOKUP(C47,Bolts!A:B,2,FALSE),"")</f>
        <v xml:space="preserve"> </v>
      </c>
      <c r="Q47" s="50" t="str">
        <f t="shared" si="24"/>
        <v/>
      </c>
    </row>
    <row r="48" spans="1:17" s="2" customFormat="1" ht="12" customHeight="1">
      <c r="A48" s="4">
        <f t="shared" si="22"/>
        <v>512</v>
      </c>
      <c r="B48" s="2">
        <v>3</v>
      </c>
      <c r="C48" s="110" t="s">
        <v>482</v>
      </c>
      <c r="D48" s="268"/>
      <c r="E48" s="276"/>
      <c r="F48" s="112" t="str">
        <f>VLOOKUP(C48,Bolts!A:L,5,0)</f>
        <v xml:space="preserve">  </v>
      </c>
      <c r="G48" s="112" t="str">
        <f>VLOOKUP(C48,Bolts!A:L,6,0)</f>
        <v>Monroe Fasteners</v>
      </c>
      <c r="H48" s="112" t="str">
        <f>VLOOKUP(C48,Bolts!A:L,7,0)</f>
        <v xml:space="preserve">  </v>
      </c>
      <c r="I48" s="112"/>
      <c r="J48" s="44" t="str">
        <f>VLOOKUP(C48,Bolts!A:L,8,0)</f>
        <v xml:space="preserve"> </v>
      </c>
      <c r="K48" s="44" t="str">
        <f>VLOOKUP(C48,Bolts!A:L,9,0)</f>
        <v xml:space="preserve"> </v>
      </c>
      <c r="L48" s="44" t="str">
        <f>VLOOKUP(C48,Bolts!A:L,10,0)</f>
        <v xml:space="preserve"> </v>
      </c>
      <c r="M48" s="44" t="str">
        <f>VLOOKUP(C48,Bolts!A:L,11,0)</f>
        <v xml:space="preserve"> </v>
      </c>
      <c r="N48" s="45" t="str">
        <f>VLOOKUP(C48,Bolts!A:L,12,0)</f>
        <v xml:space="preserve"> </v>
      </c>
      <c r="O48" s="45" t="e">
        <f t="shared" ca="1" si="23"/>
        <v>#VALUE!</v>
      </c>
      <c r="P48" s="49" t="str">
        <f>IFERROR(VLOOKUP(C48,Bolts!A:B,2,FALSE),"")</f>
        <v xml:space="preserve"> </v>
      </c>
      <c r="Q48" s="50" t="str">
        <f t="shared" si="24"/>
        <v/>
      </c>
    </row>
    <row r="49" spans="1:17" s="2" customFormat="1" ht="12.75" customHeight="1">
      <c r="A49" s="25"/>
      <c r="B49" s="26"/>
      <c r="C49" s="26"/>
      <c r="D49" s="272"/>
      <c r="E49" s="273"/>
      <c r="F49" s="26"/>
      <c r="G49" s="26"/>
      <c r="H49" s="274"/>
      <c r="I49" s="275"/>
      <c r="J49" s="27"/>
      <c r="K49" s="27"/>
      <c r="L49" s="27"/>
      <c r="M49" s="28"/>
      <c r="N49" s="29"/>
      <c r="O49" s="29"/>
      <c r="P49" s="141"/>
      <c r="Q49" s="142"/>
    </row>
    <row r="50" spans="1:17" s="2" customFormat="1" ht="12.75" customHeight="1" thickBot="1">
      <c r="A50" s="4">
        <v>701</v>
      </c>
      <c r="B50" s="2">
        <v>1</v>
      </c>
      <c r="C50" s="111" t="s">
        <v>483</v>
      </c>
      <c r="D50" s="268" t="str">
        <f>VLOOKUP(C50,Extrusion!B:C,2,0)</f>
        <v>Assy .140</v>
      </c>
      <c r="E50" s="269"/>
      <c r="F50" s="112" t="str">
        <f>VLOOKUP(C50,Extrusion!B:M,6,0)</f>
        <v>BOSCH</v>
      </c>
      <c r="G50" s="112" t="str">
        <f>VLOOKUP(C50,Extrusion!B:M,7,0)</f>
        <v>NULINE</v>
      </c>
      <c r="H50" s="112" t="str">
        <f>VLOOKUP(C50,Extrusion!B:M,8,0)</f>
        <v xml:space="preserve"> </v>
      </c>
      <c r="I50" s="113"/>
      <c r="J50" s="44" t="str">
        <f>VLOOKUP(C50,Extrusion!B:M,9,0)</f>
        <v>N/A</v>
      </c>
      <c r="K50" s="44">
        <f>VLOOKUP(C50,Extrusion!B:M,10,0)</f>
        <v>44894</v>
      </c>
      <c r="L50" s="44">
        <f>VLOOKUP(C50,Extrusion!B:M,11,0)</f>
        <v>44970</v>
      </c>
      <c r="M50" s="44">
        <f>VLOOKUP(C50,Extrusion!B:M,12,0)</f>
        <v>44970</v>
      </c>
      <c r="N50" s="45">
        <f>VLOOKUP(C50,Extrusion!B:N,13,0)</f>
        <v>54598</v>
      </c>
      <c r="O50" s="45" t="e">
        <f t="shared" ref="O50" ca="1" si="25">B50*$L$2</f>
        <v>#VALUE!</v>
      </c>
      <c r="P50" s="49">
        <f>IFERROR(VLOOKUP(C50,Extrusion!B:F,5,0),"")</f>
        <v>90.086712949999992</v>
      </c>
      <c r="Q50" s="50">
        <f t="shared" ref="Q50" si="26">IFERROR(B50*P50,"")</f>
        <v>90.086712949999992</v>
      </c>
    </row>
    <row r="51" spans="1:17" s="2" customFormat="1" ht="12.75" customHeight="1" thickBot="1">
      <c r="A51" s="34"/>
      <c r="B51" s="35"/>
      <c r="C51" s="35"/>
      <c r="D51" s="256"/>
      <c r="E51" s="257"/>
      <c r="F51" s="35"/>
      <c r="G51" s="35"/>
      <c r="H51" s="294"/>
      <c r="I51" s="295"/>
      <c r="J51" s="36"/>
      <c r="K51" s="36"/>
      <c r="L51" s="36"/>
      <c r="M51" s="37"/>
      <c r="N51" s="38"/>
      <c r="O51" s="38"/>
      <c r="P51" s="89" t="s">
        <v>43</v>
      </c>
      <c r="Q51" s="94">
        <f>SUM(Q5:Q50)</f>
        <v>2587.4460129500003</v>
      </c>
    </row>
    <row r="52" spans="1:17" s="2" customFormat="1" ht="12" customHeight="1">
      <c r="D52" s="22"/>
      <c r="E52" s="22"/>
      <c r="J52" s="8"/>
      <c r="K52" s="8"/>
      <c r="L52" s="8"/>
      <c r="M52" s="8"/>
      <c r="N52" s="5"/>
      <c r="O52" s="5"/>
      <c r="P52" s="88"/>
      <c r="Q52" s="95"/>
    </row>
    <row r="53" spans="1:17" s="2" customFormat="1" ht="12" customHeight="1">
      <c r="D53" s="22"/>
      <c r="E53" s="22"/>
      <c r="J53" s="5"/>
      <c r="K53" s="5"/>
      <c r="L53" s="5"/>
      <c r="M53" s="5"/>
      <c r="N53" s="5"/>
      <c r="O53" s="5"/>
      <c r="P53" s="88"/>
      <c r="Q53" s="95"/>
    </row>
    <row r="54" spans="1:17" s="2" customFormat="1" ht="12" customHeight="1">
      <c r="D54" s="22"/>
      <c r="E54" s="22"/>
      <c r="J54" s="5"/>
      <c r="K54" s="5"/>
      <c r="L54" s="5"/>
      <c r="M54" s="5"/>
      <c r="N54" s="5"/>
      <c r="O54" s="5"/>
      <c r="P54" s="88"/>
      <c r="Q54" s="95"/>
    </row>
    <row r="55" spans="1:17" s="2" customFormat="1" ht="12" customHeight="1">
      <c r="D55" s="22"/>
      <c r="E55" s="22"/>
      <c r="J55" s="5"/>
      <c r="K55" s="5"/>
      <c r="L55" s="5"/>
      <c r="M55" s="5"/>
      <c r="N55" s="5"/>
      <c r="O55" s="5"/>
      <c r="P55" s="88"/>
      <c r="Q55" s="95"/>
    </row>
    <row r="56" spans="1:17" s="2" customFormat="1" ht="12" customHeight="1">
      <c r="D56" s="22"/>
      <c r="E56" s="22"/>
      <c r="J56" s="5"/>
      <c r="K56" s="5"/>
      <c r="L56" s="5"/>
      <c r="M56" s="5"/>
      <c r="N56" s="5"/>
      <c r="O56" s="5"/>
      <c r="P56" s="88"/>
      <c r="Q56" s="95"/>
    </row>
    <row r="57" spans="1:17" s="2" customFormat="1" ht="12" customHeight="1">
      <c r="D57" s="22"/>
      <c r="E57" s="22"/>
      <c r="J57" s="5"/>
      <c r="K57" s="5"/>
      <c r="L57" s="5"/>
      <c r="M57" s="5"/>
      <c r="N57" s="5"/>
      <c r="O57" s="5"/>
      <c r="P57" s="88"/>
      <c r="Q57" s="95"/>
    </row>
    <row r="58" spans="1:17" s="2" customFormat="1" ht="12" customHeight="1">
      <c r="D58" s="22"/>
      <c r="E58" s="22"/>
      <c r="J58" s="5"/>
      <c r="K58" s="5"/>
      <c r="L58" s="5"/>
      <c r="M58" s="5"/>
      <c r="N58" s="5"/>
      <c r="O58" s="5"/>
      <c r="P58" s="88"/>
      <c r="Q58" s="95"/>
    </row>
    <row r="59" spans="1:17" s="2" customFormat="1" ht="12" customHeight="1">
      <c r="D59" s="22"/>
      <c r="E59" s="22"/>
      <c r="J59" s="5"/>
      <c r="K59" s="5"/>
      <c r="L59" s="5"/>
      <c r="M59" s="5"/>
      <c r="N59" s="5"/>
      <c r="O59" s="5"/>
      <c r="P59" s="88"/>
      <c r="Q59" s="95"/>
    </row>
    <row r="60" spans="1:17" s="2" customFormat="1" ht="12" customHeight="1">
      <c r="D60" s="22"/>
      <c r="E60" s="22"/>
      <c r="J60" s="5"/>
      <c r="K60" s="5"/>
      <c r="L60" s="5"/>
      <c r="M60" s="5"/>
      <c r="N60" s="5"/>
      <c r="O60" s="5"/>
      <c r="P60" s="88"/>
      <c r="Q60" s="95"/>
    </row>
    <row r="61" spans="1:17" s="2" customFormat="1" ht="12" customHeight="1">
      <c r="D61" s="22"/>
      <c r="E61" s="22"/>
      <c r="J61" s="5"/>
      <c r="K61" s="5"/>
      <c r="L61" s="5"/>
      <c r="M61" s="5"/>
      <c r="N61" s="5"/>
      <c r="O61" s="5"/>
      <c r="P61" s="88"/>
      <c r="Q61" s="95"/>
    </row>
    <row r="62" spans="1:17" s="2" customFormat="1" ht="12" customHeight="1">
      <c r="D62" s="22"/>
      <c r="E62" s="22"/>
      <c r="J62" s="5"/>
      <c r="K62" s="5"/>
      <c r="L62" s="5"/>
      <c r="M62" s="5"/>
      <c r="N62" s="5"/>
      <c r="O62" s="5"/>
      <c r="P62" s="88"/>
      <c r="Q62" s="95"/>
    </row>
    <row r="63" spans="1:17" s="2" customFormat="1" ht="12" customHeight="1">
      <c r="D63" s="22"/>
      <c r="E63" s="22"/>
      <c r="J63" s="5"/>
      <c r="K63" s="5"/>
      <c r="L63" s="5"/>
      <c r="M63" s="5"/>
      <c r="N63" s="5"/>
      <c r="O63" s="5"/>
      <c r="P63" s="88"/>
      <c r="Q63" s="95"/>
    </row>
    <row r="64" spans="1:17" s="2" customFormat="1" ht="12" customHeight="1">
      <c r="D64" s="22"/>
      <c r="E64" s="22"/>
      <c r="J64" s="5"/>
      <c r="K64" s="5"/>
      <c r="L64" s="5"/>
      <c r="M64" s="5"/>
      <c r="N64" s="5"/>
      <c r="O64" s="5"/>
      <c r="P64" s="88"/>
      <c r="Q64" s="95"/>
    </row>
    <row r="65" spans="4:17" s="2" customFormat="1" ht="12" customHeight="1">
      <c r="D65" s="22"/>
      <c r="E65" s="22"/>
      <c r="J65" s="5"/>
      <c r="K65" s="5"/>
      <c r="L65" s="5"/>
      <c r="M65" s="5"/>
      <c r="N65" s="5"/>
      <c r="O65" s="5"/>
      <c r="P65" s="88"/>
      <c r="Q65" s="95"/>
    </row>
    <row r="66" spans="4:17" s="2" customFormat="1" ht="12" customHeight="1">
      <c r="D66" s="22"/>
      <c r="E66" s="22"/>
      <c r="J66" s="5"/>
      <c r="K66" s="5"/>
      <c r="L66" s="5"/>
      <c r="M66" s="5"/>
      <c r="N66" s="5"/>
      <c r="O66" s="5"/>
      <c r="P66" s="88"/>
      <c r="Q66" s="95"/>
    </row>
    <row r="67" spans="4:17" s="2" customFormat="1" ht="12" customHeight="1">
      <c r="D67" s="22"/>
      <c r="E67" s="22"/>
      <c r="J67" s="5"/>
      <c r="K67" s="5"/>
      <c r="L67" s="5"/>
      <c r="M67" s="5"/>
      <c r="N67" s="5"/>
      <c r="O67" s="5"/>
      <c r="P67" s="88"/>
      <c r="Q67" s="95"/>
    </row>
    <row r="68" spans="4:17" s="2" customFormat="1" ht="12" customHeight="1">
      <c r="D68" s="22"/>
      <c r="E68" s="22"/>
      <c r="J68" s="5"/>
      <c r="K68" s="5"/>
      <c r="L68" s="5"/>
      <c r="M68" s="5"/>
      <c r="N68" s="5"/>
      <c r="O68" s="5"/>
      <c r="P68" s="88"/>
      <c r="Q68" s="95"/>
    </row>
    <row r="69" spans="4:17" s="2" customFormat="1" ht="12" customHeight="1">
      <c r="D69" s="22"/>
      <c r="E69" s="22"/>
      <c r="J69" s="5"/>
      <c r="K69" s="5"/>
      <c r="L69" s="5"/>
      <c r="M69" s="5"/>
      <c r="N69" s="5"/>
      <c r="O69" s="5"/>
      <c r="P69" s="88"/>
      <c r="Q69" s="95"/>
    </row>
    <row r="70" spans="4:17" s="2" customFormat="1" ht="12" customHeight="1">
      <c r="D70" s="22"/>
      <c r="E70" s="22"/>
      <c r="J70" s="5"/>
      <c r="K70" s="5"/>
      <c r="L70" s="5"/>
      <c r="M70" s="5"/>
      <c r="N70" s="5"/>
      <c r="O70" s="5"/>
      <c r="P70" s="88"/>
      <c r="Q70" s="95"/>
    </row>
    <row r="71" spans="4:17" s="2" customFormat="1" ht="12" customHeight="1">
      <c r="D71" s="22"/>
      <c r="E71" s="22"/>
      <c r="J71" s="5"/>
      <c r="K71" s="5"/>
      <c r="L71" s="5"/>
      <c r="M71" s="5"/>
      <c r="N71" s="5"/>
      <c r="O71" s="5"/>
      <c r="P71" s="88"/>
      <c r="Q71" s="95"/>
    </row>
    <row r="72" spans="4:17" s="2" customFormat="1" ht="12" customHeight="1">
      <c r="D72" s="22"/>
      <c r="E72" s="22"/>
      <c r="J72" s="5"/>
      <c r="K72" s="5"/>
      <c r="L72" s="5"/>
      <c r="M72" s="5"/>
      <c r="N72" s="5"/>
      <c r="O72" s="5"/>
      <c r="P72" s="88"/>
      <c r="Q72" s="95"/>
    </row>
    <row r="73" spans="4:17" s="2" customFormat="1" ht="12" customHeight="1">
      <c r="D73" s="22"/>
      <c r="E73" s="22"/>
      <c r="J73" s="5"/>
      <c r="K73" s="5"/>
      <c r="L73" s="5"/>
      <c r="M73" s="5"/>
      <c r="N73" s="5"/>
      <c r="O73" s="5"/>
      <c r="P73" s="88"/>
      <c r="Q73" s="95"/>
    </row>
    <row r="74" spans="4:17" s="2" customFormat="1" ht="12" customHeight="1">
      <c r="D74" s="22"/>
      <c r="E74" s="22"/>
      <c r="J74" s="5"/>
      <c r="K74" s="5"/>
      <c r="L74" s="5"/>
      <c r="M74" s="5"/>
      <c r="N74" s="5"/>
      <c r="O74" s="5"/>
      <c r="P74" s="88"/>
      <c r="Q74" s="95"/>
    </row>
    <row r="75" spans="4:17" s="2" customFormat="1" ht="12" customHeight="1">
      <c r="D75" s="22"/>
      <c r="E75" s="22"/>
      <c r="J75" s="5"/>
      <c r="K75" s="5"/>
      <c r="L75" s="5"/>
      <c r="M75" s="5"/>
      <c r="N75" s="5"/>
      <c r="O75" s="5"/>
      <c r="P75" s="88"/>
      <c r="Q75" s="95"/>
    </row>
    <row r="76" spans="4:17" s="2" customFormat="1" ht="12" customHeight="1">
      <c r="D76" s="22"/>
      <c r="E76" s="22"/>
      <c r="J76" s="5"/>
      <c r="K76" s="5"/>
      <c r="L76" s="5"/>
      <c r="M76" s="5"/>
      <c r="N76" s="5"/>
      <c r="O76" s="5"/>
      <c r="P76" s="88"/>
      <c r="Q76" s="95"/>
    </row>
    <row r="77" spans="4:17" s="2" customFormat="1" ht="12" customHeight="1">
      <c r="D77" s="22"/>
      <c r="E77" s="22"/>
      <c r="J77" s="5"/>
      <c r="K77" s="5"/>
      <c r="L77" s="5"/>
      <c r="M77" s="5"/>
      <c r="N77" s="5"/>
      <c r="O77" s="5"/>
      <c r="P77" s="88"/>
      <c r="Q77" s="95"/>
    </row>
    <row r="78" spans="4:17" s="2" customFormat="1" ht="12" customHeight="1">
      <c r="D78" s="22"/>
      <c r="E78" s="22"/>
      <c r="J78" s="5"/>
      <c r="K78" s="5"/>
      <c r="L78" s="5"/>
      <c r="M78" s="5"/>
      <c r="N78" s="5"/>
      <c r="O78" s="5"/>
      <c r="P78" s="88"/>
      <c r="Q78" s="95"/>
    </row>
    <row r="79" spans="4:17" s="2" customFormat="1" ht="12" customHeight="1">
      <c r="D79" s="22"/>
      <c r="E79" s="22"/>
      <c r="J79" s="5"/>
      <c r="K79" s="5"/>
      <c r="L79" s="5"/>
      <c r="M79" s="5"/>
      <c r="N79" s="5"/>
      <c r="O79" s="5"/>
      <c r="P79" s="88"/>
      <c r="Q79" s="95"/>
    </row>
    <row r="80" spans="4:17" s="2" customFormat="1" ht="12" customHeight="1">
      <c r="D80" s="22"/>
      <c r="E80" s="22"/>
      <c r="J80" s="5"/>
      <c r="K80" s="5"/>
      <c r="L80" s="5"/>
      <c r="M80" s="5"/>
      <c r="N80" s="5"/>
      <c r="O80" s="5"/>
      <c r="P80" s="88"/>
      <c r="Q80" s="95"/>
    </row>
    <row r="81" spans="1:17" s="2" customFormat="1" ht="12" customHeight="1">
      <c r="D81" s="22"/>
      <c r="E81" s="22"/>
      <c r="J81" s="5"/>
      <c r="K81" s="5"/>
      <c r="L81" s="5"/>
      <c r="M81" s="5"/>
      <c r="N81" s="5"/>
      <c r="O81" s="5"/>
      <c r="P81" s="88"/>
      <c r="Q81" s="95"/>
    </row>
    <row r="82" spans="1:17" s="2" customFormat="1" ht="12" customHeight="1">
      <c r="D82" s="22"/>
      <c r="E82" s="22"/>
      <c r="J82" s="5"/>
      <c r="K82" s="5"/>
      <c r="L82" s="5"/>
      <c r="M82" s="5"/>
      <c r="N82" s="5"/>
      <c r="O82" s="5"/>
      <c r="P82" s="88"/>
      <c r="Q82" s="95"/>
    </row>
    <row r="83" spans="1:17" s="2" customFormat="1" ht="12" customHeight="1">
      <c r="D83" s="22"/>
      <c r="E83" s="22"/>
      <c r="J83" s="5"/>
      <c r="K83" s="5"/>
      <c r="L83" s="5"/>
      <c r="M83" s="5"/>
      <c r="N83" s="5"/>
      <c r="O83" s="5"/>
      <c r="P83" s="88"/>
      <c r="Q83" s="95"/>
    </row>
    <row r="84" spans="1:17" s="2" customFormat="1" ht="12" customHeight="1">
      <c r="D84" s="22"/>
      <c r="E84" s="22"/>
      <c r="J84" s="5"/>
      <c r="K84" s="5"/>
      <c r="L84" s="5"/>
      <c r="M84" s="5"/>
      <c r="N84" s="5"/>
      <c r="O84" s="5"/>
      <c r="P84" s="88"/>
      <c r="Q84" s="95"/>
    </row>
    <row r="85" spans="1:17" s="2" customFormat="1" ht="12" customHeight="1">
      <c r="D85" s="22"/>
      <c r="E85" s="22"/>
      <c r="J85" s="5"/>
      <c r="K85" s="5"/>
      <c r="L85" s="5"/>
      <c r="M85" s="5"/>
      <c r="N85" s="5"/>
      <c r="O85" s="5"/>
      <c r="P85" s="88"/>
      <c r="Q85" s="95"/>
    </row>
    <row r="86" spans="1:17" s="2" customFormat="1" ht="12" customHeight="1">
      <c r="D86" s="22"/>
      <c r="E86" s="22"/>
      <c r="J86" s="5"/>
      <c r="K86" s="5"/>
      <c r="L86" s="5"/>
      <c r="M86" s="5"/>
      <c r="N86" s="5"/>
      <c r="O86" s="5"/>
      <c r="P86" s="88"/>
      <c r="Q86" s="95"/>
    </row>
    <row r="87" spans="1:17" s="2" customFormat="1" ht="12" customHeight="1">
      <c r="D87" s="22"/>
      <c r="E87" s="22"/>
      <c r="J87" s="5"/>
      <c r="K87" s="5"/>
      <c r="L87" s="5"/>
      <c r="M87" s="5"/>
      <c r="N87" s="5"/>
      <c r="O87" s="5"/>
      <c r="P87" s="88"/>
      <c r="Q87" s="95"/>
    </row>
    <row r="88" spans="1:17" s="2" customFormat="1" ht="12" customHeight="1">
      <c r="D88" s="22"/>
      <c r="E88" s="22"/>
      <c r="J88" s="5"/>
      <c r="K88" s="5"/>
      <c r="L88" s="5"/>
      <c r="M88" s="5"/>
      <c r="N88" s="5"/>
      <c r="O88" s="5"/>
      <c r="P88" s="88"/>
      <c r="Q88" s="95"/>
    </row>
    <row r="89" spans="1:17" s="2" customFormat="1" ht="12" customHeight="1">
      <c r="D89" s="22"/>
      <c r="E89" s="22"/>
      <c r="J89" s="5"/>
      <c r="K89" s="5"/>
      <c r="L89" s="5"/>
      <c r="M89" s="5"/>
      <c r="N89" s="5"/>
      <c r="O89" s="5"/>
      <c r="P89" s="88"/>
      <c r="Q89" s="95"/>
    </row>
    <row r="90" spans="1:17" s="2" customFormat="1" ht="12" customHeight="1">
      <c r="D90" s="22"/>
      <c r="E90" s="22"/>
      <c r="J90" s="5"/>
      <c r="K90" s="5"/>
      <c r="L90" s="5"/>
      <c r="M90" s="5"/>
      <c r="N90" s="5"/>
      <c r="O90" s="5"/>
      <c r="P90" s="88"/>
      <c r="Q90" s="96"/>
    </row>
    <row r="91" spans="1:17" s="2" customFormat="1" ht="12" customHeight="1">
      <c r="D91" s="22"/>
      <c r="E91" s="22"/>
      <c r="J91" s="5"/>
      <c r="K91" s="5"/>
      <c r="L91" s="5"/>
      <c r="M91" s="5"/>
      <c r="N91" s="5"/>
      <c r="O91" s="5"/>
      <c r="P91" s="88"/>
      <c r="Q91" s="96"/>
    </row>
    <row r="92" spans="1:17" s="2" customFormat="1" ht="12" customHeight="1">
      <c r="D92" s="22"/>
      <c r="E92" s="22"/>
      <c r="J92" s="5"/>
      <c r="K92" s="5"/>
      <c r="L92" s="5"/>
      <c r="M92" s="5"/>
      <c r="N92" s="5"/>
      <c r="O92" s="5"/>
      <c r="P92" s="88"/>
      <c r="Q92" s="96"/>
    </row>
    <row r="93" spans="1:17" s="2" customFormat="1" ht="12" customHeight="1">
      <c r="D93" s="22"/>
      <c r="E93" s="22"/>
      <c r="J93" s="5"/>
      <c r="K93" s="5"/>
      <c r="L93" s="5"/>
      <c r="M93" s="5"/>
      <c r="N93" s="5"/>
      <c r="O93" s="5"/>
      <c r="P93" s="88"/>
      <c r="Q93" s="96"/>
    </row>
    <row r="94" spans="1:17" s="2" customFormat="1" ht="12" customHeight="1">
      <c r="A94"/>
      <c r="B94"/>
      <c r="C94"/>
      <c r="D94" s="23"/>
      <c r="E94" s="23"/>
      <c r="F94"/>
      <c r="G94"/>
      <c r="H94"/>
      <c r="I94"/>
      <c r="J94" s="19"/>
      <c r="K94" s="19"/>
      <c r="L94" s="19"/>
      <c r="M94" s="19"/>
      <c r="N94" s="19"/>
      <c r="O94" s="19"/>
      <c r="P94" s="90"/>
      <c r="Q94" s="96"/>
    </row>
    <row r="95" spans="1:17" s="2" customFormat="1" ht="12" customHeight="1">
      <c r="A95"/>
      <c r="B95"/>
      <c r="C95"/>
      <c r="D95" s="23"/>
      <c r="E95" s="23"/>
      <c r="F95"/>
      <c r="G95"/>
      <c r="H95"/>
      <c r="I95"/>
      <c r="J95" s="19"/>
      <c r="K95" s="19"/>
      <c r="L95" s="19"/>
      <c r="M95" s="19"/>
      <c r="N95" s="19"/>
      <c r="O95" s="19"/>
      <c r="P95" s="90"/>
      <c r="Q95" s="96"/>
    </row>
    <row r="96" spans="1:17" s="2" customFormat="1" ht="12" customHeight="1">
      <c r="A96"/>
      <c r="B96"/>
      <c r="C96"/>
      <c r="D96" s="23"/>
      <c r="E96" s="23"/>
      <c r="F96"/>
      <c r="G96"/>
      <c r="H96"/>
      <c r="I96"/>
      <c r="J96" s="19"/>
      <c r="K96" s="19"/>
      <c r="L96" s="19"/>
      <c r="M96" s="19"/>
      <c r="N96" s="19"/>
      <c r="O96" s="19"/>
      <c r="P96" s="90"/>
      <c r="Q96" s="96"/>
    </row>
    <row r="97" spans="1:17" s="2" customFormat="1" ht="12" customHeight="1">
      <c r="A97"/>
      <c r="B97"/>
      <c r="C97"/>
      <c r="D97" s="23"/>
      <c r="E97" s="23"/>
      <c r="F97"/>
      <c r="G97"/>
      <c r="H97"/>
      <c r="I97"/>
      <c r="J97" s="19"/>
      <c r="K97" s="19"/>
      <c r="L97" s="19"/>
      <c r="M97" s="19"/>
      <c r="N97" s="19"/>
      <c r="O97" s="19"/>
      <c r="P97" s="90"/>
      <c r="Q97" s="96"/>
    </row>
    <row r="98" spans="1:17" s="2" customFormat="1" ht="12" customHeight="1">
      <c r="A98"/>
      <c r="B98"/>
      <c r="C98"/>
      <c r="D98" s="23"/>
      <c r="E98" s="23"/>
      <c r="F98"/>
      <c r="G98"/>
      <c r="H98"/>
      <c r="I98"/>
      <c r="J98" s="19"/>
      <c r="K98" s="19"/>
      <c r="L98" s="19"/>
      <c r="M98" s="19"/>
      <c r="N98" s="19"/>
      <c r="O98" s="19"/>
      <c r="P98" s="90"/>
      <c r="Q98" s="96"/>
    </row>
    <row r="99" spans="1:17">
      <c r="Q99" s="96"/>
    </row>
    <row r="100" spans="1:17">
      <c r="Q100" s="96"/>
    </row>
    <row r="101" spans="1:17">
      <c r="Q101" s="96"/>
    </row>
    <row r="102" spans="1:17">
      <c r="Q102" s="96"/>
    </row>
    <row r="103" spans="1:17">
      <c r="Q103" s="96"/>
    </row>
    <row r="104" spans="1:17">
      <c r="Q104" s="96"/>
    </row>
    <row r="105" spans="1:17">
      <c r="Q105" s="96"/>
    </row>
    <row r="106" spans="1:17">
      <c r="Q106" s="96"/>
    </row>
    <row r="107" spans="1:17">
      <c r="Q107" s="96"/>
    </row>
    <row r="108" spans="1:17">
      <c r="Q108" s="96"/>
    </row>
    <row r="109" spans="1:17">
      <c r="Q109" s="96"/>
    </row>
    <row r="110" spans="1:17">
      <c r="Q110" s="96"/>
    </row>
    <row r="111" spans="1:17">
      <c r="Q111" s="96"/>
    </row>
    <row r="112" spans="1:17">
      <c r="Q112" s="96"/>
    </row>
    <row r="113" spans="17:17">
      <c r="Q113" s="96"/>
    </row>
    <row r="114" spans="17:17">
      <c r="Q114" s="96"/>
    </row>
    <row r="115" spans="17:17">
      <c r="Q115" s="96"/>
    </row>
    <row r="116" spans="17:17">
      <c r="Q116" s="96"/>
    </row>
    <row r="117" spans="17:17">
      <c r="Q117" s="96"/>
    </row>
    <row r="118" spans="17:17">
      <c r="Q118" s="96"/>
    </row>
    <row r="155" ht="12" customHeight="1"/>
    <row r="156" ht="12" customHeight="1"/>
    <row r="157" ht="12" customHeight="1"/>
    <row r="158" ht="12" customHeight="1"/>
    <row r="159" ht="12" customHeight="1"/>
    <row r="160" ht="12" customHeight="1"/>
    <row r="161" ht="12" customHeight="1"/>
    <row r="162" ht="12" customHeight="1"/>
    <row r="163" ht="12" customHeight="1"/>
    <row r="164" ht="12" customHeight="1"/>
    <row r="165" ht="12" customHeight="1"/>
    <row r="166" ht="12" customHeight="1"/>
    <row r="167" ht="12" customHeight="1"/>
    <row r="168" ht="12" customHeight="1"/>
    <row r="169" ht="12" customHeight="1"/>
    <row r="170" ht="12" customHeight="1"/>
    <row r="171" ht="12" customHeight="1"/>
    <row r="172" ht="12" customHeight="1"/>
    <row r="173" ht="12" customHeight="1"/>
    <row r="174" ht="12" customHeight="1"/>
    <row r="175" ht="12" customHeight="1"/>
    <row r="176" ht="12" customHeight="1"/>
    <row r="177" ht="12" customHeight="1"/>
    <row r="178" ht="12" customHeight="1"/>
    <row r="179" ht="12" customHeight="1"/>
    <row r="180" ht="12" customHeight="1"/>
    <row r="181" ht="12" customHeight="1"/>
    <row r="182" ht="12" customHeight="1"/>
    <row r="183" ht="12" customHeight="1"/>
    <row r="184" ht="12" customHeight="1"/>
    <row r="185" ht="12" customHeight="1"/>
    <row r="186" ht="12" customHeight="1"/>
    <row r="187" ht="12" customHeight="1"/>
    <row r="188" ht="12" customHeight="1"/>
    <row r="189" ht="12" customHeight="1"/>
    <row r="190" ht="12" customHeight="1"/>
    <row r="191" ht="12" customHeight="1"/>
    <row r="192" ht="12" customHeight="1"/>
    <row r="193" ht="12" customHeight="1"/>
    <row r="194" ht="12" customHeight="1"/>
    <row r="195" ht="12" customHeight="1"/>
    <row r="196" ht="12" customHeight="1"/>
    <row r="197" ht="12" customHeight="1"/>
    <row r="198" ht="12" customHeight="1"/>
    <row r="199" ht="12" customHeight="1"/>
    <row r="200" ht="12" customHeight="1"/>
    <row r="201" ht="12" customHeight="1"/>
    <row r="202" ht="12" customHeight="1"/>
    <row r="203" ht="12" customHeight="1"/>
    <row r="204" ht="12" customHeight="1"/>
  </sheetData>
  <mergeCells count="56">
    <mergeCell ref="D33:E33"/>
    <mergeCell ref="D45:E45"/>
    <mergeCell ref="D46:E46"/>
    <mergeCell ref="D47:E47"/>
    <mergeCell ref="D48:E48"/>
    <mergeCell ref="D34:E34"/>
    <mergeCell ref="D35:E35"/>
    <mergeCell ref="D32:E32"/>
    <mergeCell ref="D50:E50"/>
    <mergeCell ref="D51:E51"/>
    <mergeCell ref="H51:I51"/>
    <mergeCell ref="D41:E41"/>
    <mergeCell ref="D42:E42"/>
    <mergeCell ref="D36:E36"/>
    <mergeCell ref="D44:E44"/>
    <mergeCell ref="D49:E49"/>
    <mergeCell ref="H36:I36"/>
    <mergeCell ref="D37:E37"/>
    <mergeCell ref="D38:E38"/>
    <mergeCell ref="D39:E39"/>
    <mergeCell ref="D40:E40"/>
    <mergeCell ref="H49:I49"/>
    <mergeCell ref="D43:E43"/>
    <mergeCell ref="D17:E17"/>
    <mergeCell ref="D31:E31"/>
    <mergeCell ref="D18:E18"/>
    <mergeCell ref="D19:E19"/>
    <mergeCell ref="D20:E20"/>
    <mergeCell ref="D21:E21"/>
    <mergeCell ref="D22:E22"/>
    <mergeCell ref="D29:E29"/>
    <mergeCell ref="D27:E27"/>
    <mergeCell ref="D28:E28"/>
    <mergeCell ref="D23:E23"/>
    <mergeCell ref="D24:E24"/>
    <mergeCell ref="D25:E25"/>
    <mergeCell ref="D26:E26"/>
    <mergeCell ref="D30:E30"/>
    <mergeCell ref="D13:E13"/>
    <mergeCell ref="D15:E15"/>
    <mergeCell ref="H15:I15"/>
    <mergeCell ref="D16:E16"/>
    <mergeCell ref="D10:E10"/>
    <mergeCell ref="D11:E11"/>
    <mergeCell ref="D12:E12"/>
    <mergeCell ref="D14:E14"/>
    <mergeCell ref="D6:E6"/>
    <mergeCell ref="H6:I6"/>
    <mergeCell ref="D7:E7"/>
    <mergeCell ref="D8:E8"/>
    <mergeCell ref="D9:E9"/>
    <mergeCell ref="D1:E1"/>
    <mergeCell ref="D4:E4"/>
    <mergeCell ref="H4:I4"/>
    <mergeCell ref="D5:E5"/>
    <mergeCell ref="H5:I5"/>
  </mergeCells>
  <conditionalFormatting sqref="M7:M14 M16:M35">
    <cfRule type="cellIs" dxfId="531" priority="3" stopIfTrue="1" operator="lessThanOrEqual">
      <formula>$L7</formula>
    </cfRule>
    <cfRule type="cellIs" dxfId="530" priority="4" operator="greaterThan">
      <formula>L7</formula>
    </cfRule>
  </conditionalFormatting>
  <conditionalFormatting sqref="M37:M48">
    <cfRule type="cellIs" dxfId="529" priority="5" stopIfTrue="1" operator="lessThanOrEqual">
      <formula>$L37</formula>
    </cfRule>
    <cfRule type="cellIs" dxfId="528" priority="6" operator="greaterThan">
      <formula>L37</formula>
    </cfRule>
  </conditionalFormatting>
  <conditionalFormatting sqref="M50">
    <cfRule type="cellIs" dxfId="527" priority="1" stopIfTrue="1" operator="lessThanOrEqual">
      <formula>$L50</formula>
    </cfRule>
    <cfRule type="cellIs" dxfId="526" priority="2" operator="greaterThan">
      <formula>L50</formula>
    </cfRule>
  </conditionalFormatting>
  <pageMargins left="0.7" right="0.7" top="0.75" bottom="0.75" header="0.3" footer="0.3"/>
  <pageSetup paperSize="3" fitToHeight="0" orientation="landscape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C0A8A7F1-B559-47D5-B960-0BB10846CCD0}">
          <x14:formula1>
            <xm:f>Bolts!$A:$A</xm:f>
          </x14:formula1>
          <xm:sqref>C37:C48</xm:sqref>
        </x14:dataValidation>
        <x14:dataValidation type="list" allowBlank="1" showInputMessage="1" showErrorMessage="1" xr:uid="{F8A38D71-286D-4448-A74D-58B25E76C1E1}">
          <x14:formula1>
            <xm:f>Assemblies!$E:$E</xm:f>
          </x14:formula1>
          <xm:sqref>C5</xm:sqref>
        </x14:dataValidation>
        <x14:dataValidation type="list" allowBlank="1" showInputMessage="1" showErrorMessage="1" xr:uid="{4C7D271E-F8A5-46B1-B1A9-2C5EEF83159C}">
          <x14:formula1>
            <xm:f>Purchased!$A:$A</xm:f>
          </x14:formula1>
          <xm:sqref>C16:C35</xm:sqref>
        </x14:dataValidation>
        <x14:dataValidation type="list" allowBlank="1" showInputMessage="1" showErrorMessage="1" xr:uid="{B42311E8-7EC2-49E1-B216-F9099E990019}">
          <x14:formula1>
            <xm:f>Extrusion!$B:$B</xm:f>
          </x14:formula1>
          <xm:sqref>C50</xm:sqref>
        </x14:dataValidation>
        <x14:dataValidation type="list" allowBlank="1" showInputMessage="1" showErrorMessage="1" xr:uid="{BA1E6D89-E333-40F6-A6F4-93C91BB8AA7D}">
          <x14:formula1>
            <xm:f>Machined!$C:$C</xm:f>
          </x14:formula1>
          <xm:sqref>C7:C14</xm:sqref>
        </x14:dataValidation>
      </x14:dataValidation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63B114-B4AE-40A1-8F7E-A0F60EC411BA}">
  <sheetPr codeName="Sheet36">
    <tabColor theme="3" tint="0.79998168889431442"/>
    <pageSetUpPr fitToPage="1"/>
  </sheetPr>
  <dimension ref="A1:Q173"/>
  <sheetViews>
    <sheetView zoomScaleNormal="100" workbookViewId="0">
      <selection activeCell="C25" sqref="C25"/>
    </sheetView>
  </sheetViews>
  <sheetFormatPr defaultColWidth="9.140625" defaultRowHeight="15"/>
  <cols>
    <col min="1" max="1" width="5.7109375" customWidth="1"/>
    <col min="2" max="2" width="5.42578125" bestFit="1" customWidth="1"/>
    <col min="3" max="3" width="30.7109375" customWidth="1"/>
    <col min="4" max="5" width="20.7109375" style="23" customWidth="1"/>
    <col min="6" max="6" width="16.85546875" bestFit="1" customWidth="1"/>
    <col min="7" max="7" width="9.7109375" customWidth="1"/>
    <col min="8" max="8" width="8.7109375" customWidth="1"/>
    <col min="9" max="9" width="20.7109375" customWidth="1"/>
    <col min="10" max="13" width="11.7109375" style="19" customWidth="1"/>
    <col min="14" max="14" width="11.85546875" style="19" bestFit="1" customWidth="1"/>
    <col min="15" max="15" width="7.7109375" style="19" customWidth="1"/>
    <col min="16" max="16" width="10.7109375" style="90" customWidth="1"/>
    <col min="17" max="17" width="10.7109375" style="97" customWidth="1"/>
  </cols>
  <sheetData>
    <row r="1" spans="1:17" s="55" customFormat="1" ht="12" customHeight="1">
      <c r="A1" s="68" t="s">
        <v>0</v>
      </c>
      <c r="B1" s="69"/>
      <c r="C1" s="69"/>
      <c r="D1" s="262" t="s">
        <v>1</v>
      </c>
      <c r="E1" s="263"/>
      <c r="F1" s="70"/>
      <c r="G1" s="69"/>
      <c r="H1" s="70"/>
      <c r="I1" s="71"/>
      <c r="J1" s="72"/>
      <c r="K1" s="72"/>
      <c r="L1" s="72"/>
      <c r="M1" s="72"/>
      <c r="N1" s="72"/>
      <c r="O1" s="72"/>
      <c r="P1" s="85"/>
      <c r="Q1" s="91"/>
    </row>
    <row r="2" spans="1:17" s="55" customFormat="1" ht="12" customHeight="1">
      <c r="A2" s="74" t="s">
        <v>48</v>
      </c>
      <c r="B2" s="58"/>
      <c r="C2" s="57" t="e">
        <f ca="1">VLOOKUP(E3,Assemblies!B:F,4,0)</f>
        <v>#VALUE!</v>
      </c>
      <c r="D2" s="75" t="s">
        <v>3</v>
      </c>
      <c r="E2" s="76" t="e">
        <f ca="1">'GF12'!E2</f>
        <v>#VALUE!</v>
      </c>
      <c r="F2" s="77" t="s">
        <v>4</v>
      </c>
      <c r="G2" s="58" t="str">
        <f>'GF12'!G2</f>
        <v>GH</v>
      </c>
      <c r="H2" s="77" t="s">
        <v>6</v>
      </c>
      <c r="I2" s="59">
        <f>'GF12'!I2</f>
        <v>44775</v>
      </c>
      <c r="J2" s="39"/>
      <c r="K2" s="40" t="s">
        <v>49</v>
      </c>
      <c r="L2" s="41" t="e">
        <f ca="1">VLOOKUP(C2,Assemblies!E:G,3,0)</f>
        <v>#VALUE!</v>
      </c>
      <c r="M2" s="78"/>
      <c r="N2" s="78"/>
      <c r="O2" s="78"/>
      <c r="P2" s="86"/>
      <c r="Q2" s="92"/>
    </row>
    <row r="3" spans="1:17" s="55" customFormat="1" ht="12" customHeight="1" thickBot="1">
      <c r="A3" s="74" t="s">
        <v>7</v>
      </c>
      <c r="B3" s="58"/>
      <c r="C3" s="57" t="e">
        <f ca="1">VLOOKUP(E3,Assemblies!B:F,5,0)</f>
        <v>#VALUE!</v>
      </c>
      <c r="D3" s="75" t="s">
        <v>50</v>
      </c>
      <c r="E3" s="76" t="e">
        <f ca="1">MID(CELL("filename",A1),FIND("]",CELL("filename",A1))+1,256)</f>
        <v>#VALUE!</v>
      </c>
      <c r="F3" s="77" t="s">
        <v>11</v>
      </c>
      <c r="G3" s="58" t="str">
        <f>'GF12'!G3</f>
        <v>GH</v>
      </c>
      <c r="H3" s="77" t="s">
        <v>6</v>
      </c>
      <c r="I3" s="59">
        <f>'GF12'!I3</f>
        <v>44775</v>
      </c>
      <c r="J3" s="78"/>
      <c r="K3" s="78"/>
      <c r="L3" s="78"/>
      <c r="M3" s="78"/>
      <c r="N3" s="78"/>
      <c r="O3" s="78"/>
      <c r="P3" s="86"/>
      <c r="Q3" s="92"/>
    </row>
    <row r="4" spans="1:17" s="56" customFormat="1" ht="12.75" customHeight="1" thickBot="1">
      <c r="A4" s="80" t="s">
        <v>12</v>
      </c>
      <c r="B4" s="81" t="s">
        <v>13</v>
      </c>
      <c r="C4" s="81" t="s">
        <v>14</v>
      </c>
      <c r="D4" s="270" t="s">
        <v>15</v>
      </c>
      <c r="E4" s="271"/>
      <c r="F4" s="104" t="s">
        <v>16</v>
      </c>
      <c r="G4" s="81" t="s">
        <v>17</v>
      </c>
      <c r="H4" s="260" t="s">
        <v>18</v>
      </c>
      <c r="I4" s="261"/>
      <c r="J4" s="81" t="s">
        <v>51</v>
      </c>
      <c r="K4" s="81" t="s">
        <v>20</v>
      </c>
      <c r="L4" s="81" t="s">
        <v>21</v>
      </c>
      <c r="M4" s="81" t="s">
        <v>52</v>
      </c>
      <c r="N4" s="81" t="s">
        <v>22</v>
      </c>
      <c r="O4" s="81" t="s">
        <v>53</v>
      </c>
      <c r="P4" s="107" t="s">
        <v>26</v>
      </c>
      <c r="Q4" s="82" t="s">
        <v>27</v>
      </c>
    </row>
    <row r="5" spans="1:17" s="2" customFormat="1" ht="12.75" customHeight="1">
      <c r="A5" s="127">
        <v>1</v>
      </c>
      <c r="B5" s="21">
        <v>1</v>
      </c>
      <c r="C5" s="108" t="s">
        <v>484</v>
      </c>
      <c r="D5" s="277" t="str">
        <f>VLOOKUP(C5,Machined!C:Q,2,0)</f>
        <v>Slit Knife Handwheel Shaft</v>
      </c>
      <c r="E5" s="278"/>
      <c r="F5" s="131" t="str">
        <f>VLOOKUP(C5,Machined!C:R,7,0)</f>
        <v>303 SS - TG&amp;P</v>
      </c>
      <c r="G5" s="131" t="str">
        <f>VLOOKUP(C5,Machined!C:R,10,0)</f>
        <v>ALEXANDRIA, Big Sky</v>
      </c>
      <c r="H5" s="131" t="str">
        <f>VLOOKUP(C5,Machined!C:R,11,0)</f>
        <v xml:space="preserve"> </v>
      </c>
      <c r="I5" s="131"/>
      <c r="J5" s="42" t="str">
        <f>VLOOKUP(C5,Machined!C:R,12,0)</f>
        <v xml:space="preserve"> </v>
      </c>
      <c r="K5" s="42">
        <f>VLOOKUP(C5,Machined!C:R,13,0)</f>
        <v>45161</v>
      </c>
      <c r="L5" s="42">
        <f>VLOOKUP(C5,Machined!C:R,14,0)</f>
        <v>45180</v>
      </c>
      <c r="M5" s="42">
        <f>VLOOKUP(C5,Machined!C:R,15,0)</f>
        <v>45180</v>
      </c>
      <c r="N5" s="43" t="str">
        <f>VLOOKUP(C5,Machined!C:R,16,0)</f>
        <v>55018, 55091</v>
      </c>
      <c r="O5" s="43" t="e">
        <f t="shared" ref="O5:O8" ca="1" si="0">B5*$L$2</f>
        <v>#VALUE!</v>
      </c>
      <c r="P5" s="47">
        <f>IFERROR(VLOOKUP(C5,Machined!C:F,3,0),"")</f>
        <v>147.27000000000001</v>
      </c>
      <c r="Q5" s="48">
        <f t="shared" ref="Q5:Q8" si="1">IFERROR(B5*P5,"")</f>
        <v>147.27000000000001</v>
      </c>
    </row>
    <row r="6" spans="1:17" s="2" customFormat="1" ht="12.75" customHeight="1">
      <c r="A6" s="127">
        <v>2</v>
      </c>
      <c r="B6" s="21">
        <v>1</v>
      </c>
      <c r="C6" s="108" t="s">
        <v>485</v>
      </c>
      <c r="D6" s="277" t="str">
        <f>VLOOKUP(C6,Machined!C:Q,2,0)</f>
        <v>Handwheel Plate</v>
      </c>
      <c r="E6" s="278"/>
      <c r="F6" s="131" t="str">
        <f>VLOOKUP(C6,Machined!C:R,7,0)</f>
        <v>6061-T6 Alum</v>
      </c>
      <c r="G6" s="131" t="str">
        <f>VLOOKUP(C6,Machined!C:R,10,0)</f>
        <v>FRONTIER</v>
      </c>
      <c r="H6" s="131" t="str">
        <f>VLOOKUP(C6,Machined!C:R,11,0)</f>
        <v xml:space="preserve"> </v>
      </c>
      <c r="I6" s="131"/>
      <c r="J6" s="42">
        <f>VLOOKUP(C6,Machined!C:R,12,0)</f>
        <v>45105</v>
      </c>
      <c r="K6" s="42">
        <f>VLOOKUP(C6,Machined!C:R,13,0)</f>
        <v>45133</v>
      </c>
      <c r="L6" s="42">
        <f>VLOOKUP(C6,Machined!C:R,14,0)</f>
        <v>45163</v>
      </c>
      <c r="M6" s="42">
        <f>VLOOKUP(C6,Machined!C:R,15,0)</f>
        <v>45163</v>
      </c>
      <c r="N6" s="43">
        <f>VLOOKUP(C6,Machined!C:R,16,0)</f>
        <v>55015</v>
      </c>
      <c r="O6" s="43" t="e">
        <f t="shared" ca="1" si="0"/>
        <v>#VALUE!</v>
      </c>
      <c r="P6" s="47">
        <f>IFERROR(VLOOKUP(C6,Machined!C:F,3,0),"")</f>
        <v>91.05</v>
      </c>
      <c r="Q6" s="48">
        <f t="shared" si="1"/>
        <v>91.05</v>
      </c>
    </row>
    <row r="7" spans="1:17" s="2" customFormat="1" ht="12.75" customHeight="1">
      <c r="A7" s="127">
        <v>3</v>
      </c>
      <c r="B7" s="21"/>
      <c r="C7" s="108"/>
      <c r="D7" s="277"/>
      <c r="E7" s="278"/>
      <c r="F7" s="131"/>
      <c r="G7" s="131"/>
      <c r="H7" s="131"/>
      <c r="I7" s="131"/>
      <c r="J7" s="42"/>
      <c r="K7" s="42"/>
      <c r="L7" s="42"/>
      <c r="M7" s="42"/>
      <c r="N7" s="43"/>
      <c r="O7" s="43"/>
      <c r="P7" s="47"/>
      <c r="Q7" s="48"/>
    </row>
    <row r="8" spans="1:17" s="2" customFormat="1" ht="12.75" customHeight="1">
      <c r="A8" s="127">
        <v>4</v>
      </c>
      <c r="B8" s="21">
        <v>1</v>
      </c>
      <c r="C8" s="108" t="s">
        <v>486</v>
      </c>
      <c r="D8" s="277" t="str">
        <f>VLOOKUP(C8,Machined!C:Q,2,0)</f>
        <v>Friction Pad</v>
      </c>
      <c r="E8" s="278"/>
      <c r="F8" s="131" t="str">
        <f>VLOOKUP(C8,Machined!C:R,7,0)</f>
        <v>White Delrin</v>
      </c>
      <c r="G8" s="131" t="str">
        <f>VLOOKUP(C8,Machined!C:R,10,0)</f>
        <v>BIG SKY</v>
      </c>
      <c r="H8" s="131" t="str">
        <f>VLOOKUP(C8,Machined!C:R,11,0)</f>
        <v xml:space="preserve">  </v>
      </c>
      <c r="I8" s="131"/>
      <c r="J8" s="42">
        <f>VLOOKUP(C8,Machined!C:R,12,0)</f>
        <v>45142</v>
      </c>
      <c r="K8" s="42">
        <f>VLOOKUP(C8,Machined!C:R,13,0)</f>
        <v>45146</v>
      </c>
      <c r="L8" s="42">
        <f>VLOOKUP(C8,Machined!C:R,14,0)</f>
        <v>45176</v>
      </c>
      <c r="M8" s="42">
        <f>VLOOKUP(C8,Machined!C:R,15,0)</f>
        <v>45176</v>
      </c>
      <c r="N8" s="43">
        <f>VLOOKUP(C8,Machined!C:R,16,0)</f>
        <v>55032</v>
      </c>
      <c r="O8" s="43" t="e">
        <f t="shared" ca="1" si="0"/>
        <v>#VALUE!</v>
      </c>
      <c r="P8" s="47">
        <f>IFERROR(VLOOKUP(C8,Machined!C:F,3,0),"")</f>
        <v>45</v>
      </c>
      <c r="Q8" s="48">
        <f t="shared" si="1"/>
        <v>45</v>
      </c>
    </row>
    <row r="9" spans="1:17" s="2" customFormat="1" ht="12.75" customHeight="1">
      <c r="A9" s="127">
        <v>5</v>
      </c>
      <c r="B9" s="21">
        <v>1</v>
      </c>
      <c r="C9" s="108" t="s">
        <v>487</v>
      </c>
      <c r="D9" s="277" t="str">
        <f>VLOOKUP(C9,Machined!C:Q,2,0)</f>
        <v>Unguided Guard Slide</v>
      </c>
      <c r="E9" s="278"/>
      <c r="F9" s="131" t="str">
        <f>VLOOKUP(C9,Machined!C:R,7,0)</f>
        <v>White Delrin</v>
      </c>
      <c r="G9" s="131" t="str">
        <f>VLOOKUP(C9,Machined!C:R,10,0)</f>
        <v>BIG SKY</v>
      </c>
      <c r="H9" s="131" t="str">
        <f>VLOOKUP(C9,Machined!C:R,11,0)</f>
        <v xml:space="preserve">  </v>
      </c>
      <c r="I9" s="131"/>
      <c r="J9" s="42">
        <f>VLOOKUP(C9,Machined!C:R,12,0)</f>
        <v>45142</v>
      </c>
      <c r="K9" s="42">
        <f>VLOOKUP(C9,Machined!C:R,13,0)</f>
        <v>45146</v>
      </c>
      <c r="L9" s="42">
        <f>VLOOKUP(C9,Machined!C:R,14,0)</f>
        <v>45176</v>
      </c>
      <c r="M9" s="42">
        <f>VLOOKUP(C9,Machined!C:R,15,0)</f>
        <v>45176</v>
      </c>
      <c r="N9" s="43">
        <f>VLOOKUP(C9,Machined!C:R,16,0)</f>
        <v>55032</v>
      </c>
      <c r="O9" s="43" t="e">
        <f t="shared" ref="O9" ca="1" si="2">B9*$L$2</f>
        <v>#VALUE!</v>
      </c>
      <c r="P9" s="47">
        <f>IFERROR(VLOOKUP(C9,Machined!C:F,3,0),"")</f>
        <v>45</v>
      </c>
      <c r="Q9" s="48">
        <f t="shared" ref="Q9" si="3">IFERROR(B9*P9,"")</f>
        <v>45</v>
      </c>
    </row>
    <row r="10" spans="1:17" s="2" customFormat="1" ht="12.75" customHeight="1">
      <c r="A10" s="143"/>
      <c r="B10" s="26"/>
      <c r="C10" s="26"/>
      <c r="D10" s="272"/>
      <c r="E10" s="273"/>
      <c r="F10" s="26"/>
      <c r="G10" s="26"/>
      <c r="H10" s="274"/>
      <c r="I10" s="275"/>
      <c r="J10" s="27"/>
      <c r="K10" s="27"/>
      <c r="L10" s="27"/>
      <c r="M10" s="28"/>
      <c r="N10" s="29"/>
      <c r="O10" s="29"/>
      <c r="P10" s="141"/>
      <c r="Q10" s="142"/>
    </row>
    <row r="11" spans="1:17" s="2" customFormat="1" ht="12.75" customHeight="1">
      <c r="A11" s="4">
        <v>301</v>
      </c>
      <c r="B11" s="2">
        <v>1</v>
      </c>
      <c r="C11" s="114" t="s">
        <v>488</v>
      </c>
      <c r="D11" s="268" t="str">
        <f>VLOOKUP(C11,Purchased!A:B,2,0)</f>
        <v>ELESA DD51-AN-002.0-D-C1 Digital Position Indicator</v>
      </c>
      <c r="E11" s="269"/>
      <c r="F11" s="112" t="str">
        <f>VLOOKUP(C11,Purchased!A:Q,9,0)</f>
        <v>ELESA</v>
      </c>
      <c r="G11" s="112" t="str">
        <f>VLOOKUP(C11,Purchased!A:Q,10,0)</f>
        <v>ELESA</v>
      </c>
      <c r="H11" s="112">
        <f>VLOOKUP(C11,Purchased!A:Q,12,0)</f>
        <v>0</v>
      </c>
      <c r="I11" s="113"/>
      <c r="J11" s="44">
        <f>VLOOKUP(C11,Purchased!A:Q,13,0)</f>
        <v>45205</v>
      </c>
      <c r="K11" s="44">
        <f>VLOOKUP(C11,Purchased!A:Q,14,0)</f>
        <v>45205</v>
      </c>
      <c r="L11" s="44">
        <f>VLOOKUP(C11,Purchased!A:Q,15,0)</f>
        <v>45219</v>
      </c>
      <c r="M11" s="44">
        <f>VLOOKUP(C11,Purchased!A:Q,16,0)</f>
        <v>45225</v>
      </c>
      <c r="N11" s="45">
        <f>VLOOKUP(C11,Purchased!A:Q,17,0)</f>
        <v>55195</v>
      </c>
      <c r="O11" s="45" t="e">
        <f t="shared" ref="O11:O14" ca="1" si="4">B11*$L$2</f>
        <v>#VALUE!</v>
      </c>
      <c r="P11" s="49">
        <f>IFERROR(VLOOKUP(C11,Purchased!A:E,3,FALSE),"")</f>
        <v>0</v>
      </c>
      <c r="Q11" s="50">
        <f t="shared" ref="Q11:Q14" si="5">IFERROR(B11*P11,"")</f>
        <v>0</v>
      </c>
    </row>
    <row r="12" spans="1:17" s="2" customFormat="1" ht="12" customHeight="1">
      <c r="A12" s="4">
        <f>A11+1</f>
        <v>302</v>
      </c>
      <c r="B12" s="2">
        <v>1</v>
      </c>
      <c r="C12" s="114" t="s">
        <v>489</v>
      </c>
      <c r="D12" s="268" t="str">
        <f>VLOOKUP(C12,Purchased!A:B,2,0)</f>
        <v>ELESA CE.85919 Base for Spindle Locking BSA-N51-12</v>
      </c>
      <c r="E12" s="269"/>
      <c r="F12" s="112" t="str">
        <f>VLOOKUP(C12,Purchased!A:Q,9,0)</f>
        <v>ELESA</v>
      </c>
      <c r="G12" s="112" t="str">
        <f>VLOOKUP(C12,Purchased!A:Q,10,0)</f>
        <v>ELESA</v>
      </c>
      <c r="H12" s="112" t="str">
        <f>VLOOKUP(C12,Purchased!A:Q,12,0)</f>
        <v xml:space="preserve"> </v>
      </c>
      <c r="I12" s="113"/>
      <c r="J12" s="44">
        <f>VLOOKUP(C12,Purchased!A:Q,13,0)</f>
        <v>45125</v>
      </c>
      <c r="K12" s="44">
        <f>VLOOKUP(C12,Purchased!A:Q,14,0)</f>
        <v>45162</v>
      </c>
      <c r="L12" s="44">
        <f>VLOOKUP(C12,Purchased!A:Q,15,0)</f>
        <v>45184</v>
      </c>
      <c r="M12" s="44">
        <f>VLOOKUP(C12,Purchased!A:Q,16,0)</f>
        <v>45184</v>
      </c>
      <c r="N12" s="45">
        <f>VLOOKUP(C12,Purchased!A:Q,17,0)</f>
        <v>55036</v>
      </c>
      <c r="O12" s="45" t="e">
        <f t="shared" ca="1" si="4"/>
        <v>#VALUE!</v>
      </c>
      <c r="P12" s="49">
        <f>IFERROR(VLOOKUP(C12,Purchased!A:E,3,FALSE),"")</f>
        <v>24.93</v>
      </c>
      <c r="Q12" s="50">
        <f t="shared" si="5"/>
        <v>24.93</v>
      </c>
    </row>
    <row r="13" spans="1:17" s="2" customFormat="1" ht="12" customHeight="1">
      <c r="A13" s="4">
        <f t="shared" ref="A13:A15" si="6">A12+1</f>
        <v>303</v>
      </c>
      <c r="B13" s="2">
        <v>1</v>
      </c>
      <c r="C13" s="114" t="s">
        <v>490</v>
      </c>
      <c r="D13" s="268" t="str">
        <f>VLOOKUP(C13,Purchased!A:B,2,0)</f>
        <v>ELESA GN 322.3-125-B12-R Foldaway Aluminum Handwheel</v>
      </c>
      <c r="E13" s="269"/>
      <c r="F13" s="112" t="str">
        <f>VLOOKUP(C13,Purchased!A:Q,9,0)</f>
        <v>ELESA</v>
      </c>
      <c r="G13" s="112" t="str">
        <f>VLOOKUP(C13,Purchased!A:Q,10,0)</f>
        <v>ELESA</v>
      </c>
      <c r="H13" s="112" t="str">
        <f>VLOOKUP(C13,Purchased!A:Q,12,0)</f>
        <v xml:space="preserve"> </v>
      </c>
      <c r="I13" s="113"/>
      <c r="J13" s="44">
        <f>VLOOKUP(C13,Purchased!A:Q,13,0)</f>
        <v>45125</v>
      </c>
      <c r="K13" s="44">
        <f>VLOOKUP(C13,Purchased!A:Q,14,0)</f>
        <v>45162</v>
      </c>
      <c r="L13" s="44">
        <f>VLOOKUP(C13,Purchased!A:Q,15,0)</f>
        <v>45184</v>
      </c>
      <c r="M13" s="44">
        <f>VLOOKUP(C13,Purchased!A:Q,16,0)</f>
        <v>45184</v>
      </c>
      <c r="N13" s="45">
        <f>VLOOKUP(C13,Purchased!A:Q,17,0)</f>
        <v>55036</v>
      </c>
      <c r="O13" s="45" t="e">
        <f t="shared" ca="1" si="4"/>
        <v>#VALUE!</v>
      </c>
      <c r="P13" s="49">
        <f>IFERROR(VLOOKUP(C13,Purchased!A:E,3,FALSE),"")</f>
        <v>51.89</v>
      </c>
      <c r="Q13" s="50">
        <f t="shared" si="5"/>
        <v>51.89</v>
      </c>
    </row>
    <row r="14" spans="1:17" s="2" customFormat="1" ht="12" customHeight="1">
      <c r="A14" s="4">
        <f t="shared" si="6"/>
        <v>304</v>
      </c>
      <c r="B14" s="2">
        <v>1</v>
      </c>
      <c r="C14" s="114" t="s">
        <v>491</v>
      </c>
      <c r="D14" s="268" t="str">
        <f>VLOOKUP(C14,Purchased!A:B,2,0)</f>
        <v>ELESA Reduction sleeves RB51-12</v>
      </c>
      <c r="E14" s="269"/>
      <c r="F14" s="112" t="str">
        <f>VLOOKUP(C14,Purchased!A:Q,9,0)</f>
        <v>ELESA</v>
      </c>
      <c r="G14" s="112" t="str">
        <f>VLOOKUP(C14,Purchased!A:Q,10,0)</f>
        <v>ELESA</v>
      </c>
      <c r="H14" s="112" t="str">
        <f>VLOOKUP(C14,Purchased!A:Q,12,0)</f>
        <v xml:space="preserve"> </v>
      </c>
      <c r="I14" s="113"/>
      <c r="J14" s="44">
        <f>VLOOKUP(C14,Purchased!A:Q,13,0)</f>
        <v>45125</v>
      </c>
      <c r="K14" s="44">
        <f>VLOOKUP(C14,Purchased!A:Q,14,0)</f>
        <v>45162</v>
      </c>
      <c r="L14" s="44">
        <f>VLOOKUP(C14,Purchased!A:Q,15,0)</f>
        <v>45184</v>
      </c>
      <c r="M14" s="44">
        <f>VLOOKUP(C14,Purchased!A:Q,16,0)</f>
        <v>45184</v>
      </c>
      <c r="N14" s="45">
        <f>VLOOKUP(C14,Purchased!A:Q,17,0)</f>
        <v>55036</v>
      </c>
      <c r="O14" s="45" t="e">
        <f t="shared" ca="1" si="4"/>
        <v>#VALUE!</v>
      </c>
      <c r="P14" s="49">
        <f>IFERROR(VLOOKUP(C14,Purchased!A:E,3,FALSE),"")</f>
        <v>5.05</v>
      </c>
      <c r="Q14" s="50">
        <f t="shared" si="5"/>
        <v>5.05</v>
      </c>
    </row>
    <row r="15" spans="1:17" s="2" customFormat="1" ht="12" customHeight="1">
      <c r="A15" s="4">
        <f t="shared" si="6"/>
        <v>305</v>
      </c>
      <c r="B15" s="2">
        <v>1</v>
      </c>
      <c r="C15" s="114" t="s">
        <v>492</v>
      </c>
      <c r="D15" s="268" t="str">
        <f>VLOOKUP(C15,Purchased!A:B,2,0)</f>
        <v>Ball Bearing Shielded, Trade No. 6901-2Z, for 12 mm Shaft Diameter</v>
      </c>
      <c r="E15" s="269"/>
      <c r="F15" s="112" t="str">
        <f>VLOOKUP(C15,Purchased!A:Q,9,0)</f>
        <v>MCM</v>
      </c>
      <c r="G15" s="112" t="str">
        <f>VLOOKUP(C15,Purchased!A:Q,10,0)</f>
        <v>MCM</v>
      </c>
      <c r="H15" s="112">
        <f>VLOOKUP(C15,Purchased!A:Q,12,0)</f>
        <v>0</v>
      </c>
      <c r="I15" s="113"/>
      <c r="J15" s="44" t="str">
        <f>VLOOKUP(C15,Purchased!A:Q,13,0)</f>
        <v>N/A</v>
      </c>
      <c r="K15" s="44">
        <f>VLOOKUP(C15,Purchased!A:Q,14,0)</f>
        <v>45162</v>
      </c>
      <c r="L15" s="44">
        <f>VLOOKUP(C15,Purchased!A:Q,15,0)</f>
        <v>45184</v>
      </c>
      <c r="M15" s="44">
        <f>VLOOKUP(C15,Purchased!A:Q,16,0)</f>
        <v>45166</v>
      </c>
      <c r="N15" s="45">
        <f>VLOOKUP(C15,Purchased!A:Q,17,0)</f>
        <v>55087</v>
      </c>
      <c r="O15" s="45" t="e">
        <f ca="1">B15*$L$2</f>
        <v>#VALUE!</v>
      </c>
      <c r="P15" s="49">
        <f>IFERROR(VLOOKUP(C15,Purchased!A:E,3,FALSE),"")</f>
        <v>14.29</v>
      </c>
      <c r="Q15" s="50">
        <f>IFERROR(B15*P15,"")</f>
        <v>14.29</v>
      </c>
    </row>
    <row r="16" spans="1:17" s="2" customFormat="1" ht="12.75" customHeight="1">
      <c r="A16" s="25"/>
      <c r="B16" s="26"/>
      <c r="C16" s="26"/>
      <c r="D16" s="272"/>
      <c r="E16" s="273"/>
      <c r="F16" s="26"/>
      <c r="G16" s="26"/>
      <c r="H16" s="274"/>
      <c r="I16" s="275"/>
      <c r="J16" s="27"/>
      <c r="K16" s="27"/>
      <c r="L16" s="27"/>
      <c r="M16" s="28"/>
      <c r="N16" s="29"/>
      <c r="O16" s="29" t="e">
        <f t="shared" ref="O16:O18" ca="1" si="7">B16*$L$2</f>
        <v>#VALUE!</v>
      </c>
      <c r="P16" s="141"/>
      <c r="Q16" s="142"/>
    </row>
    <row r="17" spans="1:17" s="2" customFormat="1" ht="12.75" customHeight="1">
      <c r="A17" s="4">
        <v>501</v>
      </c>
      <c r="B17" s="2">
        <v>2</v>
      </c>
      <c r="C17" s="110" t="s">
        <v>493</v>
      </c>
      <c r="D17" s="268"/>
      <c r="E17" s="276"/>
      <c r="F17" s="112" t="str">
        <f>VLOOKUP(C17,Bolts!A:L,5,0)</f>
        <v xml:space="preserve">  </v>
      </c>
      <c r="G17" s="112" t="str">
        <f>VLOOKUP(C17,Bolts!A:L,6,0)</f>
        <v>Monroe Fasteners</v>
      </c>
      <c r="H17" s="112" t="str">
        <f>VLOOKUP(C17,Bolts!A:L,7,0)</f>
        <v xml:space="preserve">  </v>
      </c>
      <c r="I17" s="112"/>
      <c r="J17" s="44" t="str">
        <f>VLOOKUP(C17,Bolts!A:L,8,0)</f>
        <v xml:space="preserve"> </v>
      </c>
      <c r="K17" s="44" t="str">
        <f>VLOOKUP(C17,Bolts!A:L,9,0)</f>
        <v xml:space="preserve"> </v>
      </c>
      <c r="L17" s="44" t="str">
        <f>VLOOKUP(C17,Bolts!A:L,10,0)</f>
        <v xml:space="preserve"> </v>
      </c>
      <c r="M17" s="44" t="str">
        <f>VLOOKUP(C17,Bolts!A:L,11,0)</f>
        <v xml:space="preserve"> </v>
      </c>
      <c r="N17" s="45" t="str">
        <f>VLOOKUP(C17,Bolts!A:L,12,0)</f>
        <v xml:space="preserve"> </v>
      </c>
      <c r="O17" s="45" t="e">
        <f t="shared" ca="1" si="7"/>
        <v>#VALUE!</v>
      </c>
      <c r="P17" s="49" t="str">
        <f>IFERROR(VLOOKUP(C17,Bolts!A:B,2,FALSE),"")</f>
        <v xml:space="preserve"> </v>
      </c>
      <c r="Q17" s="50" t="str">
        <f t="shared" ref="Q17:Q18" si="8">IFERROR(B17*P17,"")</f>
        <v/>
      </c>
    </row>
    <row r="18" spans="1:17" s="2" customFormat="1" ht="12.75" customHeight="1">
      <c r="A18" s="4">
        <f t="shared" ref="A18" si="9">A17+1</f>
        <v>502</v>
      </c>
      <c r="B18" s="2">
        <v>2</v>
      </c>
      <c r="C18" s="110" t="s">
        <v>267</v>
      </c>
      <c r="D18" s="268"/>
      <c r="E18" s="276"/>
      <c r="F18" s="112" t="str">
        <f>VLOOKUP(C18,Bolts!A:L,5,0)</f>
        <v xml:space="preserve">  </v>
      </c>
      <c r="G18" s="112" t="str">
        <f>VLOOKUP(C18,Bolts!A:L,6,0)</f>
        <v>Monroe Fasteners</v>
      </c>
      <c r="H18" s="112" t="str">
        <f>VLOOKUP(C18,Bolts!A:L,7,0)</f>
        <v xml:space="preserve">  </v>
      </c>
      <c r="I18" s="112"/>
      <c r="J18" s="44" t="str">
        <f>VLOOKUP(C18,Bolts!A:L,8,0)</f>
        <v xml:space="preserve"> </v>
      </c>
      <c r="K18" s="44" t="str">
        <f>VLOOKUP(C18,Bolts!A:L,9,0)</f>
        <v xml:space="preserve"> </v>
      </c>
      <c r="L18" s="44" t="str">
        <f>VLOOKUP(C18,Bolts!A:L,10,0)</f>
        <v xml:space="preserve"> </v>
      </c>
      <c r="M18" s="44" t="str">
        <f>VLOOKUP(C18,Bolts!A:L,11,0)</f>
        <v xml:space="preserve"> </v>
      </c>
      <c r="N18" s="45" t="str">
        <f>VLOOKUP(C18,Bolts!A:L,12,0)</f>
        <v xml:space="preserve"> </v>
      </c>
      <c r="O18" s="45" t="e">
        <f t="shared" ca="1" si="7"/>
        <v>#VALUE!</v>
      </c>
      <c r="P18" s="49" t="str">
        <f>IFERROR(VLOOKUP(C18,Bolts!A:B,2,FALSE),"")</f>
        <v xml:space="preserve"> </v>
      </c>
      <c r="Q18" s="50" t="str">
        <f t="shared" si="8"/>
        <v/>
      </c>
    </row>
    <row r="19" spans="1:17" s="2" customFormat="1" ht="12.75" customHeight="1" thickBot="1">
      <c r="A19" s="4">
        <v>503</v>
      </c>
      <c r="B19" s="2">
        <v>2</v>
      </c>
      <c r="C19" s="110" t="s">
        <v>479</v>
      </c>
      <c r="D19" s="268"/>
      <c r="E19" s="276"/>
      <c r="F19" s="112" t="str">
        <f>VLOOKUP(C19,Bolts!A:L,5,0)</f>
        <v xml:space="preserve">  </v>
      </c>
      <c r="G19" s="112" t="str">
        <f>VLOOKUP(C19,Bolts!A:L,6,0)</f>
        <v>Monroe Fasteners</v>
      </c>
      <c r="H19" s="112" t="str">
        <f>VLOOKUP(C19,Bolts!A:L,7,0)</f>
        <v xml:space="preserve">  </v>
      </c>
      <c r="I19" s="112"/>
      <c r="J19" s="44" t="str">
        <f>VLOOKUP(C19,Bolts!A:L,8,0)</f>
        <v xml:space="preserve"> </v>
      </c>
      <c r="K19" s="44" t="str">
        <f>VLOOKUP(C19,Bolts!A:L,9,0)</f>
        <v xml:space="preserve"> </v>
      </c>
      <c r="L19" s="44" t="str">
        <f>VLOOKUP(C19,Bolts!A:L,10,0)</f>
        <v xml:space="preserve"> </v>
      </c>
      <c r="M19" s="44" t="str">
        <f>VLOOKUP(C19,Bolts!A:L,11,0)</f>
        <v xml:space="preserve"> </v>
      </c>
      <c r="N19" s="45" t="str">
        <f>VLOOKUP(C19,Bolts!A:L,12,0)</f>
        <v xml:space="preserve"> </v>
      </c>
      <c r="O19" s="45" t="e">
        <f ca="1">B19*$L$2</f>
        <v>#VALUE!</v>
      </c>
      <c r="P19" s="49" t="str">
        <f>IFERROR(VLOOKUP(C19,Bolts!A:B,2,FALSE),"")</f>
        <v xml:space="preserve"> </v>
      </c>
      <c r="Q19" s="50" t="str">
        <f>IFERROR(B19*P19,"")</f>
        <v/>
      </c>
    </row>
    <row r="20" spans="1:17" s="2" customFormat="1" ht="12.75" customHeight="1" thickBot="1">
      <c r="A20" s="34"/>
      <c r="B20" s="35"/>
      <c r="C20" s="35"/>
      <c r="D20" s="256"/>
      <c r="E20" s="257"/>
      <c r="F20" s="35"/>
      <c r="G20" s="35"/>
      <c r="H20" s="294"/>
      <c r="I20" s="295"/>
      <c r="J20" s="36"/>
      <c r="K20" s="36"/>
      <c r="L20" s="36"/>
      <c r="M20" s="37"/>
      <c r="N20" s="38"/>
      <c r="O20" s="38"/>
      <c r="P20" s="89" t="s">
        <v>43</v>
      </c>
      <c r="Q20" s="94">
        <f>SUM(Q5:Q19)</f>
        <v>424.48</v>
      </c>
    </row>
    <row r="21" spans="1:17" s="2" customFormat="1" ht="12" customHeight="1">
      <c r="D21" s="22"/>
      <c r="E21" s="22"/>
      <c r="J21" s="8"/>
      <c r="K21" s="8"/>
      <c r="L21" s="8"/>
      <c r="M21" s="8"/>
      <c r="N21" s="5"/>
      <c r="O21" s="5"/>
      <c r="P21" s="88"/>
      <c r="Q21" s="95"/>
    </row>
    <row r="22" spans="1:17" s="2" customFormat="1" ht="12" customHeight="1">
      <c r="D22" s="22"/>
      <c r="E22" s="22"/>
      <c r="J22" s="5"/>
      <c r="K22" s="5"/>
      <c r="L22" s="5"/>
      <c r="M22" s="5"/>
      <c r="N22" s="5"/>
      <c r="O22" s="5"/>
      <c r="P22" s="88"/>
      <c r="Q22" s="95"/>
    </row>
    <row r="23" spans="1:17" s="2" customFormat="1" ht="12" customHeight="1">
      <c r="D23" s="22"/>
      <c r="E23" s="22"/>
      <c r="J23" s="5"/>
      <c r="K23" s="5"/>
      <c r="L23" s="5"/>
      <c r="M23" s="5"/>
      <c r="N23" s="5"/>
      <c r="O23" s="5"/>
      <c r="P23" s="88"/>
      <c r="Q23" s="95"/>
    </row>
    <row r="24" spans="1:17" s="2" customFormat="1" ht="12" customHeight="1">
      <c r="D24" s="22"/>
      <c r="E24" s="22"/>
      <c r="J24" s="5"/>
      <c r="K24" s="5"/>
      <c r="L24" s="5"/>
      <c r="M24" s="5"/>
      <c r="N24" s="5"/>
      <c r="O24" s="5"/>
      <c r="P24" s="88"/>
      <c r="Q24" s="95"/>
    </row>
    <row r="25" spans="1:17" s="2" customFormat="1" ht="12" customHeight="1">
      <c r="D25" s="22"/>
      <c r="E25" s="22"/>
      <c r="J25" s="5"/>
      <c r="K25" s="5"/>
      <c r="L25" s="5"/>
      <c r="M25" s="5"/>
      <c r="N25" s="5"/>
      <c r="O25" s="5"/>
      <c r="P25" s="88"/>
      <c r="Q25" s="95"/>
    </row>
    <row r="26" spans="1:17" s="2" customFormat="1" ht="12" customHeight="1">
      <c r="D26" s="22"/>
      <c r="E26" s="22"/>
      <c r="J26" s="5"/>
      <c r="K26" s="5"/>
      <c r="L26" s="5"/>
      <c r="M26" s="5"/>
      <c r="N26" s="5"/>
      <c r="O26" s="5"/>
      <c r="P26" s="88"/>
      <c r="Q26" s="95"/>
    </row>
    <row r="27" spans="1:17" s="2" customFormat="1" ht="12" customHeight="1">
      <c r="D27" s="22"/>
      <c r="E27" s="22"/>
      <c r="J27" s="5"/>
      <c r="K27" s="5"/>
      <c r="L27" s="5"/>
      <c r="M27" s="5"/>
      <c r="N27" s="5"/>
      <c r="O27" s="5"/>
      <c r="P27" s="88"/>
      <c r="Q27" s="95"/>
    </row>
    <row r="28" spans="1:17" s="2" customFormat="1" ht="12" customHeight="1">
      <c r="D28" s="22"/>
      <c r="E28" s="22"/>
      <c r="J28" s="5"/>
      <c r="K28" s="5"/>
      <c r="L28" s="5"/>
      <c r="M28" s="5"/>
      <c r="N28" s="5"/>
      <c r="O28" s="5"/>
      <c r="P28" s="88"/>
      <c r="Q28" s="95"/>
    </row>
    <row r="29" spans="1:17" s="2" customFormat="1" ht="12" customHeight="1">
      <c r="D29" s="22"/>
      <c r="E29" s="22"/>
      <c r="J29" s="5"/>
      <c r="K29" s="5"/>
      <c r="L29" s="5"/>
      <c r="M29" s="5"/>
      <c r="N29" s="5"/>
      <c r="O29" s="5"/>
      <c r="P29" s="88"/>
      <c r="Q29" s="95"/>
    </row>
    <row r="30" spans="1:17" s="2" customFormat="1" ht="12" customHeight="1">
      <c r="D30" s="22"/>
      <c r="E30" s="22"/>
      <c r="J30" s="5"/>
      <c r="K30" s="5"/>
      <c r="L30" s="5"/>
      <c r="M30" s="5"/>
      <c r="N30" s="5"/>
      <c r="O30" s="5"/>
      <c r="P30" s="88"/>
      <c r="Q30" s="95"/>
    </row>
    <row r="31" spans="1:17" s="2" customFormat="1" ht="12" customHeight="1">
      <c r="D31" s="22"/>
      <c r="E31" s="22"/>
      <c r="J31" s="5"/>
      <c r="K31" s="5"/>
      <c r="L31" s="5"/>
      <c r="M31" s="5"/>
      <c r="N31" s="5"/>
      <c r="O31" s="5"/>
      <c r="P31" s="88"/>
      <c r="Q31" s="95"/>
    </row>
    <row r="32" spans="1:17" s="2" customFormat="1" ht="12" customHeight="1">
      <c r="D32" s="22"/>
      <c r="E32" s="22"/>
      <c r="J32" s="5"/>
      <c r="K32" s="5"/>
      <c r="L32" s="5"/>
      <c r="M32" s="5"/>
      <c r="N32" s="5"/>
      <c r="O32" s="5"/>
      <c r="P32" s="88"/>
      <c r="Q32" s="95"/>
    </row>
    <row r="33" spans="4:17" s="2" customFormat="1" ht="12" customHeight="1">
      <c r="D33" s="22"/>
      <c r="E33" s="22"/>
      <c r="J33" s="5"/>
      <c r="K33" s="5"/>
      <c r="L33" s="5"/>
      <c r="M33" s="5"/>
      <c r="N33" s="5"/>
      <c r="O33" s="5"/>
      <c r="P33" s="88"/>
      <c r="Q33" s="95"/>
    </row>
    <row r="34" spans="4:17" s="2" customFormat="1" ht="12" customHeight="1">
      <c r="D34" s="22"/>
      <c r="E34" s="22"/>
      <c r="J34" s="5"/>
      <c r="K34" s="5"/>
      <c r="L34" s="5"/>
      <c r="M34" s="5"/>
      <c r="N34" s="5"/>
      <c r="O34" s="5"/>
      <c r="P34" s="88"/>
      <c r="Q34" s="95"/>
    </row>
    <row r="35" spans="4:17" s="2" customFormat="1" ht="12" customHeight="1">
      <c r="D35" s="22"/>
      <c r="E35" s="22"/>
      <c r="J35" s="5"/>
      <c r="K35" s="5"/>
      <c r="L35" s="5"/>
      <c r="M35" s="5"/>
      <c r="N35" s="5"/>
      <c r="O35" s="5"/>
      <c r="P35" s="88"/>
      <c r="Q35" s="95"/>
    </row>
    <row r="36" spans="4:17" s="2" customFormat="1" ht="12" customHeight="1">
      <c r="D36" s="22"/>
      <c r="E36" s="22"/>
      <c r="J36" s="5"/>
      <c r="K36" s="5"/>
      <c r="L36" s="5"/>
      <c r="M36" s="5"/>
      <c r="N36" s="5"/>
      <c r="O36" s="5"/>
      <c r="P36" s="88"/>
      <c r="Q36" s="95"/>
    </row>
    <row r="37" spans="4:17" s="2" customFormat="1" ht="12" customHeight="1">
      <c r="D37" s="22"/>
      <c r="E37" s="22"/>
      <c r="J37" s="5"/>
      <c r="K37" s="5"/>
      <c r="L37" s="5"/>
      <c r="M37" s="5"/>
      <c r="N37" s="5"/>
      <c r="O37" s="5"/>
      <c r="P37" s="88"/>
      <c r="Q37" s="95"/>
    </row>
    <row r="38" spans="4:17" s="2" customFormat="1" ht="12" customHeight="1">
      <c r="D38" s="22"/>
      <c r="E38" s="22"/>
      <c r="J38" s="5"/>
      <c r="K38" s="5"/>
      <c r="L38" s="5"/>
      <c r="M38" s="5"/>
      <c r="N38" s="5"/>
      <c r="O38" s="5"/>
      <c r="P38" s="88"/>
      <c r="Q38" s="95"/>
    </row>
    <row r="39" spans="4:17" s="2" customFormat="1" ht="12" customHeight="1">
      <c r="D39" s="22"/>
      <c r="E39" s="22"/>
      <c r="J39" s="5"/>
      <c r="K39" s="5"/>
      <c r="L39" s="5"/>
      <c r="M39" s="5"/>
      <c r="N39" s="5"/>
      <c r="O39" s="5"/>
      <c r="P39" s="88"/>
      <c r="Q39" s="95"/>
    </row>
    <row r="40" spans="4:17" s="2" customFormat="1" ht="12" customHeight="1">
      <c r="D40" s="22"/>
      <c r="E40" s="22"/>
      <c r="J40" s="5"/>
      <c r="K40" s="5"/>
      <c r="L40" s="5"/>
      <c r="M40" s="5"/>
      <c r="N40" s="5"/>
      <c r="O40" s="5"/>
      <c r="P40" s="88"/>
      <c r="Q40" s="95"/>
    </row>
    <row r="41" spans="4:17" s="2" customFormat="1" ht="12" customHeight="1">
      <c r="D41" s="22"/>
      <c r="E41" s="22"/>
      <c r="J41" s="5"/>
      <c r="K41" s="5"/>
      <c r="L41" s="5"/>
      <c r="M41" s="5"/>
      <c r="N41" s="5"/>
      <c r="O41" s="5"/>
      <c r="P41" s="88"/>
      <c r="Q41" s="95"/>
    </row>
    <row r="42" spans="4:17" s="2" customFormat="1" ht="12" customHeight="1">
      <c r="D42" s="22"/>
      <c r="E42" s="22"/>
      <c r="J42" s="5"/>
      <c r="K42" s="5"/>
      <c r="L42" s="5"/>
      <c r="M42" s="5"/>
      <c r="N42" s="5"/>
      <c r="O42" s="5"/>
      <c r="P42" s="88"/>
      <c r="Q42" s="95"/>
    </row>
    <row r="43" spans="4:17" s="2" customFormat="1" ht="12" customHeight="1">
      <c r="D43" s="22"/>
      <c r="E43" s="22"/>
      <c r="J43" s="5"/>
      <c r="K43" s="5"/>
      <c r="L43" s="5"/>
      <c r="M43" s="5"/>
      <c r="N43" s="5"/>
      <c r="O43" s="5"/>
      <c r="P43" s="88"/>
      <c r="Q43" s="95"/>
    </row>
    <row r="44" spans="4:17" s="2" customFormat="1" ht="12" customHeight="1">
      <c r="D44" s="22"/>
      <c r="E44" s="22"/>
      <c r="J44" s="5"/>
      <c r="K44" s="5"/>
      <c r="L44" s="5"/>
      <c r="M44" s="5"/>
      <c r="N44" s="5"/>
      <c r="O44" s="5"/>
      <c r="P44" s="88"/>
      <c r="Q44" s="95"/>
    </row>
    <row r="45" spans="4:17" s="2" customFormat="1" ht="12" customHeight="1">
      <c r="D45" s="22"/>
      <c r="E45" s="22"/>
      <c r="J45" s="5"/>
      <c r="K45" s="5"/>
      <c r="L45" s="5"/>
      <c r="M45" s="5"/>
      <c r="N45" s="5"/>
      <c r="O45" s="5"/>
      <c r="P45" s="88"/>
      <c r="Q45" s="95"/>
    </row>
    <row r="46" spans="4:17" s="2" customFormat="1" ht="12" customHeight="1">
      <c r="D46" s="22"/>
      <c r="E46" s="22"/>
      <c r="J46" s="5"/>
      <c r="K46" s="5"/>
      <c r="L46" s="5"/>
      <c r="M46" s="5"/>
      <c r="N46" s="5"/>
      <c r="O46" s="5"/>
      <c r="P46" s="88"/>
      <c r="Q46" s="95"/>
    </row>
    <row r="47" spans="4:17" s="2" customFormat="1" ht="12" customHeight="1">
      <c r="D47" s="22"/>
      <c r="E47" s="22"/>
      <c r="J47" s="5"/>
      <c r="K47" s="5"/>
      <c r="L47" s="5"/>
      <c r="M47" s="5"/>
      <c r="N47" s="5"/>
      <c r="O47" s="5"/>
      <c r="P47" s="88"/>
      <c r="Q47" s="95"/>
    </row>
    <row r="48" spans="4:17" s="2" customFormat="1" ht="12" customHeight="1">
      <c r="D48" s="22"/>
      <c r="E48" s="22"/>
      <c r="J48" s="5"/>
      <c r="K48" s="5"/>
      <c r="L48" s="5"/>
      <c r="M48" s="5"/>
      <c r="N48" s="5"/>
      <c r="O48" s="5"/>
      <c r="P48" s="88"/>
      <c r="Q48" s="95"/>
    </row>
    <row r="49" spans="1:17" s="2" customFormat="1" ht="12" customHeight="1">
      <c r="D49" s="22"/>
      <c r="E49" s="22"/>
      <c r="J49" s="5"/>
      <c r="K49" s="5"/>
      <c r="L49" s="5"/>
      <c r="M49" s="5"/>
      <c r="N49" s="5"/>
      <c r="O49" s="5"/>
      <c r="P49" s="88"/>
      <c r="Q49" s="95"/>
    </row>
    <row r="50" spans="1:17" s="2" customFormat="1" ht="12" customHeight="1">
      <c r="D50" s="22"/>
      <c r="E50" s="22"/>
      <c r="J50" s="5"/>
      <c r="K50" s="5"/>
      <c r="L50" s="5"/>
      <c r="M50" s="5"/>
      <c r="N50" s="5"/>
      <c r="O50" s="5"/>
      <c r="P50" s="88"/>
      <c r="Q50" s="95"/>
    </row>
    <row r="51" spans="1:17" s="2" customFormat="1" ht="12" customHeight="1">
      <c r="D51" s="22"/>
      <c r="E51" s="22"/>
      <c r="J51" s="5"/>
      <c r="K51" s="5"/>
      <c r="L51" s="5"/>
      <c r="M51" s="5"/>
      <c r="N51" s="5"/>
      <c r="O51" s="5"/>
      <c r="P51" s="88"/>
      <c r="Q51" s="95"/>
    </row>
    <row r="52" spans="1:17" s="2" customFormat="1" ht="12" customHeight="1">
      <c r="D52" s="22"/>
      <c r="E52" s="22"/>
      <c r="J52" s="5"/>
      <c r="K52" s="5"/>
      <c r="L52" s="5"/>
      <c r="M52" s="5"/>
      <c r="N52" s="5"/>
      <c r="O52" s="5"/>
      <c r="P52" s="88"/>
      <c r="Q52" s="95"/>
    </row>
    <row r="53" spans="1:17" s="2" customFormat="1" ht="12" customHeight="1">
      <c r="D53" s="22"/>
      <c r="E53" s="22"/>
      <c r="J53" s="5"/>
      <c r="K53" s="5"/>
      <c r="L53" s="5"/>
      <c r="M53" s="5"/>
      <c r="N53" s="5"/>
      <c r="O53" s="5"/>
      <c r="P53" s="88"/>
      <c r="Q53" s="95"/>
    </row>
    <row r="54" spans="1:17" s="2" customFormat="1" ht="12" customHeight="1">
      <c r="D54" s="22"/>
      <c r="E54" s="22"/>
      <c r="J54" s="5"/>
      <c r="K54" s="5"/>
      <c r="L54" s="5"/>
      <c r="M54" s="5"/>
      <c r="N54" s="5"/>
      <c r="O54" s="5"/>
      <c r="P54" s="88"/>
      <c r="Q54" s="95"/>
    </row>
    <row r="55" spans="1:17" s="2" customFormat="1" ht="12" customHeight="1">
      <c r="D55" s="22"/>
      <c r="E55" s="22"/>
      <c r="J55" s="5"/>
      <c r="K55" s="5"/>
      <c r="L55" s="5"/>
      <c r="M55" s="5"/>
      <c r="N55" s="5"/>
      <c r="O55" s="5"/>
      <c r="P55" s="88"/>
      <c r="Q55" s="95"/>
    </row>
    <row r="56" spans="1:17" s="2" customFormat="1" ht="12" customHeight="1">
      <c r="D56" s="22"/>
      <c r="E56" s="22"/>
      <c r="J56" s="5"/>
      <c r="K56" s="5"/>
      <c r="L56" s="5"/>
      <c r="M56" s="5"/>
      <c r="N56" s="5"/>
      <c r="O56" s="5"/>
      <c r="P56" s="88"/>
      <c r="Q56" s="95"/>
    </row>
    <row r="57" spans="1:17" s="2" customFormat="1" ht="12" customHeight="1">
      <c r="D57" s="22"/>
      <c r="E57" s="22"/>
      <c r="J57" s="5"/>
      <c r="K57" s="5"/>
      <c r="L57" s="5"/>
      <c r="M57" s="5"/>
      <c r="N57" s="5"/>
      <c r="O57" s="5"/>
      <c r="P57" s="88"/>
      <c r="Q57" s="95"/>
    </row>
    <row r="58" spans="1:17" s="2" customFormat="1" ht="12" customHeight="1">
      <c r="D58" s="22"/>
      <c r="E58" s="22"/>
      <c r="J58" s="5"/>
      <c r="K58" s="5"/>
      <c r="L58" s="5"/>
      <c r="M58" s="5"/>
      <c r="N58" s="5"/>
      <c r="O58" s="5"/>
      <c r="P58" s="88"/>
      <c r="Q58" s="95"/>
    </row>
    <row r="59" spans="1:17" s="2" customFormat="1" ht="12" customHeight="1">
      <c r="D59" s="22"/>
      <c r="E59" s="22"/>
      <c r="J59" s="5"/>
      <c r="K59" s="5"/>
      <c r="L59" s="5"/>
      <c r="M59" s="5"/>
      <c r="N59" s="5"/>
      <c r="O59" s="5"/>
      <c r="P59" s="88"/>
      <c r="Q59" s="96"/>
    </row>
    <row r="60" spans="1:17" s="2" customFormat="1" ht="12" customHeight="1">
      <c r="D60" s="22"/>
      <c r="E60" s="22"/>
      <c r="J60" s="5"/>
      <c r="K60" s="5"/>
      <c r="L60" s="5"/>
      <c r="M60" s="5"/>
      <c r="N60" s="5"/>
      <c r="O60" s="5"/>
      <c r="P60" s="88"/>
      <c r="Q60" s="96"/>
    </row>
    <row r="61" spans="1:17" s="2" customFormat="1" ht="12" customHeight="1">
      <c r="D61" s="22"/>
      <c r="E61" s="22"/>
      <c r="J61" s="5"/>
      <c r="K61" s="5"/>
      <c r="L61" s="5"/>
      <c r="M61" s="5"/>
      <c r="N61" s="5"/>
      <c r="O61" s="5"/>
      <c r="P61" s="88"/>
      <c r="Q61" s="96"/>
    </row>
    <row r="62" spans="1:17" s="2" customFormat="1" ht="12" customHeight="1">
      <c r="D62" s="22"/>
      <c r="E62" s="22"/>
      <c r="J62" s="5"/>
      <c r="K62" s="5"/>
      <c r="L62" s="5"/>
      <c r="M62" s="5"/>
      <c r="N62" s="5"/>
      <c r="O62" s="5"/>
      <c r="P62" s="88"/>
      <c r="Q62" s="96"/>
    </row>
    <row r="63" spans="1:17" s="2" customFormat="1" ht="12" customHeight="1">
      <c r="A63"/>
      <c r="B63"/>
      <c r="C63"/>
      <c r="D63" s="23"/>
      <c r="E63" s="23"/>
      <c r="F63"/>
      <c r="G63"/>
      <c r="H63"/>
      <c r="I63"/>
      <c r="J63" s="19"/>
      <c r="K63" s="19"/>
      <c r="L63" s="19"/>
      <c r="M63" s="19"/>
      <c r="N63" s="19"/>
      <c r="O63" s="19"/>
      <c r="P63" s="90"/>
      <c r="Q63" s="96"/>
    </row>
    <row r="64" spans="1:17" s="2" customFormat="1" ht="12" customHeight="1">
      <c r="A64"/>
      <c r="B64"/>
      <c r="C64"/>
      <c r="D64" s="23"/>
      <c r="E64" s="23"/>
      <c r="F64"/>
      <c r="G64"/>
      <c r="H64"/>
      <c r="I64"/>
      <c r="J64" s="19"/>
      <c r="K64" s="19"/>
      <c r="L64" s="19"/>
      <c r="M64" s="19"/>
      <c r="N64" s="19"/>
      <c r="O64" s="19"/>
      <c r="P64" s="90"/>
      <c r="Q64" s="96"/>
    </row>
    <row r="65" spans="1:17" s="2" customFormat="1" ht="12" customHeight="1">
      <c r="A65"/>
      <c r="B65"/>
      <c r="C65"/>
      <c r="D65" s="23"/>
      <c r="E65" s="23"/>
      <c r="F65"/>
      <c r="G65"/>
      <c r="H65"/>
      <c r="I65"/>
      <c r="J65" s="19"/>
      <c r="K65" s="19"/>
      <c r="L65" s="19"/>
      <c r="M65" s="19"/>
      <c r="N65" s="19"/>
      <c r="O65" s="19"/>
      <c r="P65" s="90"/>
      <c r="Q65" s="96"/>
    </row>
    <row r="66" spans="1:17" s="2" customFormat="1" ht="12" customHeight="1">
      <c r="A66"/>
      <c r="B66"/>
      <c r="C66"/>
      <c r="D66" s="23"/>
      <c r="E66" s="23"/>
      <c r="F66"/>
      <c r="G66"/>
      <c r="H66"/>
      <c r="I66"/>
      <c r="J66" s="19"/>
      <c r="K66" s="19"/>
      <c r="L66" s="19"/>
      <c r="M66" s="19"/>
      <c r="N66" s="19"/>
      <c r="O66" s="19"/>
      <c r="P66" s="90"/>
      <c r="Q66" s="96"/>
    </row>
    <row r="67" spans="1:17" s="2" customFormat="1" ht="12" customHeight="1">
      <c r="A67"/>
      <c r="B67"/>
      <c r="C67"/>
      <c r="D67" s="23"/>
      <c r="E67" s="23"/>
      <c r="F67"/>
      <c r="G67"/>
      <c r="H67"/>
      <c r="I67"/>
      <c r="J67" s="19"/>
      <c r="K67" s="19"/>
      <c r="L67" s="19"/>
      <c r="M67" s="19"/>
      <c r="N67" s="19"/>
      <c r="O67" s="19"/>
      <c r="P67" s="90"/>
      <c r="Q67" s="96"/>
    </row>
    <row r="68" spans="1:17">
      <c r="Q68" s="96"/>
    </row>
    <row r="69" spans="1:17">
      <c r="Q69" s="96"/>
    </row>
    <row r="70" spans="1:17">
      <c r="Q70" s="96"/>
    </row>
    <row r="71" spans="1:17">
      <c r="Q71" s="96"/>
    </row>
    <row r="72" spans="1:17">
      <c r="Q72" s="96"/>
    </row>
    <row r="73" spans="1:17">
      <c r="Q73" s="96"/>
    </row>
    <row r="74" spans="1:17">
      <c r="Q74" s="96"/>
    </row>
    <row r="75" spans="1:17">
      <c r="Q75" s="96"/>
    </row>
    <row r="76" spans="1:17">
      <c r="Q76" s="96"/>
    </row>
    <row r="77" spans="1:17">
      <c r="Q77" s="96"/>
    </row>
    <row r="78" spans="1:17">
      <c r="Q78" s="96"/>
    </row>
    <row r="79" spans="1:17">
      <c r="Q79" s="96"/>
    </row>
    <row r="80" spans="1:17">
      <c r="Q80" s="96"/>
    </row>
    <row r="81" spans="17:17">
      <c r="Q81" s="96"/>
    </row>
    <row r="82" spans="17:17">
      <c r="Q82" s="96"/>
    </row>
    <row r="83" spans="17:17">
      <c r="Q83" s="96"/>
    </row>
    <row r="84" spans="17:17">
      <c r="Q84" s="96"/>
    </row>
    <row r="85" spans="17:17">
      <c r="Q85" s="96"/>
    </row>
    <row r="86" spans="17:17">
      <c r="Q86" s="96"/>
    </row>
    <row r="87" spans="17:17">
      <c r="Q87" s="96"/>
    </row>
    <row r="124" ht="12" customHeight="1"/>
    <row r="125" ht="12" customHeight="1"/>
    <row r="126" ht="12" customHeight="1"/>
    <row r="127" ht="12" customHeight="1"/>
    <row r="128" ht="12" customHeight="1"/>
    <row r="129" ht="12" customHeight="1"/>
    <row r="130" ht="12" customHeight="1"/>
    <row r="131" ht="12" customHeight="1"/>
    <row r="132" ht="12" customHeight="1"/>
    <row r="133" ht="12" customHeight="1"/>
    <row r="134" ht="12" customHeight="1"/>
    <row r="135" ht="12" customHeight="1"/>
    <row r="136" ht="12" customHeight="1"/>
    <row r="137" ht="12" customHeight="1"/>
    <row r="138" ht="12" customHeight="1"/>
    <row r="139" ht="12" customHeight="1"/>
    <row r="140" ht="12" customHeight="1"/>
    <row r="141" ht="12" customHeight="1"/>
    <row r="142" ht="12" customHeight="1"/>
    <row r="143" ht="12" customHeight="1"/>
    <row r="144" ht="12" customHeight="1"/>
    <row r="145" ht="12" customHeight="1"/>
    <row r="146" ht="12" customHeight="1"/>
    <row r="147" ht="12" customHeight="1"/>
    <row r="148" ht="12" customHeight="1"/>
    <row r="149" ht="12" customHeight="1"/>
    <row r="150" ht="12" customHeight="1"/>
    <row r="151" ht="12" customHeight="1"/>
    <row r="152" ht="12" customHeight="1"/>
    <row r="153" ht="12" customHeight="1"/>
    <row r="154" ht="12" customHeight="1"/>
    <row r="155" ht="12" customHeight="1"/>
    <row r="156" ht="12" customHeight="1"/>
    <row r="157" ht="12" customHeight="1"/>
    <row r="158" ht="12" customHeight="1"/>
    <row r="159" ht="12" customHeight="1"/>
    <row r="160" ht="12" customHeight="1"/>
    <row r="161" ht="12" customHeight="1"/>
    <row r="162" ht="12" customHeight="1"/>
    <row r="163" ht="12" customHeight="1"/>
    <row r="164" ht="12" customHeight="1"/>
    <row r="165" ht="12" customHeight="1"/>
    <row r="166" ht="12" customHeight="1"/>
    <row r="167" ht="12" customHeight="1"/>
    <row r="168" ht="12" customHeight="1"/>
    <row r="169" ht="12" customHeight="1"/>
    <row r="170" ht="12" customHeight="1"/>
    <row r="171" ht="12" customHeight="1"/>
    <row r="172" ht="12" customHeight="1"/>
    <row r="173" ht="12" customHeight="1"/>
  </sheetData>
  <mergeCells count="22">
    <mergeCell ref="H20:I20"/>
    <mergeCell ref="D17:E17"/>
    <mergeCell ref="D18:E18"/>
    <mergeCell ref="D16:E16"/>
    <mergeCell ref="D20:E20"/>
    <mergeCell ref="D19:E19"/>
    <mergeCell ref="D12:E12"/>
    <mergeCell ref="D13:E13"/>
    <mergeCell ref="D14:E14"/>
    <mergeCell ref="H16:I16"/>
    <mergeCell ref="D15:E15"/>
    <mergeCell ref="D7:E7"/>
    <mergeCell ref="D8:E8"/>
    <mergeCell ref="D10:E10"/>
    <mergeCell ref="H10:I10"/>
    <mergeCell ref="D11:E11"/>
    <mergeCell ref="D9:E9"/>
    <mergeCell ref="D1:E1"/>
    <mergeCell ref="D4:E4"/>
    <mergeCell ref="H4:I4"/>
    <mergeCell ref="D5:E5"/>
    <mergeCell ref="D6:E6"/>
  </mergeCells>
  <conditionalFormatting sqref="M5:M9">
    <cfRule type="cellIs" dxfId="525" priority="1" stopIfTrue="1" operator="lessThanOrEqual">
      <formula>$L5</formula>
    </cfRule>
    <cfRule type="cellIs" dxfId="524" priority="2" operator="greaterThan">
      <formula>L5</formula>
    </cfRule>
  </conditionalFormatting>
  <conditionalFormatting sqref="M11:M15 M17:M19">
    <cfRule type="cellIs" dxfId="523" priority="3" stopIfTrue="1" operator="lessThanOrEqual">
      <formula>$L11</formula>
    </cfRule>
    <cfRule type="cellIs" dxfId="522" priority="4" operator="greaterThan">
      <formula>L11</formula>
    </cfRule>
  </conditionalFormatting>
  <pageMargins left="0.7" right="0.7" top="0.75" bottom="0.75" header="0.3" footer="0.3"/>
  <pageSetup paperSize="3" fitToHeight="0" orientation="landscape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A271784D-28B6-4EDB-BF61-C9476A09FC46}">
          <x14:formula1>
            <xm:f>Bolts!$A:$A</xm:f>
          </x14:formula1>
          <xm:sqref>C17:C19</xm:sqref>
        </x14:dataValidation>
        <x14:dataValidation type="list" allowBlank="1" showInputMessage="1" showErrorMessage="1" xr:uid="{2CFB1B84-1244-49D0-8568-C9C470510688}">
          <x14:formula1>
            <xm:f>Purchased!$A:$A</xm:f>
          </x14:formula1>
          <xm:sqref>C11:C15</xm:sqref>
        </x14:dataValidation>
        <x14:dataValidation type="list" allowBlank="1" showInputMessage="1" showErrorMessage="1" xr:uid="{052B75F4-C837-40C5-BF65-090AD298D0FF}">
          <x14:formula1>
            <xm:f>Machined!$C:$C</xm:f>
          </x14:formula1>
          <xm:sqref>C5:C9</xm:sqref>
        </x14:dataValidation>
      </x14:dataValidation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A9D06B-A0A8-4C4A-BDC4-B99EA681E8BB}">
  <sheetPr codeName="Sheet37">
    <tabColor theme="3" tint="0.59999389629810485"/>
    <pageSetUpPr fitToPage="1"/>
  </sheetPr>
  <dimension ref="A1:Q170"/>
  <sheetViews>
    <sheetView zoomScaleNormal="100" workbookViewId="0">
      <selection activeCell="C13" sqref="C13"/>
    </sheetView>
  </sheetViews>
  <sheetFormatPr defaultColWidth="9.140625" defaultRowHeight="15"/>
  <cols>
    <col min="1" max="1" width="5.7109375" customWidth="1"/>
    <col min="2" max="2" width="5.42578125" bestFit="1" customWidth="1"/>
    <col min="3" max="3" width="30.7109375" customWidth="1"/>
    <col min="4" max="5" width="20.7109375" style="23" customWidth="1"/>
    <col min="6" max="6" width="16.85546875" bestFit="1" customWidth="1"/>
    <col min="7" max="7" width="9.7109375" customWidth="1"/>
    <col min="8" max="8" width="8.7109375" customWidth="1"/>
    <col min="9" max="9" width="20.7109375" customWidth="1"/>
    <col min="10" max="13" width="11.7109375" style="19" customWidth="1"/>
    <col min="14" max="14" width="11.85546875" style="19" bestFit="1" customWidth="1"/>
    <col min="15" max="15" width="7.7109375" style="19" customWidth="1"/>
    <col min="16" max="16" width="10.7109375" style="90" customWidth="1"/>
    <col min="17" max="17" width="10.7109375" style="97" customWidth="1"/>
  </cols>
  <sheetData>
    <row r="1" spans="1:17" s="55" customFormat="1" ht="12" customHeight="1">
      <c r="A1" s="68" t="s">
        <v>0</v>
      </c>
      <c r="B1" s="69"/>
      <c r="C1" s="69"/>
      <c r="D1" s="262" t="s">
        <v>1</v>
      </c>
      <c r="E1" s="263"/>
      <c r="F1" s="70"/>
      <c r="G1" s="69"/>
      <c r="H1" s="70"/>
      <c r="I1" s="71"/>
      <c r="J1" s="72"/>
      <c r="K1" s="72"/>
      <c r="L1" s="72"/>
      <c r="M1" s="72"/>
      <c r="N1" s="72"/>
      <c r="O1" s="72"/>
      <c r="P1" s="85"/>
      <c r="Q1" s="91"/>
    </row>
    <row r="2" spans="1:17" s="55" customFormat="1" ht="12" customHeight="1">
      <c r="A2" s="74" t="s">
        <v>48</v>
      </c>
      <c r="B2" s="58"/>
      <c r="C2" s="57" t="e">
        <f ca="1">VLOOKUP(E3,Assemblies!B:F,4,0)</f>
        <v>#VALUE!</v>
      </c>
      <c r="D2" s="75" t="s">
        <v>3</v>
      </c>
      <c r="E2" s="76" t="e">
        <f ca="1">'GF12'!E2</f>
        <v>#VALUE!</v>
      </c>
      <c r="F2" s="77" t="s">
        <v>4</v>
      </c>
      <c r="G2" s="58" t="str">
        <f>'GF12'!G2</f>
        <v>GH</v>
      </c>
      <c r="H2" s="77" t="s">
        <v>6</v>
      </c>
      <c r="I2" s="59">
        <f>'GF12'!I2</f>
        <v>44775</v>
      </c>
      <c r="J2" s="39"/>
      <c r="K2" s="40" t="s">
        <v>49</v>
      </c>
      <c r="L2" s="41" t="e">
        <f ca="1">VLOOKUP(C2,Assemblies!E:G,3,0)</f>
        <v>#VALUE!</v>
      </c>
      <c r="M2" s="78"/>
      <c r="N2" s="78"/>
      <c r="O2" s="78"/>
      <c r="P2" s="86"/>
      <c r="Q2" s="92"/>
    </row>
    <row r="3" spans="1:17" s="55" customFormat="1" ht="12" customHeight="1" thickBot="1">
      <c r="A3" s="74" t="s">
        <v>7</v>
      </c>
      <c r="B3" s="58"/>
      <c r="C3" s="57" t="e">
        <f ca="1">VLOOKUP(E3,Assemblies!B:F,5,0)</f>
        <v>#VALUE!</v>
      </c>
      <c r="D3" s="75" t="s">
        <v>50</v>
      </c>
      <c r="E3" s="76" t="e">
        <f ca="1">MID(CELL("filename",A1),FIND("]",CELL("filename",A1))+1,256)</f>
        <v>#VALUE!</v>
      </c>
      <c r="F3" s="77" t="s">
        <v>11</v>
      </c>
      <c r="G3" s="58" t="str">
        <f>'GF12'!G3</f>
        <v>GH</v>
      </c>
      <c r="H3" s="77" t="s">
        <v>6</v>
      </c>
      <c r="I3" s="59">
        <f>'GF12'!I3</f>
        <v>44775</v>
      </c>
      <c r="J3" s="78"/>
      <c r="K3" s="78"/>
      <c r="L3" s="78"/>
      <c r="M3" s="78"/>
      <c r="N3" s="78"/>
      <c r="O3" s="78"/>
      <c r="P3" s="86"/>
      <c r="Q3" s="92"/>
    </row>
    <row r="4" spans="1:17" s="56" customFormat="1" ht="12.75" customHeight="1" thickBot="1">
      <c r="A4" s="80" t="s">
        <v>12</v>
      </c>
      <c r="B4" s="81" t="s">
        <v>13</v>
      </c>
      <c r="C4" s="81" t="s">
        <v>14</v>
      </c>
      <c r="D4" s="270" t="s">
        <v>15</v>
      </c>
      <c r="E4" s="271"/>
      <c r="F4" s="104" t="s">
        <v>16</v>
      </c>
      <c r="G4" s="81" t="s">
        <v>17</v>
      </c>
      <c r="H4" s="260" t="s">
        <v>18</v>
      </c>
      <c r="I4" s="261"/>
      <c r="J4" s="81" t="s">
        <v>51</v>
      </c>
      <c r="K4" s="81" t="s">
        <v>20</v>
      </c>
      <c r="L4" s="81" t="s">
        <v>21</v>
      </c>
      <c r="M4" s="81" t="s">
        <v>52</v>
      </c>
      <c r="N4" s="81" t="s">
        <v>22</v>
      </c>
      <c r="O4" s="81" t="s">
        <v>53</v>
      </c>
      <c r="P4" s="107" t="s">
        <v>26</v>
      </c>
      <c r="Q4" s="82" t="s">
        <v>27</v>
      </c>
    </row>
    <row r="5" spans="1:17" s="2" customFormat="1" ht="12.75" customHeight="1">
      <c r="A5" s="127">
        <v>1</v>
      </c>
      <c r="B5" s="21">
        <v>1</v>
      </c>
      <c r="C5" s="108" t="s">
        <v>494</v>
      </c>
      <c r="D5" s="277" t="str">
        <f>VLOOKUP(C5,Machined!C:Q,2,0)</f>
        <v>Lower Panel 1 (1748x584)</v>
      </c>
      <c r="E5" s="278"/>
      <c r="F5" s="131" t="str">
        <f>VLOOKUP(C5,Machined!C:R,7,0)</f>
        <v>Polycarb</v>
      </c>
      <c r="G5" s="131" t="str">
        <f>VLOOKUP(C5,Machined!C:R,10,0)</f>
        <v>PRO PLASTICS</v>
      </c>
      <c r="H5" s="131" t="str">
        <f>VLOOKUP(C5,Machined!C:R,11,0)</f>
        <v>Quote 665542, 4 weeks 10/24</v>
      </c>
      <c r="I5" s="131"/>
      <c r="J5" s="42">
        <f>VLOOKUP(C5,Machined!C:R,12,0)</f>
        <v>45159</v>
      </c>
      <c r="K5" s="42" t="str">
        <f>VLOOKUP(C5,Machined!C:R,13,0)</f>
        <v xml:space="preserve"> 9/19/2023</v>
      </c>
      <c r="L5" s="42">
        <f>VLOOKUP(C5,Machined!C:R,14,0)</f>
        <v>45212</v>
      </c>
      <c r="M5" s="42">
        <f>VLOOKUP(C5,Machined!C:R,15,0)</f>
        <v>45216</v>
      </c>
      <c r="N5" s="43">
        <f>VLOOKUP(C5,Machined!C:R,16,0)</f>
        <v>55156</v>
      </c>
      <c r="O5" s="43" t="e">
        <f t="shared" ref="O5:O10" ca="1" si="0">B5*$L$2</f>
        <v>#VALUE!</v>
      </c>
      <c r="P5" s="47">
        <f>IFERROR(VLOOKUP(C5,Machined!C:F,3,0),"")</f>
        <v>180</v>
      </c>
      <c r="Q5" s="48">
        <f t="shared" ref="Q5:Q10" si="1">IFERROR(B5*P5,"")</f>
        <v>180</v>
      </c>
    </row>
    <row r="6" spans="1:17" s="2" customFormat="1" ht="12.75" customHeight="1">
      <c r="A6" s="127">
        <v>2</v>
      </c>
      <c r="B6" s="21">
        <v>1</v>
      </c>
      <c r="C6" s="108" t="s">
        <v>495</v>
      </c>
      <c r="D6" s="277" t="str">
        <f>VLOOKUP(C6,Machined!C:Q,2,0)</f>
        <v>Lower Panel 2 (1748x731)</v>
      </c>
      <c r="E6" s="278"/>
      <c r="F6" s="131" t="str">
        <f>VLOOKUP(C6,Machined!C:R,7,0)</f>
        <v>Polycarb</v>
      </c>
      <c r="G6" s="131" t="str">
        <f>VLOOKUP(C6,Machined!C:R,10,0)</f>
        <v>PRO PLASTICS</v>
      </c>
      <c r="H6" s="131" t="str">
        <f>VLOOKUP(C6,Machined!C:R,11,0)</f>
        <v>Quote 671549; 4 weeks 10/24</v>
      </c>
      <c r="I6" s="131"/>
      <c r="J6" s="42">
        <f>VLOOKUP(C6,Machined!C:R,12,0)</f>
        <v>45159</v>
      </c>
      <c r="K6" s="42">
        <f>VLOOKUP(C6,Machined!C:R,13,0)</f>
        <v>45189</v>
      </c>
      <c r="L6" s="42">
        <f>VLOOKUP(C6,Machined!C:R,14,0)</f>
        <v>45212</v>
      </c>
      <c r="M6" s="42">
        <f>VLOOKUP(C6,Machined!C:R,15,0)</f>
        <v>45228</v>
      </c>
      <c r="N6" s="43">
        <f>VLOOKUP(C6,Machined!C:R,16,0)</f>
        <v>55160</v>
      </c>
      <c r="O6" s="43" t="e">
        <f t="shared" ca="1" si="0"/>
        <v>#VALUE!</v>
      </c>
      <c r="P6" s="47">
        <f>IFERROR(VLOOKUP(C6,Machined!C:F,3,0),"")</f>
        <v>206</v>
      </c>
      <c r="Q6" s="48">
        <f t="shared" si="1"/>
        <v>206</v>
      </c>
    </row>
    <row r="7" spans="1:17" s="2" customFormat="1" ht="12.75" customHeight="1">
      <c r="A7" s="127">
        <v>3</v>
      </c>
      <c r="B7" s="21">
        <v>4</v>
      </c>
      <c r="C7" s="108" t="s">
        <v>496</v>
      </c>
      <c r="D7" s="277" t="str">
        <f>VLOOKUP(C7,Machined!C:Q,2,0)</f>
        <v>Lower Panel 3 (366x731)</v>
      </c>
      <c r="E7" s="278"/>
      <c r="F7" s="131" t="str">
        <f>VLOOKUP(C7,Machined!C:R,7,0)</f>
        <v>Polycarb</v>
      </c>
      <c r="G7" s="131" t="str">
        <f>VLOOKUP(C7,Machined!C:R,10,0)</f>
        <v>PRO PLASTICS</v>
      </c>
      <c r="H7" s="131" t="str">
        <f>VLOOKUP(C7,Machined!C:R,11,0)</f>
        <v>Quote 665542, 4 weeks 10/24</v>
      </c>
      <c r="I7" s="131"/>
      <c r="J7" s="42">
        <f>VLOOKUP(C7,Machined!C:R,12,0)</f>
        <v>45159</v>
      </c>
      <c r="K7" s="42">
        <f>VLOOKUP(C7,Machined!C:R,13,0)</f>
        <v>45188</v>
      </c>
      <c r="L7" s="42">
        <f>VLOOKUP(C7,Machined!C:R,14,0)</f>
        <v>45212</v>
      </c>
      <c r="M7" s="42">
        <f>VLOOKUP(C7,Machined!C:R,15,0)</f>
        <v>45216</v>
      </c>
      <c r="N7" s="43">
        <f>VLOOKUP(C7,Machined!C:R,16,0)</f>
        <v>55156</v>
      </c>
      <c r="O7" s="43" t="e">
        <f t="shared" ca="1" si="0"/>
        <v>#VALUE!</v>
      </c>
      <c r="P7" s="47">
        <f>IFERROR(VLOOKUP(C7,Machined!C:F,3,0),"")</f>
        <v>55</v>
      </c>
      <c r="Q7" s="48">
        <f t="shared" si="1"/>
        <v>220</v>
      </c>
    </row>
    <row r="8" spans="1:17" s="2" customFormat="1" ht="12.75" customHeight="1">
      <c r="A8" s="127">
        <v>4</v>
      </c>
      <c r="B8" s="21">
        <v>2</v>
      </c>
      <c r="C8" s="108" t="s">
        <v>497</v>
      </c>
      <c r="D8" s="277" t="str">
        <f>VLOOKUP(C8,Machined!C:Q,2,0)</f>
        <v>Lower Panel 4 (797x731)</v>
      </c>
      <c r="E8" s="278"/>
      <c r="F8" s="131" t="str">
        <f>VLOOKUP(C8,Machined!C:R,7,0)</f>
        <v>Polycarb</v>
      </c>
      <c r="G8" s="131" t="str">
        <f>VLOOKUP(C8,Machined!C:R,10,0)</f>
        <v>PRO PLASTICS</v>
      </c>
      <c r="H8" s="131" t="str">
        <f>VLOOKUP(C8,Machined!C:R,11,0)</f>
        <v>Quote 665542, 4 weeks 10/24</v>
      </c>
      <c r="I8" s="131"/>
      <c r="J8" s="42">
        <f>VLOOKUP(C8,Machined!C:R,12,0)</f>
        <v>45159</v>
      </c>
      <c r="K8" s="42">
        <f>VLOOKUP(C8,Machined!C:R,13,0)</f>
        <v>45188</v>
      </c>
      <c r="L8" s="42">
        <f>VLOOKUP(C8,Machined!C:R,14,0)</f>
        <v>45212</v>
      </c>
      <c r="M8" s="42">
        <f>VLOOKUP(C8,Machined!C:R,15,0)</f>
        <v>45216</v>
      </c>
      <c r="N8" s="43">
        <f>VLOOKUP(C8,Machined!C:R,16,0)</f>
        <v>55156</v>
      </c>
      <c r="O8" s="43" t="e">
        <f t="shared" ca="1" si="0"/>
        <v>#VALUE!</v>
      </c>
      <c r="P8" s="47">
        <f>IFERROR(VLOOKUP(C8,Machined!C:F,3,0),"")</f>
        <v>112</v>
      </c>
      <c r="Q8" s="48">
        <f t="shared" si="1"/>
        <v>224</v>
      </c>
    </row>
    <row r="9" spans="1:17" s="2" customFormat="1" ht="12.75" customHeight="1">
      <c r="A9" s="127">
        <v>5</v>
      </c>
      <c r="B9" s="21">
        <v>2</v>
      </c>
      <c r="C9" s="108" t="s">
        <v>498</v>
      </c>
      <c r="D9" s="277" t="str">
        <f>VLOOKUP(C9,Machined!C:Q,2,0)</f>
        <v>Lower Panel 5 (766x731)</v>
      </c>
      <c r="E9" s="278"/>
      <c r="F9" s="131" t="str">
        <f>VLOOKUP(C9,Machined!C:R,7,0)</f>
        <v>Polycarb</v>
      </c>
      <c r="G9" s="131" t="str">
        <f>VLOOKUP(C9,Machined!C:R,10,0)</f>
        <v>PRO PLASTICS</v>
      </c>
      <c r="H9" s="131" t="str">
        <f>VLOOKUP(C9,Machined!C:R,11,0)</f>
        <v>Quote 665542, 4 weeks 10/24</v>
      </c>
      <c r="I9" s="131"/>
      <c r="J9" s="42">
        <f>VLOOKUP(C9,Machined!C:R,12,0)</f>
        <v>45159</v>
      </c>
      <c r="K9" s="42">
        <f>VLOOKUP(C9,Machined!C:R,13,0)</f>
        <v>45188</v>
      </c>
      <c r="L9" s="42">
        <f>VLOOKUP(C9,Machined!C:R,14,0)</f>
        <v>45212</v>
      </c>
      <c r="M9" s="42">
        <f>VLOOKUP(C9,Machined!C:R,15,0)</f>
        <v>45216</v>
      </c>
      <c r="N9" s="43">
        <f>VLOOKUP(C9,Machined!C:R,16,0)</f>
        <v>55156</v>
      </c>
      <c r="O9" s="43" t="e">
        <f t="shared" ca="1" si="0"/>
        <v>#VALUE!</v>
      </c>
      <c r="P9" s="47">
        <f>IFERROR(VLOOKUP(C9,Machined!C:F,3,0),"")</f>
        <v>112</v>
      </c>
      <c r="Q9" s="48">
        <f t="shared" si="1"/>
        <v>224</v>
      </c>
    </row>
    <row r="10" spans="1:17" s="2" customFormat="1" ht="12.75" customHeight="1">
      <c r="A10" s="127">
        <v>6</v>
      </c>
      <c r="B10" s="21">
        <v>2</v>
      </c>
      <c r="C10" s="108" t="s">
        <v>499</v>
      </c>
      <c r="D10" s="277" t="str">
        <f>VLOOKUP(C10,Machined!C:Q,2,0)</f>
        <v>Lower Panel 6 (1726x731)</v>
      </c>
      <c r="E10" s="278"/>
      <c r="F10" s="131" t="str">
        <f>VLOOKUP(C10,Machined!C:R,7,0)</f>
        <v>Polycarb</v>
      </c>
      <c r="G10" s="131" t="str">
        <f>VLOOKUP(C10,Machined!C:R,10,0)</f>
        <v>PRO PLASTICS</v>
      </c>
      <c r="H10" s="131" t="str">
        <f>VLOOKUP(C10,Machined!C:R,11,0)</f>
        <v>Quote 665542, 4 weeks 10/24</v>
      </c>
      <c r="I10" s="131"/>
      <c r="J10" s="42">
        <f>VLOOKUP(C10,Machined!C:R,12,0)</f>
        <v>45159</v>
      </c>
      <c r="K10" s="42">
        <f>VLOOKUP(C10,Machined!C:R,13,0)</f>
        <v>45188</v>
      </c>
      <c r="L10" s="42">
        <f>VLOOKUP(C10,Machined!C:R,14,0)</f>
        <v>45212</v>
      </c>
      <c r="M10" s="42">
        <f>VLOOKUP(C10,Machined!C:R,15,0)</f>
        <v>45216</v>
      </c>
      <c r="N10" s="43">
        <f>VLOOKUP(C10,Machined!C:R,16,0)</f>
        <v>55156</v>
      </c>
      <c r="O10" s="43" t="e">
        <f t="shared" ca="1" si="0"/>
        <v>#VALUE!</v>
      </c>
      <c r="P10" s="47">
        <f>IFERROR(VLOOKUP(C10,Machined!C:F,3,0),"")</f>
        <v>135.22</v>
      </c>
      <c r="Q10" s="48">
        <f t="shared" si="1"/>
        <v>270.44</v>
      </c>
    </row>
    <row r="11" spans="1:17" s="2" customFormat="1" ht="12.75" customHeight="1">
      <c r="A11" s="127">
        <v>7</v>
      </c>
      <c r="B11" s="21">
        <v>2</v>
      </c>
      <c r="C11" s="108" t="s">
        <v>500</v>
      </c>
      <c r="D11" s="277" t="str">
        <f>VLOOKUP(C11,Machined!C:Q,2,0)</f>
        <v>Lower Panel 7 (612x731)</v>
      </c>
      <c r="E11" s="278"/>
      <c r="F11" s="131" t="str">
        <f>VLOOKUP(C11,Machined!C:R,7,0)</f>
        <v>Polycarb</v>
      </c>
      <c r="G11" s="131" t="str">
        <f>VLOOKUP(C11,Machined!C:R,10,0)</f>
        <v>PRO PLASTICS</v>
      </c>
      <c r="H11" s="131" t="str">
        <f>VLOOKUP(C11,Machined!C:R,11,0)</f>
        <v>Quote 671549; 4 weeks 10/24</v>
      </c>
      <c r="I11" s="131"/>
      <c r="J11" s="42">
        <f>VLOOKUP(C11,Machined!C:R,12,0)</f>
        <v>45159</v>
      </c>
      <c r="K11" s="42">
        <f>VLOOKUP(C11,Machined!C:R,13,0)</f>
        <v>45189</v>
      </c>
      <c r="L11" s="42">
        <f>VLOOKUP(C11,Machined!C:R,14,0)</f>
        <v>45212</v>
      </c>
      <c r="M11" s="42">
        <f>VLOOKUP(C11,Machined!C:R,15,0)</f>
        <v>45228</v>
      </c>
      <c r="N11" s="43">
        <f>VLOOKUP(C11,Machined!C:R,16,0)</f>
        <v>55160</v>
      </c>
      <c r="O11" s="43" t="e">
        <f t="shared" ref="O11" ca="1" si="2">B11*$L$2</f>
        <v>#VALUE!</v>
      </c>
      <c r="P11" s="47">
        <f>IFERROR(VLOOKUP(C11,Machined!C:F,3,0),"")</f>
        <v>112.3</v>
      </c>
      <c r="Q11" s="48">
        <f t="shared" ref="Q11" si="3">IFERROR(B11*P11,"")</f>
        <v>224.6</v>
      </c>
    </row>
    <row r="12" spans="1:17" s="2" customFormat="1" ht="12.75" customHeight="1">
      <c r="A12" s="143"/>
      <c r="B12" s="26"/>
      <c r="C12" s="26"/>
      <c r="D12" s="272"/>
      <c r="E12" s="273"/>
      <c r="F12" s="26"/>
      <c r="G12" s="26"/>
      <c r="H12" s="274"/>
      <c r="I12" s="275"/>
      <c r="J12" s="27"/>
      <c r="K12" s="27"/>
      <c r="L12" s="27"/>
      <c r="M12" s="28"/>
      <c r="N12" s="29"/>
      <c r="O12" s="29"/>
      <c r="P12" s="141"/>
      <c r="Q12" s="142"/>
    </row>
    <row r="13" spans="1:17" s="2" customFormat="1" ht="12.75" customHeight="1">
      <c r="A13" s="4">
        <v>301</v>
      </c>
      <c r="B13" s="2">
        <v>264</v>
      </c>
      <c r="C13" s="114" t="s">
        <v>309</v>
      </c>
      <c r="D13" s="268" t="str">
        <f>VLOOKUP(C13,Purchased!A:B,2,0)</f>
        <v>BRX GOTO VARIOFIX BLOCK S,N10,40/45,GREY</v>
      </c>
      <c r="E13" s="269"/>
      <c r="F13" s="112" t="str">
        <f>VLOOKUP(C13,Purchased!A:Q,9,0)</f>
        <v>BRX</v>
      </c>
      <c r="G13" s="112" t="str">
        <f>VLOOKUP(C13,Purchased!A:Q,10,0)</f>
        <v>AAP</v>
      </c>
      <c r="H13" s="112" t="str">
        <f>VLOOKUP(C13,Purchased!A:Q,12,0)</f>
        <v xml:space="preserve">  </v>
      </c>
      <c r="I13" s="113"/>
      <c r="J13" s="44">
        <f>VLOOKUP(C13,Purchased!A:Q,13,0)</f>
        <v>45104</v>
      </c>
      <c r="K13" s="44">
        <f>VLOOKUP(C13,Purchased!A:Q,14,0)</f>
        <v>45105</v>
      </c>
      <c r="L13" s="44">
        <f>VLOOKUP(C13,Purchased!A:Q,15,0)</f>
        <v>45133</v>
      </c>
      <c r="M13" s="44">
        <f>VLOOKUP(C13,Purchased!A:Q,16,0)</f>
        <v>45133</v>
      </c>
      <c r="N13" s="45" t="str">
        <f>VLOOKUP(C13,Purchased!A:Q,17,0)</f>
        <v>54968, 55147</v>
      </c>
      <c r="O13" s="45" t="e">
        <f t="shared" ref="O13:O14" ca="1" si="4">B13*$L$2</f>
        <v>#VALUE!</v>
      </c>
      <c r="P13" s="49">
        <f>IFERROR(VLOOKUP(C13,Purchased!A:E,3,FALSE),"")</f>
        <v>3.9</v>
      </c>
      <c r="Q13" s="50">
        <f t="shared" ref="Q13:Q14" si="5">IFERROR(B13*P13,"")</f>
        <v>1029.5999999999999</v>
      </c>
    </row>
    <row r="14" spans="1:17" s="2" customFormat="1" ht="12" customHeight="1">
      <c r="A14" s="4">
        <f t="shared" ref="A14" si="6">A13+1</f>
        <v>302</v>
      </c>
      <c r="B14" s="2">
        <v>264</v>
      </c>
      <c r="C14" s="114" t="s">
        <v>307</v>
      </c>
      <c r="D14" s="268" t="str">
        <f>VLOOKUP(C14,Purchased!A:B,2,0)</f>
        <v>Hot-Dipped Galvanized Steel with Neoprene Sealing Washer for Number 12 Screw Size, 0.24" ID, 0.5" OD, 100pk</v>
      </c>
      <c r="E14" s="269"/>
      <c r="F14" s="112" t="str">
        <f>VLOOKUP(C14,Purchased!A:Q,9,0)</f>
        <v>MCM</v>
      </c>
      <c r="G14" s="112" t="str">
        <f>VLOOKUP(C14,Purchased!A:Q,10,0)</f>
        <v>MCM</v>
      </c>
      <c r="H14" s="112" t="str">
        <f>VLOOKUP(C14,Purchased!A:Q,12,0)</f>
        <v>Pack of 100</v>
      </c>
      <c r="I14" s="113"/>
      <c r="J14" s="44" t="str">
        <f>VLOOKUP(C14,Purchased!A:Q,13,0)</f>
        <v>N/A</v>
      </c>
      <c r="K14" s="44">
        <f>VLOOKUP(C14,Purchased!A:Q,14,0)</f>
        <v>45162</v>
      </c>
      <c r="L14" s="44">
        <f>VLOOKUP(C14,Purchased!A:Q,15,0)</f>
        <v>45184</v>
      </c>
      <c r="M14" s="44">
        <f>VLOOKUP(C14,Purchased!A:Q,16,0)</f>
        <v>45163</v>
      </c>
      <c r="N14" s="45" t="str">
        <f>VLOOKUP(C14,Purchased!A:Q,17,0)</f>
        <v>4x55089, 1x55152, 1x55167</v>
      </c>
      <c r="O14" s="45" t="e">
        <f t="shared" ca="1" si="4"/>
        <v>#VALUE!</v>
      </c>
      <c r="P14" s="49">
        <f>IFERROR(VLOOKUP(C14,Purchased!A:E,3,FALSE),"")</f>
        <v>6.56</v>
      </c>
      <c r="Q14" s="50">
        <f t="shared" si="5"/>
        <v>1731.84</v>
      </c>
    </row>
    <row r="15" spans="1:17" s="2" customFormat="1" ht="12.75" customHeight="1">
      <c r="A15" s="25"/>
      <c r="B15" s="26"/>
      <c r="C15" s="26"/>
      <c r="D15" s="272"/>
      <c r="E15" s="273"/>
      <c r="F15" s="26"/>
      <c r="G15" s="26"/>
      <c r="H15" s="274"/>
      <c r="I15" s="275"/>
      <c r="J15" s="27"/>
      <c r="K15" s="27"/>
      <c r="L15" s="27"/>
      <c r="M15" s="28"/>
      <c r="N15" s="29"/>
      <c r="O15" s="29" t="e">
        <f t="shared" ref="O15:O16" ca="1" si="7">B15*$L$2</f>
        <v>#VALUE!</v>
      </c>
      <c r="P15" s="141"/>
      <c r="Q15" s="142"/>
    </row>
    <row r="16" spans="1:17" s="2" customFormat="1" ht="12.75" customHeight="1" thickBot="1">
      <c r="A16" s="4">
        <v>501</v>
      </c>
      <c r="B16" s="2">
        <v>264</v>
      </c>
      <c r="C16" s="110" t="s">
        <v>311</v>
      </c>
      <c r="D16" s="268"/>
      <c r="E16" s="276"/>
      <c r="F16" s="112" t="str">
        <f>VLOOKUP(C16,Bolts!A:L,5,0)</f>
        <v xml:space="preserve">  </v>
      </c>
      <c r="G16" s="112" t="str">
        <f>VLOOKUP(C16,Bolts!A:L,6,0)</f>
        <v>Monroe Fasteners</v>
      </c>
      <c r="H16" s="112" t="str">
        <f>VLOOKUP(C16,Bolts!A:L,7,0)</f>
        <v xml:space="preserve">  </v>
      </c>
      <c r="I16" s="112"/>
      <c r="J16" s="44" t="str">
        <f>VLOOKUP(C16,Bolts!A:L,8,0)</f>
        <v xml:space="preserve"> </v>
      </c>
      <c r="K16" s="44" t="str">
        <f>VLOOKUP(C16,Bolts!A:L,9,0)</f>
        <v xml:space="preserve"> </v>
      </c>
      <c r="L16" s="44" t="str">
        <f>VLOOKUP(C16,Bolts!A:L,10,0)</f>
        <v xml:space="preserve"> </v>
      </c>
      <c r="M16" s="44" t="str">
        <f>VLOOKUP(C16,Bolts!A:L,11,0)</f>
        <v xml:space="preserve"> </v>
      </c>
      <c r="N16" s="45" t="str">
        <f>VLOOKUP(C16,Bolts!A:L,12,0)</f>
        <v xml:space="preserve"> </v>
      </c>
      <c r="O16" s="45" t="e">
        <f t="shared" ca="1" si="7"/>
        <v>#VALUE!</v>
      </c>
      <c r="P16" s="49" t="str">
        <f>IFERROR(VLOOKUP(C16,Bolts!A:B,2,FALSE),"")</f>
        <v xml:space="preserve"> </v>
      </c>
      <c r="Q16" s="50" t="str">
        <f t="shared" ref="Q16" si="8">IFERROR(B16*P16,"")</f>
        <v/>
      </c>
    </row>
    <row r="17" spans="1:17" s="2" customFormat="1" ht="12.75" customHeight="1" thickBot="1">
      <c r="A17" s="34"/>
      <c r="B17" s="35"/>
      <c r="C17" s="35"/>
      <c r="D17" s="256"/>
      <c r="E17" s="257"/>
      <c r="F17" s="35"/>
      <c r="G17" s="35"/>
      <c r="H17" s="294"/>
      <c r="I17" s="295"/>
      <c r="J17" s="36"/>
      <c r="K17" s="36"/>
      <c r="L17" s="36"/>
      <c r="M17" s="37"/>
      <c r="N17" s="38"/>
      <c r="O17" s="38"/>
      <c r="P17" s="89" t="s">
        <v>43</v>
      </c>
      <c r="Q17" s="94">
        <f>SUM(Q5:Q16)</f>
        <v>4310.4799999999996</v>
      </c>
    </row>
    <row r="18" spans="1:17" s="2" customFormat="1" ht="12" customHeight="1">
      <c r="D18" s="22"/>
      <c r="E18" s="22"/>
      <c r="J18" s="8"/>
      <c r="K18" s="8"/>
      <c r="L18" s="8"/>
      <c r="M18" s="8"/>
      <c r="N18" s="5"/>
      <c r="O18" s="5"/>
      <c r="P18" s="88"/>
      <c r="Q18" s="95"/>
    </row>
    <row r="19" spans="1:17" s="2" customFormat="1" ht="12" customHeight="1">
      <c r="D19" s="22"/>
      <c r="E19" s="22"/>
      <c r="J19" s="5"/>
      <c r="K19" s="5"/>
      <c r="L19" s="5"/>
      <c r="M19" s="5"/>
      <c r="N19" s="5"/>
      <c r="O19" s="5"/>
      <c r="P19" s="88"/>
      <c r="Q19" s="95"/>
    </row>
    <row r="20" spans="1:17" s="2" customFormat="1" ht="12" customHeight="1">
      <c r="D20" s="22"/>
      <c r="E20" s="22"/>
      <c r="J20" s="5"/>
      <c r="K20" s="5"/>
      <c r="L20" s="5"/>
      <c r="M20" s="5"/>
      <c r="N20" s="5"/>
      <c r="O20" s="5"/>
      <c r="P20" s="88"/>
      <c r="Q20" s="95"/>
    </row>
    <row r="21" spans="1:17" s="2" customFormat="1" ht="12" customHeight="1">
      <c r="D21" s="22"/>
      <c r="E21" s="22"/>
      <c r="J21" s="5"/>
      <c r="K21" s="5"/>
      <c r="L21" s="5"/>
      <c r="M21" s="5"/>
      <c r="N21" s="5"/>
      <c r="O21" s="5"/>
      <c r="P21" s="88"/>
      <c r="Q21" s="95"/>
    </row>
    <row r="22" spans="1:17" s="2" customFormat="1" ht="12" customHeight="1">
      <c r="C22" s="115"/>
      <c r="D22" s="22"/>
      <c r="E22" s="22"/>
      <c r="J22" s="5"/>
      <c r="K22" s="5"/>
      <c r="L22" s="5"/>
      <c r="M22" s="5"/>
      <c r="N22" s="5"/>
      <c r="O22" s="5"/>
      <c r="P22" s="88"/>
      <c r="Q22" s="95"/>
    </row>
    <row r="23" spans="1:17" s="2" customFormat="1" ht="12" customHeight="1">
      <c r="D23" s="22"/>
      <c r="E23" s="22"/>
      <c r="J23" s="5"/>
      <c r="K23" s="5"/>
      <c r="L23" s="5"/>
      <c r="M23" s="5"/>
      <c r="N23" s="5"/>
      <c r="O23" s="5"/>
      <c r="P23" s="88"/>
      <c r="Q23" s="95"/>
    </row>
    <row r="24" spans="1:17" s="2" customFormat="1" ht="12" customHeight="1">
      <c r="D24" s="22"/>
      <c r="E24" s="22"/>
      <c r="J24" s="5"/>
      <c r="K24" s="5"/>
      <c r="L24" s="5"/>
      <c r="M24" s="5"/>
      <c r="N24" s="5"/>
      <c r="O24" s="5"/>
      <c r="P24" s="88"/>
      <c r="Q24" s="95"/>
    </row>
    <row r="25" spans="1:17" s="2" customFormat="1" ht="12" customHeight="1">
      <c r="D25" s="22"/>
      <c r="E25" s="22"/>
      <c r="J25" s="5"/>
      <c r="K25" s="5"/>
      <c r="L25" s="5"/>
      <c r="M25" s="5"/>
      <c r="N25" s="5"/>
      <c r="O25" s="5"/>
      <c r="P25" s="88"/>
      <c r="Q25" s="95"/>
    </row>
    <row r="26" spans="1:17" s="2" customFormat="1" ht="12" customHeight="1">
      <c r="D26" s="22"/>
      <c r="E26" s="22"/>
      <c r="J26" s="5"/>
      <c r="K26" s="5"/>
      <c r="L26" s="5"/>
      <c r="M26" s="5"/>
      <c r="N26" s="5"/>
      <c r="O26" s="5"/>
      <c r="P26" s="88"/>
      <c r="Q26" s="95"/>
    </row>
    <row r="27" spans="1:17" s="2" customFormat="1" ht="12" customHeight="1">
      <c r="D27" s="22"/>
      <c r="E27" s="22"/>
      <c r="J27" s="5"/>
      <c r="K27" s="5"/>
      <c r="L27" s="5"/>
      <c r="M27" s="5"/>
      <c r="N27" s="5"/>
      <c r="O27" s="5"/>
      <c r="P27" s="88"/>
      <c r="Q27" s="95"/>
    </row>
    <row r="28" spans="1:17" s="2" customFormat="1" ht="12" customHeight="1">
      <c r="D28" s="22"/>
      <c r="E28" s="22"/>
      <c r="J28" s="5"/>
      <c r="K28" s="5"/>
      <c r="L28" s="5"/>
      <c r="M28" s="5"/>
      <c r="N28" s="5"/>
      <c r="O28" s="5"/>
      <c r="P28" s="88"/>
      <c r="Q28" s="95"/>
    </row>
    <row r="29" spans="1:17" s="2" customFormat="1" ht="12" customHeight="1">
      <c r="D29" s="22"/>
      <c r="E29" s="22"/>
      <c r="J29" s="5"/>
      <c r="K29" s="5"/>
      <c r="L29" s="5"/>
      <c r="M29" s="5"/>
      <c r="N29" s="5"/>
      <c r="O29" s="5"/>
      <c r="P29" s="88"/>
      <c r="Q29" s="95"/>
    </row>
    <row r="30" spans="1:17" s="2" customFormat="1" ht="12" customHeight="1">
      <c r="D30" s="22"/>
      <c r="E30" s="22"/>
      <c r="J30" s="5"/>
      <c r="K30" s="5"/>
      <c r="L30" s="5"/>
      <c r="M30" s="5"/>
      <c r="N30" s="5"/>
      <c r="O30" s="5"/>
      <c r="P30" s="88"/>
      <c r="Q30" s="95"/>
    </row>
    <row r="31" spans="1:17" s="2" customFormat="1" ht="12" customHeight="1">
      <c r="D31" s="22"/>
      <c r="E31" s="22"/>
      <c r="J31" s="5"/>
      <c r="K31" s="5"/>
      <c r="L31" s="5"/>
      <c r="M31" s="5"/>
      <c r="N31" s="5"/>
      <c r="O31" s="5"/>
      <c r="P31" s="88"/>
      <c r="Q31" s="95"/>
    </row>
    <row r="32" spans="1:17" s="2" customFormat="1" ht="12" customHeight="1">
      <c r="D32" s="22"/>
      <c r="E32" s="22"/>
      <c r="J32" s="5"/>
      <c r="K32" s="5"/>
      <c r="L32" s="5"/>
      <c r="M32" s="5"/>
      <c r="N32" s="5"/>
      <c r="O32" s="5"/>
      <c r="P32" s="88"/>
      <c r="Q32" s="95"/>
    </row>
    <row r="33" spans="4:17" s="2" customFormat="1" ht="12" customHeight="1">
      <c r="D33" s="22"/>
      <c r="E33" s="22"/>
      <c r="J33" s="5"/>
      <c r="K33" s="5"/>
      <c r="L33" s="5"/>
      <c r="M33" s="5"/>
      <c r="N33" s="5"/>
      <c r="O33" s="5"/>
      <c r="P33" s="88"/>
      <c r="Q33" s="95"/>
    </row>
    <row r="34" spans="4:17" s="2" customFormat="1" ht="12" customHeight="1">
      <c r="D34" s="22"/>
      <c r="E34" s="22"/>
      <c r="J34" s="5"/>
      <c r="K34" s="5"/>
      <c r="L34" s="5"/>
      <c r="M34" s="5"/>
      <c r="N34" s="5"/>
      <c r="O34" s="5"/>
      <c r="P34" s="88"/>
      <c r="Q34" s="95"/>
    </row>
    <row r="35" spans="4:17" s="2" customFormat="1" ht="12" customHeight="1">
      <c r="D35" s="22"/>
      <c r="E35" s="22"/>
      <c r="J35" s="5"/>
      <c r="K35" s="5"/>
      <c r="L35" s="5"/>
      <c r="M35" s="5"/>
      <c r="N35" s="5"/>
      <c r="O35" s="5"/>
      <c r="P35" s="88"/>
      <c r="Q35" s="95"/>
    </row>
    <row r="36" spans="4:17" s="2" customFormat="1" ht="12" customHeight="1">
      <c r="D36" s="22"/>
      <c r="E36" s="22"/>
      <c r="J36" s="5"/>
      <c r="K36" s="5"/>
      <c r="L36" s="5"/>
      <c r="M36" s="5"/>
      <c r="N36" s="5"/>
      <c r="O36" s="5"/>
      <c r="P36" s="88"/>
      <c r="Q36" s="95"/>
    </row>
    <row r="37" spans="4:17" s="2" customFormat="1" ht="12" customHeight="1">
      <c r="D37" s="22"/>
      <c r="E37" s="22"/>
      <c r="J37" s="5"/>
      <c r="K37" s="5"/>
      <c r="L37" s="5"/>
      <c r="M37" s="5"/>
      <c r="N37" s="5"/>
      <c r="O37" s="5"/>
      <c r="P37" s="88"/>
      <c r="Q37" s="95"/>
    </row>
    <row r="38" spans="4:17" s="2" customFormat="1" ht="12" customHeight="1">
      <c r="D38" s="22"/>
      <c r="E38" s="22"/>
      <c r="J38" s="5"/>
      <c r="K38" s="5"/>
      <c r="L38" s="5"/>
      <c r="M38" s="5"/>
      <c r="N38" s="5"/>
      <c r="O38" s="5"/>
      <c r="P38" s="88"/>
      <c r="Q38" s="95"/>
    </row>
    <row r="39" spans="4:17" s="2" customFormat="1" ht="12" customHeight="1">
      <c r="D39" s="22"/>
      <c r="E39" s="22"/>
      <c r="J39" s="5"/>
      <c r="K39" s="5"/>
      <c r="L39" s="5"/>
      <c r="M39" s="5"/>
      <c r="N39" s="5"/>
      <c r="O39" s="5"/>
      <c r="P39" s="88"/>
      <c r="Q39" s="95"/>
    </row>
    <row r="40" spans="4:17" s="2" customFormat="1" ht="12" customHeight="1">
      <c r="D40" s="22"/>
      <c r="E40" s="22"/>
      <c r="J40" s="5"/>
      <c r="K40" s="5"/>
      <c r="L40" s="5"/>
      <c r="M40" s="5"/>
      <c r="N40" s="5"/>
      <c r="O40" s="5"/>
      <c r="P40" s="88"/>
      <c r="Q40" s="95"/>
    </row>
    <row r="41" spans="4:17" s="2" customFormat="1" ht="12" customHeight="1">
      <c r="D41" s="22"/>
      <c r="E41" s="22"/>
      <c r="J41" s="5"/>
      <c r="K41" s="5"/>
      <c r="L41" s="5"/>
      <c r="M41" s="5"/>
      <c r="N41" s="5"/>
      <c r="O41" s="5"/>
      <c r="P41" s="88"/>
      <c r="Q41" s="95"/>
    </row>
    <row r="42" spans="4:17" s="2" customFormat="1" ht="12" customHeight="1">
      <c r="D42" s="22"/>
      <c r="E42" s="22"/>
      <c r="J42" s="5"/>
      <c r="K42" s="5"/>
      <c r="L42" s="5"/>
      <c r="M42" s="5"/>
      <c r="N42" s="5"/>
      <c r="O42" s="5"/>
      <c r="P42" s="88"/>
      <c r="Q42" s="95"/>
    </row>
    <row r="43" spans="4:17" s="2" customFormat="1" ht="12" customHeight="1">
      <c r="D43" s="22"/>
      <c r="E43" s="22"/>
      <c r="J43" s="5"/>
      <c r="K43" s="5"/>
      <c r="L43" s="5"/>
      <c r="M43" s="5"/>
      <c r="N43" s="5"/>
      <c r="O43" s="5"/>
      <c r="P43" s="88"/>
      <c r="Q43" s="95"/>
    </row>
    <row r="44" spans="4:17" s="2" customFormat="1" ht="12" customHeight="1">
      <c r="D44" s="22"/>
      <c r="E44" s="22"/>
      <c r="J44" s="5"/>
      <c r="K44" s="5"/>
      <c r="L44" s="5"/>
      <c r="M44" s="5"/>
      <c r="N44" s="5"/>
      <c r="O44" s="5"/>
      <c r="P44" s="88"/>
      <c r="Q44" s="95"/>
    </row>
    <row r="45" spans="4:17" s="2" customFormat="1" ht="12" customHeight="1">
      <c r="D45" s="22"/>
      <c r="E45" s="22"/>
      <c r="J45" s="5"/>
      <c r="K45" s="5"/>
      <c r="L45" s="5"/>
      <c r="M45" s="5"/>
      <c r="N45" s="5"/>
      <c r="O45" s="5"/>
      <c r="P45" s="88"/>
      <c r="Q45" s="95"/>
    </row>
    <row r="46" spans="4:17" s="2" customFormat="1" ht="12" customHeight="1">
      <c r="D46" s="22"/>
      <c r="E46" s="22"/>
      <c r="J46" s="5"/>
      <c r="K46" s="5"/>
      <c r="L46" s="5"/>
      <c r="M46" s="5"/>
      <c r="N46" s="5"/>
      <c r="O46" s="5"/>
      <c r="P46" s="88"/>
      <c r="Q46" s="95"/>
    </row>
    <row r="47" spans="4:17" s="2" customFormat="1" ht="12" customHeight="1">
      <c r="D47" s="22"/>
      <c r="E47" s="22"/>
      <c r="J47" s="5"/>
      <c r="K47" s="5"/>
      <c r="L47" s="5"/>
      <c r="M47" s="5"/>
      <c r="N47" s="5"/>
      <c r="O47" s="5"/>
      <c r="P47" s="88"/>
      <c r="Q47" s="95"/>
    </row>
    <row r="48" spans="4:17" s="2" customFormat="1" ht="12" customHeight="1">
      <c r="D48" s="22"/>
      <c r="E48" s="22"/>
      <c r="J48" s="5"/>
      <c r="K48" s="5"/>
      <c r="L48" s="5"/>
      <c r="M48" s="5"/>
      <c r="N48" s="5"/>
      <c r="O48" s="5"/>
      <c r="P48" s="88"/>
      <c r="Q48" s="95"/>
    </row>
    <row r="49" spans="1:17" s="2" customFormat="1" ht="12" customHeight="1">
      <c r="D49" s="22"/>
      <c r="E49" s="22"/>
      <c r="J49" s="5"/>
      <c r="K49" s="5"/>
      <c r="L49" s="5"/>
      <c r="M49" s="5"/>
      <c r="N49" s="5"/>
      <c r="O49" s="5"/>
      <c r="P49" s="88"/>
      <c r="Q49" s="95"/>
    </row>
    <row r="50" spans="1:17" s="2" customFormat="1" ht="12" customHeight="1">
      <c r="D50" s="22"/>
      <c r="E50" s="22"/>
      <c r="J50" s="5"/>
      <c r="K50" s="5"/>
      <c r="L50" s="5"/>
      <c r="M50" s="5"/>
      <c r="N50" s="5"/>
      <c r="O50" s="5"/>
      <c r="P50" s="88"/>
      <c r="Q50" s="95"/>
    </row>
    <row r="51" spans="1:17" s="2" customFormat="1" ht="12" customHeight="1">
      <c r="D51" s="22"/>
      <c r="E51" s="22"/>
      <c r="J51" s="5"/>
      <c r="K51" s="5"/>
      <c r="L51" s="5"/>
      <c r="M51" s="5"/>
      <c r="N51" s="5"/>
      <c r="O51" s="5"/>
      <c r="P51" s="88"/>
      <c r="Q51" s="95"/>
    </row>
    <row r="52" spans="1:17" s="2" customFormat="1" ht="12" customHeight="1">
      <c r="D52" s="22"/>
      <c r="E52" s="22"/>
      <c r="J52" s="5"/>
      <c r="K52" s="5"/>
      <c r="L52" s="5"/>
      <c r="M52" s="5"/>
      <c r="N52" s="5"/>
      <c r="O52" s="5"/>
      <c r="P52" s="88"/>
      <c r="Q52" s="95"/>
    </row>
    <row r="53" spans="1:17" s="2" customFormat="1" ht="12" customHeight="1">
      <c r="D53" s="22"/>
      <c r="E53" s="22"/>
      <c r="J53" s="5"/>
      <c r="K53" s="5"/>
      <c r="L53" s="5"/>
      <c r="M53" s="5"/>
      <c r="N53" s="5"/>
      <c r="O53" s="5"/>
      <c r="P53" s="88"/>
      <c r="Q53" s="95"/>
    </row>
    <row r="54" spans="1:17" s="2" customFormat="1" ht="12" customHeight="1">
      <c r="D54" s="22"/>
      <c r="E54" s="22"/>
      <c r="J54" s="5"/>
      <c r="K54" s="5"/>
      <c r="L54" s="5"/>
      <c r="M54" s="5"/>
      <c r="N54" s="5"/>
      <c r="O54" s="5"/>
      <c r="P54" s="88"/>
      <c r="Q54" s="95"/>
    </row>
    <row r="55" spans="1:17" s="2" customFormat="1" ht="12" customHeight="1">
      <c r="D55" s="22"/>
      <c r="E55" s="22"/>
      <c r="J55" s="5"/>
      <c r="K55" s="5"/>
      <c r="L55" s="5"/>
      <c r="M55" s="5"/>
      <c r="N55" s="5"/>
      <c r="O55" s="5"/>
      <c r="P55" s="88"/>
      <c r="Q55" s="95"/>
    </row>
    <row r="56" spans="1:17" s="2" customFormat="1" ht="12" customHeight="1">
      <c r="D56" s="22"/>
      <c r="E56" s="22"/>
      <c r="J56" s="5"/>
      <c r="K56" s="5"/>
      <c r="L56" s="5"/>
      <c r="M56" s="5"/>
      <c r="N56" s="5"/>
      <c r="O56" s="5"/>
      <c r="P56" s="88"/>
      <c r="Q56" s="96"/>
    </row>
    <row r="57" spans="1:17" s="2" customFormat="1" ht="12" customHeight="1">
      <c r="D57" s="22"/>
      <c r="E57" s="22"/>
      <c r="J57" s="5"/>
      <c r="K57" s="5"/>
      <c r="L57" s="5"/>
      <c r="M57" s="5"/>
      <c r="N57" s="5"/>
      <c r="O57" s="5"/>
      <c r="P57" s="88"/>
      <c r="Q57" s="96"/>
    </row>
    <row r="58" spans="1:17" s="2" customFormat="1" ht="12" customHeight="1">
      <c r="D58" s="22"/>
      <c r="E58" s="22"/>
      <c r="J58" s="5"/>
      <c r="K58" s="5"/>
      <c r="L58" s="5"/>
      <c r="M58" s="5"/>
      <c r="N58" s="5"/>
      <c r="O58" s="5"/>
      <c r="P58" s="88"/>
      <c r="Q58" s="96"/>
    </row>
    <row r="59" spans="1:17" s="2" customFormat="1" ht="12" customHeight="1">
      <c r="D59" s="22"/>
      <c r="E59" s="22"/>
      <c r="J59" s="5"/>
      <c r="K59" s="5"/>
      <c r="L59" s="5"/>
      <c r="M59" s="5"/>
      <c r="N59" s="5"/>
      <c r="O59" s="5"/>
      <c r="P59" s="88"/>
      <c r="Q59" s="96"/>
    </row>
    <row r="60" spans="1:17" s="2" customFormat="1" ht="12" customHeight="1">
      <c r="A60"/>
      <c r="B60"/>
      <c r="C60"/>
      <c r="D60" s="23"/>
      <c r="E60" s="23"/>
      <c r="F60"/>
      <c r="G60"/>
      <c r="H60"/>
      <c r="I60"/>
      <c r="J60" s="19"/>
      <c r="K60" s="19"/>
      <c r="L60" s="19"/>
      <c r="M60" s="19"/>
      <c r="N60" s="19"/>
      <c r="O60" s="19"/>
      <c r="P60" s="90"/>
      <c r="Q60" s="96"/>
    </row>
    <row r="61" spans="1:17" s="2" customFormat="1" ht="12" customHeight="1">
      <c r="A61"/>
      <c r="B61"/>
      <c r="C61"/>
      <c r="D61" s="23"/>
      <c r="E61" s="23"/>
      <c r="F61"/>
      <c r="G61"/>
      <c r="H61"/>
      <c r="I61"/>
      <c r="J61" s="19"/>
      <c r="K61" s="19"/>
      <c r="L61" s="19"/>
      <c r="M61" s="19"/>
      <c r="N61" s="19"/>
      <c r="O61" s="19"/>
      <c r="P61" s="90"/>
      <c r="Q61" s="96"/>
    </row>
    <row r="62" spans="1:17" s="2" customFormat="1" ht="12" customHeight="1">
      <c r="A62"/>
      <c r="B62"/>
      <c r="C62"/>
      <c r="D62" s="23"/>
      <c r="E62" s="23"/>
      <c r="F62"/>
      <c r="G62"/>
      <c r="H62"/>
      <c r="I62"/>
      <c r="J62" s="19"/>
      <c r="K62" s="19"/>
      <c r="L62" s="19"/>
      <c r="M62" s="19"/>
      <c r="N62" s="19"/>
      <c r="O62" s="19"/>
      <c r="P62" s="90"/>
      <c r="Q62" s="96"/>
    </row>
    <row r="63" spans="1:17" s="2" customFormat="1" ht="12" customHeight="1">
      <c r="A63"/>
      <c r="B63"/>
      <c r="C63"/>
      <c r="D63" s="23"/>
      <c r="E63" s="23"/>
      <c r="F63"/>
      <c r="G63"/>
      <c r="H63"/>
      <c r="I63"/>
      <c r="J63" s="19"/>
      <c r="K63" s="19"/>
      <c r="L63" s="19"/>
      <c r="M63" s="19"/>
      <c r="N63" s="19"/>
      <c r="O63" s="19"/>
      <c r="P63" s="90"/>
      <c r="Q63" s="96"/>
    </row>
    <row r="64" spans="1:17" s="2" customFormat="1" ht="12" customHeight="1">
      <c r="A64"/>
      <c r="B64"/>
      <c r="C64"/>
      <c r="D64" s="23"/>
      <c r="E64" s="23"/>
      <c r="F64"/>
      <c r="G64"/>
      <c r="H64"/>
      <c r="I64"/>
      <c r="J64" s="19"/>
      <c r="K64" s="19"/>
      <c r="L64" s="19"/>
      <c r="M64" s="19"/>
      <c r="N64" s="19"/>
      <c r="O64" s="19"/>
      <c r="P64" s="90"/>
      <c r="Q64" s="96"/>
    </row>
    <row r="65" spans="17:17">
      <c r="Q65" s="96"/>
    </row>
    <row r="66" spans="17:17">
      <c r="Q66" s="96"/>
    </row>
    <row r="67" spans="17:17">
      <c r="Q67" s="96"/>
    </row>
    <row r="68" spans="17:17">
      <c r="Q68" s="96"/>
    </row>
    <row r="69" spans="17:17">
      <c r="Q69" s="96"/>
    </row>
    <row r="70" spans="17:17">
      <c r="Q70" s="96"/>
    </row>
    <row r="71" spans="17:17">
      <c r="Q71" s="96"/>
    </row>
    <row r="72" spans="17:17">
      <c r="Q72" s="96"/>
    </row>
    <row r="73" spans="17:17">
      <c r="Q73" s="96"/>
    </row>
    <row r="74" spans="17:17">
      <c r="Q74" s="96"/>
    </row>
    <row r="75" spans="17:17">
      <c r="Q75" s="96"/>
    </row>
    <row r="76" spans="17:17">
      <c r="Q76" s="96"/>
    </row>
    <row r="77" spans="17:17">
      <c r="Q77" s="96"/>
    </row>
    <row r="78" spans="17:17">
      <c r="Q78" s="96"/>
    </row>
    <row r="79" spans="17:17">
      <c r="Q79" s="96"/>
    </row>
    <row r="80" spans="17:17">
      <c r="Q80" s="96"/>
    </row>
    <row r="81" spans="17:17">
      <c r="Q81" s="96"/>
    </row>
    <row r="82" spans="17:17">
      <c r="Q82" s="96"/>
    </row>
    <row r="83" spans="17:17">
      <c r="Q83" s="96"/>
    </row>
    <row r="84" spans="17:17">
      <c r="Q84" s="96"/>
    </row>
    <row r="121" ht="12" customHeight="1"/>
    <row r="122" ht="12" customHeight="1"/>
    <row r="123" ht="12" customHeight="1"/>
    <row r="124" ht="12" customHeight="1"/>
    <row r="125" ht="12" customHeight="1"/>
    <row r="126" ht="12" customHeight="1"/>
    <row r="127" ht="12" customHeight="1"/>
    <row r="128" ht="12" customHeight="1"/>
    <row r="129" ht="12" customHeight="1"/>
    <row r="130" ht="12" customHeight="1"/>
    <row r="131" ht="12" customHeight="1"/>
    <row r="132" ht="12" customHeight="1"/>
    <row r="133" ht="12" customHeight="1"/>
    <row r="134" ht="12" customHeight="1"/>
    <row r="135" ht="12" customHeight="1"/>
    <row r="136" ht="12" customHeight="1"/>
    <row r="137" ht="12" customHeight="1"/>
    <row r="138" ht="12" customHeight="1"/>
    <row r="139" ht="12" customHeight="1"/>
    <row r="140" ht="12" customHeight="1"/>
    <row r="141" ht="12" customHeight="1"/>
    <row r="142" ht="12" customHeight="1"/>
    <row r="143" ht="12" customHeight="1"/>
    <row r="144" ht="12" customHeight="1"/>
    <row r="145" ht="12" customHeight="1"/>
    <row r="146" ht="12" customHeight="1"/>
    <row r="147" ht="12" customHeight="1"/>
    <row r="148" ht="12" customHeight="1"/>
    <row r="149" ht="12" customHeight="1"/>
    <row r="150" ht="12" customHeight="1"/>
    <row r="151" ht="12" customHeight="1"/>
    <row r="152" ht="12" customHeight="1"/>
    <row r="153" ht="12" customHeight="1"/>
    <row r="154" ht="12" customHeight="1"/>
    <row r="155" ht="12" customHeight="1"/>
    <row r="156" ht="12" customHeight="1"/>
    <row r="157" ht="12" customHeight="1"/>
    <row r="158" ht="12" customHeight="1"/>
    <row r="159" ht="12" customHeight="1"/>
    <row r="160" ht="12" customHeight="1"/>
    <row r="161" ht="12" customHeight="1"/>
    <row r="162" ht="12" customHeight="1"/>
    <row r="163" ht="12" customHeight="1"/>
    <row r="164" ht="12" customHeight="1"/>
    <row r="165" ht="12" customHeight="1"/>
    <row r="166" ht="12" customHeight="1"/>
    <row r="167" ht="12" customHeight="1"/>
    <row r="168" ht="12" customHeight="1"/>
    <row r="169" ht="12" customHeight="1"/>
    <row r="170" ht="12" customHeight="1"/>
  </sheetData>
  <mergeCells count="19">
    <mergeCell ref="D11:E11"/>
    <mergeCell ref="D10:E10"/>
    <mergeCell ref="D1:E1"/>
    <mergeCell ref="D4:E4"/>
    <mergeCell ref="H4:I4"/>
    <mergeCell ref="D5:E5"/>
    <mergeCell ref="D6:E6"/>
    <mergeCell ref="D7:E7"/>
    <mergeCell ref="D8:E8"/>
    <mergeCell ref="D9:E9"/>
    <mergeCell ref="D16:E16"/>
    <mergeCell ref="D17:E17"/>
    <mergeCell ref="H17:I17"/>
    <mergeCell ref="H12:I12"/>
    <mergeCell ref="D15:E15"/>
    <mergeCell ref="D12:E12"/>
    <mergeCell ref="H15:I15"/>
    <mergeCell ref="D13:E13"/>
    <mergeCell ref="D14:E14"/>
  </mergeCells>
  <conditionalFormatting sqref="M16 M5:M11">
    <cfRule type="cellIs" dxfId="521" priority="1" stopIfTrue="1" operator="lessThanOrEqual">
      <formula>$L5</formula>
    </cfRule>
    <cfRule type="cellIs" dxfId="520" priority="2" operator="greaterThan">
      <formula>L5</formula>
    </cfRule>
  </conditionalFormatting>
  <conditionalFormatting sqref="M13:M14">
    <cfRule type="cellIs" dxfId="519" priority="3" stopIfTrue="1" operator="lessThanOrEqual">
      <formula>$L13</formula>
    </cfRule>
    <cfRule type="cellIs" dxfId="518" priority="4" operator="greaterThan">
      <formula>L13</formula>
    </cfRule>
  </conditionalFormatting>
  <pageMargins left="0.7" right="0.7" top="0.75" bottom="0.75" header="0.3" footer="0.3"/>
  <pageSetup paperSize="3" fitToHeight="0" orientation="landscape" horizontalDpi="1200" verticalDpi="1200" r:id="rId1"/>
  <ignoredErrors>
    <ignoredError sqref="C13" numberStoredAsText="1"/>
  </ignoredError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A305779C-6901-428A-AF2B-49EF2BC633A1}">
          <x14:formula1>
            <xm:f>Bolts!$A:$A</xm:f>
          </x14:formula1>
          <xm:sqref>C16</xm:sqref>
        </x14:dataValidation>
        <x14:dataValidation type="list" allowBlank="1" showInputMessage="1" showErrorMessage="1" xr:uid="{166CC056-9343-4C9D-9CBD-069C2EECE28C}">
          <x14:formula1>
            <xm:f>Purchased!$A:$A</xm:f>
          </x14:formula1>
          <xm:sqref>C13:C14</xm:sqref>
        </x14:dataValidation>
        <x14:dataValidation type="list" allowBlank="1" showInputMessage="1" showErrorMessage="1" xr:uid="{F62DEBC3-FA63-4E33-B02D-9420164CF3C3}">
          <x14:formula1>
            <xm:f>Machined!$C:$C</xm:f>
          </x14:formula1>
          <xm:sqref>C5:C11</xm:sqref>
        </x14:dataValidation>
      </x14:dataValidation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39E81E-38A3-4D54-B325-BED19ACC240B}">
  <sheetPr codeName="Sheet38">
    <tabColor theme="3" tint="0.59999389629810485"/>
    <pageSetUpPr fitToPage="1"/>
  </sheetPr>
  <dimension ref="A1:Q176"/>
  <sheetViews>
    <sheetView zoomScaleNormal="100" workbookViewId="0">
      <selection activeCell="D14" sqref="D14:E14"/>
    </sheetView>
  </sheetViews>
  <sheetFormatPr defaultColWidth="9.140625" defaultRowHeight="15"/>
  <cols>
    <col min="1" max="1" width="5.7109375" customWidth="1"/>
    <col min="2" max="2" width="5.42578125" bestFit="1" customWidth="1"/>
    <col min="3" max="3" width="30.7109375" customWidth="1"/>
    <col min="4" max="5" width="20.7109375" style="23" customWidth="1"/>
    <col min="6" max="6" width="16.85546875" bestFit="1" customWidth="1"/>
    <col min="7" max="7" width="9.7109375" customWidth="1"/>
    <col min="8" max="8" width="8.7109375" customWidth="1"/>
    <col min="9" max="9" width="20.7109375" customWidth="1"/>
    <col min="10" max="13" width="11.7109375" style="19" customWidth="1"/>
    <col min="14" max="14" width="11.85546875" style="19" bestFit="1" customWidth="1"/>
    <col min="15" max="15" width="7.7109375" style="19" customWidth="1"/>
    <col min="16" max="16" width="10.7109375" style="90" customWidth="1"/>
    <col min="17" max="17" width="10.7109375" style="97" customWidth="1"/>
  </cols>
  <sheetData>
    <row r="1" spans="1:17" s="55" customFormat="1" ht="12" customHeight="1">
      <c r="A1" s="68" t="s">
        <v>0</v>
      </c>
      <c r="B1" s="69"/>
      <c r="C1" s="69"/>
      <c r="D1" s="262" t="s">
        <v>1</v>
      </c>
      <c r="E1" s="263"/>
      <c r="F1" s="70"/>
      <c r="G1" s="69"/>
      <c r="H1" s="70"/>
      <c r="I1" s="71"/>
      <c r="J1" s="72"/>
      <c r="K1" s="72"/>
      <c r="L1" s="72"/>
      <c r="M1" s="72"/>
      <c r="N1" s="72"/>
      <c r="O1" s="72"/>
      <c r="P1" s="85"/>
      <c r="Q1" s="91"/>
    </row>
    <row r="2" spans="1:17" s="55" customFormat="1" ht="12" customHeight="1">
      <c r="A2" s="74" t="s">
        <v>48</v>
      </c>
      <c r="B2" s="58"/>
      <c r="C2" s="57" t="e">
        <f ca="1">VLOOKUP(E3,Assemblies!B:F,4,0)</f>
        <v>#VALUE!</v>
      </c>
      <c r="D2" s="75" t="s">
        <v>3</v>
      </c>
      <c r="E2" s="76" t="e">
        <f ca="1">'GF12'!E2</f>
        <v>#VALUE!</v>
      </c>
      <c r="F2" s="77" t="s">
        <v>4</v>
      </c>
      <c r="G2" s="58" t="str">
        <f>'GF12'!G2</f>
        <v>GH</v>
      </c>
      <c r="H2" s="77" t="s">
        <v>6</v>
      </c>
      <c r="I2" s="59">
        <f>'GF12'!I2</f>
        <v>44775</v>
      </c>
      <c r="J2" s="39"/>
      <c r="K2" s="40" t="s">
        <v>49</v>
      </c>
      <c r="L2" s="41" t="e">
        <f ca="1">VLOOKUP(C2,Assemblies!E:G,3,0)</f>
        <v>#VALUE!</v>
      </c>
      <c r="M2" s="78"/>
      <c r="N2" s="78"/>
      <c r="O2" s="78"/>
      <c r="P2" s="86"/>
      <c r="Q2" s="92"/>
    </row>
    <row r="3" spans="1:17" s="55" customFormat="1" ht="12" customHeight="1" thickBot="1">
      <c r="A3" s="74" t="s">
        <v>7</v>
      </c>
      <c r="B3" s="58"/>
      <c r="C3" s="57" t="e">
        <f ca="1">VLOOKUP(E3,Assemblies!B:F,5,0)</f>
        <v>#VALUE!</v>
      </c>
      <c r="D3" s="75" t="s">
        <v>50</v>
      </c>
      <c r="E3" s="76" t="e">
        <f ca="1">MID(CELL("filename",A1),FIND("]",CELL("filename",A1))+1,256)</f>
        <v>#VALUE!</v>
      </c>
      <c r="F3" s="77" t="s">
        <v>11</v>
      </c>
      <c r="G3" s="58" t="str">
        <f>'GF12'!G3</f>
        <v>GH</v>
      </c>
      <c r="H3" s="77" t="s">
        <v>6</v>
      </c>
      <c r="I3" s="59">
        <f>'GF12'!I3</f>
        <v>44775</v>
      </c>
      <c r="J3" s="78"/>
      <c r="K3" s="78"/>
      <c r="L3" s="78"/>
      <c r="M3" s="78"/>
      <c r="N3" s="78"/>
      <c r="O3" s="78"/>
      <c r="P3" s="86"/>
      <c r="Q3" s="92"/>
    </row>
    <row r="4" spans="1:17" s="56" customFormat="1" ht="12.75" customHeight="1" thickBot="1">
      <c r="A4" s="80" t="s">
        <v>12</v>
      </c>
      <c r="B4" s="81" t="s">
        <v>13</v>
      </c>
      <c r="C4" s="81" t="s">
        <v>14</v>
      </c>
      <c r="D4" s="270" t="s">
        <v>15</v>
      </c>
      <c r="E4" s="271"/>
      <c r="F4" s="104" t="s">
        <v>16</v>
      </c>
      <c r="G4" s="81" t="s">
        <v>17</v>
      </c>
      <c r="H4" s="260" t="s">
        <v>18</v>
      </c>
      <c r="I4" s="261"/>
      <c r="J4" s="81" t="s">
        <v>51</v>
      </c>
      <c r="K4" s="81" t="s">
        <v>20</v>
      </c>
      <c r="L4" s="81" t="s">
        <v>21</v>
      </c>
      <c r="M4" s="81" t="s">
        <v>52</v>
      </c>
      <c r="N4" s="81" t="s">
        <v>22</v>
      </c>
      <c r="O4" s="81" t="s">
        <v>53</v>
      </c>
      <c r="P4" s="107" t="s">
        <v>26</v>
      </c>
      <c r="Q4" s="82" t="s">
        <v>27</v>
      </c>
    </row>
    <row r="5" spans="1:17" s="2" customFormat="1" ht="12.75" customHeight="1">
      <c r="A5" s="127">
        <v>1</v>
      </c>
      <c r="B5" s="21">
        <v>1</v>
      </c>
      <c r="C5" s="108" t="s">
        <v>501</v>
      </c>
      <c r="D5" s="277" t="str">
        <f>VLOOKUP(C5,Machined!C:Q,2,0)</f>
        <v>Air Prep Mount Plate</v>
      </c>
      <c r="E5" s="278"/>
      <c r="F5" s="131" t="str">
        <f>VLOOKUP(C5,Machined!C:R,7,0)</f>
        <v>6061-T6 Alum</v>
      </c>
      <c r="G5" s="131" t="str">
        <f>VLOOKUP(C5,Machined!C:R,10,0)</f>
        <v>FRONTIER</v>
      </c>
      <c r="H5" s="131">
        <f>VLOOKUP(C5,Machined!C:R,11,0)</f>
        <v>0</v>
      </c>
      <c r="I5" s="131"/>
      <c r="J5" s="42">
        <f>VLOOKUP(C5,Machined!C:R,12,0)</f>
        <v>45210</v>
      </c>
      <c r="K5" s="42">
        <f>VLOOKUP(C5,Machined!C:R,13,0)</f>
        <v>45210</v>
      </c>
      <c r="L5" s="42">
        <f>VLOOKUP(C5,Machined!C:R,14,0)</f>
        <v>45217</v>
      </c>
      <c r="M5" s="42">
        <f>VLOOKUP(C5,Machined!C:R,15,0)</f>
        <v>45217</v>
      </c>
      <c r="N5" s="43">
        <f>VLOOKUP(C5,Machined!C:R,16,0)</f>
        <v>55204</v>
      </c>
      <c r="O5" s="43" t="e">
        <f t="shared" ref="O5" ca="1" si="0">B5*$L$2</f>
        <v>#VALUE!</v>
      </c>
      <c r="P5" s="47">
        <f>IFERROR(VLOOKUP(C5,Machined!C:F,3,0),"")</f>
        <v>104.15</v>
      </c>
      <c r="Q5" s="48">
        <f t="shared" ref="Q5" si="1">IFERROR(B5*P5,"")</f>
        <v>104.15</v>
      </c>
    </row>
    <row r="6" spans="1:17" s="2" customFormat="1" ht="12.75" customHeight="1">
      <c r="A6" s="143"/>
      <c r="B6" s="26"/>
      <c r="C6" s="26"/>
      <c r="D6" s="272"/>
      <c r="E6" s="273"/>
      <c r="F6" s="26"/>
      <c r="G6" s="26"/>
      <c r="H6" s="274"/>
      <c r="I6" s="275"/>
      <c r="J6" s="27"/>
      <c r="K6" s="27"/>
      <c r="L6" s="27"/>
      <c r="M6" s="28"/>
      <c r="N6" s="29"/>
      <c r="O6" s="29"/>
      <c r="P6" s="141"/>
      <c r="Q6" s="142"/>
    </row>
    <row r="7" spans="1:17" s="2" customFormat="1" ht="12.75" customHeight="1">
      <c r="A7" s="4">
        <v>301</v>
      </c>
      <c r="B7" s="2">
        <v>1</v>
      </c>
      <c r="C7" s="114" t="s">
        <v>502</v>
      </c>
      <c r="D7" s="268" t="str">
        <f>VLOOKUP(C7,Purchased!A:B,2,0)</f>
        <v>SMC VHS LOCKOUT VALVE</v>
      </c>
      <c r="E7" s="269"/>
      <c r="F7" s="112" t="str">
        <f>VLOOKUP(C7,Purchased!A:Q,9,0)</f>
        <v>SMC</v>
      </c>
      <c r="G7" s="112" t="str">
        <f>VLOOKUP(C7,Purchased!A:Q,10,0)</f>
        <v>AAP</v>
      </c>
      <c r="H7" s="112" t="str">
        <f>VLOOKUP(C7,Purchased!A:Q,12,0)</f>
        <v xml:space="preserve"> </v>
      </c>
      <c r="I7" s="113"/>
      <c r="J7" s="44">
        <f>VLOOKUP(C7,Purchased!A:Q,13,0)</f>
        <v>45126</v>
      </c>
      <c r="K7" s="44">
        <f>VLOOKUP(C7,Purchased!A:Q,14,0)</f>
        <v>45126</v>
      </c>
      <c r="L7" s="44">
        <f>VLOOKUP(C7,Purchased!A:Q,15,0)</f>
        <v>45140</v>
      </c>
      <c r="M7" s="44">
        <f>VLOOKUP(C7,Purchased!A:Q,16,0)</f>
        <v>45148</v>
      </c>
      <c r="N7" s="45">
        <f>VLOOKUP(C7,Purchased!A:Q,17,0)</f>
        <v>55002</v>
      </c>
      <c r="O7" s="45" t="e">
        <f t="shared" ref="O7:O20" ca="1" si="2">B7*$L$2</f>
        <v>#VALUE!</v>
      </c>
      <c r="P7" s="49">
        <f>IFERROR(VLOOKUP(C7,Purchased!A:E,3,FALSE),"")</f>
        <v>41.804299999999998</v>
      </c>
      <c r="Q7" s="50">
        <f t="shared" ref="Q7:Q17" si="3">IFERROR(B7*P7,"")</f>
        <v>41.804299999999998</v>
      </c>
    </row>
    <row r="8" spans="1:17" s="2" customFormat="1" ht="12" customHeight="1">
      <c r="A8" s="4">
        <f t="shared" ref="A8:A17" si="4">A7+1</f>
        <v>302</v>
      </c>
      <c r="B8" s="2">
        <v>1</v>
      </c>
      <c r="C8" s="114" t="s">
        <v>503</v>
      </c>
      <c r="D8" s="268" t="str">
        <f>VLOOKUP(C8,Purchased!A:B,2,0)</f>
        <v>SMC SILENCER WITH 3/8 NPT THREAD</v>
      </c>
      <c r="E8" s="269"/>
      <c r="F8" s="112" t="str">
        <f>VLOOKUP(C8,Purchased!A:Q,9,0)</f>
        <v>SMC</v>
      </c>
      <c r="G8" s="112" t="str">
        <f>VLOOKUP(C8,Purchased!A:Q,10,0)</f>
        <v>AAP</v>
      </c>
      <c r="H8" s="112" t="str">
        <f>VLOOKUP(C8,Purchased!A:Q,12,0)</f>
        <v xml:space="preserve"> </v>
      </c>
      <c r="I8" s="113"/>
      <c r="J8" s="44">
        <f>VLOOKUP(C8,Purchased!A:Q,13,0)</f>
        <v>45126</v>
      </c>
      <c r="K8" s="44">
        <f>VLOOKUP(C8,Purchased!A:Q,14,0)</f>
        <v>45126</v>
      </c>
      <c r="L8" s="44">
        <f>VLOOKUP(C8,Purchased!A:Q,15,0)</f>
        <v>45140</v>
      </c>
      <c r="M8" s="44">
        <f>VLOOKUP(C8,Purchased!A:Q,16,0)</f>
        <v>45148</v>
      </c>
      <c r="N8" s="45">
        <f>VLOOKUP(C8,Purchased!A:Q,17,0)</f>
        <v>55002</v>
      </c>
      <c r="O8" s="45" t="e">
        <f t="shared" ca="1" si="2"/>
        <v>#VALUE!</v>
      </c>
      <c r="P8" s="49">
        <f>IFERROR(VLOOKUP(C8,Purchased!A:E,3,FALSE),"")</f>
        <v>3.8180000000000001</v>
      </c>
      <c r="Q8" s="50">
        <f t="shared" si="3"/>
        <v>3.8180000000000001</v>
      </c>
    </row>
    <row r="9" spans="1:17" s="2" customFormat="1" ht="12" customHeight="1">
      <c r="A9" s="4">
        <f t="shared" si="4"/>
        <v>303</v>
      </c>
      <c r="B9" s="2">
        <v>1</v>
      </c>
      <c r="C9" s="114" t="s">
        <v>504</v>
      </c>
      <c r="D9" s="268" t="str">
        <f>VLOOKUP(C9,Purchased!A:B,2,0)</f>
        <v>SMC SPACER WITH BRACKET, 5000 SIZE</v>
      </c>
      <c r="E9" s="269"/>
      <c r="F9" s="112" t="str">
        <f>VLOOKUP(C9,Purchased!A:Q,9,0)</f>
        <v>SMC</v>
      </c>
      <c r="G9" s="112" t="str">
        <f>VLOOKUP(C9,Purchased!A:Q,10,0)</f>
        <v>AAP</v>
      </c>
      <c r="H9" s="112">
        <f>VLOOKUP(C9,Purchased!A:Q,12,0)</f>
        <v>0</v>
      </c>
      <c r="I9" s="113"/>
      <c r="J9" s="44">
        <f>VLOOKUP(C9,Purchased!A:Q,13,0)</f>
        <v>45231</v>
      </c>
      <c r="K9" s="44">
        <f>VLOOKUP(C9,Purchased!A:Q,14,0)</f>
        <v>45231</v>
      </c>
      <c r="L9" s="44">
        <f>VLOOKUP(C9,Purchased!A:Q,15,0)</f>
        <v>45237</v>
      </c>
      <c r="M9" s="44">
        <f>VLOOKUP(C9,Purchased!A:Q,16,0)</f>
        <v>0</v>
      </c>
      <c r="N9" s="45">
        <f>VLOOKUP(C9,Purchased!A:Q,17,0)</f>
        <v>55265</v>
      </c>
      <c r="O9" s="45" t="e">
        <f t="shared" ca="1" si="2"/>
        <v>#VALUE!</v>
      </c>
      <c r="P9" s="49">
        <f>IFERROR(VLOOKUP(C9,Purchased!A:E,3,FALSE),"")</f>
        <v>7.5972</v>
      </c>
      <c r="Q9" s="50">
        <f t="shared" si="3"/>
        <v>7.5972</v>
      </c>
    </row>
    <row r="10" spans="1:17" s="2" customFormat="1" ht="12" customHeight="1">
      <c r="A10" s="4">
        <f t="shared" si="4"/>
        <v>304</v>
      </c>
      <c r="B10" s="2">
        <v>1</v>
      </c>
      <c r="C10" s="114" t="s">
        <v>505</v>
      </c>
      <c r="D10" s="268" t="str">
        <f>VLOOKUP(C10,Purchased!A:B,2,0)</f>
        <v>SMC AW FILTER REGULATOR</v>
      </c>
      <c r="E10" s="269"/>
      <c r="F10" s="112" t="str">
        <f>VLOOKUP(C10,Purchased!A:Q,9,0)</f>
        <v>SMC</v>
      </c>
      <c r="G10" s="112" t="str">
        <f>VLOOKUP(C10,Purchased!A:Q,10,0)</f>
        <v>AAP</v>
      </c>
      <c r="H10" s="112" t="str">
        <f>VLOOKUP(C10,Purchased!A:Q,12,0)</f>
        <v xml:space="preserve"> </v>
      </c>
      <c r="I10" s="113"/>
      <c r="J10" s="44">
        <f>VLOOKUP(C10,Purchased!A:Q,13,0)</f>
        <v>45126</v>
      </c>
      <c r="K10" s="44">
        <f>VLOOKUP(C10,Purchased!A:Q,14,0)</f>
        <v>45126</v>
      </c>
      <c r="L10" s="44">
        <f>VLOOKUP(C10,Purchased!A:Q,15,0)</f>
        <v>45140</v>
      </c>
      <c r="M10" s="44">
        <f>VLOOKUP(C10,Purchased!A:Q,16,0)</f>
        <v>45148</v>
      </c>
      <c r="N10" s="45">
        <f>VLOOKUP(C10,Purchased!A:Q,17,0)</f>
        <v>55002</v>
      </c>
      <c r="O10" s="45" t="e">
        <f t="shared" ca="1" si="2"/>
        <v>#VALUE!</v>
      </c>
      <c r="P10" s="49">
        <f>IFERROR(VLOOKUP(C10,Purchased!A:E,3,FALSE),"")</f>
        <v>54.309699999999999</v>
      </c>
      <c r="Q10" s="50">
        <f t="shared" si="3"/>
        <v>54.309699999999999</v>
      </c>
    </row>
    <row r="11" spans="1:17" s="2" customFormat="1" ht="12" customHeight="1">
      <c r="A11" s="4">
        <f t="shared" si="4"/>
        <v>305</v>
      </c>
      <c r="B11" s="2">
        <v>1</v>
      </c>
      <c r="C11" s="114" t="s">
        <v>506</v>
      </c>
      <c r="D11" s="268" t="str">
        <f>VLOOKUP(C11,Purchased!A:B,2,0)</f>
        <v>SMC PRESSURE GAUGE, 1/8 NPT, BACKSIDE THREAD</v>
      </c>
      <c r="E11" s="269"/>
      <c r="F11" s="112" t="str">
        <f>VLOOKUP(C11,Purchased!A:Q,9,0)</f>
        <v>SMC</v>
      </c>
      <c r="G11" s="112" t="str">
        <f>VLOOKUP(C11,Purchased!A:Q,10,0)</f>
        <v>AAP</v>
      </c>
      <c r="H11" s="112">
        <f>VLOOKUP(C11,Purchased!A:Q,12,0)</f>
        <v>0</v>
      </c>
      <c r="I11" s="113"/>
      <c r="J11" s="44">
        <f>VLOOKUP(C11,Purchased!A:Q,13,0)</f>
        <v>45231</v>
      </c>
      <c r="K11" s="44">
        <f>VLOOKUP(C11,Purchased!A:Q,14,0)</f>
        <v>45231</v>
      </c>
      <c r="L11" s="44">
        <f>VLOOKUP(C11,Purchased!A:Q,15,0)</f>
        <v>45237</v>
      </c>
      <c r="M11" s="44">
        <f>VLOOKUP(C11,Purchased!A:Q,16,0)</f>
        <v>0</v>
      </c>
      <c r="N11" s="45">
        <f>VLOOKUP(C11,Purchased!A:Q,17,0)</f>
        <v>55265</v>
      </c>
      <c r="O11" s="45" t="e">
        <f t="shared" ref="O11" ca="1" si="5">B11*$L$2</f>
        <v>#VALUE!</v>
      </c>
      <c r="P11" s="49">
        <f>IFERROR(VLOOKUP(C11,Purchased!A:E,3,FALSE),"")</f>
        <v>10.3788</v>
      </c>
      <c r="Q11" s="50">
        <f t="shared" ref="Q11" si="6">IFERROR(B11*P11,"")</f>
        <v>10.3788</v>
      </c>
    </row>
    <row r="12" spans="1:17" s="2" customFormat="1" ht="12" customHeight="1">
      <c r="A12" s="4">
        <f t="shared" si="4"/>
        <v>306</v>
      </c>
      <c r="B12" s="2">
        <v>1</v>
      </c>
      <c r="C12" s="114" t="s">
        <v>507</v>
      </c>
      <c r="D12" s="268" t="str">
        <f>VLOOKUP(C12,Purchased!A:B,2,0)</f>
        <v>High-Pressure Brass Pipe Fitting, Straight Reducer, 3/4 x 1/2 NPT Male</v>
      </c>
      <c r="E12" s="269"/>
      <c r="F12" s="112" t="str">
        <f>VLOOKUP(C12,Purchased!A:Q,9,0)</f>
        <v>MCM</v>
      </c>
      <c r="G12" s="112" t="str">
        <f>VLOOKUP(C12,Purchased!A:Q,10,0)</f>
        <v>MCM</v>
      </c>
      <c r="H12" s="112">
        <f>VLOOKUP(C12,Purchased!A:Q,12,0)</f>
        <v>0</v>
      </c>
      <c r="I12" s="113"/>
      <c r="J12" s="44" t="str">
        <f>VLOOKUP(C12,Purchased!A:Q,13,0)</f>
        <v>N/A</v>
      </c>
      <c r="K12" s="44">
        <f>VLOOKUP(C12,Purchased!A:Q,14,0)</f>
        <v>45238</v>
      </c>
      <c r="L12" s="44">
        <f>VLOOKUP(C12,Purchased!A:Q,15,0)</f>
        <v>45239</v>
      </c>
      <c r="M12" s="44">
        <f>VLOOKUP(C12,Purchased!A:Q,16,0)</f>
        <v>45239</v>
      </c>
      <c r="N12" s="45">
        <f>VLOOKUP(C12,Purchased!A:Q,17,0)</f>
        <v>55277</v>
      </c>
      <c r="O12" s="45" t="e">
        <f t="shared" ca="1" si="2"/>
        <v>#VALUE!</v>
      </c>
      <c r="P12" s="49">
        <f>IFERROR(VLOOKUP(C12,Purchased!A:E,3,FALSE),"")</f>
        <v>10.76</v>
      </c>
      <c r="Q12" s="50">
        <f t="shared" si="3"/>
        <v>10.76</v>
      </c>
    </row>
    <row r="13" spans="1:17" s="2" customFormat="1" ht="12" customHeight="1">
      <c r="A13" s="4">
        <f t="shared" si="4"/>
        <v>307</v>
      </c>
      <c r="B13" s="2">
        <v>1</v>
      </c>
      <c r="C13" s="114" t="s">
        <v>508</v>
      </c>
      <c r="D13" s="268" t="str">
        <f>VLOOKUP(C13,Purchased!A:B,2,0)</f>
        <v>SMC SOFT START-UP VALVE</v>
      </c>
      <c r="E13" s="269"/>
      <c r="F13" s="112" t="str">
        <f>VLOOKUP(C13,Purchased!A:Q,9,0)</f>
        <v>SMC</v>
      </c>
      <c r="G13" s="112" t="str">
        <f>VLOOKUP(C13,Purchased!A:Q,10,0)</f>
        <v>AAP</v>
      </c>
      <c r="H13" s="112" t="str">
        <f>VLOOKUP(C13,Purchased!A:Q,12,0)</f>
        <v xml:space="preserve"> </v>
      </c>
      <c r="I13" s="113"/>
      <c r="J13" s="44">
        <f>VLOOKUP(C13,Purchased!A:Q,13,0)</f>
        <v>45126</v>
      </c>
      <c r="K13" s="44">
        <f>VLOOKUP(C13,Purchased!A:Q,14,0)</f>
        <v>45126</v>
      </c>
      <c r="L13" s="44">
        <f>VLOOKUP(C13,Purchased!A:Q,15,0)</f>
        <v>45140</v>
      </c>
      <c r="M13" s="44">
        <f>VLOOKUP(C13,Purchased!A:Q,16,0)</f>
        <v>45148</v>
      </c>
      <c r="N13" s="45">
        <f>VLOOKUP(C13,Purchased!A:Q,17,0)</f>
        <v>55002</v>
      </c>
      <c r="O13" s="45" t="e">
        <f t="shared" ca="1" si="2"/>
        <v>#VALUE!</v>
      </c>
      <c r="P13" s="49">
        <f>IFERROR(VLOOKUP(C13,Purchased!A:E,3,FALSE),"")</f>
        <v>163.74520000000001</v>
      </c>
      <c r="Q13" s="50">
        <f t="shared" si="3"/>
        <v>163.74520000000001</v>
      </c>
    </row>
    <row r="14" spans="1:17" s="2" customFormat="1" ht="12" customHeight="1">
      <c r="A14" s="4">
        <f t="shared" si="4"/>
        <v>308</v>
      </c>
      <c r="B14" s="2">
        <v>1</v>
      </c>
      <c r="C14" s="114" t="s">
        <v>509</v>
      </c>
      <c r="D14" s="268" t="str">
        <f>VLOOKUP(C14,Purchased!A:B,2,0)</f>
        <v>SMC SILENCER WITH 1/2 NPT THREAD</v>
      </c>
      <c r="E14" s="269"/>
      <c r="F14" s="112" t="str">
        <f>VLOOKUP(C14,Purchased!A:Q,9,0)</f>
        <v>SMC</v>
      </c>
      <c r="G14" s="112" t="str">
        <f>VLOOKUP(C14,Purchased!A:Q,10,0)</f>
        <v>AAP</v>
      </c>
      <c r="H14" s="112" t="str">
        <f>VLOOKUP(C14,Purchased!A:Q,12,0)</f>
        <v xml:space="preserve"> </v>
      </c>
      <c r="I14" s="113"/>
      <c r="J14" s="44">
        <f>VLOOKUP(C14,Purchased!A:Q,13,0)</f>
        <v>45126</v>
      </c>
      <c r="K14" s="44">
        <f>VLOOKUP(C14,Purchased!A:Q,14,0)</f>
        <v>45126</v>
      </c>
      <c r="L14" s="44">
        <f>VLOOKUP(C14,Purchased!A:Q,15,0)</f>
        <v>45140</v>
      </c>
      <c r="M14" s="44">
        <f>VLOOKUP(C14,Purchased!A:Q,16,0)</f>
        <v>45148</v>
      </c>
      <c r="N14" s="45">
        <f>VLOOKUP(C14,Purchased!A:Q,17,0)</f>
        <v>55002</v>
      </c>
      <c r="O14" s="45" t="e">
        <f t="shared" ca="1" si="2"/>
        <v>#VALUE!</v>
      </c>
      <c r="P14" s="49">
        <f>IFERROR(VLOOKUP(C14,Purchased!A:E,3,FALSE),"")</f>
        <v>4.8140000000000001</v>
      </c>
      <c r="Q14" s="50">
        <f t="shared" si="3"/>
        <v>4.8140000000000001</v>
      </c>
    </row>
    <row r="15" spans="1:17" s="2" customFormat="1" ht="12" customHeight="1">
      <c r="A15" s="4">
        <f t="shared" si="4"/>
        <v>309</v>
      </c>
      <c r="B15" s="2">
        <v>1</v>
      </c>
      <c r="C15" s="114" t="s">
        <v>510</v>
      </c>
      <c r="D15" s="268" t="str">
        <f>VLOOKUP(C15,Purchased!A:B,2,0)</f>
        <v>SMC SPACER WITH BRACKET, 4000 SIZE</v>
      </c>
      <c r="E15" s="269"/>
      <c r="F15" s="112" t="str">
        <f>VLOOKUP(C15,Purchased!A:Q,9,0)</f>
        <v>SMC</v>
      </c>
      <c r="G15" s="112" t="str">
        <f>VLOOKUP(C15,Purchased!A:Q,10,0)</f>
        <v>AAP</v>
      </c>
      <c r="H15" s="112" t="str">
        <f>VLOOKUP(C15,Purchased!A:Q,12,0)</f>
        <v xml:space="preserve"> </v>
      </c>
      <c r="I15" s="113"/>
      <c r="J15" s="44">
        <f>VLOOKUP(C15,Purchased!A:Q,13,0)</f>
        <v>45126</v>
      </c>
      <c r="K15" s="44">
        <f>VLOOKUP(C15,Purchased!A:Q,14,0)</f>
        <v>45126</v>
      </c>
      <c r="L15" s="44">
        <f>VLOOKUP(C15,Purchased!A:Q,15,0)</f>
        <v>45140</v>
      </c>
      <c r="M15" s="44">
        <f>VLOOKUP(C15,Purchased!A:Q,16,0)</f>
        <v>45148</v>
      </c>
      <c r="N15" s="45">
        <f>VLOOKUP(C15,Purchased!A:Q,17,0)</f>
        <v>55002</v>
      </c>
      <c r="O15" s="45" t="e">
        <f t="shared" ca="1" si="2"/>
        <v>#VALUE!</v>
      </c>
      <c r="P15" s="49">
        <f>IFERROR(VLOOKUP(C15,Purchased!A:E,3,FALSE),"")</f>
        <v>7.12</v>
      </c>
      <c r="Q15" s="50">
        <f t="shared" si="3"/>
        <v>7.12</v>
      </c>
    </row>
    <row r="16" spans="1:17" s="2" customFormat="1" ht="12" customHeight="1">
      <c r="A16" s="4">
        <f t="shared" si="4"/>
        <v>310</v>
      </c>
      <c r="B16" s="2">
        <v>1</v>
      </c>
      <c r="C16" s="114" t="s">
        <v>511</v>
      </c>
      <c r="D16" s="268" t="str">
        <f>VLOOKUP(C16,Purchased!A:B,2,0)</f>
        <v>SMC PRESSURE SWITCH W/ ADAPTER REED TYPE</v>
      </c>
      <c r="E16" s="269"/>
      <c r="F16" s="112" t="str">
        <f>VLOOKUP(C16,Purchased!A:Q,9,0)</f>
        <v>SMC</v>
      </c>
      <c r="G16" s="112" t="str">
        <f>VLOOKUP(C16,Purchased!A:Q,10,0)</f>
        <v>AAP</v>
      </c>
      <c r="H16" s="112" t="str">
        <f>VLOOKUP(C16,Purchased!A:Q,12,0)</f>
        <v xml:space="preserve"> </v>
      </c>
      <c r="I16" s="113"/>
      <c r="J16" s="44">
        <f>VLOOKUP(C16,Purchased!A:Q,13,0)</f>
        <v>45126</v>
      </c>
      <c r="K16" s="44">
        <f>VLOOKUP(C16,Purchased!A:Q,14,0)</f>
        <v>45126</v>
      </c>
      <c r="L16" s="44">
        <f>VLOOKUP(C16,Purchased!A:Q,15,0)</f>
        <v>45140</v>
      </c>
      <c r="M16" s="44">
        <f>VLOOKUP(C16,Purchased!A:Q,16,0)</f>
        <v>45148</v>
      </c>
      <c r="N16" s="45">
        <f>VLOOKUP(C16,Purchased!A:Q,17,0)</f>
        <v>55002</v>
      </c>
      <c r="O16" s="45" t="e">
        <f t="shared" ca="1" si="2"/>
        <v>#VALUE!</v>
      </c>
      <c r="P16" s="49">
        <f>IFERROR(VLOOKUP(C16,Purchased!A:E,3,FALSE),"")</f>
        <v>44.82</v>
      </c>
      <c r="Q16" s="50">
        <f t="shared" si="3"/>
        <v>44.82</v>
      </c>
    </row>
    <row r="17" spans="1:17" s="2" customFormat="1" ht="12" customHeight="1">
      <c r="A17" s="4">
        <f t="shared" si="4"/>
        <v>311</v>
      </c>
      <c r="B17" s="2">
        <v>4</v>
      </c>
      <c r="C17" s="114" t="s">
        <v>512</v>
      </c>
      <c r="D17" s="268" t="str">
        <f>VLOOKUP(C17,Purchased!A:B,2,0)</f>
        <v>MISUMI Flat Spacers - NICKEL PLATED STEEL, 20MM OD, 10MM ID, 7MM THICK</v>
      </c>
      <c r="E17" s="269"/>
      <c r="F17" s="112" t="str">
        <f>VLOOKUP(C17,Purchased!A:Q,9,0)</f>
        <v>MISUMI</v>
      </c>
      <c r="G17" s="112" t="str">
        <f>VLOOKUP(C17,Purchased!A:Q,10,0)</f>
        <v>MISUMI</v>
      </c>
      <c r="H17" s="112" t="str">
        <f>VLOOKUP(C17,Purchased!A:Q,12,0)</f>
        <v xml:space="preserve"> </v>
      </c>
      <c r="I17" s="113"/>
      <c r="J17" s="44" t="str">
        <f>VLOOKUP(C17,Purchased!A:Q,13,0)</f>
        <v>N/A</v>
      </c>
      <c r="K17" s="44">
        <f>VLOOKUP(C17,Purchased!A:Q,14,0)</f>
        <v>45161</v>
      </c>
      <c r="L17" s="44">
        <f>VLOOKUP(C17,Purchased!A:Q,15,0)</f>
        <v>45191</v>
      </c>
      <c r="M17" s="44">
        <f>VLOOKUP(C17,Purchased!A:Q,16,0)</f>
        <v>45176</v>
      </c>
      <c r="N17" s="45">
        <f>VLOOKUP(C17,Purchased!A:Q,17,0)</f>
        <v>55078</v>
      </c>
      <c r="O17" s="45" t="e">
        <f t="shared" ca="1" si="2"/>
        <v>#VALUE!</v>
      </c>
      <c r="P17" s="49">
        <f>IFERROR(VLOOKUP(C17,Purchased!A:E,3,FALSE),"")</f>
        <v>17.34</v>
      </c>
      <c r="Q17" s="50">
        <f t="shared" si="3"/>
        <v>69.36</v>
      </c>
    </row>
    <row r="18" spans="1:17" s="2" customFormat="1" ht="12.75" customHeight="1">
      <c r="A18" s="25"/>
      <c r="B18" s="26"/>
      <c r="C18" s="26"/>
      <c r="D18" s="272"/>
      <c r="E18" s="273"/>
      <c r="F18" s="26"/>
      <c r="G18" s="26"/>
      <c r="H18" s="274"/>
      <c r="I18" s="275"/>
      <c r="J18" s="27"/>
      <c r="K18" s="27"/>
      <c r="L18" s="27"/>
      <c r="M18" s="28"/>
      <c r="N18" s="29"/>
      <c r="O18" s="29" t="e">
        <f t="shared" ca="1" si="2"/>
        <v>#VALUE!</v>
      </c>
      <c r="P18" s="141"/>
      <c r="Q18" s="142"/>
    </row>
    <row r="19" spans="1:17" s="2" customFormat="1" ht="12.75" customHeight="1">
      <c r="A19" s="4">
        <v>501</v>
      </c>
      <c r="B19" s="2">
        <v>4</v>
      </c>
      <c r="C19" s="110" t="s">
        <v>513</v>
      </c>
      <c r="D19" s="268"/>
      <c r="E19" s="276"/>
      <c r="F19" s="112" t="str">
        <f>VLOOKUP(C19,Bolts!A:L,5,0)</f>
        <v xml:space="preserve">  </v>
      </c>
      <c r="G19" s="112" t="str">
        <f>VLOOKUP(C19,Bolts!A:L,6,0)</f>
        <v>Monroe Fasteners</v>
      </c>
      <c r="H19" s="112" t="str">
        <f>VLOOKUP(C19,Bolts!A:L,7,0)</f>
        <v xml:space="preserve">  </v>
      </c>
      <c r="I19" s="112"/>
      <c r="J19" s="44" t="str">
        <f>VLOOKUP(C19,Bolts!A:L,8,0)</f>
        <v xml:space="preserve"> </v>
      </c>
      <c r="K19" s="44" t="str">
        <f>VLOOKUP(C19,Bolts!A:L,9,0)</f>
        <v xml:space="preserve"> </v>
      </c>
      <c r="L19" s="44" t="str">
        <f>VLOOKUP(C19,Bolts!A:L,10,0)</f>
        <v xml:space="preserve"> </v>
      </c>
      <c r="M19" s="44" t="str">
        <f>VLOOKUP(C19,Bolts!A:L,11,0)</f>
        <v xml:space="preserve"> </v>
      </c>
      <c r="N19" s="45" t="str">
        <f>VLOOKUP(C19,Bolts!A:L,12,0)</f>
        <v xml:space="preserve"> </v>
      </c>
      <c r="O19" s="45" t="e">
        <f t="shared" ca="1" si="2"/>
        <v>#VALUE!</v>
      </c>
      <c r="P19" s="49" t="str">
        <f>IFERROR(VLOOKUP(C19,Bolts!A:B,2,FALSE),"")</f>
        <v xml:space="preserve"> </v>
      </c>
      <c r="Q19" s="50" t="str">
        <f t="shared" ref="Q19:Q20" si="7">IFERROR(B19*P19,"")</f>
        <v/>
      </c>
    </row>
    <row r="20" spans="1:17" s="2" customFormat="1" ht="12.75" customHeight="1">
      <c r="A20" s="4">
        <f t="shared" ref="A20:A22" si="8">A19+1</f>
        <v>502</v>
      </c>
      <c r="B20" s="2">
        <v>2</v>
      </c>
      <c r="C20" s="110" t="s">
        <v>514</v>
      </c>
      <c r="D20" s="268"/>
      <c r="E20" s="276"/>
      <c r="F20" s="112" t="str">
        <f>VLOOKUP(C20,Bolts!A:L,5,0)</f>
        <v xml:space="preserve">  </v>
      </c>
      <c r="G20" s="112" t="str">
        <f>VLOOKUP(C20,Bolts!A:L,6,0)</f>
        <v>Monroe Fasteners</v>
      </c>
      <c r="H20" s="112" t="str">
        <f>VLOOKUP(C20,Bolts!A:L,7,0)</f>
        <v xml:space="preserve">  </v>
      </c>
      <c r="I20" s="112"/>
      <c r="J20" s="44" t="str">
        <f>VLOOKUP(C20,Bolts!A:L,8,0)</f>
        <v xml:space="preserve"> </v>
      </c>
      <c r="K20" s="44" t="str">
        <f>VLOOKUP(C20,Bolts!A:L,9,0)</f>
        <v xml:space="preserve"> </v>
      </c>
      <c r="L20" s="44" t="str">
        <f>VLOOKUP(C20,Bolts!A:L,10,0)</f>
        <v xml:space="preserve"> </v>
      </c>
      <c r="M20" s="44" t="str">
        <f>VLOOKUP(C20,Bolts!A:L,11,0)</f>
        <v xml:space="preserve"> </v>
      </c>
      <c r="N20" s="45" t="str">
        <f>VLOOKUP(C20,Bolts!A:L,12,0)</f>
        <v xml:space="preserve"> </v>
      </c>
      <c r="O20" s="45" t="e">
        <f t="shared" ca="1" si="2"/>
        <v>#VALUE!</v>
      </c>
      <c r="P20" s="49" t="str">
        <f>IFERROR(VLOOKUP(C20,Bolts!A:B,2,FALSE),"")</f>
        <v xml:space="preserve"> </v>
      </c>
      <c r="Q20" s="50" t="str">
        <f t="shared" si="7"/>
        <v/>
      </c>
    </row>
    <row r="21" spans="1:17" s="2" customFormat="1" ht="12.75" customHeight="1">
      <c r="A21" s="4">
        <f t="shared" si="8"/>
        <v>503</v>
      </c>
      <c r="B21" s="2">
        <v>6</v>
      </c>
      <c r="C21" s="110" t="s">
        <v>515</v>
      </c>
      <c r="D21" s="268"/>
      <c r="E21" s="276"/>
      <c r="F21" s="112" t="str">
        <f>VLOOKUP(C21,Bolts!A:L,5,0)</f>
        <v xml:space="preserve">  </v>
      </c>
      <c r="G21" s="112" t="str">
        <f>VLOOKUP(C21,Bolts!A:L,6,0)</f>
        <v>Monroe Fasteners</v>
      </c>
      <c r="H21" s="112" t="str">
        <f>VLOOKUP(C21,Bolts!A:L,7,0)</f>
        <v xml:space="preserve">  </v>
      </c>
      <c r="I21" s="112"/>
      <c r="J21" s="44" t="str">
        <f>VLOOKUP(C21,Bolts!A:L,8,0)</f>
        <v xml:space="preserve"> </v>
      </c>
      <c r="K21" s="44" t="str">
        <f>VLOOKUP(C21,Bolts!A:L,9,0)</f>
        <v xml:space="preserve"> </v>
      </c>
      <c r="L21" s="44" t="str">
        <f>VLOOKUP(C21,Bolts!A:L,10,0)</f>
        <v xml:space="preserve"> </v>
      </c>
      <c r="M21" s="44" t="str">
        <f>VLOOKUP(C21,Bolts!A:L,11,0)</f>
        <v xml:space="preserve"> </v>
      </c>
      <c r="N21" s="45" t="str">
        <f>VLOOKUP(C21,Bolts!A:L,12,0)</f>
        <v xml:space="preserve"> </v>
      </c>
      <c r="O21" s="45" t="e">
        <f t="shared" ref="O21:O22" ca="1" si="9">B21*$L$2</f>
        <v>#VALUE!</v>
      </c>
      <c r="P21" s="49" t="str">
        <f>IFERROR(VLOOKUP(C21,Bolts!A:B,2,FALSE),"")</f>
        <v xml:space="preserve"> </v>
      </c>
      <c r="Q21" s="50" t="str">
        <f t="shared" ref="Q21:Q22" si="10">IFERROR(B21*P21,"")</f>
        <v/>
      </c>
    </row>
    <row r="22" spans="1:17" s="2" customFormat="1" ht="12.75" customHeight="1" thickBot="1">
      <c r="A22" s="4">
        <f t="shared" si="8"/>
        <v>504</v>
      </c>
      <c r="B22" s="2">
        <v>2</v>
      </c>
      <c r="C22" s="110" t="s">
        <v>431</v>
      </c>
      <c r="D22" s="268"/>
      <c r="E22" s="276"/>
      <c r="F22" s="112" t="str">
        <f>VLOOKUP(C22,Bolts!A:L,5,0)</f>
        <v xml:space="preserve">  </v>
      </c>
      <c r="G22" s="112" t="str">
        <f>VLOOKUP(C22,Bolts!A:L,6,0)</f>
        <v>Monroe Fasteners</v>
      </c>
      <c r="H22" s="112" t="str">
        <f>VLOOKUP(C22,Bolts!A:L,7,0)</f>
        <v xml:space="preserve">  </v>
      </c>
      <c r="I22" s="112"/>
      <c r="J22" s="44" t="str">
        <f>VLOOKUP(C22,Bolts!A:L,8,0)</f>
        <v xml:space="preserve"> </v>
      </c>
      <c r="K22" s="44" t="str">
        <f>VLOOKUP(C22,Bolts!A:L,9,0)</f>
        <v xml:space="preserve"> </v>
      </c>
      <c r="L22" s="44" t="str">
        <f>VLOOKUP(C22,Bolts!A:L,10,0)</f>
        <v xml:space="preserve"> </v>
      </c>
      <c r="M22" s="44" t="str">
        <f>VLOOKUP(C22,Bolts!A:L,11,0)</f>
        <v xml:space="preserve"> </v>
      </c>
      <c r="N22" s="45" t="str">
        <f>VLOOKUP(C22,Bolts!A:L,12,0)</f>
        <v xml:space="preserve"> </v>
      </c>
      <c r="O22" s="45" t="e">
        <f t="shared" ca="1" si="9"/>
        <v>#VALUE!</v>
      </c>
      <c r="P22" s="49" t="str">
        <f>IFERROR(VLOOKUP(C22,Bolts!A:B,2,FALSE),"")</f>
        <v xml:space="preserve"> </v>
      </c>
      <c r="Q22" s="50" t="str">
        <f t="shared" si="10"/>
        <v/>
      </c>
    </row>
    <row r="23" spans="1:17" s="2" customFormat="1" ht="12.75" customHeight="1" thickBot="1">
      <c r="A23" s="34"/>
      <c r="B23" s="35"/>
      <c r="C23" s="35"/>
      <c r="D23" s="256"/>
      <c r="E23" s="257"/>
      <c r="F23" s="35"/>
      <c r="G23" s="35"/>
      <c r="H23" s="294"/>
      <c r="I23" s="295"/>
      <c r="J23" s="36"/>
      <c r="K23" s="36"/>
      <c r="L23" s="36"/>
      <c r="M23" s="37"/>
      <c r="N23" s="38"/>
      <c r="O23" s="38"/>
      <c r="P23" s="89" t="s">
        <v>43</v>
      </c>
      <c r="Q23" s="94">
        <f>SUM(Q5:Q20)</f>
        <v>522.67719999999997</v>
      </c>
    </row>
    <row r="24" spans="1:17" s="2" customFormat="1" ht="12" customHeight="1">
      <c r="D24" s="22"/>
      <c r="E24" s="22"/>
      <c r="J24" s="8"/>
      <c r="K24" s="8"/>
      <c r="L24" s="8"/>
      <c r="M24" s="8"/>
      <c r="N24" s="5"/>
      <c r="O24" s="5"/>
      <c r="P24" s="88"/>
      <c r="Q24" s="95"/>
    </row>
    <row r="25" spans="1:17" s="2" customFormat="1" ht="12" customHeight="1">
      <c r="D25" s="22"/>
      <c r="E25" s="22"/>
      <c r="J25" s="5"/>
      <c r="K25" s="5"/>
      <c r="L25" s="5"/>
      <c r="M25" s="5"/>
      <c r="N25" s="5"/>
      <c r="O25" s="5"/>
      <c r="P25" s="88"/>
      <c r="Q25" s="95"/>
    </row>
    <row r="26" spans="1:17" s="2" customFormat="1" ht="12" customHeight="1">
      <c r="D26" s="22"/>
      <c r="E26" s="22"/>
      <c r="J26" s="5"/>
      <c r="K26" s="5"/>
      <c r="L26" s="5"/>
      <c r="M26" s="5"/>
      <c r="N26" s="5"/>
      <c r="O26" s="5"/>
      <c r="P26" s="88"/>
      <c r="Q26" s="95"/>
    </row>
    <row r="27" spans="1:17" s="2" customFormat="1" ht="12" customHeight="1">
      <c r="D27" s="22"/>
      <c r="E27" s="22"/>
      <c r="J27" s="5"/>
      <c r="K27" s="5"/>
      <c r="L27" s="5"/>
      <c r="M27" s="5"/>
      <c r="N27" s="5"/>
      <c r="O27" s="5"/>
      <c r="P27" s="88"/>
      <c r="Q27" s="95"/>
    </row>
    <row r="28" spans="1:17" s="2" customFormat="1" ht="12" customHeight="1">
      <c r="D28" s="22"/>
      <c r="E28" s="22"/>
      <c r="J28" s="5"/>
      <c r="K28" s="5"/>
      <c r="L28" s="5"/>
      <c r="M28" s="5"/>
      <c r="N28" s="5"/>
      <c r="O28" s="5"/>
      <c r="P28" s="88"/>
      <c r="Q28" s="95"/>
    </row>
    <row r="29" spans="1:17" s="2" customFormat="1" ht="12" customHeight="1">
      <c r="D29" s="22"/>
      <c r="E29" s="22"/>
      <c r="J29" s="5"/>
      <c r="K29" s="5"/>
      <c r="L29" s="5"/>
      <c r="M29" s="5"/>
      <c r="N29" s="5"/>
      <c r="O29" s="5"/>
      <c r="P29" s="88"/>
      <c r="Q29" s="95"/>
    </row>
    <row r="30" spans="1:17" s="2" customFormat="1" ht="12" customHeight="1">
      <c r="D30" s="22"/>
      <c r="E30" s="22"/>
      <c r="J30" s="5"/>
      <c r="K30" s="5"/>
      <c r="L30" s="5"/>
      <c r="M30" s="5"/>
      <c r="N30" s="5"/>
      <c r="O30" s="5"/>
      <c r="P30" s="88"/>
      <c r="Q30" s="95"/>
    </row>
    <row r="31" spans="1:17" s="2" customFormat="1" ht="12" customHeight="1">
      <c r="D31" s="22"/>
      <c r="E31" s="22"/>
      <c r="J31" s="5"/>
      <c r="K31" s="5"/>
      <c r="L31" s="5"/>
      <c r="M31" s="5"/>
      <c r="N31" s="5"/>
      <c r="O31" s="5"/>
      <c r="P31" s="88"/>
      <c r="Q31" s="95"/>
    </row>
    <row r="32" spans="1:17" s="2" customFormat="1" ht="12" customHeight="1">
      <c r="D32" s="22"/>
      <c r="E32" s="22"/>
      <c r="J32" s="5"/>
      <c r="K32" s="5"/>
      <c r="L32" s="5"/>
      <c r="M32" s="5"/>
      <c r="N32" s="5"/>
      <c r="O32" s="5"/>
      <c r="P32" s="88"/>
      <c r="Q32" s="95"/>
    </row>
    <row r="33" spans="4:17" s="2" customFormat="1" ht="12" customHeight="1">
      <c r="D33" s="22"/>
      <c r="E33" s="22"/>
      <c r="J33" s="5"/>
      <c r="K33" s="5"/>
      <c r="L33" s="5"/>
      <c r="M33" s="5"/>
      <c r="N33" s="5"/>
      <c r="O33" s="5"/>
      <c r="P33" s="88"/>
      <c r="Q33" s="95"/>
    </row>
    <row r="34" spans="4:17" s="2" customFormat="1" ht="12" customHeight="1">
      <c r="D34" s="22"/>
      <c r="E34" s="22"/>
      <c r="J34" s="5"/>
      <c r="K34" s="5"/>
      <c r="L34" s="5"/>
      <c r="M34" s="5"/>
      <c r="N34" s="5"/>
      <c r="O34" s="5"/>
      <c r="P34" s="88"/>
      <c r="Q34" s="95"/>
    </row>
    <row r="35" spans="4:17" s="2" customFormat="1" ht="12" customHeight="1">
      <c r="D35" s="22"/>
      <c r="E35" s="22"/>
      <c r="J35" s="5"/>
      <c r="K35" s="5"/>
      <c r="L35" s="5"/>
      <c r="M35" s="5"/>
      <c r="N35" s="5"/>
      <c r="O35" s="5"/>
      <c r="P35" s="88"/>
      <c r="Q35" s="95"/>
    </row>
    <row r="36" spans="4:17" s="2" customFormat="1" ht="12" customHeight="1">
      <c r="D36" s="22"/>
      <c r="E36" s="22"/>
      <c r="J36" s="5"/>
      <c r="K36" s="5"/>
      <c r="L36" s="5"/>
      <c r="M36" s="5"/>
      <c r="N36" s="5"/>
      <c r="O36" s="5"/>
      <c r="P36" s="88"/>
      <c r="Q36" s="95"/>
    </row>
    <row r="37" spans="4:17" s="2" customFormat="1" ht="12" customHeight="1">
      <c r="D37" s="22"/>
      <c r="E37" s="22"/>
      <c r="J37" s="5"/>
      <c r="K37" s="5"/>
      <c r="L37" s="5"/>
      <c r="M37" s="5"/>
      <c r="N37" s="5"/>
      <c r="O37" s="5"/>
      <c r="P37" s="88"/>
      <c r="Q37" s="95"/>
    </row>
    <row r="38" spans="4:17" s="2" customFormat="1" ht="12" customHeight="1">
      <c r="D38" s="22"/>
      <c r="E38" s="22"/>
      <c r="J38" s="5"/>
      <c r="K38" s="5"/>
      <c r="L38" s="5"/>
      <c r="M38" s="5"/>
      <c r="N38" s="5"/>
      <c r="O38" s="5"/>
      <c r="P38" s="88"/>
      <c r="Q38" s="95"/>
    </row>
    <row r="39" spans="4:17" s="2" customFormat="1" ht="12" customHeight="1">
      <c r="D39" s="22"/>
      <c r="E39" s="22"/>
      <c r="J39" s="5"/>
      <c r="K39" s="5"/>
      <c r="L39" s="5"/>
      <c r="M39" s="5"/>
      <c r="N39" s="5"/>
      <c r="O39" s="5"/>
      <c r="P39" s="88"/>
      <c r="Q39" s="95"/>
    </row>
    <row r="40" spans="4:17" s="2" customFormat="1" ht="12" customHeight="1">
      <c r="D40" s="22"/>
      <c r="E40" s="22"/>
      <c r="J40" s="5"/>
      <c r="K40" s="5"/>
      <c r="L40" s="5"/>
      <c r="M40" s="5"/>
      <c r="N40" s="5"/>
      <c r="O40" s="5"/>
      <c r="P40" s="88"/>
      <c r="Q40" s="95"/>
    </row>
    <row r="41" spans="4:17" s="2" customFormat="1" ht="12" customHeight="1">
      <c r="D41" s="22"/>
      <c r="E41" s="22"/>
      <c r="J41" s="5"/>
      <c r="K41" s="5"/>
      <c r="L41" s="5"/>
      <c r="M41" s="5"/>
      <c r="N41" s="5"/>
      <c r="O41" s="5"/>
      <c r="P41" s="88"/>
      <c r="Q41" s="95"/>
    </row>
    <row r="42" spans="4:17" s="2" customFormat="1" ht="12" customHeight="1">
      <c r="D42" s="22"/>
      <c r="E42" s="22"/>
      <c r="J42" s="5"/>
      <c r="K42" s="5"/>
      <c r="L42" s="5"/>
      <c r="M42" s="5"/>
      <c r="N42" s="5"/>
      <c r="O42" s="5"/>
      <c r="P42" s="88"/>
      <c r="Q42" s="95"/>
    </row>
    <row r="43" spans="4:17" s="2" customFormat="1" ht="12" customHeight="1">
      <c r="D43" s="22"/>
      <c r="E43" s="22"/>
      <c r="J43" s="5"/>
      <c r="K43" s="5"/>
      <c r="L43" s="5"/>
      <c r="M43" s="5"/>
      <c r="N43" s="5"/>
      <c r="O43" s="5"/>
      <c r="P43" s="88"/>
      <c r="Q43" s="95"/>
    </row>
    <row r="44" spans="4:17" s="2" customFormat="1" ht="12" customHeight="1">
      <c r="D44" s="22"/>
      <c r="E44" s="22"/>
      <c r="J44" s="5"/>
      <c r="K44" s="5"/>
      <c r="L44" s="5"/>
      <c r="M44" s="5"/>
      <c r="N44" s="5"/>
      <c r="O44" s="5"/>
      <c r="P44" s="88"/>
      <c r="Q44" s="95"/>
    </row>
    <row r="45" spans="4:17" s="2" customFormat="1" ht="12" customHeight="1">
      <c r="D45" s="22"/>
      <c r="E45" s="22"/>
      <c r="J45" s="5"/>
      <c r="K45" s="5"/>
      <c r="L45" s="5"/>
      <c r="M45" s="5"/>
      <c r="N45" s="5"/>
      <c r="O45" s="5"/>
      <c r="P45" s="88"/>
      <c r="Q45" s="95"/>
    </row>
    <row r="46" spans="4:17" s="2" customFormat="1" ht="12" customHeight="1">
      <c r="D46" s="22"/>
      <c r="E46" s="22"/>
      <c r="J46" s="5"/>
      <c r="K46" s="5"/>
      <c r="L46" s="5"/>
      <c r="M46" s="5"/>
      <c r="N46" s="5"/>
      <c r="O46" s="5"/>
      <c r="P46" s="88"/>
      <c r="Q46" s="95"/>
    </row>
    <row r="47" spans="4:17" s="2" customFormat="1" ht="12" customHeight="1">
      <c r="D47" s="22"/>
      <c r="E47" s="22"/>
      <c r="J47" s="5"/>
      <c r="K47" s="5"/>
      <c r="L47" s="5"/>
      <c r="M47" s="5"/>
      <c r="N47" s="5"/>
      <c r="O47" s="5"/>
      <c r="P47" s="88"/>
      <c r="Q47" s="95"/>
    </row>
    <row r="48" spans="4:17" s="2" customFormat="1" ht="12" customHeight="1">
      <c r="D48" s="22"/>
      <c r="E48" s="22"/>
      <c r="J48" s="5"/>
      <c r="K48" s="5"/>
      <c r="L48" s="5"/>
      <c r="M48" s="5"/>
      <c r="N48" s="5"/>
      <c r="O48" s="5"/>
      <c r="P48" s="88"/>
      <c r="Q48" s="95"/>
    </row>
    <row r="49" spans="4:17" s="2" customFormat="1" ht="12" customHeight="1">
      <c r="D49" s="22"/>
      <c r="E49" s="22"/>
      <c r="J49" s="5"/>
      <c r="K49" s="5"/>
      <c r="L49" s="5"/>
      <c r="M49" s="5"/>
      <c r="N49" s="5"/>
      <c r="O49" s="5"/>
      <c r="P49" s="88"/>
      <c r="Q49" s="95"/>
    </row>
    <row r="50" spans="4:17" s="2" customFormat="1" ht="12" customHeight="1">
      <c r="D50" s="22"/>
      <c r="E50" s="22"/>
      <c r="J50" s="5"/>
      <c r="K50" s="5"/>
      <c r="L50" s="5"/>
      <c r="M50" s="5"/>
      <c r="N50" s="5"/>
      <c r="O50" s="5"/>
      <c r="P50" s="88"/>
      <c r="Q50" s="95"/>
    </row>
    <row r="51" spans="4:17" s="2" customFormat="1" ht="12" customHeight="1">
      <c r="D51" s="22"/>
      <c r="E51" s="22"/>
      <c r="J51" s="5"/>
      <c r="K51" s="5"/>
      <c r="L51" s="5"/>
      <c r="M51" s="5"/>
      <c r="N51" s="5"/>
      <c r="O51" s="5"/>
      <c r="P51" s="88"/>
      <c r="Q51" s="95"/>
    </row>
    <row r="52" spans="4:17" s="2" customFormat="1" ht="12" customHeight="1">
      <c r="D52" s="22"/>
      <c r="E52" s="22"/>
      <c r="J52" s="5"/>
      <c r="K52" s="5"/>
      <c r="L52" s="5"/>
      <c r="M52" s="5"/>
      <c r="N52" s="5"/>
      <c r="O52" s="5"/>
      <c r="P52" s="88"/>
      <c r="Q52" s="95"/>
    </row>
    <row r="53" spans="4:17" s="2" customFormat="1" ht="12" customHeight="1">
      <c r="D53" s="22"/>
      <c r="E53" s="22"/>
      <c r="J53" s="5"/>
      <c r="K53" s="5"/>
      <c r="L53" s="5"/>
      <c r="M53" s="5"/>
      <c r="N53" s="5"/>
      <c r="O53" s="5"/>
      <c r="P53" s="88"/>
      <c r="Q53" s="95"/>
    </row>
    <row r="54" spans="4:17" s="2" customFormat="1" ht="12" customHeight="1">
      <c r="D54" s="22"/>
      <c r="E54" s="22"/>
      <c r="J54" s="5"/>
      <c r="K54" s="5"/>
      <c r="L54" s="5"/>
      <c r="M54" s="5"/>
      <c r="N54" s="5"/>
      <c r="O54" s="5"/>
      <c r="P54" s="88"/>
      <c r="Q54" s="95"/>
    </row>
    <row r="55" spans="4:17" s="2" customFormat="1" ht="12" customHeight="1">
      <c r="D55" s="22"/>
      <c r="E55" s="22"/>
      <c r="J55" s="5"/>
      <c r="K55" s="5"/>
      <c r="L55" s="5"/>
      <c r="M55" s="5"/>
      <c r="N55" s="5"/>
      <c r="O55" s="5"/>
      <c r="P55" s="88"/>
      <c r="Q55" s="95"/>
    </row>
    <row r="56" spans="4:17" s="2" customFormat="1" ht="12" customHeight="1">
      <c r="D56" s="22"/>
      <c r="E56" s="22"/>
      <c r="J56" s="5"/>
      <c r="K56" s="5"/>
      <c r="L56" s="5"/>
      <c r="M56" s="5"/>
      <c r="N56" s="5"/>
      <c r="O56" s="5"/>
      <c r="P56" s="88"/>
      <c r="Q56" s="95"/>
    </row>
    <row r="57" spans="4:17" s="2" customFormat="1" ht="12" customHeight="1">
      <c r="D57" s="22"/>
      <c r="E57" s="22"/>
      <c r="J57" s="5"/>
      <c r="K57" s="5"/>
      <c r="L57" s="5"/>
      <c r="M57" s="5"/>
      <c r="N57" s="5"/>
      <c r="O57" s="5"/>
      <c r="P57" s="88"/>
      <c r="Q57" s="95"/>
    </row>
    <row r="58" spans="4:17" s="2" customFormat="1" ht="12" customHeight="1">
      <c r="D58" s="22"/>
      <c r="E58" s="22"/>
      <c r="J58" s="5"/>
      <c r="K58" s="5"/>
      <c r="L58" s="5"/>
      <c r="M58" s="5"/>
      <c r="N58" s="5"/>
      <c r="O58" s="5"/>
      <c r="P58" s="88"/>
      <c r="Q58" s="95"/>
    </row>
    <row r="59" spans="4:17" s="2" customFormat="1" ht="12" customHeight="1">
      <c r="D59" s="22"/>
      <c r="E59" s="22"/>
      <c r="J59" s="5"/>
      <c r="K59" s="5"/>
      <c r="L59" s="5"/>
      <c r="M59" s="5"/>
      <c r="N59" s="5"/>
      <c r="O59" s="5"/>
      <c r="P59" s="88"/>
      <c r="Q59" s="95"/>
    </row>
    <row r="60" spans="4:17" s="2" customFormat="1" ht="12" customHeight="1">
      <c r="D60" s="22"/>
      <c r="E60" s="22"/>
      <c r="J60" s="5"/>
      <c r="K60" s="5"/>
      <c r="L60" s="5"/>
      <c r="M60" s="5"/>
      <c r="N60" s="5"/>
      <c r="O60" s="5"/>
      <c r="P60" s="88"/>
      <c r="Q60" s="95"/>
    </row>
    <row r="61" spans="4:17" s="2" customFormat="1" ht="12" customHeight="1">
      <c r="D61" s="22"/>
      <c r="E61" s="22"/>
      <c r="J61" s="5"/>
      <c r="K61" s="5"/>
      <c r="L61" s="5"/>
      <c r="M61" s="5"/>
      <c r="N61" s="5"/>
      <c r="O61" s="5"/>
      <c r="P61" s="88"/>
      <c r="Q61" s="95"/>
    </row>
    <row r="62" spans="4:17" s="2" customFormat="1" ht="12" customHeight="1">
      <c r="D62" s="22"/>
      <c r="E62" s="22"/>
      <c r="J62" s="5"/>
      <c r="K62" s="5"/>
      <c r="L62" s="5"/>
      <c r="M62" s="5"/>
      <c r="N62" s="5"/>
      <c r="O62" s="5"/>
      <c r="P62" s="88"/>
      <c r="Q62" s="96"/>
    </row>
    <row r="63" spans="4:17" s="2" customFormat="1" ht="12" customHeight="1">
      <c r="D63" s="22"/>
      <c r="E63" s="22"/>
      <c r="J63" s="5"/>
      <c r="K63" s="5"/>
      <c r="L63" s="5"/>
      <c r="M63" s="5"/>
      <c r="N63" s="5"/>
      <c r="O63" s="5"/>
      <c r="P63" s="88"/>
      <c r="Q63" s="96"/>
    </row>
    <row r="64" spans="4:17" s="2" customFormat="1" ht="12" customHeight="1">
      <c r="D64" s="22"/>
      <c r="E64" s="22"/>
      <c r="J64" s="5"/>
      <c r="K64" s="5"/>
      <c r="L64" s="5"/>
      <c r="M64" s="5"/>
      <c r="N64" s="5"/>
      <c r="O64" s="5"/>
      <c r="P64" s="88"/>
      <c r="Q64" s="96"/>
    </row>
    <row r="65" spans="1:17" s="2" customFormat="1" ht="12" customHeight="1">
      <c r="D65" s="22"/>
      <c r="E65" s="22"/>
      <c r="J65" s="5"/>
      <c r="K65" s="5"/>
      <c r="L65" s="5"/>
      <c r="M65" s="5"/>
      <c r="N65" s="5"/>
      <c r="O65" s="5"/>
      <c r="P65" s="88"/>
      <c r="Q65" s="96"/>
    </row>
    <row r="66" spans="1:17" s="2" customFormat="1" ht="12" customHeight="1">
      <c r="A66"/>
      <c r="B66"/>
      <c r="C66"/>
      <c r="D66" s="23"/>
      <c r="E66" s="23"/>
      <c r="F66"/>
      <c r="G66"/>
      <c r="H66"/>
      <c r="I66"/>
      <c r="J66" s="19"/>
      <c r="K66" s="19"/>
      <c r="L66" s="19"/>
      <c r="M66" s="19"/>
      <c r="N66" s="19"/>
      <c r="O66" s="19"/>
      <c r="P66" s="90"/>
      <c r="Q66" s="96"/>
    </row>
    <row r="67" spans="1:17" s="2" customFormat="1" ht="12" customHeight="1">
      <c r="A67"/>
      <c r="B67"/>
      <c r="C67"/>
      <c r="D67" s="23"/>
      <c r="E67" s="23"/>
      <c r="F67"/>
      <c r="G67"/>
      <c r="H67"/>
      <c r="I67"/>
      <c r="J67" s="19"/>
      <c r="K67" s="19"/>
      <c r="L67" s="19"/>
      <c r="M67" s="19"/>
      <c r="N67" s="19"/>
      <c r="O67" s="19"/>
      <c r="P67" s="90"/>
      <c r="Q67" s="96"/>
    </row>
    <row r="68" spans="1:17" s="2" customFormat="1" ht="12" customHeight="1">
      <c r="A68"/>
      <c r="B68"/>
      <c r="C68"/>
      <c r="D68" s="23"/>
      <c r="E68" s="23"/>
      <c r="F68"/>
      <c r="G68"/>
      <c r="H68"/>
      <c r="I68"/>
      <c r="J68" s="19"/>
      <c r="K68" s="19"/>
      <c r="L68" s="19"/>
      <c r="M68" s="19"/>
      <c r="N68" s="19"/>
      <c r="O68" s="19"/>
      <c r="P68" s="90"/>
      <c r="Q68" s="96"/>
    </row>
    <row r="69" spans="1:17" s="2" customFormat="1" ht="12" customHeight="1">
      <c r="A69"/>
      <c r="B69"/>
      <c r="C69"/>
      <c r="D69" s="23"/>
      <c r="E69" s="23"/>
      <c r="F69"/>
      <c r="G69"/>
      <c r="H69"/>
      <c r="I69"/>
      <c r="J69" s="19"/>
      <c r="K69" s="19"/>
      <c r="L69" s="19"/>
      <c r="M69" s="19"/>
      <c r="N69" s="19"/>
      <c r="O69" s="19"/>
      <c r="P69" s="90"/>
      <c r="Q69" s="96"/>
    </row>
    <row r="70" spans="1:17" s="2" customFormat="1" ht="12" customHeight="1">
      <c r="A70"/>
      <c r="B70"/>
      <c r="C70"/>
      <c r="D70" s="23"/>
      <c r="E70" s="23"/>
      <c r="F70"/>
      <c r="G70"/>
      <c r="H70"/>
      <c r="I70"/>
      <c r="J70" s="19"/>
      <c r="K70" s="19"/>
      <c r="L70" s="19"/>
      <c r="M70" s="19"/>
      <c r="N70" s="19"/>
      <c r="O70" s="19"/>
      <c r="P70" s="90"/>
      <c r="Q70" s="96"/>
    </row>
    <row r="71" spans="1:17">
      <c r="Q71" s="96"/>
    </row>
    <row r="72" spans="1:17">
      <c r="Q72" s="96"/>
    </row>
    <row r="73" spans="1:17">
      <c r="Q73" s="96"/>
    </row>
    <row r="74" spans="1:17">
      <c r="Q74" s="96"/>
    </row>
    <row r="75" spans="1:17">
      <c r="Q75" s="96"/>
    </row>
    <row r="76" spans="1:17">
      <c r="Q76" s="96"/>
    </row>
    <row r="77" spans="1:17">
      <c r="Q77" s="96"/>
    </row>
    <row r="78" spans="1:17">
      <c r="Q78" s="96"/>
    </row>
    <row r="79" spans="1:17">
      <c r="Q79" s="96"/>
    </row>
    <row r="80" spans="1:17">
      <c r="Q80" s="96"/>
    </row>
    <row r="81" spans="17:17">
      <c r="Q81" s="96"/>
    </row>
    <row r="82" spans="17:17">
      <c r="Q82" s="96"/>
    </row>
    <row r="83" spans="17:17">
      <c r="Q83" s="96"/>
    </row>
    <row r="84" spans="17:17">
      <c r="Q84" s="96"/>
    </row>
    <row r="85" spans="17:17">
      <c r="Q85" s="96"/>
    </row>
    <row r="86" spans="17:17">
      <c r="Q86" s="96"/>
    </row>
    <row r="87" spans="17:17">
      <c r="Q87" s="96"/>
    </row>
    <row r="88" spans="17:17">
      <c r="Q88" s="96"/>
    </row>
    <row r="89" spans="17:17">
      <c r="Q89" s="96"/>
    </row>
    <row r="90" spans="17:17">
      <c r="Q90" s="96"/>
    </row>
    <row r="127" ht="12" customHeight="1"/>
    <row r="128" ht="12" customHeight="1"/>
    <row r="129" ht="12" customHeight="1"/>
    <row r="130" ht="12" customHeight="1"/>
    <row r="131" ht="12" customHeight="1"/>
    <row r="132" ht="12" customHeight="1"/>
    <row r="133" ht="12" customHeight="1"/>
    <row r="134" ht="12" customHeight="1"/>
    <row r="135" ht="12" customHeight="1"/>
    <row r="136" ht="12" customHeight="1"/>
    <row r="137" ht="12" customHeight="1"/>
    <row r="138" ht="12" customHeight="1"/>
    <row r="139" ht="12" customHeight="1"/>
    <row r="140" ht="12" customHeight="1"/>
    <row r="141" ht="12" customHeight="1"/>
    <row r="142" ht="12" customHeight="1"/>
    <row r="143" ht="12" customHeight="1"/>
    <row r="144" ht="12" customHeight="1"/>
    <row r="145" ht="12" customHeight="1"/>
    <row r="146" ht="12" customHeight="1"/>
    <row r="147" ht="12" customHeight="1"/>
    <row r="148" ht="12" customHeight="1"/>
    <row r="149" ht="12" customHeight="1"/>
    <row r="150" ht="12" customHeight="1"/>
    <row r="151" ht="12" customHeight="1"/>
    <row r="152" ht="12" customHeight="1"/>
    <row r="153" ht="12" customHeight="1"/>
    <row r="154" ht="12" customHeight="1"/>
    <row r="155" ht="12" customHeight="1"/>
    <row r="156" ht="12" customHeight="1"/>
    <row r="157" ht="12" customHeight="1"/>
    <row r="158" ht="12" customHeight="1"/>
    <row r="159" ht="12" customHeight="1"/>
    <row r="160" ht="12" customHeight="1"/>
    <row r="161" ht="12" customHeight="1"/>
    <row r="162" ht="12" customHeight="1"/>
    <row r="163" ht="12" customHeight="1"/>
    <row r="164" ht="12" customHeight="1"/>
    <row r="165" ht="12" customHeight="1"/>
    <row r="166" ht="12" customHeight="1"/>
    <row r="167" ht="12" customHeight="1"/>
    <row r="168" ht="12" customHeight="1"/>
    <row r="169" ht="12" customHeight="1"/>
    <row r="170" ht="12" customHeight="1"/>
    <row r="171" ht="12" customHeight="1"/>
    <row r="172" ht="12" customHeight="1"/>
    <row r="173" ht="12" customHeight="1"/>
    <row r="174" ht="12" customHeight="1"/>
    <row r="175" ht="12" customHeight="1"/>
    <row r="176" ht="12" customHeight="1"/>
  </sheetData>
  <mergeCells count="25">
    <mergeCell ref="D21:E21"/>
    <mergeCell ref="D22:E22"/>
    <mergeCell ref="D11:E11"/>
    <mergeCell ref="D23:E23"/>
    <mergeCell ref="H23:I23"/>
    <mergeCell ref="D19:E19"/>
    <mergeCell ref="D20:E20"/>
    <mergeCell ref="D18:E18"/>
    <mergeCell ref="H18:I18"/>
    <mergeCell ref="D15:E15"/>
    <mergeCell ref="D7:E7"/>
    <mergeCell ref="D8:E8"/>
    <mergeCell ref="D5:E5"/>
    <mergeCell ref="D16:E16"/>
    <mergeCell ref="D17:E17"/>
    <mergeCell ref="D9:E9"/>
    <mergeCell ref="D10:E10"/>
    <mergeCell ref="D12:E12"/>
    <mergeCell ref="D13:E13"/>
    <mergeCell ref="D14:E14"/>
    <mergeCell ref="D1:E1"/>
    <mergeCell ref="D4:E4"/>
    <mergeCell ref="H4:I4"/>
    <mergeCell ref="D6:E6"/>
    <mergeCell ref="H6:I6"/>
  </mergeCells>
  <conditionalFormatting sqref="M5 M7:M17">
    <cfRule type="cellIs" dxfId="517" priority="1" stopIfTrue="1" operator="lessThanOrEqual">
      <formula>$L5</formula>
    </cfRule>
    <cfRule type="cellIs" dxfId="516" priority="2" operator="greaterThan">
      <formula>L5</formula>
    </cfRule>
  </conditionalFormatting>
  <conditionalFormatting sqref="M19:M22">
    <cfRule type="cellIs" dxfId="515" priority="3" stopIfTrue="1" operator="lessThanOrEqual">
      <formula>$L19</formula>
    </cfRule>
    <cfRule type="cellIs" dxfId="514" priority="4" operator="greaterThan">
      <formula>L19</formula>
    </cfRule>
  </conditionalFormatting>
  <pageMargins left="0.7" right="0.7" top="0.75" bottom="0.75" header="0.3" footer="0.3"/>
  <pageSetup paperSize="3" fitToHeight="0" orientation="landscape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A47D5F93-DF38-4573-8394-A07F1FA08AFF}">
          <x14:formula1>
            <xm:f>Bolts!$A:$A</xm:f>
          </x14:formula1>
          <xm:sqref>C19:C22</xm:sqref>
        </x14:dataValidation>
        <x14:dataValidation type="list" allowBlank="1" showInputMessage="1" showErrorMessage="1" xr:uid="{4A879C0A-0856-4C94-BA78-08DD0CBF9AB5}">
          <x14:formula1>
            <xm:f>Purchased!$A:$A</xm:f>
          </x14:formula1>
          <xm:sqref>C7:C17</xm:sqref>
        </x14:dataValidation>
        <x14:dataValidation type="list" allowBlank="1" showInputMessage="1" showErrorMessage="1" xr:uid="{E592B55F-C5BB-4A15-B1E6-79DB433C638B}">
          <x14:formula1>
            <xm:f>Machined!$C:$C</xm:f>
          </x14:formula1>
          <xm:sqref>C5</xm:sqref>
        </x14:dataValidation>
      </x14:dataValidation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C59D75-97FF-4884-A538-313C07E35B4D}">
  <sheetPr codeName="Sheet39">
    <tabColor theme="3" tint="0.59999389629810485"/>
    <pageSetUpPr fitToPage="1"/>
  </sheetPr>
  <dimension ref="A1:Q173"/>
  <sheetViews>
    <sheetView zoomScaleNormal="100" workbookViewId="0">
      <selection activeCell="C23" sqref="C23"/>
    </sheetView>
  </sheetViews>
  <sheetFormatPr defaultColWidth="9.140625" defaultRowHeight="15"/>
  <cols>
    <col min="1" max="1" width="5.7109375" customWidth="1"/>
    <col min="2" max="2" width="5.42578125" bestFit="1" customWidth="1"/>
    <col min="3" max="3" width="30.7109375" customWidth="1"/>
    <col min="4" max="5" width="20.7109375" style="23" customWidth="1"/>
    <col min="6" max="6" width="16.85546875" bestFit="1" customWidth="1"/>
    <col min="7" max="7" width="9.7109375" customWidth="1"/>
    <col min="8" max="8" width="8.7109375" customWidth="1"/>
    <col min="9" max="9" width="20.7109375" customWidth="1"/>
    <col min="10" max="13" width="11.7109375" style="19" customWidth="1"/>
    <col min="14" max="14" width="11.85546875" style="19" bestFit="1" customWidth="1"/>
    <col min="15" max="15" width="7.7109375" style="19" customWidth="1"/>
    <col min="16" max="16" width="10.7109375" style="90" customWidth="1"/>
    <col min="17" max="17" width="10.7109375" style="97" customWidth="1"/>
  </cols>
  <sheetData>
    <row r="1" spans="1:17" s="55" customFormat="1" ht="12" customHeight="1">
      <c r="A1" s="68" t="s">
        <v>0</v>
      </c>
      <c r="B1" s="69"/>
      <c r="C1" s="69"/>
      <c r="D1" s="262" t="s">
        <v>1</v>
      </c>
      <c r="E1" s="263"/>
      <c r="F1" s="70"/>
      <c r="G1" s="69"/>
      <c r="H1" s="70"/>
      <c r="I1" s="71"/>
      <c r="J1" s="72"/>
      <c r="K1" s="72"/>
      <c r="L1" s="72"/>
      <c r="M1" s="72"/>
      <c r="N1" s="72"/>
      <c r="O1" s="72"/>
      <c r="P1" s="85"/>
      <c r="Q1" s="91"/>
    </row>
    <row r="2" spans="1:17" s="55" customFormat="1" ht="12" customHeight="1">
      <c r="A2" s="74" t="s">
        <v>48</v>
      </c>
      <c r="B2" s="58"/>
      <c r="C2" s="57" t="e">
        <f ca="1">VLOOKUP(E3,Assemblies!B:F,4,0)</f>
        <v>#VALUE!</v>
      </c>
      <c r="D2" s="75" t="s">
        <v>3</v>
      </c>
      <c r="E2" s="76" t="e">
        <f ca="1">'GF12'!E2</f>
        <v>#VALUE!</v>
      </c>
      <c r="F2" s="77" t="s">
        <v>4</v>
      </c>
      <c r="G2" s="58" t="str">
        <f>'GF12'!G2</f>
        <v>GH</v>
      </c>
      <c r="H2" s="77" t="s">
        <v>6</v>
      </c>
      <c r="I2" s="59">
        <f>'GF12'!I2</f>
        <v>44775</v>
      </c>
      <c r="J2" s="39"/>
      <c r="K2" s="40" t="s">
        <v>49</v>
      </c>
      <c r="L2" s="41" t="e">
        <f ca="1">VLOOKUP(C2,Assemblies!E:G,3,0)</f>
        <v>#VALUE!</v>
      </c>
      <c r="M2" s="78"/>
      <c r="N2" s="78"/>
      <c r="O2" s="78"/>
      <c r="P2" s="86"/>
      <c r="Q2" s="92"/>
    </row>
    <row r="3" spans="1:17" s="55" customFormat="1" ht="12" customHeight="1" thickBot="1">
      <c r="A3" s="74" t="s">
        <v>7</v>
      </c>
      <c r="B3" s="58"/>
      <c r="C3" s="57" t="e">
        <f ca="1">VLOOKUP(E3,Assemblies!B:F,5,0)</f>
        <v>#VALUE!</v>
      </c>
      <c r="D3" s="75" t="s">
        <v>50</v>
      </c>
      <c r="E3" s="76" t="e">
        <f ca="1">MID(CELL("filename",A1),FIND("]",CELL("filename",A1))+1,256)</f>
        <v>#VALUE!</v>
      </c>
      <c r="F3" s="77" t="s">
        <v>11</v>
      </c>
      <c r="G3" s="58" t="str">
        <f>'GF12'!G3</f>
        <v>GH</v>
      </c>
      <c r="H3" s="77" t="s">
        <v>6</v>
      </c>
      <c r="I3" s="59">
        <f>'GF12'!I3</f>
        <v>44775</v>
      </c>
      <c r="J3" s="78"/>
      <c r="K3" s="78"/>
      <c r="L3" s="78"/>
      <c r="M3" s="78"/>
      <c r="N3" s="78"/>
      <c r="O3" s="78"/>
      <c r="P3" s="86"/>
      <c r="Q3" s="92"/>
    </row>
    <row r="4" spans="1:17" s="56" customFormat="1" ht="12.75" customHeight="1" thickBot="1">
      <c r="A4" s="80" t="s">
        <v>12</v>
      </c>
      <c r="B4" s="81" t="s">
        <v>13</v>
      </c>
      <c r="C4" s="81" t="s">
        <v>14</v>
      </c>
      <c r="D4" s="270" t="s">
        <v>15</v>
      </c>
      <c r="E4" s="271"/>
      <c r="F4" s="104" t="s">
        <v>16</v>
      </c>
      <c r="G4" s="81" t="s">
        <v>17</v>
      </c>
      <c r="H4" s="260" t="s">
        <v>18</v>
      </c>
      <c r="I4" s="261"/>
      <c r="J4" s="81" t="s">
        <v>51</v>
      </c>
      <c r="K4" s="81" t="s">
        <v>20</v>
      </c>
      <c r="L4" s="81" t="s">
        <v>21</v>
      </c>
      <c r="M4" s="81" t="s">
        <v>52</v>
      </c>
      <c r="N4" s="81" t="s">
        <v>22</v>
      </c>
      <c r="O4" s="81" t="s">
        <v>53</v>
      </c>
      <c r="P4" s="107" t="s">
        <v>26</v>
      </c>
      <c r="Q4" s="82" t="s">
        <v>27</v>
      </c>
    </row>
    <row r="5" spans="1:17" s="2" customFormat="1" ht="12.75" customHeight="1">
      <c r="A5" s="4">
        <v>301</v>
      </c>
      <c r="B5" s="2">
        <v>1</v>
      </c>
      <c r="C5" s="114" t="s">
        <v>516</v>
      </c>
      <c r="D5" s="268" t="str">
        <f>VLOOKUP(C5,Purchased!A:B,2,0)</f>
        <v>PREVOST 2in ID T Junction</v>
      </c>
      <c r="E5" s="269"/>
      <c r="F5" s="112" t="str">
        <f>VLOOKUP(C5,Purchased!A:Q,9,0)</f>
        <v>PREVOST</v>
      </c>
      <c r="G5" s="112" t="str">
        <f>VLOOKUP(C5,Purchased!A:Q,10,0)</f>
        <v>PREVOST</v>
      </c>
      <c r="H5" s="112" t="str">
        <f>VLOOKUP(C5,Purchased!A:Q,12,0)</f>
        <v xml:space="preserve"> </v>
      </c>
      <c r="I5" s="113"/>
      <c r="J5" s="44">
        <f>VLOOKUP(C5,Purchased!A:Q,13,0)</f>
        <v>45169</v>
      </c>
      <c r="K5" s="44">
        <f>VLOOKUP(C5,Purchased!A:Q,14,0)</f>
        <v>45176</v>
      </c>
      <c r="L5" s="44">
        <f>VLOOKUP(C5,Purchased!A:Q,15,0)</f>
        <v>45191</v>
      </c>
      <c r="M5" s="44">
        <f>VLOOKUP(C5,Purchased!A:Q,16,0)</f>
        <v>45191</v>
      </c>
      <c r="N5" s="45">
        <f>VLOOKUP(C5,Purchased!A:Q,17,0)</f>
        <v>55123</v>
      </c>
      <c r="O5" s="45" t="e">
        <f t="shared" ref="O5:O19" ca="1" si="0">B5*$L$2</f>
        <v>#VALUE!</v>
      </c>
      <c r="P5" s="49">
        <f>IFERROR(VLOOKUP(C5,Purchased!A:E,3,FALSE),"")</f>
        <v>56</v>
      </c>
      <c r="Q5" s="50">
        <f t="shared" ref="Q5:Q16" si="1">IFERROR(B5*P5,"")</f>
        <v>56</v>
      </c>
    </row>
    <row r="6" spans="1:17" s="2" customFormat="1" ht="12" customHeight="1">
      <c r="A6" s="4">
        <f t="shared" ref="A6:A17" si="2">A5+1</f>
        <v>302</v>
      </c>
      <c r="B6" s="2">
        <v>4</v>
      </c>
      <c r="C6" s="114" t="s">
        <v>517</v>
      </c>
      <c r="D6" s="268" t="str">
        <f>VLOOKUP(C6,Purchased!A:B,2,0)</f>
        <v>PREVOST 2in ID L Junction</v>
      </c>
      <c r="E6" s="269"/>
      <c r="F6" s="112" t="str">
        <f>VLOOKUP(C6,Purchased!A:Q,9,0)</f>
        <v>PREVOST</v>
      </c>
      <c r="G6" s="112" t="str">
        <f>VLOOKUP(C6,Purchased!A:Q,10,0)</f>
        <v>PREVOST</v>
      </c>
      <c r="H6" s="112" t="str">
        <f>VLOOKUP(C6,Purchased!A:Q,12,0)</f>
        <v xml:space="preserve"> </v>
      </c>
      <c r="I6" s="113"/>
      <c r="J6" s="44">
        <f>VLOOKUP(C6,Purchased!A:Q,13,0)</f>
        <v>45169</v>
      </c>
      <c r="K6" s="44">
        <f>VLOOKUP(C6,Purchased!A:Q,14,0)</f>
        <v>45176</v>
      </c>
      <c r="L6" s="44">
        <f>VLOOKUP(C6,Purchased!A:Q,15,0)</f>
        <v>45191</v>
      </c>
      <c r="M6" s="44">
        <f>VLOOKUP(C6,Purchased!A:Q,16,0)</f>
        <v>45191</v>
      </c>
      <c r="N6" s="45">
        <f>VLOOKUP(C6,Purchased!A:Q,17,0)</f>
        <v>55123</v>
      </c>
      <c r="O6" s="45" t="e">
        <f t="shared" ca="1" si="0"/>
        <v>#VALUE!</v>
      </c>
      <c r="P6" s="49">
        <f>IFERROR(VLOOKUP(C6,Purchased!A:E,3,FALSE),"")</f>
        <v>38</v>
      </c>
      <c r="Q6" s="50">
        <f t="shared" si="1"/>
        <v>152</v>
      </c>
    </row>
    <row r="7" spans="1:17" s="2" customFormat="1" ht="12" customHeight="1">
      <c r="A7" s="4">
        <f t="shared" si="2"/>
        <v>303</v>
      </c>
      <c r="B7" s="2">
        <v>4</v>
      </c>
      <c r="C7" s="114" t="s">
        <v>518</v>
      </c>
      <c r="D7" s="268" t="str">
        <f>VLOOKUP(C7,Purchased!A:B,2,0)</f>
        <v>PREVOST 2in OD Aluminum Pipe</v>
      </c>
      <c r="E7" s="269"/>
      <c r="F7" s="112" t="str">
        <f>VLOOKUP(C7,Purchased!A:Q,9,0)</f>
        <v>PREVOST</v>
      </c>
      <c r="G7" s="112" t="str">
        <f>VLOOKUP(C7,Purchased!A:Q,10,0)</f>
        <v>PREVOST</v>
      </c>
      <c r="H7" s="112" t="str">
        <f>VLOOKUP(C7,Purchased!A:Q,12,0)</f>
        <v>19.7ft L per pipe</v>
      </c>
      <c r="I7" s="113"/>
      <c r="J7" s="44">
        <f>VLOOKUP(C7,Purchased!A:Q,13,0)</f>
        <v>45169</v>
      </c>
      <c r="K7" s="44">
        <f>VLOOKUP(C7,Purchased!A:Q,14,0)</f>
        <v>45176</v>
      </c>
      <c r="L7" s="44">
        <f>VLOOKUP(C7,Purchased!A:Q,15,0)</f>
        <v>45191</v>
      </c>
      <c r="M7" s="44">
        <f>VLOOKUP(C7,Purchased!A:Q,16,0)</f>
        <v>45191</v>
      </c>
      <c r="N7" s="45">
        <f>VLOOKUP(C7,Purchased!A:Q,17,0)</f>
        <v>55123</v>
      </c>
      <c r="O7" s="45" t="e">
        <f t="shared" ca="1" si="0"/>
        <v>#VALUE!</v>
      </c>
      <c r="P7" s="49">
        <f>IFERROR(VLOOKUP(C7,Purchased!A:E,3,FALSE),"")</f>
        <v>140</v>
      </c>
      <c r="Q7" s="50">
        <f t="shared" si="1"/>
        <v>560</v>
      </c>
    </row>
    <row r="8" spans="1:17" s="2" customFormat="1" ht="12" customHeight="1">
      <c r="A8" s="4">
        <f t="shared" si="2"/>
        <v>304</v>
      </c>
      <c r="B8" s="2">
        <v>15</v>
      </c>
      <c r="C8" s="114" t="s">
        <v>519</v>
      </c>
      <c r="D8" s="268" t="str">
        <f>VLOOKUP(C8,Purchased!A:B,2,0)</f>
        <v>PREVOST 2in ID to 1/2 NPT Fitting</v>
      </c>
      <c r="E8" s="269"/>
      <c r="F8" s="112" t="str">
        <f>VLOOKUP(C8,Purchased!A:Q,9,0)</f>
        <v>PREVOST</v>
      </c>
      <c r="G8" s="112" t="str">
        <f>VLOOKUP(C8,Purchased!A:Q,10,0)</f>
        <v>PREVOST</v>
      </c>
      <c r="H8" s="112" t="str">
        <f>VLOOKUP(C8,Purchased!A:Q,12,0)</f>
        <v xml:space="preserve"> </v>
      </c>
      <c r="I8" s="113"/>
      <c r="J8" s="44">
        <f>VLOOKUP(C8,Purchased!A:Q,13,0)</f>
        <v>45169</v>
      </c>
      <c r="K8" s="44">
        <f>VLOOKUP(C8,Purchased!A:Q,14,0)</f>
        <v>45176</v>
      </c>
      <c r="L8" s="44">
        <f>VLOOKUP(C8,Purchased!A:Q,15,0)</f>
        <v>45191</v>
      </c>
      <c r="M8" s="44">
        <f>VLOOKUP(C8,Purchased!A:Q,16,0)</f>
        <v>45191</v>
      </c>
      <c r="N8" s="45">
        <f>VLOOKUP(C8,Purchased!A:Q,17,0)</f>
        <v>55123</v>
      </c>
      <c r="O8" s="45" t="e">
        <f t="shared" ca="1" si="0"/>
        <v>#VALUE!</v>
      </c>
      <c r="P8" s="49">
        <f>IFERROR(VLOOKUP(C8,Purchased!A:E,3,FALSE),"")</f>
        <v>29</v>
      </c>
      <c r="Q8" s="50">
        <f t="shared" si="1"/>
        <v>435</v>
      </c>
    </row>
    <row r="9" spans="1:17" s="2" customFormat="1" ht="12" customHeight="1">
      <c r="A9" s="4">
        <f t="shared" si="2"/>
        <v>305</v>
      </c>
      <c r="B9" s="2">
        <v>2</v>
      </c>
      <c r="C9" s="114" t="s">
        <v>520</v>
      </c>
      <c r="D9" s="268" t="str">
        <f>VLOOKUP(C9,Purchased!A:B,2,0)</f>
        <v>PREVOST 2in ID End Cap</v>
      </c>
      <c r="E9" s="269"/>
      <c r="F9" s="112" t="str">
        <f>VLOOKUP(C9,Purchased!A:Q,9,0)</f>
        <v>PREVOST</v>
      </c>
      <c r="G9" s="112" t="str">
        <f>VLOOKUP(C9,Purchased!A:Q,10,0)</f>
        <v>PREVOST</v>
      </c>
      <c r="H9" s="112" t="str">
        <f>VLOOKUP(C9,Purchased!A:Q,12,0)</f>
        <v xml:space="preserve"> </v>
      </c>
      <c r="I9" s="113"/>
      <c r="J9" s="44">
        <f>VLOOKUP(C9,Purchased!A:Q,13,0)</f>
        <v>45169</v>
      </c>
      <c r="K9" s="44">
        <f>VLOOKUP(C9,Purchased!A:Q,14,0)</f>
        <v>45176</v>
      </c>
      <c r="L9" s="44">
        <f>VLOOKUP(C9,Purchased!A:Q,15,0)</f>
        <v>45191</v>
      </c>
      <c r="M9" s="44">
        <f>VLOOKUP(C9,Purchased!A:Q,16,0)</f>
        <v>45191</v>
      </c>
      <c r="N9" s="45">
        <f>VLOOKUP(C9,Purchased!A:Q,17,0)</f>
        <v>55123</v>
      </c>
      <c r="O9" s="45" t="e">
        <f t="shared" ca="1" si="0"/>
        <v>#VALUE!</v>
      </c>
      <c r="P9" s="49">
        <f>IFERROR(VLOOKUP(C9,Purchased!A:E,3,FALSE),"")</f>
        <v>24</v>
      </c>
      <c r="Q9" s="50">
        <f t="shared" si="1"/>
        <v>48</v>
      </c>
    </row>
    <row r="10" spans="1:17" s="2" customFormat="1" ht="12" customHeight="1">
      <c r="A10" s="4">
        <f t="shared" si="2"/>
        <v>306</v>
      </c>
      <c r="B10" s="2">
        <v>15</v>
      </c>
      <c r="C10" s="114" t="s">
        <v>521</v>
      </c>
      <c r="D10" s="268" t="str">
        <f>VLOOKUP(C10,Purchased!A:B,2,0)</f>
        <v>SMC 1/2NPT to 10mm Fitting</v>
      </c>
      <c r="E10" s="269"/>
      <c r="F10" s="112" t="str">
        <f>VLOOKUP(C10,Purchased!A:Q,9,0)</f>
        <v>SMC</v>
      </c>
      <c r="G10" s="112" t="str">
        <f>VLOOKUP(C10,Purchased!A:Q,10,0)</f>
        <v>AAP</v>
      </c>
      <c r="H10" s="112" t="str">
        <f>VLOOKUP(C10,Purchased!A:Q,12,0)</f>
        <v xml:space="preserve"> </v>
      </c>
      <c r="I10" s="113"/>
      <c r="J10" s="44" t="str">
        <f>VLOOKUP(C10,Purchased!A:Q,13,0)</f>
        <v>N/A</v>
      </c>
      <c r="K10" s="44">
        <f>VLOOKUP(C10,Purchased!A:Q,14,0)</f>
        <v>45162</v>
      </c>
      <c r="L10" s="44">
        <f>VLOOKUP(C10,Purchased!A:Q,15,0)</f>
        <v>45184</v>
      </c>
      <c r="M10" s="44">
        <f>VLOOKUP(C10,Purchased!A:Q,16,0)</f>
        <v>45180</v>
      </c>
      <c r="N10" s="45">
        <f>VLOOKUP(C10,Purchased!A:Q,17,0)</f>
        <v>55037</v>
      </c>
      <c r="O10" s="45" t="e">
        <f t="shared" ca="1" si="0"/>
        <v>#VALUE!</v>
      </c>
      <c r="P10" s="49">
        <f>IFERROR(VLOOKUP(C10,Purchased!A:E,3,FALSE),"")</f>
        <v>2.3654999999999999</v>
      </c>
      <c r="Q10" s="50">
        <f t="shared" si="1"/>
        <v>35.482500000000002</v>
      </c>
    </row>
    <row r="11" spans="1:17" s="2" customFormat="1" ht="12" customHeight="1">
      <c r="A11" s="4">
        <f t="shared" si="2"/>
        <v>307</v>
      </c>
      <c r="B11" s="2">
        <v>2</v>
      </c>
      <c r="C11" s="114" t="s">
        <v>522</v>
      </c>
      <c r="D11" s="268" t="str">
        <f>VLOOKUP(C11,Purchased!A:B,2,0)</f>
        <v>SMC FITTING, PLUG-IN REDUCER</v>
      </c>
      <c r="E11" s="269"/>
      <c r="F11" s="112" t="str">
        <f>VLOOKUP(C11,Purchased!A:Q,9,0)</f>
        <v>SMC</v>
      </c>
      <c r="G11" s="112" t="str">
        <f>VLOOKUP(C11,Purchased!A:Q,10,0)</f>
        <v>AAP</v>
      </c>
      <c r="H11" s="112" t="str">
        <f>VLOOKUP(C11,Purchased!A:Q,12,0)</f>
        <v xml:space="preserve"> </v>
      </c>
      <c r="I11" s="113"/>
      <c r="J11" s="44" t="str">
        <f>VLOOKUP(C11,Purchased!A:Q,13,0)</f>
        <v>N/A</v>
      </c>
      <c r="K11" s="44">
        <f>VLOOKUP(C11,Purchased!A:Q,14,0)</f>
        <v>45162</v>
      </c>
      <c r="L11" s="44">
        <f>VLOOKUP(C11,Purchased!A:Q,15,0)</f>
        <v>45184</v>
      </c>
      <c r="M11" s="44">
        <f>VLOOKUP(C11,Purchased!A:Q,16,0)</f>
        <v>45180</v>
      </c>
      <c r="N11" s="45">
        <f>VLOOKUP(C11,Purchased!A:Q,17,0)</f>
        <v>55037</v>
      </c>
      <c r="O11" s="45" t="e">
        <f t="shared" ca="1" si="0"/>
        <v>#VALUE!</v>
      </c>
      <c r="P11" s="49">
        <f>IFERROR(VLOOKUP(C11,Purchased!A:E,3,FALSE),"")</f>
        <v>1.079</v>
      </c>
      <c r="Q11" s="50">
        <f t="shared" si="1"/>
        <v>2.1579999999999999</v>
      </c>
    </row>
    <row r="12" spans="1:17" s="2" customFormat="1" ht="12" customHeight="1">
      <c r="A12" s="4">
        <f t="shared" si="2"/>
        <v>308</v>
      </c>
      <c r="B12" s="240">
        <v>10</v>
      </c>
      <c r="C12" s="114" t="s">
        <v>523</v>
      </c>
      <c r="D12" s="268" t="str">
        <f>VLOOKUP(C12,Purchased!A:B,2,0)</f>
        <v>PREVOST 2in ID Pipe Mounting M8 Thread, 5pk</v>
      </c>
      <c r="E12" s="269"/>
      <c r="F12" s="112" t="str">
        <f>VLOOKUP(C12,Purchased!A:Q,9,0)</f>
        <v>PREVOST</v>
      </c>
      <c r="G12" s="112" t="str">
        <f>VLOOKUP(C12,Purchased!A:Q,10,0)</f>
        <v>PREVOST</v>
      </c>
      <c r="H12" s="112" t="str">
        <f>VLOOKUP(C12,Purchased!A:Q,12,0)</f>
        <v xml:space="preserve"> </v>
      </c>
      <c r="I12" s="113"/>
      <c r="J12" s="44">
        <f>VLOOKUP(C12,Purchased!A:Q,13,0)</f>
        <v>45169</v>
      </c>
      <c r="K12" s="44">
        <f>VLOOKUP(C12,Purchased!A:Q,14,0)</f>
        <v>45176</v>
      </c>
      <c r="L12" s="44">
        <f>VLOOKUP(C12,Purchased!A:Q,15,0)</f>
        <v>45191</v>
      </c>
      <c r="M12" s="44">
        <f>VLOOKUP(C12,Purchased!A:Q,16,0)</f>
        <v>45191</v>
      </c>
      <c r="N12" s="45" t="str">
        <f>VLOOKUP(C12,Purchased!A:Q,17,0)</f>
        <v>3x55123 7x55263</v>
      </c>
      <c r="O12" s="45" t="e">
        <f t="shared" ca="1" si="0"/>
        <v>#VALUE!</v>
      </c>
      <c r="P12" s="49">
        <f>IFERROR(VLOOKUP(C12,Purchased!A:E,3,FALSE),"")</f>
        <v>4</v>
      </c>
      <c r="Q12" s="50">
        <f t="shared" si="1"/>
        <v>40</v>
      </c>
    </row>
    <row r="13" spans="1:17" s="2" customFormat="1" ht="12" customHeight="1">
      <c r="A13" s="4">
        <f t="shared" si="2"/>
        <v>309</v>
      </c>
      <c r="B13" s="2">
        <v>1</v>
      </c>
      <c r="C13" s="114" t="s">
        <v>524</v>
      </c>
      <c r="D13" s="268" t="str">
        <f>VLOOKUP(C13,Purchased!A:B,2,0)</f>
        <v>PREVOST 2in ID to 1 1/2 NPT</v>
      </c>
      <c r="E13" s="269"/>
      <c r="F13" s="112" t="str">
        <f>VLOOKUP(C13,Purchased!A:Q,9,0)</f>
        <v>PREVOST</v>
      </c>
      <c r="G13" s="112" t="str">
        <f>VLOOKUP(C13,Purchased!A:Q,10,0)</f>
        <v>PREVOST</v>
      </c>
      <c r="H13" s="112" t="str">
        <f>VLOOKUP(C13,Purchased!A:Q,12,0)</f>
        <v xml:space="preserve"> </v>
      </c>
      <c r="I13" s="113"/>
      <c r="J13" s="44">
        <f>VLOOKUP(C13,Purchased!A:Q,13,0)</f>
        <v>45169</v>
      </c>
      <c r="K13" s="44">
        <f>VLOOKUP(C13,Purchased!A:Q,14,0)</f>
        <v>45176</v>
      </c>
      <c r="L13" s="44">
        <f>VLOOKUP(C13,Purchased!A:Q,15,0)</f>
        <v>45191</v>
      </c>
      <c r="M13" s="44">
        <f>VLOOKUP(C13,Purchased!A:Q,16,0)</f>
        <v>45191</v>
      </c>
      <c r="N13" s="45">
        <f>VLOOKUP(C13,Purchased!A:Q,17,0)</f>
        <v>55123</v>
      </c>
      <c r="O13" s="45" t="e">
        <f t="shared" ca="1" si="0"/>
        <v>#VALUE!</v>
      </c>
      <c r="P13" s="49">
        <f>IFERROR(VLOOKUP(C13,Purchased!A:E,3,FALSE),"")</f>
        <v>26</v>
      </c>
      <c r="Q13" s="50">
        <f t="shared" si="1"/>
        <v>26</v>
      </c>
    </row>
    <row r="14" spans="1:17" s="2" customFormat="1" ht="12" customHeight="1">
      <c r="A14" s="4">
        <f t="shared" si="2"/>
        <v>310</v>
      </c>
      <c r="B14" s="2">
        <v>1</v>
      </c>
      <c r="C14" s="114" t="s">
        <v>525</v>
      </c>
      <c r="D14" s="268" t="str">
        <f>VLOOKUP(C14,Purchased!A:B,2,0)</f>
        <v>304 Stainless Steel Threaded Pipe Fitting, Low-Pressure, 90 Degree Adapter, 1-1/2 NPT Female x Male</v>
      </c>
      <c r="E14" s="269"/>
      <c r="F14" s="112" t="str">
        <f>VLOOKUP(C14,Purchased!A:Q,9,0)</f>
        <v>MCM</v>
      </c>
      <c r="G14" s="112" t="str">
        <f>VLOOKUP(C14,Purchased!A:Q,10,0)</f>
        <v>MCM</v>
      </c>
      <c r="H14" s="112" t="str">
        <f>VLOOKUP(C14,Purchased!A:Q,12,0)</f>
        <v xml:space="preserve"> </v>
      </c>
      <c r="I14" s="113"/>
      <c r="J14" s="44" t="str">
        <f>VLOOKUP(C14,Purchased!A:Q,13,0)</f>
        <v>N/A</v>
      </c>
      <c r="K14" s="44">
        <f>VLOOKUP(C14,Purchased!A:Q,14,0)</f>
        <v>45170</v>
      </c>
      <c r="L14" s="44">
        <f>VLOOKUP(C14,Purchased!A:Q,15,0)</f>
        <v>45174</v>
      </c>
      <c r="M14" s="44">
        <f>VLOOKUP(C14,Purchased!A:Q,16,0)</f>
        <v>45174</v>
      </c>
      <c r="N14" s="45">
        <f>VLOOKUP(C14,Purchased!A:Q,17,0)</f>
        <v>55124</v>
      </c>
      <c r="O14" s="45" t="e">
        <f t="shared" ca="1" si="0"/>
        <v>#VALUE!</v>
      </c>
      <c r="P14" s="49">
        <f>IFERROR(VLOOKUP(C14,Purchased!A:E,3,FALSE),"")</f>
        <v>50.6</v>
      </c>
      <c r="Q14" s="50">
        <f t="shared" si="1"/>
        <v>50.6</v>
      </c>
    </row>
    <row r="15" spans="1:17" s="2" customFormat="1" ht="12" customHeight="1">
      <c r="A15" s="4">
        <f t="shared" si="2"/>
        <v>311</v>
      </c>
      <c r="B15" s="2">
        <v>1</v>
      </c>
      <c r="C15" s="114" t="s">
        <v>526</v>
      </c>
      <c r="D15" s="268" t="str">
        <f>VLOOKUP(C15,Purchased!A:B,2,0)</f>
        <v>304 Stainless Steel Threaded Pipe Fitting, Low Pressure, Straight Reducer, 1-1/2 x 3/4 NPT Male</v>
      </c>
      <c r="E15" s="269"/>
      <c r="F15" s="112" t="str">
        <f>VLOOKUP(C15,Purchased!A:Q,9,0)</f>
        <v>MCM</v>
      </c>
      <c r="G15" s="112" t="str">
        <f>VLOOKUP(C15,Purchased!A:Q,10,0)</f>
        <v>MCM</v>
      </c>
      <c r="H15" s="112" t="str">
        <f>VLOOKUP(C15,Purchased!A:Q,12,0)</f>
        <v xml:space="preserve"> </v>
      </c>
      <c r="I15" s="113"/>
      <c r="J15" s="44" t="str">
        <f>VLOOKUP(C15,Purchased!A:Q,13,0)</f>
        <v>N/A</v>
      </c>
      <c r="K15" s="44">
        <f>VLOOKUP(C15,Purchased!A:Q,14,0)</f>
        <v>45170</v>
      </c>
      <c r="L15" s="44">
        <f>VLOOKUP(C15,Purchased!A:Q,15,0)</f>
        <v>45174</v>
      </c>
      <c r="M15" s="44">
        <f>VLOOKUP(C15,Purchased!A:Q,16,0)</f>
        <v>45174</v>
      </c>
      <c r="N15" s="45">
        <f>VLOOKUP(C15,Purchased!A:Q,17,0)</f>
        <v>55124</v>
      </c>
      <c r="O15" s="45" t="e">
        <f t="shared" ca="1" si="0"/>
        <v>#VALUE!</v>
      </c>
      <c r="P15" s="49">
        <f>IFERROR(VLOOKUP(C15,Purchased!A:E,3,FALSE),"")</f>
        <v>37.729999999999997</v>
      </c>
      <c r="Q15" s="50">
        <f t="shared" si="1"/>
        <v>37.729999999999997</v>
      </c>
    </row>
    <row r="16" spans="1:17" s="2" customFormat="1" ht="12" customHeight="1">
      <c r="A16" s="4">
        <f t="shared" si="2"/>
        <v>312</v>
      </c>
      <c r="B16" s="240">
        <v>10</v>
      </c>
      <c r="C16" s="114" t="s">
        <v>256</v>
      </c>
      <c r="D16" s="268" t="str">
        <f>VLOOKUP(C16,Purchased!A:B,2,0)</f>
        <v>BRX GOTO T-NUT 10 M8</v>
      </c>
      <c r="E16" s="269"/>
      <c r="F16" s="112" t="str">
        <f>VLOOKUP(C16,Purchased!A:Q,9,0)</f>
        <v>BRX</v>
      </c>
      <c r="G16" s="112" t="str">
        <f>VLOOKUP(C16,Purchased!A:Q,10,0)</f>
        <v>AAP</v>
      </c>
      <c r="H16" s="112" t="str">
        <f>VLOOKUP(C16,Purchased!A:Q,12,0)</f>
        <v xml:space="preserve">  </v>
      </c>
      <c r="I16" s="113"/>
      <c r="J16" s="44">
        <f>VLOOKUP(C16,Purchased!A:Q,13,0)</f>
        <v>45104</v>
      </c>
      <c r="K16" s="44">
        <f>VLOOKUP(C16,Purchased!A:Q,14,0)</f>
        <v>45105</v>
      </c>
      <c r="L16" s="44">
        <f>VLOOKUP(C16,Purchased!A:Q,15,0)</f>
        <v>45133</v>
      </c>
      <c r="M16" s="44">
        <f>VLOOKUP(C16,Purchased!A:Q,16,0)</f>
        <v>45133</v>
      </c>
      <c r="N16" s="45" t="str">
        <f>VLOOKUP(C16,Purchased!A:Q,17,0)</f>
        <v>54968, 55147</v>
      </c>
      <c r="O16" s="45" t="e">
        <f t="shared" ca="1" si="0"/>
        <v>#VALUE!</v>
      </c>
      <c r="P16" s="49">
        <f>IFERROR(VLOOKUP(C16,Purchased!A:E,3,FALSE),"")</f>
        <v>0.64290000000000003</v>
      </c>
      <c r="Q16" s="50">
        <f t="shared" si="1"/>
        <v>6.4290000000000003</v>
      </c>
    </row>
    <row r="17" spans="1:17" s="2" customFormat="1" ht="12" customHeight="1">
      <c r="A17" s="4">
        <f t="shared" si="2"/>
        <v>313</v>
      </c>
      <c r="B17" s="240">
        <v>2</v>
      </c>
      <c r="C17" s="114" t="s">
        <v>527</v>
      </c>
      <c r="D17" s="268" t="str">
        <f>VLOOKUP(C17,Purchased!A:B,2,0)</f>
        <v>PREVOST ALUMINUM PIPE UNION, 2IN / 50MM</v>
      </c>
      <c r="E17" s="269"/>
      <c r="F17" s="112" t="str">
        <f>VLOOKUP(C17,Purchased!A:Q,9,0)</f>
        <v>PREVOST</v>
      </c>
      <c r="G17" s="112" t="str">
        <f>VLOOKUP(C17,Purchased!A:Q,10,0)</f>
        <v>PREVOST</v>
      </c>
      <c r="H17" s="112">
        <f>VLOOKUP(C17,Purchased!A:Q,12,0)</f>
        <v>0</v>
      </c>
      <c r="I17" s="113"/>
      <c r="J17" s="44" t="str">
        <f>VLOOKUP(C17,Purchased!A:Q,13,0)</f>
        <v>N/A</v>
      </c>
      <c r="K17" s="44">
        <f>VLOOKUP(C17,Purchased!A:Q,14,0)</f>
        <v>45230</v>
      </c>
      <c r="L17" s="44">
        <f>VLOOKUP(C17,Purchased!A:Q,15,0)</f>
        <v>45230</v>
      </c>
      <c r="M17" s="44">
        <f>VLOOKUP(C17,Purchased!A:Q,16,0)</f>
        <v>45230</v>
      </c>
      <c r="N17" s="45">
        <f>VLOOKUP(C17,Purchased!A:Q,17,0)</f>
        <v>55263</v>
      </c>
      <c r="O17" s="45" t="e">
        <f t="shared" ref="O17" ca="1" si="3">B17*$L$2</f>
        <v>#VALUE!</v>
      </c>
      <c r="P17" s="49">
        <f>IFERROR(VLOOKUP(C17,Purchased!A:E,3,FALSE),"")</f>
        <v>36</v>
      </c>
      <c r="Q17" s="50">
        <f t="shared" ref="Q17" si="4">IFERROR(B17*P17,"")</f>
        <v>72</v>
      </c>
    </row>
    <row r="18" spans="1:17" s="2" customFormat="1" ht="12.75" customHeight="1">
      <c r="A18" s="25"/>
      <c r="B18" s="26"/>
      <c r="C18" s="26"/>
      <c r="D18" s="272"/>
      <c r="E18" s="273"/>
      <c r="F18" s="26"/>
      <c r="G18" s="26"/>
      <c r="H18" s="274"/>
      <c r="I18" s="275"/>
      <c r="J18" s="27"/>
      <c r="K18" s="27"/>
      <c r="L18" s="27"/>
      <c r="M18" s="28"/>
      <c r="N18" s="29"/>
      <c r="O18" s="29" t="e">
        <f t="shared" ca="1" si="0"/>
        <v>#VALUE!</v>
      </c>
      <c r="P18" s="141"/>
      <c r="Q18" s="142"/>
    </row>
    <row r="19" spans="1:17" s="2" customFormat="1" ht="12.75" customHeight="1" thickBot="1">
      <c r="A19" s="4">
        <v>501</v>
      </c>
      <c r="B19" s="240">
        <v>10</v>
      </c>
      <c r="C19" s="110" t="s">
        <v>362</v>
      </c>
      <c r="D19" s="268"/>
      <c r="E19" s="276"/>
      <c r="F19" s="112" t="str">
        <f>VLOOKUP(C19,Bolts!A:L,5,0)</f>
        <v xml:space="preserve">  </v>
      </c>
      <c r="G19" s="112" t="str">
        <f>VLOOKUP(C19,Bolts!A:L,6,0)</f>
        <v>Monroe Fasteners</v>
      </c>
      <c r="H19" s="112" t="str">
        <f>VLOOKUP(C19,Bolts!A:L,7,0)</f>
        <v xml:space="preserve">  </v>
      </c>
      <c r="I19" s="112"/>
      <c r="J19" s="44" t="str">
        <f>VLOOKUP(C19,Bolts!A:L,8,0)</f>
        <v xml:space="preserve"> </v>
      </c>
      <c r="K19" s="44" t="str">
        <f>VLOOKUP(C19,Bolts!A:L,9,0)</f>
        <v xml:space="preserve"> </v>
      </c>
      <c r="L19" s="44" t="str">
        <f>VLOOKUP(C19,Bolts!A:L,10,0)</f>
        <v xml:space="preserve"> </v>
      </c>
      <c r="M19" s="44" t="str">
        <f>VLOOKUP(C19,Bolts!A:L,11,0)</f>
        <v xml:space="preserve"> </v>
      </c>
      <c r="N19" s="45" t="str">
        <f>VLOOKUP(C19,Bolts!A:L,12,0)</f>
        <v xml:space="preserve"> </v>
      </c>
      <c r="O19" s="45" t="e">
        <f t="shared" ca="1" si="0"/>
        <v>#VALUE!</v>
      </c>
      <c r="P19" s="49" t="str">
        <f>IFERROR(VLOOKUP(C19,Bolts!A:B,2,FALSE),"")</f>
        <v xml:space="preserve"> </v>
      </c>
      <c r="Q19" s="50" t="str">
        <f t="shared" ref="Q19" si="5">IFERROR(B19*P19,"")</f>
        <v/>
      </c>
    </row>
    <row r="20" spans="1:17" s="2" customFormat="1" ht="12.75" customHeight="1" thickBot="1">
      <c r="A20" s="34"/>
      <c r="B20" s="35"/>
      <c r="C20" s="35"/>
      <c r="D20" s="256"/>
      <c r="E20" s="257"/>
      <c r="F20" s="35"/>
      <c r="G20" s="35"/>
      <c r="H20" s="294"/>
      <c r="I20" s="295"/>
      <c r="J20" s="36"/>
      <c r="K20" s="36"/>
      <c r="L20" s="36"/>
      <c r="M20" s="37"/>
      <c r="N20" s="38"/>
      <c r="O20" s="38"/>
      <c r="P20" s="89" t="s">
        <v>43</v>
      </c>
      <c r="Q20" s="94">
        <f>SUM(Q5:Q19)</f>
        <v>1521.3995</v>
      </c>
    </row>
    <row r="21" spans="1:17" s="2" customFormat="1" ht="12" customHeight="1">
      <c r="D21" s="22"/>
      <c r="E21" s="22"/>
      <c r="J21" s="8"/>
      <c r="K21" s="8"/>
      <c r="L21" s="8"/>
      <c r="M21" s="8"/>
      <c r="N21" s="5"/>
      <c r="O21" s="5"/>
      <c r="P21" s="88"/>
      <c r="Q21" s="95"/>
    </row>
    <row r="22" spans="1:17" s="2" customFormat="1" ht="12" customHeight="1">
      <c r="D22" s="22"/>
      <c r="E22" s="22"/>
      <c r="J22" s="5"/>
      <c r="K22" s="5"/>
      <c r="L22" s="5"/>
      <c r="M22" s="5"/>
      <c r="N22" s="5"/>
      <c r="O22" s="5"/>
      <c r="P22" s="88"/>
      <c r="Q22" s="95"/>
    </row>
    <row r="23" spans="1:17" s="2" customFormat="1" ht="12" customHeight="1">
      <c r="D23" s="22"/>
      <c r="E23" s="22"/>
      <c r="J23" s="5"/>
      <c r="K23" s="5"/>
      <c r="L23" s="5"/>
      <c r="M23" s="5"/>
      <c r="N23" s="5"/>
      <c r="O23" s="5"/>
      <c r="P23" s="88"/>
      <c r="Q23" s="95"/>
    </row>
    <row r="24" spans="1:17" s="2" customFormat="1" ht="12" customHeight="1">
      <c r="D24" s="22"/>
      <c r="E24" s="22"/>
      <c r="J24" s="5"/>
      <c r="K24" s="5"/>
      <c r="L24" s="5"/>
      <c r="M24" s="5"/>
      <c r="N24" s="5"/>
      <c r="O24" s="5"/>
      <c r="P24" s="88"/>
      <c r="Q24" s="95"/>
    </row>
    <row r="25" spans="1:17" s="2" customFormat="1" ht="12" customHeight="1">
      <c r="D25" s="22"/>
      <c r="E25" s="22"/>
      <c r="J25" s="5"/>
      <c r="K25" s="5"/>
      <c r="L25" s="5"/>
      <c r="M25" s="5"/>
      <c r="N25" s="5"/>
      <c r="O25" s="5"/>
      <c r="P25" s="88"/>
      <c r="Q25" s="95"/>
    </row>
    <row r="26" spans="1:17" s="2" customFormat="1" ht="12" customHeight="1">
      <c r="D26" s="22"/>
      <c r="E26" s="22"/>
      <c r="J26" s="5"/>
      <c r="K26" s="5"/>
      <c r="L26" s="5"/>
      <c r="M26" s="5"/>
      <c r="N26" s="5"/>
      <c r="O26" s="5"/>
      <c r="P26" s="88"/>
      <c r="Q26" s="95"/>
    </row>
    <row r="27" spans="1:17" s="2" customFormat="1" ht="12" customHeight="1">
      <c r="D27" s="22"/>
      <c r="E27" s="22"/>
      <c r="J27" s="5"/>
      <c r="K27" s="5"/>
      <c r="L27" s="5"/>
      <c r="M27" s="5"/>
      <c r="N27" s="5"/>
      <c r="O27" s="5"/>
      <c r="P27" s="88"/>
      <c r="Q27" s="95"/>
    </row>
    <row r="28" spans="1:17" s="2" customFormat="1" ht="12" customHeight="1">
      <c r="D28" s="22"/>
      <c r="E28" s="22"/>
      <c r="J28" s="5"/>
      <c r="K28" s="5"/>
      <c r="L28" s="5"/>
      <c r="M28" s="5"/>
      <c r="N28" s="5"/>
      <c r="O28" s="5"/>
      <c r="P28" s="88"/>
      <c r="Q28" s="95"/>
    </row>
    <row r="29" spans="1:17" s="2" customFormat="1" ht="12" customHeight="1">
      <c r="D29" s="22"/>
      <c r="E29" s="22"/>
      <c r="J29" s="5"/>
      <c r="K29" s="5"/>
      <c r="L29" s="5"/>
      <c r="M29" s="5"/>
      <c r="N29" s="5"/>
      <c r="O29" s="5"/>
      <c r="P29" s="88"/>
      <c r="Q29" s="95"/>
    </row>
    <row r="30" spans="1:17" s="2" customFormat="1" ht="12" customHeight="1">
      <c r="D30" s="22"/>
      <c r="E30" s="22"/>
      <c r="J30" s="5"/>
      <c r="K30" s="5"/>
      <c r="L30" s="5"/>
      <c r="M30" s="5"/>
      <c r="N30" s="5"/>
      <c r="O30" s="5"/>
      <c r="P30" s="88"/>
      <c r="Q30" s="95"/>
    </row>
    <row r="31" spans="1:17" s="2" customFormat="1" ht="12" customHeight="1">
      <c r="D31" s="22"/>
      <c r="E31" s="22"/>
      <c r="J31" s="5"/>
      <c r="K31" s="5"/>
      <c r="L31" s="5"/>
      <c r="M31" s="5"/>
      <c r="N31" s="5"/>
      <c r="O31" s="5"/>
      <c r="P31" s="88"/>
      <c r="Q31" s="95"/>
    </row>
    <row r="32" spans="1:17" s="2" customFormat="1" ht="12" customHeight="1">
      <c r="D32" s="22"/>
      <c r="E32" s="22"/>
      <c r="J32" s="5"/>
      <c r="K32" s="5"/>
      <c r="L32" s="5"/>
      <c r="M32" s="5"/>
      <c r="N32" s="5"/>
      <c r="O32" s="5"/>
      <c r="P32" s="88"/>
      <c r="Q32" s="95"/>
    </row>
    <row r="33" spans="4:17" s="2" customFormat="1" ht="12" customHeight="1">
      <c r="D33" s="22"/>
      <c r="E33" s="22"/>
      <c r="J33" s="5"/>
      <c r="K33" s="5"/>
      <c r="L33" s="5"/>
      <c r="M33" s="5"/>
      <c r="N33" s="5"/>
      <c r="O33" s="5"/>
      <c r="P33" s="88"/>
      <c r="Q33" s="95"/>
    </row>
    <row r="34" spans="4:17" s="2" customFormat="1" ht="12" customHeight="1">
      <c r="D34" s="22"/>
      <c r="E34" s="22"/>
      <c r="J34" s="5"/>
      <c r="K34" s="5"/>
      <c r="L34" s="5"/>
      <c r="M34" s="5"/>
      <c r="N34" s="5"/>
      <c r="O34" s="5"/>
      <c r="P34" s="88"/>
      <c r="Q34" s="95"/>
    </row>
    <row r="35" spans="4:17" s="2" customFormat="1" ht="12" customHeight="1">
      <c r="D35" s="22"/>
      <c r="E35" s="22"/>
      <c r="J35" s="5"/>
      <c r="K35" s="5"/>
      <c r="L35" s="5"/>
      <c r="M35" s="5"/>
      <c r="N35" s="5"/>
      <c r="O35" s="5"/>
      <c r="P35" s="88"/>
      <c r="Q35" s="95"/>
    </row>
    <row r="36" spans="4:17" s="2" customFormat="1" ht="12" customHeight="1">
      <c r="D36" s="22"/>
      <c r="E36" s="22"/>
      <c r="J36" s="5"/>
      <c r="K36" s="5"/>
      <c r="L36" s="5"/>
      <c r="M36" s="5"/>
      <c r="N36" s="5"/>
      <c r="O36" s="5"/>
      <c r="P36" s="88"/>
      <c r="Q36" s="95"/>
    </row>
    <row r="37" spans="4:17" s="2" customFormat="1" ht="12" customHeight="1">
      <c r="D37" s="22"/>
      <c r="E37" s="22"/>
      <c r="J37" s="5"/>
      <c r="K37" s="5"/>
      <c r="L37" s="5"/>
      <c r="M37" s="5"/>
      <c r="N37" s="5"/>
      <c r="O37" s="5"/>
      <c r="P37" s="88"/>
      <c r="Q37" s="95"/>
    </row>
    <row r="38" spans="4:17" s="2" customFormat="1" ht="12" customHeight="1">
      <c r="D38" s="22"/>
      <c r="E38" s="22"/>
      <c r="J38" s="5"/>
      <c r="K38" s="5"/>
      <c r="L38" s="5"/>
      <c r="M38" s="5"/>
      <c r="N38" s="5"/>
      <c r="O38" s="5"/>
      <c r="P38" s="88"/>
      <c r="Q38" s="95"/>
    </row>
    <row r="39" spans="4:17" s="2" customFormat="1" ht="12" customHeight="1">
      <c r="D39" s="22"/>
      <c r="E39" s="22"/>
      <c r="J39" s="5"/>
      <c r="K39" s="5"/>
      <c r="L39" s="5"/>
      <c r="M39" s="5"/>
      <c r="N39" s="5"/>
      <c r="O39" s="5"/>
      <c r="P39" s="88"/>
      <c r="Q39" s="95"/>
    </row>
    <row r="40" spans="4:17" s="2" customFormat="1" ht="12" customHeight="1">
      <c r="D40" s="22"/>
      <c r="E40" s="22"/>
      <c r="J40" s="5"/>
      <c r="K40" s="5"/>
      <c r="L40" s="5"/>
      <c r="M40" s="5"/>
      <c r="N40" s="5"/>
      <c r="O40" s="5"/>
      <c r="P40" s="88"/>
      <c r="Q40" s="95"/>
    </row>
    <row r="41" spans="4:17" s="2" customFormat="1" ht="12" customHeight="1">
      <c r="D41" s="22"/>
      <c r="E41" s="22"/>
      <c r="J41" s="5"/>
      <c r="K41" s="5"/>
      <c r="L41" s="5"/>
      <c r="M41" s="5"/>
      <c r="N41" s="5"/>
      <c r="O41" s="5"/>
      <c r="P41" s="88"/>
      <c r="Q41" s="95"/>
    </row>
    <row r="42" spans="4:17" s="2" customFormat="1" ht="12" customHeight="1">
      <c r="D42" s="22"/>
      <c r="E42" s="22"/>
      <c r="J42" s="5"/>
      <c r="K42" s="5"/>
      <c r="L42" s="5"/>
      <c r="M42" s="5"/>
      <c r="N42" s="5"/>
      <c r="O42" s="5"/>
      <c r="P42" s="88"/>
      <c r="Q42" s="95"/>
    </row>
    <row r="43" spans="4:17" s="2" customFormat="1" ht="12" customHeight="1">
      <c r="D43" s="22"/>
      <c r="E43" s="22"/>
      <c r="J43" s="5"/>
      <c r="K43" s="5"/>
      <c r="L43" s="5"/>
      <c r="M43" s="5"/>
      <c r="N43" s="5"/>
      <c r="O43" s="5"/>
      <c r="P43" s="88"/>
      <c r="Q43" s="95"/>
    </row>
    <row r="44" spans="4:17" s="2" customFormat="1" ht="12" customHeight="1">
      <c r="D44" s="22"/>
      <c r="E44" s="22"/>
      <c r="J44" s="5"/>
      <c r="K44" s="5"/>
      <c r="L44" s="5"/>
      <c r="M44" s="5"/>
      <c r="N44" s="5"/>
      <c r="O44" s="5"/>
      <c r="P44" s="88"/>
      <c r="Q44" s="95"/>
    </row>
    <row r="45" spans="4:17" s="2" customFormat="1" ht="12" customHeight="1">
      <c r="D45" s="22"/>
      <c r="E45" s="22"/>
      <c r="J45" s="5"/>
      <c r="K45" s="5"/>
      <c r="L45" s="5"/>
      <c r="M45" s="5"/>
      <c r="N45" s="5"/>
      <c r="O45" s="5"/>
      <c r="P45" s="88"/>
      <c r="Q45" s="95"/>
    </row>
    <row r="46" spans="4:17" s="2" customFormat="1" ht="12" customHeight="1">
      <c r="D46" s="22"/>
      <c r="E46" s="22"/>
      <c r="J46" s="5"/>
      <c r="K46" s="5"/>
      <c r="L46" s="5"/>
      <c r="M46" s="5"/>
      <c r="N46" s="5"/>
      <c r="O46" s="5"/>
      <c r="P46" s="88"/>
      <c r="Q46" s="95"/>
    </row>
    <row r="47" spans="4:17" s="2" customFormat="1" ht="12" customHeight="1">
      <c r="D47" s="22"/>
      <c r="E47" s="22"/>
      <c r="J47" s="5"/>
      <c r="K47" s="5"/>
      <c r="L47" s="5"/>
      <c r="M47" s="5"/>
      <c r="N47" s="5"/>
      <c r="O47" s="5"/>
      <c r="P47" s="88"/>
      <c r="Q47" s="95"/>
    </row>
    <row r="48" spans="4:17" s="2" customFormat="1" ht="12" customHeight="1">
      <c r="D48" s="22"/>
      <c r="E48" s="22"/>
      <c r="J48" s="5"/>
      <c r="K48" s="5"/>
      <c r="L48" s="5"/>
      <c r="M48" s="5"/>
      <c r="N48" s="5"/>
      <c r="O48" s="5"/>
      <c r="P48" s="88"/>
      <c r="Q48" s="95"/>
    </row>
    <row r="49" spans="1:17" s="2" customFormat="1" ht="12" customHeight="1">
      <c r="D49" s="22"/>
      <c r="E49" s="22"/>
      <c r="J49" s="5"/>
      <c r="K49" s="5"/>
      <c r="L49" s="5"/>
      <c r="M49" s="5"/>
      <c r="N49" s="5"/>
      <c r="O49" s="5"/>
      <c r="P49" s="88"/>
      <c r="Q49" s="95"/>
    </row>
    <row r="50" spans="1:17" s="2" customFormat="1" ht="12" customHeight="1">
      <c r="D50" s="22"/>
      <c r="E50" s="22"/>
      <c r="J50" s="5"/>
      <c r="K50" s="5"/>
      <c r="L50" s="5"/>
      <c r="M50" s="5"/>
      <c r="N50" s="5"/>
      <c r="O50" s="5"/>
      <c r="P50" s="88"/>
      <c r="Q50" s="95"/>
    </row>
    <row r="51" spans="1:17" s="2" customFormat="1" ht="12" customHeight="1">
      <c r="D51" s="22"/>
      <c r="E51" s="22"/>
      <c r="J51" s="5"/>
      <c r="K51" s="5"/>
      <c r="L51" s="5"/>
      <c r="M51" s="5"/>
      <c r="N51" s="5"/>
      <c r="O51" s="5"/>
      <c r="P51" s="88"/>
      <c r="Q51" s="95"/>
    </row>
    <row r="52" spans="1:17" s="2" customFormat="1" ht="12" customHeight="1">
      <c r="D52" s="22"/>
      <c r="E52" s="22"/>
      <c r="J52" s="5"/>
      <c r="K52" s="5"/>
      <c r="L52" s="5"/>
      <c r="M52" s="5"/>
      <c r="N52" s="5"/>
      <c r="O52" s="5"/>
      <c r="P52" s="88"/>
      <c r="Q52" s="95"/>
    </row>
    <row r="53" spans="1:17" s="2" customFormat="1" ht="12" customHeight="1">
      <c r="D53" s="22"/>
      <c r="E53" s="22"/>
      <c r="J53" s="5"/>
      <c r="K53" s="5"/>
      <c r="L53" s="5"/>
      <c r="M53" s="5"/>
      <c r="N53" s="5"/>
      <c r="O53" s="5"/>
      <c r="P53" s="88"/>
      <c r="Q53" s="95"/>
    </row>
    <row r="54" spans="1:17" s="2" customFormat="1" ht="12" customHeight="1">
      <c r="D54" s="22"/>
      <c r="E54" s="22"/>
      <c r="J54" s="5"/>
      <c r="K54" s="5"/>
      <c r="L54" s="5"/>
      <c r="M54" s="5"/>
      <c r="N54" s="5"/>
      <c r="O54" s="5"/>
      <c r="P54" s="88"/>
      <c r="Q54" s="95"/>
    </row>
    <row r="55" spans="1:17" s="2" customFormat="1" ht="12" customHeight="1">
      <c r="D55" s="22"/>
      <c r="E55" s="22"/>
      <c r="J55" s="5"/>
      <c r="K55" s="5"/>
      <c r="L55" s="5"/>
      <c r="M55" s="5"/>
      <c r="N55" s="5"/>
      <c r="O55" s="5"/>
      <c r="P55" s="88"/>
      <c r="Q55" s="95"/>
    </row>
    <row r="56" spans="1:17" s="2" customFormat="1" ht="12" customHeight="1">
      <c r="D56" s="22"/>
      <c r="E56" s="22"/>
      <c r="J56" s="5"/>
      <c r="K56" s="5"/>
      <c r="L56" s="5"/>
      <c r="M56" s="5"/>
      <c r="N56" s="5"/>
      <c r="O56" s="5"/>
      <c r="P56" s="88"/>
      <c r="Q56" s="95"/>
    </row>
    <row r="57" spans="1:17" s="2" customFormat="1" ht="12" customHeight="1">
      <c r="D57" s="22"/>
      <c r="E57" s="22"/>
      <c r="J57" s="5"/>
      <c r="K57" s="5"/>
      <c r="L57" s="5"/>
      <c r="M57" s="5"/>
      <c r="N57" s="5"/>
      <c r="O57" s="5"/>
      <c r="P57" s="88"/>
      <c r="Q57" s="95"/>
    </row>
    <row r="58" spans="1:17" s="2" customFormat="1" ht="12" customHeight="1">
      <c r="D58" s="22"/>
      <c r="E58" s="22"/>
      <c r="J58" s="5"/>
      <c r="K58" s="5"/>
      <c r="L58" s="5"/>
      <c r="M58" s="5"/>
      <c r="N58" s="5"/>
      <c r="O58" s="5"/>
      <c r="P58" s="88"/>
      <c r="Q58" s="95"/>
    </row>
    <row r="59" spans="1:17" s="2" customFormat="1" ht="12" customHeight="1">
      <c r="D59" s="22"/>
      <c r="E59" s="22"/>
      <c r="J59" s="5"/>
      <c r="K59" s="5"/>
      <c r="L59" s="5"/>
      <c r="M59" s="5"/>
      <c r="N59" s="5"/>
      <c r="O59" s="5"/>
      <c r="P59" s="88"/>
      <c r="Q59" s="96"/>
    </row>
    <row r="60" spans="1:17" s="2" customFormat="1" ht="12" customHeight="1">
      <c r="D60" s="22"/>
      <c r="E60" s="22"/>
      <c r="J60" s="5"/>
      <c r="K60" s="5"/>
      <c r="L60" s="5"/>
      <c r="M60" s="5"/>
      <c r="N60" s="5"/>
      <c r="O60" s="5"/>
      <c r="P60" s="88"/>
      <c r="Q60" s="96"/>
    </row>
    <row r="61" spans="1:17" s="2" customFormat="1" ht="12" customHeight="1">
      <c r="D61" s="22"/>
      <c r="E61" s="22"/>
      <c r="J61" s="5"/>
      <c r="K61" s="5"/>
      <c r="L61" s="5"/>
      <c r="M61" s="5"/>
      <c r="N61" s="5"/>
      <c r="O61" s="5"/>
      <c r="P61" s="88"/>
      <c r="Q61" s="96"/>
    </row>
    <row r="62" spans="1:17" s="2" customFormat="1" ht="12" customHeight="1">
      <c r="D62" s="22"/>
      <c r="E62" s="22"/>
      <c r="J62" s="5"/>
      <c r="K62" s="5"/>
      <c r="L62" s="5"/>
      <c r="M62" s="5"/>
      <c r="N62" s="5"/>
      <c r="O62" s="5"/>
      <c r="P62" s="88"/>
      <c r="Q62" s="96"/>
    </row>
    <row r="63" spans="1:17" s="2" customFormat="1" ht="12" customHeight="1">
      <c r="A63"/>
      <c r="B63"/>
      <c r="C63"/>
      <c r="D63" s="23"/>
      <c r="E63" s="23"/>
      <c r="F63"/>
      <c r="G63"/>
      <c r="H63"/>
      <c r="I63"/>
      <c r="J63" s="19"/>
      <c r="K63" s="19"/>
      <c r="L63" s="19"/>
      <c r="M63" s="19"/>
      <c r="N63" s="19"/>
      <c r="O63" s="19"/>
      <c r="P63" s="90"/>
      <c r="Q63" s="96"/>
    </row>
    <row r="64" spans="1:17" s="2" customFormat="1" ht="12" customHeight="1">
      <c r="A64"/>
      <c r="B64"/>
      <c r="C64"/>
      <c r="D64" s="23"/>
      <c r="E64" s="23"/>
      <c r="F64"/>
      <c r="G64"/>
      <c r="H64"/>
      <c r="I64"/>
      <c r="J64" s="19"/>
      <c r="K64" s="19"/>
      <c r="L64" s="19"/>
      <c r="M64" s="19"/>
      <c r="N64" s="19"/>
      <c r="O64" s="19"/>
      <c r="P64" s="90"/>
      <c r="Q64" s="96"/>
    </row>
    <row r="65" spans="1:17" s="2" customFormat="1" ht="12" customHeight="1">
      <c r="A65"/>
      <c r="B65"/>
      <c r="C65"/>
      <c r="D65" s="23"/>
      <c r="E65" s="23"/>
      <c r="F65"/>
      <c r="G65"/>
      <c r="H65"/>
      <c r="I65"/>
      <c r="J65" s="19"/>
      <c r="K65" s="19"/>
      <c r="L65" s="19"/>
      <c r="M65" s="19"/>
      <c r="N65" s="19"/>
      <c r="O65" s="19"/>
      <c r="P65" s="90"/>
      <c r="Q65" s="96"/>
    </row>
    <row r="66" spans="1:17" s="2" customFormat="1" ht="12" customHeight="1">
      <c r="A66"/>
      <c r="B66"/>
      <c r="C66"/>
      <c r="D66" s="23"/>
      <c r="E66" s="23"/>
      <c r="F66"/>
      <c r="G66"/>
      <c r="H66"/>
      <c r="I66"/>
      <c r="J66" s="19"/>
      <c r="K66" s="19"/>
      <c r="L66" s="19"/>
      <c r="M66" s="19"/>
      <c r="N66" s="19"/>
      <c r="O66" s="19"/>
      <c r="P66" s="90"/>
      <c r="Q66" s="96"/>
    </row>
    <row r="67" spans="1:17" s="2" customFormat="1" ht="12" customHeight="1">
      <c r="A67"/>
      <c r="B67"/>
      <c r="C67"/>
      <c r="D67" s="23"/>
      <c r="E67" s="23"/>
      <c r="F67"/>
      <c r="G67"/>
      <c r="H67"/>
      <c r="I67"/>
      <c r="J67" s="19"/>
      <c r="K67" s="19"/>
      <c r="L67" s="19"/>
      <c r="M67" s="19"/>
      <c r="N67" s="19"/>
      <c r="O67" s="19"/>
      <c r="P67" s="90"/>
      <c r="Q67" s="96"/>
    </row>
    <row r="68" spans="1:17">
      <c r="Q68" s="96"/>
    </row>
    <row r="69" spans="1:17">
      <c r="Q69" s="96"/>
    </row>
    <row r="70" spans="1:17">
      <c r="Q70" s="96"/>
    </row>
    <row r="71" spans="1:17">
      <c r="Q71" s="96"/>
    </row>
    <row r="72" spans="1:17">
      <c r="Q72" s="96"/>
    </row>
    <row r="73" spans="1:17">
      <c r="Q73" s="96"/>
    </row>
    <row r="74" spans="1:17">
      <c r="Q74" s="96"/>
    </row>
    <row r="75" spans="1:17">
      <c r="Q75" s="96"/>
    </row>
    <row r="76" spans="1:17">
      <c r="Q76" s="96"/>
    </row>
    <row r="77" spans="1:17">
      <c r="Q77" s="96"/>
    </row>
    <row r="78" spans="1:17">
      <c r="Q78" s="96"/>
    </row>
    <row r="79" spans="1:17">
      <c r="Q79" s="96"/>
    </row>
    <row r="80" spans="1:17">
      <c r="Q80" s="96"/>
    </row>
    <row r="81" spans="17:17">
      <c r="Q81" s="96"/>
    </row>
    <row r="82" spans="17:17">
      <c r="Q82" s="96"/>
    </row>
    <row r="83" spans="17:17">
      <c r="Q83" s="96"/>
    </row>
    <row r="84" spans="17:17">
      <c r="Q84" s="96"/>
    </row>
    <row r="85" spans="17:17">
      <c r="Q85" s="96"/>
    </row>
    <row r="86" spans="17:17">
      <c r="Q86" s="96"/>
    </row>
    <row r="87" spans="17:17">
      <c r="Q87" s="96"/>
    </row>
    <row r="124" ht="12" customHeight="1"/>
    <row r="125" ht="12" customHeight="1"/>
    <row r="126" ht="12" customHeight="1"/>
    <row r="127" ht="12" customHeight="1"/>
    <row r="128" ht="12" customHeight="1"/>
    <row r="129" ht="12" customHeight="1"/>
    <row r="130" ht="12" customHeight="1"/>
    <row r="131" ht="12" customHeight="1"/>
    <row r="132" ht="12" customHeight="1"/>
    <row r="133" ht="12" customHeight="1"/>
    <row r="134" ht="12" customHeight="1"/>
    <row r="135" ht="12" customHeight="1"/>
    <row r="136" ht="12" customHeight="1"/>
    <row r="137" ht="12" customHeight="1"/>
    <row r="138" ht="12" customHeight="1"/>
    <row r="139" ht="12" customHeight="1"/>
    <row r="140" ht="12" customHeight="1"/>
    <row r="141" ht="12" customHeight="1"/>
    <row r="142" ht="12" customHeight="1"/>
    <row r="143" ht="12" customHeight="1"/>
    <row r="144" ht="12" customHeight="1"/>
    <row r="145" ht="12" customHeight="1"/>
    <row r="146" ht="12" customHeight="1"/>
    <row r="147" ht="12" customHeight="1"/>
    <row r="148" ht="12" customHeight="1"/>
    <row r="149" ht="12" customHeight="1"/>
    <row r="150" ht="12" customHeight="1"/>
    <row r="151" ht="12" customHeight="1"/>
    <row r="152" ht="12" customHeight="1"/>
    <row r="153" ht="12" customHeight="1"/>
    <row r="154" ht="12" customHeight="1"/>
    <row r="155" ht="12" customHeight="1"/>
    <row r="156" ht="12" customHeight="1"/>
    <row r="157" ht="12" customHeight="1"/>
    <row r="158" ht="12" customHeight="1"/>
    <row r="159" ht="12" customHeight="1"/>
    <row r="160" ht="12" customHeight="1"/>
    <row r="161" ht="12" customHeight="1"/>
    <row r="162" ht="12" customHeight="1"/>
    <row r="163" ht="12" customHeight="1"/>
    <row r="164" ht="12" customHeight="1"/>
    <row r="165" ht="12" customHeight="1"/>
    <row r="166" ht="12" customHeight="1"/>
    <row r="167" ht="12" customHeight="1"/>
    <row r="168" ht="12" customHeight="1"/>
    <row r="169" ht="12" customHeight="1"/>
    <row r="170" ht="12" customHeight="1"/>
    <row r="171" ht="12" customHeight="1"/>
    <row r="172" ht="12" customHeight="1"/>
    <row r="173" ht="12" customHeight="1"/>
  </sheetData>
  <mergeCells count="21">
    <mergeCell ref="H20:I20"/>
    <mergeCell ref="D19:E19"/>
    <mergeCell ref="D18:E18"/>
    <mergeCell ref="H18:I18"/>
    <mergeCell ref="D13:E13"/>
    <mergeCell ref="D14:E14"/>
    <mergeCell ref="D15:E15"/>
    <mergeCell ref="D16:E16"/>
    <mergeCell ref="D20:E20"/>
    <mergeCell ref="D17:E17"/>
    <mergeCell ref="D1:E1"/>
    <mergeCell ref="D4:E4"/>
    <mergeCell ref="H4:I4"/>
    <mergeCell ref="D12:E12"/>
    <mergeCell ref="D5:E5"/>
    <mergeCell ref="D6:E6"/>
    <mergeCell ref="D7:E7"/>
    <mergeCell ref="D8:E8"/>
    <mergeCell ref="D9:E9"/>
    <mergeCell ref="D10:E10"/>
    <mergeCell ref="D11:E11"/>
  </mergeCells>
  <conditionalFormatting sqref="M19 M5:M17">
    <cfRule type="cellIs" dxfId="513" priority="3" stopIfTrue="1" operator="lessThanOrEqual">
      <formula>$L5</formula>
    </cfRule>
    <cfRule type="cellIs" dxfId="512" priority="4" operator="greaterThan">
      <formula>L5</formula>
    </cfRule>
  </conditionalFormatting>
  <pageMargins left="0.7" right="0.7" top="0.75" bottom="0.75" header="0.3" footer="0.3"/>
  <pageSetup paperSize="3" fitToHeight="0" orientation="landscape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D059ACF-07CD-4448-9BBB-B71E232A75DF}">
          <x14:formula1>
            <xm:f>Bolts!$A:$A</xm:f>
          </x14:formula1>
          <xm:sqref>C19</xm:sqref>
        </x14:dataValidation>
        <x14:dataValidation type="list" allowBlank="1" showInputMessage="1" showErrorMessage="1" xr:uid="{7029FD37-FAB5-4494-9326-74115304A2AC}">
          <x14:formula1>
            <xm:f>Purchased!$A:$A</xm:f>
          </x14:formula1>
          <xm:sqref>C5:C17</xm:sqref>
        </x14:dataValidation>
      </x14:dataValidation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4DCBE9-4B7F-4C94-BE31-AF6B3FA325DC}">
  <sheetPr codeName="Sheet155">
    <tabColor theme="3" tint="0.59999389629810485"/>
    <pageSetUpPr fitToPage="1"/>
  </sheetPr>
  <dimension ref="A1:R187"/>
  <sheetViews>
    <sheetView zoomScaleNormal="100" workbookViewId="0">
      <selection activeCell="S19" sqref="S19"/>
    </sheetView>
  </sheetViews>
  <sheetFormatPr defaultColWidth="9.140625" defaultRowHeight="15"/>
  <cols>
    <col min="1" max="1" width="5.7109375" customWidth="1"/>
    <col min="2" max="2" width="5.42578125" bestFit="1" customWidth="1"/>
    <col min="3" max="3" width="30.7109375" customWidth="1"/>
    <col min="4" max="5" width="20.7109375" style="23" customWidth="1"/>
    <col min="6" max="6" width="16.85546875" bestFit="1" customWidth="1"/>
    <col min="7" max="7" width="9.7109375" customWidth="1"/>
    <col min="8" max="8" width="8.7109375" customWidth="1"/>
    <col min="9" max="9" width="20.7109375" customWidth="1"/>
    <col min="10" max="13" width="11.7109375" style="19" customWidth="1"/>
    <col min="14" max="14" width="11.85546875" style="19" bestFit="1" customWidth="1"/>
    <col min="15" max="15" width="7.7109375" style="19" customWidth="1"/>
    <col min="16" max="16" width="10.7109375" style="90" customWidth="1"/>
    <col min="17" max="17" width="10.7109375" style="97" customWidth="1"/>
  </cols>
  <sheetData>
    <row r="1" spans="1:18" s="55" customFormat="1" ht="12" customHeight="1">
      <c r="A1" s="68" t="s">
        <v>0</v>
      </c>
      <c r="B1" s="69"/>
      <c r="C1" s="69"/>
      <c r="D1" s="262" t="s">
        <v>1</v>
      </c>
      <c r="E1" s="263"/>
      <c r="F1" s="70"/>
      <c r="G1" s="69"/>
      <c r="H1" s="70"/>
      <c r="I1" s="71"/>
      <c r="J1" s="72"/>
      <c r="K1" s="72"/>
      <c r="L1" s="72"/>
      <c r="M1" s="72"/>
      <c r="N1" s="72"/>
      <c r="O1" s="72"/>
      <c r="P1" s="85"/>
      <c r="Q1" s="91"/>
    </row>
    <row r="2" spans="1:18" s="55" customFormat="1" ht="12" customHeight="1">
      <c r="A2" s="74" t="s">
        <v>48</v>
      </c>
      <c r="B2" s="58"/>
      <c r="C2" s="57" t="e">
        <f ca="1">VLOOKUP(E3,Assemblies!B:F,4,0)</f>
        <v>#VALUE!</v>
      </c>
      <c r="D2" s="75" t="s">
        <v>3</v>
      </c>
      <c r="E2" s="76" t="e">
        <f ca="1">'GF12'!E2</f>
        <v>#VALUE!</v>
      </c>
      <c r="F2" s="77" t="s">
        <v>4</v>
      </c>
      <c r="G2" s="58" t="str">
        <f>'GF12'!G2</f>
        <v>GH</v>
      </c>
      <c r="H2" s="77" t="s">
        <v>6</v>
      </c>
      <c r="I2" s="59">
        <f>'GF12'!I2</f>
        <v>44775</v>
      </c>
      <c r="J2" s="39"/>
      <c r="K2" s="40" t="s">
        <v>49</v>
      </c>
      <c r="L2" s="41" t="e">
        <f ca="1">VLOOKUP(C2,Assemblies!E:G,3,0)</f>
        <v>#VALUE!</v>
      </c>
      <c r="M2" s="78"/>
      <c r="N2" s="78"/>
      <c r="O2" s="78"/>
      <c r="P2" s="86"/>
      <c r="Q2" s="92"/>
    </row>
    <row r="3" spans="1:18" s="55" customFormat="1" ht="12" customHeight="1" thickBot="1">
      <c r="A3" s="74" t="s">
        <v>7</v>
      </c>
      <c r="B3" s="58"/>
      <c r="C3" s="57" t="e">
        <f ca="1">VLOOKUP(E3,Assemblies!B:F,5,0)</f>
        <v>#VALUE!</v>
      </c>
      <c r="D3" s="75" t="s">
        <v>50</v>
      </c>
      <c r="E3" s="76" t="e">
        <f ca="1">MID(CELL("filename",A1),FIND("]",CELL("filename",A1))+1,256)</f>
        <v>#VALUE!</v>
      </c>
      <c r="F3" s="77" t="s">
        <v>11</v>
      </c>
      <c r="G3" s="58" t="str">
        <f>'GF12'!G3</f>
        <v>GH</v>
      </c>
      <c r="H3" s="77" t="s">
        <v>6</v>
      </c>
      <c r="I3" s="59">
        <f>'GF12'!I3</f>
        <v>44775</v>
      </c>
      <c r="J3" s="78"/>
      <c r="K3" s="78"/>
      <c r="L3" s="78"/>
      <c r="M3" s="78"/>
      <c r="N3" s="78"/>
      <c r="O3" s="78"/>
      <c r="P3" s="86"/>
      <c r="Q3" s="92"/>
    </row>
    <row r="4" spans="1:18" s="56" customFormat="1" ht="12.75" customHeight="1" thickBot="1">
      <c r="A4" s="80" t="s">
        <v>12</v>
      </c>
      <c r="B4" s="81" t="s">
        <v>13</v>
      </c>
      <c r="C4" s="81" t="s">
        <v>14</v>
      </c>
      <c r="D4" s="270" t="s">
        <v>15</v>
      </c>
      <c r="E4" s="271"/>
      <c r="F4" s="104" t="s">
        <v>16</v>
      </c>
      <c r="G4" s="81" t="s">
        <v>17</v>
      </c>
      <c r="H4" s="260" t="s">
        <v>18</v>
      </c>
      <c r="I4" s="261"/>
      <c r="J4" s="81" t="s">
        <v>51</v>
      </c>
      <c r="K4" s="81" t="s">
        <v>20</v>
      </c>
      <c r="L4" s="81" t="s">
        <v>21</v>
      </c>
      <c r="M4" s="81" t="s">
        <v>52</v>
      </c>
      <c r="N4" s="81" t="s">
        <v>22</v>
      </c>
      <c r="O4" s="81" t="s">
        <v>53</v>
      </c>
      <c r="P4" s="107" t="s">
        <v>26</v>
      </c>
      <c r="Q4" s="82" t="s">
        <v>27</v>
      </c>
    </row>
    <row r="5" spans="1:18" s="21" customFormat="1" ht="12.75" customHeight="1">
      <c r="A5" s="25"/>
      <c r="B5" s="26"/>
      <c r="C5" s="26"/>
      <c r="D5" s="272"/>
      <c r="E5" s="273"/>
      <c r="F5" s="26"/>
      <c r="G5" s="26"/>
      <c r="H5" s="274"/>
      <c r="I5" s="275"/>
      <c r="J5" s="27"/>
      <c r="K5" s="27"/>
      <c r="L5" s="27"/>
      <c r="M5" s="28"/>
      <c r="N5" s="29"/>
      <c r="O5" s="29"/>
      <c r="P5" s="141"/>
      <c r="Q5" s="142"/>
      <c r="R5" s="20"/>
    </row>
    <row r="6" spans="1:18" s="2" customFormat="1" ht="12.75" customHeight="1">
      <c r="A6" s="127">
        <v>1</v>
      </c>
      <c r="B6" s="21">
        <v>2</v>
      </c>
      <c r="C6" s="108" t="s">
        <v>528</v>
      </c>
      <c r="D6" s="277" t="str">
        <f>VLOOKUP(C6,Machined!C:Q,2,0)</f>
        <v>Plinth Panel 1</v>
      </c>
      <c r="E6" s="278"/>
      <c r="F6" s="131" t="str">
        <f>VLOOKUP(C6,Machined!C:R,7,0)</f>
        <v>HDPE, BLUE, ROUGH TEXTURE</v>
      </c>
      <c r="G6" s="131" t="str">
        <f>VLOOKUP(C6,Machined!C:R,10,0)</f>
        <v>NULINE</v>
      </c>
      <c r="H6" s="131">
        <f>VLOOKUP(C6,Machined!C:R,11,0)</f>
        <v>0</v>
      </c>
      <c r="I6" s="131"/>
      <c r="J6" s="42" t="str">
        <f>VLOOKUP(C6,Machined!C:R,12,0)</f>
        <v>N/A</v>
      </c>
      <c r="K6" s="42" t="str">
        <f>VLOOKUP(C6,Machined!C:R,13,0)</f>
        <v>N/A</v>
      </c>
      <c r="L6" s="42" t="str">
        <f>VLOOKUP(C6,Machined!C:R,14,0)</f>
        <v>N/A</v>
      </c>
      <c r="M6" s="42" t="str">
        <f>VLOOKUP(C6,Machined!C:R,15,0)</f>
        <v>N/A</v>
      </c>
      <c r="N6" s="43" t="str">
        <f>VLOOKUP(C6,Machined!C:R,16,0)</f>
        <v>N/A</v>
      </c>
      <c r="O6" s="43" t="e">
        <f t="shared" ref="O6:O11" ca="1" si="0">B6*$L$2</f>
        <v>#VALUE!</v>
      </c>
      <c r="P6" s="47">
        <f>IFERROR(VLOOKUP(C6,Machined!C:F,3,0),"")</f>
        <v>0</v>
      </c>
      <c r="Q6" s="48">
        <f t="shared" ref="Q6:Q11" si="1">IFERROR(B6*P6,"")</f>
        <v>0</v>
      </c>
    </row>
    <row r="7" spans="1:18" s="2" customFormat="1" ht="12.75" customHeight="1">
      <c r="A7" s="127">
        <f>A6+1</f>
        <v>2</v>
      </c>
      <c r="B7" s="21">
        <v>1</v>
      </c>
      <c r="C7" s="108" t="s">
        <v>529</v>
      </c>
      <c r="D7" s="277" t="str">
        <f>VLOOKUP(C7,Machined!C:Q,2,0)</f>
        <v>Plinth Panel 2</v>
      </c>
      <c r="E7" s="278"/>
      <c r="F7" s="131" t="str">
        <f>VLOOKUP(C7,Machined!C:R,7,0)</f>
        <v>HDPE, BLUE, ROUGH TEXTURE</v>
      </c>
      <c r="G7" s="131" t="str">
        <f>VLOOKUP(C7,Machined!C:R,10,0)</f>
        <v>NULINE</v>
      </c>
      <c r="H7" s="131">
        <f>VLOOKUP(C7,Machined!C:R,11,0)</f>
        <v>0</v>
      </c>
      <c r="I7" s="131"/>
      <c r="J7" s="42" t="str">
        <f>VLOOKUP(C7,Machined!C:R,12,0)</f>
        <v>N/A</v>
      </c>
      <c r="K7" s="42" t="str">
        <f>VLOOKUP(C7,Machined!C:R,13,0)</f>
        <v>N/A</v>
      </c>
      <c r="L7" s="42" t="str">
        <f>VLOOKUP(C7,Machined!C:R,14,0)</f>
        <v>N/A</v>
      </c>
      <c r="M7" s="42" t="str">
        <f>VLOOKUP(C7,Machined!C:R,15,0)</f>
        <v>N/A</v>
      </c>
      <c r="N7" s="43" t="str">
        <f>VLOOKUP(C7,Machined!C:R,16,0)</f>
        <v>N/A</v>
      </c>
      <c r="O7" s="43" t="e">
        <f t="shared" ca="1" si="0"/>
        <v>#VALUE!</v>
      </c>
      <c r="P7" s="47">
        <f>IFERROR(VLOOKUP(C7,Machined!C:F,3,0),"")</f>
        <v>0</v>
      </c>
      <c r="Q7" s="48">
        <f t="shared" si="1"/>
        <v>0</v>
      </c>
    </row>
    <row r="8" spans="1:18" s="2" customFormat="1" ht="12.75" customHeight="1">
      <c r="A8" s="127">
        <f t="shared" ref="A8:A11" si="2">A7+1</f>
        <v>3</v>
      </c>
      <c r="B8" s="21">
        <v>1</v>
      </c>
      <c r="C8" s="108" t="s">
        <v>530</v>
      </c>
      <c r="D8" s="277" t="str">
        <f>VLOOKUP(C8,Machined!C:Q,2,0)</f>
        <v>Plinth Panel 3</v>
      </c>
      <c r="E8" s="278"/>
      <c r="F8" s="131" t="str">
        <f>VLOOKUP(C8,Machined!C:R,7,0)</f>
        <v>TIVAR, BLACK</v>
      </c>
      <c r="G8" s="131" t="str">
        <f>VLOOKUP(C8,Machined!C:R,10,0)</f>
        <v>NULINE</v>
      </c>
      <c r="H8" s="131">
        <f>VLOOKUP(C8,Machined!C:R,11,0)</f>
        <v>0</v>
      </c>
      <c r="I8" s="131"/>
      <c r="J8" s="42" t="str">
        <f>VLOOKUP(C8,Machined!C:R,12,0)</f>
        <v>N/A</v>
      </c>
      <c r="K8" s="42" t="str">
        <f>VLOOKUP(C8,Machined!C:R,13,0)</f>
        <v>N/A</v>
      </c>
      <c r="L8" s="42" t="str">
        <f>VLOOKUP(C8,Machined!C:R,14,0)</f>
        <v>N/A</v>
      </c>
      <c r="M8" s="42" t="str">
        <f>VLOOKUP(C8,Machined!C:R,15,0)</f>
        <v>N/A</v>
      </c>
      <c r="N8" s="43" t="str">
        <f>VLOOKUP(C8,Machined!C:R,16,0)</f>
        <v>N/A</v>
      </c>
      <c r="O8" s="43" t="e">
        <f t="shared" ca="1" si="0"/>
        <v>#VALUE!</v>
      </c>
      <c r="P8" s="47">
        <f>IFERROR(VLOOKUP(C8,Machined!C:F,3,0),"")</f>
        <v>0</v>
      </c>
      <c r="Q8" s="48">
        <f t="shared" si="1"/>
        <v>0</v>
      </c>
    </row>
    <row r="9" spans="1:18" s="2" customFormat="1" ht="12.75" customHeight="1">
      <c r="A9" s="127">
        <f t="shared" si="2"/>
        <v>4</v>
      </c>
      <c r="B9" s="21">
        <v>1</v>
      </c>
      <c r="C9" s="108" t="s">
        <v>531</v>
      </c>
      <c r="D9" s="277" t="str">
        <f>VLOOKUP(C9,Machined!C:Q,2,0)</f>
        <v>Plinth Panel 4</v>
      </c>
      <c r="E9" s="278"/>
      <c r="F9" s="131" t="str">
        <f>VLOOKUP(C9,Machined!C:R,7,0)</f>
        <v>TIVAR, BLACK</v>
      </c>
      <c r="G9" s="131" t="str">
        <f>VLOOKUP(C9,Machined!C:R,10,0)</f>
        <v>NULINE</v>
      </c>
      <c r="H9" s="131">
        <f>VLOOKUP(C9,Machined!C:R,11,0)</f>
        <v>0</v>
      </c>
      <c r="I9" s="131"/>
      <c r="J9" s="42" t="str">
        <f>VLOOKUP(C9,Machined!C:R,12,0)</f>
        <v>N/A</v>
      </c>
      <c r="K9" s="42" t="str">
        <f>VLOOKUP(C9,Machined!C:R,13,0)</f>
        <v>N/A</v>
      </c>
      <c r="L9" s="42" t="str">
        <f>VLOOKUP(C9,Machined!C:R,14,0)</f>
        <v>N/A</v>
      </c>
      <c r="M9" s="42" t="str">
        <f>VLOOKUP(C9,Machined!C:R,15,0)</f>
        <v>N/A</v>
      </c>
      <c r="N9" s="43" t="str">
        <f>VLOOKUP(C9,Machined!C:R,16,0)</f>
        <v>N/A</v>
      </c>
      <c r="O9" s="43" t="e">
        <f t="shared" ca="1" si="0"/>
        <v>#VALUE!</v>
      </c>
      <c r="P9" s="47">
        <f>IFERROR(VLOOKUP(C9,Machined!C:F,3,0),"")</f>
        <v>0</v>
      </c>
      <c r="Q9" s="48">
        <f t="shared" si="1"/>
        <v>0</v>
      </c>
    </row>
    <row r="10" spans="1:18" s="2" customFormat="1" ht="12.75" customHeight="1">
      <c r="A10" s="127">
        <f t="shared" si="2"/>
        <v>5</v>
      </c>
      <c r="B10" s="21">
        <v>1</v>
      </c>
      <c r="C10" s="108" t="s">
        <v>532</v>
      </c>
      <c r="D10" s="277" t="str">
        <f>VLOOKUP(C10,Machined!C:Q,2,0)</f>
        <v>FIXED DIAMOND PLATE</v>
      </c>
      <c r="E10" s="278"/>
      <c r="F10" s="131" t="str">
        <f>VLOOKUP(C10,Machined!C:R,7,0)</f>
        <v>6061 AL TREAD PLATE</v>
      </c>
      <c r="G10" s="131" t="str">
        <f>VLOOKUP(C10,Machined!C:R,10,0)</f>
        <v>ALRECO, NULINE</v>
      </c>
      <c r="H10" s="131">
        <f>VLOOKUP(C10,Machined!C:R,11,0)</f>
        <v>0</v>
      </c>
      <c r="I10" s="131"/>
      <c r="J10" s="42" t="str">
        <f>VLOOKUP(C10,Machined!C:R,12,0)</f>
        <v>N/A</v>
      </c>
      <c r="K10" s="42">
        <f>VLOOKUP(C10,Machined!C:R,13,0)</f>
        <v>45226</v>
      </c>
      <c r="L10" s="42">
        <f>VLOOKUP(C10,Machined!C:R,14,0)</f>
        <v>45226</v>
      </c>
      <c r="M10" s="42">
        <f>VLOOKUP(C10,Machined!C:R,15,0)</f>
        <v>45226</v>
      </c>
      <c r="N10" s="43">
        <f>VLOOKUP(C10,Machined!C:R,16,0)</f>
        <v>55257</v>
      </c>
      <c r="O10" s="43" t="e">
        <f t="shared" ca="1" si="0"/>
        <v>#VALUE!</v>
      </c>
      <c r="P10" s="47">
        <f>IFERROR(VLOOKUP(C10,Machined!C:F,3,0),"")</f>
        <v>132</v>
      </c>
      <c r="Q10" s="48">
        <f t="shared" si="1"/>
        <v>132</v>
      </c>
    </row>
    <row r="11" spans="1:18" s="2" customFormat="1" ht="12.75" customHeight="1">
      <c r="A11" s="127">
        <f t="shared" si="2"/>
        <v>6</v>
      </c>
      <c r="B11" s="21">
        <v>1</v>
      </c>
      <c r="C11" s="108" t="s">
        <v>533</v>
      </c>
      <c r="D11" s="277" t="str">
        <f>VLOOKUP(C11,Machined!C:Q,2,0)</f>
        <v>DIAMOND PLATE HATCH DOOR</v>
      </c>
      <c r="E11" s="278"/>
      <c r="F11" s="131" t="str">
        <f>VLOOKUP(C11,Machined!C:R,7,0)</f>
        <v>6061 AL TREAD PLATE</v>
      </c>
      <c r="G11" s="131" t="str">
        <f>VLOOKUP(C11,Machined!C:R,10,0)</f>
        <v>ALRECO, NULINE</v>
      </c>
      <c r="H11" s="131">
        <f>VLOOKUP(C11,Machined!C:R,11,0)</f>
        <v>0</v>
      </c>
      <c r="I11" s="131"/>
      <c r="J11" s="42" t="str">
        <f>VLOOKUP(C11,Machined!C:R,12,0)</f>
        <v>N/A</v>
      </c>
      <c r="K11" s="42">
        <f>VLOOKUP(C11,Machined!C:R,13,0)</f>
        <v>45226</v>
      </c>
      <c r="L11" s="42">
        <f>VLOOKUP(C11,Machined!C:R,14,0)</f>
        <v>45226</v>
      </c>
      <c r="M11" s="42">
        <f>VLOOKUP(C11,Machined!C:R,15,0)</f>
        <v>45226</v>
      </c>
      <c r="N11" s="43">
        <f>VLOOKUP(C11,Machined!C:R,16,0)</f>
        <v>55257</v>
      </c>
      <c r="O11" s="43" t="e">
        <f t="shared" ca="1" si="0"/>
        <v>#VALUE!</v>
      </c>
      <c r="P11" s="47">
        <f>IFERROR(VLOOKUP(C11,Machined!C:F,3,0),"")</f>
        <v>34</v>
      </c>
      <c r="Q11" s="48">
        <f t="shared" si="1"/>
        <v>34</v>
      </c>
    </row>
    <row r="12" spans="1:18" s="2" customFormat="1" ht="12.75" customHeight="1">
      <c r="A12" s="143"/>
      <c r="B12" s="26"/>
      <c r="C12" s="26"/>
      <c r="D12" s="272"/>
      <c r="E12" s="273"/>
      <c r="F12" s="26"/>
      <c r="G12" s="26"/>
      <c r="H12" s="274"/>
      <c r="I12" s="275"/>
      <c r="J12" s="27"/>
      <c r="K12" s="27"/>
      <c r="L12" s="27"/>
      <c r="M12" s="28"/>
      <c r="N12" s="29"/>
      <c r="O12" s="29"/>
      <c r="P12" s="141"/>
      <c r="Q12" s="142"/>
    </row>
    <row r="13" spans="1:18" s="2" customFormat="1" ht="12.75" customHeight="1">
      <c r="A13" s="4">
        <v>301</v>
      </c>
      <c r="B13" s="2">
        <v>5</v>
      </c>
      <c r="C13" s="114" t="s">
        <v>534</v>
      </c>
      <c r="D13" s="268" t="str">
        <f>VLOOKUP(C13,Purchased!A:B,2,0)</f>
        <v>Hoffman Straight Section Lay-in Hinged-Cover Type 1, 72"</v>
      </c>
      <c r="E13" s="269"/>
      <c r="F13" s="112" t="str">
        <f>VLOOKUP(C13,Purchased!A:Q,9,0)</f>
        <v>Hoffman</v>
      </c>
      <c r="G13" s="112" t="str">
        <f>VLOOKUP(C13,Purchased!A:Q,10,0)</f>
        <v>Rexel</v>
      </c>
      <c r="H13" s="112" t="str">
        <f>VLOOKUP(C13,Purchased!A:Q,12,0)</f>
        <v xml:space="preserve"> </v>
      </c>
      <c r="I13" s="113"/>
      <c r="J13" s="44" t="str">
        <f>VLOOKUP(C13,Purchased!A:Q,13,0)</f>
        <v>N/A</v>
      </c>
      <c r="K13" s="44">
        <f>VLOOKUP(C13,Purchased!A:Q,14,0)</f>
        <v>45176</v>
      </c>
      <c r="L13" s="44">
        <f>VLOOKUP(C13,Purchased!A:Q,15,0)</f>
        <v>45190</v>
      </c>
      <c r="M13" s="44">
        <f>VLOOKUP(C13,Purchased!A:Q,16,0)</f>
        <v>45194</v>
      </c>
      <c r="N13" s="45">
        <f>VLOOKUP(C13,Purchased!A:Q,17,0)</f>
        <v>55122</v>
      </c>
      <c r="O13" s="45" t="e">
        <f t="shared" ref="O13:O26" ca="1" si="3">B13*$L$2</f>
        <v>#VALUE!</v>
      </c>
      <c r="P13" s="49">
        <f>IFERROR(VLOOKUP(C13,Purchased!A:E,3,FALSE),"")</f>
        <v>92.430999999999997</v>
      </c>
      <c r="Q13" s="50">
        <f t="shared" ref="Q13:Q16" si="4">IFERROR(B13*P13,"")</f>
        <v>462.15499999999997</v>
      </c>
    </row>
    <row r="14" spans="1:18" s="2" customFormat="1" ht="12" customHeight="1">
      <c r="A14" s="4">
        <f>A13+1</f>
        <v>302</v>
      </c>
      <c r="B14" s="2">
        <v>3</v>
      </c>
      <c r="C14" s="114" t="s">
        <v>535</v>
      </c>
      <c r="D14" s="268" t="str">
        <f>VLOOKUP(C14,Purchased!A:B,2,0)</f>
        <v>Hoffman Universal U-Connector</v>
      </c>
      <c r="E14" s="269"/>
      <c r="F14" s="112" t="str">
        <f>VLOOKUP(C14,Purchased!A:Q,9,0)</f>
        <v>Hoffman</v>
      </c>
      <c r="G14" s="112" t="str">
        <f>VLOOKUP(C14,Purchased!A:Q,10,0)</f>
        <v>Rexel</v>
      </c>
      <c r="H14" s="112" t="str">
        <f>VLOOKUP(C14,Purchased!A:Q,12,0)</f>
        <v xml:space="preserve"> </v>
      </c>
      <c r="I14" s="113"/>
      <c r="J14" s="44" t="str">
        <f>VLOOKUP(C14,Purchased!A:Q,13,0)</f>
        <v>N/A</v>
      </c>
      <c r="K14" s="44">
        <f>VLOOKUP(C14,Purchased!A:Q,14,0)</f>
        <v>45176</v>
      </c>
      <c r="L14" s="44">
        <f>VLOOKUP(C14,Purchased!A:Q,15,0)</f>
        <v>45190</v>
      </c>
      <c r="M14" s="44">
        <f>VLOOKUP(C14,Purchased!A:Q,16,0)</f>
        <v>45194</v>
      </c>
      <c r="N14" s="45">
        <f>VLOOKUP(C14,Purchased!A:Q,17,0)</f>
        <v>55122</v>
      </c>
      <c r="O14" s="45" t="e">
        <f t="shared" ca="1" si="3"/>
        <v>#VALUE!</v>
      </c>
      <c r="P14" s="49">
        <f>IFERROR(VLOOKUP(C14,Purchased!A:E,3,FALSE),"")</f>
        <v>7.7176</v>
      </c>
      <c r="Q14" s="50">
        <f t="shared" si="4"/>
        <v>23.152799999999999</v>
      </c>
    </row>
    <row r="15" spans="1:18" s="2" customFormat="1" ht="12" customHeight="1">
      <c r="A15" s="4">
        <f t="shared" ref="A15:A20" si="5">A14+1</f>
        <v>303</v>
      </c>
      <c r="B15" s="2">
        <v>2</v>
      </c>
      <c r="C15" s="114" t="s">
        <v>536</v>
      </c>
      <c r="D15" s="268" t="str">
        <f>VLOOKUP(C15,Purchased!A:B,2,0)</f>
        <v>Hoffman Closure Plate</v>
      </c>
      <c r="E15" s="269"/>
      <c r="F15" s="112" t="str">
        <f>VLOOKUP(C15,Purchased!A:Q,9,0)</f>
        <v>Hoffman</v>
      </c>
      <c r="G15" s="112" t="str">
        <f>VLOOKUP(C15,Purchased!A:Q,10,0)</f>
        <v>Rexel</v>
      </c>
      <c r="H15" s="112" t="str">
        <f>VLOOKUP(C15,Purchased!A:Q,12,0)</f>
        <v xml:space="preserve"> </v>
      </c>
      <c r="I15" s="113"/>
      <c r="J15" s="44" t="str">
        <f>VLOOKUP(C15,Purchased!A:Q,13,0)</f>
        <v>N/A</v>
      </c>
      <c r="K15" s="44">
        <f>VLOOKUP(C15,Purchased!A:Q,14,0)</f>
        <v>45176</v>
      </c>
      <c r="L15" s="44">
        <f>VLOOKUP(C15,Purchased!A:Q,15,0)</f>
        <v>45190</v>
      </c>
      <c r="M15" s="44">
        <f>VLOOKUP(C15,Purchased!A:Q,16,0)</f>
        <v>45194</v>
      </c>
      <c r="N15" s="45">
        <f>VLOOKUP(C15,Purchased!A:Q,17,0)</f>
        <v>55122</v>
      </c>
      <c r="O15" s="45" t="e">
        <f t="shared" ca="1" si="3"/>
        <v>#VALUE!</v>
      </c>
      <c r="P15" s="49">
        <f>IFERROR(VLOOKUP(C15,Purchased!A:E,3,FALSE),"")</f>
        <v>7.0869999999999997</v>
      </c>
      <c r="Q15" s="50">
        <f t="shared" si="4"/>
        <v>14.173999999999999</v>
      </c>
    </row>
    <row r="16" spans="1:18" s="2" customFormat="1" ht="12" customHeight="1">
      <c r="A16" s="4">
        <f t="shared" si="5"/>
        <v>304</v>
      </c>
      <c r="B16" s="2">
        <v>10</v>
      </c>
      <c r="C16" s="114" t="s">
        <v>537</v>
      </c>
      <c r="D16" s="268" t="str">
        <f>VLOOKUP(C16,Purchased!A:B,2,0)</f>
        <v>Hoffman  Barrier Kit Bolt-On</v>
      </c>
      <c r="E16" s="269"/>
      <c r="F16" s="112" t="str">
        <f>VLOOKUP(C16,Purchased!A:Q,9,0)</f>
        <v>Hoffman</v>
      </c>
      <c r="G16" s="112" t="str">
        <f>VLOOKUP(C16,Purchased!A:Q,10,0)</f>
        <v>Rexel</v>
      </c>
      <c r="H16" s="112" t="str">
        <f>VLOOKUP(C16,Purchased!A:Q,12,0)</f>
        <v xml:space="preserve"> </v>
      </c>
      <c r="I16" s="113"/>
      <c r="J16" s="44" t="str">
        <f>VLOOKUP(C16,Purchased!A:Q,13,0)</f>
        <v>N/A</v>
      </c>
      <c r="K16" s="44">
        <f>VLOOKUP(C16,Purchased!A:Q,14,0)</f>
        <v>45176</v>
      </c>
      <c r="L16" s="44">
        <f>VLOOKUP(C16,Purchased!A:Q,15,0)</f>
        <v>45190</v>
      </c>
      <c r="M16" s="44">
        <f>VLOOKUP(C16,Purchased!A:Q,16,0)</f>
        <v>45194</v>
      </c>
      <c r="N16" s="45">
        <f>VLOOKUP(C16,Purchased!A:Q,17,0)</f>
        <v>55122</v>
      </c>
      <c r="O16" s="45" t="e">
        <f t="shared" ca="1" si="3"/>
        <v>#VALUE!</v>
      </c>
      <c r="P16" s="49">
        <f>IFERROR(VLOOKUP(C16,Purchased!A:E,3,FALSE),"")</f>
        <v>74.593999999999994</v>
      </c>
      <c r="Q16" s="50">
        <f t="shared" si="4"/>
        <v>745.93999999999994</v>
      </c>
    </row>
    <row r="17" spans="1:17" s="2" customFormat="1" ht="12" customHeight="1">
      <c r="A17" s="4">
        <f t="shared" si="5"/>
        <v>305</v>
      </c>
      <c r="B17" s="2">
        <v>1</v>
      </c>
      <c r="C17" s="114" t="s">
        <v>538</v>
      </c>
      <c r="D17" s="268" t="str">
        <f>VLOOKUP(C17,Purchased!A:B,2,0)</f>
        <v>Piano Hinge with Holes Anodized Aluminum, 3" Overall Width, 0.430" Knuckle Diameter, 3' Long</v>
      </c>
      <c r="E17" s="269"/>
      <c r="F17" s="112" t="str">
        <f>VLOOKUP(C17,Purchased!A:Q,9,0)</f>
        <v>MCM</v>
      </c>
      <c r="G17" s="112" t="str">
        <f>VLOOKUP(C17,Purchased!A:Q,10,0)</f>
        <v>MCM</v>
      </c>
      <c r="H17" s="112" t="str">
        <f>VLOOKUP(C17,Purchased!A:Q,12,0)</f>
        <v xml:space="preserve"> </v>
      </c>
      <c r="I17" s="113"/>
      <c r="J17" s="44" t="str">
        <f>VLOOKUP(C17,Purchased!A:Q,13,0)</f>
        <v>N/A</v>
      </c>
      <c r="K17" s="44">
        <f>VLOOKUP(C17,Purchased!A:Q,14,0)</f>
        <v>45170</v>
      </c>
      <c r="L17" s="44">
        <f>VLOOKUP(C17,Purchased!A:Q,15,0)</f>
        <v>45174</v>
      </c>
      <c r="M17" s="44">
        <f>VLOOKUP(C17,Purchased!A:Q,16,0)</f>
        <v>45174</v>
      </c>
      <c r="N17" s="45">
        <f>VLOOKUP(C17,Purchased!A:Q,17,0)</f>
        <v>55124</v>
      </c>
      <c r="O17" s="45" t="e">
        <f t="shared" ref="O17:O18" ca="1" si="6">B17*$L$2</f>
        <v>#VALUE!</v>
      </c>
      <c r="P17" s="49">
        <f>IFERROR(VLOOKUP(C17,Purchased!A:E,3,FALSE),"")</f>
        <v>49.29</v>
      </c>
      <c r="Q17" s="50">
        <f t="shared" ref="Q17:Q18" si="7">IFERROR(B17*P17,"")</f>
        <v>49.29</v>
      </c>
    </row>
    <row r="18" spans="1:17" s="2" customFormat="1" ht="12" customHeight="1">
      <c r="A18" s="4">
        <f t="shared" si="5"/>
        <v>306</v>
      </c>
      <c r="B18" s="2">
        <v>13</v>
      </c>
      <c r="C18" s="114" t="s">
        <v>286</v>
      </c>
      <c r="D18" s="268" t="str">
        <f>VLOOKUP(C18,Purchased!A:B,2,0)</f>
        <v>BRX GOTO T-NUT 10 M5</v>
      </c>
      <c r="E18" s="269"/>
      <c r="F18" s="112" t="str">
        <f>VLOOKUP(C18,Purchased!A:Q,9,0)</f>
        <v>BRX</v>
      </c>
      <c r="G18" s="112" t="str">
        <f>VLOOKUP(C18,Purchased!A:Q,10,0)</f>
        <v>AAP</v>
      </c>
      <c r="H18" s="112">
        <f>VLOOKUP(C18,Purchased!A:Q,12,0)</f>
        <v>0</v>
      </c>
      <c r="I18" s="113"/>
      <c r="J18" s="44">
        <f>VLOOKUP(C18,Purchased!A:Q,13,0)</f>
        <v>45104</v>
      </c>
      <c r="K18" s="44">
        <f>VLOOKUP(C18,Purchased!A:Q,14,0)</f>
        <v>45105</v>
      </c>
      <c r="L18" s="44">
        <f>VLOOKUP(C18,Purchased!A:Q,15,0)</f>
        <v>45133</v>
      </c>
      <c r="M18" s="44">
        <f>VLOOKUP(C18,Purchased!A:Q,16,0)</f>
        <v>45133</v>
      </c>
      <c r="N18" s="45" t="str">
        <f>VLOOKUP(C18,Purchased!A:Q,17,0)</f>
        <v>50x54968, 200x55147, 150x55169</v>
      </c>
      <c r="O18" s="45" t="e">
        <f t="shared" ca="1" si="6"/>
        <v>#VALUE!</v>
      </c>
      <c r="P18" s="49">
        <f>IFERROR(VLOOKUP(C18,Purchased!A:E,3,FALSE),"")</f>
        <v>0.64290000000000003</v>
      </c>
      <c r="Q18" s="50">
        <f t="shared" si="7"/>
        <v>8.3577000000000012</v>
      </c>
    </row>
    <row r="19" spans="1:17" s="2" customFormat="1" ht="12" customHeight="1">
      <c r="A19" s="4">
        <f t="shared" si="5"/>
        <v>307</v>
      </c>
      <c r="B19" s="2">
        <v>34</v>
      </c>
      <c r="C19" s="114" t="s">
        <v>256</v>
      </c>
      <c r="D19" s="268" t="str">
        <f>VLOOKUP(C19,Purchased!A:B,2,0)</f>
        <v>BRX GOTO T-NUT 10 M8</v>
      </c>
      <c r="E19" s="269"/>
      <c r="F19" s="112" t="str">
        <f>VLOOKUP(C19,Purchased!A:Q,9,0)</f>
        <v>BRX</v>
      </c>
      <c r="G19" s="112" t="str">
        <f>VLOOKUP(C19,Purchased!A:Q,10,0)</f>
        <v>AAP</v>
      </c>
      <c r="H19" s="112" t="str">
        <f>VLOOKUP(C19,Purchased!A:Q,12,0)</f>
        <v xml:space="preserve">  </v>
      </c>
      <c r="I19" s="113"/>
      <c r="J19" s="44">
        <f>VLOOKUP(C19,Purchased!A:Q,13,0)</f>
        <v>45104</v>
      </c>
      <c r="K19" s="44">
        <f>VLOOKUP(C19,Purchased!A:Q,14,0)</f>
        <v>45105</v>
      </c>
      <c r="L19" s="44">
        <f>VLOOKUP(C19,Purchased!A:Q,15,0)</f>
        <v>45133</v>
      </c>
      <c r="M19" s="44">
        <f>VLOOKUP(C19,Purchased!A:Q,16,0)</f>
        <v>45133</v>
      </c>
      <c r="N19" s="45" t="str">
        <f>VLOOKUP(C19,Purchased!A:Q,17,0)</f>
        <v>54968, 55147</v>
      </c>
      <c r="O19" s="45" t="e">
        <f t="shared" ref="O19:O20" ca="1" si="8">B19*$L$2</f>
        <v>#VALUE!</v>
      </c>
      <c r="P19" s="49">
        <f>IFERROR(VLOOKUP(C19,Purchased!A:E,3,FALSE),"")</f>
        <v>0.64290000000000003</v>
      </c>
      <c r="Q19" s="50">
        <f t="shared" ref="Q19:Q20" si="9">IFERROR(B19*P19,"")</f>
        <v>21.858600000000003</v>
      </c>
    </row>
    <row r="20" spans="1:17" s="2" customFormat="1" ht="12" customHeight="1">
      <c r="A20" s="4">
        <f t="shared" si="5"/>
        <v>308</v>
      </c>
      <c r="B20" s="2">
        <v>4</v>
      </c>
      <c r="C20" s="114" t="s">
        <v>539</v>
      </c>
      <c r="D20" s="268" t="str">
        <f>VLOOKUP(C20,Purchased!A:B,2,0)</f>
        <v>Elesa LMR-60-AS-M12x60</v>
      </c>
      <c r="E20" s="269"/>
      <c r="F20" s="112" t="str">
        <f>VLOOKUP(C20,Purchased!A:Q,9,0)</f>
        <v>Elesa</v>
      </c>
      <c r="G20" s="112" t="str">
        <f>VLOOKUP(C20,Purchased!A:Q,10,0)</f>
        <v>Elesa</v>
      </c>
      <c r="H20" s="112" t="str">
        <f>VLOOKUP(C20,Purchased!A:Q,12,0)</f>
        <v xml:space="preserve"> </v>
      </c>
      <c r="I20" s="113"/>
      <c r="J20" s="44" t="str">
        <f>VLOOKUP(C20,Purchased!A:Q,13,0)</f>
        <v>N/A</v>
      </c>
      <c r="K20" s="44">
        <f>VLOOKUP(C20,Purchased!A:Q,14,0)</f>
        <v>45169</v>
      </c>
      <c r="L20" s="44">
        <f>VLOOKUP(C20,Purchased!A:Q,15,0)</f>
        <v>45184</v>
      </c>
      <c r="M20" s="44">
        <f>VLOOKUP(C20,Purchased!A:Q,16,0)</f>
        <v>45184</v>
      </c>
      <c r="N20" s="45">
        <f>VLOOKUP(C20,Purchased!A:Q,17,0)</f>
        <v>55121</v>
      </c>
      <c r="O20" s="45" t="e">
        <f t="shared" ca="1" si="8"/>
        <v>#VALUE!</v>
      </c>
      <c r="P20" s="49">
        <f>IFERROR(VLOOKUP(C20,Purchased!A:E,3,FALSE),"")</f>
        <v>14.16</v>
      </c>
      <c r="Q20" s="50">
        <f t="shared" si="9"/>
        <v>56.64</v>
      </c>
    </row>
    <row r="21" spans="1:17" s="2" customFormat="1" ht="12.75" customHeight="1">
      <c r="A21" s="25"/>
      <c r="B21" s="26"/>
      <c r="C21" s="26"/>
      <c r="D21" s="272"/>
      <c r="E21" s="273"/>
      <c r="F21" s="26"/>
      <c r="G21" s="26"/>
      <c r="H21" s="274"/>
      <c r="I21" s="275"/>
      <c r="J21" s="27"/>
      <c r="K21" s="27"/>
      <c r="L21" s="27"/>
      <c r="M21" s="28"/>
      <c r="N21" s="29"/>
      <c r="O21" s="29"/>
      <c r="P21" s="141"/>
      <c r="Q21" s="142"/>
    </row>
    <row r="22" spans="1:17" s="2" customFormat="1" ht="12.75" customHeight="1">
      <c r="A22" s="4">
        <v>501</v>
      </c>
      <c r="B22" s="2">
        <v>12</v>
      </c>
      <c r="C22" s="110" t="s">
        <v>540</v>
      </c>
      <c r="D22" s="268"/>
      <c r="E22" s="276"/>
      <c r="F22" s="112" t="str">
        <f>VLOOKUP(C22,Bolts!A:L,5,0)</f>
        <v xml:space="preserve">  </v>
      </c>
      <c r="G22" s="112" t="str">
        <f>VLOOKUP(C22,Bolts!A:L,6,0)</f>
        <v>Monroe Fasteners</v>
      </c>
      <c r="H22" s="112" t="str">
        <f>VLOOKUP(C22,Bolts!A:L,7,0)</f>
        <v xml:space="preserve">  </v>
      </c>
      <c r="I22" s="112"/>
      <c r="J22" s="44" t="str">
        <f>VLOOKUP(C22,Bolts!A:L,8,0)</f>
        <v xml:space="preserve"> </v>
      </c>
      <c r="K22" s="44" t="str">
        <f>VLOOKUP(C22,Bolts!A:L,9,0)</f>
        <v xml:space="preserve"> </v>
      </c>
      <c r="L22" s="44" t="str">
        <f>VLOOKUP(C22,Bolts!A:L,10,0)</f>
        <v xml:space="preserve"> </v>
      </c>
      <c r="M22" s="44" t="str">
        <f>VLOOKUP(C22,Bolts!A:L,11,0)</f>
        <v xml:space="preserve"> </v>
      </c>
      <c r="N22" s="45" t="str">
        <f>VLOOKUP(C22,Bolts!A:L,12,0)</f>
        <v xml:space="preserve"> </v>
      </c>
      <c r="O22" s="45" t="e">
        <f t="shared" ca="1" si="3"/>
        <v>#VALUE!</v>
      </c>
      <c r="P22" s="49" t="str">
        <f>IFERROR(VLOOKUP(C22,Bolts!A:B,2,FALSE),"")</f>
        <v xml:space="preserve"> </v>
      </c>
      <c r="Q22" s="50" t="str">
        <f t="shared" ref="Q22:Q26" si="10">IFERROR(B22*P22,"")</f>
        <v/>
      </c>
    </row>
    <row r="23" spans="1:17" s="2" customFormat="1" ht="12.75" customHeight="1">
      <c r="A23" s="4">
        <f t="shared" ref="A23:A26" si="11">A22+1</f>
        <v>502</v>
      </c>
      <c r="B23" s="2">
        <v>12</v>
      </c>
      <c r="C23" s="110" t="s">
        <v>541</v>
      </c>
      <c r="D23" s="268"/>
      <c r="E23" s="276"/>
      <c r="F23" s="112" t="str">
        <f>VLOOKUP(C23,Bolts!A:L,5,0)</f>
        <v xml:space="preserve">  </v>
      </c>
      <c r="G23" s="112" t="str">
        <f>VLOOKUP(C23,Bolts!A:L,6,0)</f>
        <v>Monroe Fasteners</v>
      </c>
      <c r="H23" s="112" t="str">
        <f>VLOOKUP(C23,Bolts!A:L,7,0)</f>
        <v xml:space="preserve">  </v>
      </c>
      <c r="I23" s="112"/>
      <c r="J23" s="44" t="str">
        <f>VLOOKUP(C23,Bolts!A:L,8,0)</f>
        <v xml:space="preserve"> </v>
      </c>
      <c r="K23" s="44" t="str">
        <f>VLOOKUP(C23,Bolts!A:L,9,0)</f>
        <v xml:space="preserve"> </v>
      </c>
      <c r="L23" s="44" t="str">
        <f>VLOOKUP(C23,Bolts!A:L,10,0)</f>
        <v xml:space="preserve"> </v>
      </c>
      <c r="M23" s="44" t="str">
        <f>VLOOKUP(C23,Bolts!A:L,11,0)</f>
        <v xml:space="preserve"> </v>
      </c>
      <c r="N23" s="45" t="str">
        <f>VLOOKUP(C23,Bolts!A:L,12,0)</f>
        <v xml:space="preserve"> </v>
      </c>
      <c r="O23" s="45" t="e">
        <f t="shared" ca="1" si="3"/>
        <v>#VALUE!</v>
      </c>
      <c r="P23" s="49" t="str">
        <f>IFERROR(VLOOKUP(C23,Bolts!A:B,2,FALSE),"")</f>
        <v xml:space="preserve"> </v>
      </c>
      <c r="Q23" s="50" t="str">
        <f t="shared" si="10"/>
        <v/>
      </c>
    </row>
    <row r="24" spans="1:17" s="2" customFormat="1" ht="12" customHeight="1">
      <c r="A24" s="4">
        <f t="shared" si="11"/>
        <v>503</v>
      </c>
      <c r="B24" s="2">
        <v>30</v>
      </c>
      <c r="C24" s="110" t="s">
        <v>542</v>
      </c>
      <c r="D24" s="268"/>
      <c r="E24" s="276"/>
      <c r="F24" s="112" t="str">
        <f>VLOOKUP(C24,Bolts!A:L,5,0)</f>
        <v xml:space="preserve">  </v>
      </c>
      <c r="G24" s="112" t="str">
        <f>VLOOKUP(C24,Bolts!A:L,6,0)</f>
        <v>Monroe Fasteners</v>
      </c>
      <c r="H24" s="112" t="str">
        <f>VLOOKUP(C24,Bolts!A:L,7,0)</f>
        <v xml:space="preserve">  </v>
      </c>
      <c r="I24" s="112"/>
      <c r="J24" s="44" t="str">
        <f>VLOOKUP(C24,Bolts!A:L,8,0)</f>
        <v xml:space="preserve"> </v>
      </c>
      <c r="K24" s="44" t="str">
        <f>VLOOKUP(C24,Bolts!A:L,9,0)</f>
        <v xml:space="preserve"> </v>
      </c>
      <c r="L24" s="44" t="str">
        <f>VLOOKUP(C24,Bolts!A:L,10,0)</f>
        <v xml:space="preserve"> </v>
      </c>
      <c r="M24" s="44" t="str">
        <f>VLOOKUP(C24,Bolts!A:L,11,0)</f>
        <v xml:space="preserve"> </v>
      </c>
      <c r="N24" s="45" t="str">
        <f>VLOOKUP(C24,Bolts!A:L,12,0)</f>
        <v xml:space="preserve"> </v>
      </c>
      <c r="O24" s="45" t="e">
        <f t="shared" ca="1" si="3"/>
        <v>#VALUE!</v>
      </c>
      <c r="P24" s="49" t="str">
        <f>IFERROR(VLOOKUP(C24,Bolts!A:B,2,FALSE),"")</f>
        <v xml:space="preserve"> </v>
      </c>
      <c r="Q24" s="50" t="str">
        <f t="shared" si="10"/>
        <v/>
      </c>
    </row>
    <row r="25" spans="1:17" s="2" customFormat="1" ht="12" customHeight="1">
      <c r="A25" s="4">
        <f t="shared" si="11"/>
        <v>504</v>
      </c>
      <c r="B25" s="2">
        <v>4</v>
      </c>
      <c r="C25" s="110" t="s">
        <v>513</v>
      </c>
      <c r="D25" s="268"/>
      <c r="E25" s="276"/>
      <c r="F25" s="112" t="str">
        <f>VLOOKUP(C25,Bolts!A:L,5,0)</f>
        <v xml:space="preserve">  </v>
      </c>
      <c r="G25" s="112" t="str">
        <f>VLOOKUP(C25,Bolts!A:L,6,0)</f>
        <v>Monroe Fasteners</v>
      </c>
      <c r="H25" s="112" t="str">
        <f>VLOOKUP(C25,Bolts!A:L,7,0)</f>
        <v xml:space="preserve">  </v>
      </c>
      <c r="I25" s="112"/>
      <c r="J25" s="44" t="str">
        <f>VLOOKUP(C25,Bolts!A:L,8,0)</f>
        <v xml:space="preserve"> </v>
      </c>
      <c r="K25" s="44" t="str">
        <f>VLOOKUP(C25,Bolts!A:L,9,0)</f>
        <v xml:space="preserve"> </v>
      </c>
      <c r="L25" s="44" t="str">
        <f>VLOOKUP(C25,Bolts!A:L,10,0)</f>
        <v xml:space="preserve"> </v>
      </c>
      <c r="M25" s="44" t="str">
        <f>VLOOKUP(C25,Bolts!A:L,11,0)</f>
        <v xml:space="preserve"> </v>
      </c>
      <c r="N25" s="45" t="str">
        <f>VLOOKUP(C25,Bolts!A:L,12,0)</f>
        <v xml:space="preserve"> </v>
      </c>
      <c r="O25" s="45" t="e">
        <f t="shared" ca="1" si="3"/>
        <v>#VALUE!</v>
      </c>
      <c r="P25" s="49" t="str">
        <f>IFERROR(VLOOKUP(C25,Bolts!A:B,2,FALSE),"")</f>
        <v xml:space="preserve"> </v>
      </c>
      <c r="Q25" s="50" t="str">
        <f t="shared" si="10"/>
        <v/>
      </c>
    </row>
    <row r="26" spans="1:17" s="2" customFormat="1" ht="12" customHeight="1">
      <c r="A26" s="4">
        <f t="shared" si="11"/>
        <v>505</v>
      </c>
      <c r="B26" s="2">
        <v>4</v>
      </c>
      <c r="C26" s="110" t="s">
        <v>515</v>
      </c>
      <c r="D26" s="268"/>
      <c r="E26" s="276"/>
      <c r="F26" s="112" t="str">
        <f>VLOOKUP(C26,Bolts!A:L,5,0)</f>
        <v xml:space="preserve">  </v>
      </c>
      <c r="G26" s="112" t="str">
        <f>VLOOKUP(C26,Bolts!A:L,6,0)</f>
        <v>Monroe Fasteners</v>
      </c>
      <c r="H26" s="112" t="str">
        <f>VLOOKUP(C26,Bolts!A:L,7,0)</f>
        <v xml:space="preserve">  </v>
      </c>
      <c r="I26" s="112"/>
      <c r="J26" s="44" t="str">
        <f>VLOOKUP(C26,Bolts!A:L,8,0)</f>
        <v xml:space="preserve"> </v>
      </c>
      <c r="K26" s="44" t="str">
        <f>VLOOKUP(C26,Bolts!A:L,9,0)</f>
        <v xml:space="preserve"> </v>
      </c>
      <c r="L26" s="44" t="str">
        <f>VLOOKUP(C26,Bolts!A:L,10,0)</f>
        <v xml:space="preserve"> </v>
      </c>
      <c r="M26" s="44" t="str">
        <f>VLOOKUP(C26,Bolts!A:L,11,0)</f>
        <v xml:space="preserve"> </v>
      </c>
      <c r="N26" s="45" t="str">
        <f>VLOOKUP(C26,Bolts!A:L,12,0)</f>
        <v xml:space="preserve"> </v>
      </c>
      <c r="O26" s="45" t="e">
        <f t="shared" ca="1" si="3"/>
        <v>#VALUE!</v>
      </c>
      <c r="P26" s="49" t="str">
        <f>IFERROR(VLOOKUP(C26,Bolts!A:B,2,FALSE),"")</f>
        <v xml:space="preserve"> </v>
      </c>
      <c r="Q26" s="50" t="str">
        <f t="shared" si="10"/>
        <v/>
      </c>
    </row>
    <row r="27" spans="1:17" s="2" customFormat="1" ht="12.75" customHeight="1">
      <c r="A27" s="25"/>
      <c r="B27" s="26"/>
      <c r="C27" s="26"/>
      <c r="D27" s="272"/>
      <c r="E27" s="273"/>
      <c r="F27" s="26"/>
      <c r="G27" s="26"/>
      <c r="H27" s="274"/>
      <c r="I27" s="275"/>
      <c r="J27" s="27"/>
      <c r="K27" s="27"/>
      <c r="L27" s="27"/>
      <c r="M27" s="28"/>
      <c r="N27" s="29"/>
      <c r="O27" s="29"/>
      <c r="P27" s="141"/>
      <c r="Q27" s="142"/>
    </row>
    <row r="28" spans="1:17" s="2" customFormat="1" ht="12.75" customHeight="1">
      <c r="A28" s="4">
        <v>701</v>
      </c>
      <c r="B28" s="2">
        <v>7</v>
      </c>
      <c r="C28" s="111" t="s">
        <v>543</v>
      </c>
      <c r="D28" s="268" t="str">
        <f>VLOOKUP(C28,Extrusion!B:C,2,0)</f>
        <v>Assy .180</v>
      </c>
      <c r="E28" s="269"/>
      <c r="F28" s="112" t="str">
        <f>VLOOKUP(C28,Extrusion!B:M,6,0)</f>
        <v>BOSCH</v>
      </c>
      <c r="G28" s="112" t="str">
        <f>VLOOKUP(C28,Extrusion!B:M,7,0)</f>
        <v>NULINE</v>
      </c>
      <c r="H28" s="112" t="str">
        <f>VLOOKUP(C28,Extrusion!B:M,8,0)</f>
        <v xml:space="preserve"> </v>
      </c>
      <c r="I28" s="113"/>
      <c r="J28" s="44" t="str">
        <f>VLOOKUP(C28,Extrusion!B:M,9,0)</f>
        <v>N/A</v>
      </c>
      <c r="K28" s="44">
        <f>VLOOKUP(C28,Extrusion!B:M,10,0)</f>
        <v>44894</v>
      </c>
      <c r="L28" s="44">
        <f>VLOOKUP(C28,Extrusion!B:M,11,0)</f>
        <v>44970</v>
      </c>
      <c r="M28" s="44">
        <f>VLOOKUP(C28,Extrusion!B:M,12,0)</f>
        <v>44970</v>
      </c>
      <c r="N28" s="45">
        <f>VLOOKUP(C28,Extrusion!B:N,13,0)</f>
        <v>54598</v>
      </c>
      <c r="O28" s="45" t="e">
        <f t="shared" ref="O28" ca="1" si="12">B28*$L$2</f>
        <v>#VALUE!</v>
      </c>
      <c r="P28" s="49">
        <f>IFERROR(VLOOKUP(C28,Extrusion!B:F,5,0),"")</f>
        <v>27.217793926666666</v>
      </c>
      <c r="Q28" s="50">
        <f t="shared" ref="Q28" si="13">IFERROR(B28*P28,"")</f>
        <v>190.52455748666665</v>
      </c>
    </row>
    <row r="29" spans="1:17" s="2" customFormat="1" ht="12.75" customHeight="1">
      <c r="A29" s="4">
        <f>A28+1</f>
        <v>702</v>
      </c>
      <c r="B29" s="2">
        <v>4</v>
      </c>
      <c r="C29" s="111" t="s">
        <v>544</v>
      </c>
      <c r="D29" s="268" t="str">
        <f>VLOOKUP(C29,Extrusion!B:C,2,0)</f>
        <v>Assy .180</v>
      </c>
      <c r="E29" s="269"/>
      <c r="F29" s="112" t="str">
        <f>VLOOKUP(C29,Extrusion!B:M,6,0)</f>
        <v>BOSCH</v>
      </c>
      <c r="G29" s="112" t="str">
        <f>VLOOKUP(C29,Extrusion!B:M,7,0)</f>
        <v>NULINE</v>
      </c>
      <c r="H29" s="112" t="str">
        <f>VLOOKUP(C29,Extrusion!B:M,8,0)</f>
        <v xml:space="preserve"> </v>
      </c>
      <c r="I29" s="113"/>
      <c r="J29" s="44" t="str">
        <f>VLOOKUP(C29,Extrusion!B:M,9,0)</f>
        <v>N/A</v>
      </c>
      <c r="K29" s="44">
        <f>VLOOKUP(C29,Extrusion!B:M,10,0)</f>
        <v>44894</v>
      </c>
      <c r="L29" s="44">
        <f>VLOOKUP(C29,Extrusion!B:M,11,0)</f>
        <v>44970</v>
      </c>
      <c r="M29" s="44">
        <f>VLOOKUP(C29,Extrusion!B:M,12,0)</f>
        <v>44970</v>
      </c>
      <c r="N29" s="45">
        <f>VLOOKUP(C29,Extrusion!B:N,13,0)</f>
        <v>54598</v>
      </c>
      <c r="O29" s="45" t="e">
        <f t="shared" ref="O29:O33" ca="1" si="14">B29*$L$2</f>
        <v>#VALUE!</v>
      </c>
      <c r="P29" s="49">
        <f>IFERROR(VLOOKUP(C29,Extrusion!B:F,5,0),"")</f>
        <v>47.302619983333329</v>
      </c>
      <c r="Q29" s="50">
        <f t="shared" ref="Q29:Q33" si="15">IFERROR(B29*P29,"")</f>
        <v>189.21047993333332</v>
      </c>
    </row>
    <row r="30" spans="1:17" s="2" customFormat="1" ht="12.75" customHeight="1">
      <c r="A30" s="4">
        <f t="shared" ref="A30:A33" si="16">A29+1</f>
        <v>703</v>
      </c>
      <c r="B30" s="2">
        <v>2</v>
      </c>
      <c r="C30" s="111" t="s">
        <v>545</v>
      </c>
      <c r="D30" s="268" t="str">
        <f>VLOOKUP(C30,Extrusion!B:C,2,0)</f>
        <v>Assy .180</v>
      </c>
      <c r="E30" s="269"/>
      <c r="F30" s="112" t="str">
        <f>VLOOKUP(C30,Extrusion!B:M,6,0)</f>
        <v>BOSCH</v>
      </c>
      <c r="G30" s="112" t="str">
        <f>VLOOKUP(C30,Extrusion!B:M,7,0)</f>
        <v>NULINE</v>
      </c>
      <c r="H30" s="112" t="str">
        <f>VLOOKUP(C30,Extrusion!B:M,8,0)</f>
        <v xml:space="preserve"> </v>
      </c>
      <c r="I30" s="113"/>
      <c r="J30" s="44" t="str">
        <f>VLOOKUP(C30,Extrusion!B:M,9,0)</f>
        <v>N/A</v>
      </c>
      <c r="K30" s="44">
        <f>VLOOKUP(C30,Extrusion!B:M,10,0)</f>
        <v>44894</v>
      </c>
      <c r="L30" s="44">
        <f>VLOOKUP(C30,Extrusion!B:M,11,0)</f>
        <v>44970</v>
      </c>
      <c r="M30" s="44">
        <f>VLOOKUP(C30,Extrusion!B:M,12,0)</f>
        <v>44970</v>
      </c>
      <c r="N30" s="45">
        <f>VLOOKUP(C30,Extrusion!B:N,13,0)</f>
        <v>54598</v>
      </c>
      <c r="O30" s="45" t="e">
        <f t="shared" ca="1" si="14"/>
        <v>#VALUE!</v>
      </c>
      <c r="P30" s="49">
        <f>IFERROR(VLOOKUP(C30,Extrusion!B:F,5,0),"")</f>
        <v>36.253614799999994</v>
      </c>
      <c r="Q30" s="50">
        <f t="shared" si="15"/>
        <v>72.507229599999988</v>
      </c>
    </row>
    <row r="31" spans="1:17" s="2" customFormat="1" ht="12.75" customHeight="1">
      <c r="A31" s="4">
        <f t="shared" si="16"/>
        <v>704</v>
      </c>
      <c r="B31" s="2">
        <v>2</v>
      </c>
      <c r="C31" s="111" t="s">
        <v>546</v>
      </c>
      <c r="D31" s="268" t="str">
        <f>VLOOKUP(C31,Extrusion!B:C,2,0)</f>
        <v>Assy .180</v>
      </c>
      <c r="E31" s="269"/>
      <c r="F31" s="112" t="str">
        <f>VLOOKUP(C31,Extrusion!B:M,6,0)</f>
        <v>BOSCH</v>
      </c>
      <c r="G31" s="112" t="str">
        <f>VLOOKUP(C31,Extrusion!B:M,7,0)</f>
        <v>NULINE</v>
      </c>
      <c r="H31" s="112" t="str">
        <f>VLOOKUP(C31,Extrusion!B:M,8,0)</f>
        <v xml:space="preserve"> </v>
      </c>
      <c r="I31" s="113"/>
      <c r="J31" s="44" t="str">
        <f>VLOOKUP(C31,Extrusion!B:M,9,0)</f>
        <v>N/A</v>
      </c>
      <c r="K31" s="44">
        <f>VLOOKUP(C31,Extrusion!B:M,10,0)</f>
        <v>44894</v>
      </c>
      <c r="L31" s="44">
        <f>VLOOKUP(C31,Extrusion!B:M,11,0)</f>
        <v>44970</v>
      </c>
      <c r="M31" s="44">
        <f>VLOOKUP(C31,Extrusion!B:M,12,0)</f>
        <v>44970</v>
      </c>
      <c r="N31" s="45">
        <f>VLOOKUP(C31,Extrusion!B:N,13,0)</f>
        <v>54598</v>
      </c>
      <c r="O31" s="45" t="e">
        <f t="shared" ca="1" si="14"/>
        <v>#VALUE!</v>
      </c>
      <c r="P31" s="49">
        <f>IFERROR(VLOOKUP(C31,Extrusion!B:F,5,0),"")</f>
        <v>18.814565999999999</v>
      </c>
      <c r="Q31" s="50">
        <f t="shared" si="15"/>
        <v>37.629131999999998</v>
      </c>
    </row>
    <row r="32" spans="1:17" s="2" customFormat="1" ht="12.75" customHeight="1">
      <c r="A32" s="4">
        <f t="shared" si="16"/>
        <v>705</v>
      </c>
      <c r="B32" s="2">
        <v>2</v>
      </c>
      <c r="C32" s="111" t="s">
        <v>547</v>
      </c>
      <c r="D32" s="268" t="str">
        <f>VLOOKUP(C32,Extrusion!B:C,2,0)</f>
        <v>Assy .180</v>
      </c>
      <c r="E32" s="269"/>
      <c r="F32" s="112" t="str">
        <f>VLOOKUP(C32,Extrusion!B:M,6,0)</f>
        <v>BOSCH</v>
      </c>
      <c r="G32" s="112" t="str">
        <f>VLOOKUP(C32,Extrusion!B:M,7,0)</f>
        <v>NULINE</v>
      </c>
      <c r="H32" s="112">
        <f>VLOOKUP(C32,Extrusion!B:M,8,0)</f>
        <v>0</v>
      </c>
      <c r="I32" s="113"/>
      <c r="J32" s="44" t="str">
        <f>VLOOKUP(C32,Extrusion!B:M,9,0)</f>
        <v>N/A</v>
      </c>
      <c r="K32" s="44">
        <f>VLOOKUP(C32,Extrusion!B:M,10,0)</f>
        <v>44894</v>
      </c>
      <c r="L32" s="44">
        <f>VLOOKUP(C32,Extrusion!B:M,11,0)</f>
        <v>44970</v>
      </c>
      <c r="M32" s="44">
        <f>VLOOKUP(C32,Extrusion!B:M,12,0)</f>
        <v>44970</v>
      </c>
      <c r="N32" s="45">
        <f>VLOOKUP(C32,Extrusion!B:N,13,0)</f>
        <v>54598</v>
      </c>
      <c r="O32" s="45" t="e">
        <f t="shared" ca="1" si="14"/>
        <v>#VALUE!</v>
      </c>
      <c r="P32" s="49">
        <f>IFERROR(VLOOKUP(C32,Extrusion!B:F,5,0),"")</f>
        <v>35.291902549999996</v>
      </c>
      <c r="Q32" s="50">
        <f t="shared" si="15"/>
        <v>70.583805099999992</v>
      </c>
    </row>
    <row r="33" spans="1:17" s="2" customFormat="1" ht="12.75" customHeight="1" thickBot="1">
      <c r="A33" s="4">
        <f t="shared" si="16"/>
        <v>706</v>
      </c>
      <c r="B33" s="2">
        <v>4</v>
      </c>
      <c r="C33" s="111" t="s">
        <v>548</v>
      </c>
      <c r="D33" s="268" t="str">
        <f>VLOOKUP(C33,Extrusion!B:C,2,0)</f>
        <v>Assy .180</v>
      </c>
      <c r="E33" s="269"/>
      <c r="F33" s="112" t="str">
        <f>VLOOKUP(C33,Extrusion!B:M,6,0)</f>
        <v>BOSCH</v>
      </c>
      <c r="G33" s="112" t="str">
        <f>VLOOKUP(C33,Extrusion!B:M,7,0)</f>
        <v>NULINE</v>
      </c>
      <c r="H33" s="112" t="str">
        <f>VLOOKUP(C33,Extrusion!B:M,8,0)</f>
        <v xml:space="preserve"> </v>
      </c>
      <c r="I33" s="113"/>
      <c r="J33" s="44" t="str">
        <f>VLOOKUP(C33,Extrusion!B:M,9,0)</f>
        <v>N/A</v>
      </c>
      <c r="K33" s="44">
        <f>VLOOKUP(C33,Extrusion!B:M,10,0)</f>
        <v>44894</v>
      </c>
      <c r="L33" s="44">
        <f>VLOOKUP(C33,Extrusion!B:M,11,0)</f>
        <v>44970</v>
      </c>
      <c r="M33" s="44">
        <f>VLOOKUP(C33,Extrusion!B:M,12,0)</f>
        <v>44970</v>
      </c>
      <c r="N33" s="45">
        <f>VLOOKUP(C33,Extrusion!B:N,13,0)</f>
        <v>54598</v>
      </c>
      <c r="O33" s="45" t="e">
        <f t="shared" ca="1" si="14"/>
        <v>#VALUE!</v>
      </c>
      <c r="P33" s="49">
        <f>IFERROR(VLOOKUP(C33,Extrusion!B:F,5,0),"")</f>
        <v>22.447701166666665</v>
      </c>
      <c r="Q33" s="50">
        <f t="shared" si="15"/>
        <v>89.790804666666659</v>
      </c>
    </row>
    <row r="34" spans="1:17" s="2" customFormat="1" ht="12.75" customHeight="1" thickBot="1">
      <c r="A34" s="34"/>
      <c r="B34" s="35"/>
      <c r="C34" s="35"/>
      <c r="D34" s="256"/>
      <c r="E34" s="257"/>
      <c r="F34" s="35"/>
      <c r="G34" s="35"/>
      <c r="H34" s="294"/>
      <c r="I34" s="295"/>
      <c r="J34" s="36"/>
      <c r="K34" s="36"/>
      <c r="L34" s="36"/>
      <c r="M34" s="37"/>
      <c r="N34" s="38"/>
      <c r="O34" s="38"/>
      <c r="P34" s="89" t="s">
        <v>43</v>
      </c>
      <c r="Q34" s="94">
        <f>SUM(Q5:Q28)</f>
        <v>1738.0926574866667</v>
      </c>
    </row>
    <row r="35" spans="1:17" s="2" customFormat="1" ht="12" customHeight="1">
      <c r="D35" s="22"/>
      <c r="E35" s="22"/>
      <c r="J35" s="8"/>
      <c r="K35" s="8"/>
      <c r="L35" s="8"/>
      <c r="M35" s="8"/>
      <c r="N35" s="5"/>
      <c r="O35" s="5"/>
      <c r="P35" s="88"/>
      <c r="Q35" s="95"/>
    </row>
    <row r="36" spans="1:17" s="2" customFormat="1" ht="12" customHeight="1">
      <c r="D36" s="22"/>
      <c r="E36" s="22"/>
      <c r="J36" s="5"/>
      <c r="K36" s="5"/>
      <c r="L36" s="5"/>
      <c r="M36" s="5"/>
      <c r="N36" s="5"/>
      <c r="O36" s="5"/>
      <c r="P36" s="88"/>
      <c r="Q36" s="95"/>
    </row>
    <row r="37" spans="1:17" s="2" customFormat="1" ht="12" customHeight="1">
      <c r="D37" s="22"/>
      <c r="E37" s="22"/>
      <c r="J37" s="5"/>
      <c r="K37" s="5"/>
      <c r="L37" s="5"/>
      <c r="M37" s="5"/>
      <c r="N37" s="5"/>
      <c r="O37" s="5"/>
      <c r="P37" s="88"/>
      <c r="Q37" s="95"/>
    </row>
    <row r="38" spans="1:17" s="2" customFormat="1" ht="12" customHeight="1">
      <c r="D38" s="22"/>
      <c r="E38" s="22"/>
      <c r="J38" s="5"/>
      <c r="K38" s="5"/>
      <c r="L38" s="5"/>
      <c r="M38" s="5"/>
      <c r="N38" s="5"/>
      <c r="O38" s="5"/>
      <c r="P38" s="88"/>
      <c r="Q38" s="95"/>
    </row>
    <row r="39" spans="1:17" s="2" customFormat="1" ht="12" customHeight="1">
      <c r="D39" s="22"/>
      <c r="E39" s="22"/>
      <c r="J39" s="5"/>
      <c r="K39" s="5"/>
      <c r="L39" s="5"/>
      <c r="M39" s="5"/>
      <c r="N39" s="5"/>
      <c r="O39" s="5"/>
      <c r="P39" s="88"/>
      <c r="Q39" s="95"/>
    </row>
    <row r="40" spans="1:17" s="2" customFormat="1" ht="12" customHeight="1">
      <c r="D40" s="22"/>
      <c r="E40" s="22"/>
      <c r="J40" s="5"/>
      <c r="K40" s="5"/>
      <c r="L40" s="5"/>
      <c r="M40" s="5"/>
      <c r="N40" s="5"/>
      <c r="O40" s="5"/>
      <c r="P40" s="88"/>
      <c r="Q40" s="95"/>
    </row>
    <row r="41" spans="1:17" s="2" customFormat="1" ht="12" customHeight="1">
      <c r="D41" s="22"/>
      <c r="E41" s="22"/>
      <c r="J41" s="5"/>
      <c r="K41" s="5"/>
      <c r="L41" s="5"/>
      <c r="M41" s="5"/>
      <c r="N41" s="5"/>
      <c r="O41" s="5"/>
      <c r="P41" s="88"/>
      <c r="Q41" s="95"/>
    </row>
    <row r="42" spans="1:17" s="2" customFormat="1" ht="12" customHeight="1">
      <c r="D42" s="22"/>
      <c r="E42" s="22"/>
      <c r="J42" s="5"/>
      <c r="K42" s="5"/>
      <c r="L42" s="5"/>
      <c r="M42" s="5"/>
      <c r="N42" s="5"/>
      <c r="O42" s="5"/>
      <c r="P42" s="88"/>
      <c r="Q42" s="95"/>
    </row>
    <row r="43" spans="1:17" s="2" customFormat="1" ht="12" customHeight="1">
      <c r="D43" s="22"/>
      <c r="E43" s="22"/>
      <c r="J43" s="5"/>
      <c r="K43" s="5"/>
      <c r="L43" s="5"/>
      <c r="M43" s="5"/>
      <c r="N43" s="5"/>
      <c r="O43" s="5"/>
      <c r="P43" s="88"/>
      <c r="Q43" s="95"/>
    </row>
    <row r="44" spans="1:17" s="2" customFormat="1" ht="12" customHeight="1">
      <c r="D44" s="22"/>
      <c r="E44" s="22"/>
      <c r="J44" s="5"/>
      <c r="K44" s="5"/>
      <c r="L44" s="5"/>
      <c r="M44" s="5"/>
      <c r="N44" s="5"/>
      <c r="O44" s="5"/>
      <c r="P44" s="88"/>
      <c r="Q44" s="95"/>
    </row>
    <row r="45" spans="1:17" s="2" customFormat="1" ht="12" customHeight="1">
      <c r="D45" s="22"/>
      <c r="E45" s="22"/>
      <c r="J45" s="5"/>
      <c r="K45" s="5"/>
      <c r="L45" s="5"/>
      <c r="M45" s="5"/>
      <c r="N45" s="5"/>
      <c r="O45" s="5"/>
      <c r="P45" s="88"/>
      <c r="Q45" s="95"/>
    </row>
    <row r="46" spans="1:17" s="2" customFormat="1" ht="12" customHeight="1">
      <c r="D46" s="22"/>
      <c r="E46" s="22"/>
      <c r="J46" s="5"/>
      <c r="K46" s="5"/>
      <c r="L46" s="5"/>
      <c r="M46" s="5"/>
      <c r="N46" s="5"/>
      <c r="O46" s="5"/>
      <c r="P46" s="88"/>
      <c r="Q46" s="95"/>
    </row>
    <row r="47" spans="1:17" s="2" customFormat="1" ht="12" customHeight="1">
      <c r="D47" s="22"/>
      <c r="E47" s="22"/>
      <c r="J47" s="5"/>
      <c r="K47" s="5"/>
      <c r="L47" s="5"/>
      <c r="M47" s="5"/>
      <c r="N47" s="5"/>
      <c r="O47" s="5"/>
      <c r="P47" s="88"/>
      <c r="Q47" s="95"/>
    </row>
    <row r="48" spans="1:17" s="2" customFormat="1" ht="12" customHeight="1">
      <c r="D48" s="22"/>
      <c r="E48" s="22"/>
      <c r="J48" s="5"/>
      <c r="K48" s="5"/>
      <c r="L48" s="5"/>
      <c r="M48" s="5"/>
      <c r="N48" s="5"/>
      <c r="O48" s="5"/>
      <c r="P48" s="88"/>
      <c r="Q48" s="95"/>
    </row>
    <row r="49" spans="4:17" s="2" customFormat="1" ht="12" customHeight="1">
      <c r="D49" s="22"/>
      <c r="E49" s="22"/>
      <c r="J49" s="5"/>
      <c r="K49" s="5"/>
      <c r="L49" s="5"/>
      <c r="M49" s="5"/>
      <c r="N49" s="5"/>
      <c r="O49" s="5"/>
      <c r="P49" s="88"/>
      <c r="Q49" s="95"/>
    </row>
    <row r="50" spans="4:17" s="2" customFormat="1" ht="12" customHeight="1">
      <c r="D50" s="22"/>
      <c r="E50" s="22"/>
      <c r="J50" s="5"/>
      <c r="K50" s="5"/>
      <c r="L50" s="5"/>
      <c r="M50" s="5"/>
      <c r="N50" s="5"/>
      <c r="O50" s="5"/>
      <c r="P50" s="88"/>
      <c r="Q50" s="95"/>
    </row>
    <row r="51" spans="4:17" s="2" customFormat="1" ht="12" customHeight="1">
      <c r="D51" s="22"/>
      <c r="E51" s="22"/>
      <c r="J51" s="5"/>
      <c r="K51" s="5"/>
      <c r="L51" s="5"/>
      <c r="M51" s="5"/>
      <c r="N51" s="5"/>
      <c r="O51" s="5"/>
      <c r="P51" s="88"/>
      <c r="Q51" s="95"/>
    </row>
    <row r="52" spans="4:17" s="2" customFormat="1" ht="12" customHeight="1">
      <c r="D52" s="22"/>
      <c r="E52" s="22"/>
      <c r="J52" s="5"/>
      <c r="K52" s="5"/>
      <c r="L52" s="5"/>
      <c r="M52" s="5"/>
      <c r="N52" s="5"/>
      <c r="O52" s="5"/>
      <c r="P52" s="88"/>
      <c r="Q52" s="95"/>
    </row>
    <row r="53" spans="4:17" s="2" customFormat="1" ht="12" customHeight="1">
      <c r="D53" s="22"/>
      <c r="E53" s="22"/>
      <c r="J53" s="5"/>
      <c r="K53" s="5"/>
      <c r="L53" s="5"/>
      <c r="M53" s="5"/>
      <c r="N53" s="5"/>
      <c r="O53" s="5"/>
      <c r="P53" s="88"/>
      <c r="Q53" s="95"/>
    </row>
    <row r="54" spans="4:17" s="2" customFormat="1" ht="12" customHeight="1">
      <c r="D54" s="22"/>
      <c r="E54" s="22"/>
      <c r="J54" s="5"/>
      <c r="K54" s="5"/>
      <c r="L54" s="5"/>
      <c r="M54" s="5"/>
      <c r="N54" s="5"/>
      <c r="O54" s="5"/>
      <c r="P54" s="88"/>
      <c r="Q54" s="95"/>
    </row>
    <row r="55" spans="4:17" s="2" customFormat="1" ht="12" customHeight="1">
      <c r="D55" s="22"/>
      <c r="E55" s="22"/>
      <c r="J55" s="5"/>
      <c r="K55" s="5"/>
      <c r="L55" s="5"/>
      <c r="M55" s="5"/>
      <c r="N55" s="5"/>
      <c r="O55" s="5"/>
      <c r="P55" s="88"/>
      <c r="Q55" s="95"/>
    </row>
    <row r="56" spans="4:17" s="2" customFormat="1" ht="12" customHeight="1">
      <c r="D56" s="22"/>
      <c r="E56" s="22"/>
      <c r="J56" s="5"/>
      <c r="K56" s="5"/>
      <c r="L56" s="5"/>
      <c r="M56" s="5"/>
      <c r="N56" s="5"/>
      <c r="O56" s="5"/>
      <c r="P56" s="88"/>
      <c r="Q56" s="95"/>
    </row>
    <row r="57" spans="4:17" s="2" customFormat="1" ht="12" customHeight="1">
      <c r="D57" s="22"/>
      <c r="E57" s="22"/>
      <c r="J57" s="5"/>
      <c r="K57" s="5"/>
      <c r="L57" s="5"/>
      <c r="M57" s="5"/>
      <c r="N57" s="5"/>
      <c r="O57" s="5"/>
      <c r="P57" s="88"/>
      <c r="Q57" s="95"/>
    </row>
    <row r="58" spans="4:17" s="2" customFormat="1" ht="12" customHeight="1">
      <c r="D58" s="22"/>
      <c r="E58" s="22"/>
      <c r="J58" s="5"/>
      <c r="K58" s="5"/>
      <c r="L58" s="5"/>
      <c r="M58" s="5"/>
      <c r="N58" s="5"/>
      <c r="O58" s="5"/>
      <c r="P58" s="88"/>
      <c r="Q58" s="95"/>
    </row>
    <row r="59" spans="4:17" s="2" customFormat="1" ht="12" customHeight="1">
      <c r="D59" s="22"/>
      <c r="E59" s="22"/>
      <c r="J59" s="5"/>
      <c r="K59" s="5"/>
      <c r="L59" s="5"/>
      <c r="M59" s="5"/>
      <c r="N59" s="5"/>
      <c r="O59" s="5"/>
      <c r="P59" s="88"/>
      <c r="Q59" s="95"/>
    </row>
    <row r="60" spans="4:17" s="2" customFormat="1" ht="12" customHeight="1">
      <c r="D60" s="22"/>
      <c r="E60" s="22"/>
      <c r="J60" s="5"/>
      <c r="K60" s="5"/>
      <c r="L60" s="5"/>
      <c r="M60" s="5"/>
      <c r="N60" s="5"/>
      <c r="O60" s="5"/>
      <c r="P60" s="88"/>
      <c r="Q60" s="95"/>
    </row>
    <row r="61" spans="4:17" s="2" customFormat="1" ht="12" customHeight="1">
      <c r="D61" s="22"/>
      <c r="E61" s="22"/>
      <c r="J61" s="5"/>
      <c r="K61" s="5"/>
      <c r="L61" s="5"/>
      <c r="M61" s="5"/>
      <c r="N61" s="5"/>
      <c r="O61" s="5"/>
      <c r="P61" s="88"/>
      <c r="Q61" s="95"/>
    </row>
    <row r="62" spans="4:17" s="2" customFormat="1" ht="12" customHeight="1">
      <c r="D62" s="22"/>
      <c r="E62" s="22"/>
      <c r="J62" s="5"/>
      <c r="K62" s="5"/>
      <c r="L62" s="5"/>
      <c r="M62" s="5"/>
      <c r="N62" s="5"/>
      <c r="O62" s="5"/>
      <c r="P62" s="88"/>
      <c r="Q62" s="95"/>
    </row>
    <row r="63" spans="4:17" s="2" customFormat="1" ht="12" customHeight="1">
      <c r="D63" s="22"/>
      <c r="E63" s="22"/>
      <c r="J63" s="5"/>
      <c r="K63" s="5"/>
      <c r="L63" s="5"/>
      <c r="M63" s="5"/>
      <c r="N63" s="5"/>
      <c r="O63" s="5"/>
      <c r="P63" s="88"/>
      <c r="Q63" s="95"/>
    </row>
    <row r="64" spans="4:17" s="2" customFormat="1" ht="12" customHeight="1">
      <c r="D64" s="22"/>
      <c r="E64" s="22"/>
      <c r="J64" s="5"/>
      <c r="K64" s="5"/>
      <c r="L64" s="5"/>
      <c r="M64" s="5"/>
      <c r="N64" s="5"/>
      <c r="O64" s="5"/>
      <c r="P64" s="88"/>
      <c r="Q64" s="95"/>
    </row>
    <row r="65" spans="1:17" s="2" customFormat="1" ht="12" customHeight="1">
      <c r="D65" s="22"/>
      <c r="E65" s="22"/>
      <c r="J65" s="5"/>
      <c r="K65" s="5"/>
      <c r="L65" s="5"/>
      <c r="M65" s="5"/>
      <c r="N65" s="5"/>
      <c r="O65" s="5"/>
      <c r="P65" s="88"/>
      <c r="Q65" s="95"/>
    </row>
    <row r="66" spans="1:17" s="2" customFormat="1" ht="12" customHeight="1">
      <c r="D66" s="22"/>
      <c r="E66" s="22"/>
      <c r="J66" s="5"/>
      <c r="K66" s="5"/>
      <c r="L66" s="5"/>
      <c r="M66" s="5"/>
      <c r="N66" s="5"/>
      <c r="O66" s="5"/>
      <c r="P66" s="88"/>
      <c r="Q66" s="95"/>
    </row>
    <row r="67" spans="1:17" s="2" customFormat="1" ht="12" customHeight="1">
      <c r="D67" s="22"/>
      <c r="E67" s="22"/>
      <c r="J67" s="5"/>
      <c r="K67" s="5"/>
      <c r="L67" s="5"/>
      <c r="M67" s="5"/>
      <c r="N67" s="5"/>
      <c r="O67" s="5"/>
      <c r="P67" s="88"/>
      <c r="Q67" s="95"/>
    </row>
    <row r="68" spans="1:17" s="2" customFormat="1" ht="12" customHeight="1">
      <c r="D68" s="22"/>
      <c r="E68" s="22"/>
      <c r="J68" s="5"/>
      <c r="K68" s="5"/>
      <c r="L68" s="5"/>
      <c r="M68" s="5"/>
      <c r="N68" s="5"/>
      <c r="O68" s="5"/>
      <c r="P68" s="88"/>
      <c r="Q68" s="95"/>
    </row>
    <row r="69" spans="1:17" s="2" customFormat="1" ht="12" customHeight="1">
      <c r="D69" s="22"/>
      <c r="E69" s="22"/>
      <c r="J69" s="5"/>
      <c r="K69" s="5"/>
      <c r="L69" s="5"/>
      <c r="M69" s="5"/>
      <c r="N69" s="5"/>
      <c r="O69" s="5"/>
      <c r="P69" s="88"/>
      <c r="Q69" s="95"/>
    </row>
    <row r="70" spans="1:17" s="2" customFormat="1" ht="12" customHeight="1">
      <c r="D70" s="22"/>
      <c r="E70" s="22"/>
      <c r="J70" s="5"/>
      <c r="K70" s="5"/>
      <c r="L70" s="5"/>
      <c r="M70" s="5"/>
      <c r="N70" s="5"/>
      <c r="O70" s="5"/>
      <c r="P70" s="88"/>
      <c r="Q70" s="95"/>
    </row>
    <row r="71" spans="1:17" s="2" customFormat="1" ht="12" customHeight="1">
      <c r="D71" s="22"/>
      <c r="E71" s="22"/>
      <c r="J71" s="5"/>
      <c r="K71" s="5"/>
      <c r="L71" s="5"/>
      <c r="M71" s="5"/>
      <c r="N71" s="5"/>
      <c r="O71" s="5"/>
      <c r="P71" s="88"/>
      <c r="Q71" s="95"/>
    </row>
    <row r="72" spans="1:17" s="2" customFormat="1" ht="12" customHeight="1">
      <c r="D72" s="22"/>
      <c r="E72" s="22"/>
      <c r="J72" s="5"/>
      <c r="K72" s="5"/>
      <c r="L72" s="5"/>
      <c r="M72" s="5"/>
      <c r="N72" s="5"/>
      <c r="O72" s="5"/>
      <c r="P72" s="88"/>
      <c r="Q72" s="95"/>
    </row>
    <row r="73" spans="1:17" s="2" customFormat="1" ht="12" customHeight="1">
      <c r="D73" s="22"/>
      <c r="E73" s="22"/>
      <c r="J73" s="5"/>
      <c r="K73" s="5"/>
      <c r="L73" s="5"/>
      <c r="M73" s="5"/>
      <c r="N73" s="5"/>
      <c r="O73" s="5"/>
      <c r="P73" s="88"/>
      <c r="Q73" s="96"/>
    </row>
    <row r="74" spans="1:17" s="2" customFormat="1" ht="12" customHeight="1">
      <c r="D74" s="22"/>
      <c r="E74" s="22"/>
      <c r="J74" s="5"/>
      <c r="K74" s="5"/>
      <c r="L74" s="5"/>
      <c r="M74" s="5"/>
      <c r="N74" s="5"/>
      <c r="O74" s="5"/>
      <c r="P74" s="88"/>
      <c r="Q74" s="96"/>
    </row>
    <row r="75" spans="1:17" s="2" customFormat="1" ht="12" customHeight="1">
      <c r="D75" s="22"/>
      <c r="E75" s="22"/>
      <c r="J75" s="5"/>
      <c r="K75" s="5"/>
      <c r="L75" s="5"/>
      <c r="M75" s="5"/>
      <c r="N75" s="5"/>
      <c r="O75" s="5"/>
      <c r="P75" s="88"/>
      <c r="Q75" s="96"/>
    </row>
    <row r="76" spans="1:17" s="2" customFormat="1" ht="12" customHeight="1">
      <c r="D76" s="22"/>
      <c r="E76" s="22"/>
      <c r="J76" s="5"/>
      <c r="K76" s="5"/>
      <c r="L76" s="5"/>
      <c r="M76" s="5"/>
      <c r="N76" s="5"/>
      <c r="O76" s="5"/>
      <c r="P76" s="88"/>
      <c r="Q76" s="96"/>
    </row>
    <row r="77" spans="1:17" s="2" customFormat="1" ht="12" customHeight="1">
      <c r="A77"/>
      <c r="B77"/>
      <c r="C77"/>
      <c r="D77" s="23"/>
      <c r="E77" s="23"/>
      <c r="F77"/>
      <c r="G77"/>
      <c r="H77"/>
      <c r="I77"/>
      <c r="J77" s="19"/>
      <c r="K77" s="19"/>
      <c r="L77" s="19"/>
      <c r="M77" s="19"/>
      <c r="N77" s="19"/>
      <c r="O77" s="19"/>
      <c r="P77" s="90"/>
      <c r="Q77" s="96"/>
    </row>
    <row r="78" spans="1:17" s="2" customFormat="1" ht="12" customHeight="1">
      <c r="A78"/>
      <c r="B78"/>
      <c r="C78"/>
      <c r="D78" s="23"/>
      <c r="E78" s="23"/>
      <c r="F78"/>
      <c r="G78"/>
      <c r="H78"/>
      <c r="I78"/>
      <c r="J78" s="19"/>
      <c r="K78" s="19"/>
      <c r="L78" s="19"/>
      <c r="M78" s="19"/>
      <c r="N78" s="19"/>
      <c r="O78" s="19"/>
      <c r="P78" s="90"/>
      <c r="Q78" s="96"/>
    </row>
    <row r="79" spans="1:17" s="2" customFormat="1" ht="12" customHeight="1">
      <c r="A79"/>
      <c r="B79"/>
      <c r="C79"/>
      <c r="D79" s="23"/>
      <c r="E79" s="23"/>
      <c r="F79"/>
      <c r="G79"/>
      <c r="H79"/>
      <c r="I79"/>
      <c r="J79" s="19"/>
      <c r="K79" s="19"/>
      <c r="L79" s="19"/>
      <c r="M79" s="19"/>
      <c r="N79" s="19"/>
      <c r="O79" s="19"/>
      <c r="P79" s="90"/>
      <c r="Q79" s="96"/>
    </row>
    <row r="80" spans="1:17" s="2" customFormat="1" ht="12" customHeight="1">
      <c r="A80"/>
      <c r="B80"/>
      <c r="C80"/>
      <c r="D80" s="23"/>
      <c r="E80" s="23"/>
      <c r="F80"/>
      <c r="G80"/>
      <c r="H80"/>
      <c r="I80"/>
      <c r="J80" s="19"/>
      <c r="K80" s="19"/>
      <c r="L80" s="19"/>
      <c r="M80" s="19"/>
      <c r="N80" s="19"/>
      <c r="O80" s="19"/>
      <c r="P80" s="90"/>
      <c r="Q80" s="96"/>
    </row>
    <row r="81" spans="1:17" s="2" customFormat="1" ht="12" customHeight="1">
      <c r="A81"/>
      <c r="B81"/>
      <c r="C81"/>
      <c r="D81" s="23"/>
      <c r="E81" s="23"/>
      <c r="F81"/>
      <c r="G81"/>
      <c r="H81"/>
      <c r="I81"/>
      <c r="J81" s="19"/>
      <c r="K81" s="19"/>
      <c r="L81" s="19"/>
      <c r="M81" s="19"/>
      <c r="N81" s="19"/>
      <c r="O81" s="19"/>
      <c r="P81" s="90"/>
      <c r="Q81" s="96"/>
    </row>
    <row r="82" spans="1:17">
      <c r="Q82" s="96"/>
    </row>
    <row r="83" spans="1:17">
      <c r="Q83" s="96"/>
    </row>
    <row r="84" spans="1:17">
      <c r="Q84" s="96"/>
    </row>
    <row r="85" spans="1:17">
      <c r="Q85" s="96"/>
    </row>
    <row r="86" spans="1:17">
      <c r="Q86" s="96"/>
    </row>
    <row r="87" spans="1:17">
      <c r="Q87" s="96"/>
    </row>
    <row r="88" spans="1:17">
      <c r="Q88" s="96"/>
    </row>
    <row r="89" spans="1:17">
      <c r="Q89" s="96"/>
    </row>
    <row r="90" spans="1:17">
      <c r="Q90" s="96"/>
    </row>
    <row r="91" spans="1:17">
      <c r="Q91" s="96"/>
    </row>
    <row r="92" spans="1:17">
      <c r="Q92" s="96"/>
    </row>
    <row r="93" spans="1:17">
      <c r="Q93" s="96"/>
    </row>
    <row r="94" spans="1:17">
      <c r="Q94" s="96"/>
    </row>
    <row r="95" spans="1:17">
      <c r="Q95" s="96"/>
    </row>
    <row r="96" spans="1:17">
      <c r="Q96" s="96"/>
    </row>
    <row r="97" spans="17:17">
      <c r="Q97" s="96"/>
    </row>
    <row r="98" spans="17:17">
      <c r="Q98" s="96"/>
    </row>
    <row r="99" spans="17:17">
      <c r="Q99" s="96"/>
    </row>
    <row r="100" spans="17:17">
      <c r="Q100" s="96"/>
    </row>
    <row r="101" spans="17:17">
      <c r="Q101" s="96"/>
    </row>
    <row r="138" ht="12" customHeight="1"/>
    <row r="139" ht="12" customHeight="1"/>
    <row r="140" ht="12" customHeight="1"/>
    <row r="141" ht="12" customHeight="1"/>
    <row r="142" ht="12" customHeight="1"/>
    <row r="143" ht="12" customHeight="1"/>
    <row r="144" ht="12" customHeight="1"/>
    <row r="145" ht="12" customHeight="1"/>
    <row r="146" ht="12" customHeight="1"/>
    <row r="147" ht="12" customHeight="1"/>
    <row r="148" ht="12" customHeight="1"/>
    <row r="149" ht="12" customHeight="1"/>
    <row r="150" ht="12" customHeight="1"/>
    <row r="151" ht="12" customHeight="1"/>
    <row r="152" ht="12" customHeight="1"/>
    <row r="153" ht="12" customHeight="1"/>
    <row r="154" ht="12" customHeight="1"/>
    <row r="155" ht="12" customHeight="1"/>
    <row r="156" ht="12" customHeight="1"/>
    <row r="157" ht="12" customHeight="1"/>
    <row r="158" ht="12" customHeight="1"/>
    <row r="159" ht="12" customHeight="1"/>
    <row r="160" ht="12" customHeight="1"/>
    <row r="161" ht="12" customHeight="1"/>
    <row r="162" ht="12" customHeight="1"/>
    <row r="163" ht="12" customHeight="1"/>
    <row r="164" ht="12" customHeight="1"/>
    <row r="165" ht="12" customHeight="1"/>
    <row r="166" ht="12" customHeight="1"/>
    <row r="167" ht="12" customHeight="1"/>
    <row r="168" ht="12" customHeight="1"/>
    <row r="169" ht="12" customHeight="1"/>
    <row r="170" ht="12" customHeight="1"/>
    <row r="171" ht="12" customHeight="1"/>
    <row r="172" ht="12" customHeight="1"/>
    <row r="173" ht="12" customHeight="1"/>
    <row r="174" ht="12" customHeight="1"/>
    <row r="175" ht="12" customHeight="1"/>
    <row r="176" ht="12" customHeight="1"/>
    <row r="177" ht="12" customHeight="1"/>
    <row r="178" ht="12" customHeight="1"/>
    <row r="179" ht="12" customHeight="1"/>
    <row r="180" ht="12" customHeight="1"/>
    <row r="181" ht="12" customHeight="1"/>
    <row r="182" ht="12" customHeight="1"/>
    <row r="183" ht="12" customHeight="1"/>
    <row r="184" ht="12" customHeight="1"/>
    <row r="185" ht="12" customHeight="1"/>
    <row r="186" ht="12" customHeight="1"/>
    <row r="187" ht="12" customHeight="1"/>
  </sheetData>
  <mergeCells count="38">
    <mergeCell ref="D11:E11"/>
    <mergeCell ref="D1:E1"/>
    <mergeCell ref="D4:E4"/>
    <mergeCell ref="H4:I4"/>
    <mergeCell ref="D5:E5"/>
    <mergeCell ref="H5:I5"/>
    <mergeCell ref="D6:E6"/>
    <mergeCell ref="D7:E7"/>
    <mergeCell ref="D8:E8"/>
    <mergeCell ref="D9:E9"/>
    <mergeCell ref="D10:E10"/>
    <mergeCell ref="D20:E20"/>
    <mergeCell ref="D12:E12"/>
    <mergeCell ref="H12:I12"/>
    <mergeCell ref="D13:E13"/>
    <mergeCell ref="D14:E14"/>
    <mergeCell ref="D15:E15"/>
    <mergeCell ref="D16:E16"/>
    <mergeCell ref="D17:E17"/>
    <mergeCell ref="D18:E18"/>
    <mergeCell ref="D19:E19"/>
    <mergeCell ref="D26:E26"/>
    <mergeCell ref="D21:E21"/>
    <mergeCell ref="H21:I21"/>
    <mergeCell ref="D22:E22"/>
    <mergeCell ref="D23:E23"/>
    <mergeCell ref="D24:E24"/>
    <mergeCell ref="D25:E25"/>
    <mergeCell ref="D27:E27"/>
    <mergeCell ref="H27:I27"/>
    <mergeCell ref="D28:E28"/>
    <mergeCell ref="D34:E34"/>
    <mergeCell ref="H34:I34"/>
    <mergeCell ref="D29:E29"/>
    <mergeCell ref="D30:E30"/>
    <mergeCell ref="D31:E31"/>
    <mergeCell ref="D32:E32"/>
    <mergeCell ref="D33:E33"/>
  </mergeCells>
  <conditionalFormatting sqref="M6:M11 M22:M26 M13:M20">
    <cfRule type="cellIs" dxfId="511" priority="4" stopIfTrue="1" operator="lessThanOrEqual">
      <formula>$L6</formula>
    </cfRule>
    <cfRule type="cellIs" dxfId="510" priority="5" operator="greaterThan">
      <formula>L6</formula>
    </cfRule>
  </conditionalFormatting>
  <conditionalFormatting sqref="M28:M33">
    <cfRule type="cellIs" dxfId="509" priority="2" stopIfTrue="1" operator="lessThanOrEqual">
      <formula>$L28</formula>
    </cfRule>
    <cfRule type="cellIs" dxfId="508" priority="3" operator="greaterThan">
      <formula>L28</formula>
    </cfRule>
  </conditionalFormatting>
  <conditionalFormatting sqref="C13:C20">
    <cfRule type="duplicateValues" dxfId="507" priority="488"/>
  </conditionalFormatting>
  <pageMargins left="0.7" right="0.7" top="0.75" bottom="0.75" header="0.3" footer="0.3"/>
  <pageSetup paperSize="3" fitToHeight="0" orientation="landscape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58E7DD55-1061-43EF-BB26-D0CCEDECCE83}">
          <x14:formula1>
            <xm:f>Bolts!$A:$A</xm:f>
          </x14:formula1>
          <xm:sqref>C22:C26</xm:sqref>
        </x14:dataValidation>
        <x14:dataValidation type="list" allowBlank="1" showInputMessage="1" showErrorMessage="1" xr:uid="{7D5D2AEE-CB30-4997-88E7-D3F2CA42F803}">
          <x14:formula1>
            <xm:f>Purchased!$A:$A</xm:f>
          </x14:formula1>
          <xm:sqref>C13:C20</xm:sqref>
        </x14:dataValidation>
        <x14:dataValidation type="list" allowBlank="1" showInputMessage="1" showErrorMessage="1" xr:uid="{F4B7F980-0CAA-4C24-AB05-C0B61B201EB1}">
          <x14:formula1>
            <xm:f>Extrusion!$B:$B</xm:f>
          </x14:formula1>
          <xm:sqref>C28:C33</xm:sqref>
        </x14:dataValidation>
        <x14:dataValidation type="list" allowBlank="1" showInputMessage="1" showErrorMessage="1" xr:uid="{C435E676-5E70-4FAD-A787-B70C56755265}">
          <x14:formula1>
            <xm:f>Machined!$C:$C</xm:f>
          </x14:formula1>
          <xm:sqref>C6:C11</xm:sqref>
        </x14:dataValidation>
      </x14:dataValidation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10C7B5-F273-4FB1-857B-80938AB0D739}">
  <sheetPr codeName="Sheet40">
    <tabColor theme="3" tint="0.39997558519241921"/>
    <pageSetUpPr fitToPage="1"/>
  </sheetPr>
  <dimension ref="A1:Q169"/>
  <sheetViews>
    <sheetView zoomScaleNormal="100" workbookViewId="0">
      <selection activeCell="C21" sqref="C21"/>
    </sheetView>
  </sheetViews>
  <sheetFormatPr defaultColWidth="9.140625" defaultRowHeight="15"/>
  <cols>
    <col min="1" max="1" width="5.7109375" customWidth="1"/>
    <col min="2" max="2" width="5.42578125" bestFit="1" customWidth="1"/>
    <col min="3" max="3" width="30.7109375" customWidth="1"/>
    <col min="4" max="5" width="20.7109375" style="23" customWidth="1"/>
    <col min="6" max="6" width="16.85546875" bestFit="1" customWidth="1"/>
    <col min="7" max="7" width="9.7109375" customWidth="1"/>
    <col min="8" max="8" width="8.7109375" customWidth="1"/>
    <col min="9" max="9" width="20.7109375" customWidth="1"/>
    <col min="10" max="13" width="11.7109375" style="19" customWidth="1"/>
    <col min="14" max="14" width="11.85546875" style="19" bestFit="1" customWidth="1"/>
    <col min="15" max="15" width="7.7109375" style="19" customWidth="1"/>
    <col min="16" max="16" width="10.7109375" style="90" customWidth="1"/>
    <col min="17" max="17" width="10.7109375" style="97" customWidth="1"/>
  </cols>
  <sheetData>
    <row r="1" spans="1:17" s="55" customFormat="1" ht="12" customHeight="1">
      <c r="A1" s="68" t="s">
        <v>0</v>
      </c>
      <c r="B1" s="69"/>
      <c r="C1" s="69"/>
      <c r="D1" s="262" t="s">
        <v>1</v>
      </c>
      <c r="E1" s="263"/>
      <c r="F1" s="70"/>
      <c r="G1" s="69"/>
      <c r="H1" s="70"/>
      <c r="I1" s="71"/>
      <c r="J1" s="72"/>
      <c r="K1" s="72"/>
      <c r="L1" s="72"/>
      <c r="M1" s="72"/>
      <c r="N1" s="72"/>
      <c r="O1" s="72"/>
      <c r="P1" s="85"/>
      <c r="Q1" s="91"/>
    </row>
    <row r="2" spans="1:17" s="55" customFormat="1" ht="12" customHeight="1">
      <c r="A2" s="74" t="s">
        <v>48</v>
      </c>
      <c r="B2" s="58"/>
      <c r="C2" s="57" t="e">
        <f ca="1">VLOOKUP(E3,Assemblies!B:F,4,0)</f>
        <v>#VALUE!</v>
      </c>
      <c r="D2" s="75" t="s">
        <v>3</v>
      </c>
      <c r="E2" s="76" t="e">
        <f ca="1">'GF12'!E2</f>
        <v>#VALUE!</v>
      </c>
      <c r="F2" s="77" t="s">
        <v>4</v>
      </c>
      <c r="G2" s="58" t="str">
        <f>'GF12'!G2</f>
        <v>GH</v>
      </c>
      <c r="H2" s="77" t="s">
        <v>6</v>
      </c>
      <c r="I2" s="59">
        <f>'GF12'!I2</f>
        <v>44775</v>
      </c>
      <c r="J2" s="39"/>
      <c r="K2" s="40" t="s">
        <v>49</v>
      </c>
      <c r="L2" s="41" t="e">
        <f ca="1">VLOOKUP(C2,Assemblies!E:G,3,0)</f>
        <v>#VALUE!</v>
      </c>
      <c r="M2" s="78"/>
      <c r="N2" s="78"/>
      <c r="O2" s="78"/>
      <c r="P2" s="86"/>
      <c r="Q2" s="92"/>
    </row>
    <row r="3" spans="1:17" s="55" customFormat="1" ht="12" customHeight="1" thickBot="1">
      <c r="A3" s="74" t="s">
        <v>7</v>
      </c>
      <c r="B3" s="58"/>
      <c r="C3" s="57" t="e">
        <f ca="1">VLOOKUP(E3,Assemblies!B:F,5,0)</f>
        <v>#VALUE!</v>
      </c>
      <c r="D3" s="75" t="s">
        <v>50</v>
      </c>
      <c r="E3" s="76" t="e">
        <f ca="1">MID(CELL("filename",A1),FIND("]",CELL("filename",A1))+1,256)</f>
        <v>#VALUE!</v>
      </c>
      <c r="F3" s="77" t="s">
        <v>11</v>
      </c>
      <c r="G3" s="58" t="str">
        <f>'GF12'!G3</f>
        <v>GH</v>
      </c>
      <c r="H3" s="77" t="s">
        <v>6</v>
      </c>
      <c r="I3" s="59">
        <f>'GF12'!I3</f>
        <v>44775</v>
      </c>
      <c r="J3" s="78"/>
      <c r="K3" s="78"/>
      <c r="L3" s="78"/>
      <c r="M3" s="78"/>
      <c r="N3" s="78"/>
      <c r="O3" s="78"/>
      <c r="P3" s="86"/>
      <c r="Q3" s="92"/>
    </row>
    <row r="4" spans="1:17" s="56" customFormat="1" ht="12.75" customHeight="1" thickBot="1">
      <c r="A4" s="80" t="s">
        <v>12</v>
      </c>
      <c r="B4" s="81" t="s">
        <v>13</v>
      </c>
      <c r="C4" s="81" t="s">
        <v>14</v>
      </c>
      <c r="D4" s="270" t="s">
        <v>15</v>
      </c>
      <c r="E4" s="271"/>
      <c r="F4" s="104" t="s">
        <v>16</v>
      </c>
      <c r="G4" s="81" t="s">
        <v>17</v>
      </c>
      <c r="H4" s="260" t="s">
        <v>18</v>
      </c>
      <c r="I4" s="261"/>
      <c r="J4" s="81" t="s">
        <v>51</v>
      </c>
      <c r="K4" s="81" t="s">
        <v>20</v>
      </c>
      <c r="L4" s="81" t="s">
        <v>21</v>
      </c>
      <c r="M4" s="81" t="s">
        <v>52</v>
      </c>
      <c r="N4" s="81" t="s">
        <v>22</v>
      </c>
      <c r="O4" s="81" t="s">
        <v>53</v>
      </c>
      <c r="P4" s="107" t="s">
        <v>26</v>
      </c>
      <c r="Q4" s="82" t="s">
        <v>27</v>
      </c>
    </row>
    <row r="5" spans="1:17" s="21" customFormat="1" ht="12.75" customHeight="1">
      <c r="A5" s="66" t="s">
        <v>54</v>
      </c>
      <c r="B5" s="1">
        <v>1</v>
      </c>
      <c r="C5" s="67" t="s">
        <v>549</v>
      </c>
      <c r="D5" s="277" t="e">
        <f ca="1">VLOOKUP(C5,Assemblies!E:S,2,0)</f>
        <v>#N/A</v>
      </c>
      <c r="E5" s="278"/>
      <c r="F5" s="32"/>
      <c r="G5" s="32"/>
      <c r="H5" s="292"/>
      <c r="I5" s="293"/>
      <c r="J5" s="28"/>
      <c r="K5" s="28"/>
      <c r="L5" s="28"/>
      <c r="M5" s="28"/>
      <c r="N5" s="33"/>
      <c r="O5" s="46" t="e">
        <f t="shared" ref="O5:O15" ca="1" si="0">B5*$L$2</f>
        <v>#VALUE!</v>
      </c>
      <c r="P5" s="87">
        <f>'002'!Q64</f>
        <v>6466.7972000000009</v>
      </c>
      <c r="Q5" s="93">
        <f t="shared" ref="Q5:Q15" si="1">B5*P5</f>
        <v>6466.7972000000009</v>
      </c>
    </row>
    <row r="6" spans="1:17" s="21" customFormat="1" ht="12.75" customHeight="1">
      <c r="A6" s="66" t="s">
        <v>56</v>
      </c>
      <c r="B6" s="1">
        <v>2</v>
      </c>
      <c r="C6" s="67" t="s">
        <v>292</v>
      </c>
      <c r="D6" s="277" t="e">
        <f ca="1">VLOOKUP(C6,Assemblies!E:S,2,0)</f>
        <v>#N/A</v>
      </c>
      <c r="E6" s="278"/>
      <c r="F6" s="32"/>
      <c r="G6" s="32"/>
      <c r="H6" s="292"/>
      <c r="I6" s="293"/>
      <c r="J6" s="28"/>
      <c r="K6" s="28"/>
      <c r="L6" s="28"/>
      <c r="M6" s="28"/>
      <c r="N6" s="33"/>
      <c r="O6" s="46" t="e">
        <f t="shared" ca="1" si="0"/>
        <v>#VALUE!</v>
      </c>
      <c r="P6" s="87">
        <f>'122'!Q15</f>
        <v>1478.1958</v>
      </c>
      <c r="Q6" s="93">
        <f t="shared" si="1"/>
        <v>2956.3915999999999</v>
      </c>
    </row>
    <row r="7" spans="1:17" s="21" customFormat="1" ht="12.75" customHeight="1">
      <c r="A7" s="66" t="s">
        <v>58</v>
      </c>
      <c r="B7" s="1">
        <v>1</v>
      </c>
      <c r="C7" s="67" t="s">
        <v>550</v>
      </c>
      <c r="D7" s="277" t="e">
        <f ca="1">VLOOKUP(C7,Assemblies!E:S,2,0)</f>
        <v>#N/A</v>
      </c>
      <c r="E7" s="278"/>
      <c r="F7" s="32"/>
      <c r="G7" s="32"/>
      <c r="H7" s="292"/>
      <c r="I7" s="293"/>
      <c r="J7" s="28"/>
      <c r="K7" s="28"/>
      <c r="L7" s="28"/>
      <c r="M7" s="28"/>
      <c r="N7" s="33"/>
      <c r="O7" s="46" t="e">
        <f t="shared" ca="1" si="0"/>
        <v>#VALUE!</v>
      </c>
      <c r="P7" s="87">
        <f>'210'!Q46</f>
        <v>26808.605476787612</v>
      </c>
      <c r="Q7" s="93">
        <f t="shared" si="1"/>
        <v>26808.605476787612</v>
      </c>
    </row>
    <row r="8" spans="1:17" s="21" customFormat="1" ht="12.75" customHeight="1">
      <c r="A8" s="66" t="s">
        <v>60</v>
      </c>
      <c r="B8" s="1">
        <v>2</v>
      </c>
      <c r="C8" s="67" t="s">
        <v>551</v>
      </c>
      <c r="D8" s="277" t="e">
        <f ca="1">VLOOKUP(C8,Assemblies!E:S,2,0)</f>
        <v>#N/A</v>
      </c>
      <c r="E8" s="278"/>
      <c r="F8" s="32"/>
      <c r="G8" s="32"/>
      <c r="H8" s="292"/>
      <c r="I8" s="293"/>
      <c r="J8" s="28"/>
      <c r="K8" s="28"/>
      <c r="L8" s="28"/>
      <c r="M8" s="28"/>
      <c r="N8" s="33"/>
      <c r="O8" s="46" t="e">
        <f t="shared" ca="1" si="0"/>
        <v>#VALUE!</v>
      </c>
      <c r="P8" s="87">
        <f>'220'!Q31</f>
        <v>24237.648399999998</v>
      </c>
      <c r="Q8" s="93">
        <f t="shared" si="1"/>
        <v>48475.296799999996</v>
      </c>
    </row>
    <row r="9" spans="1:17" s="21" customFormat="1" ht="12.75" customHeight="1">
      <c r="A9" s="66" t="s">
        <v>62</v>
      </c>
      <c r="B9" s="1">
        <v>2</v>
      </c>
      <c r="C9" s="67" t="s">
        <v>552</v>
      </c>
      <c r="D9" s="277" t="e">
        <f ca="1">VLOOKUP(C9,Assemblies!E:S,2,0)</f>
        <v>#N/A</v>
      </c>
      <c r="E9" s="278"/>
      <c r="F9" s="32"/>
      <c r="G9" s="32"/>
      <c r="H9" s="292"/>
      <c r="I9" s="293"/>
      <c r="J9" s="28"/>
      <c r="K9" s="28"/>
      <c r="L9" s="28"/>
      <c r="M9" s="28"/>
      <c r="N9" s="33"/>
      <c r="O9" s="46" t="e">
        <f t="shared" ca="1" si="0"/>
        <v>#VALUE!</v>
      </c>
      <c r="P9" s="87">
        <f>'230'!Q60</f>
        <v>14053.4959</v>
      </c>
      <c r="Q9" s="93">
        <f t="shared" si="1"/>
        <v>28106.9918</v>
      </c>
    </row>
    <row r="10" spans="1:17" s="21" customFormat="1" ht="12.75" customHeight="1">
      <c r="A10" s="66" t="s">
        <v>64</v>
      </c>
      <c r="B10" s="1">
        <v>1</v>
      </c>
      <c r="C10" s="67" t="s">
        <v>553</v>
      </c>
      <c r="D10" s="277" t="e">
        <f ca="1">VLOOKUP(C10,Assemblies!E:S,2,0)</f>
        <v>#N/A</v>
      </c>
      <c r="E10" s="278"/>
      <c r="F10" s="32"/>
      <c r="G10" s="32"/>
      <c r="H10" s="292"/>
      <c r="I10" s="293"/>
      <c r="J10" s="28"/>
      <c r="K10" s="28"/>
      <c r="L10" s="28"/>
      <c r="M10" s="28"/>
      <c r="N10" s="33"/>
      <c r="O10" s="46" t="e">
        <f t="shared" ca="1" si="0"/>
        <v>#VALUE!</v>
      </c>
      <c r="P10" s="87">
        <f>'240'!Q11</f>
        <v>11886.6300421</v>
      </c>
      <c r="Q10" s="93">
        <f t="shared" si="1"/>
        <v>11886.6300421</v>
      </c>
    </row>
    <row r="11" spans="1:17" s="21" customFormat="1" ht="12.75" customHeight="1">
      <c r="A11" s="66" t="s">
        <v>66</v>
      </c>
      <c r="B11" s="1">
        <v>1</v>
      </c>
      <c r="C11" s="67" t="s">
        <v>554</v>
      </c>
      <c r="D11" s="277" t="e">
        <f ca="1">VLOOKUP(C11,Assemblies!E:S,2,0)</f>
        <v>#N/A</v>
      </c>
      <c r="E11" s="278"/>
      <c r="F11" s="32"/>
      <c r="G11" s="32"/>
      <c r="H11" s="292"/>
      <c r="I11" s="293"/>
      <c r="J11" s="28"/>
      <c r="K11" s="28"/>
      <c r="L11" s="28"/>
      <c r="M11" s="28"/>
      <c r="N11" s="33"/>
      <c r="O11" s="46" t="e">
        <f ca="1">B11*$L$2</f>
        <v>#VALUE!</v>
      </c>
      <c r="P11" s="87">
        <f>'250'!Q34</f>
        <v>7677.0745999999999</v>
      </c>
      <c r="Q11" s="93">
        <f>B11*P11</f>
        <v>7677.0745999999999</v>
      </c>
    </row>
    <row r="12" spans="1:17" s="21" customFormat="1" ht="12.75" customHeight="1">
      <c r="A12" s="66" t="s">
        <v>68</v>
      </c>
      <c r="B12" s="1">
        <v>2</v>
      </c>
      <c r="C12" s="67" t="s">
        <v>555</v>
      </c>
      <c r="D12" s="277" t="e">
        <f ca="1">VLOOKUP(C12,Assemblies!E:S,2,0)</f>
        <v>#N/A</v>
      </c>
      <c r="E12" s="278"/>
      <c r="F12" s="32"/>
      <c r="G12" s="32"/>
      <c r="H12" s="292"/>
      <c r="I12" s="293"/>
      <c r="J12" s="28"/>
      <c r="K12" s="28"/>
      <c r="L12" s="28"/>
      <c r="M12" s="28"/>
      <c r="N12" s="33"/>
      <c r="O12" s="46" t="e">
        <f ca="1">B12*$L$2</f>
        <v>#VALUE!</v>
      </c>
      <c r="P12" s="87">
        <f>'260'!Q19</f>
        <v>225.37967809999998</v>
      </c>
      <c r="Q12" s="93">
        <f>B12*P12</f>
        <v>450.75935619999996</v>
      </c>
    </row>
    <row r="13" spans="1:17" s="21" customFormat="1" ht="12.75" customHeight="1">
      <c r="A13" s="66" t="s">
        <v>556</v>
      </c>
      <c r="B13" s="1">
        <v>1</v>
      </c>
      <c r="C13" s="67" t="s">
        <v>557</v>
      </c>
      <c r="D13" s="277" t="e">
        <f ca="1">VLOOKUP(C13,Assemblies!E:S,2,0)</f>
        <v>#N/A</v>
      </c>
      <c r="E13" s="278"/>
      <c r="F13" s="32"/>
      <c r="G13" s="32"/>
      <c r="H13" s="292"/>
      <c r="I13" s="293"/>
      <c r="J13" s="28"/>
      <c r="K13" s="28"/>
      <c r="L13" s="28"/>
      <c r="M13" s="28"/>
      <c r="N13" s="33"/>
      <c r="O13" s="46" t="e">
        <f ca="1">B13*$L$2</f>
        <v>#VALUE!</v>
      </c>
      <c r="P13" s="87">
        <f>'270'!Q21</f>
        <v>831.78276113333322</v>
      </c>
      <c r="Q13" s="93">
        <f>B13*P13</f>
        <v>831.78276113333322</v>
      </c>
    </row>
    <row r="14" spans="1:17" s="21" customFormat="1" ht="12.75" customHeight="1">
      <c r="A14" s="66" t="s">
        <v>235</v>
      </c>
      <c r="B14" s="1">
        <v>1</v>
      </c>
      <c r="C14" s="67" t="s">
        <v>558</v>
      </c>
      <c r="D14" s="277" t="e">
        <f ca="1">VLOOKUP(C14,Assemblies!E:S,2,0)</f>
        <v>#N/A</v>
      </c>
      <c r="E14" s="278"/>
      <c r="F14" s="32"/>
      <c r="G14" s="32"/>
      <c r="H14" s="292"/>
      <c r="I14" s="293"/>
      <c r="J14" s="28"/>
      <c r="K14" s="28"/>
      <c r="L14" s="28"/>
      <c r="M14" s="28"/>
      <c r="N14" s="33"/>
      <c r="O14" s="46" t="e">
        <f ca="1">B14*$L$2</f>
        <v>#VALUE!</v>
      </c>
      <c r="P14" s="87">
        <f>'280'!Q21</f>
        <v>0</v>
      </c>
      <c r="Q14" s="93">
        <f>B14*P14</f>
        <v>0</v>
      </c>
    </row>
    <row r="15" spans="1:17" s="21" customFormat="1" ht="12.75" customHeight="1" thickBot="1">
      <c r="A15" s="66" t="s">
        <v>237</v>
      </c>
      <c r="B15" s="1">
        <v>1</v>
      </c>
      <c r="C15" s="67" t="s">
        <v>559</v>
      </c>
      <c r="D15" s="277" t="e">
        <f ca="1">VLOOKUP(C15,Assemblies!E:S,2,0)</f>
        <v>#N/A</v>
      </c>
      <c r="E15" s="278"/>
      <c r="F15" s="32"/>
      <c r="G15" s="32"/>
      <c r="H15" s="292"/>
      <c r="I15" s="293"/>
      <c r="J15" s="28"/>
      <c r="K15" s="28"/>
      <c r="L15" s="28"/>
      <c r="M15" s="28"/>
      <c r="N15" s="33"/>
      <c r="O15" s="46" t="e">
        <f t="shared" ca="1" si="0"/>
        <v>#VALUE!</v>
      </c>
      <c r="P15" s="87">
        <f>'290'!Q12</f>
        <v>475.04</v>
      </c>
      <c r="Q15" s="93">
        <f t="shared" si="1"/>
        <v>475.04</v>
      </c>
    </row>
    <row r="16" spans="1:17" s="2" customFormat="1" ht="12.75" customHeight="1" thickBot="1">
      <c r="A16" s="34"/>
      <c r="B16" s="35"/>
      <c r="C16" s="35"/>
      <c r="D16" s="256"/>
      <c r="E16" s="257"/>
      <c r="F16" s="35"/>
      <c r="G16" s="35"/>
      <c r="H16" s="294"/>
      <c r="I16" s="295"/>
      <c r="J16" s="36"/>
      <c r="K16" s="36"/>
      <c r="L16" s="36"/>
      <c r="M16" s="37"/>
      <c r="N16" s="38"/>
      <c r="O16" s="38"/>
      <c r="P16" s="89" t="s">
        <v>43</v>
      </c>
      <c r="Q16" s="94">
        <f>SUM(Q5:Q15)</f>
        <v>134135.36963622094</v>
      </c>
    </row>
    <row r="17" spans="4:17" s="2" customFormat="1" ht="12" customHeight="1">
      <c r="D17" s="22"/>
      <c r="E17" s="22"/>
      <c r="J17" s="8"/>
      <c r="K17" s="8"/>
      <c r="L17" s="8"/>
      <c r="M17" s="8"/>
      <c r="N17" s="5"/>
      <c r="O17" s="5"/>
      <c r="P17" s="88"/>
      <c r="Q17" s="95"/>
    </row>
    <row r="18" spans="4:17" s="2" customFormat="1" ht="12" customHeight="1">
      <c r="D18" s="22"/>
      <c r="E18" s="22"/>
      <c r="J18" s="5"/>
      <c r="K18" s="5"/>
      <c r="L18" s="5"/>
      <c r="M18" s="5"/>
      <c r="N18" s="5"/>
      <c r="O18" s="5"/>
      <c r="P18" s="88"/>
      <c r="Q18" s="95"/>
    </row>
    <row r="19" spans="4:17" s="2" customFormat="1" ht="12" customHeight="1">
      <c r="D19" s="22"/>
      <c r="E19" s="22"/>
      <c r="J19" s="5"/>
      <c r="K19" s="5"/>
      <c r="L19" s="5"/>
      <c r="M19" s="5"/>
      <c r="N19" s="5"/>
      <c r="O19" s="5"/>
      <c r="P19" s="88"/>
      <c r="Q19" s="95"/>
    </row>
    <row r="20" spans="4:17" s="2" customFormat="1" ht="12" customHeight="1">
      <c r="D20" s="22"/>
      <c r="E20" s="22"/>
      <c r="J20" s="5"/>
      <c r="K20" s="5"/>
      <c r="L20" s="5"/>
      <c r="M20" s="5"/>
      <c r="N20" s="5"/>
      <c r="O20" s="5"/>
      <c r="P20" s="88"/>
      <c r="Q20" s="95"/>
    </row>
    <row r="21" spans="4:17" s="2" customFormat="1" ht="12" customHeight="1">
      <c r="D21" s="22"/>
      <c r="E21" s="22"/>
      <c r="J21" s="5"/>
      <c r="K21" s="5"/>
      <c r="L21" s="5"/>
      <c r="M21" s="5"/>
      <c r="N21" s="5"/>
      <c r="O21" s="5"/>
      <c r="P21" s="88"/>
      <c r="Q21" s="95"/>
    </row>
    <row r="22" spans="4:17" s="2" customFormat="1" ht="12" customHeight="1">
      <c r="D22" s="22"/>
      <c r="E22" s="22"/>
      <c r="J22" s="5"/>
      <c r="K22" s="5"/>
      <c r="L22" s="5"/>
      <c r="M22" s="5"/>
      <c r="N22" s="5"/>
      <c r="O22" s="5"/>
      <c r="P22" s="88"/>
      <c r="Q22" s="95"/>
    </row>
    <row r="23" spans="4:17" s="2" customFormat="1" ht="12" customHeight="1">
      <c r="D23" s="22"/>
      <c r="E23" s="22"/>
      <c r="J23" s="5"/>
      <c r="K23" s="5"/>
      <c r="L23" s="5"/>
      <c r="M23" s="5"/>
      <c r="N23" s="5"/>
      <c r="O23" s="5"/>
      <c r="P23" s="88"/>
      <c r="Q23" s="95"/>
    </row>
    <row r="24" spans="4:17" s="2" customFormat="1" ht="12" customHeight="1">
      <c r="D24" s="22"/>
      <c r="E24" s="22"/>
      <c r="J24" s="5"/>
      <c r="K24" s="5"/>
      <c r="L24" s="5"/>
      <c r="M24" s="5"/>
      <c r="N24" s="5"/>
      <c r="O24" s="5"/>
      <c r="P24" s="88"/>
      <c r="Q24" s="95"/>
    </row>
    <row r="25" spans="4:17" s="2" customFormat="1" ht="12" customHeight="1">
      <c r="D25" s="22"/>
      <c r="E25" s="22"/>
      <c r="J25" s="5"/>
      <c r="K25" s="5"/>
      <c r="L25" s="5"/>
      <c r="M25" s="5"/>
      <c r="N25" s="5"/>
      <c r="O25" s="5"/>
      <c r="P25" s="88"/>
      <c r="Q25" s="95"/>
    </row>
    <row r="26" spans="4:17" s="2" customFormat="1" ht="12" customHeight="1">
      <c r="D26" s="22"/>
      <c r="E26" s="22"/>
      <c r="J26" s="5"/>
      <c r="K26" s="5"/>
      <c r="L26" s="5"/>
      <c r="M26" s="5"/>
      <c r="N26" s="5"/>
      <c r="O26" s="5"/>
      <c r="P26" s="88"/>
      <c r="Q26" s="95"/>
    </row>
    <row r="27" spans="4:17" s="2" customFormat="1" ht="12" customHeight="1">
      <c r="D27" s="22"/>
      <c r="E27" s="22"/>
      <c r="J27" s="5"/>
      <c r="K27" s="5"/>
      <c r="L27" s="5"/>
      <c r="M27" s="5"/>
      <c r="N27" s="5"/>
      <c r="O27" s="5"/>
      <c r="P27" s="88"/>
      <c r="Q27" s="95"/>
    </row>
    <row r="28" spans="4:17" s="2" customFormat="1" ht="12" customHeight="1">
      <c r="D28" s="22"/>
      <c r="E28" s="22"/>
      <c r="J28" s="5"/>
      <c r="K28" s="5"/>
      <c r="L28" s="5"/>
      <c r="M28" s="5"/>
      <c r="N28" s="5"/>
      <c r="O28" s="5"/>
      <c r="P28" s="88"/>
      <c r="Q28" s="95"/>
    </row>
    <row r="29" spans="4:17" s="2" customFormat="1" ht="12" customHeight="1">
      <c r="D29" s="22"/>
      <c r="E29" s="22"/>
      <c r="J29" s="5"/>
      <c r="K29" s="5"/>
      <c r="L29" s="5"/>
      <c r="M29" s="5"/>
      <c r="N29" s="5"/>
      <c r="O29" s="5"/>
      <c r="P29" s="88"/>
      <c r="Q29" s="95"/>
    </row>
    <row r="30" spans="4:17" s="2" customFormat="1" ht="12" customHeight="1">
      <c r="D30" s="22"/>
      <c r="E30" s="22"/>
      <c r="J30" s="5"/>
      <c r="K30" s="5"/>
      <c r="L30" s="5"/>
      <c r="M30" s="5"/>
      <c r="N30" s="5"/>
      <c r="O30" s="5"/>
      <c r="P30" s="88"/>
      <c r="Q30" s="95"/>
    </row>
    <row r="31" spans="4:17" s="2" customFormat="1" ht="12" customHeight="1">
      <c r="D31" s="22"/>
      <c r="E31" s="22"/>
      <c r="J31" s="5"/>
      <c r="K31" s="5"/>
      <c r="L31" s="5"/>
      <c r="M31" s="5"/>
      <c r="N31" s="5"/>
      <c r="O31" s="5"/>
      <c r="P31" s="88"/>
      <c r="Q31" s="95"/>
    </row>
    <row r="32" spans="4:17" s="2" customFormat="1" ht="12" customHeight="1">
      <c r="D32" s="22"/>
      <c r="E32" s="22"/>
      <c r="J32" s="5"/>
      <c r="K32" s="5"/>
      <c r="L32" s="5"/>
      <c r="M32" s="5"/>
      <c r="N32" s="5"/>
      <c r="O32" s="5"/>
      <c r="P32" s="88"/>
      <c r="Q32" s="95"/>
    </row>
    <row r="33" spans="4:17" s="2" customFormat="1" ht="12" customHeight="1">
      <c r="D33" s="22"/>
      <c r="E33" s="22"/>
      <c r="J33" s="5"/>
      <c r="K33" s="5"/>
      <c r="L33" s="5"/>
      <c r="M33" s="5"/>
      <c r="N33" s="5"/>
      <c r="O33" s="5"/>
      <c r="P33" s="88"/>
      <c r="Q33" s="95"/>
    </row>
    <row r="34" spans="4:17" s="2" customFormat="1" ht="12" customHeight="1">
      <c r="D34" s="22"/>
      <c r="E34" s="22"/>
      <c r="J34" s="5"/>
      <c r="K34" s="5"/>
      <c r="L34" s="5"/>
      <c r="M34" s="5"/>
      <c r="N34" s="5"/>
      <c r="O34" s="5"/>
      <c r="P34" s="88"/>
      <c r="Q34" s="95"/>
    </row>
    <row r="35" spans="4:17" s="2" customFormat="1" ht="12" customHeight="1">
      <c r="D35" s="22"/>
      <c r="E35" s="22"/>
      <c r="J35" s="5"/>
      <c r="K35" s="5"/>
      <c r="L35" s="5"/>
      <c r="M35" s="5"/>
      <c r="N35" s="5"/>
      <c r="O35" s="5"/>
      <c r="P35" s="88"/>
      <c r="Q35" s="95"/>
    </row>
    <row r="36" spans="4:17" s="2" customFormat="1" ht="12" customHeight="1">
      <c r="D36" s="22"/>
      <c r="E36" s="22"/>
      <c r="J36" s="5"/>
      <c r="K36" s="5"/>
      <c r="L36" s="5"/>
      <c r="M36" s="5"/>
      <c r="N36" s="5"/>
      <c r="O36" s="5"/>
      <c r="P36" s="88"/>
      <c r="Q36" s="95"/>
    </row>
    <row r="37" spans="4:17" s="2" customFormat="1" ht="12" customHeight="1">
      <c r="D37" s="22"/>
      <c r="E37" s="22"/>
      <c r="J37" s="5"/>
      <c r="K37" s="5"/>
      <c r="L37" s="5"/>
      <c r="M37" s="5"/>
      <c r="N37" s="5"/>
      <c r="O37" s="5"/>
      <c r="P37" s="88"/>
      <c r="Q37" s="95"/>
    </row>
    <row r="38" spans="4:17" s="2" customFormat="1" ht="12" customHeight="1">
      <c r="D38" s="22"/>
      <c r="E38" s="22"/>
      <c r="J38" s="5"/>
      <c r="K38" s="5"/>
      <c r="L38" s="5"/>
      <c r="M38" s="5"/>
      <c r="N38" s="5"/>
      <c r="O38" s="5"/>
      <c r="P38" s="88"/>
      <c r="Q38" s="95"/>
    </row>
    <row r="39" spans="4:17" s="2" customFormat="1" ht="12" customHeight="1">
      <c r="D39" s="22"/>
      <c r="E39" s="22"/>
      <c r="J39" s="5"/>
      <c r="K39" s="5"/>
      <c r="L39" s="5"/>
      <c r="M39" s="5"/>
      <c r="N39" s="5"/>
      <c r="O39" s="5"/>
      <c r="P39" s="88"/>
      <c r="Q39" s="95"/>
    </row>
    <row r="40" spans="4:17" s="2" customFormat="1" ht="12" customHeight="1">
      <c r="D40" s="22"/>
      <c r="E40" s="22"/>
      <c r="J40" s="5"/>
      <c r="K40" s="5"/>
      <c r="L40" s="5"/>
      <c r="M40" s="5"/>
      <c r="N40" s="5"/>
      <c r="O40" s="5"/>
      <c r="P40" s="88"/>
      <c r="Q40" s="95"/>
    </row>
    <row r="41" spans="4:17" s="2" customFormat="1" ht="12" customHeight="1">
      <c r="D41" s="22"/>
      <c r="E41" s="22"/>
      <c r="J41" s="5"/>
      <c r="K41" s="5"/>
      <c r="L41" s="5"/>
      <c r="M41" s="5"/>
      <c r="N41" s="5"/>
      <c r="O41" s="5"/>
      <c r="P41" s="88"/>
      <c r="Q41" s="95"/>
    </row>
    <row r="42" spans="4:17" s="2" customFormat="1" ht="12" customHeight="1">
      <c r="D42" s="22"/>
      <c r="E42" s="22"/>
      <c r="J42" s="5"/>
      <c r="K42" s="5"/>
      <c r="L42" s="5"/>
      <c r="M42" s="5"/>
      <c r="N42" s="5"/>
      <c r="O42" s="5"/>
      <c r="P42" s="88"/>
      <c r="Q42" s="95"/>
    </row>
    <row r="43" spans="4:17" s="2" customFormat="1" ht="12" customHeight="1">
      <c r="D43" s="22"/>
      <c r="E43" s="22"/>
      <c r="J43" s="5"/>
      <c r="K43" s="5"/>
      <c r="L43" s="5"/>
      <c r="M43" s="5"/>
      <c r="N43" s="5"/>
      <c r="O43" s="5"/>
      <c r="P43" s="88"/>
      <c r="Q43" s="95"/>
    </row>
    <row r="44" spans="4:17" s="2" customFormat="1" ht="12" customHeight="1">
      <c r="D44" s="22"/>
      <c r="E44" s="22"/>
      <c r="J44" s="5"/>
      <c r="K44" s="5"/>
      <c r="L44" s="5"/>
      <c r="M44" s="5"/>
      <c r="N44" s="5"/>
      <c r="O44" s="5"/>
      <c r="P44" s="88"/>
      <c r="Q44" s="95"/>
    </row>
    <row r="45" spans="4:17" s="2" customFormat="1" ht="12" customHeight="1">
      <c r="D45" s="22"/>
      <c r="E45" s="22"/>
      <c r="J45" s="5"/>
      <c r="K45" s="5"/>
      <c r="L45" s="5"/>
      <c r="M45" s="5"/>
      <c r="N45" s="5"/>
      <c r="O45" s="5"/>
      <c r="P45" s="88"/>
      <c r="Q45" s="95"/>
    </row>
    <row r="46" spans="4:17" s="2" customFormat="1" ht="12" customHeight="1">
      <c r="D46" s="22"/>
      <c r="E46" s="22"/>
      <c r="J46" s="5"/>
      <c r="K46" s="5"/>
      <c r="L46" s="5"/>
      <c r="M46" s="5"/>
      <c r="N46" s="5"/>
      <c r="O46" s="5"/>
      <c r="P46" s="88"/>
      <c r="Q46" s="95"/>
    </row>
    <row r="47" spans="4:17" s="2" customFormat="1" ht="12" customHeight="1">
      <c r="D47" s="22"/>
      <c r="E47" s="22"/>
      <c r="J47" s="5"/>
      <c r="K47" s="5"/>
      <c r="L47" s="5"/>
      <c r="M47" s="5"/>
      <c r="N47" s="5"/>
      <c r="O47" s="5"/>
      <c r="P47" s="88"/>
      <c r="Q47" s="95"/>
    </row>
    <row r="48" spans="4:17" s="2" customFormat="1" ht="12" customHeight="1">
      <c r="D48" s="22"/>
      <c r="E48" s="22"/>
      <c r="J48" s="5"/>
      <c r="K48" s="5"/>
      <c r="L48" s="5"/>
      <c r="M48" s="5"/>
      <c r="N48" s="5"/>
      <c r="O48" s="5"/>
      <c r="P48" s="88"/>
      <c r="Q48" s="95"/>
    </row>
    <row r="49" spans="1:17" s="2" customFormat="1" ht="12" customHeight="1">
      <c r="D49" s="22"/>
      <c r="E49" s="22"/>
      <c r="J49" s="5"/>
      <c r="K49" s="5"/>
      <c r="L49" s="5"/>
      <c r="M49" s="5"/>
      <c r="N49" s="5"/>
      <c r="O49" s="5"/>
      <c r="P49" s="88"/>
      <c r="Q49" s="95"/>
    </row>
    <row r="50" spans="1:17" s="2" customFormat="1" ht="12" customHeight="1">
      <c r="D50" s="22"/>
      <c r="E50" s="22"/>
      <c r="J50" s="5"/>
      <c r="K50" s="5"/>
      <c r="L50" s="5"/>
      <c r="M50" s="5"/>
      <c r="N50" s="5"/>
      <c r="O50" s="5"/>
      <c r="P50" s="88"/>
      <c r="Q50" s="95"/>
    </row>
    <row r="51" spans="1:17" s="2" customFormat="1" ht="12" customHeight="1">
      <c r="D51" s="22"/>
      <c r="E51" s="22"/>
      <c r="J51" s="5"/>
      <c r="K51" s="5"/>
      <c r="L51" s="5"/>
      <c r="M51" s="5"/>
      <c r="N51" s="5"/>
      <c r="O51" s="5"/>
      <c r="P51" s="88"/>
      <c r="Q51" s="95"/>
    </row>
    <row r="52" spans="1:17" s="2" customFormat="1" ht="12" customHeight="1">
      <c r="D52" s="22"/>
      <c r="E52" s="22"/>
      <c r="J52" s="5"/>
      <c r="K52" s="5"/>
      <c r="L52" s="5"/>
      <c r="M52" s="5"/>
      <c r="N52" s="5"/>
      <c r="O52" s="5"/>
      <c r="P52" s="88"/>
      <c r="Q52" s="95"/>
    </row>
    <row r="53" spans="1:17" s="2" customFormat="1" ht="12" customHeight="1">
      <c r="D53" s="22"/>
      <c r="E53" s="22"/>
      <c r="J53" s="5"/>
      <c r="K53" s="5"/>
      <c r="L53" s="5"/>
      <c r="M53" s="5"/>
      <c r="N53" s="5"/>
      <c r="O53" s="5"/>
      <c r="P53" s="88"/>
      <c r="Q53" s="95"/>
    </row>
    <row r="54" spans="1:17" s="2" customFormat="1" ht="12" customHeight="1">
      <c r="D54" s="22"/>
      <c r="E54" s="22"/>
      <c r="J54" s="5"/>
      <c r="K54" s="5"/>
      <c r="L54" s="5"/>
      <c r="M54" s="5"/>
      <c r="N54" s="5"/>
      <c r="O54" s="5"/>
      <c r="P54" s="88"/>
      <c r="Q54" s="95"/>
    </row>
    <row r="55" spans="1:17" s="2" customFormat="1" ht="12" customHeight="1">
      <c r="D55" s="22"/>
      <c r="E55" s="22"/>
      <c r="J55" s="5"/>
      <c r="K55" s="5"/>
      <c r="L55" s="5"/>
      <c r="M55" s="5"/>
      <c r="N55" s="5"/>
      <c r="O55" s="5"/>
      <c r="P55" s="88"/>
      <c r="Q55" s="96"/>
    </row>
    <row r="56" spans="1:17" s="2" customFormat="1" ht="12" customHeight="1">
      <c r="D56" s="22"/>
      <c r="E56" s="22"/>
      <c r="J56" s="5"/>
      <c r="K56" s="5"/>
      <c r="L56" s="5"/>
      <c r="M56" s="5"/>
      <c r="N56" s="5"/>
      <c r="O56" s="5"/>
      <c r="P56" s="88"/>
      <c r="Q56" s="96"/>
    </row>
    <row r="57" spans="1:17" s="2" customFormat="1" ht="12" customHeight="1">
      <c r="D57" s="22"/>
      <c r="E57" s="22"/>
      <c r="J57" s="5"/>
      <c r="K57" s="5"/>
      <c r="L57" s="5"/>
      <c r="M57" s="5"/>
      <c r="N57" s="5"/>
      <c r="O57" s="5"/>
      <c r="P57" s="88"/>
      <c r="Q57" s="96"/>
    </row>
    <row r="58" spans="1:17" s="2" customFormat="1" ht="12" customHeight="1">
      <c r="D58" s="22"/>
      <c r="E58" s="22"/>
      <c r="J58" s="5"/>
      <c r="K58" s="5"/>
      <c r="L58" s="5"/>
      <c r="M58" s="5"/>
      <c r="N58" s="5"/>
      <c r="O58" s="5"/>
      <c r="P58" s="88"/>
      <c r="Q58" s="96"/>
    </row>
    <row r="59" spans="1:17" s="2" customFormat="1" ht="12" customHeight="1">
      <c r="A59"/>
      <c r="B59"/>
      <c r="C59"/>
      <c r="D59" s="23"/>
      <c r="E59" s="23"/>
      <c r="F59"/>
      <c r="G59"/>
      <c r="H59"/>
      <c r="I59"/>
      <c r="J59" s="19"/>
      <c r="K59" s="19"/>
      <c r="L59" s="19"/>
      <c r="M59" s="19"/>
      <c r="N59" s="19"/>
      <c r="O59" s="19"/>
      <c r="P59" s="90"/>
      <c r="Q59" s="96"/>
    </row>
    <row r="60" spans="1:17" s="2" customFormat="1" ht="12" customHeight="1">
      <c r="A60"/>
      <c r="B60"/>
      <c r="C60"/>
      <c r="D60" s="23"/>
      <c r="E60" s="23"/>
      <c r="F60"/>
      <c r="G60"/>
      <c r="H60"/>
      <c r="I60"/>
      <c r="J60" s="19"/>
      <c r="K60" s="19"/>
      <c r="L60" s="19"/>
      <c r="M60" s="19"/>
      <c r="N60" s="19"/>
      <c r="O60" s="19"/>
      <c r="P60" s="90"/>
      <c r="Q60" s="96"/>
    </row>
    <row r="61" spans="1:17" s="2" customFormat="1" ht="12" customHeight="1">
      <c r="A61"/>
      <c r="B61"/>
      <c r="C61"/>
      <c r="D61" s="23"/>
      <c r="E61" s="23"/>
      <c r="F61"/>
      <c r="G61"/>
      <c r="H61"/>
      <c r="I61"/>
      <c r="J61" s="19"/>
      <c r="K61" s="19"/>
      <c r="L61" s="19"/>
      <c r="M61" s="19"/>
      <c r="N61" s="19"/>
      <c r="O61" s="19"/>
      <c r="P61" s="90"/>
      <c r="Q61" s="96"/>
    </row>
    <row r="62" spans="1:17" s="2" customFormat="1" ht="12" customHeight="1">
      <c r="A62"/>
      <c r="B62"/>
      <c r="C62"/>
      <c r="D62" s="23"/>
      <c r="E62" s="23"/>
      <c r="F62"/>
      <c r="G62"/>
      <c r="H62"/>
      <c r="I62"/>
      <c r="J62" s="19"/>
      <c r="K62" s="19"/>
      <c r="L62" s="19"/>
      <c r="M62" s="19"/>
      <c r="N62" s="19"/>
      <c r="O62" s="19"/>
      <c r="P62" s="90"/>
      <c r="Q62" s="96"/>
    </row>
    <row r="63" spans="1:17" s="2" customFormat="1" ht="12" customHeight="1">
      <c r="A63"/>
      <c r="B63"/>
      <c r="C63"/>
      <c r="D63" s="23"/>
      <c r="E63" s="23"/>
      <c r="F63"/>
      <c r="G63"/>
      <c r="H63"/>
      <c r="I63"/>
      <c r="J63" s="19"/>
      <c r="K63" s="19"/>
      <c r="L63" s="19"/>
      <c r="M63" s="19"/>
      <c r="N63" s="19"/>
      <c r="O63" s="19"/>
      <c r="P63" s="90"/>
      <c r="Q63" s="96"/>
    </row>
    <row r="64" spans="1:17">
      <c r="Q64" s="96"/>
    </row>
    <row r="65" spans="17:17">
      <c r="Q65" s="96"/>
    </row>
    <row r="66" spans="17:17">
      <c r="Q66" s="96"/>
    </row>
    <row r="67" spans="17:17">
      <c r="Q67" s="96"/>
    </row>
    <row r="68" spans="17:17">
      <c r="Q68" s="96"/>
    </row>
    <row r="69" spans="17:17">
      <c r="Q69" s="96"/>
    </row>
    <row r="70" spans="17:17">
      <c r="Q70" s="96"/>
    </row>
    <row r="71" spans="17:17">
      <c r="Q71" s="96"/>
    </row>
    <row r="72" spans="17:17">
      <c r="Q72" s="96"/>
    </row>
    <row r="73" spans="17:17">
      <c r="Q73" s="96"/>
    </row>
    <row r="74" spans="17:17">
      <c r="Q74" s="96"/>
    </row>
    <row r="75" spans="17:17">
      <c r="Q75" s="96"/>
    </row>
    <row r="76" spans="17:17">
      <c r="Q76" s="96"/>
    </row>
    <row r="77" spans="17:17">
      <c r="Q77" s="96"/>
    </row>
    <row r="78" spans="17:17">
      <c r="Q78" s="96"/>
    </row>
    <row r="79" spans="17:17">
      <c r="Q79" s="96"/>
    </row>
    <row r="80" spans="17:17">
      <c r="Q80" s="96"/>
    </row>
    <row r="81" spans="17:17">
      <c r="Q81" s="96"/>
    </row>
    <row r="82" spans="17:17">
      <c r="Q82" s="96"/>
    </row>
    <row r="83" spans="17:17">
      <c r="Q83" s="96"/>
    </row>
    <row r="120" ht="12" customHeight="1"/>
    <row r="121" ht="12" customHeight="1"/>
    <row r="122" ht="12" customHeight="1"/>
    <row r="123" ht="12" customHeight="1"/>
    <row r="124" ht="12" customHeight="1"/>
    <row r="125" ht="12" customHeight="1"/>
    <row r="126" ht="12" customHeight="1"/>
    <row r="127" ht="12" customHeight="1"/>
    <row r="128" ht="12" customHeight="1"/>
    <row r="129" ht="12" customHeight="1"/>
    <row r="130" ht="12" customHeight="1"/>
    <row r="131" ht="12" customHeight="1"/>
    <row r="132" ht="12" customHeight="1"/>
    <row r="133" ht="12" customHeight="1"/>
    <row r="134" ht="12" customHeight="1"/>
    <row r="135" ht="12" customHeight="1"/>
    <row r="136" ht="12" customHeight="1"/>
    <row r="137" ht="12" customHeight="1"/>
    <row r="138" ht="12" customHeight="1"/>
    <row r="139" ht="12" customHeight="1"/>
    <row r="140" ht="12" customHeight="1"/>
    <row r="141" ht="12" customHeight="1"/>
    <row r="142" ht="12" customHeight="1"/>
    <row r="143" ht="12" customHeight="1"/>
    <row r="144" ht="12" customHeight="1"/>
    <row r="145" ht="12" customHeight="1"/>
    <row r="146" ht="12" customHeight="1"/>
    <row r="147" ht="12" customHeight="1"/>
    <row r="148" ht="12" customHeight="1"/>
    <row r="149" ht="12" customHeight="1"/>
    <row r="150" ht="12" customHeight="1"/>
    <row r="151" ht="12" customHeight="1"/>
    <row r="152" ht="12" customHeight="1"/>
    <row r="153" ht="12" customHeight="1"/>
    <row r="154" ht="12" customHeight="1"/>
    <row r="155" ht="12" customHeight="1"/>
    <row r="156" ht="12" customHeight="1"/>
    <row r="157" ht="12" customHeight="1"/>
    <row r="158" ht="12" customHeight="1"/>
    <row r="159" ht="12" customHeight="1"/>
    <row r="160" ht="12" customHeight="1"/>
    <row r="161" ht="12" customHeight="1"/>
    <row r="162" ht="12" customHeight="1"/>
    <row r="163" ht="12" customHeight="1"/>
    <row r="164" ht="12" customHeight="1"/>
    <row r="165" ht="12" customHeight="1"/>
    <row r="166" ht="12" customHeight="1"/>
    <row r="167" ht="12" customHeight="1"/>
    <row r="168" ht="12" customHeight="1"/>
    <row r="169" ht="12" customHeight="1"/>
  </sheetData>
  <mergeCells count="27">
    <mergeCell ref="D16:E16"/>
    <mergeCell ref="H16:I16"/>
    <mergeCell ref="D10:E10"/>
    <mergeCell ref="H10:I10"/>
    <mergeCell ref="D15:E15"/>
    <mergeCell ref="H15:I15"/>
    <mergeCell ref="D12:E12"/>
    <mergeCell ref="H12:I12"/>
    <mergeCell ref="D11:E11"/>
    <mergeCell ref="H11:I11"/>
    <mergeCell ref="D13:E13"/>
    <mergeCell ref="H13:I13"/>
    <mergeCell ref="D14:E14"/>
    <mergeCell ref="H14:I14"/>
    <mergeCell ref="D7:E7"/>
    <mergeCell ref="H7:I7"/>
    <mergeCell ref="D8:E8"/>
    <mergeCell ref="H8:I8"/>
    <mergeCell ref="D9:E9"/>
    <mergeCell ref="H9:I9"/>
    <mergeCell ref="D6:E6"/>
    <mergeCell ref="H6:I6"/>
    <mergeCell ref="D1:E1"/>
    <mergeCell ref="D4:E4"/>
    <mergeCell ref="H4:I4"/>
    <mergeCell ref="D5:E5"/>
    <mergeCell ref="H5:I5"/>
  </mergeCells>
  <pageMargins left="0.7" right="0.7" top="0.75" bottom="0.75" header="0.3" footer="0.3"/>
  <pageSetup paperSize="3" fitToHeight="0" orientation="landscape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1FCBF41-127B-4103-912E-1C8C470A9571}">
          <x14:formula1>
            <xm:f>Assemblies!$E:$E</xm:f>
          </x14:formula1>
          <xm:sqref>C5:C15</xm:sqref>
        </x14:dataValidation>
      </x14:dataValidation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E5F8A5-C653-4515-9597-C82189096297}">
  <sheetPr codeName="Sheet41">
    <tabColor theme="3" tint="0.59999389629810485"/>
    <pageSetUpPr fitToPage="1"/>
  </sheetPr>
  <dimension ref="A1:R199"/>
  <sheetViews>
    <sheetView topLeftCell="A11" zoomScaleNormal="100" workbookViewId="0">
      <selection activeCell="C28" sqref="C28"/>
    </sheetView>
  </sheetViews>
  <sheetFormatPr defaultColWidth="9.140625" defaultRowHeight="15"/>
  <cols>
    <col min="1" max="1" width="5.7109375" customWidth="1"/>
    <col min="2" max="2" width="5.42578125" bestFit="1" customWidth="1"/>
    <col min="3" max="3" width="30.7109375" customWidth="1"/>
    <col min="4" max="5" width="20.7109375" style="23" customWidth="1"/>
    <col min="6" max="6" width="16.85546875" bestFit="1" customWidth="1"/>
    <col min="7" max="7" width="9.7109375" customWidth="1"/>
    <col min="8" max="8" width="8.7109375" customWidth="1"/>
    <col min="9" max="9" width="20.7109375" customWidth="1"/>
    <col min="10" max="13" width="11.7109375" style="19" customWidth="1"/>
    <col min="14" max="14" width="11.85546875" style="19" bestFit="1" customWidth="1"/>
    <col min="15" max="15" width="7.7109375" style="19" customWidth="1"/>
    <col min="16" max="16" width="10.7109375" style="90" customWidth="1"/>
    <col min="17" max="17" width="10.7109375" style="97" customWidth="1"/>
  </cols>
  <sheetData>
    <row r="1" spans="1:17" s="55" customFormat="1" ht="12" customHeight="1">
      <c r="A1" s="68" t="s">
        <v>0</v>
      </c>
      <c r="B1" s="69"/>
      <c r="C1" s="69"/>
      <c r="D1" s="262" t="s">
        <v>1</v>
      </c>
      <c r="E1" s="263"/>
      <c r="F1" s="70"/>
      <c r="G1" s="69"/>
      <c r="H1" s="70"/>
      <c r="I1" s="71"/>
      <c r="J1" s="72"/>
      <c r="K1" s="72"/>
      <c r="L1" s="72"/>
      <c r="M1" s="72"/>
      <c r="N1" s="72"/>
      <c r="O1" s="72"/>
      <c r="P1" s="85"/>
      <c r="Q1" s="91"/>
    </row>
    <row r="2" spans="1:17" s="55" customFormat="1" ht="12" customHeight="1">
      <c r="A2" s="74" t="s">
        <v>48</v>
      </c>
      <c r="B2" s="58"/>
      <c r="C2" s="57" t="e">
        <f ca="1">VLOOKUP(E3,Assemblies!B:F,4,0)</f>
        <v>#VALUE!</v>
      </c>
      <c r="D2" s="75" t="s">
        <v>3</v>
      </c>
      <c r="E2" s="76" t="e">
        <f ca="1">'GF12'!E2</f>
        <v>#VALUE!</v>
      </c>
      <c r="F2" s="77" t="s">
        <v>4</v>
      </c>
      <c r="G2" s="58" t="str">
        <f>'GF12'!G2</f>
        <v>GH</v>
      </c>
      <c r="H2" s="77" t="s">
        <v>6</v>
      </c>
      <c r="I2" s="59">
        <f>'GF12'!I2</f>
        <v>44775</v>
      </c>
      <c r="J2" s="39"/>
      <c r="K2" s="40" t="s">
        <v>49</v>
      </c>
      <c r="L2" s="41" t="e">
        <f ca="1">VLOOKUP(C2,Assemblies!E:G,3,0)</f>
        <v>#VALUE!</v>
      </c>
      <c r="M2" s="78"/>
      <c r="N2" s="78"/>
      <c r="O2" s="78"/>
      <c r="P2" s="86"/>
      <c r="Q2" s="92"/>
    </row>
    <row r="3" spans="1:17" s="55" customFormat="1" ht="12" customHeight="1" thickBot="1">
      <c r="A3" s="74" t="s">
        <v>7</v>
      </c>
      <c r="B3" s="58"/>
      <c r="C3" s="57" t="e">
        <f ca="1">VLOOKUP(E3,Assemblies!B:F,5,0)</f>
        <v>#VALUE!</v>
      </c>
      <c r="D3" s="75" t="s">
        <v>50</v>
      </c>
      <c r="E3" s="76" t="e">
        <f ca="1">MID(CELL("filename",A1),FIND("]",CELL("filename",A1))+1,256)</f>
        <v>#VALUE!</v>
      </c>
      <c r="F3" s="77" t="s">
        <v>11</v>
      </c>
      <c r="G3" s="58" t="str">
        <f>'GF12'!G3</f>
        <v>GH</v>
      </c>
      <c r="H3" s="77" t="s">
        <v>6</v>
      </c>
      <c r="I3" s="59">
        <f>'GF12'!I3</f>
        <v>44775</v>
      </c>
      <c r="J3" s="78"/>
      <c r="K3" s="78"/>
      <c r="L3" s="78"/>
      <c r="M3" s="78"/>
      <c r="N3" s="78"/>
      <c r="O3" s="78"/>
      <c r="P3" s="86"/>
      <c r="Q3" s="92"/>
    </row>
    <row r="4" spans="1:17" s="56" customFormat="1" ht="12.75" customHeight="1" thickBot="1">
      <c r="A4" s="80" t="s">
        <v>12</v>
      </c>
      <c r="B4" s="81" t="s">
        <v>13</v>
      </c>
      <c r="C4" s="81" t="s">
        <v>14</v>
      </c>
      <c r="D4" s="270" t="s">
        <v>15</v>
      </c>
      <c r="E4" s="271"/>
      <c r="F4" s="104" t="s">
        <v>16</v>
      </c>
      <c r="G4" s="81" t="s">
        <v>17</v>
      </c>
      <c r="H4" s="260" t="s">
        <v>18</v>
      </c>
      <c r="I4" s="261"/>
      <c r="J4" s="81" t="s">
        <v>51</v>
      </c>
      <c r="K4" s="81" t="s">
        <v>20</v>
      </c>
      <c r="L4" s="81" t="s">
        <v>21</v>
      </c>
      <c r="M4" s="81" t="s">
        <v>52</v>
      </c>
      <c r="N4" s="81" t="s">
        <v>22</v>
      </c>
      <c r="O4" s="81" t="s">
        <v>53</v>
      </c>
      <c r="P4" s="107" t="s">
        <v>26</v>
      </c>
      <c r="Q4" s="82" t="s">
        <v>27</v>
      </c>
    </row>
    <row r="5" spans="1:17" s="21" customFormat="1" ht="12.75" customHeight="1">
      <c r="A5" s="66" t="s">
        <v>54</v>
      </c>
      <c r="B5" s="1">
        <v>10</v>
      </c>
      <c r="C5" s="67" t="s">
        <v>226</v>
      </c>
      <c r="D5" s="277" t="e">
        <f ca="1">VLOOKUP(C5,Assemblies!E:S,2,0)</f>
        <v>#N/A</v>
      </c>
      <c r="E5" s="278"/>
      <c r="F5" s="32"/>
      <c r="G5" s="32"/>
      <c r="H5" s="292"/>
      <c r="I5" s="293"/>
      <c r="J5" s="28"/>
      <c r="K5" s="28"/>
      <c r="L5" s="28"/>
      <c r="M5" s="28"/>
      <c r="N5" s="33"/>
      <c r="O5" s="46" t="e">
        <f t="shared" ref="O5:O7" ca="1" si="0">B5*$L$2</f>
        <v>#VALUE!</v>
      </c>
      <c r="P5" s="87">
        <f>'111'!Q11</f>
        <v>60.451599999999999</v>
      </c>
      <c r="Q5" s="93">
        <f t="shared" ref="Q5:Q7" si="1">B5*P5</f>
        <v>604.51599999999996</v>
      </c>
    </row>
    <row r="6" spans="1:17" s="21" customFormat="1" ht="12.75" customHeight="1">
      <c r="A6" s="66" t="s">
        <v>56</v>
      </c>
      <c r="B6" s="1">
        <v>11</v>
      </c>
      <c r="C6" s="67" t="s">
        <v>231</v>
      </c>
      <c r="D6" s="277" t="e">
        <f ca="1">VLOOKUP(C6,Assemblies!E:S,2,0)</f>
        <v>#N/A</v>
      </c>
      <c r="E6" s="278"/>
      <c r="F6" s="32"/>
      <c r="G6" s="32"/>
      <c r="H6" s="292"/>
      <c r="I6" s="293"/>
      <c r="J6" s="28"/>
      <c r="K6" s="28"/>
      <c r="L6" s="28"/>
      <c r="M6" s="28"/>
      <c r="N6" s="33"/>
      <c r="O6" s="46" t="e">
        <f t="shared" ca="1" si="0"/>
        <v>#VALUE!</v>
      </c>
      <c r="P6" s="87">
        <f>'116'!Q15</f>
        <v>223.33159999999998</v>
      </c>
      <c r="Q6" s="93">
        <f t="shared" si="1"/>
        <v>2456.6475999999998</v>
      </c>
    </row>
    <row r="7" spans="1:17" s="21" customFormat="1" ht="12.75" customHeight="1">
      <c r="A7" s="66" t="s">
        <v>58</v>
      </c>
      <c r="B7" s="1">
        <v>4</v>
      </c>
      <c r="C7" s="67" t="s">
        <v>291</v>
      </c>
      <c r="D7" s="277" t="e">
        <f ca="1">VLOOKUP(C7,Assemblies!E:S,2,0)</f>
        <v>#N/A</v>
      </c>
      <c r="E7" s="278"/>
      <c r="F7" s="32"/>
      <c r="G7" s="32"/>
      <c r="H7" s="292"/>
      <c r="I7" s="293"/>
      <c r="J7" s="28"/>
      <c r="K7" s="28"/>
      <c r="L7" s="28"/>
      <c r="M7" s="28"/>
      <c r="N7" s="33"/>
      <c r="O7" s="46" t="e">
        <f t="shared" ca="1" si="0"/>
        <v>#VALUE!</v>
      </c>
      <c r="P7" s="87">
        <f>'121'!Q20</f>
        <v>677.00017142857143</v>
      </c>
      <c r="Q7" s="93">
        <f t="shared" si="1"/>
        <v>2708.0006857142857</v>
      </c>
    </row>
    <row r="8" spans="1:17" s="21" customFormat="1" ht="12.75" customHeight="1">
      <c r="A8" s="66" t="s">
        <v>60</v>
      </c>
      <c r="B8" s="1">
        <v>12</v>
      </c>
      <c r="C8" s="67" t="s">
        <v>560</v>
      </c>
      <c r="D8" s="277" t="e">
        <f ca="1">VLOOKUP(C8,Assemblies!E:S,2,0)</f>
        <v>#N/A</v>
      </c>
      <c r="E8" s="283"/>
      <c r="F8" s="32"/>
      <c r="G8" s="32"/>
      <c r="H8" s="292"/>
      <c r="I8" s="293"/>
      <c r="J8" s="28"/>
      <c r="K8" s="28"/>
      <c r="L8" s="28"/>
      <c r="M8" s="28"/>
      <c r="N8" s="33"/>
      <c r="O8" s="46" t="e">
        <f t="shared" ref="O8:O14" ca="1" si="2">B8*$L$2</f>
        <v>#VALUE!</v>
      </c>
      <c r="P8" s="87">
        <f>'211'!Q13</f>
        <v>136.25299999999999</v>
      </c>
      <c r="Q8" s="93">
        <f t="shared" ref="Q8:Q14" si="3">B8*P8</f>
        <v>1635.0359999999998</v>
      </c>
    </row>
    <row r="9" spans="1:17" s="21" customFormat="1" ht="12.75" customHeight="1">
      <c r="A9" s="66" t="s">
        <v>62</v>
      </c>
      <c r="B9" s="1">
        <v>2</v>
      </c>
      <c r="C9" s="67" t="s">
        <v>561</v>
      </c>
      <c r="D9" s="277" t="e">
        <f ca="1">VLOOKUP(C9,Assemblies!E:S,2,0)</f>
        <v>#N/A</v>
      </c>
      <c r="E9" s="283"/>
      <c r="F9" s="32"/>
      <c r="G9" s="32"/>
      <c r="H9" s="292"/>
      <c r="I9" s="293"/>
      <c r="J9" s="28"/>
      <c r="K9" s="28"/>
      <c r="L9" s="28"/>
      <c r="M9" s="28"/>
      <c r="N9" s="33"/>
      <c r="O9" s="46" t="e">
        <f t="shared" ca="1" si="2"/>
        <v>#VALUE!</v>
      </c>
      <c r="P9" s="87">
        <f>'212'!Q15</f>
        <v>1150.3516</v>
      </c>
      <c r="Q9" s="93">
        <f t="shared" si="3"/>
        <v>2300.7031999999999</v>
      </c>
    </row>
    <row r="10" spans="1:17" s="21" customFormat="1" ht="12.75" customHeight="1">
      <c r="A10" s="66" t="s">
        <v>64</v>
      </c>
      <c r="B10" s="1">
        <v>2</v>
      </c>
      <c r="C10" s="67" t="s">
        <v>562</v>
      </c>
      <c r="D10" s="277" t="e">
        <f ca="1">VLOOKUP(C10,Assemblies!E:S,2,0)</f>
        <v>#N/A</v>
      </c>
      <c r="E10" s="283"/>
      <c r="F10" s="32"/>
      <c r="G10" s="32"/>
      <c r="H10" s="292"/>
      <c r="I10" s="293"/>
      <c r="J10" s="28"/>
      <c r="K10" s="28"/>
      <c r="L10" s="28"/>
      <c r="M10" s="28"/>
      <c r="N10" s="33"/>
      <c r="O10" s="46" t="e">
        <f t="shared" ca="1" si="2"/>
        <v>#VALUE!</v>
      </c>
      <c r="P10" s="87">
        <f>'213'!Q18</f>
        <v>773.73569999999995</v>
      </c>
      <c r="Q10" s="93">
        <f t="shared" si="3"/>
        <v>1547.4713999999999</v>
      </c>
    </row>
    <row r="11" spans="1:17" s="21" customFormat="1" ht="12.75" customHeight="1">
      <c r="A11" s="66" t="s">
        <v>66</v>
      </c>
      <c r="B11" s="1">
        <v>1</v>
      </c>
      <c r="C11" s="67" t="s">
        <v>236</v>
      </c>
      <c r="D11" s="277" t="e">
        <f ca="1">VLOOKUP(C11,Assemblies!E:S,2,0)</f>
        <v>#N/A</v>
      </c>
      <c r="E11" s="283"/>
      <c r="F11" s="32"/>
      <c r="G11" s="32"/>
      <c r="H11" s="292"/>
      <c r="I11" s="293"/>
      <c r="J11" s="28"/>
      <c r="K11" s="28"/>
      <c r="L11" s="28"/>
      <c r="M11" s="28"/>
      <c r="N11" s="33"/>
      <c r="O11" s="46" t="e">
        <f t="shared" ref="O11" ca="1" si="4">B11*$L$2</f>
        <v>#VALUE!</v>
      </c>
      <c r="P11" s="87">
        <f>'213'!Q19</f>
        <v>0</v>
      </c>
      <c r="Q11" s="93">
        <f t="shared" ref="Q11" si="5">B11*P11</f>
        <v>0</v>
      </c>
    </row>
    <row r="12" spans="1:17" s="21" customFormat="1" ht="12.75" customHeight="1">
      <c r="A12" s="66" t="s">
        <v>68</v>
      </c>
      <c r="B12" s="1">
        <v>2</v>
      </c>
      <c r="C12" s="67" t="s">
        <v>563</v>
      </c>
      <c r="D12" s="277" t="e">
        <f ca="1">VLOOKUP(C12,Assemblies!E:S,2,0)</f>
        <v>#N/A</v>
      </c>
      <c r="E12" s="283"/>
      <c r="F12" s="32"/>
      <c r="G12" s="32"/>
      <c r="H12" s="292"/>
      <c r="I12" s="293"/>
      <c r="J12" s="28"/>
      <c r="K12" s="28"/>
      <c r="L12" s="28"/>
      <c r="M12" s="28"/>
      <c r="N12" s="33"/>
      <c r="O12" s="46" t="e">
        <f t="shared" ca="1" si="2"/>
        <v>#VALUE!</v>
      </c>
      <c r="P12" s="87">
        <f>'215'!Q17</f>
        <v>1237.8831999999998</v>
      </c>
      <c r="Q12" s="93">
        <f t="shared" si="3"/>
        <v>2475.7663999999995</v>
      </c>
    </row>
    <row r="13" spans="1:17" s="21" customFormat="1" ht="12.75" customHeight="1">
      <c r="A13" s="66" t="s">
        <v>224</v>
      </c>
      <c r="B13" s="1">
        <v>2</v>
      </c>
      <c r="C13" s="67" t="s">
        <v>564</v>
      </c>
      <c r="D13" s="277" t="e">
        <f ca="1">VLOOKUP(C13,Assemblies!E:S,2,0)</f>
        <v>#N/A</v>
      </c>
      <c r="E13" s="283"/>
      <c r="F13" s="32"/>
      <c r="G13" s="32"/>
      <c r="H13" s="292"/>
      <c r="I13" s="293"/>
      <c r="J13" s="28"/>
      <c r="K13" s="28"/>
      <c r="L13" s="28"/>
      <c r="M13" s="28"/>
      <c r="N13" s="33"/>
      <c r="O13" s="46" t="e">
        <f t="shared" ca="1" si="2"/>
        <v>#VALUE!</v>
      </c>
      <c r="P13" s="87">
        <f>'216'!Q35</f>
        <v>2349.9444000000003</v>
      </c>
      <c r="Q13" s="93">
        <f t="shared" si="3"/>
        <v>4699.8888000000006</v>
      </c>
    </row>
    <row r="14" spans="1:17" s="21" customFormat="1" ht="12.75" customHeight="1">
      <c r="A14" s="66" t="s">
        <v>235</v>
      </c>
      <c r="B14" s="1">
        <v>20</v>
      </c>
      <c r="C14" s="67" t="s">
        <v>232</v>
      </c>
      <c r="D14" s="277" t="e">
        <f ca="1">VLOOKUP(C14,Assemblies!E:S,2,0)</f>
        <v>#N/A</v>
      </c>
      <c r="E14" s="283"/>
      <c r="F14" s="32"/>
      <c r="G14" s="32"/>
      <c r="H14" s="292"/>
      <c r="I14" s="293"/>
      <c r="J14" s="28"/>
      <c r="K14" s="28"/>
      <c r="L14" s="28"/>
      <c r="M14" s="28"/>
      <c r="N14" s="33"/>
      <c r="O14" s="46" t="e">
        <f t="shared" ca="1" si="2"/>
        <v>#VALUE!</v>
      </c>
      <c r="P14" s="87">
        <f>'117'!Q10</f>
        <v>26.688399999999998</v>
      </c>
      <c r="Q14" s="93">
        <f t="shared" si="3"/>
        <v>533.76799999999992</v>
      </c>
    </row>
    <row r="15" spans="1:17" s="21" customFormat="1" ht="12.75" customHeight="1">
      <c r="A15" s="66" t="s">
        <v>237</v>
      </c>
      <c r="B15" s="1">
        <v>1</v>
      </c>
      <c r="C15" s="67" t="s">
        <v>565</v>
      </c>
      <c r="D15" s="277" t="e">
        <f ca="1">VLOOKUP(C15,Assemblies!E:S,2,0)</f>
        <v>#N/A</v>
      </c>
      <c r="E15" s="283"/>
      <c r="F15" s="32"/>
      <c r="G15" s="32"/>
      <c r="H15" s="292"/>
      <c r="I15" s="293"/>
      <c r="J15" s="28"/>
      <c r="K15" s="28"/>
      <c r="L15" s="28"/>
      <c r="M15" s="28"/>
      <c r="N15" s="33"/>
      <c r="O15" s="46" t="e">
        <f t="shared" ref="O15" ca="1" si="6">B15*$L$2</f>
        <v>#VALUE!</v>
      </c>
      <c r="P15" s="87">
        <f>'117'!Q11</f>
        <v>0</v>
      </c>
      <c r="Q15" s="93">
        <f t="shared" ref="Q15" si="7">B15*P15</f>
        <v>0</v>
      </c>
    </row>
    <row r="16" spans="1:17" s="21" customFormat="1" ht="12.75" customHeight="1">
      <c r="A16" s="66" t="s">
        <v>239</v>
      </c>
      <c r="B16" s="1">
        <v>2</v>
      </c>
      <c r="C16" s="67" t="s">
        <v>566</v>
      </c>
      <c r="D16" s="277" t="e">
        <f ca="1">VLOOKUP(C16,Assemblies!E:S,2,0)</f>
        <v>#N/A</v>
      </c>
      <c r="E16" s="283"/>
      <c r="F16" s="32"/>
      <c r="G16" s="32"/>
      <c r="H16" s="292"/>
      <c r="I16" s="293"/>
      <c r="J16" s="28"/>
      <c r="K16" s="28"/>
      <c r="L16" s="28"/>
      <c r="M16" s="28"/>
      <c r="N16" s="33"/>
      <c r="O16" s="46" t="e">
        <f t="shared" ref="O16:O17" ca="1" si="8">B16*$L$2</f>
        <v>#VALUE!</v>
      </c>
      <c r="P16" s="87">
        <f>'117'!Q12</f>
        <v>0</v>
      </c>
      <c r="Q16" s="93">
        <f t="shared" ref="Q16:Q17" si="9">B16*P16</f>
        <v>0</v>
      </c>
    </row>
    <row r="17" spans="1:18" s="21" customFormat="1" ht="12.75" customHeight="1">
      <c r="A17" s="66" t="s">
        <v>567</v>
      </c>
      <c r="B17" s="1">
        <v>2</v>
      </c>
      <c r="C17" s="67" t="s">
        <v>238</v>
      </c>
      <c r="D17" s="277" t="e">
        <f ca="1">VLOOKUP(C17,Assemblies!E:S,2,0)</f>
        <v>#N/A</v>
      </c>
      <c r="E17" s="283"/>
      <c r="F17" s="32"/>
      <c r="G17" s="32"/>
      <c r="H17" s="292"/>
      <c r="I17" s="293"/>
      <c r="J17" s="28"/>
      <c r="K17" s="28"/>
      <c r="L17" s="28"/>
      <c r="M17" s="28"/>
      <c r="N17" s="33"/>
      <c r="O17" s="46" t="e">
        <f t="shared" ca="1" si="8"/>
        <v>#VALUE!</v>
      </c>
      <c r="P17" s="87">
        <f>'213'!Q25</f>
        <v>0</v>
      </c>
      <c r="Q17" s="93">
        <f t="shared" si="9"/>
        <v>0</v>
      </c>
    </row>
    <row r="18" spans="1:18" s="21" customFormat="1" ht="12.75" customHeight="1">
      <c r="A18" s="25"/>
      <c r="B18" s="26"/>
      <c r="C18" s="26"/>
      <c r="D18" s="272"/>
      <c r="E18" s="273"/>
      <c r="F18" s="26"/>
      <c r="G18" s="26"/>
      <c r="H18" s="274"/>
      <c r="I18" s="275"/>
      <c r="J18" s="27"/>
      <c r="K18" s="27"/>
      <c r="L18" s="27"/>
      <c r="M18" s="28"/>
      <c r="N18" s="29"/>
      <c r="O18" s="29"/>
      <c r="P18" s="141"/>
      <c r="Q18" s="142"/>
      <c r="R18" s="20"/>
    </row>
    <row r="19" spans="1:18" s="2" customFormat="1" ht="12.75" customHeight="1">
      <c r="A19" s="127">
        <v>1</v>
      </c>
      <c r="B19" s="21">
        <v>2</v>
      </c>
      <c r="C19" s="108" t="s">
        <v>568</v>
      </c>
      <c r="D19" s="277" t="str">
        <f>VLOOKUP(C19,Machined!C:Q,2,0)</f>
        <v>MODIFIED BRX 90X90 -I- 3684.4MM</v>
      </c>
      <c r="E19" s="278"/>
      <c r="F19" s="131" t="str">
        <f>VLOOKUP(C19,Machined!C:R,7,0)</f>
        <v>BRX</v>
      </c>
      <c r="G19" s="131" t="str">
        <f>VLOOKUP(C19,Machined!C:R,10,0)</f>
        <v>BRX, NULINE</v>
      </c>
      <c r="H19" s="131" t="str">
        <f>VLOOKUP(C19,Machined!C:R,11,0)</f>
        <v xml:space="preserve"> </v>
      </c>
      <c r="I19" s="131"/>
      <c r="J19" s="42" t="str">
        <f>VLOOKUP(C19,Machined!C:R,12,0)</f>
        <v>N/A</v>
      </c>
      <c r="K19" s="42" t="str">
        <f>VLOOKUP(C19,Machined!C:R,13,0)</f>
        <v>N/A</v>
      </c>
      <c r="L19" s="42" t="str">
        <f>VLOOKUP(C19,Machined!C:R,14,0)</f>
        <v>N/A</v>
      </c>
      <c r="M19" s="42" t="str">
        <f>VLOOKUP(C19,Machined!C:R,15,0)</f>
        <v>N/A</v>
      </c>
      <c r="N19" s="43" t="str">
        <f>VLOOKUP(C19,Machined!C:R,16,0)</f>
        <v>N/A</v>
      </c>
      <c r="O19" s="43" t="e">
        <f t="shared" ref="O19" ca="1" si="10">B19*$L$2</f>
        <v>#VALUE!</v>
      </c>
      <c r="P19" s="47">
        <f>IFERROR(VLOOKUP(C19,Machined!C:F,3,0),"")</f>
        <v>0</v>
      </c>
      <c r="Q19" s="48">
        <f t="shared" ref="Q19" si="11">IFERROR(B19*P19,"")</f>
        <v>0</v>
      </c>
    </row>
    <row r="20" spans="1:18" s="2" customFormat="1" ht="12.75" customHeight="1">
      <c r="A20" s="127">
        <v>2</v>
      </c>
      <c r="B20" s="21">
        <v>1</v>
      </c>
      <c r="C20" s="108" t="s">
        <v>569</v>
      </c>
      <c r="D20" s="277" t="str">
        <f>VLOOKUP(C20,Machined!C:Q,2,0)</f>
        <v>Lower Dancer-Nip Guard</v>
      </c>
      <c r="E20" s="278"/>
      <c r="F20" s="131" t="str">
        <f>VLOOKUP(C20,Machined!C:R,7,0)</f>
        <v>Polycarb</v>
      </c>
      <c r="G20" s="131" t="str">
        <f>VLOOKUP(C20,Machined!C:R,10,0)</f>
        <v>CURBELL PLASTICS</v>
      </c>
      <c r="H20" s="131" t="str">
        <f>VLOOKUP(C20,Machined!C:R,11,0)</f>
        <v>3 WEEKS FROM 9/27</v>
      </c>
      <c r="I20" s="131"/>
      <c r="J20" s="42">
        <f>VLOOKUP(C20,Machined!C:R,12,0)</f>
        <v>45194</v>
      </c>
      <c r="K20" s="42">
        <f>VLOOKUP(C20,Machined!C:R,13,0)</f>
        <v>45196</v>
      </c>
      <c r="L20" s="42">
        <f>VLOOKUP(C20,Machined!C:R,14,0)</f>
        <v>45219</v>
      </c>
      <c r="M20" s="42">
        <f>VLOOKUP(C20,Machined!C:R,15,0)</f>
        <v>45219</v>
      </c>
      <c r="N20" s="43">
        <f>VLOOKUP(C20,Machined!C:R,16,0)</f>
        <v>55166</v>
      </c>
      <c r="O20" s="43" t="e">
        <f t="shared" ref="O20" ca="1" si="12">B20*$L$2</f>
        <v>#VALUE!</v>
      </c>
      <c r="P20" s="47">
        <f>IFERROR(VLOOKUP(C20,Machined!C:F,3,0),"")</f>
        <v>186.75</v>
      </c>
      <c r="Q20" s="48">
        <f t="shared" ref="Q20" si="13">IFERROR(B20*P20,"")</f>
        <v>186.75</v>
      </c>
    </row>
    <row r="21" spans="1:18" s="2" customFormat="1" ht="12.75" customHeight="1">
      <c r="A21" s="127">
        <v>3</v>
      </c>
      <c r="B21" s="21">
        <v>1</v>
      </c>
      <c r="C21" s="108" t="s">
        <v>570</v>
      </c>
      <c r="D21" s="277" t="str">
        <f>VLOOKUP(C21,Machined!C:Q,2,0)</f>
        <v>Center Dancer-Nip Guard</v>
      </c>
      <c r="E21" s="278"/>
      <c r="F21" s="131" t="str">
        <f>VLOOKUP(C21,Machined!C:R,7,0)</f>
        <v>Polycarb</v>
      </c>
      <c r="G21" s="131" t="str">
        <f>VLOOKUP(C21,Machined!C:R,10,0)</f>
        <v>CURBELL PLASTICS</v>
      </c>
      <c r="H21" s="131" t="str">
        <f>VLOOKUP(C21,Machined!C:R,11,0)</f>
        <v>3 WEEKS FROM 9/27</v>
      </c>
      <c r="I21" s="131"/>
      <c r="J21" s="42">
        <f>VLOOKUP(C21,Machined!C:R,12,0)</f>
        <v>45194</v>
      </c>
      <c r="K21" s="42">
        <f>VLOOKUP(C21,Machined!C:R,13,0)</f>
        <v>45196</v>
      </c>
      <c r="L21" s="42">
        <f>VLOOKUP(C21,Machined!C:R,14,0)</f>
        <v>45219</v>
      </c>
      <c r="M21" s="42">
        <f>VLOOKUP(C21,Machined!C:R,15,0)</f>
        <v>45219</v>
      </c>
      <c r="N21" s="43">
        <f>VLOOKUP(C21,Machined!C:R,16,0)</f>
        <v>55166</v>
      </c>
      <c r="O21" s="43" t="e">
        <f t="shared" ref="O21" ca="1" si="14">B21*$L$2</f>
        <v>#VALUE!</v>
      </c>
      <c r="P21" s="47">
        <f>IFERROR(VLOOKUP(C21,Machined!C:F,3,0),"")</f>
        <v>246.75</v>
      </c>
      <c r="Q21" s="48">
        <f t="shared" ref="Q21" si="15">IFERROR(B21*P21,"")</f>
        <v>246.75</v>
      </c>
    </row>
    <row r="22" spans="1:18" s="2" customFormat="1" ht="12.75" customHeight="1">
      <c r="A22" s="127">
        <v>4</v>
      </c>
      <c r="B22" s="21">
        <v>1</v>
      </c>
      <c r="C22" s="108" t="s">
        <v>571</v>
      </c>
      <c r="D22" s="277" t="str">
        <f>VLOOKUP(C22,Machined!C:Q,2,0)</f>
        <v>Upper Dancer-Nip Guard</v>
      </c>
      <c r="E22" s="278"/>
      <c r="F22" s="131" t="str">
        <f>VLOOKUP(C22,Machined!C:R,7,0)</f>
        <v>Polycarb</v>
      </c>
      <c r="G22" s="131" t="str">
        <f>VLOOKUP(C22,Machined!C:R,10,0)</f>
        <v>CURBELL PLASTICS</v>
      </c>
      <c r="H22" s="131" t="str">
        <f>VLOOKUP(C22,Machined!C:R,11,0)</f>
        <v>3 WEEKS FROM 9/27</v>
      </c>
      <c r="I22" s="131"/>
      <c r="J22" s="42">
        <f>VLOOKUP(C22,Machined!C:R,12,0)</f>
        <v>45194</v>
      </c>
      <c r="K22" s="42">
        <f>VLOOKUP(C22,Machined!C:R,13,0)</f>
        <v>45196</v>
      </c>
      <c r="L22" s="42">
        <f>VLOOKUP(C22,Machined!C:R,14,0)</f>
        <v>45219</v>
      </c>
      <c r="M22" s="42">
        <f>VLOOKUP(C22,Machined!C:R,15,0)</f>
        <v>45219</v>
      </c>
      <c r="N22" s="43">
        <f>VLOOKUP(C22,Machined!C:R,16,0)</f>
        <v>55166</v>
      </c>
      <c r="O22" s="43" t="e">
        <f t="shared" ref="O22" ca="1" si="16">B22*$L$2</f>
        <v>#VALUE!</v>
      </c>
      <c r="P22" s="47">
        <f>IFERROR(VLOOKUP(C22,Machined!C:F,3,0),"")</f>
        <v>226.67</v>
      </c>
      <c r="Q22" s="48">
        <f t="shared" ref="Q22" si="17">IFERROR(B22*P22,"")</f>
        <v>226.67</v>
      </c>
    </row>
    <row r="23" spans="1:18" s="2" customFormat="1" ht="12.75" customHeight="1">
      <c r="A23" s="127">
        <v>5</v>
      </c>
      <c r="B23" s="21">
        <v>1</v>
      </c>
      <c r="C23" s="108" t="s">
        <v>572</v>
      </c>
      <c r="D23" s="277" t="str">
        <f>VLOOKUP(C23,Machined!C:Q,2,0)</f>
        <v>Thin Wall Top Guard 1</v>
      </c>
      <c r="E23" s="278"/>
      <c r="F23" s="131" t="str">
        <f>VLOOKUP(C23,Machined!C:R,7,0)</f>
        <v>Thin Wall Polycarb</v>
      </c>
      <c r="G23" s="131" t="str">
        <f>VLOOKUP(C23,Machined!C:R,10,0)</f>
        <v>PRO PLASTICS</v>
      </c>
      <c r="H23" s="131" t="str">
        <f>VLOOKUP(C23,Machined!C:R,11,0)</f>
        <v>Quote XXXXXX; 2 weeks; $50 crate fee each, NO DRILLED HOLES</v>
      </c>
      <c r="I23" s="131"/>
      <c r="J23" s="42">
        <f>VLOOKUP(C23,Machined!C:R,12,0)</f>
        <v>45195</v>
      </c>
      <c r="K23" s="42">
        <f>VLOOKUP(C23,Machined!C:R,13,0)</f>
        <v>45195</v>
      </c>
      <c r="L23" s="42">
        <f>VLOOKUP(C23,Machined!C:R,14,0)</f>
        <v>45219</v>
      </c>
      <c r="M23" s="42">
        <f>VLOOKUP(C23,Machined!C:R,15,0)</f>
        <v>45219</v>
      </c>
      <c r="N23" s="43">
        <f>VLOOKUP(C23,Machined!C:R,16,0)</f>
        <v>55158</v>
      </c>
      <c r="O23" s="43" t="e">
        <f t="shared" ref="O23:O24" ca="1" si="18">B23*$L$2</f>
        <v>#VALUE!</v>
      </c>
      <c r="P23" s="47">
        <f>IFERROR(VLOOKUP(C23,Machined!C:F,3,0),"")</f>
        <v>160.28870000000001</v>
      </c>
      <c r="Q23" s="48">
        <f t="shared" ref="Q23:Q24" si="19">IFERROR(B23*P23,"")</f>
        <v>160.28870000000001</v>
      </c>
    </row>
    <row r="24" spans="1:18" s="2" customFormat="1" ht="12.75" customHeight="1">
      <c r="A24" s="127">
        <v>6</v>
      </c>
      <c r="B24" s="21">
        <v>1</v>
      </c>
      <c r="C24" s="108" t="s">
        <v>573</v>
      </c>
      <c r="D24" s="277" t="str">
        <f>VLOOKUP(C24,Machined!C:Q,2,0)</f>
        <v>Thin Wall Top Guard 2</v>
      </c>
      <c r="E24" s="278"/>
      <c r="F24" s="131" t="str">
        <f>VLOOKUP(C24,Machined!C:R,7,0)</f>
        <v>Thin Wall Polycarb</v>
      </c>
      <c r="G24" s="131" t="str">
        <f>VLOOKUP(C24,Machined!C:R,10,0)</f>
        <v>PRO PLASTICS</v>
      </c>
      <c r="H24" s="131" t="str">
        <f>VLOOKUP(C24,Machined!C:R,11,0)</f>
        <v>Quote XXXXXX; 2 weeks; $50 crate fee each, NO DRILLED HOLES</v>
      </c>
      <c r="I24" s="131"/>
      <c r="J24" s="42">
        <f>VLOOKUP(C24,Machined!C:R,12,0)</f>
        <v>45195</v>
      </c>
      <c r="K24" s="42">
        <f>VLOOKUP(C24,Machined!C:R,13,0)</f>
        <v>45195</v>
      </c>
      <c r="L24" s="42">
        <f>VLOOKUP(C24,Machined!C:R,14,0)</f>
        <v>45219</v>
      </c>
      <c r="M24" s="42">
        <f>VLOOKUP(C24,Machined!C:R,15,0)</f>
        <v>45219</v>
      </c>
      <c r="N24" s="43">
        <f>VLOOKUP(C24,Machined!C:R,16,0)</f>
        <v>55158</v>
      </c>
      <c r="O24" s="43" t="e">
        <f t="shared" ca="1" si="18"/>
        <v>#VALUE!</v>
      </c>
      <c r="P24" s="47">
        <f>IFERROR(VLOOKUP(C24,Machined!C:F,3,0),"")</f>
        <v>56.988399999999999</v>
      </c>
      <c r="Q24" s="48">
        <f t="shared" si="19"/>
        <v>56.988399999999999</v>
      </c>
    </row>
    <row r="25" spans="1:18" s="2" customFormat="1" ht="12.75" customHeight="1">
      <c r="A25" s="25"/>
      <c r="B25" s="26"/>
      <c r="C25" s="26"/>
      <c r="D25" s="272"/>
      <c r="E25" s="273"/>
      <c r="F25" s="26"/>
      <c r="G25" s="26"/>
      <c r="H25" s="274"/>
      <c r="I25" s="275"/>
      <c r="J25" s="27"/>
      <c r="K25" s="27"/>
      <c r="L25" s="27"/>
      <c r="M25" s="28"/>
      <c r="N25" s="29"/>
      <c r="O25" s="29"/>
      <c r="P25" s="141"/>
      <c r="Q25" s="142"/>
    </row>
    <row r="26" spans="1:18" s="2" customFormat="1" ht="12.75" customHeight="1">
      <c r="A26" s="4">
        <v>301</v>
      </c>
      <c r="B26" s="2">
        <v>108</v>
      </c>
      <c r="C26" s="114" t="s">
        <v>286</v>
      </c>
      <c r="D26" s="268" t="str">
        <f>VLOOKUP(C26,Purchased!A:B,2,0)</f>
        <v>BRX GOTO T-NUT 10 M5</v>
      </c>
      <c r="E26" s="269"/>
      <c r="F26" s="112" t="str">
        <f>VLOOKUP(C26,Purchased!A:Q,9,0)</f>
        <v>BRX</v>
      </c>
      <c r="G26" s="112" t="str">
        <f>VLOOKUP(C26,Purchased!A:Q,10,0)</f>
        <v>AAP</v>
      </c>
      <c r="H26" s="112">
        <f>VLOOKUP(C26,Purchased!A:Q,12,0)</f>
        <v>0</v>
      </c>
      <c r="I26" s="113"/>
      <c r="J26" s="44">
        <f>VLOOKUP(C26,Purchased!A:Q,13,0)</f>
        <v>45104</v>
      </c>
      <c r="K26" s="44">
        <f>VLOOKUP(C26,Purchased!A:Q,14,0)</f>
        <v>45105</v>
      </c>
      <c r="L26" s="44">
        <f>VLOOKUP(C26,Purchased!A:Q,15,0)</f>
        <v>45133</v>
      </c>
      <c r="M26" s="44">
        <f>VLOOKUP(C26,Purchased!A:Q,16,0)</f>
        <v>45133</v>
      </c>
      <c r="N26" s="45" t="str">
        <f>VLOOKUP(C26,Purchased!A:Q,17,0)</f>
        <v>50x54968, 200x55147, 150x55169</v>
      </c>
      <c r="O26" s="45" t="e">
        <f t="shared" ref="O26:O32" ca="1" si="20">B26*$L$2</f>
        <v>#VALUE!</v>
      </c>
      <c r="P26" s="49">
        <f>IFERROR(VLOOKUP(C26,Purchased!A:E,3,FALSE),"")</f>
        <v>0.64290000000000003</v>
      </c>
      <c r="Q26" s="50">
        <f>IFERROR(B26*P26,"")</f>
        <v>69.433199999999999</v>
      </c>
    </row>
    <row r="27" spans="1:18" s="2" customFormat="1" ht="12.75" customHeight="1">
      <c r="A27" s="4">
        <v>302</v>
      </c>
      <c r="B27" s="2">
        <v>108</v>
      </c>
      <c r="C27" s="114" t="s">
        <v>307</v>
      </c>
      <c r="D27" s="268" t="str">
        <f>VLOOKUP(C27,Purchased!A:B,2,0)</f>
        <v>Hot-Dipped Galvanized Steel with Neoprene Sealing Washer for Number 12 Screw Size, 0.24" ID, 0.5" OD, 100pk</v>
      </c>
      <c r="E27" s="269"/>
      <c r="F27" s="112" t="str">
        <f>VLOOKUP(C27,Purchased!A:Q,9,0)</f>
        <v>MCM</v>
      </c>
      <c r="G27" s="112" t="str">
        <f>VLOOKUP(C27,Purchased!A:Q,10,0)</f>
        <v>MCM</v>
      </c>
      <c r="H27" s="112" t="str">
        <f>VLOOKUP(C27,Purchased!A:Q,12,0)</f>
        <v>Pack of 100</v>
      </c>
      <c r="I27" s="113"/>
      <c r="J27" s="44" t="str">
        <f>VLOOKUP(C27,Purchased!A:Q,13,0)</f>
        <v>N/A</v>
      </c>
      <c r="K27" s="44">
        <f>VLOOKUP(C27,Purchased!A:Q,14,0)</f>
        <v>45162</v>
      </c>
      <c r="L27" s="44">
        <f>VLOOKUP(C27,Purchased!A:Q,15,0)</f>
        <v>45184</v>
      </c>
      <c r="M27" s="44">
        <f>VLOOKUP(C27,Purchased!A:Q,16,0)</f>
        <v>45163</v>
      </c>
      <c r="N27" s="45" t="str">
        <f>VLOOKUP(C27,Purchased!A:Q,17,0)</f>
        <v>4x55089, 1x55152, 1x55167</v>
      </c>
      <c r="O27" s="45" t="e">
        <f t="shared" ca="1" si="20"/>
        <v>#VALUE!</v>
      </c>
      <c r="P27" s="49">
        <f>IFERROR(VLOOKUP(C27,Purchased!A:E,3,FALSE),"")</f>
        <v>6.56</v>
      </c>
      <c r="Q27" s="50">
        <f>IFERROR(B27*P27,"")</f>
        <v>708.4799999999999</v>
      </c>
    </row>
    <row r="28" spans="1:18" s="2" customFormat="1" ht="12.75" customHeight="1">
      <c r="A28" s="241">
        <v>303</v>
      </c>
      <c r="B28" s="240">
        <v>12</v>
      </c>
      <c r="C28" s="114" t="s">
        <v>245</v>
      </c>
      <c r="D28" s="268" t="str">
        <f>VLOOKUP(C28,Purchased!A:B,2,0)</f>
        <v>BRX 3842548758 Cover Cap 90x90 Grey</v>
      </c>
      <c r="E28" s="269"/>
      <c r="F28" s="112" t="str">
        <f>VLOOKUP(C28,Purchased!A:Q,9,0)</f>
        <v>BRX</v>
      </c>
      <c r="G28" s="112" t="str">
        <f>VLOOKUP(C28,Purchased!A:Q,10,0)</f>
        <v>AAP</v>
      </c>
      <c r="H28" s="112" t="str">
        <f>VLOOKUP(C28,Purchased!A:Q,12,0)</f>
        <v xml:space="preserve"> </v>
      </c>
      <c r="I28" s="113"/>
      <c r="J28" s="44" t="str">
        <f>VLOOKUP(C28,Purchased!A:Q,13,0)</f>
        <v>N/A</v>
      </c>
      <c r="K28" s="44">
        <f>VLOOKUP(C28,Purchased!A:Q,14,0)</f>
        <v>45162</v>
      </c>
      <c r="L28" s="44">
        <f>VLOOKUP(C28,Purchased!A:Q,15,0)</f>
        <v>45184</v>
      </c>
      <c r="M28" s="44">
        <f>VLOOKUP(C28,Purchased!A:Q,16,0)</f>
        <v>45197</v>
      </c>
      <c r="N28" s="45">
        <f>VLOOKUP(C28,Purchased!A:Q,17,0)</f>
        <v>55073</v>
      </c>
      <c r="O28" s="45" t="e">
        <f t="shared" ca="1" si="20"/>
        <v>#VALUE!</v>
      </c>
      <c r="P28" s="49">
        <f>IFERROR(VLOOKUP(C28,Purchased!A:E,3,FALSE),"")</f>
        <v>3.2429000000000001</v>
      </c>
      <c r="Q28" s="50">
        <f>IFERROR(B28*P28,"")</f>
        <v>38.9148</v>
      </c>
    </row>
    <row r="29" spans="1:18" s="2" customFormat="1" ht="12.75" customHeight="1">
      <c r="A29" s="241">
        <v>304</v>
      </c>
      <c r="B29" s="240">
        <v>92</v>
      </c>
      <c r="C29" s="114" t="s">
        <v>243</v>
      </c>
      <c r="D29" s="268" t="str">
        <f>VLOOKUP(C29,Purchased!A:B,2,0)</f>
        <v>BRX GOTO QUICK CONNECTOR N10 90°</v>
      </c>
      <c r="E29" s="269"/>
      <c r="F29" s="112" t="str">
        <f>VLOOKUP(C29,Purchased!A:Q,9,0)</f>
        <v>BRX</v>
      </c>
      <c r="G29" s="112" t="str">
        <f>VLOOKUP(C29,Purchased!A:Q,10,0)</f>
        <v>AAP</v>
      </c>
      <c r="H29" s="112" t="str">
        <f>VLOOKUP(C29,Purchased!A:Q,12,0)</f>
        <v xml:space="preserve">  </v>
      </c>
      <c r="I29" s="113"/>
      <c r="J29" s="44" t="str">
        <f>VLOOKUP(C29,Purchased!A:Q,13,0)</f>
        <v>N/A</v>
      </c>
      <c r="K29" s="44">
        <f>VLOOKUP(C29,Purchased!A:Q,14,0)</f>
        <v>45089</v>
      </c>
      <c r="L29" s="44">
        <f>VLOOKUP(C29,Purchased!A:Q,15,0)</f>
        <v>45124</v>
      </c>
      <c r="M29" s="44">
        <f>VLOOKUP(C29,Purchased!A:Q,16,0)</f>
        <v>45124</v>
      </c>
      <c r="N29" s="45">
        <f>VLOOKUP(C29,Purchased!A:Q,17,0)</f>
        <v>54927</v>
      </c>
      <c r="O29" s="45" t="e">
        <f t="shared" ca="1" si="20"/>
        <v>#VALUE!</v>
      </c>
      <c r="P29" s="49">
        <f>IFERROR(VLOOKUP(C29,Purchased!A:E,3,FALSE),"")</f>
        <v>5.2857000000000003</v>
      </c>
      <c r="Q29" s="50">
        <f>IFERROR(B29*P29,"")</f>
        <v>486.28440000000001</v>
      </c>
    </row>
    <row r="30" spans="1:18" s="2" customFormat="1" ht="12.75" customHeight="1">
      <c r="A30" s="241">
        <v>305</v>
      </c>
      <c r="B30" s="240">
        <v>162</v>
      </c>
      <c r="C30" s="114" t="s">
        <v>244</v>
      </c>
      <c r="D30" s="268" t="str">
        <f>VLOOKUP(C30,Purchased!A:B,2,0)</f>
        <v>BRX GOTO QUICK CONNECTOR N10 0°</v>
      </c>
      <c r="E30" s="269"/>
      <c r="F30" s="112" t="str">
        <f>VLOOKUP(C30,Purchased!A:Q,9,0)</f>
        <v>BRX</v>
      </c>
      <c r="G30" s="112" t="str">
        <f>VLOOKUP(C30,Purchased!A:Q,10,0)</f>
        <v>AAP</v>
      </c>
      <c r="H30" s="112" t="str">
        <f>VLOOKUP(C30,Purchased!A:Q,12,0)</f>
        <v>17 in stock</v>
      </c>
      <c r="I30" s="113"/>
      <c r="J30" s="44" t="str">
        <f>VLOOKUP(C30,Purchased!A:Q,13,0)</f>
        <v>N/A</v>
      </c>
      <c r="K30" s="44">
        <f>VLOOKUP(C30,Purchased!A:Q,14,0)</f>
        <v>45089</v>
      </c>
      <c r="L30" s="44">
        <f>VLOOKUP(C30,Purchased!A:Q,15,0)</f>
        <v>45124</v>
      </c>
      <c r="M30" s="44">
        <f>VLOOKUP(C30,Purchased!A:Q,16,0)</f>
        <v>45124</v>
      </c>
      <c r="N30" s="45" t="str">
        <f>VLOOKUP(C30,Purchased!A:Q,17,0)</f>
        <v>500x54927, 500x55060</v>
      </c>
      <c r="O30" s="45" t="e">
        <f t="shared" ca="1" si="20"/>
        <v>#VALUE!</v>
      </c>
      <c r="P30" s="49">
        <f>IFERROR(VLOOKUP(C30,Purchased!A:E,3,FALSE),"")</f>
        <v>5.2857000000000003</v>
      </c>
      <c r="Q30" s="50">
        <f>IFERROR(B30*P30,"")</f>
        <v>856.28340000000003</v>
      </c>
    </row>
    <row r="31" spans="1:18" s="2" customFormat="1" ht="12.75" customHeight="1">
      <c r="A31" s="25"/>
      <c r="B31" s="26"/>
      <c r="C31" s="26"/>
      <c r="D31" s="272"/>
      <c r="E31" s="273"/>
      <c r="F31" s="26"/>
      <c r="G31" s="26"/>
      <c r="H31" s="274"/>
      <c r="I31" s="275"/>
      <c r="J31" s="27"/>
      <c r="K31" s="27"/>
      <c r="L31" s="27"/>
      <c r="M31" s="28"/>
      <c r="N31" s="29"/>
      <c r="O31" s="29" t="e">
        <f t="shared" ca="1" si="20"/>
        <v>#VALUE!</v>
      </c>
      <c r="P31" s="141"/>
      <c r="Q31" s="142"/>
    </row>
    <row r="32" spans="1:18" s="2" customFormat="1" ht="12.75" customHeight="1">
      <c r="A32" s="4">
        <v>501</v>
      </c>
      <c r="B32" s="2">
        <v>108</v>
      </c>
      <c r="C32" s="110" t="s">
        <v>311</v>
      </c>
      <c r="D32" s="268"/>
      <c r="E32" s="276"/>
      <c r="F32" s="112" t="str">
        <f>VLOOKUP(C32,Bolts!A:L,5,0)</f>
        <v xml:space="preserve">  </v>
      </c>
      <c r="G32" s="112" t="str">
        <f>VLOOKUP(C32,Bolts!A:L,6,0)</f>
        <v>Monroe Fasteners</v>
      </c>
      <c r="H32" s="112" t="str">
        <f>VLOOKUP(C32,Bolts!A:L,7,0)</f>
        <v xml:space="preserve">  </v>
      </c>
      <c r="I32" s="112"/>
      <c r="J32" s="44" t="str">
        <f>VLOOKUP(C32,Bolts!A:L,8,0)</f>
        <v xml:space="preserve"> </v>
      </c>
      <c r="K32" s="44" t="str">
        <f>VLOOKUP(C32,Bolts!A:L,9,0)</f>
        <v xml:space="preserve"> </v>
      </c>
      <c r="L32" s="44" t="str">
        <f>VLOOKUP(C32,Bolts!A:L,10,0)</f>
        <v xml:space="preserve"> </v>
      </c>
      <c r="M32" s="44" t="str">
        <f>VLOOKUP(C32,Bolts!A:L,11,0)</f>
        <v xml:space="preserve"> </v>
      </c>
      <c r="N32" s="45" t="str">
        <f>VLOOKUP(C32,Bolts!A:L,12,0)</f>
        <v xml:space="preserve"> </v>
      </c>
      <c r="O32" s="45" t="e">
        <f t="shared" ca="1" si="20"/>
        <v>#VALUE!</v>
      </c>
      <c r="P32" s="49" t="str">
        <f>IFERROR(VLOOKUP(C32,Bolts!A:B,2,FALSE),"")</f>
        <v xml:space="preserve"> </v>
      </c>
      <c r="Q32" s="50" t="str">
        <f>IFERROR(B32*P32,"")</f>
        <v/>
      </c>
    </row>
    <row r="33" spans="1:17" s="2" customFormat="1" ht="12.75" customHeight="1">
      <c r="A33" s="25"/>
      <c r="B33" s="26"/>
      <c r="C33" s="26"/>
      <c r="D33" s="272"/>
      <c r="E33" s="273"/>
      <c r="F33" s="26"/>
      <c r="G33" s="26"/>
      <c r="H33" s="274"/>
      <c r="I33" s="275"/>
      <c r="J33" s="27"/>
      <c r="K33" s="27"/>
      <c r="L33" s="27"/>
      <c r="M33" s="28"/>
      <c r="N33" s="29"/>
      <c r="O33" s="29"/>
      <c r="P33" s="141"/>
      <c r="Q33" s="142"/>
    </row>
    <row r="34" spans="1:17" s="2" customFormat="1" ht="12.75" customHeight="1">
      <c r="A34" s="4">
        <v>701</v>
      </c>
      <c r="B34" s="2">
        <v>8</v>
      </c>
      <c r="C34" s="111" t="s">
        <v>574</v>
      </c>
      <c r="D34" s="268" t="str">
        <f>VLOOKUP(C34,Extrusion!B:C,2,0)</f>
        <v>Assy .210</v>
      </c>
      <c r="E34" s="269"/>
      <c r="F34" s="112" t="str">
        <f>VLOOKUP(C34,Extrusion!B:M,6,0)</f>
        <v>BOSCH</v>
      </c>
      <c r="G34" s="112" t="str">
        <f>VLOOKUP(C34,Extrusion!B:M,7,0)</f>
        <v>NULINE</v>
      </c>
      <c r="H34" s="112" t="str">
        <f>VLOOKUP(C34,Extrusion!B:M,8,0)</f>
        <v xml:space="preserve"> </v>
      </c>
      <c r="I34" s="113"/>
      <c r="J34" s="44" t="str">
        <f>VLOOKUP(C34,Extrusion!B:M,9,0)</f>
        <v>N/A</v>
      </c>
      <c r="K34" s="44">
        <f>VLOOKUP(C34,Extrusion!B:M,10,0)</f>
        <v>44894</v>
      </c>
      <c r="L34" s="44">
        <f>VLOOKUP(C34,Extrusion!B:M,11,0)</f>
        <v>44970</v>
      </c>
      <c r="M34" s="44">
        <f>VLOOKUP(C34,Extrusion!B:M,12,0)</f>
        <v>44970</v>
      </c>
      <c r="N34" s="45">
        <f>VLOOKUP(C34,Extrusion!B:N,13,0)</f>
        <v>54598</v>
      </c>
      <c r="O34" s="45" t="e">
        <f t="shared" ref="O34:O45" ca="1" si="21">B34*$L$2</f>
        <v>#VALUE!</v>
      </c>
      <c r="P34" s="49">
        <f>IFERROR(VLOOKUP(C34,Extrusion!B:F,5,0),"")</f>
        <v>34.247979999999998</v>
      </c>
      <c r="Q34" s="50">
        <f t="shared" ref="Q34:Q45" si="22">IFERROR(B34*P34,"")</f>
        <v>273.98383999999999</v>
      </c>
    </row>
    <row r="35" spans="1:17" s="2" customFormat="1" ht="12" customHeight="1">
      <c r="A35" s="4">
        <f t="shared" ref="A35:A45" si="23">A34+1</f>
        <v>702</v>
      </c>
      <c r="B35" s="2">
        <v>6</v>
      </c>
      <c r="C35" s="111" t="s">
        <v>575</v>
      </c>
      <c r="D35" s="268" t="str">
        <f>VLOOKUP(C35,Extrusion!B:C,2,0)</f>
        <v>Assy .210</v>
      </c>
      <c r="E35" s="269"/>
      <c r="F35" s="112" t="str">
        <f>VLOOKUP(C35,Extrusion!B:M,6,0)</f>
        <v>BOSCH</v>
      </c>
      <c r="G35" s="112" t="str">
        <f>VLOOKUP(C35,Extrusion!B:M,7,0)</f>
        <v>NULINE</v>
      </c>
      <c r="H35" s="112" t="str">
        <f>VLOOKUP(C35,Extrusion!B:M,8,0)</f>
        <v xml:space="preserve"> </v>
      </c>
      <c r="I35" s="113"/>
      <c r="J35" s="44" t="str">
        <f>VLOOKUP(C35,Extrusion!B:M,9,0)</f>
        <v>N/A</v>
      </c>
      <c r="K35" s="44">
        <f>VLOOKUP(C35,Extrusion!B:M,10,0)</f>
        <v>44894</v>
      </c>
      <c r="L35" s="44">
        <f>VLOOKUP(C35,Extrusion!B:M,11,0)</f>
        <v>44970</v>
      </c>
      <c r="M35" s="44">
        <f>VLOOKUP(C35,Extrusion!B:M,12,0)</f>
        <v>44970</v>
      </c>
      <c r="N35" s="45">
        <f>VLOOKUP(C35,Extrusion!B:N,13,0)</f>
        <v>54598</v>
      </c>
      <c r="O35" s="45" t="e">
        <f t="shared" ca="1" si="21"/>
        <v>#VALUE!</v>
      </c>
      <c r="P35" s="49">
        <f>IFERROR(VLOOKUP(C35,Extrusion!B:F,5,0),"")</f>
        <v>91.841515999999999</v>
      </c>
      <c r="Q35" s="50">
        <f t="shared" si="22"/>
        <v>551.04909599999996</v>
      </c>
    </row>
    <row r="36" spans="1:17" s="2" customFormat="1" ht="12" customHeight="1">
      <c r="A36" s="4">
        <f t="shared" si="23"/>
        <v>703</v>
      </c>
      <c r="B36" s="2">
        <v>2</v>
      </c>
      <c r="C36" s="111" t="s">
        <v>576</v>
      </c>
      <c r="D36" s="268" t="str">
        <f>VLOOKUP(C36,Extrusion!B:C,2,0)</f>
        <v>Assy .210</v>
      </c>
      <c r="E36" s="269"/>
      <c r="F36" s="112" t="str">
        <f>VLOOKUP(C36,Extrusion!B:M,6,0)</f>
        <v>BOSCH</v>
      </c>
      <c r="G36" s="112" t="str">
        <f>VLOOKUP(C36,Extrusion!B:M,7,0)</f>
        <v>NULINE</v>
      </c>
      <c r="H36" s="112" t="str">
        <f>VLOOKUP(C36,Extrusion!B:M,8,0)</f>
        <v xml:space="preserve"> </v>
      </c>
      <c r="I36" s="113"/>
      <c r="J36" s="44" t="str">
        <f>VLOOKUP(C36,Extrusion!B:M,9,0)</f>
        <v>N/A</v>
      </c>
      <c r="K36" s="44">
        <f>VLOOKUP(C36,Extrusion!B:M,10,0)</f>
        <v>44894</v>
      </c>
      <c r="L36" s="44">
        <f>VLOOKUP(C36,Extrusion!B:M,11,0)</f>
        <v>44970</v>
      </c>
      <c r="M36" s="44">
        <f>VLOOKUP(C36,Extrusion!B:M,12,0)</f>
        <v>44970</v>
      </c>
      <c r="N36" s="45">
        <f>VLOOKUP(C36,Extrusion!B:N,13,0)</f>
        <v>54598</v>
      </c>
      <c r="O36" s="45" t="e">
        <f t="shared" ca="1" si="21"/>
        <v>#VALUE!</v>
      </c>
      <c r="P36" s="49">
        <f>IFERROR(VLOOKUP(C36,Extrusion!B:F,5,0),"")</f>
        <v>74.76153583333334</v>
      </c>
      <c r="Q36" s="50">
        <f t="shared" si="22"/>
        <v>149.52307166666668</v>
      </c>
    </row>
    <row r="37" spans="1:17" s="2" customFormat="1" ht="12" customHeight="1">
      <c r="A37" s="4">
        <f t="shared" si="23"/>
        <v>704</v>
      </c>
      <c r="B37" s="2">
        <v>2</v>
      </c>
      <c r="C37" s="111" t="s">
        <v>577</v>
      </c>
      <c r="D37" s="268" t="str">
        <f>VLOOKUP(C37,Extrusion!B:C,2,0)</f>
        <v>Assy .210</v>
      </c>
      <c r="E37" s="269"/>
      <c r="F37" s="112" t="str">
        <f>VLOOKUP(C37,Extrusion!B:M,6,0)</f>
        <v>BOSCH</v>
      </c>
      <c r="G37" s="112" t="str">
        <f>VLOOKUP(C37,Extrusion!B:M,7,0)</f>
        <v>NULINE</v>
      </c>
      <c r="H37" s="112" t="str">
        <f>VLOOKUP(C37,Extrusion!B:M,8,0)</f>
        <v xml:space="preserve"> </v>
      </c>
      <c r="I37" s="113"/>
      <c r="J37" s="44" t="str">
        <f>VLOOKUP(C37,Extrusion!B:M,9,0)</f>
        <v>N/A</v>
      </c>
      <c r="K37" s="44">
        <f>VLOOKUP(C37,Extrusion!B:M,10,0)</f>
        <v>44894</v>
      </c>
      <c r="L37" s="44">
        <f>VLOOKUP(C37,Extrusion!B:M,11,0)</f>
        <v>44970</v>
      </c>
      <c r="M37" s="44">
        <f>VLOOKUP(C37,Extrusion!B:M,12,0)</f>
        <v>44970</v>
      </c>
      <c r="N37" s="45">
        <f>VLOOKUP(C37,Extrusion!B:N,13,0)</f>
        <v>54598</v>
      </c>
      <c r="O37" s="45" t="e">
        <f t="shared" ca="1" si="21"/>
        <v>#VALUE!</v>
      </c>
      <c r="P37" s="49">
        <f>IFERROR(VLOOKUP(C37,Extrusion!B:F,5,0),"")</f>
        <v>90.499121333333335</v>
      </c>
      <c r="Q37" s="50">
        <f t="shared" si="22"/>
        <v>180.99824266666667</v>
      </c>
    </row>
    <row r="38" spans="1:17" s="2" customFormat="1" ht="12" customHeight="1">
      <c r="A38" s="4">
        <f t="shared" si="23"/>
        <v>705</v>
      </c>
      <c r="B38" s="2">
        <v>2</v>
      </c>
      <c r="C38" s="111" t="s">
        <v>578</v>
      </c>
      <c r="D38" s="268" t="str">
        <f>VLOOKUP(C38,Extrusion!B:C,2,0)</f>
        <v>Assy .210</v>
      </c>
      <c r="E38" s="269"/>
      <c r="F38" s="112" t="str">
        <f>VLOOKUP(C38,Extrusion!B:M,6,0)</f>
        <v>BOSCH</v>
      </c>
      <c r="G38" s="112" t="str">
        <f>VLOOKUP(C38,Extrusion!B:M,7,0)</f>
        <v>NULINE</v>
      </c>
      <c r="H38" s="112" t="str">
        <f>VLOOKUP(C38,Extrusion!B:M,8,0)</f>
        <v xml:space="preserve"> </v>
      </c>
      <c r="I38" s="113"/>
      <c r="J38" s="44" t="str">
        <f>VLOOKUP(C38,Extrusion!B:M,9,0)</f>
        <v>N/A</v>
      </c>
      <c r="K38" s="44">
        <f>VLOOKUP(C38,Extrusion!B:M,10,0)</f>
        <v>44894</v>
      </c>
      <c r="L38" s="44">
        <f>VLOOKUP(C38,Extrusion!B:M,11,0)</f>
        <v>44970</v>
      </c>
      <c r="M38" s="44">
        <f>VLOOKUP(C38,Extrusion!B:M,12,0)</f>
        <v>44970</v>
      </c>
      <c r="N38" s="45">
        <f>VLOOKUP(C38,Extrusion!B:N,13,0)</f>
        <v>54598</v>
      </c>
      <c r="O38" s="45" t="e">
        <f t="shared" ca="1" si="21"/>
        <v>#VALUE!</v>
      </c>
      <c r="P38" s="49">
        <f>IFERROR(VLOOKUP(C38,Extrusion!B:F,5,0),"")</f>
        <v>76.779175000000009</v>
      </c>
      <c r="Q38" s="50">
        <f t="shared" si="22"/>
        <v>153.55835000000002</v>
      </c>
    </row>
    <row r="39" spans="1:17" s="2" customFormat="1" ht="12" customHeight="1">
      <c r="A39" s="4">
        <f t="shared" si="23"/>
        <v>706</v>
      </c>
      <c r="B39" s="2">
        <v>4</v>
      </c>
      <c r="C39" s="111" t="s">
        <v>579</v>
      </c>
      <c r="D39" s="268" t="str">
        <f>VLOOKUP(C39,Extrusion!B:C,2,0)</f>
        <v>Assy .210</v>
      </c>
      <c r="E39" s="269"/>
      <c r="F39" s="112" t="str">
        <f>VLOOKUP(C39,Extrusion!B:M,6,0)</f>
        <v>BOSCH</v>
      </c>
      <c r="G39" s="112" t="str">
        <f>VLOOKUP(C39,Extrusion!B:M,7,0)</f>
        <v>NULINE</v>
      </c>
      <c r="H39" s="112" t="str">
        <f>VLOOKUP(C39,Extrusion!B:M,8,0)</f>
        <v xml:space="preserve"> </v>
      </c>
      <c r="I39" s="113"/>
      <c r="J39" s="44" t="str">
        <f>VLOOKUP(C39,Extrusion!B:M,9,0)</f>
        <v>N/A</v>
      </c>
      <c r="K39" s="44">
        <f>VLOOKUP(C39,Extrusion!B:M,10,0)</f>
        <v>44894</v>
      </c>
      <c r="L39" s="44">
        <f>VLOOKUP(C39,Extrusion!B:M,11,0)</f>
        <v>44970</v>
      </c>
      <c r="M39" s="44">
        <f>VLOOKUP(C39,Extrusion!B:M,12,0)</f>
        <v>44970</v>
      </c>
      <c r="N39" s="45">
        <f>VLOOKUP(C39,Extrusion!B:N,13,0)</f>
        <v>54598</v>
      </c>
      <c r="O39" s="45" t="e">
        <f t="shared" ca="1" si="21"/>
        <v>#VALUE!</v>
      </c>
      <c r="P39" s="49">
        <f>IFERROR(VLOOKUP(C39,Extrusion!B:F,5,0),"")</f>
        <v>77.295690626666669</v>
      </c>
      <c r="Q39" s="50">
        <f t="shared" si="22"/>
        <v>309.18276250666668</v>
      </c>
    </row>
    <row r="40" spans="1:17" s="2" customFormat="1" ht="12" customHeight="1">
      <c r="A40" s="4">
        <f t="shared" si="23"/>
        <v>707</v>
      </c>
      <c r="B40" s="2">
        <v>6</v>
      </c>
      <c r="C40" s="111" t="s">
        <v>246</v>
      </c>
      <c r="D40" s="268" t="str">
        <f>VLOOKUP(C40,Extrusion!B:C,2,0)</f>
        <v>Assy .110</v>
      </c>
      <c r="E40" s="269"/>
      <c r="F40" s="112" t="str">
        <f>VLOOKUP(C40,Extrusion!B:M,6,0)</f>
        <v>BOSCH</v>
      </c>
      <c r="G40" s="112" t="str">
        <f>VLOOKUP(C40,Extrusion!B:M,7,0)</f>
        <v>NULINE</v>
      </c>
      <c r="H40" s="112" t="str">
        <f>VLOOKUP(C40,Extrusion!B:M,8,0)</f>
        <v xml:space="preserve"> </v>
      </c>
      <c r="I40" s="113"/>
      <c r="J40" s="44" t="str">
        <f>VLOOKUP(C40,Extrusion!B:M,9,0)</f>
        <v>N/A</v>
      </c>
      <c r="K40" s="44">
        <f>VLOOKUP(C40,Extrusion!B:M,10,0)</f>
        <v>44894</v>
      </c>
      <c r="L40" s="44">
        <f>VLOOKUP(C40,Extrusion!B:M,11,0)</f>
        <v>44970</v>
      </c>
      <c r="M40" s="44">
        <f>VLOOKUP(C40,Extrusion!B:M,12,0)</f>
        <v>44970</v>
      </c>
      <c r="N40" s="45">
        <f>VLOOKUP(C40,Extrusion!B:N,13,0)</f>
        <v>54598</v>
      </c>
      <c r="O40" s="45" t="e">
        <f t="shared" ca="1" si="21"/>
        <v>#VALUE!</v>
      </c>
      <c r="P40" s="49">
        <f>IFERROR(VLOOKUP(C40,Extrusion!B:F,5,0),"")</f>
        <v>151.835352</v>
      </c>
      <c r="Q40" s="50">
        <f t="shared" si="22"/>
        <v>911.012112</v>
      </c>
    </row>
    <row r="41" spans="1:17" s="2" customFormat="1" ht="12" customHeight="1">
      <c r="A41" s="4">
        <f t="shared" si="23"/>
        <v>708</v>
      </c>
      <c r="B41" s="2">
        <v>8</v>
      </c>
      <c r="C41" s="111" t="s">
        <v>580</v>
      </c>
      <c r="D41" s="268" t="str">
        <f>VLOOKUP(C41,Extrusion!B:C,2,0)</f>
        <v>Assy .210</v>
      </c>
      <c r="E41" s="269"/>
      <c r="F41" s="112" t="str">
        <f>VLOOKUP(C41,Extrusion!B:M,6,0)</f>
        <v>BOSCH</v>
      </c>
      <c r="G41" s="112" t="str">
        <f>VLOOKUP(C41,Extrusion!B:M,7,0)</f>
        <v>NULINE</v>
      </c>
      <c r="H41" s="112" t="str">
        <f>VLOOKUP(C41,Extrusion!B:M,8,0)</f>
        <v xml:space="preserve"> </v>
      </c>
      <c r="I41" s="113"/>
      <c r="J41" s="44" t="str">
        <f>VLOOKUP(C41,Extrusion!B:M,9,0)</f>
        <v>N/A</v>
      </c>
      <c r="K41" s="44">
        <f>VLOOKUP(C41,Extrusion!B:M,10,0)</f>
        <v>44894</v>
      </c>
      <c r="L41" s="44">
        <f>VLOOKUP(C41,Extrusion!B:M,11,0)</f>
        <v>44970</v>
      </c>
      <c r="M41" s="44">
        <f>VLOOKUP(C41,Extrusion!B:M,12,0)</f>
        <v>44970</v>
      </c>
      <c r="N41" s="45">
        <f>VLOOKUP(C41,Extrusion!B:N,13,0)</f>
        <v>54598</v>
      </c>
      <c r="O41" s="45" t="e">
        <f t="shared" ca="1" si="21"/>
        <v>#VALUE!</v>
      </c>
      <c r="P41" s="49">
        <f>IFERROR(VLOOKUP(C41,Extrusion!B:F,5,0),"")</f>
        <v>187.26509576666669</v>
      </c>
      <c r="Q41" s="50">
        <f t="shared" si="22"/>
        <v>1498.1207661333335</v>
      </c>
    </row>
    <row r="42" spans="1:17" s="2" customFormat="1" ht="12" customHeight="1">
      <c r="A42" s="4">
        <f t="shared" si="23"/>
        <v>709</v>
      </c>
      <c r="B42" s="2">
        <v>2</v>
      </c>
      <c r="C42" s="111" t="s">
        <v>581</v>
      </c>
      <c r="D42" s="268" t="str">
        <f>VLOOKUP(C42,Extrusion!B:C,2,0)</f>
        <v>Assy .210</v>
      </c>
      <c r="E42" s="269"/>
      <c r="F42" s="112" t="str">
        <f>VLOOKUP(C42,Extrusion!B:M,6,0)</f>
        <v>BOSCH</v>
      </c>
      <c r="G42" s="112" t="str">
        <f>VLOOKUP(C42,Extrusion!B:M,7,0)</f>
        <v>NULINE</v>
      </c>
      <c r="H42" s="112" t="str">
        <f>VLOOKUP(C42,Extrusion!B:M,8,0)</f>
        <v xml:space="preserve"> </v>
      </c>
      <c r="I42" s="113"/>
      <c r="J42" s="44" t="str">
        <f>VLOOKUP(C42,Extrusion!B:M,9,0)</f>
        <v>N/A</v>
      </c>
      <c r="K42" s="44">
        <f>VLOOKUP(C42,Extrusion!B:M,10,0)</f>
        <v>44894</v>
      </c>
      <c r="L42" s="44">
        <f>VLOOKUP(C42,Extrusion!B:M,11,0)</f>
        <v>44970</v>
      </c>
      <c r="M42" s="44">
        <f>VLOOKUP(C42,Extrusion!B:M,12,0)</f>
        <v>44970</v>
      </c>
      <c r="N42" s="45">
        <f>VLOOKUP(C42,Extrusion!B:N,13,0)</f>
        <v>54598</v>
      </c>
      <c r="O42" s="45" t="e">
        <f t="shared" ca="1" si="21"/>
        <v>#VALUE!</v>
      </c>
      <c r="P42" s="49">
        <f>IFERROR(VLOOKUP(C42,Extrusion!B:F,5,0),"")</f>
        <v>173.30303273333334</v>
      </c>
      <c r="Q42" s="50">
        <f t="shared" si="22"/>
        <v>346.60606546666668</v>
      </c>
    </row>
    <row r="43" spans="1:17" s="2" customFormat="1" ht="12" customHeight="1">
      <c r="A43" s="241">
        <f t="shared" si="23"/>
        <v>710</v>
      </c>
      <c r="B43" s="240">
        <v>4</v>
      </c>
      <c r="C43" s="111" t="s">
        <v>253</v>
      </c>
      <c r="D43" s="268" t="str">
        <f>VLOOKUP(C43,Extrusion!B:C,2,0)</f>
        <v>Assy .110</v>
      </c>
      <c r="E43" s="269"/>
      <c r="F43" s="112" t="str">
        <f>VLOOKUP(C43,Extrusion!B:M,6,0)</f>
        <v>BOSCH</v>
      </c>
      <c r="G43" s="112" t="str">
        <f>VLOOKUP(C43,Extrusion!B:M,7,0)</f>
        <v>NULINE</v>
      </c>
      <c r="H43" s="112" t="str">
        <f>VLOOKUP(C43,Extrusion!B:M,8,0)</f>
        <v xml:space="preserve"> </v>
      </c>
      <c r="I43" s="113"/>
      <c r="J43" s="44" t="str">
        <f>VLOOKUP(C43,Extrusion!B:M,9,0)</f>
        <v>N/A</v>
      </c>
      <c r="K43" s="44">
        <f>VLOOKUP(C43,Extrusion!B:M,10,0)</f>
        <v>44894</v>
      </c>
      <c r="L43" s="44">
        <f>VLOOKUP(C43,Extrusion!B:M,11,0)</f>
        <v>44970</v>
      </c>
      <c r="M43" s="44">
        <f>VLOOKUP(C43,Extrusion!B:M,12,0)</f>
        <v>44970</v>
      </c>
      <c r="N43" s="45">
        <f>VLOOKUP(C43,Extrusion!B:N,13,0)</f>
        <v>54598</v>
      </c>
      <c r="O43" s="45" t="e">
        <f t="shared" ref="O43" ca="1" si="24">B43*$L$2</f>
        <v>#VALUE!</v>
      </c>
      <c r="P43" s="49">
        <f>IFERROR(VLOOKUP(C43,Extrusion!B:F,5,0),"")</f>
        <v>32.189349416666666</v>
      </c>
      <c r="Q43" s="50">
        <f t="shared" ref="Q43" si="25">IFERROR(B43*P43,"")</f>
        <v>128.75739766666666</v>
      </c>
    </row>
    <row r="44" spans="1:17" s="2" customFormat="1" ht="12" customHeight="1">
      <c r="A44" s="4">
        <f t="shared" si="23"/>
        <v>711</v>
      </c>
      <c r="B44" s="2">
        <v>2</v>
      </c>
      <c r="C44" s="111" t="s">
        <v>582</v>
      </c>
      <c r="D44" s="268" t="str">
        <f>VLOOKUP(C44,Extrusion!B:C,2,0)</f>
        <v>Assy .210</v>
      </c>
      <c r="E44" s="269"/>
      <c r="F44" s="112" t="str">
        <f>VLOOKUP(C44,Extrusion!B:M,6,0)</f>
        <v>BOSCH</v>
      </c>
      <c r="G44" s="112" t="str">
        <f>VLOOKUP(C44,Extrusion!B:M,7,0)</f>
        <v>NULINE</v>
      </c>
      <c r="H44" s="112" t="str">
        <f>VLOOKUP(C44,Extrusion!B:M,8,0)</f>
        <v xml:space="preserve"> </v>
      </c>
      <c r="I44" s="113"/>
      <c r="J44" s="44" t="str">
        <f>VLOOKUP(C44,Extrusion!B:M,9,0)</f>
        <v>N/A</v>
      </c>
      <c r="K44" s="44">
        <f>VLOOKUP(C44,Extrusion!B:M,10,0)</f>
        <v>44894</v>
      </c>
      <c r="L44" s="44">
        <f>VLOOKUP(C44,Extrusion!B:M,11,0)</f>
        <v>44970</v>
      </c>
      <c r="M44" s="44">
        <f>VLOOKUP(C44,Extrusion!B:M,12,0)</f>
        <v>44970</v>
      </c>
      <c r="N44" s="45">
        <f>VLOOKUP(C44,Extrusion!B:N,13,0)</f>
        <v>54598</v>
      </c>
      <c r="O44" s="45" t="e">
        <f t="shared" ref="O44" ca="1" si="26">B44*$L$2</f>
        <v>#VALUE!</v>
      </c>
      <c r="P44" s="49">
        <f>IFERROR(VLOOKUP(C44,Extrusion!B:F,5,0),"")</f>
        <v>49.321288250000002</v>
      </c>
      <c r="Q44" s="50">
        <f t="shared" ref="Q44" si="27">IFERROR(B44*P44,"")</f>
        <v>98.642576500000004</v>
      </c>
    </row>
    <row r="45" spans="1:17" s="2" customFormat="1" ht="12" customHeight="1" thickBot="1">
      <c r="A45" s="4">
        <f t="shared" si="23"/>
        <v>712</v>
      </c>
      <c r="B45" s="2">
        <v>4</v>
      </c>
      <c r="C45" s="111" t="s">
        <v>321</v>
      </c>
      <c r="D45" s="268" t="str">
        <f>VLOOKUP(C45,Extrusion!B:C,2,0)</f>
        <v>Assy 120</v>
      </c>
      <c r="E45" s="269"/>
      <c r="F45" s="112" t="str">
        <f>VLOOKUP(C45,Extrusion!B:M,6,0)</f>
        <v>BOSCH</v>
      </c>
      <c r="G45" s="112" t="str">
        <f>VLOOKUP(C45,Extrusion!B:M,7,0)</f>
        <v>NULINE</v>
      </c>
      <c r="H45" s="112">
        <f>VLOOKUP(C45,Extrusion!B:M,8,0)</f>
        <v>0</v>
      </c>
      <c r="I45" s="113"/>
      <c r="J45" s="44" t="str">
        <f>VLOOKUP(C45,Extrusion!B:M,9,0)</f>
        <v>N/A</v>
      </c>
      <c r="K45" s="44">
        <f>VLOOKUP(C45,Extrusion!B:M,10,0)</f>
        <v>44894</v>
      </c>
      <c r="L45" s="44">
        <f>VLOOKUP(C45,Extrusion!B:M,11,0)</f>
        <v>44970</v>
      </c>
      <c r="M45" s="44">
        <f>VLOOKUP(C45,Extrusion!B:M,12,0)</f>
        <v>44970</v>
      </c>
      <c r="N45" s="45">
        <f>VLOOKUP(C45,Extrusion!B:N,13,0)</f>
        <v>54598</v>
      </c>
      <c r="O45" s="45" t="e">
        <f t="shared" ca="1" si="21"/>
        <v>#VALUE!</v>
      </c>
      <c r="P45" s="49">
        <f>IFERROR(VLOOKUP(C45,Extrusion!B:F,5,0),"")</f>
        <v>52.132552616666665</v>
      </c>
      <c r="Q45" s="50">
        <f t="shared" si="22"/>
        <v>208.53021046666666</v>
      </c>
    </row>
    <row r="46" spans="1:17" s="2" customFormat="1" ht="12.75" customHeight="1" thickBot="1">
      <c r="A46" s="34"/>
      <c r="B46" s="35"/>
      <c r="C46" s="35"/>
      <c r="D46" s="256"/>
      <c r="E46" s="257"/>
      <c r="F46" s="35"/>
      <c r="G46" s="35"/>
      <c r="H46" s="294"/>
      <c r="I46" s="295"/>
      <c r="J46" s="36"/>
      <c r="K46" s="36"/>
      <c r="L46" s="36"/>
      <c r="M46" s="37"/>
      <c r="N46" s="38"/>
      <c r="O46" s="38"/>
      <c r="P46" s="89" t="s">
        <v>43</v>
      </c>
      <c r="Q46" s="94">
        <f>SUM(Q5:Q45)</f>
        <v>26808.605476787612</v>
      </c>
    </row>
    <row r="47" spans="1:17" s="2" customFormat="1" ht="12" customHeight="1">
      <c r="D47" s="22"/>
      <c r="E47" s="22"/>
      <c r="J47" s="8"/>
      <c r="K47" s="8"/>
      <c r="L47" s="8"/>
      <c r="M47" s="8"/>
      <c r="N47" s="5"/>
      <c r="O47" s="5"/>
      <c r="P47" s="88"/>
      <c r="Q47" s="95"/>
    </row>
    <row r="48" spans="1:17" s="2" customFormat="1" ht="12" customHeight="1">
      <c r="D48" s="22"/>
      <c r="E48" s="22"/>
      <c r="J48" s="5"/>
      <c r="K48" s="5"/>
      <c r="L48" s="5"/>
      <c r="M48" s="5"/>
      <c r="N48" s="5"/>
      <c r="O48" s="5"/>
      <c r="P48" s="88"/>
      <c r="Q48" s="95"/>
    </row>
    <row r="49" spans="4:17" s="2" customFormat="1" ht="12" customHeight="1">
      <c r="D49" s="22"/>
      <c r="E49" s="22"/>
      <c r="J49" s="5"/>
      <c r="K49" s="5"/>
      <c r="L49" s="5"/>
      <c r="M49" s="5"/>
      <c r="N49" s="5"/>
      <c r="O49" s="5"/>
      <c r="P49" s="88"/>
      <c r="Q49" s="95"/>
    </row>
    <row r="50" spans="4:17" s="2" customFormat="1" ht="12" customHeight="1">
      <c r="D50" s="22"/>
      <c r="E50" s="22"/>
      <c r="J50" s="5"/>
      <c r="K50" s="5"/>
      <c r="L50" s="5"/>
      <c r="M50" s="5"/>
      <c r="N50" s="5"/>
      <c r="O50" s="5"/>
      <c r="P50" s="88"/>
      <c r="Q50" s="95"/>
    </row>
    <row r="51" spans="4:17" s="2" customFormat="1" ht="12" customHeight="1">
      <c r="D51" s="22"/>
      <c r="E51" s="22"/>
      <c r="J51" s="5"/>
      <c r="K51" s="5"/>
      <c r="L51" s="5"/>
      <c r="M51" s="5"/>
      <c r="N51" s="5"/>
      <c r="O51" s="5"/>
      <c r="P51" s="88"/>
      <c r="Q51" s="95"/>
    </row>
    <row r="52" spans="4:17" s="2" customFormat="1" ht="12" customHeight="1">
      <c r="D52" s="22"/>
      <c r="E52" s="22"/>
      <c r="J52" s="5"/>
      <c r="K52" s="5"/>
      <c r="L52" s="5"/>
      <c r="M52" s="5"/>
      <c r="N52" s="5"/>
      <c r="O52" s="5"/>
      <c r="P52" s="88"/>
      <c r="Q52" s="95"/>
    </row>
    <row r="53" spans="4:17" s="2" customFormat="1" ht="12" customHeight="1">
      <c r="D53" s="22"/>
      <c r="E53" s="22"/>
      <c r="J53" s="5"/>
      <c r="K53" s="5"/>
      <c r="L53" s="5"/>
      <c r="M53" s="5"/>
      <c r="N53" s="5"/>
      <c r="O53" s="5"/>
      <c r="P53" s="88"/>
      <c r="Q53" s="95"/>
    </row>
    <row r="54" spans="4:17" s="2" customFormat="1" ht="12" customHeight="1">
      <c r="D54" s="22"/>
      <c r="E54" s="22"/>
      <c r="J54" s="5"/>
      <c r="K54" s="5"/>
      <c r="L54" s="5"/>
      <c r="M54" s="5"/>
      <c r="N54" s="5"/>
      <c r="O54" s="5"/>
      <c r="P54" s="88"/>
      <c r="Q54" s="95"/>
    </row>
    <row r="55" spans="4:17" s="2" customFormat="1" ht="12" customHeight="1">
      <c r="D55" s="22"/>
      <c r="E55" s="22"/>
      <c r="J55" s="5"/>
      <c r="K55" s="5"/>
      <c r="L55" s="5"/>
      <c r="M55" s="5"/>
      <c r="N55" s="5"/>
      <c r="O55" s="5"/>
      <c r="P55" s="88"/>
      <c r="Q55" s="95"/>
    </row>
    <row r="56" spans="4:17" s="2" customFormat="1" ht="12" customHeight="1">
      <c r="D56" s="22"/>
      <c r="E56" s="22"/>
      <c r="J56" s="5"/>
      <c r="K56" s="5"/>
      <c r="L56" s="5"/>
      <c r="M56" s="5"/>
      <c r="N56" s="5"/>
      <c r="O56" s="5"/>
      <c r="P56" s="88"/>
      <c r="Q56" s="95"/>
    </row>
    <row r="57" spans="4:17" s="2" customFormat="1" ht="12" customHeight="1">
      <c r="D57" s="22"/>
      <c r="E57" s="22"/>
      <c r="J57" s="5"/>
      <c r="K57" s="5"/>
      <c r="L57" s="5"/>
      <c r="M57" s="5"/>
      <c r="N57" s="5"/>
      <c r="O57" s="5"/>
      <c r="P57" s="88"/>
      <c r="Q57" s="95"/>
    </row>
    <row r="58" spans="4:17" s="2" customFormat="1" ht="12" customHeight="1">
      <c r="D58" s="22"/>
      <c r="E58" s="22"/>
      <c r="J58" s="5"/>
      <c r="K58" s="5"/>
      <c r="L58" s="5"/>
      <c r="M58" s="5"/>
      <c r="N58" s="5"/>
      <c r="O58" s="5"/>
      <c r="P58" s="88"/>
      <c r="Q58" s="95"/>
    </row>
    <row r="59" spans="4:17" s="2" customFormat="1" ht="12" customHeight="1">
      <c r="D59" s="22"/>
      <c r="E59" s="22"/>
      <c r="J59" s="5"/>
      <c r="K59" s="5"/>
      <c r="L59" s="5"/>
      <c r="M59" s="5"/>
      <c r="N59" s="5"/>
      <c r="O59" s="5"/>
      <c r="P59" s="88"/>
      <c r="Q59" s="95"/>
    </row>
    <row r="60" spans="4:17" s="2" customFormat="1" ht="12" customHeight="1">
      <c r="D60" s="22"/>
      <c r="E60" s="22"/>
      <c r="J60" s="5"/>
      <c r="K60" s="5"/>
      <c r="L60" s="5"/>
      <c r="M60" s="5"/>
      <c r="N60" s="5"/>
      <c r="O60" s="5"/>
      <c r="P60" s="88"/>
      <c r="Q60" s="95"/>
    </row>
    <row r="61" spans="4:17" s="2" customFormat="1" ht="12" customHeight="1">
      <c r="D61" s="22"/>
      <c r="E61" s="22"/>
      <c r="J61" s="5"/>
      <c r="K61" s="5"/>
      <c r="L61" s="5"/>
      <c r="M61" s="5"/>
      <c r="N61" s="5"/>
      <c r="O61" s="5"/>
      <c r="P61" s="88"/>
      <c r="Q61" s="95"/>
    </row>
    <row r="62" spans="4:17" s="2" customFormat="1" ht="12" customHeight="1">
      <c r="D62" s="22"/>
      <c r="E62" s="22"/>
      <c r="J62" s="5"/>
      <c r="K62" s="5"/>
      <c r="L62" s="5"/>
      <c r="M62" s="5"/>
      <c r="N62" s="5"/>
      <c r="O62" s="5"/>
      <c r="P62" s="88"/>
      <c r="Q62" s="95"/>
    </row>
    <row r="63" spans="4:17" s="2" customFormat="1" ht="12" customHeight="1">
      <c r="D63" s="22"/>
      <c r="E63" s="22"/>
      <c r="J63" s="5"/>
      <c r="K63" s="5"/>
      <c r="L63" s="5"/>
      <c r="M63" s="5"/>
      <c r="N63" s="5"/>
      <c r="O63" s="5"/>
      <c r="P63" s="88"/>
      <c r="Q63" s="95"/>
    </row>
    <row r="64" spans="4:17" s="2" customFormat="1" ht="12" customHeight="1">
      <c r="D64" s="22"/>
      <c r="E64" s="22"/>
      <c r="J64" s="5"/>
      <c r="K64" s="5"/>
      <c r="L64" s="5"/>
      <c r="M64" s="5"/>
      <c r="N64" s="5"/>
      <c r="O64" s="5"/>
      <c r="P64" s="88"/>
      <c r="Q64" s="95"/>
    </row>
    <row r="65" spans="4:17" s="2" customFormat="1" ht="12" customHeight="1">
      <c r="D65" s="22"/>
      <c r="E65" s="22"/>
      <c r="J65" s="5"/>
      <c r="K65" s="5"/>
      <c r="L65" s="5"/>
      <c r="M65" s="5"/>
      <c r="N65" s="5"/>
      <c r="O65" s="5"/>
      <c r="P65" s="88"/>
      <c r="Q65" s="95"/>
    </row>
    <row r="66" spans="4:17" s="2" customFormat="1" ht="12" customHeight="1">
      <c r="D66" s="22"/>
      <c r="E66" s="22"/>
      <c r="J66" s="5"/>
      <c r="K66" s="5"/>
      <c r="L66" s="5"/>
      <c r="M66" s="5"/>
      <c r="N66" s="5"/>
      <c r="O66" s="5"/>
      <c r="P66" s="88"/>
      <c r="Q66" s="95"/>
    </row>
    <row r="67" spans="4:17" s="2" customFormat="1" ht="12" customHeight="1">
      <c r="D67" s="22"/>
      <c r="E67" s="22"/>
      <c r="J67" s="5"/>
      <c r="K67" s="5"/>
      <c r="L67" s="5"/>
      <c r="M67" s="5"/>
      <c r="N67" s="5"/>
      <c r="O67" s="5"/>
      <c r="P67" s="88"/>
      <c r="Q67" s="95"/>
    </row>
    <row r="68" spans="4:17" s="2" customFormat="1" ht="12" customHeight="1">
      <c r="D68" s="22"/>
      <c r="E68" s="22"/>
      <c r="J68" s="5"/>
      <c r="K68" s="5"/>
      <c r="L68" s="5"/>
      <c r="M68" s="5"/>
      <c r="N68" s="5"/>
      <c r="O68" s="5"/>
      <c r="P68" s="88"/>
      <c r="Q68" s="95"/>
    </row>
    <row r="69" spans="4:17" s="2" customFormat="1" ht="12" customHeight="1">
      <c r="D69" s="22"/>
      <c r="E69" s="22"/>
      <c r="J69" s="5"/>
      <c r="K69" s="5"/>
      <c r="L69" s="5"/>
      <c r="M69" s="5"/>
      <c r="N69" s="5"/>
      <c r="O69" s="5"/>
      <c r="P69" s="88"/>
      <c r="Q69" s="95"/>
    </row>
    <row r="70" spans="4:17" s="2" customFormat="1" ht="12" customHeight="1">
      <c r="D70" s="22"/>
      <c r="E70" s="22"/>
      <c r="J70" s="5"/>
      <c r="K70" s="5"/>
      <c r="L70" s="5"/>
      <c r="M70" s="5"/>
      <c r="N70" s="5"/>
      <c r="O70" s="5"/>
      <c r="P70" s="88"/>
      <c r="Q70" s="95"/>
    </row>
    <row r="71" spans="4:17" s="2" customFormat="1" ht="12" customHeight="1">
      <c r="D71" s="22"/>
      <c r="E71" s="22"/>
      <c r="J71" s="5"/>
      <c r="K71" s="5"/>
      <c r="L71" s="5"/>
      <c r="M71" s="5"/>
      <c r="N71" s="5"/>
      <c r="O71" s="5"/>
      <c r="P71" s="88"/>
      <c r="Q71" s="95"/>
    </row>
    <row r="72" spans="4:17" s="2" customFormat="1" ht="12" customHeight="1">
      <c r="D72" s="22"/>
      <c r="E72" s="22"/>
      <c r="J72" s="5"/>
      <c r="K72" s="5"/>
      <c r="L72" s="5"/>
      <c r="M72" s="5"/>
      <c r="N72" s="5"/>
      <c r="O72" s="5"/>
      <c r="P72" s="88"/>
      <c r="Q72" s="95"/>
    </row>
    <row r="73" spans="4:17" s="2" customFormat="1" ht="12" customHeight="1">
      <c r="D73" s="22"/>
      <c r="E73" s="22"/>
      <c r="J73" s="5"/>
      <c r="K73" s="5"/>
      <c r="L73" s="5"/>
      <c r="M73" s="5"/>
      <c r="N73" s="5"/>
      <c r="O73" s="5"/>
      <c r="P73" s="88"/>
      <c r="Q73" s="95"/>
    </row>
    <row r="74" spans="4:17" s="2" customFormat="1" ht="12" customHeight="1">
      <c r="D74" s="22"/>
      <c r="E74" s="22"/>
      <c r="J74" s="5"/>
      <c r="K74" s="5"/>
      <c r="L74" s="5"/>
      <c r="M74" s="5"/>
      <c r="N74" s="5"/>
      <c r="O74" s="5"/>
      <c r="P74" s="88"/>
      <c r="Q74" s="95"/>
    </row>
    <row r="75" spans="4:17" s="2" customFormat="1" ht="12" customHeight="1">
      <c r="D75" s="22"/>
      <c r="E75" s="22"/>
      <c r="J75" s="5"/>
      <c r="K75" s="5"/>
      <c r="L75" s="5"/>
      <c r="M75" s="5"/>
      <c r="N75" s="5"/>
      <c r="O75" s="5"/>
      <c r="P75" s="88"/>
      <c r="Q75" s="95"/>
    </row>
    <row r="76" spans="4:17" s="2" customFormat="1" ht="12" customHeight="1">
      <c r="D76" s="22"/>
      <c r="E76" s="22"/>
      <c r="J76" s="5"/>
      <c r="K76" s="5"/>
      <c r="L76" s="5"/>
      <c r="M76" s="5"/>
      <c r="N76" s="5"/>
      <c r="O76" s="5"/>
      <c r="P76" s="88"/>
      <c r="Q76" s="95"/>
    </row>
    <row r="77" spans="4:17" s="2" customFormat="1" ht="12" customHeight="1">
      <c r="D77" s="22"/>
      <c r="E77" s="22"/>
      <c r="J77" s="5"/>
      <c r="K77" s="5"/>
      <c r="L77" s="5"/>
      <c r="M77" s="5"/>
      <c r="N77" s="5"/>
      <c r="O77" s="5"/>
      <c r="P77" s="88"/>
      <c r="Q77" s="95"/>
    </row>
    <row r="78" spans="4:17" s="2" customFormat="1" ht="12" customHeight="1">
      <c r="D78" s="22"/>
      <c r="E78" s="22"/>
      <c r="J78" s="5"/>
      <c r="K78" s="5"/>
      <c r="L78" s="5"/>
      <c r="M78" s="5"/>
      <c r="N78" s="5"/>
      <c r="O78" s="5"/>
      <c r="P78" s="88"/>
      <c r="Q78" s="95"/>
    </row>
    <row r="79" spans="4:17" s="2" customFormat="1" ht="12" customHeight="1">
      <c r="D79" s="22"/>
      <c r="E79" s="22"/>
      <c r="J79" s="5"/>
      <c r="K79" s="5"/>
      <c r="L79" s="5"/>
      <c r="M79" s="5"/>
      <c r="N79" s="5"/>
      <c r="O79" s="5"/>
      <c r="P79" s="88"/>
      <c r="Q79" s="95"/>
    </row>
    <row r="80" spans="4:17" s="2" customFormat="1" ht="12" customHeight="1">
      <c r="D80" s="22"/>
      <c r="E80" s="22"/>
      <c r="J80" s="5"/>
      <c r="K80" s="5"/>
      <c r="L80" s="5"/>
      <c r="M80" s="5"/>
      <c r="N80" s="5"/>
      <c r="O80" s="5"/>
      <c r="P80" s="88"/>
      <c r="Q80" s="95"/>
    </row>
    <row r="81" spans="1:17" s="2" customFormat="1" ht="12" customHeight="1">
      <c r="D81" s="22"/>
      <c r="E81" s="22"/>
      <c r="J81" s="5"/>
      <c r="K81" s="5"/>
      <c r="L81" s="5"/>
      <c r="M81" s="5"/>
      <c r="N81" s="5"/>
      <c r="O81" s="5"/>
      <c r="P81" s="88"/>
      <c r="Q81" s="95"/>
    </row>
    <row r="82" spans="1:17" s="2" customFormat="1" ht="12" customHeight="1">
      <c r="D82" s="22"/>
      <c r="E82" s="22"/>
      <c r="J82" s="5"/>
      <c r="K82" s="5"/>
      <c r="L82" s="5"/>
      <c r="M82" s="5"/>
      <c r="N82" s="5"/>
      <c r="O82" s="5"/>
      <c r="P82" s="88"/>
      <c r="Q82" s="95"/>
    </row>
    <row r="83" spans="1:17" s="2" customFormat="1" ht="12" customHeight="1">
      <c r="D83" s="22"/>
      <c r="E83" s="22"/>
      <c r="J83" s="5"/>
      <c r="K83" s="5"/>
      <c r="L83" s="5"/>
      <c r="M83" s="5"/>
      <c r="N83" s="5"/>
      <c r="O83" s="5"/>
      <c r="P83" s="88"/>
      <c r="Q83" s="95"/>
    </row>
    <row r="84" spans="1:17" s="2" customFormat="1" ht="12" customHeight="1">
      <c r="D84" s="22"/>
      <c r="E84" s="22"/>
      <c r="J84" s="5"/>
      <c r="K84" s="5"/>
      <c r="L84" s="5"/>
      <c r="M84" s="5"/>
      <c r="N84" s="5"/>
      <c r="O84" s="5"/>
      <c r="P84" s="88"/>
      <c r="Q84" s="95"/>
    </row>
    <row r="85" spans="1:17" s="2" customFormat="1" ht="12" customHeight="1">
      <c r="D85" s="22"/>
      <c r="E85" s="22"/>
      <c r="J85" s="5"/>
      <c r="K85" s="5"/>
      <c r="L85" s="5"/>
      <c r="M85" s="5"/>
      <c r="N85" s="5"/>
      <c r="O85" s="5"/>
      <c r="P85" s="88"/>
      <c r="Q85" s="96"/>
    </row>
    <row r="86" spans="1:17" s="2" customFormat="1" ht="12" customHeight="1">
      <c r="D86" s="22"/>
      <c r="E86" s="22"/>
      <c r="J86" s="5"/>
      <c r="K86" s="5"/>
      <c r="L86" s="5"/>
      <c r="M86" s="5"/>
      <c r="N86" s="5"/>
      <c r="O86" s="5"/>
      <c r="P86" s="88"/>
      <c r="Q86" s="96"/>
    </row>
    <row r="87" spans="1:17" s="2" customFormat="1" ht="12" customHeight="1">
      <c r="D87" s="22"/>
      <c r="E87" s="22"/>
      <c r="J87" s="5"/>
      <c r="K87" s="5"/>
      <c r="L87" s="5"/>
      <c r="M87" s="5"/>
      <c r="N87" s="5"/>
      <c r="O87" s="5"/>
      <c r="P87" s="88"/>
      <c r="Q87" s="96"/>
    </row>
    <row r="88" spans="1:17" s="2" customFormat="1" ht="12" customHeight="1">
      <c r="D88" s="22"/>
      <c r="E88" s="22"/>
      <c r="J88" s="5"/>
      <c r="K88" s="5"/>
      <c r="L88" s="5"/>
      <c r="M88" s="5"/>
      <c r="N88" s="5"/>
      <c r="O88" s="5"/>
      <c r="P88" s="88"/>
      <c r="Q88" s="96"/>
    </row>
    <row r="89" spans="1:17" s="2" customFormat="1" ht="12" customHeight="1">
      <c r="A89"/>
      <c r="B89"/>
      <c r="C89"/>
      <c r="D89" s="23"/>
      <c r="E89" s="23"/>
      <c r="F89"/>
      <c r="G89"/>
      <c r="H89"/>
      <c r="I89"/>
      <c r="J89" s="19"/>
      <c r="K89" s="19"/>
      <c r="L89" s="19"/>
      <c r="M89" s="19"/>
      <c r="N89" s="19"/>
      <c r="O89" s="19"/>
      <c r="P89" s="90"/>
      <c r="Q89" s="96"/>
    </row>
    <row r="90" spans="1:17" s="2" customFormat="1" ht="12" customHeight="1">
      <c r="A90"/>
      <c r="B90"/>
      <c r="C90"/>
      <c r="D90" s="23"/>
      <c r="E90" s="23"/>
      <c r="F90"/>
      <c r="G90"/>
      <c r="H90"/>
      <c r="I90"/>
      <c r="J90" s="19"/>
      <c r="K90" s="19"/>
      <c r="L90" s="19"/>
      <c r="M90" s="19"/>
      <c r="N90" s="19"/>
      <c r="O90" s="19"/>
      <c r="P90" s="90"/>
      <c r="Q90" s="96"/>
    </row>
    <row r="91" spans="1:17" s="2" customFormat="1" ht="12" customHeight="1">
      <c r="A91"/>
      <c r="B91"/>
      <c r="C91"/>
      <c r="D91" s="23"/>
      <c r="E91" s="23"/>
      <c r="F91"/>
      <c r="G91"/>
      <c r="H91"/>
      <c r="I91"/>
      <c r="J91" s="19"/>
      <c r="K91" s="19"/>
      <c r="L91" s="19"/>
      <c r="M91" s="19"/>
      <c r="N91" s="19"/>
      <c r="O91" s="19"/>
      <c r="P91" s="90"/>
      <c r="Q91" s="96"/>
    </row>
    <row r="92" spans="1:17" s="2" customFormat="1" ht="12" customHeight="1">
      <c r="A92"/>
      <c r="B92"/>
      <c r="C92"/>
      <c r="D92" s="23"/>
      <c r="E92" s="23"/>
      <c r="F92"/>
      <c r="G92"/>
      <c r="H92"/>
      <c r="I92"/>
      <c r="J92" s="19"/>
      <c r="K92" s="19"/>
      <c r="L92" s="19"/>
      <c r="M92" s="19"/>
      <c r="N92" s="19"/>
      <c r="O92" s="19"/>
      <c r="P92" s="90"/>
      <c r="Q92" s="96"/>
    </row>
    <row r="93" spans="1:17" s="2" customFormat="1" ht="12" customHeight="1">
      <c r="A93"/>
      <c r="B93"/>
      <c r="C93"/>
      <c r="D93" s="23"/>
      <c r="E93" s="23"/>
      <c r="F93"/>
      <c r="G93"/>
      <c r="H93"/>
      <c r="I93"/>
      <c r="J93" s="19"/>
      <c r="K93" s="19"/>
      <c r="L93" s="19"/>
      <c r="M93" s="19"/>
      <c r="N93" s="19"/>
      <c r="O93" s="19"/>
      <c r="P93" s="90"/>
      <c r="Q93" s="96"/>
    </row>
    <row r="94" spans="1:17">
      <c r="Q94" s="96"/>
    </row>
    <row r="95" spans="1:17">
      <c r="Q95" s="96"/>
    </row>
    <row r="96" spans="1:17">
      <c r="Q96" s="96"/>
    </row>
    <row r="97" spans="17:17">
      <c r="Q97" s="96"/>
    </row>
    <row r="98" spans="17:17">
      <c r="Q98" s="96"/>
    </row>
    <row r="99" spans="17:17">
      <c r="Q99" s="96"/>
    </row>
    <row r="100" spans="17:17">
      <c r="Q100" s="96"/>
    </row>
    <row r="101" spans="17:17">
      <c r="Q101" s="96"/>
    </row>
    <row r="102" spans="17:17">
      <c r="Q102" s="96"/>
    </row>
    <row r="103" spans="17:17">
      <c r="Q103" s="96"/>
    </row>
    <row r="104" spans="17:17">
      <c r="Q104" s="96"/>
    </row>
    <row r="105" spans="17:17">
      <c r="Q105" s="96"/>
    </row>
    <row r="106" spans="17:17">
      <c r="Q106" s="96"/>
    </row>
    <row r="107" spans="17:17">
      <c r="Q107" s="96"/>
    </row>
    <row r="108" spans="17:17">
      <c r="Q108" s="96"/>
    </row>
    <row r="109" spans="17:17">
      <c r="Q109" s="96"/>
    </row>
    <row r="110" spans="17:17">
      <c r="Q110" s="96"/>
    </row>
    <row r="111" spans="17:17">
      <c r="Q111" s="96"/>
    </row>
    <row r="112" spans="17:17">
      <c r="Q112" s="96"/>
    </row>
    <row r="113" spans="17:17">
      <c r="Q113" s="96"/>
    </row>
    <row r="150" ht="12" customHeight="1"/>
    <row r="151" ht="12" customHeight="1"/>
    <row r="152" ht="12" customHeight="1"/>
    <row r="153" ht="12" customHeight="1"/>
    <row r="154" ht="12" customHeight="1"/>
    <row r="155" ht="12" customHeight="1"/>
    <row r="156" ht="12" customHeight="1"/>
    <row r="157" ht="12" customHeight="1"/>
    <row r="158" ht="12" customHeight="1"/>
    <row r="159" ht="12" customHeight="1"/>
    <row r="160" ht="12" customHeight="1"/>
    <row r="161" ht="12" customHeight="1"/>
    <row r="162" ht="12" customHeight="1"/>
    <row r="163" ht="12" customHeight="1"/>
    <row r="164" ht="12" customHeight="1"/>
    <row r="165" ht="12" customHeight="1"/>
    <row r="166" ht="12" customHeight="1"/>
    <row r="167" ht="12" customHeight="1"/>
    <row r="168" ht="12" customHeight="1"/>
    <row r="169" ht="12" customHeight="1"/>
    <row r="170" ht="12" customHeight="1"/>
    <row r="171" ht="12" customHeight="1"/>
    <row r="172" ht="12" customHeight="1"/>
    <row r="173" ht="12" customHeight="1"/>
    <row r="174" ht="12" customHeight="1"/>
    <row r="175" ht="12" customHeight="1"/>
    <row r="176" ht="12" customHeight="1"/>
    <row r="177" ht="12" customHeight="1"/>
    <row r="178" ht="12" customHeight="1"/>
    <row r="179" ht="12" customHeight="1"/>
    <row r="180" ht="12" customHeight="1"/>
    <row r="181" ht="12" customHeight="1"/>
    <row r="182" ht="12" customHeight="1"/>
    <row r="183" ht="12" customHeight="1"/>
    <row r="184" ht="12" customHeight="1"/>
    <row r="185" ht="12" customHeight="1"/>
    <row r="186" ht="12" customHeight="1"/>
    <row r="187" ht="12" customHeight="1"/>
    <row r="188" ht="12" customHeight="1"/>
    <row r="189" ht="12" customHeight="1"/>
    <row r="190" ht="12" customHeight="1"/>
    <row r="191" ht="12" customHeight="1"/>
    <row r="192" ht="12" customHeight="1"/>
    <row r="193" ht="12" customHeight="1"/>
    <row r="194" ht="12" customHeight="1"/>
    <row r="195" ht="12" customHeight="1"/>
    <row r="196" ht="12" customHeight="1"/>
    <row r="197" ht="12" customHeight="1"/>
    <row r="198" ht="12" customHeight="1"/>
    <row r="199" ht="12" customHeight="1"/>
  </sheetData>
  <mergeCells count="63">
    <mergeCell ref="D46:E46"/>
    <mergeCell ref="H46:I46"/>
    <mergeCell ref="D45:E45"/>
    <mergeCell ref="D43:E43"/>
    <mergeCell ref="D37:E37"/>
    <mergeCell ref="D38:E38"/>
    <mergeCell ref="D39:E39"/>
    <mergeCell ref="D40:E40"/>
    <mergeCell ref="D41:E41"/>
    <mergeCell ref="D42:E42"/>
    <mergeCell ref="D44:E44"/>
    <mergeCell ref="D35:E35"/>
    <mergeCell ref="D36:E36"/>
    <mergeCell ref="D26:E26"/>
    <mergeCell ref="D32:E32"/>
    <mergeCell ref="D31:E31"/>
    <mergeCell ref="D34:E34"/>
    <mergeCell ref="D28:E28"/>
    <mergeCell ref="D29:E29"/>
    <mergeCell ref="D30:E30"/>
    <mergeCell ref="H31:I31"/>
    <mergeCell ref="D27:E27"/>
    <mergeCell ref="D33:E33"/>
    <mergeCell ref="H33:I33"/>
    <mergeCell ref="D22:E22"/>
    <mergeCell ref="D23:E23"/>
    <mergeCell ref="D24:E24"/>
    <mergeCell ref="D25:E25"/>
    <mergeCell ref="H25:I25"/>
    <mergeCell ref="D1:E1"/>
    <mergeCell ref="D4:E4"/>
    <mergeCell ref="H4:I4"/>
    <mergeCell ref="D5:E5"/>
    <mergeCell ref="H5:I5"/>
    <mergeCell ref="D10:E10"/>
    <mergeCell ref="H10:I10"/>
    <mergeCell ref="D18:E18"/>
    <mergeCell ref="H18:I18"/>
    <mergeCell ref="D14:E14"/>
    <mergeCell ref="H14:I14"/>
    <mergeCell ref="D13:E13"/>
    <mergeCell ref="H13:I13"/>
    <mergeCell ref="D12:E12"/>
    <mergeCell ref="D11:E11"/>
    <mergeCell ref="H11:I11"/>
    <mergeCell ref="D17:E17"/>
    <mergeCell ref="H17:I17"/>
    <mergeCell ref="D21:E21"/>
    <mergeCell ref="D20:E20"/>
    <mergeCell ref="D19:E19"/>
    <mergeCell ref="D6:E6"/>
    <mergeCell ref="H6:I6"/>
    <mergeCell ref="H12:I12"/>
    <mergeCell ref="D15:E15"/>
    <mergeCell ref="H15:I15"/>
    <mergeCell ref="D7:E7"/>
    <mergeCell ref="H7:I7"/>
    <mergeCell ref="D8:E8"/>
    <mergeCell ref="H8:I8"/>
    <mergeCell ref="D9:E9"/>
    <mergeCell ref="H9:I9"/>
    <mergeCell ref="D16:E16"/>
    <mergeCell ref="H16:I16"/>
  </mergeCells>
  <conditionalFormatting sqref="M19:M24">
    <cfRule type="cellIs" dxfId="506" priority="9" stopIfTrue="1" operator="lessThanOrEqual">
      <formula>$L19</formula>
    </cfRule>
    <cfRule type="cellIs" dxfId="505" priority="10" operator="greaterThan">
      <formula>L19</formula>
    </cfRule>
  </conditionalFormatting>
  <conditionalFormatting sqref="M26:M30">
    <cfRule type="cellIs" dxfId="504" priority="5" stopIfTrue="1" operator="lessThanOrEqual">
      <formula>$L26</formula>
    </cfRule>
    <cfRule type="cellIs" dxfId="503" priority="6" operator="greaterThan">
      <formula>L26</formula>
    </cfRule>
  </conditionalFormatting>
  <conditionalFormatting sqref="M32">
    <cfRule type="cellIs" dxfId="502" priority="3" stopIfTrue="1" operator="lessThanOrEqual">
      <formula>$L32</formula>
    </cfRule>
    <cfRule type="cellIs" dxfId="501" priority="4" operator="greaterThan">
      <formula>L32</formula>
    </cfRule>
  </conditionalFormatting>
  <conditionalFormatting sqref="M34:M45">
    <cfRule type="cellIs" dxfId="500" priority="1" stopIfTrue="1" operator="lessThanOrEqual">
      <formula>$L34</formula>
    </cfRule>
    <cfRule type="cellIs" dxfId="499" priority="2" operator="greaterThan">
      <formula>L34</formula>
    </cfRule>
  </conditionalFormatting>
  <pageMargins left="0.7" right="0.7" top="0.75" bottom="0.75" header="0.3" footer="0.3"/>
  <pageSetup paperSize="3" fitToHeight="0" orientation="landscape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A37B9E2-C9FE-44E7-9EA8-DD6AFA33D647}">
          <x14:formula1>
            <xm:f>Bolts!$A:$A</xm:f>
          </x14:formula1>
          <xm:sqref>C32</xm:sqref>
        </x14:dataValidation>
        <x14:dataValidation type="list" allowBlank="1" showInputMessage="1" showErrorMessage="1" xr:uid="{35178E4B-A959-4205-8B58-3090CD015002}">
          <x14:formula1>
            <xm:f>Assemblies!$E:$E</xm:f>
          </x14:formula1>
          <xm:sqref>C5:C17</xm:sqref>
        </x14:dataValidation>
        <x14:dataValidation type="list" allowBlank="1" showInputMessage="1" showErrorMessage="1" xr:uid="{09883359-8018-434F-86D5-DBB8AD2C8FF0}">
          <x14:formula1>
            <xm:f>Purchased!$A:$A</xm:f>
          </x14:formula1>
          <xm:sqref>C26:C30</xm:sqref>
        </x14:dataValidation>
        <x14:dataValidation type="list" allowBlank="1" showInputMessage="1" showErrorMessage="1" xr:uid="{4FEEA771-756B-4B61-AC40-24306BF71FCF}">
          <x14:formula1>
            <xm:f>Extrusion!$B:$B</xm:f>
          </x14:formula1>
          <xm:sqref>C34:C45</xm:sqref>
        </x14:dataValidation>
        <x14:dataValidation type="list" allowBlank="1" showInputMessage="1" showErrorMessage="1" xr:uid="{C5B2BA84-8088-4962-AC71-7B65E98983A5}">
          <x14:formula1>
            <xm:f>Machined!$C:$C</xm:f>
          </x14:formula1>
          <xm:sqref>C19:C24</xm:sqref>
        </x14:dataValidation>
      </x14:dataValidation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D96899-BA47-4651-8E3E-4604382FBF8A}">
  <sheetPr codeName="Sheet42">
    <tabColor theme="3" tint="0.79998168889431442"/>
    <pageSetUpPr fitToPage="1"/>
  </sheetPr>
  <dimension ref="A1:Q166"/>
  <sheetViews>
    <sheetView zoomScaleNormal="100" workbookViewId="0">
      <selection activeCell="C43" sqref="C43"/>
    </sheetView>
  </sheetViews>
  <sheetFormatPr defaultColWidth="9.140625" defaultRowHeight="15"/>
  <cols>
    <col min="1" max="1" width="5.7109375" customWidth="1"/>
    <col min="2" max="2" width="5.42578125" bestFit="1" customWidth="1"/>
    <col min="3" max="3" width="30.7109375" customWidth="1"/>
    <col min="4" max="5" width="20.7109375" style="23" customWidth="1"/>
    <col min="6" max="6" width="16.85546875" bestFit="1" customWidth="1"/>
    <col min="7" max="7" width="9.7109375" customWidth="1"/>
    <col min="8" max="8" width="8.7109375" customWidth="1"/>
    <col min="9" max="9" width="20.7109375" customWidth="1"/>
    <col min="10" max="13" width="11.7109375" style="19" customWidth="1"/>
    <col min="14" max="14" width="11.85546875" style="19" bestFit="1" customWidth="1"/>
    <col min="15" max="15" width="7.7109375" style="19" customWidth="1"/>
    <col min="16" max="16" width="10.7109375" style="90" customWidth="1"/>
    <col min="17" max="17" width="10.7109375" style="97" customWidth="1"/>
  </cols>
  <sheetData>
    <row r="1" spans="1:17" s="55" customFormat="1" ht="12" customHeight="1">
      <c r="A1" s="68" t="s">
        <v>0</v>
      </c>
      <c r="B1" s="69"/>
      <c r="C1" s="69"/>
      <c r="D1" s="262" t="s">
        <v>1</v>
      </c>
      <c r="E1" s="263"/>
      <c r="F1" s="70"/>
      <c r="G1" s="69"/>
      <c r="H1" s="70"/>
      <c r="I1" s="71"/>
      <c r="J1" s="72"/>
      <c r="K1" s="72"/>
      <c r="L1" s="72"/>
      <c r="M1" s="72"/>
      <c r="N1" s="72"/>
      <c r="O1" s="72"/>
      <c r="P1" s="85"/>
      <c r="Q1" s="91"/>
    </row>
    <row r="2" spans="1:17" s="55" customFormat="1" ht="12" customHeight="1">
      <c r="A2" s="74" t="s">
        <v>48</v>
      </c>
      <c r="B2" s="58"/>
      <c r="C2" s="57" t="e">
        <f ca="1">VLOOKUP(E3,Assemblies!B:F,4,0)</f>
        <v>#VALUE!</v>
      </c>
      <c r="D2" s="75" t="s">
        <v>3</v>
      </c>
      <c r="E2" s="76" t="e">
        <f ca="1">'GF12'!E2</f>
        <v>#VALUE!</v>
      </c>
      <c r="F2" s="77" t="s">
        <v>4</v>
      </c>
      <c r="G2" s="58" t="str">
        <f>'GF12'!G2</f>
        <v>GH</v>
      </c>
      <c r="H2" s="77" t="s">
        <v>6</v>
      </c>
      <c r="I2" s="59">
        <f>'GF12'!I2</f>
        <v>44775</v>
      </c>
      <c r="J2" s="39"/>
      <c r="K2" s="40" t="s">
        <v>49</v>
      </c>
      <c r="L2" s="41" t="e">
        <f ca="1">VLOOKUP(C2,Assemblies!E:G,3,0)</f>
        <v>#VALUE!</v>
      </c>
      <c r="M2" s="78"/>
      <c r="N2" s="78"/>
      <c r="O2" s="78"/>
      <c r="P2" s="86"/>
      <c r="Q2" s="92"/>
    </row>
    <row r="3" spans="1:17" s="55" customFormat="1" ht="12" customHeight="1" thickBot="1">
      <c r="A3" s="74" t="s">
        <v>7</v>
      </c>
      <c r="B3" s="58"/>
      <c r="C3" s="57" t="e">
        <f ca="1">VLOOKUP(E3,Assemblies!B:F,5,0)</f>
        <v>#VALUE!</v>
      </c>
      <c r="D3" s="75" t="s">
        <v>50</v>
      </c>
      <c r="E3" s="76" t="e">
        <f ca="1">MID(CELL("filename",A1),FIND("]",CELL("filename",A1))+1,256)</f>
        <v>#VALUE!</v>
      </c>
      <c r="F3" s="77" t="s">
        <v>11</v>
      </c>
      <c r="G3" s="58" t="str">
        <f>'GF12'!G3</f>
        <v>GH</v>
      </c>
      <c r="H3" s="77" t="s">
        <v>6</v>
      </c>
      <c r="I3" s="59">
        <f>'GF12'!I3</f>
        <v>44775</v>
      </c>
      <c r="J3" s="78"/>
      <c r="K3" s="78"/>
      <c r="L3" s="78"/>
      <c r="M3" s="78"/>
      <c r="N3" s="78"/>
      <c r="O3" s="78"/>
      <c r="P3" s="86"/>
      <c r="Q3" s="92"/>
    </row>
    <row r="4" spans="1:17" s="56" customFormat="1" ht="12.75" customHeight="1" thickBot="1">
      <c r="A4" s="80" t="s">
        <v>12</v>
      </c>
      <c r="B4" s="81" t="s">
        <v>13</v>
      </c>
      <c r="C4" s="81" t="s">
        <v>14</v>
      </c>
      <c r="D4" s="270" t="s">
        <v>15</v>
      </c>
      <c r="E4" s="271"/>
      <c r="F4" s="104" t="s">
        <v>16</v>
      </c>
      <c r="G4" s="81" t="s">
        <v>17</v>
      </c>
      <c r="H4" s="260" t="s">
        <v>18</v>
      </c>
      <c r="I4" s="261"/>
      <c r="J4" s="81" t="s">
        <v>51</v>
      </c>
      <c r="K4" s="81" t="s">
        <v>20</v>
      </c>
      <c r="L4" s="81" t="s">
        <v>21</v>
      </c>
      <c r="M4" s="81" t="s">
        <v>52</v>
      </c>
      <c r="N4" s="81" t="s">
        <v>22</v>
      </c>
      <c r="O4" s="81" t="s">
        <v>53</v>
      </c>
      <c r="P4" s="107" t="s">
        <v>26</v>
      </c>
      <c r="Q4" s="82" t="s">
        <v>27</v>
      </c>
    </row>
    <row r="5" spans="1:17" s="2" customFormat="1" ht="12.75" customHeight="1">
      <c r="A5" s="127">
        <v>1</v>
      </c>
      <c r="B5" s="21">
        <v>1</v>
      </c>
      <c r="C5" s="108" t="s">
        <v>583</v>
      </c>
      <c r="D5" s="277" t="str">
        <f>VLOOKUP(C5,Machined!C:Q,2,0)</f>
        <v>Unwind Rail Plate</v>
      </c>
      <c r="E5" s="278"/>
      <c r="F5" s="131" t="str">
        <f>VLOOKUP(C5,Machined!C:R,7,0)</f>
        <v>6061-T6 Alum</v>
      </c>
      <c r="G5" s="131" t="str">
        <f>VLOOKUP(C5,Machined!C:R,10,0)</f>
        <v>FRONTIER</v>
      </c>
      <c r="H5" s="131" t="str">
        <f>VLOOKUP(C5,Machined!C:R,11,0)</f>
        <v xml:space="preserve">  </v>
      </c>
      <c r="I5" s="131"/>
      <c r="J5" s="42">
        <f>VLOOKUP(C5,Machined!C:R,12,0)</f>
        <v>45139</v>
      </c>
      <c r="K5" s="42">
        <f>VLOOKUP(C5,Machined!C:R,13,0)</f>
        <v>45140</v>
      </c>
      <c r="L5" s="42">
        <f>VLOOKUP(C5,Machined!C:R,14,0)</f>
        <v>45170</v>
      </c>
      <c r="M5" s="42">
        <f>VLOOKUP(C5,Machined!C:R,15,0)</f>
        <v>45170</v>
      </c>
      <c r="N5" s="43">
        <f>VLOOKUP(C5,Machined!C:R,16,0)</f>
        <v>55025</v>
      </c>
      <c r="O5" s="43" t="e">
        <f t="shared" ref="O5" ca="1" si="0">B5*$L$2</f>
        <v>#VALUE!</v>
      </c>
      <c r="P5" s="47">
        <f>IFERROR(VLOOKUP(C5,Machined!C:F,3,0),"")</f>
        <v>0</v>
      </c>
      <c r="Q5" s="48">
        <f t="shared" ref="Q5" si="1">IFERROR(B5*P5,"")</f>
        <v>0</v>
      </c>
    </row>
    <row r="6" spans="1:17" s="2" customFormat="1" ht="12.75" customHeight="1">
      <c r="A6" s="143"/>
      <c r="B6" s="26"/>
      <c r="C6" s="26"/>
      <c r="D6" s="272"/>
      <c r="E6" s="273"/>
      <c r="F6" s="26"/>
      <c r="G6" s="26"/>
      <c r="H6" s="274"/>
      <c r="I6" s="275"/>
      <c r="J6" s="27"/>
      <c r="K6" s="27"/>
      <c r="L6" s="27"/>
      <c r="M6" s="28"/>
      <c r="N6" s="29"/>
      <c r="O6" s="29"/>
      <c r="P6" s="141"/>
      <c r="Q6" s="142"/>
    </row>
    <row r="7" spans="1:17" s="2" customFormat="1" ht="12.75" customHeight="1">
      <c r="A7" s="4">
        <v>301</v>
      </c>
      <c r="B7" s="2">
        <v>2</v>
      </c>
      <c r="C7" s="114" t="s">
        <v>263</v>
      </c>
      <c r="D7" s="268" t="str">
        <f>VLOOKUP(C7,Purchased!A:B,2,0)</f>
        <v>Dowel Pin 52100 Alloy Steel, 10 mm Diameter, 20 mm Long, 10pk</v>
      </c>
      <c r="E7" s="269"/>
      <c r="F7" s="112" t="str">
        <f>VLOOKUP(C7,Purchased!A:Q,9,0)</f>
        <v>MCM</v>
      </c>
      <c r="G7" s="112" t="str">
        <f>VLOOKUP(C7,Purchased!A:Q,10,0)</f>
        <v>MCM</v>
      </c>
      <c r="H7" s="112" t="str">
        <f>VLOOKUP(C7,Purchased!A:Q,12,0)</f>
        <v>Pack of 10</v>
      </c>
      <c r="I7" s="113"/>
      <c r="J7" s="44" t="str">
        <f>VLOOKUP(C7,Purchased!A:Q,13,0)</f>
        <v>N/A</v>
      </c>
      <c r="K7" s="44">
        <f>VLOOKUP(C7,Purchased!A:Q,14,0)</f>
        <v>45162</v>
      </c>
      <c r="L7" s="44">
        <f>VLOOKUP(C7,Purchased!A:Q,15,0)</f>
        <v>45184</v>
      </c>
      <c r="M7" s="44">
        <f>VLOOKUP(C7,Purchased!A:Q,16,0)</f>
        <v>45163</v>
      </c>
      <c r="N7" s="45">
        <f>VLOOKUP(C7,Purchased!A:Q,17,0)</f>
        <v>55088</v>
      </c>
      <c r="O7" s="45" t="e">
        <f t="shared" ref="O7:O9" ca="1" si="2">B7*$L$2</f>
        <v>#VALUE!</v>
      </c>
      <c r="P7" s="49">
        <f>IFERROR(VLOOKUP(C7,Purchased!A:E,3,FALSE),"")</f>
        <v>10.57</v>
      </c>
      <c r="Q7" s="50">
        <f t="shared" ref="Q7:Q9" si="3">IFERROR(B7*P7,"")</f>
        <v>21.14</v>
      </c>
    </row>
    <row r="8" spans="1:17" s="2" customFormat="1" ht="12" customHeight="1">
      <c r="A8" s="4">
        <f t="shared" ref="A8:A9" si="4">A7+1</f>
        <v>302</v>
      </c>
      <c r="B8" s="2">
        <v>1</v>
      </c>
      <c r="C8" s="114" t="s">
        <v>584</v>
      </c>
      <c r="D8" s="268" t="str">
        <f>VLOOKUP(C8,Purchased!A:B,2,0)</f>
        <v>BRL 25mm Ball Rail, Unwind Rolls</v>
      </c>
      <c r="E8" s="269"/>
      <c r="F8" s="112" t="str">
        <f>VLOOKUP(C8,Purchased!A:Q,9,0)</f>
        <v>BRL</v>
      </c>
      <c r="G8" s="112" t="str">
        <f>VLOOKUP(C8,Purchased!A:Q,10,0)</f>
        <v>AAP</v>
      </c>
      <c r="H8" s="112" t="str">
        <f>VLOOKUP(C8,Purchased!A:Q,12,0)</f>
        <v xml:space="preserve"> </v>
      </c>
      <c r="I8" s="113"/>
      <c r="J8" s="44">
        <f>VLOOKUP(C8,Purchased!A:Q,13,0)</f>
        <v>45093</v>
      </c>
      <c r="K8" s="44">
        <f>VLOOKUP(C8,Purchased!A:Q,14,0)</f>
        <v>45093</v>
      </c>
      <c r="L8" s="44">
        <f>VLOOKUP(C8,Purchased!A:Q,15,0)</f>
        <v>45184</v>
      </c>
      <c r="M8" s="44">
        <f>VLOOKUP(C8,Purchased!A:Q,16,0)</f>
        <v>45184</v>
      </c>
      <c r="N8" s="45">
        <f>VLOOKUP(C8,Purchased!A:Q,17,0)</f>
        <v>54942</v>
      </c>
      <c r="O8" s="45" t="e">
        <f t="shared" ca="1" si="2"/>
        <v>#VALUE!</v>
      </c>
      <c r="P8" s="49">
        <f>IFERROR(VLOOKUP(C8,Purchased!A:E,3,FALSE),"")</f>
        <v>113.18429999999999</v>
      </c>
      <c r="Q8" s="50">
        <f t="shared" si="3"/>
        <v>113.18429999999999</v>
      </c>
    </row>
    <row r="9" spans="1:17" s="2" customFormat="1" ht="12" customHeight="1">
      <c r="A9" s="4">
        <f t="shared" si="4"/>
        <v>303</v>
      </c>
      <c r="B9" s="2">
        <v>3</v>
      </c>
      <c r="C9" s="114" t="s">
        <v>262</v>
      </c>
      <c r="D9" s="268" t="str">
        <f>VLOOKUP(C9,Purchased!A:B,2,0)</f>
        <v>BRX GOTO T-NUT 10 M6</v>
      </c>
      <c r="E9" s="269"/>
      <c r="F9" s="112" t="str">
        <f>VLOOKUP(C9,Purchased!A:Q,9,0)</f>
        <v>BRX</v>
      </c>
      <c r="G9" s="112" t="str">
        <f>VLOOKUP(C9,Purchased!A:Q,10,0)</f>
        <v>AAP</v>
      </c>
      <c r="H9" s="112" t="str">
        <f>VLOOKUP(C9,Purchased!A:Q,12,0)</f>
        <v xml:space="preserve">  </v>
      </c>
      <c r="I9" s="113"/>
      <c r="J9" s="44">
        <f>VLOOKUP(C9,Purchased!A:Q,13,0)</f>
        <v>45104</v>
      </c>
      <c r="K9" s="44">
        <f>VLOOKUP(C9,Purchased!A:Q,14,0)</f>
        <v>45105</v>
      </c>
      <c r="L9" s="44">
        <f>VLOOKUP(C9,Purchased!A:Q,15,0)</f>
        <v>45133</v>
      </c>
      <c r="M9" s="44">
        <f>VLOOKUP(C9,Purchased!A:Q,16,0)</f>
        <v>45133</v>
      </c>
      <c r="N9" s="45" t="str">
        <f>VLOOKUP(C9,Purchased!A:Q,17,0)</f>
        <v>54968, 55147, 55270</v>
      </c>
      <c r="O9" s="45" t="e">
        <f t="shared" ca="1" si="2"/>
        <v>#VALUE!</v>
      </c>
      <c r="P9" s="49">
        <f>IFERROR(VLOOKUP(C9,Purchased!A:E,3,FALSE),"")</f>
        <v>0.64290000000000003</v>
      </c>
      <c r="Q9" s="50">
        <f t="shared" si="3"/>
        <v>1.9287000000000001</v>
      </c>
    </row>
    <row r="10" spans="1:17" s="2" customFormat="1" ht="12.75" customHeight="1">
      <c r="A10" s="25"/>
      <c r="B10" s="26"/>
      <c r="C10" s="26"/>
      <c r="D10" s="272"/>
      <c r="E10" s="273"/>
      <c r="F10" s="26"/>
      <c r="G10" s="26"/>
      <c r="H10" s="274"/>
      <c r="I10" s="275"/>
      <c r="J10" s="27"/>
      <c r="K10" s="27"/>
      <c r="L10" s="27"/>
      <c r="M10" s="28"/>
      <c r="N10" s="29"/>
      <c r="O10" s="29" t="e">
        <f t="shared" ref="O10:O12" ca="1" si="5">B10*$L$2</f>
        <v>#VALUE!</v>
      </c>
      <c r="P10" s="141"/>
      <c r="Q10" s="142"/>
    </row>
    <row r="11" spans="1:17" s="2" customFormat="1" ht="12.75" customHeight="1">
      <c r="A11" s="4">
        <v>501</v>
      </c>
      <c r="B11" s="2">
        <v>3</v>
      </c>
      <c r="C11" s="110" t="s">
        <v>266</v>
      </c>
      <c r="D11" s="268"/>
      <c r="E11" s="276"/>
      <c r="F11" s="112" t="str">
        <f>VLOOKUP(C11,Bolts!A:L,5,0)</f>
        <v xml:space="preserve">  </v>
      </c>
      <c r="G11" s="112" t="str">
        <f>VLOOKUP(C11,Bolts!A:L,6,0)</f>
        <v>Monroe Fasteners</v>
      </c>
      <c r="H11" s="112" t="str">
        <f>VLOOKUP(C11,Bolts!A:L,7,0)</f>
        <v xml:space="preserve">  </v>
      </c>
      <c r="I11" s="112"/>
      <c r="J11" s="44" t="str">
        <f>VLOOKUP(C11,Bolts!A:L,8,0)</f>
        <v xml:space="preserve"> </v>
      </c>
      <c r="K11" s="44" t="str">
        <f>VLOOKUP(C11,Bolts!A:L,9,0)</f>
        <v xml:space="preserve"> </v>
      </c>
      <c r="L11" s="44" t="str">
        <f>VLOOKUP(C11,Bolts!A:L,10,0)</f>
        <v xml:space="preserve"> </v>
      </c>
      <c r="M11" s="44" t="str">
        <f>VLOOKUP(C11,Bolts!A:L,11,0)</f>
        <v xml:space="preserve"> </v>
      </c>
      <c r="N11" s="45" t="str">
        <f>VLOOKUP(C11,Bolts!A:L,12,0)</f>
        <v xml:space="preserve"> </v>
      </c>
      <c r="O11" s="45" t="e">
        <f t="shared" ca="1" si="5"/>
        <v>#VALUE!</v>
      </c>
      <c r="P11" s="49" t="str">
        <f>IFERROR(VLOOKUP(C11,Bolts!A:B,2,FALSE),"")</f>
        <v xml:space="preserve"> </v>
      </c>
      <c r="Q11" s="50" t="str">
        <f t="shared" ref="Q11:Q12" si="6">IFERROR(B11*P11,"")</f>
        <v/>
      </c>
    </row>
    <row r="12" spans="1:17" s="2" customFormat="1" ht="12.75" customHeight="1" thickBot="1">
      <c r="A12" s="4">
        <f t="shared" ref="A12" si="7">A11+1</f>
        <v>502</v>
      </c>
      <c r="B12" s="2">
        <v>4</v>
      </c>
      <c r="C12" s="110" t="s">
        <v>267</v>
      </c>
      <c r="D12" s="268"/>
      <c r="E12" s="276"/>
      <c r="F12" s="112" t="str">
        <f>VLOOKUP(C12,Bolts!A:L,5,0)</f>
        <v xml:space="preserve">  </v>
      </c>
      <c r="G12" s="112" t="str">
        <f>VLOOKUP(C12,Bolts!A:L,6,0)</f>
        <v>Monroe Fasteners</v>
      </c>
      <c r="H12" s="112" t="str">
        <f>VLOOKUP(C12,Bolts!A:L,7,0)</f>
        <v xml:space="preserve">  </v>
      </c>
      <c r="I12" s="112"/>
      <c r="J12" s="44" t="str">
        <f>VLOOKUP(C12,Bolts!A:L,8,0)</f>
        <v xml:space="preserve"> </v>
      </c>
      <c r="K12" s="44" t="str">
        <f>VLOOKUP(C12,Bolts!A:L,9,0)</f>
        <v xml:space="preserve"> </v>
      </c>
      <c r="L12" s="44" t="str">
        <f>VLOOKUP(C12,Bolts!A:L,10,0)</f>
        <v xml:space="preserve"> </v>
      </c>
      <c r="M12" s="44" t="str">
        <f>VLOOKUP(C12,Bolts!A:L,11,0)</f>
        <v xml:space="preserve"> </v>
      </c>
      <c r="N12" s="45" t="str">
        <f>VLOOKUP(C12,Bolts!A:L,12,0)</f>
        <v xml:space="preserve"> </v>
      </c>
      <c r="O12" s="45" t="e">
        <f t="shared" ca="1" si="5"/>
        <v>#VALUE!</v>
      </c>
      <c r="P12" s="49" t="str">
        <f>IFERROR(VLOOKUP(C12,Bolts!A:B,2,FALSE),"")</f>
        <v xml:space="preserve"> </v>
      </c>
      <c r="Q12" s="50" t="str">
        <f t="shared" si="6"/>
        <v/>
      </c>
    </row>
    <row r="13" spans="1:17" s="2" customFormat="1" ht="12.75" customHeight="1" thickBot="1">
      <c r="A13" s="34"/>
      <c r="B13" s="35"/>
      <c r="C13" s="35"/>
      <c r="D13" s="256"/>
      <c r="E13" s="257"/>
      <c r="F13" s="35"/>
      <c r="G13" s="35"/>
      <c r="H13" s="294"/>
      <c r="I13" s="295"/>
      <c r="J13" s="36"/>
      <c r="K13" s="36"/>
      <c r="L13" s="36"/>
      <c r="M13" s="37"/>
      <c r="N13" s="38"/>
      <c r="O13" s="38"/>
      <c r="P13" s="89" t="s">
        <v>43</v>
      </c>
      <c r="Q13" s="94">
        <f>SUM(Q5:Q12)</f>
        <v>136.25299999999999</v>
      </c>
    </row>
    <row r="14" spans="1:17" s="2" customFormat="1" ht="12" customHeight="1">
      <c r="D14" s="22"/>
      <c r="E14" s="22"/>
      <c r="J14" s="8"/>
      <c r="K14" s="8"/>
      <c r="L14" s="8"/>
      <c r="M14" s="8"/>
      <c r="N14" s="5"/>
      <c r="O14" s="5"/>
      <c r="P14" s="88"/>
      <c r="Q14" s="95"/>
    </row>
    <row r="15" spans="1:17" s="2" customFormat="1" ht="12" customHeight="1">
      <c r="D15" s="22"/>
      <c r="E15" s="22"/>
      <c r="J15" s="5"/>
      <c r="K15" s="5"/>
      <c r="L15" s="5"/>
      <c r="M15" s="5"/>
      <c r="N15" s="5"/>
      <c r="O15" s="5"/>
      <c r="P15" s="88"/>
      <c r="Q15" s="95"/>
    </row>
    <row r="16" spans="1:17" s="2" customFormat="1" ht="12" customHeight="1">
      <c r="D16" s="22"/>
      <c r="E16" s="22"/>
      <c r="J16" s="5"/>
      <c r="K16" s="5"/>
      <c r="L16" s="5"/>
      <c r="M16" s="5"/>
      <c r="N16" s="5"/>
      <c r="O16" s="5"/>
      <c r="P16" s="88"/>
      <c r="Q16" s="95"/>
    </row>
    <row r="17" spans="4:17" s="2" customFormat="1" ht="12" customHeight="1">
      <c r="D17" s="22"/>
      <c r="E17" s="22"/>
      <c r="J17" s="5"/>
      <c r="K17" s="5"/>
      <c r="L17" s="5"/>
      <c r="M17" s="5"/>
      <c r="N17" s="5"/>
      <c r="O17" s="5"/>
      <c r="P17" s="88"/>
      <c r="Q17" s="95"/>
    </row>
    <row r="18" spans="4:17" s="2" customFormat="1" ht="12" customHeight="1">
      <c r="D18" s="22"/>
      <c r="E18" s="22"/>
      <c r="J18" s="5"/>
      <c r="K18" s="5"/>
      <c r="L18" s="5"/>
      <c r="M18" s="5"/>
      <c r="N18" s="5"/>
      <c r="O18" s="5"/>
      <c r="P18" s="88"/>
      <c r="Q18" s="95"/>
    </row>
    <row r="19" spans="4:17" s="2" customFormat="1" ht="12" customHeight="1">
      <c r="D19" s="22"/>
      <c r="E19" s="22"/>
      <c r="J19" s="5"/>
      <c r="K19" s="5"/>
      <c r="L19" s="5"/>
      <c r="M19" s="5"/>
      <c r="N19" s="5"/>
      <c r="O19" s="5"/>
      <c r="P19" s="88"/>
      <c r="Q19" s="95"/>
    </row>
    <row r="20" spans="4:17" s="2" customFormat="1" ht="12" customHeight="1">
      <c r="D20" s="22"/>
      <c r="E20" s="22"/>
      <c r="J20" s="5"/>
      <c r="K20" s="5"/>
      <c r="L20" s="5"/>
      <c r="M20" s="5"/>
      <c r="N20" s="5"/>
      <c r="O20" s="5"/>
      <c r="P20" s="88"/>
      <c r="Q20" s="95"/>
    </row>
    <row r="21" spans="4:17" s="2" customFormat="1" ht="12" customHeight="1">
      <c r="D21" s="22"/>
      <c r="E21" s="22"/>
      <c r="J21" s="5"/>
      <c r="K21" s="5"/>
      <c r="L21" s="5"/>
      <c r="M21" s="5"/>
      <c r="N21" s="5"/>
      <c r="O21" s="5"/>
      <c r="P21" s="88"/>
      <c r="Q21" s="95"/>
    </row>
    <row r="22" spans="4:17" s="2" customFormat="1" ht="12" customHeight="1">
      <c r="D22" s="22"/>
      <c r="E22" s="22"/>
      <c r="J22" s="5"/>
      <c r="K22" s="5"/>
      <c r="L22" s="5"/>
      <c r="M22" s="5"/>
      <c r="N22" s="5"/>
      <c r="O22" s="5"/>
      <c r="P22" s="88"/>
      <c r="Q22" s="95"/>
    </row>
    <row r="23" spans="4:17" s="2" customFormat="1" ht="12" customHeight="1">
      <c r="D23" s="22"/>
      <c r="E23" s="22"/>
      <c r="J23" s="5"/>
      <c r="K23" s="5"/>
      <c r="L23" s="5"/>
      <c r="M23" s="5"/>
      <c r="N23" s="5"/>
      <c r="O23" s="5"/>
      <c r="P23" s="88"/>
      <c r="Q23" s="95"/>
    </row>
    <row r="24" spans="4:17" s="2" customFormat="1" ht="12" customHeight="1">
      <c r="D24" s="22"/>
      <c r="E24" s="22"/>
      <c r="J24" s="5"/>
      <c r="K24" s="5"/>
      <c r="L24" s="5"/>
      <c r="M24" s="5"/>
      <c r="N24" s="5"/>
      <c r="O24" s="5"/>
      <c r="P24" s="88"/>
      <c r="Q24" s="95"/>
    </row>
    <row r="25" spans="4:17" s="2" customFormat="1" ht="12" customHeight="1">
      <c r="D25" s="22"/>
      <c r="E25" s="22"/>
      <c r="J25" s="5"/>
      <c r="K25" s="5"/>
      <c r="L25" s="5"/>
      <c r="M25" s="5"/>
      <c r="N25" s="5"/>
      <c r="O25" s="5"/>
      <c r="P25" s="88"/>
      <c r="Q25" s="95"/>
    </row>
    <row r="26" spans="4:17" s="2" customFormat="1" ht="12" customHeight="1">
      <c r="D26" s="22"/>
      <c r="E26" s="22"/>
      <c r="J26" s="5"/>
      <c r="K26" s="5"/>
      <c r="L26" s="5"/>
      <c r="M26" s="5"/>
      <c r="N26" s="5"/>
      <c r="O26" s="5"/>
      <c r="P26" s="88"/>
      <c r="Q26" s="95"/>
    </row>
    <row r="27" spans="4:17" s="2" customFormat="1" ht="12" customHeight="1">
      <c r="D27" s="22"/>
      <c r="E27" s="22"/>
      <c r="J27" s="5"/>
      <c r="K27" s="5"/>
      <c r="L27" s="5"/>
      <c r="M27" s="5"/>
      <c r="N27" s="5"/>
      <c r="O27" s="5"/>
      <c r="P27" s="88"/>
      <c r="Q27" s="95"/>
    </row>
    <row r="28" spans="4:17" s="2" customFormat="1" ht="12" customHeight="1">
      <c r="D28" s="22"/>
      <c r="E28" s="22"/>
      <c r="J28" s="5"/>
      <c r="K28" s="5"/>
      <c r="L28" s="5"/>
      <c r="M28" s="5"/>
      <c r="N28" s="5"/>
      <c r="O28" s="5"/>
      <c r="P28" s="88"/>
      <c r="Q28" s="95"/>
    </row>
    <row r="29" spans="4:17" s="2" customFormat="1" ht="12" customHeight="1">
      <c r="D29" s="22"/>
      <c r="E29" s="22"/>
      <c r="J29" s="5"/>
      <c r="K29" s="5"/>
      <c r="L29" s="5"/>
      <c r="M29" s="5"/>
      <c r="N29" s="5"/>
      <c r="O29" s="5"/>
      <c r="P29" s="88"/>
      <c r="Q29" s="95"/>
    </row>
    <row r="30" spans="4:17" s="2" customFormat="1" ht="12" customHeight="1">
      <c r="D30" s="22"/>
      <c r="E30" s="22"/>
      <c r="J30" s="5"/>
      <c r="K30" s="5"/>
      <c r="L30" s="5"/>
      <c r="M30" s="5"/>
      <c r="N30" s="5"/>
      <c r="O30" s="5"/>
      <c r="P30" s="88"/>
      <c r="Q30" s="95"/>
    </row>
    <row r="31" spans="4:17" s="2" customFormat="1" ht="12" customHeight="1">
      <c r="D31" s="22"/>
      <c r="E31" s="22"/>
      <c r="J31" s="5"/>
      <c r="K31" s="5"/>
      <c r="L31" s="5"/>
      <c r="M31" s="5"/>
      <c r="N31" s="5"/>
      <c r="O31" s="5"/>
      <c r="P31" s="88"/>
      <c r="Q31" s="95"/>
    </row>
    <row r="32" spans="4:17" s="2" customFormat="1" ht="12" customHeight="1">
      <c r="D32" s="22"/>
      <c r="E32" s="22"/>
      <c r="J32" s="5"/>
      <c r="K32" s="5"/>
      <c r="L32" s="5"/>
      <c r="M32" s="5"/>
      <c r="N32" s="5"/>
      <c r="O32" s="5"/>
      <c r="P32" s="88"/>
      <c r="Q32" s="95"/>
    </row>
    <row r="33" spans="4:17" s="2" customFormat="1" ht="12" customHeight="1">
      <c r="D33" s="22"/>
      <c r="E33" s="22"/>
      <c r="J33" s="5"/>
      <c r="K33" s="5"/>
      <c r="L33" s="5"/>
      <c r="M33" s="5"/>
      <c r="N33" s="5"/>
      <c r="O33" s="5"/>
      <c r="P33" s="88"/>
      <c r="Q33" s="95"/>
    </row>
    <row r="34" spans="4:17" s="2" customFormat="1" ht="12" customHeight="1">
      <c r="D34" s="22"/>
      <c r="E34" s="22"/>
      <c r="J34" s="5"/>
      <c r="K34" s="5"/>
      <c r="L34" s="5"/>
      <c r="M34" s="5"/>
      <c r="N34" s="5"/>
      <c r="O34" s="5"/>
      <c r="P34" s="88"/>
      <c r="Q34" s="95"/>
    </row>
    <row r="35" spans="4:17" s="2" customFormat="1" ht="12" customHeight="1">
      <c r="D35" s="22"/>
      <c r="E35" s="22"/>
      <c r="J35" s="5"/>
      <c r="K35" s="5"/>
      <c r="L35" s="5"/>
      <c r="M35" s="5"/>
      <c r="N35" s="5"/>
      <c r="O35" s="5"/>
      <c r="P35" s="88"/>
      <c r="Q35" s="95"/>
    </row>
    <row r="36" spans="4:17" s="2" customFormat="1" ht="12" customHeight="1">
      <c r="D36" s="22"/>
      <c r="E36" s="22"/>
      <c r="J36" s="5"/>
      <c r="K36" s="5"/>
      <c r="L36" s="5"/>
      <c r="M36" s="5"/>
      <c r="N36" s="5"/>
      <c r="O36" s="5"/>
      <c r="P36" s="88"/>
      <c r="Q36" s="95"/>
    </row>
    <row r="37" spans="4:17" s="2" customFormat="1" ht="12" customHeight="1">
      <c r="D37" s="22"/>
      <c r="E37" s="22"/>
      <c r="J37" s="5"/>
      <c r="K37" s="5"/>
      <c r="L37" s="5"/>
      <c r="M37" s="5"/>
      <c r="N37" s="5"/>
      <c r="O37" s="5"/>
      <c r="P37" s="88"/>
      <c r="Q37" s="95"/>
    </row>
    <row r="38" spans="4:17" s="2" customFormat="1" ht="12" customHeight="1">
      <c r="D38" s="22"/>
      <c r="E38" s="22"/>
      <c r="J38" s="5"/>
      <c r="K38" s="5"/>
      <c r="L38" s="5"/>
      <c r="M38" s="5"/>
      <c r="N38" s="5"/>
      <c r="O38" s="5"/>
      <c r="P38" s="88"/>
      <c r="Q38" s="95"/>
    </row>
    <row r="39" spans="4:17" s="2" customFormat="1" ht="12" customHeight="1">
      <c r="D39" s="22"/>
      <c r="E39" s="22"/>
      <c r="J39" s="5"/>
      <c r="K39" s="5"/>
      <c r="L39" s="5"/>
      <c r="M39" s="5"/>
      <c r="N39" s="5"/>
      <c r="O39" s="5"/>
      <c r="P39" s="88"/>
      <c r="Q39" s="95"/>
    </row>
    <row r="40" spans="4:17" s="2" customFormat="1" ht="12" customHeight="1">
      <c r="D40" s="22"/>
      <c r="E40" s="22"/>
      <c r="J40" s="5"/>
      <c r="K40" s="5"/>
      <c r="L40" s="5"/>
      <c r="M40" s="5"/>
      <c r="N40" s="5"/>
      <c r="O40" s="5"/>
      <c r="P40" s="88"/>
      <c r="Q40" s="95"/>
    </row>
    <row r="41" spans="4:17" s="2" customFormat="1" ht="12" customHeight="1">
      <c r="D41" s="22"/>
      <c r="E41" s="22"/>
      <c r="J41" s="5"/>
      <c r="K41" s="5"/>
      <c r="L41" s="5"/>
      <c r="M41" s="5"/>
      <c r="N41" s="5"/>
      <c r="O41" s="5"/>
      <c r="P41" s="88"/>
      <c r="Q41" s="95"/>
    </row>
    <row r="42" spans="4:17" s="2" customFormat="1" ht="12" customHeight="1">
      <c r="D42" s="22"/>
      <c r="E42" s="22"/>
      <c r="J42" s="5"/>
      <c r="K42" s="5"/>
      <c r="L42" s="5"/>
      <c r="M42" s="5"/>
      <c r="N42" s="5"/>
      <c r="O42" s="5"/>
      <c r="P42" s="88"/>
      <c r="Q42" s="95"/>
    </row>
    <row r="43" spans="4:17" s="2" customFormat="1" ht="12" customHeight="1">
      <c r="D43" s="22"/>
      <c r="E43" s="22"/>
      <c r="J43" s="5"/>
      <c r="K43" s="5"/>
      <c r="L43" s="5"/>
      <c r="M43" s="5"/>
      <c r="N43" s="5"/>
      <c r="O43" s="5"/>
      <c r="P43" s="88"/>
      <c r="Q43" s="95"/>
    </row>
    <row r="44" spans="4:17" s="2" customFormat="1" ht="12" customHeight="1">
      <c r="D44" s="22"/>
      <c r="E44" s="22"/>
      <c r="J44" s="5"/>
      <c r="K44" s="5"/>
      <c r="L44" s="5"/>
      <c r="M44" s="5"/>
      <c r="N44" s="5"/>
      <c r="O44" s="5"/>
      <c r="P44" s="88"/>
      <c r="Q44" s="95"/>
    </row>
    <row r="45" spans="4:17" s="2" customFormat="1" ht="12" customHeight="1">
      <c r="D45" s="22"/>
      <c r="E45" s="22"/>
      <c r="J45" s="5"/>
      <c r="K45" s="5"/>
      <c r="L45" s="5"/>
      <c r="M45" s="5"/>
      <c r="N45" s="5"/>
      <c r="O45" s="5"/>
      <c r="P45" s="88"/>
      <c r="Q45" s="95"/>
    </row>
    <row r="46" spans="4:17" s="2" customFormat="1" ht="12" customHeight="1">
      <c r="D46" s="22"/>
      <c r="E46" s="22"/>
      <c r="J46" s="5"/>
      <c r="K46" s="5"/>
      <c r="L46" s="5"/>
      <c r="M46" s="5"/>
      <c r="N46" s="5"/>
      <c r="O46" s="5"/>
      <c r="P46" s="88"/>
      <c r="Q46" s="95"/>
    </row>
    <row r="47" spans="4:17" s="2" customFormat="1" ht="12" customHeight="1">
      <c r="D47" s="22"/>
      <c r="E47" s="22"/>
      <c r="J47" s="5"/>
      <c r="K47" s="5"/>
      <c r="L47" s="5"/>
      <c r="M47" s="5"/>
      <c r="N47" s="5"/>
      <c r="O47" s="5"/>
      <c r="P47" s="88"/>
      <c r="Q47" s="95"/>
    </row>
    <row r="48" spans="4:17" s="2" customFormat="1" ht="12" customHeight="1">
      <c r="D48" s="22"/>
      <c r="E48" s="22"/>
      <c r="J48" s="5"/>
      <c r="K48" s="5"/>
      <c r="L48" s="5"/>
      <c r="M48" s="5"/>
      <c r="N48" s="5"/>
      <c r="O48" s="5"/>
      <c r="P48" s="88"/>
      <c r="Q48" s="95"/>
    </row>
    <row r="49" spans="1:17" s="2" customFormat="1" ht="12" customHeight="1">
      <c r="D49" s="22"/>
      <c r="E49" s="22"/>
      <c r="J49" s="5"/>
      <c r="K49" s="5"/>
      <c r="L49" s="5"/>
      <c r="M49" s="5"/>
      <c r="N49" s="5"/>
      <c r="O49" s="5"/>
      <c r="P49" s="88"/>
      <c r="Q49" s="95"/>
    </row>
    <row r="50" spans="1:17" s="2" customFormat="1" ht="12" customHeight="1">
      <c r="D50" s="22"/>
      <c r="E50" s="22"/>
      <c r="J50" s="5"/>
      <c r="K50" s="5"/>
      <c r="L50" s="5"/>
      <c r="M50" s="5"/>
      <c r="N50" s="5"/>
      <c r="O50" s="5"/>
      <c r="P50" s="88"/>
      <c r="Q50" s="95"/>
    </row>
    <row r="51" spans="1:17" s="2" customFormat="1" ht="12" customHeight="1">
      <c r="D51" s="22"/>
      <c r="E51" s="22"/>
      <c r="J51" s="5"/>
      <c r="K51" s="5"/>
      <c r="L51" s="5"/>
      <c r="M51" s="5"/>
      <c r="N51" s="5"/>
      <c r="O51" s="5"/>
      <c r="P51" s="88"/>
      <c r="Q51" s="95"/>
    </row>
    <row r="52" spans="1:17" s="2" customFormat="1" ht="12" customHeight="1">
      <c r="D52" s="22"/>
      <c r="E52" s="22"/>
      <c r="J52" s="5"/>
      <c r="K52" s="5"/>
      <c r="L52" s="5"/>
      <c r="M52" s="5"/>
      <c r="N52" s="5"/>
      <c r="O52" s="5"/>
      <c r="P52" s="88"/>
      <c r="Q52" s="96"/>
    </row>
    <row r="53" spans="1:17" s="2" customFormat="1" ht="12" customHeight="1">
      <c r="D53" s="22"/>
      <c r="E53" s="22"/>
      <c r="J53" s="5"/>
      <c r="K53" s="5"/>
      <c r="L53" s="5"/>
      <c r="M53" s="5"/>
      <c r="N53" s="5"/>
      <c r="O53" s="5"/>
      <c r="P53" s="88"/>
      <c r="Q53" s="96"/>
    </row>
    <row r="54" spans="1:17" s="2" customFormat="1" ht="12" customHeight="1">
      <c r="D54" s="22"/>
      <c r="E54" s="22"/>
      <c r="J54" s="5"/>
      <c r="K54" s="5"/>
      <c r="L54" s="5"/>
      <c r="M54" s="5"/>
      <c r="N54" s="5"/>
      <c r="O54" s="5"/>
      <c r="P54" s="88"/>
      <c r="Q54" s="96"/>
    </row>
    <row r="55" spans="1:17" s="2" customFormat="1" ht="12" customHeight="1">
      <c r="D55" s="22"/>
      <c r="E55" s="22"/>
      <c r="J55" s="5"/>
      <c r="K55" s="5"/>
      <c r="L55" s="5"/>
      <c r="M55" s="5"/>
      <c r="N55" s="5"/>
      <c r="O55" s="5"/>
      <c r="P55" s="88"/>
      <c r="Q55" s="96"/>
    </row>
    <row r="56" spans="1:17" s="2" customFormat="1" ht="12" customHeight="1">
      <c r="A56"/>
      <c r="B56"/>
      <c r="C56"/>
      <c r="D56" s="23"/>
      <c r="E56" s="23"/>
      <c r="F56"/>
      <c r="G56"/>
      <c r="H56"/>
      <c r="I56"/>
      <c r="J56" s="19"/>
      <c r="K56" s="19"/>
      <c r="L56" s="19"/>
      <c r="M56" s="19"/>
      <c r="N56" s="19"/>
      <c r="O56" s="19"/>
      <c r="P56" s="90"/>
      <c r="Q56" s="96"/>
    </row>
    <row r="57" spans="1:17" s="2" customFormat="1" ht="12" customHeight="1">
      <c r="A57"/>
      <c r="B57"/>
      <c r="C57"/>
      <c r="D57" s="23"/>
      <c r="E57" s="23"/>
      <c r="F57"/>
      <c r="G57"/>
      <c r="H57"/>
      <c r="I57"/>
      <c r="J57" s="19"/>
      <c r="K57" s="19"/>
      <c r="L57" s="19"/>
      <c r="M57" s="19"/>
      <c r="N57" s="19"/>
      <c r="O57" s="19"/>
      <c r="P57" s="90"/>
      <c r="Q57" s="96"/>
    </row>
    <row r="58" spans="1:17" s="2" customFormat="1" ht="12" customHeight="1">
      <c r="A58"/>
      <c r="B58"/>
      <c r="C58"/>
      <c r="D58" s="23"/>
      <c r="E58" s="23"/>
      <c r="F58"/>
      <c r="G58"/>
      <c r="H58"/>
      <c r="I58"/>
      <c r="J58" s="19"/>
      <c r="K58" s="19"/>
      <c r="L58" s="19"/>
      <c r="M58" s="19"/>
      <c r="N58" s="19"/>
      <c r="O58" s="19"/>
      <c r="P58" s="90"/>
      <c r="Q58" s="96"/>
    </row>
    <row r="59" spans="1:17" s="2" customFormat="1" ht="12" customHeight="1">
      <c r="A59"/>
      <c r="B59"/>
      <c r="C59"/>
      <c r="D59" s="23"/>
      <c r="E59" s="23"/>
      <c r="F59"/>
      <c r="G59"/>
      <c r="H59"/>
      <c r="I59"/>
      <c r="J59" s="19"/>
      <c r="K59" s="19"/>
      <c r="L59" s="19"/>
      <c r="M59" s="19"/>
      <c r="N59" s="19"/>
      <c r="O59" s="19"/>
      <c r="P59" s="90"/>
      <c r="Q59" s="96"/>
    </row>
    <row r="60" spans="1:17" s="2" customFormat="1" ht="12" customHeight="1">
      <c r="A60"/>
      <c r="B60"/>
      <c r="C60"/>
      <c r="D60" s="23"/>
      <c r="E60" s="23"/>
      <c r="F60"/>
      <c r="G60"/>
      <c r="H60"/>
      <c r="I60"/>
      <c r="J60" s="19"/>
      <c r="K60" s="19"/>
      <c r="L60" s="19"/>
      <c r="M60" s="19"/>
      <c r="N60" s="19"/>
      <c r="O60" s="19"/>
      <c r="P60" s="90"/>
      <c r="Q60" s="96"/>
    </row>
    <row r="61" spans="1:17">
      <c r="Q61" s="96"/>
    </row>
    <row r="62" spans="1:17">
      <c r="Q62" s="96"/>
    </row>
    <row r="63" spans="1:17">
      <c r="Q63" s="96"/>
    </row>
    <row r="64" spans="1:17">
      <c r="Q64" s="96"/>
    </row>
    <row r="65" spans="17:17">
      <c r="Q65" s="96"/>
    </row>
    <row r="66" spans="17:17">
      <c r="Q66" s="96"/>
    </row>
    <row r="67" spans="17:17">
      <c r="Q67" s="96"/>
    </row>
    <row r="68" spans="17:17">
      <c r="Q68" s="96"/>
    </row>
    <row r="69" spans="17:17">
      <c r="Q69" s="96"/>
    </row>
    <row r="70" spans="17:17">
      <c r="Q70" s="96"/>
    </row>
    <row r="71" spans="17:17">
      <c r="Q71" s="96"/>
    </row>
    <row r="72" spans="17:17">
      <c r="Q72" s="96"/>
    </row>
    <row r="73" spans="17:17">
      <c r="Q73" s="96"/>
    </row>
    <row r="74" spans="17:17">
      <c r="Q74" s="96"/>
    </row>
    <row r="75" spans="17:17">
      <c r="Q75" s="96"/>
    </row>
    <row r="76" spans="17:17">
      <c r="Q76" s="96"/>
    </row>
    <row r="77" spans="17:17">
      <c r="Q77" s="96"/>
    </row>
    <row r="78" spans="17:17">
      <c r="Q78" s="96"/>
    </row>
    <row r="79" spans="17:17">
      <c r="Q79" s="96"/>
    </row>
    <row r="80" spans="17:17">
      <c r="Q80" s="96"/>
    </row>
    <row r="117" ht="12" customHeight="1"/>
    <row r="118" ht="12" customHeight="1"/>
    <row r="119" ht="12" customHeight="1"/>
    <row r="120" ht="12" customHeight="1"/>
    <row r="121" ht="12" customHeight="1"/>
    <row r="122" ht="12" customHeight="1"/>
    <row r="123" ht="12" customHeight="1"/>
    <row r="124" ht="12" customHeight="1"/>
    <row r="125" ht="12" customHeight="1"/>
    <row r="126" ht="12" customHeight="1"/>
    <row r="127" ht="12" customHeight="1"/>
    <row r="128" ht="12" customHeight="1"/>
    <row r="129" ht="12" customHeight="1"/>
    <row r="130" ht="12" customHeight="1"/>
    <row r="131" ht="12" customHeight="1"/>
    <row r="132" ht="12" customHeight="1"/>
    <row r="133" ht="12" customHeight="1"/>
    <row r="134" ht="12" customHeight="1"/>
    <row r="135" ht="12" customHeight="1"/>
    <row r="136" ht="12" customHeight="1"/>
    <row r="137" ht="12" customHeight="1"/>
    <row r="138" ht="12" customHeight="1"/>
    <row r="139" ht="12" customHeight="1"/>
    <row r="140" ht="12" customHeight="1"/>
    <row r="141" ht="12" customHeight="1"/>
    <row r="142" ht="12" customHeight="1"/>
    <row r="143" ht="12" customHeight="1"/>
    <row r="144" ht="12" customHeight="1"/>
    <row r="145" ht="12" customHeight="1"/>
    <row r="146" ht="12" customHeight="1"/>
    <row r="147" ht="12" customHeight="1"/>
    <row r="148" ht="12" customHeight="1"/>
    <row r="149" ht="12" customHeight="1"/>
    <row r="150" ht="12" customHeight="1"/>
    <row r="151" ht="12" customHeight="1"/>
    <row r="152" ht="12" customHeight="1"/>
    <row r="153" ht="12" customHeight="1"/>
    <row r="154" ht="12" customHeight="1"/>
    <row r="155" ht="12" customHeight="1"/>
    <row r="156" ht="12" customHeight="1"/>
    <row r="157" ht="12" customHeight="1"/>
    <row r="158" ht="12" customHeight="1"/>
    <row r="159" ht="12" customHeight="1"/>
    <row r="160" ht="12" customHeight="1"/>
    <row r="161" ht="12" customHeight="1"/>
    <row r="162" ht="12" customHeight="1"/>
    <row r="163" ht="12" customHeight="1"/>
    <row r="164" ht="12" customHeight="1"/>
    <row r="165" ht="12" customHeight="1"/>
    <row r="166" ht="12" customHeight="1"/>
  </sheetData>
  <mergeCells count="15">
    <mergeCell ref="D13:E13"/>
    <mergeCell ref="H13:I13"/>
    <mergeCell ref="D11:E11"/>
    <mergeCell ref="D12:E12"/>
    <mergeCell ref="D5:E5"/>
    <mergeCell ref="D1:E1"/>
    <mergeCell ref="D4:E4"/>
    <mergeCell ref="H4:I4"/>
    <mergeCell ref="D10:E10"/>
    <mergeCell ref="H10:I10"/>
    <mergeCell ref="D9:E9"/>
    <mergeCell ref="D6:E6"/>
    <mergeCell ref="H6:I6"/>
    <mergeCell ref="D7:E7"/>
    <mergeCell ref="D8:E8"/>
  </mergeCells>
  <conditionalFormatting sqref="M5">
    <cfRule type="cellIs" dxfId="498" priority="1" stopIfTrue="1" operator="lessThanOrEqual">
      <formula>$L5</formula>
    </cfRule>
    <cfRule type="cellIs" dxfId="497" priority="2" operator="greaterThan">
      <formula>L5</formula>
    </cfRule>
  </conditionalFormatting>
  <conditionalFormatting sqref="M7:M9 M11:M12">
    <cfRule type="cellIs" dxfId="496" priority="3" stopIfTrue="1" operator="lessThanOrEqual">
      <formula>$L7</formula>
    </cfRule>
    <cfRule type="cellIs" dxfId="495" priority="4" operator="greaterThan">
      <formula>L7</formula>
    </cfRule>
  </conditionalFormatting>
  <pageMargins left="0.7" right="0.7" top="0.75" bottom="0.75" header="0.3" footer="0.3"/>
  <pageSetup paperSize="3" fitToHeight="0" orientation="landscape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814A2B4-4CE0-4F56-81BA-C3B861C80657}">
          <x14:formula1>
            <xm:f>Bolts!$A:$A</xm:f>
          </x14:formula1>
          <xm:sqref>C11:C12</xm:sqref>
        </x14:dataValidation>
        <x14:dataValidation type="list" allowBlank="1" showInputMessage="1" showErrorMessage="1" xr:uid="{EA21400A-CF58-4776-8759-77E89E696DFA}">
          <x14:formula1>
            <xm:f>Purchased!$A:$A</xm:f>
          </x14:formula1>
          <xm:sqref>C7:C9</xm:sqref>
        </x14:dataValidation>
        <x14:dataValidation type="list" allowBlank="1" showInputMessage="1" showErrorMessage="1" xr:uid="{815554C4-9751-43A0-8E25-0A088EDDFEE5}">
          <x14:formula1>
            <xm:f>Machined!$C:$C</xm:f>
          </x14:formula1>
          <xm:sqref>C5</xm:sqref>
        </x14:dataValidation>
      </x14:dataValidation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D06A3E-9F86-453E-8D43-439E1FD87249}">
  <sheetPr codeName="Sheet43">
    <tabColor theme="3" tint="0.79998168889431442"/>
    <pageSetUpPr fitToPage="1"/>
  </sheetPr>
  <dimension ref="A1:Q168"/>
  <sheetViews>
    <sheetView zoomScaleNormal="100" workbookViewId="0">
      <selection activeCell="D14" sqref="D14:Q14"/>
    </sheetView>
  </sheetViews>
  <sheetFormatPr defaultColWidth="9.140625" defaultRowHeight="15"/>
  <cols>
    <col min="1" max="1" width="5.7109375" customWidth="1"/>
    <col min="2" max="2" width="5.42578125" bestFit="1" customWidth="1"/>
    <col min="3" max="3" width="30.7109375" customWidth="1"/>
    <col min="4" max="5" width="20.7109375" style="23" customWidth="1"/>
    <col min="6" max="6" width="16.85546875" bestFit="1" customWidth="1"/>
    <col min="7" max="7" width="9.7109375" customWidth="1"/>
    <col min="8" max="8" width="8.7109375" customWidth="1"/>
    <col min="9" max="9" width="20.7109375" customWidth="1"/>
    <col min="10" max="13" width="11.7109375" style="19" customWidth="1"/>
    <col min="14" max="14" width="11.85546875" style="19" bestFit="1" customWidth="1"/>
    <col min="15" max="15" width="7.7109375" style="19" customWidth="1"/>
    <col min="16" max="16" width="10.7109375" style="90" customWidth="1"/>
    <col min="17" max="17" width="10.7109375" style="97" customWidth="1"/>
  </cols>
  <sheetData>
    <row r="1" spans="1:17" s="55" customFormat="1" ht="12" customHeight="1">
      <c r="A1" s="68" t="s">
        <v>0</v>
      </c>
      <c r="B1" s="69"/>
      <c r="C1" s="69"/>
      <c r="D1" s="262" t="s">
        <v>1</v>
      </c>
      <c r="E1" s="263"/>
      <c r="F1" s="70"/>
      <c r="G1" s="69"/>
      <c r="H1" s="70"/>
      <c r="I1" s="71"/>
      <c r="J1" s="72"/>
      <c r="K1" s="72"/>
      <c r="L1" s="72"/>
      <c r="M1" s="72"/>
      <c r="N1" s="72"/>
      <c r="O1" s="72"/>
      <c r="P1" s="85"/>
      <c r="Q1" s="91"/>
    </row>
    <row r="2" spans="1:17" s="55" customFormat="1" ht="12" customHeight="1">
      <c r="A2" s="74" t="s">
        <v>48</v>
      </c>
      <c r="B2" s="58"/>
      <c r="C2" s="57" t="e">
        <f ca="1">VLOOKUP(E3,Assemblies!B:F,4,0)</f>
        <v>#VALUE!</v>
      </c>
      <c r="D2" s="75" t="s">
        <v>3</v>
      </c>
      <c r="E2" s="76" t="e">
        <f ca="1">'GF12'!E2</f>
        <v>#VALUE!</v>
      </c>
      <c r="F2" s="77" t="s">
        <v>4</v>
      </c>
      <c r="G2" s="58" t="str">
        <f>'GF12'!G2</f>
        <v>GH</v>
      </c>
      <c r="H2" s="77" t="s">
        <v>6</v>
      </c>
      <c r="I2" s="59">
        <f>'GF12'!I2</f>
        <v>44775</v>
      </c>
      <c r="J2" s="39"/>
      <c r="K2" s="40" t="s">
        <v>49</v>
      </c>
      <c r="L2" s="41" t="e">
        <f ca="1">VLOOKUP(C2,Assemblies!E:G,3,0)</f>
        <v>#VALUE!</v>
      </c>
      <c r="M2" s="78"/>
      <c r="N2" s="78"/>
      <c r="O2" s="78"/>
      <c r="P2" s="86"/>
      <c r="Q2" s="92"/>
    </row>
    <row r="3" spans="1:17" s="55" customFormat="1" ht="12" customHeight="1" thickBot="1">
      <c r="A3" s="74" t="s">
        <v>7</v>
      </c>
      <c r="B3" s="58"/>
      <c r="C3" s="57" t="e">
        <f ca="1">VLOOKUP(E3,Assemblies!B:F,5,0)</f>
        <v>#VALUE!</v>
      </c>
      <c r="D3" s="75" t="s">
        <v>50</v>
      </c>
      <c r="E3" s="76" t="e">
        <f ca="1">MID(CELL("filename",A1),FIND("]",CELL("filename",A1))+1,256)</f>
        <v>#VALUE!</v>
      </c>
      <c r="F3" s="77" t="s">
        <v>11</v>
      </c>
      <c r="G3" s="58" t="str">
        <f>'GF12'!G3</f>
        <v>GH</v>
      </c>
      <c r="H3" s="77" t="s">
        <v>6</v>
      </c>
      <c r="I3" s="59">
        <f>'GF12'!I3</f>
        <v>44775</v>
      </c>
      <c r="J3" s="78"/>
      <c r="K3" s="78"/>
      <c r="L3" s="78"/>
      <c r="M3" s="78"/>
      <c r="N3" s="78"/>
      <c r="O3" s="78"/>
      <c r="P3" s="86"/>
      <c r="Q3" s="92"/>
    </row>
    <row r="4" spans="1:17" s="56" customFormat="1" ht="12.75" customHeight="1" thickBot="1">
      <c r="A4" s="80" t="s">
        <v>12</v>
      </c>
      <c r="B4" s="81" t="s">
        <v>13</v>
      </c>
      <c r="C4" s="81" t="s">
        <v>14</v>
      </c>
      <c r="D4" s="270" t="s">
        <v>15</v>
      </c>
      <c r="E4" s="271"/>
      <c r="F4" s="104" t="s">
        <v>16</v>
      </c>
      <c r="G4" s="81" t="s">
        <v>17</v>
      </c>
      <c r="H4" s="260" t="s">
        <v>18</v>
      </c>
      <c r="I4" s="261"/>
      <c r="J4" s="81" t="s">
        <v>51</v>
      </c>
      <c r="K4" s="81" t="s">
        <v>20</v>
      </c>
      <c r="L4" s="81" t="s">
        <v>21</v>
      </c>
      <c r="M4" s="81" t="s">
        <v>52</v>
      </c>
      <c r="N4" s="81" t="s">
        <v>22</v>
      </c>
      <c r="O4" s="81" t="s">
        <v>53</v>
      </c>
      <c r="P4" s="107" t="s">
        <v>26</v>
      </c>
      <c r="Q4" s="82" t="s">
        <v>27</v>
      </c>
    </row>
    <row r="5" spans="1:17" s="2" customFormat="1" ht="12.75" customHeight="1">
      <c r="A5" s="127">
        <v>1</v>
      </c>
      <c r="B5" s="21">
        <v>1</v>
      </c>
      <c r="C5" s="108" t="s">
        <v>585</v>
      </c>
      <c r="D5" s="277" t="str">
        <f>VLOOKUP(C5,Machined!C:Q,2,0)</f>
        <v>Edge Guide Actuator Mount</v>
      </c>
      <c r="E5" s="278"/>
      <c r="F5" s="131" t="str">
        <f>VLOOKUP(C5,Machined!C:R,7,0)</f>
        <v>1018 CRS</v>
      </c>
      <c r="G5" s="131" t="str">
        <f>VLOOKUP(C5,Machined!C:R,10,0)</f>
        <v>FRONTIER</v>
      </c>
      <c r="H5" s="131" t="str">
        <f>VLOOKUP(C5,Machined!C:R,11,0)</f>
        <v xml:space="preserve">  </v>
      </c>
      <c r="I5" s="131"/>
      <c r="J5" s="42">
        <f>VLOOKUP(C5,Machined!C:R,12,0)</f>
        <v>45105</v>
      </c>
      <c r="K5" s="42">
        <f>VLOOKUP(C5,Machined!C:R,13,0)</f>
        <v>45133</v>
      </c>
      <c r="L5" s="42">
        <f>VLOOKUP(C5,Machined!C:R,14,0)</f>
        <v>45163</v>
      </c>
      <c r="M5" s="42">
        <f>VLOOKUP(C5,Machined!C:R,15,0)</f>
        <v>45163</v>
      </c>
      <c r="N5" s="43">
        <f>VLOOKUP(C5,Machined!C:R,16,0)</f>
        <v>55015</v>
      </c>
      <c r="O5" s="43" t="e">
        <f t="shared" ref="O5:O6" ca="1" si="0">B5*$L$2</f>
        <v>#VALUE!</v>
      </c>
      <c r="P5" s="47">
        <f>IFERROR(VLOOKUP(C5,Machined!C:F,3,0),"")</f>
        <v>118.95</v>
      </c>
      <c r="Q5" s="48">
        <f t="shared" ref="Q5:Q6" si="1">IFERROR(B5*P5,"")</f>
        <v>118.95</v>
      </c>
    </row>
    <row r="6" spans="1:17" s="2" customFormat="1" ht="12.75" customHeight="1">
      <c r="A6" s="127">
        <v>2</v>
      </c>
      <c r="B6" s="21">
        <v>1</v>
      </c>
      <c r="C6" s="108" t="s">
        <v>586</v>
      </c>
      <c r="D6" s="277" t="str">
        <f>VLOOKUP(C6,Machined!C:Q,2,0)</f>
        <v>Edge Guide Actuator Spacer</v>
      </c>
      <c r="E6" s="278"/>
      <c r="F6" s="131" t="str">
        <f>VLOOKUP(C6,Machined!C:R,7,0)</f>
        <v>1018 CRS</v>
      </c>
      <c r="G6" s="131" t="str">
        <f>VLOOKUP(C6,Machined!C:R,10,0)</f>
        <v>FRONTIER</v>
      </c>
      <c r="H6" s="131" t="str">
        <f>VLOOKUP(C6,Machined!C:R,11,0)</f>
        <v xml:space="preserve">  </v>
      </c>
      <c r="I6" s="131"/>
      <c r="J6" s="42">
        <f>VLOOKUP(C6,Machined!C:R,12,0)</f>
        <v>45105</v>
      </c>
      <c r="K6" s="42">
        <f>VLOOKUP(C6,Machined!C:R,13,0)</f>
        <v>45133</v>
      </c>
      <c r="L6" s="42">
        <f>VLOOKUP(C6,Machined!C:R,14,0)</f>
        <v>45163</v>
      </c>
      <c r="M6" s="42">
        <f>VLOOKUP(C6,Machined!C:R,15,0)</f>
        <v>45163</v>
      </c>
      <c r="N6" s="43">
        <f>VLOOKUP(C6,Machined!C:R,16,0)</f>
        <v>55015</v>
      </c>
      <c r="O6" s="43" t="e">
        <f t="shared" ca="1" si="0"/>
        <v>#VALUE!</v>
      </c>
      <c r="P6" s="47">
        <f>IFERROR(VLOOKUP(C6,Machined!C:F,3,0),"")</f>
        <v>60.75</v>
      </c>
      <c r="Q6" s="48">
        <f t="shared" si="1"/>
        <v>60.75</v>
      </c>
    </row>
    <row r="7" spans="1:17" s="2" customFormat="1" ht="12.75" customHeight="1">
      <c r="A7" s="143"/>
      <c r="B7" s="26"/>
      <c r="C7" s="26"/>
      <c r="D7" s="272"/>
      <c r="E7" s="273"/>
      <c r="F7" s="26"/>
      <c r="G7" s="26"/>
      <c r="H7" s="274"/>
      <c r="I7" s="275"/>
      <c r="J7" s="27"/>
      <c r="K7" s="27"/>
      <c r="L7" s="27"/>
      <c r="M7" s="28"/>
      <c r="N7" s="29"/>
      <c r="O7" s="29"/>
      <c r="P7" s="141"/>
      <c r="Q7" s="142"/>
    </row>
    <row r="8" spans="1:17" s="2" customFormat="1" ht="12.75" customHeight="1">
      <c r="A8" s="4">
        <v>301</v>
      </c>
      <c r="B8" s="2">
        <v>1</v>
      </c>
      <c r="C8" s="114" t="s">
        <v>587</v>
      </c>
      <c r="D8" s="268" t="str">
        <f>VLOOKUP(C8,Purchased!A:B,2,0)</f>
        <v xml:space="preserve">Ball Screw Acutator Travel Length 102mm  </v>
      </c>
      <c r="E8" s="269"/>
      <c r="F8" s="112" t="str">
        <f>VLOOKUP(C8,Purchased!A:Q,9,0)</f>
        <v>NOOK</v>
      </c>
      <c r="G8" s="112" t="str">
        <f>VLOOKUP(C8,Purchased!A:Q,10,0)</f>
        <v>Fiero</v>
      </c>
      <c r="H8" s="112" t="str">
        <f>VLOOKUP(C8,Purchased!A:Q,12,0)</f>
        <v xml:space="preserve"> </v>
      </c>
      <c r="I8" s="113"/>
      <c r="J8" s="44" t="str">
        <f>VLOOKUP(C8,Purchased!A:Q,13,0)</f>
        <v>N/A</v>
      </c>
      <c r="K8" s="44">
        <f>VLOOKUP(C8,Purchased!A:Q,14,0)</f>
        <v>45077</v>
      </c>
      <c r="L8" s="44">
        <f>VLOOKUP(C8,Purchased!A:Q,15,0)</f>
        <v>45133</v>
      </c>
      <c r="M8" s="44">
        <f>VLOOKUP(C8,Purchased!A:Q,16,0)</f>
        <v>45133</v>
      </c>
      <c r="N8" s="45">
        <f>VLOOKUP(C8,Purchased!A:Q,17,0)</f>
        <v>54911</v>
      </c>
      <c r="O8" s="45" t="e">
        <f t="shared" ref="O8:O10" ca="1" si="2">B8*$L$2</f>
        <v>#VALUE!</v>
      </c>
      <c r="P8" s="49">
        <f>IFERROR(VLOOKUP(C8,Purchased!A:E,3,FALSE),"")</f>
        <v>946.12</v>
      </c>
      <c r="Q8" s="50">
        <f t="shared" ref="Q8:Q10" si="3">IFERROR(B8*P8,"")</f>
        <v>946.12</v>
      </c>
    </row>
    <row r="9" spans="1:17" s="2" customFormat="1" ht="12" customHeight="1">
      <c r="A9" s="4">
        <f t="shared" ref="A9:A10" si="4">A8+1</f>
        <v>302</v>
      </c>
      <c r="B9" s="2">
        <v>2</v>
      </c>
      <c r="C9" s="114" t="s">
        <v>588</v>
      </c>
      <c r="D9" s="268" t="str">
        <f>VLOOKUP(C9,Purchased!A:B,2,0)</f>
        <v>Alloy Steel Shoulder Screws, 13 mm Shoulder Diameter, 30 mm Shoulder Length, M10 x 1.5 mm Thread</v>
      </c>
      <c r="E9" s="269"/>
      <c r="F9" s="112" t="str">
        <f>VLOOKUP(C9,Purchased!A:Q,9,0)</f>
        <v>MCM</v>
      </c>
      <c r="G9" s="112" t="str">
        <f>VLOOKUP(C9,Purchased!A:Q,10,0)</f>
        <v>MCM</v>
      </c>
      <c r="H9" s="112">
        <f>VLOOKUP(C9,Purchased!A:Q,12,0)</f>
        <v>0</v>
      </c>
      <c r="I9" s="113"/>
      <c r="J9" s="44">
        <f>VLOOKUP(C9,Purchased!A:Q,13,0)</f>
        <v>0</v>
      </c>
      <c r="K9" s="44">
        <f>VLOOKUP(C9,Purchased!A:Q,14,0)</f>
        <v>45167</v>
      </c>
      <c r="L9" s="44">
        <f>VLOOKUP(C9,Purchased!A:Q,15,0)</f>
        <v>45168</v>
      </c>
      <c r="M9" s="44">
        <f>VLOOKUP(C9,Purchased!A:Q,16,0)</f>
        <v>45168</v>
      </c>
      <c r="N9" s="45">
        <f>VLOOKUP(C9,Purchased!A:Q,17,0)</f>
        <v>55113</v>
      </c>
      <c r="O9" s="45" t="e">
        <f t="shared" ca="1" si="2"/>
        <v>#VALUE!</v>
      </c>
      <c r="P9" s="49">
        <f>IFERROR(VLOOKUP(C9,Purchased!A:E,3,FALSE),"")</f>
        <v>10.98</v>
      </c>
      <c r="Q9" s="50">
        <f t="shared" si="3"/>
        <v>21.96</v>
      </c>
    </row>
    <row r="10" spans="1:17" s="2" customFormat="1" ht="12" customHeight="1">
      <c r="A10" s="4">
        <f t="shared" si="4"/>
        <v>303</v>
      </c>
      <c r="B10" s="2">
        <v>4</v>
      </c>
      <c r="C10" s="114" t="s">
        <v>256</v>
      </c>
      <c r="D10" s="268" t="str">
        <f>VLOOKUP(C10,Purchased!A:B,2,0)</f>
        <v>BRX GOTO T-NUT 10 M8</v>
      </c>
      <c r="E10" s="269"/>
      <c r="F10" s="112" t="str">
        <f>VLOOKUP(C10,Purchased!A:Q,9,0)</f>
        <v>BRX</v>
      </c>
      <c r="G10" s="112" t="str">
        <f>VLOOKUP(C10,Purchased!A:Q,10,0)</f>
        <v>AAP</v>
      </c>
      <c r="H10" s="112" t="str">
        <f>VLOOKUP(C10,Purchased!A:Q,12,0)</f>
        <v xml:space="preserve">  </v>
      </c>
      <c r="I10" s="113"/>
      <c r="J10" s="44">
        <f>VLOOKUP(C10,Purchased!A:Q,13,0)</f>
        <v>45104</v>
      </c>
      <c r="K10" s="44">
        <f>VLOOKUP(C10,Purchased!A:Q,14,0)</f>
        <v>45105</v>
      </c>
      <c r="L10" s="44">
        <f>VLOOKUP(C10,Purchased!A:Q,15,0)</f>
        <v>45133</v>
      </c>
      <c r="M10" s="44">
        <f>VLOOKUP(C10,Purchased!A:Q,16,0)</f>
        <v>45133</v>
      </c>
      <c r="N10" s="45" t="str">
        <f>VLOOKUP(C10,Purchased!A:Q,17,0)</f>
        <v>54968, 55147</v>
      </c>
      <c r="O10" s="45" t="e">
        <f t="shared" ca="1" si="2"/>
        <v>#VALUE!</v>
      </c>
      <c r="P10" s="49">
        <f>IFERROR(VLOOKUP(C10,Purchased!A:E,3,FALSE),"")</f>
        <v>0.64290000000000003</v>
      </c>
      <c r="Q10" s="50">
        <f t="shared" si="3"/>
        <v>2.5716000000000001</v>
      </c>
    </row>
    <row r="11" spans="1:17" s="2" customFormat="1" ht="12.75" customHeight="1">
      <c r="A11" s="25"/>
      <c r="B11" s="26"/>
      <c r="C11" s="26"/>
      <c r="D11" s="272"/>
      <c r="E11" s="273"/>
      <c r="F11" s="26"/>
      <c r="G11" s="26"/>
      <c r="H11" s="274"/>
      <c r="I11" s="275"/>
      <c r="J11" s="27"/>
      <c r="K11" s="27"/>
      <c r="L11" s="27"/>
      <c r="M11" s="28"/>
      <c r="N11" s="29"/>
      <c r="O11" s="29" t="e">
        <f t="shared" ref="O11:O12" ca="1" si="5">B11*$L$2</f>
        <v>#VALUE!</v>
      </c>
      <c r="P11" s="141"/>
      <c r="Q11" s="142"/>
    </row>
    <row r="12" spans="1:17" s="2" customFormat="1" ht="12.75" customHeight="1">
      <c r="A12" s="4">
        <v>501</v>
      </c>
      <c r="B12" s="2">
        <v>4</v>
      </c>
      <c r="C12" s="110" t="s">
        <v>257</v>
      </c>
      <c r="D12" s="268"/>
      <c r="E12" s="276"/>
      <c r="F12" s="112" t="str">
        <f>VLOOKUP(C12,Bolts!A:L,5,0)</f>
        <v xml:space="preserve">  </v>
      </c>
      <c r="G12" s="112" t="str">
        <f>VLOOKUP(C12,Bolts!A:L,6,0)</f>
        <v>Monroe Fasteners</v>
      </c>
      <c r="H12" s="112" t="str">
        <f>VLOOKUP(C12,Bolts!A:L,7,0)</f>
        <v xml:space="preserve">  </v>
      </c>
      <c r="I12" s="112"/>
      <c r="J12" s="44" t="str">
        <f>VLOOKUP(C12,Bolts!A:L,8,0)</f>
        <v xml:space="preserve"> </v>
      </c>
      <c r="K12" s="44" t="str">
        <f>VLOOKUP(C12,Bolts!A:L,9,0)</f>
        <v xml:space="preserve"> </v>
      </c>
      <c r="L12" s="44" t="str">
        <f>VLOOKUP(C12,Bolts!A:L,10,0)</f>
        <v xml:space="preserve"> </v>
      </c>
      <c r="M12" s="44" t="str">
        <f>VLOOKUP(C12,Bolts!A:L,11,0)</f>
        <v xml:space="preserve"> </v>
      </c>
      <c r="N12" s="45" t="str">
        <f>VLOOKUP(C12,Bolts!A:L,12,0)</f>
        <v xml:space="preserve"> </v>
      </c>
      <c r="O12" s="45" t="e">
        <f t="shared" ca="1" si="5"/>
        <v>#VALUE!</v>
      </c>
      <c r="P12" s="49" t="str">
        <f>IFERROR(VLOOKUP(C12,Bolts!A:B,2,FALSE),"")</f>
        <v xml:space="preserve"> </v>
      </c>
      <c r="Q12" s="50" t="str">
        <f t="shared" ref="Q12" si="6">IFERROR(B12*P12,"")</f>
        <v/>
      </c>
    </row>
    <row r="13" spans="1:17" s="2" customFormat="1" ht="12.75" customHeight="1">
      <c r="A13" s="4">
        <v>502</v>
      </c>
      <c r="B13" s="2">
        <v>1</v>
      </c>
      <c r="C13" s="110" t="s">
        <v>428</v>
      </c>
      <c r="D13" s="268"/>
      <c r="E13" s="276"/>
      <c r="F13" s="112" t="str">
        <f>VLOOKUP(C13,Bolts!A:L,5,0)</f>
        <v xml:space="preserve">  </v>
      </c>
      <c r="G13" s="112" t="str">
        <f>VLOOKUP(C13,Bolts!A:L,6,0)</f>
        <v>Monroe Fasteners</v>
      </c>
      <c r="H13" s="112" t="str">
        <f>VLOOKUP(C13,Bolts!A:L,7,0)</f>
        <v xml:space="preserve">  </v>
      </c>
      <c r="I13" s="112"/>
      <c r="J13" s="44" t="str">
        <f>VLOOKUP(C13,Bolts!A:L,8,0)</f>
        <v xml:space="preserve"> </v>
      </c>
      <c r="K13" s="44" t="str">
        <f>VLOOKUP(C13,Bolts!A:L,9,0)</f>
        <v xml:space="preserve"> </v>
      </c>
      <c r="L13" s="44" t="str">
        <f>VLOOKUP(C13,Bolts!A:L,10,0)</f>
        <v xml:space="preserve"> </v>
      </c>
      <c r="M13" s="44" t="str">
        <f>VLOOKUP(C13,Bolts!A:L,11,0)</f>
        <v xml:space="preserve"> </v>
      </c>
      <c r="N13" s="45" t="str">
        <f>VLOOKUP(C13,Bolts!A:L,12,0)</f>
        <v xml:space="preserve"> </v>
      </c>
      <c r="O13" s="45" t="e">
        <f t="shared" ref="O13" ca="1" si="7">B13*$L$2</f>
        <v>#VALUE!</v>
      </c>
      <c r="P13" s="49" t="str">
        <f>IFERROR(VLOOKUP(C13,Bolts!A:B,2,FALSE),"")</f>
        <v xml:space="preserve"> </v>
      </c>
      <c r="Q13" s="50" t="str">
        <f t="shared" ref="Q13" si="8">IFERROR(B13*P13,"")</f>
        <v/>
      </c>
    </row>
    <row r="14" spans="1:17" s="2" customFormat="1" ht="12.75" customHeight="1" thickBot="1">
      <c r="A14" s="4">
        <v>503</v>
      </c>
      <c r="B14" s="2">
        <v>1</v>
      </c>
      <c r="C14" s="110" t="s">
        <v>589</v>
      </c>
      <c r="D14" s="268"/>
      <c r="E14" s="276"/>
      <c r="F14" s="112" t="str">
        <f>VLOOKUP(C14,Bolts!A:L,5,0)</f>
        <v xml:space="preserve">  </v>
      </c>
      <c r="G14" s="112" t="str">
        <f>VLOOKUP(C14,Bolts!A:L,6,0)</f>
        <v>Monroe Fasteners</v>
      </c>
      <c r="H14" s="112" t="str">
        <f>VLOOKUP(C14,Bolts!A:L,7,0)</f>
        <v xml:space="preserve">  </v>
      </c>
      <c r="I14" s="112"/>
      <c r="J14" s="44" t="str">
        <f>VLOOKUP(C14,Bolts!A:L,8,0)</f>
        <v xml:space="preserve"> </v>
      </c>
      <c r="K14" s="44" t="str">
        <f>VLOOKUP(C14,Bolts!A:L,9,0)</f>
        <v xml:space="preserve"> </v>
      </c>
      <c r="L14" s="44" t="str">
        <f>VLOOKUP(C14,Bolts!A:L,10,0)</f>
        <v xml:space="preserve"> </v>
      </c>
      <c r="M14" s="44" t="str">
        <f>VLOOKUP(C14,Bolts!A:L,11,0)</f>
        <v xml:space="preserve"> </v>
      </c>
      <c r="N14" s="45" t="str">
        <f>VLOOKUP(C14,Bolts!A:L,12,0)</f>
        <v xml:space="preserve"> </v>
      </c>
      <c r="O14" s="45" t="e">
        <f t="shared" ref="O14" ca="1" si="9">B14*$L$2</f>
        <v>#VALUE!</v>
      </c>
      <c r="P14" s="49" t="str">
        <f>IFERROR(VLOOKUP(C14,Bolts!A:B,2,FALSE),"")</f>
        <v xml:space="preserve"> </v>
      </c>
      <c r="Q14" s="50" t="str">
        <f t="shared" ref="Q14" si="10">IFERROR(B14*P14,"")</f>
        <v/>
      </c>
    </row>
    <row r="15" spans="1:17" s="2" customFormat="1" ht="12.75" customHeight="1" thickBot="1">
      <c r="A15" s="34"/>
      <c r="B15" s="35"/>
      <c r="C15" s="35"/>
      <c r="D15" s="256"/>
      <c r="E15" s="257"/>
      <c r="F15" s="35"/>
      <c r="G15" s="35"/>
      <c r="H15" s="294"/>
      <c r="I15" s="295"/>
      <c r="J15" s="36"/>
      <c r="K15" s="36"/>
      <c r="L15" s="36"/>
      <c r="M15" s="37"/>
      <c r="N15" s="38"/>
      <c r="O15" s="38"/>
      <c r="P15" s="89" t="s">
        <v>43</v>
      </c>
      <c r="Q15" s="94">
        <f>SUM(Q5:Q12)</f>
        <v>1150.3516</v>
      </c>
    </row>
    <row r="16" spans="1:17" s="2" customFormat="1" ht="12" customHeight="1">
      <c r="D16" s="22"/>
      <c r="E16" s="22"/>
      <c r="J16" s="8"/>
      <c r="K16" s="8"/>
      <c r="L16" s="8"/>
      <c r="M16" s="8"/>
      <c r="N16" s="5"/>
      <c r="O16" s="5"/>
      <c r="P16" s="88"/>
      <c r="Q16" s="95"/>
    </row>
    <row r="17" spans="4:17" s="2" customFormat="1" ht="12" customHeight="1">
      <c r="D17" s="22"/>
      <c r="E17" s="22"/>
      <c r="J17" s="5"/>
      <c r="K17" s="5"/>
      <c r="L17" s="5"/>
      <c r="M17" s="5"/>
      <c r="N17" s="5"/>
      <c r="O17" s="5"/>
      <c r="P17" s="88"/>
      <c r="Q17" s="95"/>
    </row>
    <row r="18" spans="4:17" s="2" customFormat="1" ht="12" customHeight="1">
      <c r="D18" s="22"/>
      <c r="E18" s="22"/>
      <c r="J18" s="5"/>
      <c r="K18" s="5"/>
      <c r="L18" s="5"/>
      <c r="M18" s="5"/>
      <c r="N18" s="5"/>
      <c r="O18" s="5"/>
      <c r="P18" s="88"/>
      <c r="Q18" s="95"/>
    </row>
    <row r="19" spans="4:17" s="2" customFormat="1" ht="12" customHeight="1">
      <c r="D19" s="22"/>
      <c r="E19" s="22"/>
      <c r="J19" s="5"/>
      <c r="K19" s="5"/>
      <c r="L19" s="5"/>
      <c r="M19" s="5"/>
      <c r="N19" s="5"/>
      <c r="O19" s="5"/>
      <c r="P19" s="88"/>
      <c r="Q19" s="95"/>
    </row>
    <row r="20" spans="4:17" s="2" customFormat="1" ht="12" customHeight="1">
      <c r="D20" s="22"/>
      <c r="E20" s="22"/>
      <c r="J20" s="5"/>
      <c r="K20" s="5"/>
      <c r="L20" s="5"/>
      <c r="M20" s="5"/>
      <c r="N20" s="5"/>
      <c r="O20" s="5"/>
      <c r="P20" s="88"/>
      <c r="Q20" s="95"/>
    </row>
    <row r="21" spans="4:17" s="2" customFormat="1" ht="12" customHeight="1">
      <c r="D21" s="22"/>
      <c r="E21" s="22"/>
      <c r="J21" s="5"/>
      <c r="K21" s="5"/>
      <c r="L21" s="5"/>
      <c r="M21" s="5"/>
      <c r="N21" s="5"/>
      <c r="O21" s="5"/>
      <c r="P21" s="88"/>
      <c r="Q21" s="95"/>
    </row>
    <row r="22" spans="4:17" s="2" customFormat="1" ht="12" customHeight="1">
      <c r="D22" s="22"/>
      <c r="E22" s="22"/>
      <c r="J22" s="5"/>
      <c r="K22" s="5"/>
      <c r="L22" s="5"/>
      <c r="M22" s="5"/>
      <c r="N22" s="5"/>
      <c r="O22" s="5"/>
      <c r="P22" s="88"/>
      <c r="Q22" s="95"/>
    </row>
    <row r="23" spans="4:17" s="2" customFormat="1" ht="12" customHeight="1">
      <c r="D23" s="22"/>
      <c r="E23" s="22"/>
      <c r="J23" s="5"/>
      <c r="K23" s="5"/>
      <c r="L23" s="5"/>
      <c r="M23" s="5"/>
      <c r="N23" s="5"/>
      <c r="O23" s="5"/>
      <c r="P23" s="88"/>
      <c r="Q23" s="95"/>
    </row>
    <row r="24" spans="4:17" s="2" customFormat="1" ht="12" customHeight="1">
      <c r="D24" s="22"/>
      <c r="E24" s="22"/>
      <c r="J24" s="5"/>
      <c r="K24" s="5"/>
      <c r="L24" s="5"/>
      <c r="M24" s="5"/>
      <c r="N24" s="5"/>
      <c r="O24" s="5"/>
      <c r="P24" s="88"/>
      <c r="Q24" s="95"/>
    </row>
    <row r="25" spans="4:17" s="2" customFormat="1" ht="12" customHeight="1">
      <c r="D25" s="22"/>
      <c r="E25" s="22"/>
      <c r="J25" s="5"/>
      <c r="K25" s="5"/>
      <c r="L25" s="5"/>
      <c r="M25" s="5"/>
      <c r="N25" s="5"/>
      <c r="O25" s="5"/>
      <c r="P25" s="88"/>
      <c r="Q25" s="95"/>
    </row>
    <row r="26" spans="4:17" s="2" customFormat="1" ht="12" customHeight="1">
      <c r="D26" s="22"/>
      <c r="E26" s="22"/>
      <c r="J26" s="5"/>
      <c r="K26" s="5"/>
      <c r="L26" s="5"/>
      <c r="M26" s="5"/>
      <c r="N26" s="5"/>
      <c r="O26" s="5"/>
      <c r="P26" s="88"/>
      <c r="Q26" s="95"/>
    </row>
    <row r="27" spans="4:17" s="2" customFormat="1" ht="12" customHeight="1">
      <c r="D27" s="22"/>
      <c r="E27" s="22"/>
      <c r="J27" s="5"/>
      <c r="K27" s="5"/>
      <c r="L27" s="5"/>
      <c r="M27" s="5"/>
      <c r="N27" s="5"/>
      <c r="O27" s="5"/>
      <c r="P27" s="88"/>
      <c r="Q27" s="95"/>
    </row>
    <row r="28" spans="4:17" s="2" customFormat="1" ht="12" customHeight="1">
      <c r="D28" s="22"/>
      <c r="E28" s="22"/>
      <c r="J28" s="5"/>
      <c r="K28" s="5"/>
      <c r="L28" s="5"/>
      <c r="M28" s="5"/>
      <c r="N28" s="5"/>
      <c r="O28" s="5"/>
      <c r="P28" s="88"/>
      <c r="Q28" s="95"/>
    </row>
    <row r="29" spans="4:17" s="2" customFormat="1" ht="12" customHeight="1">
      <c r="D29" s="22"/>
      <c r="E29" s="22"/>
      <c r="J29" s="5"/>
      <c r="K29" s="5"/>
      <c r="L29" s="5"/>
      <c r="M29" s="5"/>
      <c r="N29" s="5"/>
      <c r="O29" s="5"/>
      <c r="P29" s="88"/>
      <c r="Q29" s="95"/>
    </row>
    <row r="30" spans="4:17" s="2" customFormat="1" ht="12" customHeight="1">
      <c r="D30" s="22"/>
      <c r="E30" s="22"/>
      <c r="J30" s="5"/>
      <c r="K30" s="5"/>
      <c r="L30" s="5"/>
      <c r="M30" s="5"/>
      <c r="N30" s="5"/>
      <c r="O30" s="5"/>
      <c r="P30" s="88"/>
      <c r="Q30" s="95"/>
    </row>
    <row r="31" spans="4:17" s="2" customFormat="1" ht="12" customHeight="1">
      <c r="D31" s="22"/>
      <c r="E31" s="22"/>
      <c r="J31" s="5"/>
      <c r="K31" s="5"/>
      <c r="L31" s="5"/>
      <c r="M31" s="5"/>
      <c r="N31" s="5"/>
      <c r="O31" s="5"/>
      <c r="P31" s="88"/>
      <c r="Q31" s="95"/>
    </row>
    <row r="32" spans="4:17" s="2" customFormat="1" ht="12" customHeight="1">
      <c r="D32" s="22"/>
      <c r="E32" s="22"/>
      <c r="J32" s="5"/>
      <c r="K32" s="5"/>
      <c r="L32" s="5"/>
      <c r="M32" s="5"/>
      <c r="N32" s="5"/>
      <c r="O32" s="5"/>
      <c r="P32" s="88"/>
      <c r="Q32" s="95"/>
    </row>
    <row r="33" spans="4:17" s="2" customFormat="1" ht="12" customHeight="1">
      <c r="D33" s="22"/>
      <c r="E33" s="22"/>
      <c r="J33" s="5"/>
      <c r="K33" s="5"/>
      <c r="L33" s="5"/>
      <c r="M33" s="5"/>
      <c r="N33" s="5"/>
      <c r="O33" s="5"/>
      <c r="P33" s="88"/>
      <c r="Q33" s="95"/>
    </row>
    <row r="34" spans="4:17" s="2" customFormat="1" ht="12" customHeight="1">
      <c r="D34" s="22"/>
      <c r="E34" s="22"/>
      <c r="J34" s="5"/>
      <c r="K34" s="5"/>
      <c r="L34" s="5"/>
      <c r="M34" s="5"/>
      <c r="N34" s="5"/>
      <c r="O34" s="5"/>
      <c r="P34" s="88"/>
      <c r="Q34" s="95"/>
    </row>
    <row r="35" spans="4:17" s="2" customFormat="1" ht="12" customHeight="1">
      <c r="D35" s="22"/>
      <c r="E35" s="22"/>
      <c r="J35" s="5"/>
      <c r="K35" s="5"/>
      <c r="L35" s="5"/>
      <c r="M35" s="5"/>
      <c r="N35" s="5"/>
      <c r="O35" s="5"/>
      <c r="P35" s="88"/>
      <c r="Q35" s="95"/>
    </row>
    <row r="36" spans="4:17" s="2" customFormat="1" ht="12" customHeight="1">
      <c r="D36" s="22"/>
      <c r="E36" s="22"/>
      <c r="J36" s="5"/>
      <c r="K36" s="5"/>
      <c r="L36" s="5"/>
      <c r="M36" s="5"/>
      <c r="N36" s="5"/>
      <c r="O36" s="5"/>
      <c r="P36" s="88"/>
      <c r="Q36" s="95"/>
    </row>
    <row r="37" spans="4:17" s="2" customFormat="1" ht="12" customHeight="1">
      <c r="D37" s="22"/>
      <c r="E37" s="22"/>
      <c r="J37" s="5"/>
      <c r="K37" s="5"/>
      <c r="L37" s="5"/>
      <c r="M37" s="5"/>
      <c r="N37" s="5"/>
      <c r="O37" s="5"/>
      <c r="P37" s="88"/>
      <c r="Q37" s="95"/>
    </row>
    <row r="38" spans="4:17" s="2" customFormat="1" ht="12" customHeight="1">
      <c r="D38" s="22"/>
      <c r="E38" s="22"/>
      <c r="J38" s="5"/>
      <c r="K38" s="5"/>
      <c r="L38" s="5"/>
      <c r="M38" s="5"/>
      <c r="N38" s="5"/>
      <c r="O38" s="5"/>
      <c r="P38" s="88"/>
      <c r="Q38" s="95"/>
    </row>
    <row r="39" spans="4:17" s="2" customFormat="1" ht="12" customHeight="1">
      <c r="D39" s="22"/>
      <c r="E39" s="22"/>
      <c r="J39" s="5"/>
      <c r="K39" s="5"/>
      <c r="L39" s="5"/>
      <c r="M39" s="5"/>
      <c r="N39" s="5"/>
      <c r="O39" s="5"/>
      <c r="P39" s="88"/>
      <c r="Q39" s="95"/>
    </row>
    <row r="40" spans="4:17" s="2" customFormat="1" ht="12" customHeight="1">
      <c r="D40" s="22"/>
      <c r="E40" s="22"/>
      <c r="J40" s="5"/>
      <c r="K40" s="5"/>
      <c r="L40" s="5"/>
      <c r="M40" s="5"/>
      <c r="N40" s="5"/>
      <c r="O40" s="5"/>
      <c r="P40" s="88"/>
      <c r="Q40" s="95"/>
    </row>
    <row r="41" spans="4:17" s="2" customFormat="1" ht="12" customHeight="1">
      <c r="D41" s="22"/>
      <c r="E41" s="22"/>
      <c r="J41" s="5"/>
      <c r="K41" s="5"/>
      <c r="L41" s="5"/>
      <c r="M41" s="5"/>
      <c r="N41" s="5"/>
      <c r="O41" s="5"/>
      <c r="P41" s="88"/>
      <c r="Q41" s="95"/>
    </row>
    <row r="42" spans="4:17" s="2" customFormat="1" ht="12" customHeight="1">
      <c r="D42" s="22"/>
      <c r="E42" s="22"/>
      <c r="J42" s="5"/>
      <c r="K42" s="5"/>
      <c r="L42" s="5"/>
      <c r="M42" s="5"/>
      <c r="N42" s="5"/>
      <c r="O42" s="5"/>
      <c r="P42" s="88"/>
      <c r="Q42" s="95"/>
    </row>
    <row r="43" spans="4:17" s="2" customFormat="1" ht="12" customHeight="1">
      <c r="D43" s="22"/>
      <c r="E43" s="22"/>
      <c r="J43" s="5"/>
      <c r="K43" s="5"/>
      <c r="L43" s="5"/>
      <c r="M43" s="5"/>
      <c r="N43" s="5"/>
      <c r="O43" s="5"/>
      <c r="P43" s="88"/>
      <c r="Q43" s="95"/>
    </row>
    <row r="44" spans="4:17" s="2" customFormat="1" ht="12" customHeight="1">
      <c r="D44" s="22"/>
      <c r="E44" s="22"/>
      <c r="J44" s="5"/>
      <c r="K44" s="5"/>
      <c r="L44" s="5"/>
      <c r="M44" s="5"/>
      <c r="N44" s="5"/>
      <c r="O44" s="5"/>
      <c r="P44" s="88"/>
      <c r="Q44" s="95"/>
    </row>
    <row r="45" spans="4:17" s="2" customFormat="1" ht="12" customHeight="1">
      <c r="D45" s="22"/>
      <c r="E45" s="22"/>
      <c r="J45" s="5"/>
      <c r="K45" s="5"/>
      <c r="L45" s="5"/>
      <c r="M45" s="5"/>
      <c r="N45" s="5"/>
      <c r="O45" s="5"/>
      <c r="P45" s="88"/>
      <c r="Q45" s="95"/>
    </row>
    <row r="46" spans="4:17" s="2" customFormat="1" ht="12" customHeight="1">
      <c r="D46" s="22"/>
      <c r="E46" s="22"/>
      <c r="J46" s="5"/>
      <c r="K46" s="5"/>
      <c r="L46" s="5"/>
      <c r="M46" s="5"/>
      <c r="N46" s="5"/>
      <c r="O46" s="5"/>
      <c r="P46" s="88"/>
      <c r="Q46" s="95"/>
    </row>
    <row r="47" spans="4:17" s="2" customFormat="1" ht="12" customHeight="1">
      <c r="D47" s="22"/>
      <c r="E47" s="22"/>
      <c r="J47" s="5"/>
      <c r="K47" s="5"/>
      <c r="L47" s="5"/>
      <c r="M47" s="5"/>
      <c r="N47" s="5"/>
      <c r="O47" s="5"/>
      <c r="P47" s="88"/>
      <c r="Q47" s="95"/>
    </row>
    <row r="48" spans="4:17" s="2" customFormat="1" ht="12" customHeight="1">
      <c r="D48" s="22"/>
      <c r="E48" s="22"/>
      <c r="J48" s="5"/>
      <c r="K48" s="5"/>
      <c r="L48" s="5"/>
      <c r="M48" s="5"/>
      <c r="N48" s="5"/>
      <c r="O48" s="5"/>
      <c r="P48" s="88"/>
      <c r="Q48" s="95"/>
    </row>
    <row r="49" spans="1:17" s="2" customFormat="1" ht="12" customHeight="1">
      <c r="D49" s="22"/>
      <c r="E49" s="22"/>
      <c r="J49" s="5"/>
      <c r="K49" s="5"/>
      <c r="L49" s="5"/>
      <c r="M49" s="5"/>
      <c r="N49" s="5"/>
      <c r="O49" s="5"/>
      <c r="P49" s="88"/>
      <c r="Q49" s="95"/>
    </row>
    <row r="50" spans="1:17" s="2" customFormat="1" ht="12" customHeight="1">
      <c r="D50" s="22"/>
      <c r="E50" s="22"/>
      <c r="J50" s="5"/>
      <c r="K50" s="5"/>
      <c r="L50" s="5"/>
      <c r="M50" s="5"/>
      <c r="N50" s="5"/>
      <c r="O50" s="5"/>
      <c r="P50" s="88"/>
      <c r="Q50" s="95"/>
    </row>
    <row r="51" spans="1:17" s="2" customFormat="1" ht="12" customHeight="1">
      <c r="D51" s="22"/>
      <c r="E51" s="22"/>
      <c r="J51" s="5"/>
      <c r="K51" s="5"/>
      <c r="L51" s="5"/>
      <c r="M51" s="5"/>
      <c r="N51" s="5"/>
      <c r="O51" s="5"/>
      <c r="P51" s="88"/>
      <c r="Q51" s="95"/>
    </row>
    <row r="52" spans="1:17" s="2" customFormat="1" ht="12" customHeight="1">
      <c r="D52" s="22"/>
      <c r="E52" s="22"/>
      <c r="J52" s="5"/>
      <c r="K52" s="5"/>
      <c r="L52" s="5"/>
      <c r="M52" s="5"/>
      <c r="N52" s="5"/>
      <c r="O52" s="5"/>
      <c r="P52" s="88"/>
      <c r="Q52" s="95"/>
    </row>
    <row r="53" spans="1:17" s="2" customFormat="1" ht="12" customHeight="1">
      <c r="D53" s="22"/>
      <c r="E53" s="22"/>
      <c r="J53" s="5"/>
      <c r="K53" s="5"/>
      <c r="L53" s="5"/>
      <c r="M53" s="5"/>
      <c r="N53" s="5"/>
      <c r="O53" s="5"/>
      <c r="P53" s="88"/>
      <c r="Q53" s="95"/>
    </row>
    <row r="54" spans="1:17" s="2" customFormat="1" ht="12" customHeight="1">
      <c r="D54" s="22"/>
      <c r="E54" s="22"/>
      <c r="J54" s="5"/>
      <c r="K54" s="5"/>
      <c r="L54" s="5"/>
      <c r="M54" s="5"/>
      <c r="N54" s="5"/>
      <c r="O54" s="5"/>
      <c r="P54" s="88"/>
      <c r="Q54" s="96"/>
    </row>
    <row r="55" spans="1:17" s="2" customFormat="1" ht="12" customHeight="1">
      <c r="D55" s="22"/>
      <c r="E55" s="22"/>
      <c r="J55" s="5"/>
      <c r="K55" s="5"/>
      <c r="L55" s="5"/>
      <c r="M55" s="5"/>
      <c r="N55" s="5"/>
      <c r="O55" s="5"/>
      <c r="P55" s="88"/>
      <c r="Q55" s="96"/>
    </row>
    <row r="56" spans="1:17" s="2" customFormat="1" ht="12" customHeight="1">
      <c r="D56" s="22"/>
      <c r="E56" s="22"/>
      <c r="J56" s="5"/>
      <c r="K56" s="5"/>
      <c r="L56" s="5"/>
      <c r="M56" s="5"/>
      <c r="N56" s="5"/>
      <c r="O56" s="5"/>
      <c r="P56" s="88"/>
      <c r="Q56" s="96"/>
    </row>
    <row r="57" spans="1:17" s="2" customFormat="1" ht="12" customHeight="1">
      <c r="D57" s="22"/>
      <c r="E57" s="22"/>
      <c r="J57" s="5"/>
      <c r="K57" s="5"/>
      <c r="L57" s="5"/>
      <c r="M57" s="5"/>
      <c r="N57" s="5"/>
      <c r="O57" s="5"/>
      <c r="P57" s="88"/>
      <c r="Q57" s="96"/>
    </row>
    <row r="58" spans="1:17" s="2" customFormat="1" ht="12" customHeight="1">
      <c r="A58"/>
      <c r="B58"/>
      <c r="C58"/>
      <c r="D58" s="23"/>
      <c r="E58" s="23"/>
      <c r="F58"/>
      <c r="G58"/>
      <c r="H58"/>
      <c r="I58"/>
      <c r="J58" s="19"/>
      <c r="K58" s="19"/>
      <c r="L58" s="19"/>
      <c r="M58" s="19"/>
      <c r="N58" s="19"/>
      <c r="O58" s="19"/>
      <c r="P58" s="90"/>
      <c r="Q58" s="96"/>
    </row>
    <row r="59" spans="1:17" s="2" customFormat="1" ht="12" customHeight="1">
      <c r="A59"/>
      <c r="B59"/>
      <c r="C59"/>
      <c r="D59" s="23"/>
      <c r="E59" s="23"/>
      <c r="F59"/>
      <c r="G59"/>
      <c r="H59"/>
      <c r="I59"/>
      <c r="J59" s="19"/>
      <c r="K59" s="19"/>
      <c r="L59" s="19"/>
      <c r="M59" s="19"/>
      <c r="N59" s="19"/>
      <c r="O59" s="19"/>
      <c r="P59" s="90"/>
      <c r="Q59" s="96"/>
    </row>
    <row r="60" spans="1:17" s="2" customFormat="1" ht="12" customHeight="1">
      <c r="A60"/>
      <c r="B60"/>
      <c r="C60"/>
      <c r="D60" s="23"/>
      <c r="E60" s="23"/>
      <c r="F60"/>
      <c r="G60"/>
      <c r="H60"/>
      <c r="I60"/>
      <c r="J60" s="19"/>
      <c r="K60" s="19"/>
      <c r="L60" s="19"/>
      <c r="M60" s="19"/>
      <c r="N60" s="19"/>
      <c r="O60" s="19"/>
      <c r="P60" s="90"/>
      <c r="Q60" s="96"/>
    </row>
    <row r="61" spans="1:17" s="2" customFormat="1" ht="12" customHeight="1">
      <c r="A61"/>
      <c r="B61"/>
      <c r="C61"/>
      <c r="D61" s="23"/>
      <c r="E61" s="23"/>
      <c r="F61"/>
      <c r="G61"/>
      <c r="H61"/>
      <c r="I61"/>
      <c r="J61" s="19"/>
      <c r="K61" s="19"/>
      <c r="L61" s="19"/>
      <c r="M61" s="19"/>
      <c r="N61" s="19"/>
      <c r="O61" s="19"/>
      <c r="P61" s="90"/>
      <c r="Q61" s="96"/>
    </row>
    <row r="62" spans="1:17" s="2" customFormat="1" ht="12" customHeight="1">
      <c r="A62"/>
      <c r="B62"/>
      <c r="C62"/>
      <c r="D62" s="23"/>
      <c r="E62" s="23"/>
      <c r="F62"/>
      <c r="G62"/>
      <c r="H62"/>
      <c r="I62"/>
      <c r="J62" s="19"/>
      <c r="K62" s="19"/>
      <c r="L62" s="19"/>
      <c r="M62" s="19"/>
      <c r="N62" s="19"/>
      <c r="O62" s="19"/>
      <c r="P62" s="90"/>
      <c r="Q62" s="96"/>
    </row>
    <row r="63" spans="1:17">
      <c r="Q63" s="96"/>
    </row>
    <row r="64" spans="1:17">
      <c r="Q64" s="96"/>
    </row>
    <row r="65" spans="17:17">
      <c r="Q65" s="96"/>
    </row>
    <row r="66" spans="17:17">
      <c r="Q66" s="96"/>
    </row>
    <row r="67" spans="17:17">
      <c r="Q67" s="96"/>
    </row>
    <row r="68" spans="17:17">
      <c r="Q68" s="96"/>
    </row>
    <row r="69" spans="17:17">
      <c r="Q69" s="96"/>
    </row>
    <row r="70" spans="17:17">
      <c r="Q70" s="96"/>
    </row>
    <row r="71" spans="17:17">
      <c r="Q71" s="96"/>
    </row>
    <row r="72" spans="17:17">
      <c r="Q72" s="96"/>
    </row>
    <row r="73" spans="17:17">
      <c r="Q73" s="96"/>
    </row>
    <row r="74" spans="17:17">
      <c r="Q74" s="96"/>
    </row>
    <row r="75" spans="17:17">
      <c r="Q75" s="96"/>
    </row>
    <row r="76" spans="17:17">
      <c r="Q76" s="96"/>
    </row>
    <row r="77" spans="17:17">
      <c r="Q77" s="96"/>
    </row>
    <row r="78" spans="17:17">
      <c r="Q78" s="96"/>
    </row>
    <row r="79" spans="17:17">
      <c r="Q79" s="96"/>
    </row>
    <row r="80" spans="17:17">
      <c r="Q80" s="96"/>
    </row>
    <row r="81" spans="17:17">
      <c r="Q81" s="96"/>
    </row>
    <row r="82" spans="17:17">
      <c r="Q82" s="96"/>
    </row>
    <row r="119" ht="12" customHeight="1"/>
    <row r="120" ht="12" customHeight="1"/>
    <row r="121" ht="12" customHeight="1"/>
    <row r="122" ht="12" customHeight="1"/>
    <row r="123" ht="12" customHeight="1"/>
    <row r="124" ht="12" customHeight="1"/>
    <row r="125" ht="12" customHeight="1"/>
    <row r="126" ht="12" customHeight="1"/>
    <row r="127" ht="12" customHeight="1"/>
    <row r="128" ht="12" customHeight="1"/>
    <row r="129" ht="12" customHeight="1"/>
    <row r="130" ht="12" customHeight="1"/>
    <row r="131" ht="12" customHeight="1"/>
    <row r="132" ht="12" customHeight="1"/>
    <row r="133" ht="12" customHeight="1"/>
    <row r="134" ht="12" customHeight="1"/>
    <row r="135" ht="12" customHeight="1"/>
    <row r="136" ht="12" customHeight="1"/>
    <row r="137" ht="12" customHeight="1"/>
    <row r="138" ht="12" customHeight="1"/>
    <row r="139" ht="12" customHeight="1"/>
    <row r="140" ht="12" customHeight="1"/>
    <row r="141" ht="12" customHeight="1"/>
    <row r="142" ht="12" customHeight="1"/>
    <row r="143" ht="12" customHeight="1"/>
    <row r="144" ht="12" customHeight="1"/>
    <row r="145" ht="12" customHeight="1"/>
    <row r="146" ht="12" customHeight="1"/>
    <row r="147" ht="12" customHeight="1"/>
    <row r="148" ht="12" customHeight="1"/>
    <row r="149" ht="12" customHeight="1"/>
    <row r="150" ht="12" customHeight="1"/>
    <row r="151" ht="12" customHeight="1"/>
    <row r="152" ht="12" customHeight="1"/>
    <row r="153" ht="12" customHeight="1"/>
    <row r="154" ht="12" customHeight="1"/>
    <row r="155" ht="12" customHeight="1"/>
    <row r="156" ht="12" customHeight="1"/>
    <row r="157" ht="12" customHeight="1"/>
    <row r="158" ht="12" customHeight="1"/>
    <row r="159" ht="12" customHeight="1"/>
    <row r="160" ht="12" customHeight="1"/>
    <row r="161" ht="12" customHeight="1"/>
    <row r="162" ht="12" customHeight="1"/>
    <row r="163" ht="12" customHeight="1"/>
    <row r="164" ht="12" customHeight="1"/>
    <row r="165" ht="12" customHeight="1"/>
    <row r="166" ht="12" customHeight="1"/>
    <row r="167" ht="12" customHeight="1"/>
    <row r="168" ht="12" customHeight="1"/>
  </sheetData>
  <mergeCells count="17">
    <mergeCell ref="D15:E15"/>
    <mergeCell ref="H15:I15"/>
    <mergeCell ref="D12:E12"/>
    <mergeCell ref="D11:E11"/>
    <mergeCell ref="H11:I11"/>
    <mergeCell ref="D13:E13"/>
    <mergeCell ref="D14:E14"/>
    <mergeCell ref="D10:E10"/>
    <mergeCell ref="D7:E7"/>
    <mergeCell ref="H7:I7"/>
    <mergeCell ref="D8:E8"/>
    <mergeCell ref="D9:E9"/>
    <mergeCell ref="H4:I4"/>
    <mergeCell ref="D5:E5"/>
    <mergeCell ref="D6:E6"/>
    <mergeCell ref="D1:E1"/>
    <mergeCell ref="D4:E4"/>
  </mergeCells>
  <conditionalFormatting sqref="M5:M6 M8:M10 M12:M14">
    <cfRule type="cellIs" dxfId="494" priority="5" stopIfTrue="1" operator="lessThanOrEqual">
      <formula>$L5</formula>
    </cfRule>
    <cfRule type="cellIs" dxfId="493" priority="6" operator="greaterThan">
      <formula>L5</formula>
    </cfRule>
  </conditionalFormatting>
  <pageMargins left="0.7" right="0.7" top="0.75" bottom="0.75" header="0.3" footer="0.3"/>
  <pageSetup paperSize="3" fitToHeight="0" orientation="landscape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93B8D765-FD80-4EE1-86D8-CDDB11301495}">
          <x14:formula1>
            <xm:f>Bolts!$A:$A</xm:f>
          </x14:formula1>
          <xm:sqref>C12:C14</xm:sqref>
        </x14:dataValidation>
        <x14:dataValidation type="list" allowBlank="1" showInputMessage="1" showErrorMessage="1" xr:uid="{3232ACC1-FC74-4B93-BA0D-5BD0AAC8E191}">
          <x14:formula1>
            <xm:f>Purchased!$A:$A</xm:f>
          </x14:formula1>
          <xm:sqref>C8:C10</xm:sqref>
        </x14:dataValidation>
        <x14:dataValidation type="list" allowBlank="1" showInputMessage="1" showErrorMessage="1" xr:uid="{15CB7BCB-110E-41AF-A554-4AA2F9EAB347}">
          <x14:formula1>
            <xm:f>Machined!$C:$C</xm:f>
          </x14:formula1>
          <xm:sqref>C5:C6</xm:sqref>
        </x14:dataValidation>
      </x14:dataValidation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AC8742-0854-4A27-A49D-0C1227FC287C}">
  <sheetPr codeName="Sheet44">
    <tabColor theme="3" tint="0.79998168889431442"/>
    <pageSetUpPr fitToPage="1"/>
  </sheetPr>
  <dimension ref="A1:Q171"/>
  <sheetViews>
    <sheetView zoomScaleNormal="100" workbookViewId="0">
      <selection activeCell="D11" sqref="D11:Q11"/>
    </sheetView>
  </sheetViews>
  <sheetFormatPr defaultColWidth="9.140625" defaultRowHeight="15"/>
  <cols>
    <col min="1" max="1" width="5.7109375" customWidth="1"/>
    <col min="2" max="2" width="5.42578125" bestFit="1" customWidth="1"/>
    <col min="3" max="3" width="30.7109375" customWidth="1"/>
    <col min="4" max="5" width="20.7109375" style="23" customWidth="1"/>
    <col min="6" max="6" width="16.85546875" bestFit="1" customWidth="1"/>
    <col min="7" max="7" width="9.7109375" customWidth="1"/>
    <col min="8" max="8" width="8.7109375" customWidth="1"/>
    <col min="9" max="9" width="20.7109375" customWidth="1"/>
    <col min="10" max="13" width="11.7109375" style="19" customWidth="1"/>
    <col min="14" max="14" width="11.85546875" style="19" bestFit="1" customWidth="1"/>
    <col min="15" max="15" width="7.7109375" style="19" customWidth="1"/>
    <col min="16" max="16" width="10.7109375" style="90" customWidth="1"/>
    <col min="17" max="17" width="10.7109375" style="97" customWidth="1"/>
  </cols>
  <sheetData>
    <row r="1" spans="1:17" s="55" customFormat="1" ht="12" customHeight="1">
      <c r="A1" s="68" t="s">
        <v>0</v>
      </c>
      <c r="B1" s="69"/>
      <c r="C1" s="69"/>
      <c r="D1" s="262" t="s">
        <v>1</v>
      </c>
      <c r="E1" s="263"/>
      <c r="F1" s="70"/>
      <c r="G1" s="69"/>
      <c r="H1" s="70"/>
      <c r="I1" s="71"/>
      <c r="J1" s="72"/>
      <c r="K1" s="72"/>
      <c r="L1" s="72"/>
      <c r="M1" s="72"/>
      <c r="N1" s="72"/>
      <c r="O1" s="72"/>
      <c r="P1" s="85"/>
      <c r="Q1" s="91"/>
    </row>
    <row r="2" spans="1:17" s="55" customFormat="1" ht="12" customHeight="1">
      <c r="A2" s="74" t="s">
        <v>48</v>
      </c>
      <c r="B2" s="58"/>
      <c r="C2" s="57" t="e">
        <f ca="1">VLOOKUP(E3,Assemblies!B:F,4,0)</f>
        <v>#VALUE!</v>
      </c>
      <c r="D2" s="75" t="s">
        <v>3</v>
      </c>
      <c r="E2" s="76" t="e">
        <f ca="1">'GF12'!E2</f>
        <v>#VALUE!</v>
      </c>
      <c r="F2" s="77" t="s">
        <v>4</v>
      </c>
      <c r="G2" s="58" t="str">
        <f>'GF12'!G2</f>
        <v>GH</v>
      </c>
      <c r="H2" s="77" t="s">
        <v>6</v>
      </c>
      <c r="I2" s="59">
        <f>'GF12'!I2</f>
        <v>44775</v>
      </c>
      <c r="J2" s="39"/>
      <c r="K2" s="40" t="s">
        <v>49</v>
      </c>
      <c r="L2" s="41" t="e">
        <f ca="1">VLOOKUP(C2,Assemblies!E:G,3,0)</f>
        <v>#VALUE!</v>
      </c>
      <c r="M2" s="78"/>
      <c r="N2" s="78"/>
      <c r="O2" s="78"/>
      <c r="P2" s="86"/>
      <c r="Q2" s="92"/>
    </row>
    <row r="3" spans="1:17" s="55" customFormat="1" ht="12" customHeight="1" thickBot="1">
      <c r="A3" s="74" t="s">
        <v>7</v>
      </c>
      <c r="B3" s="58"/>
      <c r="C3" s="57" t="e">
        <f ca="1">VLOOKUP(E3,Assemblies!B:F,5,0)</f>
        <v>#VALUE!</v>
      </c>
      <c r="D3" s="75" t="s">
        <v>50</v>
      </c>
      <c r="E3" s="76" t="e">
        <f ca="1">MID(CELL("filename",A1),FIND("]",CELL("filename",A1))+1,256)</f>
        <v>#VALUE!</v>
      </c>
      <c r="F3" s="77" t="s">
        <v>11</v>
      </c>
      <c r="G3" s="58" t="str">
        <f>'GF12'!G3</f>
        <v>GH</v>
      </c>
      <c r="H3" s="77" t="s">
        <v>6</v>
      </c>
      <c r="I3" s="59">
        <f>'GF12'!I3</f>
        <v>44775</v>
      </c>
      <c r="J3" s="78"/>
      <c r="K3" s="78"/>
      <c r="L3" s="78"/>
      <c r="M3" s="78"/>
      <c r="N3" s="78"/>
      <c r="O3" s="78"/>
      <c r="P3" s="86"/>
      <c r="Q3" s="92"/>
    </row>
    <row r="4" spans="1:17" s="56" customFormat="1" ht="12.75" customHeight="1" thickBot="1">
      <c r="A4" s="80" t="s">
        <v>12</v>
      </c>
      <c r="B4" s="81" t="s">
        <v>13</v>
      </c>
      <c r="C4" s="81" t="s">
        <v>14</v>
      </c>
      <c r="D4" s="270" t="s">
        <v>15</v>
      </c>
      <c r="E4" s="271"/>
      <c r="F4" s="104" t="s">
        <v>16</v>
      </c>
      <c r="G4" s="81" t="s">
        <v>17</v>
      </c>
      <c r="H4" s="260" t="s">
        <v>18</v>
      </c>
      <c r="I4" s="261"/>
      <c r="J4" s="81" t="s">
        <v>51</v>
      </c>
      <c r="K4" s="81" t="s">
        <v>20</v>
      </c>
      <c r="L4" s="81" t="s">
        <v>21</v>
      </c>
      <c r="M4" s="81" t="s">
        <v>52</v>
      </c>
      <c r="N4" s="81" t="s">
        <v>22</v>
      </c>
      <c r="O4" s="81" t="s">
        <v>53</v>
      </c>
      <c r="P4" s="107" t="s">
        <v>26</v>
      </c>
      <c r="Q4" s="82" t="s">
        <v>27</v>
      </c>
    </row>
    <row r="5" spans="1:17" s="2" customFormat="1" ht="12.75" customHeight="1">
      <c r="A5" s="127">
        <v>1</v>
      </c>
      <c r="B5" s="21">
        <v>1</v>
      </c>
      <c r="C5" s="108" t="s">
        <v>590</v>
      </c>
      <c r="D5" s="277" t="str">
        <f>VLOOKUP(C5,Machined!C:Q,2,0)</f>
        <v>Sensor Mount</v>
      </c>
      <c r="E5" s="278"/>
      <c r="F5" s="131" t="str">
        <f>VLOOKUP(C5,Machined!C:R,7,0)</f>
        <v>6061-T6 Alum</v>
      </c>
      <c r="G5" s="131" t="str">
        <f>VLOOKUP(C5,Machined!C:R,10,0)</f>
        <v>FRONTIER</v>
      </c>
      <c r="H5" s="131" t="str">
        <f>VLOOKUP(C5,Machined!C:R,11,0)</f>
        <v xml:space="preserve">  </v>
      </c>
      <c r="I5" s="131"/>
      <c r="J5" s="42">
        <f>VLOOKUP(C5,Machined!C:R,12,0)</f>
        <v>45105</v>
      </c>
      <c r="K5" s="42">
        <f>VLOOKUP(C5,Machined!C:R,13,0)</f>
        <v>45133</v>
      </c>
      <c r="L5" s="42">
        <f>VLOOKUP(C5,Machined!C:R,14,0)</f>
        <v>45163</v>
      </c>
      <c r="M5" s="42">
        <f>VLOOKUP(C5,Machined!C:R,15,0)</f>
        <v>45163</v>
      </c>
      <c r="N5" s="43">
        <f>VLOOKUP(C5,Machined!C:R,16,0)</f>
        <v>55015</v>
      </c>
      <c r="O5" s="43" t="e">
        <f t="shared" ref="O5:O6" ca="1" si="0">B5*$L$2</f>
        <v>#VALUE!</v>
      </c>
      <c r="P5" s="47">
        <f>IFERROR(VLOOKUP(C5,Machined!C:F,3,0),"")</f>
        <v>80.349999999999994</v>
      </c>
      <c r="Q5" s="48">
        <f t="shared" ref="Q5:Q6" si="1">IFERROR(B5*P5,"")</f>
        <v>80.349999999999994</v>
      </c>
    </row>
    <row r="6" spans="1:17" s="2" customFormat="1" ht="12.75" customHeight="1">
      <c r="A6" s="127">
        <v>2</v>
      </c>
      <c r="B6" s="21">
        <v>1</v>
      </c>
      <c r="C6" s="108" t="s">
        <v>591</v>
      </c>
      <c r="D6" s="277" t="str">
        <f>VLOOKUP(C6,Machined!C:Q,2,0)</f>
        <v>Sensor Mount Plate</v>
      </c>
      <c r="E6" s="278"/>
      <c r="F6" s="131" t="str">
        <f>VLOOKUP(C6,Machined!C:R,7,0)</f>
        <v>6061-T6 Alum</v>
      </c>
      <c r="G6" s="131" t="str">
        <f>VLOOKUP(C6,Machined!C:R,10,0)</f>
        <v>FRONTIER</v>
      </c>
      <c r="H6" s="131" t="str">
        <f>VLOOKUP(C6,Machined!C:R,11,0)</f>
        <v xml:space="preserve"> </v>
      </c>
      <c r="I6" s="131"/>
      <c r="J6" s="42">
        <f>VLOOKUP(C6,Machined!C:R,12,0)</f>
        <v>45105</v>
      </c>
      <c r="K6" s="42">
        <f>VLOOKUP(C6,Machined!C:R,13,0)</f>
        <v>45133</v>
      </c>
      <c r="L6" s="42">
        <f>VLOOKUP(C6,Machined!C:R,14,0)</f>
        <v>45163</v>
      </c>
      <c r="M6" s="42">
        <f>VLOOKUP(C6,Machined!C:R,15,0)</f>
        <v>45163</v>
      </c>
      <c r="N6" s="43">
        <f>VLOOKUP(C6,Machined!C:R,16,0)</f>
        <v>55015</v>
      </c>
      <c r="O6" s="43" t="e">
        <f t="shared" ca="1" si="0"/>
        <v>#VALUE!</v>
      </c>
      <c r="P6" s="47">
        <f>IFERROR(VLOOKUP(C6,Machined!C:F,3,0),"")</f>
        <v>65.7</v>
      </c>
      <c r="Q6" s="48">
        <f t="shared" si="1"/>
        <v>65.7</v>
      </c>
    </row>
    <row r="7" spans="1:17" s="2" customFormat="1" ht="12.75" customHeight="1">
      <c r="A7" s="143"/>
      <c r="B7" s="26"/>
      <c r="C7" s="26"/>
      <c r="D7" s="272"/>
      <c r="E7" s="273"/>
      <c r="F7" s="26"/>
      <c r="G7" s="26"/>
      <c r="H7" s="274"/>
      <c r="I7" s="275"/>
      <c r="J7" s="27"/>
      <c r="K7" s="27"/>
      <c r="L7" s="27"/>
      <c r="M7" s="28"/>
      <c r="N7" s="29"/>
      <c r="O7" s="29"/>
      <c r="P7" s="141"/>
      <c r="Q7" s="142"/>
    </row>
    <row r="8" spans="1:17" s="2" customFormat="1" ht="12.75" customHeight="1">
      <c r="A8" s="4">
        <v>301</v>
      </c>
      <c r="B8" s="2">
        <v>1</v>
      </c>
      <c r="C8" s="114" t="s">
        <v>592</v>
      </c>
      <c r="D8" s="268" t="str">
        <f>VLOOKUP(C8,Purchased!A:B,2,0)</f>
        <v>ELESA 300-45-M6-16-SW Threaded Adjustable Handle</v>
      </c>
      <c r="E8" s="269"/>
      <c r="F8" s="112" t="str">
        <f>VLOOKUP(C8,Purchased!A:Q,9,0)</f>
        <v>ELESA</v>
      </c>
      <c r="G8" s="112" t="str">
        <f>VLOOKUP(C8,Purchased!A:Q,10,0)</f>
        <v>ELESA</v>
      </c>
      <c r="H8" s="112" t="str">
        <f>VLOOKUP(C8,Purchased!A:Q,12,0)</f>
        <v xml:space="preserve"> </v>
      </c>
      <c r="I8" s="113"/>
      <c r="J8" s="44">
        <f>VLOOKUP(C8,Purchased!A:Q,13,0)</f>
        <v>45125</v>
      </c>
      <c r="K8" s="44">
        <f>VLOOKUP(C8,Purchased!A:Q,14,0)</f>
        <v>45162</v>
      </c>
      <c r="L8" s="44">
        <f>VLOOKUP(C8,Purchased!A:Q,15,0)</f>
        <v>45184</v>
      </c>
      <c r="M8" s="44">
        <f>VLOOKUP(C8,Purchased!A:Q,16,0)</f>
        <v>45184</v>
      </c>
      <c r="N8" s="45">
        <f>VLOOKUP(C8,Purchased!A:Q,17,0)</f>
        <v>55036</v>
      </c>
      <c r="O8" s="45" t="e">
        <f t="shared" ref="O8:O10" ca="1" si="2">B8*$L$2</f>
        <v>#VALUE!</v>
      </c>
      <c r="P8" s="49">
        <f>IFERROR(VLOOKUP(C8,Purchased!A:E,3,FALSE),"")</f>
        <v>3.61</v>
      </c>
      <c r="Q8" s="50">
        <f t="shared" ref="Q8:Q10" si="3">IFERROR(B8*P8,"")</f>
        <v>3.61</v>
      </c>
    </row>
    <row r="9" spans="1:17" s="2" customFormat="1" ht="12" customHeight="1">
      <c r="A9" s="4">
        <f t="shared" ref="A9:A11" si="4">A8+1</f>
        <v>302</v>
      </c>
      <c r="B9" s="2">
        <v>1</v>
      </c>
      <c r="C9" s="114" t="s">
        <v>593</v>
      </c>
      <c r="D9" s="268" t="str">
        <f>VLOOKUP(C9,Purchased!A:B,2,0)</f>
        <v>Fork Sensor for web</v>
      </c>
      <c r="E9" s="269"/>
      <c r="F9" s="112" t="str">
        <f>VLOOKUP(C9,Purchased!A:Q,9,0)</f>
        <v>BALLUFF</v>
      </c>
      <c r="G9" s="112" t="str">
        <f>VLOOKUP(C9,Purchased!A:Q,10,0)</f>
        <v>Fiero</v>
      </c>
      <c r="H9" s="112" t="str">
        <f>VLOOKUP(C9,Purchased!A:Q,12,0)</f>
        <v xml:space="preserve"> </v>
      </c>
      <c r="I9" s="113"/>
      <c r="J9" s="44" t="str">
        <f>VLOOKUP(C9,Purchased!A:Q,13,0)</f>
        <v>N/A</v>
      </c>
      <c r="K9" s="44">
        <f>VLOOKUP(C9,Purchased!A:Q,14,0)</f>
        <v>45077</v>
      </c>
      <c r="L9" s="44">
        <f>VLOOKUP(C9,Purchased!A:Q,15,0)</f>
        <v>45133</v>
      </c>
      <c r="M9" s="44">
        <f>VLOOKUP(C9,Purchased!A:Q,16,0)</f>
        <v>45133</v>
      </c>
      <c r="N9" s="45">
        <f>VLOOKUP(C9,Purchased!A:Q,17,0)</f>
        <v>54911</v>
      </c>
      <c r="O9" s="45" t="e">
        <f t="shared" ca="1" si="2"/>
        <v>#VALUE!</v>
      </c>
      <c r="P9" s="49">
        <f>IFERROR(VLOOKUP(C9,Purchased!A:E,3,FALSE),"")</f>
        <v>596.57000000000005</v>
      </c>
      <c r="Q9" s="50">
        <f t="shared" si="3"/>
        <v>596.57000000000005</v>
      </c>
    </row>
    <row r="10" spans="1:17" s="2" customFormat="1" ht="12" customHeight="1">
      <c r="A10" s="4">
        <f t="shared" si="4"/>
        <v>303</v>
      </c>
      <c r="B10" s="2">
        <v>1</v>
      </c>
      <c r="C10" s="114" t="s">
        <v>594</v>
      </c>
      <c r="D10" s="268" t="str">
        <f>VLOOKUP(C10,Purchased!A:B,2,0)</f>
        <v>BRX GOTO T-SLOT STONE 10 M6</v>
      </c>
      <c r="E10" s="269"/>
      <c r="F10" s="112" t="str">
        <f>VLOOKUP(C10,Purchased!A:Q,9,0)</f>
        <v>BRX</v>
      </c>
      <c r="G10" s="112" t="str">
        <f>VLOOKUP(C10,Purchased!A:Q,10,0)</f>
        <v>AAP</v>
      </c>
      <c r="H10" s="112" t="str">
        <f>VLOOKUP(C10,Purchased!A:Q,12,0)</f>
        <v xml:space="preserve"> </v>
      </c>
      <c r="I10" s="113"/>
      <c r="J10" s="44">
        <f>VLOOKUP(C10,Purchased!A:Q,13,0)</f>
        <v>45104</v>
      </c>
      <c r="K10" s="44">
        <f>VLOOKUP(C10,Purchased!A:Q,14,0)</f>
        <v>45105</v>
      </c>
      <c r="L10" s="44">
        <f>VLOOKUP(C10,Purchased!A:Q,15,0)</f>
        <v>45133</v>
      </c>
      <c r="M10" s="44">
        <f>VLOOKUP(C10,Purchased!A:Q,16,0)</f>
        <v>45133</v>
      </c>
      <c r="N10" s="45">
        <f>VLOOKUP(C10,Purchased!A:Q,17,0)</f>
        <v>54968</v>
      </c>
      <c r="O10" s="45" t="e">
        <f t="shared" ca="1" si="2"/>
        <v>#VALUE!</v>
      </c>
      <c r="P10" s="49">
        <f>IFERROR(VLOOKUP(C10,Purchased!A:E,3,FALSE),"")</f>
        <v>0.98570000000000002</v>
      </c>
      <c r="Q10" s="50">
        <f t="shared" si="3"/>
        <v>0.98570000000000002</v>
      </c>
    </row>
    <row r="11" spans="1:17" s="2" customFormat="1" ht="12" customHeight="1">
      <c r="A11" s="4">
        <f t="shared" si="4"/>
        <v>304</v>
      </c>
      <c r="B11" s="2">
        <v>1</v>
      </c>
      <c r="C11" s="114" t="s">
        <v>184</v>
      </c>
      <c r="D11" s="268" t="str">
        <f>VLOOKUP(C11,Purchased!A:B,2,0)</f>
        <v>M12 female 0° A-cod. 4-Pin with cable 5M</v>
      </c>
      <c r="E11" s="269"/>
      <c r="F11" s="112" t="str">
        <f>VLOOKUP(C11,Purchased!A:Q,9,0)</f>
        <v>MURR</v>
      </c>
      <c r="G11" s="112" t="str">
        <f>VLOOKUP(C11,Purchased!A:Q,10,0)</f>
        <v>MURR</v>
      </c>
      <c r="H11" s="112" t="str">
        <f>VLOOKUP(C11,Purchased!A:Q,12,0)</f>
        <v xml:space="preserve"> </v>
      </c>
      <c r="I11" s="113"/>
      <c r="J11" s="44">
        <f>VLOOKUP(C11,Purchased!A:Q,13,0)</f>
        <v>45216</v>
      </c>
      <c r="K11" s="44">
        <f>VLOOKUP(C11,Purchased!A:Q,14,0)</f>
        <v>45219</v>
      </c>
      <c r="L11" s="44">
        <f>VLOOKUP(C11,Purchased!A:Q,15,0)</f>
        <v>45226</v>
      </c>
      <c r="M11" s="44">
        <f>VLOOKUP(C11,Purchased!A:Q,16,0)</f>
        <v>45226</v>
      </c>
      <c r="N11" s="45">
        <f>VLOOKUP(C11,Purchased!A:Q,17,0)</f>
        <v>55194</v>
      </c>
      <c r="O11" s="45" t="e">
        <f t="shared" ref="O11" ca="1" si="5">B11*$L$2</f>
        <v>#VALUE!</v>
      </c>
      <c r="P11" s="49">
        <f>IFERROR(VLOOKUP(C11,Purchased!A:E,3,FALSE),"")</f>
        <v>26.52</v>
      </c>
      <c r="Q11" s="50">
        <f t="shared" ref="Q11" si="6">IFERROR(B11*P11,"")</f>
        <v>26.52</v>
      </c>
    </row>
    <row r="12" spans="1:17" s="2" customFormat="1" ht="12.75" customHeight="1">
      <c r="A12" s="25"/>
      <c r="B12" s="26"/>
      <c r="C12" s="26"/>
      <c r="D12" s="272"/>
      <c r="E12" s="273"/>
      <c r="F12" s="26"/>
      <c r="G12" s="26"/>
      <c r="H12" s="274"/>
      <c r="I12" s="275"/>
      <c r="J12" s="27"/>
      <c r="K12" s="27"/>
      <c r="L12" s="27"/>
      <c r="M12" s="28"/>
      <c r="N12" s="29"/>
      <c r="O12" s="29" t="e">
        <f t="shared" ref="O12:O17" ca="1" si="7">B12*$L$2</f>
        <v>#VALUE!</v>
      </c>
      <c r="P12" s="141"/>
      <c r="Q12" s="142"/>
    </row>
    <row r="13" spans="1:17" s="2" customFormat="1" ht="12.75" customHeight="1">
      <c r="A13" s="4">
        <v>501</v>
      </c>
      <c r="B13" s="2">
        <v>2</v>
      </c>
      <c r="C13" s="110" t="s">
        <v>288</v>
      </c>
      <c r="D13" s="268"/>
      <c r="E13" s="276"/>
      <c r="F13" s="112" t="str">
        <f>VLOOKUP(C13,Bolts!A:L,5,0)</f>
        <v xml:space="preserve">  </v>
      </c>
      <c r="G13" s="112" t="str">
        <f>VLOOKUP(C13,Bolts!A:L,6,0)</f>
        <v>Monroe Fasteners</v>
      </c>
      <c r="H13" s="112" t="str">
        <f>VLOOKUP(C13,Bolts!A:L,7,0)</f>
        <v xml:space="preserve">  </v>
      </c>
      <c r="I13" s="112"/>
      <c r="J13" s="44" t="str">
        <f>VLOOKUP(C13,Bolts!A:L,8,0)</f>
        <v xml:space="preserve"> </v>
      </c>
      <c r="K13" s="44" t="str">
        <f>VLOOKUP(C13,Bolts!A:L,9,0)</f>
        <v xml:space="preserve"> </v>
      </c>
      <c r="L13" s="44" t="str">
        <f>VLOOKUP(C13,Bolts!A:L,10,0)</f>
        <v xml:space="preserve"> </v>
      </c>
      <c r="M13" s="44" t="str">
        <f>VLOOKUP(C13,Bolts!A:L,11,0)</f>
        <v xml:space="preserve"> </v>
      </c>
      <c r="N13" s="45" t="str">
        <f>VLOOKUP(C13,Bolts!A:L,12,0)</f>
        <v xml:space="preserve"> </v>
      </c>
      <c r="O13" s="45" t="e">
        <f t="shared" ca="1" si="7"/>
        <v>#VALUE!</v>
      </c>
      <c r="P13" s="49" t="str">
        <f>IFERROR(VLOOKUP(C13,Bolts!A:B,2,FALSE),"")</f>
        <v xml:space="preserve"> </v>
      </c>
      <c r="Q13" s="50" t="str">
        <f t="shared" ref="Q13:Q17" si="8">IFERROR(B13*P13,"")</f>
        <v/>
      </c>
    </row>
    <row r="14" spans="1:17" s="2" customFormat="1" ht="12.75" customHeight="1">
      <c r="A14" s="4">
        <f t="shared" ref="A14:A17" si="9">A13+1</f>
        <v>502</v>
      </c>
      <c r="B14" s="2">
        <v>2</v>
      </c>
      <c r="C14" s="110" t="s">
        <v>267</v>
      </c>
      <c r="D14" s="268"/>
      <c r="E14" s="276"/>
      <c r="F14" s="112" t="str">
        <f>VLOOKUP(C14,Bolts!A:L,5,0)</f>
        <v xml:space="preserve">  </v>
      </c>
      <c r="G14" s="112" t="str">
        <f>VLOOKUP(C14,Bolts!A:L,6,0)</f>
        <v>Monroe Fasteners</v>
      </c>
      <c r="H14" s="112" t="str">
        <f>VLOOKUP(C14,Bolts!A:L,7,0)</f>
        <v xml:space="preserve">  </v>
      </c>
      <c r="I14" s="112"/>
      <c r="J14" s="44" t="str">
        <f>VLOOKUP(C14,Bolts!A:L,8,0)</f>
        <v xml:space="preserve"> </v>
      </c>
      <c r="K14" s="44" t="str">
        <f>VLOOKUP(C14,Bolts!A:L,9,0)</f>
        <v xml:space="preserve"> </v>
      </c>
      <c r="L14" s="44" t="str">
        <f>VLOOKUP(C14,Bolts!A:L,10,0)</f>
        <v xml:space="preserve"> </v>
      </c>
      <c r="M14" s="44" t="str">
        <f>VLOOKUP(C14,Bolts!A:L,11,0)</f>
        <v xml:space="preserve"> </v>
      </c>
      <c r="N14" s="45" t="str">
        <f>VLOOKUP(C14,Bolts!A:L,12,0)</f>
        <v xml:space="preserve"> </v>
      </c>
      <c r="O14" s="45" t="e">
        <f t="shared" ca="1" si="7"/>
        <v>#VALUE!</v>
      </c>
      <c r="P14" s="49" t="str">
        <f>IFERROR(VLOOKUP(C14,Bolts!A:B,2,FALSE),"")</f>
        <v xml:space="preserve"> </v>
      </c>
      <c r="Q14" s="50" t="str">
        <f t="shared" si="8"/>
        <v/>
      </c>
    </row>
    <row r="15" spans="1:17" s="2" customFormat="1" ht="12" customHeight="1">
      <c r="A15" s="4">
        <f t="shared" si="9"/>
        <v>503</v>
      </c>
      <c r="B15" s="2">
        <v>3</v>
      </c>
      <c r="C15" s="110" t="s">
        <v>595</v>
      </c>
      <c r="D15" s="268"/>
      <c r="E15" s="276"/>
      <c r="F15" s="112" t="str">
        <f>VLOOKUP(C15,Bolts!A:L,5,0)</f>
        <v xml:space="preserve">  </v>
      </c>
      <c r="G15" s="112" t="str">
        <f>VLOOKUP(C15,Bolts!A:L,6,0)</f>
        <v>Monroe Fasteners</v>
      </c>
      <c r="H15" s="112" t="str">
        <f>VLOOKUP(C15,Bolts!A:L,7,0)</f>
        <v xml:space="preserve">  </v>
      </c>
      <c r="I15" s="112"/>
      <c r="J15" s="44" t="str">
        <f>VLOOKUP(C15,Bolts!A:L,8,0)</f>
        <v xml:space="preserve"> </v>
      </c>
      <c r="K15" s="44" t="str">
        <f>VLOOKUP(C15,Bolts!A:L,9,0)</f>
        <v xml:space="preserve"> </v>
      </c>
      <c r="L15" s="44" t="str">
        <f>VLOOKUP(C15,Bolts!A:L,10,0)</f>
        <v xml:space="preserve"> </v>
      </c>
      <c r="M15" s="44" t="str">
        <f>VLOOKUP(C15,Bolts!A:L,11,0)</f>
        <v xml:space="preserve"> </v>
      </c>
      <c r="N15" s="45" t="str">
        <f>VLOOKUP(C15,Bolts!A:L,12,0)</f>
        <v xml:space="preserve"> </v>
      </c>
      <c r="O15" s="45" t="e">
        <f t="shared" ca="1" si="7"/>
        <v>#VALUE!</v>
      </c>
      <c r="P15" s="49" t="str">
        <f>IFERROR(VLOOKUP(C15,Bolts!A:B,2,FALSE),"")</f>
        <v xml:space="preserve"> </v>
      </c>
      <c r="Q15" s="50" t="str">
        <f t="shared" si="8"/>
        <v/>
      </c>
    </row>
    <row r="16" spans="1:17" s="2" customFormat="1" ht="12" customHeight="1">
      <c r="A16" s="4">
        <f t="shared" si="9"/>
        <v>504</v>
      </c>
      <c r="B16" s="2">
        <v>4</v>
      </c>
      <c r="C16" s="110" t="s">
        <v>289</v>
      </c>
      <c r="D16" s="268"/>
      <c r="E16" s="276"/>
      <c r="F16" s="112" t="str">
        <f>VLOOKUP(C16,Bolts!A:L,5,0)</f>
        <v xml:space="preserve">  </v>
      </c>
      <c r="G16" s="112" t="str">
        <f>VLOOKUP(C16,Bolts!A:L,6,0)</f>
        <v>Monroe Fasteners</v>
      </c>
      <c r="H16" s="112" t="str">
        <f>VLOOKUP(C16,Bolts!A:L,7,0)</f>
        <v xml:space="preserve">  </v>
      </c>
      <c r="I16" s="112"/>
      <c r="J16" s="44" t="str">
        <f>VLOOKUP(C16,Bolts!A:L,8,0)</f>
        <v xml:space="preserve"> </v>
      </c>
      <c r="K16" s="44" t="str">
        <f>VLOOKUP(C16,Bolts!A:L,9,0)</f>
        <v xml:space="preserve"> </v>
      </c>
      <c r="L16" s="44" t="str">
        <f>VLOOKUP(C16,Bolts!A:L,10,0)</f>
        <v xml:space="preserve"> </v>
      </c>
      <c r="M16" s="44" t="str">
        <f>VLOOKUP(C16,Bolts!A:L,11,0)</f>
        <v xml:space="preserve"> </v>
      </c>
      <c r="N16" s="45" t="str">
        <f>VLOOKUP(C16,Bolts!A:L,12,0)</f>
        <v xml:space="preserve"> </v>
      </c>
      <c r="O16" s="45" t="e">
        <f t="shared" ca="1" si="7"/>
        <v>#VALUE!</v>
      </c>
      <c r="P16" s="49" t="str">
        <f>IFERROR(VLOOKUP(C16,Bolts!A:B,2,FALSE),"")</f>
        <v xml:space="preserve"> </v>
      </c>
      <c r="Q16" s="50" t="str">
        <f t="shared" si="8"/>
        <v/>
      </c>
    </row>
    <row r="17" spans="1:17" s="2" customFormat="1" ht="12" customHeight="1" thickBot="1">
      <c r="A17" s="4">
        <f t="shared" si="9"/>
        <v>505</v>
      </c>
      <c r="B17" s="2">
        <v>2</v>
      </c>
      <c r="C17" s="110" t="s">
        <v>596</v>
      </c>
      <c r="D17" s="268"/>
      <c r="E17" s="276"/>
      <c r="F17" s="112" t="str">
        <f>VLOOKUP(C17,Bolts!A:L,5,0)</f>
        <v xml:space="preserve">  </v>
      </c>
      <c r="G17" s="112" t="str">
        <f>VLOOKUP(C17,Bolts!A:L,6,0)</f>
        <v>Monroe Fasteners</v>
      </c>
      <c r="H17" s="112" t="str">
        <f>VLOOKUP(C17,Bolts!A:L,7,0)</f>
        <v xml:space="preserve">  </v>
      </c>
      <c r="I17" s="112"/>
      <c r="J17" s="44" t="str">
        <f>VLOOKUP(C17,Bolts!A:L,8,0)</f>
        <v xml:space="preserve"> </v>
      </c>
      <c r="K17" s="44" t="str">
        <f>VLOOKUP(C17,Bolts!A:L,9,0)</f>
        <v xml:space="preserve"> </v>
      </c>
      <c r="L17" s="44" t="str">
        <f>VLOOKUP(C17,Bolts!A:L,10,0)</f>
        <v xml:space="preserve"> </v>
      </c>
      <c r="M17" s="44" t="str">
        <f>VLOOKUP(C17,Bolts!A:L,11,0)</f>
        <v xml:space="preserve"> </v>
      </c>
      <c r="N17" s="45" t="str">
        <f>VLOOKUP(C17,Bolts!A:L,12,0)</f>
        <v xml:space="preserve"> </v>
      </c>
      <c r="O17" s="45" t="e">
        <f t="shared" ca="1" si="7"/>
        <v>#VALUE!</v>
      </c>
      <c r="P17" s="49" t="str">
        <f>IFERROR(VLOOKUP(C17,Bolts!A:B,2,FALSE),"")</f>
        <v xml:space="preserve"> </v>
      </c>
      <c r="Q17" s="50" t="str">
        <f t="shared" si="8"/>
        <v/>
      </c>
    </row>
    <row r="18" spans="1:17" s="2" customFormat="1" ht="12.75" customHeight="1" thickBot="1">
      <c r="A18" s="34"/>
      <c r="B18" s="35"/>
      <c r="C18" s="35"/>
      <c r="D18" s="256"/>
      <c r="E18" s="257"/>
      <c r="F18" s="35"/>
      <c r="G18" s="35"/>
      <c r="H18" s="294"/>
      <c r="I18" s="295"/>
      <c r="J18" s="36"/>
      <c r="K18" s="36"/>
      <c r="L18" s="36"/>
      <c r="M18" s="37"/>
      <c r="N18" s="38"/>
      <c r="O18" s="38"/>
      <c r="P18" s="89" t="s">
        <v>43</v>
      </c>
      <c r="Q18" s="94">
        <f>SUM(Q5:Q17)</f>
        <v>773.73569999999995</v>
      </c>
    </row>
    <row r="19" spans="1:17" s="2" customFormat="1" ht="12" customHeight="1">
      <c r="D19" s="22"/>
      <c r="E19" s="22"/>
      <c r="J19" s="8"/>
      <c r="K19" s="8"/>
      <c r="L19" s="8"/>
      <c r="M19" s="8"/>
      <c r="N19" s="5"/>
      <c r="O19" s="5"/>
      <c r="P19" s="88"/>
      <c r="Q19" s="95"/>
    </row>
    <row r="20" spans="1:17" s="2" customFormat="1" ht="12" customHeight="1">
      <c r="D20" s="22"/>
      <c r="E20" s="22"/>
      <c r="J20" s="5"/>
      <c r="K20" s="5"/>
      <c r="L20" s="5"/>
      <c r="M20" s="5"/>
      <c r="N20" s="5"/>
      <c r="O20" s="5"/>
      <c r="P20" s="88"/>
      <c r="Q20" s="95"/>
    </row>
    <row r="21" spans="1:17" s="2" customFormat="1" ht="12" customHeight="1">
      <c r="D21" s="22"/>
      <c r="E21" s="22"/>
      <c r="J21" s="5"/>
      <c r="K21" s="5"/>
      <c r="L21" s="5"/>
      <c r="M21" s="5"/>
      <c r="N21" s="5"/>
      <c r="O21" s="5"/>
      <c r="P21" s="88"/>
      <c r="Q21" s="95"/>
    </row>
    <row r="22" spans="1:17" s="2" customFormat="1" ht="12" customHeight="1">
      <c r="D22" s="22"/>
      <c r="E22" s="22"/>
      <c r="J22" s="5"/>
      <c r="K22" s="5"/>
      <c r="L22" s="5"/>
      <c r="M22" s="5"/>
      <c r="N22" s="5"/>
      <c r="O22" s="5"/>
      <c r="P22" s="88"/>
      <c r="Q22" s="95"/>
    </row>
    <row r="23" spans="1:17" s="2" customFormat="1" ht="12" customHeight="1">
      <c r="D23" s="22"/>
      <c r="E23" s="22"/>
      <c r="J23" s="5"/>
      <c r="K23" s="5"/>
      <c r="L23" s="5"/>
      <c r="M23" s="5"/>
      <c r="N23" s="5"/>
      <c r="O23" s="5"/>
      <c r="P23" s="88"/>
      <c r="Q23" s="95"/>
    </row>
    <row r="24" spans="1:17" s="2" customFormat="1" ht="12" customHeight="1">
      <c r="D24" s="22"/>
      <c r="E24" s="22"/>
      <c r="J24" s="5"/>
      <c r="K24" s="5"/>
      <c r="L24" s="5"/>
      <c r="M24" s="5"/>
      <c r="N24" s="5"/>
      <c r="O24" s="5"/>
      <c r="P24" s="88"/>
      <c r="Q24" s="95"/>
    </row>
    <row r="25" spans="1:17" s="2" customFormat="1" ht="12" customHeight="1">
      <c r="D25" s="22"/>
      <c r="E25" s="22"/>
      <c r="J25" s="5"/>
      <c r="K25" s="5"/>
      <c r="L25" s="5"/>
      <c r="M25" s="5"/>
      <c r="N25" s="5"/>
      <c r="O25" s="5"/>
      <c r="P25" s="88"/>
      <c r="Q25" s="95"/>
    </row>
    <row r="26" spans="1:17" s="2" customFormat="1" ht="12" customHeight="1">
      <c r="D26" s="22"/>
      <c r="E26" s="22"/>
      <c r="J26" s="5"/>
      <c r="K26" s="5"/>
      <c r="L26" s="5"/>
      <c r="M26" s="5"/>
      <c r="N26" s="5"/>
      <c r="O26" s="5"/>
      <c r="P26" s="88"/>
      <c r="Q26" s="95"/>
    </row>
    <row r="27" spans="1:17" s="2" customFormat="1" ht="12" customHeight="1">
      <c r="D27" s="22"/>
      <c r="E27" s="22"/>
      <c r="J27" s="5"/>
      <c r="K27" s="5"/>
      <c r="L27" s="5"/>
      <c r="M27" s="5"/>
      <c r="N27" s="5"/>
      <c r="O27" s="5"/>
      <c r="P27" s="88"/>
      <c r="Q27" s="95"/>
    </row>
    <row r="28" spans="1:17" s="2" customFormat="1" ht="12" customHeight="1">
      <c r="D28" s="22"/>
      <c r="E28" s="22"/>
      <c r="J28" s="5"/>
      <c r="K28" s="5"/>
      <c r="L28" s="5"/>
      <c r="M28" s="5"/>
      <c r="N28" s="5"/>
      <c r="O28" s="5"/>
      <c r="P28" s="88"/>
      <c r="Q28" s="95"/>
    </row>
    <row r="29" spans="1:17" s="2" customFormat="1" ht="12" customHeight="1">
      <c r="D29" s="22"/>
      <c r="E29" s="22"/>
      <c r="J29" s="5"/>
      <c r="K29" s="5"/>
      <c r="L29" s="5"/>
      <c r="M29" s="5"/>
      <c r="N29" s="5"/>
      <c r="O29" s="5"/>
      <c r="P29" s="88"/>
      <c r="Q29" s="95"/>
    </row>
    <row r="30" spans="1:17" s="2" customFormat="1" ht="12" customHeight="1">
      <c r="D30" s="22"/>
      <c r="E30" s="22"/>
      <c r="J30" s="5"/>
      <c r="K30" s="5"/>
      <c r="L30" s="5"/>
      <c r="M30" s="5"/>
      <c r="N30" s="5"/>
      <c r="O30" s="5"/>
      <c r="P30" s="88"/>
      <c r="Q30" s="95"/>
    </row>
    <row r="31" spans="1:17" s="2" customFormat="1" ht="12" customHeight="1">
      <c r="D31" s="22"/>
      <c r="E31" s="22"/>
      <c r="J31" s="5"/>
      <c r="K31" s="5"/>
      <c r="L31" s="5"/>
      <c r="M31" s="5"/>
      <c r="N31" s="5"/>
      <c r="O31" s="5"/>
      <c r="P31" s="88"/>
      <c r="Q31" s="95"/>
    </row>
    <row r="32" spans="1:17" s="2" customFormat="1" ht="12" customHeight="1">
      <c r="D32" s="22"/>
      <c r="E32" s="22"/>
      <c r="J32" s="5"/>
      <c r="K32" s="5"/>
      <c r="L32" s="5"/>
      <c r="M32" s="5"/>
      <c r="N32" s="5"/>
      <c r="O32" s="5"/>
      <c r="P32" s="88"/>
      <c r="Q32" s="95"/>
    </row>
    <row r="33" spans="4:17" s="2" customFormat="1" ht="12" customHeight="1">
      <c r="D33" s="22"/>
      <c r="E33" s="22"/>
      <c r="J33" s="5"/>
      <c r="K33" s="5"/>
      <c r="L33" s="5"/>
      <c r="M33" s="5"/>
      <c r="N33" s="5"/>
      <c r="O33" s="5"/>
      <c r="P33" s="88"/>
      <c r="Q33" s="95"/>
    </row>
    <row r="34" spans="4:17" s="2" customFormat="1" ht="12" customHeight="1">
      <c r="D34" s="22"/>
      <c r="E34" s="22"/>
      <c r="J34" s="5"/>
      <c r="K34" s="5"/>
      <c r="L34" s="5"/>
      <c r="M34" s="5"/>
      <c r="N34" s="5"/>
      <c r="O34" s="5"/>
      <c r="P34" s="88"/>
      <c r="Q34" s="95"/>
    </row>
    <row r="35" spans="4:17" s="2" customFormat="1" ht="12" customHeight="1">
      <c r="D35" s="22"/>
      <c r="E35" s="22"/>
      <c r="J35" s="5"/>
      <c r="K35" s="5"/>
      <c r="L35" s="5"/>
      <c r="M35" s="5"/>
      <c r="N35" s="5"/>
      <c r="O35" s="5"/>
      <c r="P35" s="88"/>
      <c r="Q35" s="95"/>
    </row>
    <row r="36" spans="4:17" s="2" customFormat="1" ht="12" customHeight="1">
      <c r="D36" s="22"/>
      <c r="E36" s="22"/>
      <c r="J36" s="5"/>
      <c r="K36" s="5"/>
      <c r="L36" s="5"/>
      <c r="M36" s="5"/>
      <c r="N36" s="5"/>
      <c r="O36" s="5"/>
      <c r="P36" s="88"/>
      <c r="Q36" s="95"/>
    </row>
    <row r="37" spans="4:17" s="2" customFormat="1" ht="12" customHeight="1">
      <c r="D37" s="22"/>
      <c r="E37" s="22"/>
      <c r="J37" s="5"/>
      <c r="K37" s="5"/>
      <c r="L37" s="5"/>
      <c r="M37" s="5"/>
      <c r="N37" s="5"/>
      <c r="O37" s="5"/>
      <c r="P37" s="88"/>
      <c r="Q37" s="95"/>
    </row>
    <row r="38" spans="4:17" s="2" customFormat="1" ht="12" customHeight="1">
      <c r="D38" s="22"/>
      <c r="E38" s="22"/>
      <c r="J38" s="5"/>
      <c r="K38" s="5"/>
      <c r="L38" s="5"/>
      <c r="M38" s="5"/>
      <c r="N38" s="5"/>
      <c r="O38" s="5"/>
      <c r="P38" s="88"/>
      <c r="Q38" s="95"/>
    </row>
    <row r="39" spans="4:17" s="2" customFormat="1" ht="12" customHeight="1">
      <c r="D39" s="22"/>
      <c r="E39" s="22"/>
      <c r="J39" s="5"/>
      <c r="K39" s="5"/>
      <c r="L39" s="5"/>
      <c r="M39" s="5"/>
      <c r="N39" s="5"/>
      <c r="O39" s="5"/>
      <c r="P39" s="88"/>
      <c r="Q39" s="95"/>
    </row>
    <row r="40" spans="4:17" s="2" customFormat="1" ht="12" customHeight="1">
      <c r="D40" s="22"/>
      <c r="E40" s="22"/>
      <c r="J40" s="5"/>
      <c r="K40" s="5"/>
      <c r="L40" s="5"/>
      <c r="M40" s="5"/>
      <c r="N40" s="5"/>
      <c r="O40" s="5"/>
      <c r="P40" s="88"/>
      <c r="Q40" s="95"/>
    </row>
    <row r="41" spans="4:17" s="2" customFormat="1" ht="12" customHeight="1">
      <c r="D41" s="22"/>
      <c r="E41" s="22"/>
      <c r="J41" s="5"/>
      <c r="K41" s="5"/>
      <c r="L41" s="5"/>
      <c r="M41" s="5"/>
      <c r="N41" s="5"/>
      <c r="O41" s="5"/>
      <c r="P41" s="88"/>
      <c r="Q41" s="95"/>
    </row>
    <row r="42" spans="4:17" s="2" customFormat="1" ht="12" customHeight="1">
      <c r="D42" s="22"/>
      <c r="E42" s="22"/>
      <c r="J42" s="5"/>
      <c r="K42" s="5"/>
      <c r="L42" s="5"/>
      <c r="M42" s="5"/>
      <c r="N42" s="5"/>
      <c r="O42" s="5"/>
      <c r="P42" s="88"/>
      <c r="Q42" s="95"/>
    </row>
    <row r="43" spans="4:17" s="2" customFormat="1" ht="12" customHeight="1">
      <c r="D43" s="22"/>
      <c r="E43" s="22"/>
      <c r="J43" s="5"/>
      <c r="K43" s="5"/>
      <c r="L43" s="5"/>
      <c r="M43" s="5"/>
      <c r="N43" s="5"/>
      <c r="O43" s="5"/>
      <c r="P43" s="88"/>
      <c r="Q43" s="95"/>
    </row>
    <row r="44" spans="4:17" s="2" customFormat="1" ht="12" customHeight="1">
      <c r="D44" s="22"/>
      <c r="E44" s="22"/>
      <c r="J44" s="5"/>
      <c r="K44" s="5"/>
      <c r="L44" s="5"/>
      <c r="M44" s="5"/>
      <c r="N44" s="5"/>
      <c r="O44" s="5"/>
      <c r="P44" s="88"/>
      <c r="Q44" s="95"/>
    </row>
    <row r="45" spans="4:17" s="2" customFormat="1" ht="12" customHeight="1">
      <c r="D45" s="22"/>
      <c r="E45" s="22"/>
      <c r="J45" s="5"/>
      <c r="K45" s="5"/>
      <c r="L45" s="5"/>
      <c r="M45" s="5"/>
      <c r="N45" s="5"/>
      <c r="O45" s="5"/>
      <c r="P45" s="88"/>
      <c r="Q45" s="95"/>
    </row>
    <row r="46" spans="4:17" s="2" customFormat="1" ht="12" customHeight="1">
      <c r="D46" s="22"/>
      <c r="E46" s="22"/>
      <c r="J46" s="5"/>
      <c r="K46" s="5"/>
      <c r="L46" s="5"/>
      <c r="M46" s="5"/>
      <c r="N46" s="5"/>
      <c r="O46" s="5"/>
      <c r="P46" s="88"/>
      <c r="Q46" s="95"/>
    </row>
    <row r="47" spans="4:17" s="2" customFormat="1" ht="12" customHeight="1">
      <c r="D47" s="22"/>
      <c r="E47" s="22"/>
      <c r="J47" s="5"/>
      <c r="K47" s="5"/>
      <c r="L47" s="5"/>
      <c r="M47" s="5"/>
      <c r="N47" s="5"/>
      <c r="O47" s="5"/>
      <c r="P47" s="88"/>
      <c r="Q47" s="95"/>
    </row>
    <row r="48" spans="4:17" s="2" customFormat="1" ht="12" customHeight="1">
      <c r="D48" s="22"/>
      <c r="E48" s="22"/>
      <c r="J48" s="5"/>
      <c r="K48" s="5"/>
      <c r="L48" s="5"/>
      <c r="M48" s="5"/>
      <c r="N48" s="5"/>
      <c r="O48" s="5"/>
      <c r="P48" s="88"/>
      <c r="Q48" s="95"/>
    </row>
    <row r="49" spans="1:17" s="2" customFormat="1" ht="12" customHeight="1">
      <c r="D49" s="22"/>
      <c r="E49" s="22"/>
      <c r="J49" s="5"/>
      <c r="K49" s="5"/>
      <c r="L49" s="5"/>
      <c r="M49" s="5"/>
      <c r="N49" s="5"/>
      <c r="O49" s="5"/>
      <c r="P49" s="88"/>
      <c r="Q49" s="95"/>
    </row>
    <row r="50" spans="1:17" s="2" customFormat="1" ht="12" customHeight="1">
      <c r="D50" s="22"/>
      <c r="E50" s="22"/>
      <c r="J50" s="5"/>
      <c r="K50" s="5"/>
      <c r="L50" s="5"/>
      <c r="M50" s="5"/>
      <c r="N50" s="5"/>
      <c r="O50" s="5"/>
      <c r="P50" s="88"/>
      <c r="Q50" s="95"/>
    </row>
    <row r="51" spans="1:17" s="2" customFormat="1" ht="12" customHeight="1">
      <c r="D51" s="22"/>
      <c r="E51" s="22"/>
      <c r="J51" s="5"/>
      <c r="K51" s="5"/>
      <c r="L51" s="5"/>
      <c r="M51" s="5"/>
      <c r="N51" s="5"/>
      <c r="O51" s="5"/>
      <c r="P51" s="88"/>
      <c r="Q51" s="95"/>
    </row>
    <row r="52" spans="1:17" s="2" customFormat="1" ht="12" customHeight="1">
      <c r="D52" s="22"/>
      <c r="E52" s="22"/>
      <c r="J52" s="5"/>
      <c r="K52" s="5"/>
      <c r="L52" s="5"/>
      <c r="M52" s="5"/>
      <c r="N52" s="5"/>
      <c r="O52" s="5"/>
      <c r="P52" s="88"/>
      <c r="Q52" s="95"/>
    </row>
    <row r="53" spans="1:17" s="2" customFormat="1" ht="12" customHeight="1">
      <c r="D53" s="22"/>
      <c r="E53" s="22"/>
      <c r="J53" s="5"/>
      <c r="K53" s="5"/>
      <c r="L53" s="5"/>
      <c r="M53" s="5"/>
      <c r="N53" s="5"/>
      <c r="O53" s="5"/>
      <c r="P53" s="88"/>
      <c r="Q53" s="95"/>
    </row>
    <row r="54" spans="1:17" s="2" customFormat="1" ht="12" customHeight="1">
      <c r="D54" s="22"/>
      <c r="E54" s="22"/>
      <c r="J54" s="5"/>
      <c r="K54" s="5"/>
      <c r="L54" s="5"/>
      <c r="M54" s="5"/>
      <c r="N54" s="5"/>
      <c r="O54" s="5"/>
      <c r="P54" s="88"/>
      <c r="Q54" s="95"/>
    </row>
    <row r="55" spans="1:17" s="2" customFormat="1" ht="12" customHeight="1">
      <c r="D55" s="22"/>
      <c r="E55" s="22"/>
      <c r="J55" s="5"/>
      <c r="K55" s="5"/>
      <c r="L55" s="5"/>
      <c r="M55" s="5"/>
      <c r="N55" s="5"/>
      <c r="O55" s="5"/>
      <c r="P55" s="88"/>
      <c r="Q55" s="95"/>
    </row>
    <row r="56" spans="1:17" s="2" customFormat="1" ht="12" customHeight="1">
      <c r="D56" s="22"/>
      <c r="E56" s="22"/>
      <c r="J56" s="5"/>
      <c r="K56" s="5"/>
      <c r="L56" s="5"/>
      <c r="M56" s="5"/>
      <c r="N56" s="5"/>
      <c r="O56" s="5"/>
      <c r="P56" s="88"/>
      <c r="Q56" s="95"/>
    </row>
    <row r="57" spans="1:17" s="2" customFormat="1" ht="12" customHeight="1">
      <c r="D57" s="22"/>
      <c r="E57" s="22"/>
      <c r="J57" s="5"/>
      <c r="K57" s="5"/>
      <c r="L57" s="5"/>
      <c r="M57" s="5"/>
      <c r="N57" s="5"/>
      <c r="O57" s="5"/>
      <c r="P57" s="88"/>
      <c r="Q57" s="96"/>
    </row>
    <row r="58" spans="1:17" s="2" customFormat="1" ht="12" customHeight="1">
      <c r="D58" s="22"/>
      <c r="E58" s="22"/>
      <c r="J58" s="5"/>
      <c r="K58" s="5"/>
      <c r="L58" s="5"/>
      <c r="M58" s="5"/>
      <c r="N58" s="5"/>
      <c r="O58" s="5"/>
      <c r="P58" s="88"/>
      <c r="Q58" s="96"/>
    </row>
    <row r="59" spans="1:17" s="2" customFormat="1" ht="12" customHeight="1">
      <c r="D59" s="22"/>
      <c r="E59" s="22"/>
      <c r="J59" s="5"/>
      <c r="K59" s="5"/>
      <c r="L59" s="5"/>
      <c r="M59" s="5"/>
      <c r="N59" s="5"/>
      <c r="O59" s="5"/>
      <c r="P59" s="88"/>
      <c r="Q59" s="96"/>
    </row>
    <row r="60" spans="1:17" s="2" customFormat="1" ht="12" customHeight="1">
      <c r="D60" s="22"/>
      <c r="E60" s="22"/>
      <c r="J60" s="5"/>
      <c r="K60" s="5"/>
      <c r="L60" s="5"/>
      <c r="M60" s="5"/>
      <c r="N60" s="5"/>
      <c r="O60" s="5"/>
      <c r="P60" s="88"/>
      <c r="Q60" s="96"/>
    </row>
    <row r="61" spans="1:17" s="2" customFormat="1" ht="12" customHeight="1">
      <c r="A61"/>
      <c r="B61"/>
      <c r="C61"/>
      <c r="D61" s="23"/>
      <c r="E61" s="23"/>
      <c r="F61"/>
      <c r="G61"/>
      <c r="H61"/>
      <c r="I61"/>
      <c r="J61" s="19"/>
      <c r="K61" s="19"/>
      <c r="L61" s="19"/>
      <c r="M61" s="19"/>
      <c r="N61" s="19"/>
      <c r="O61" s="19"/>
      <c r="P61" s="90"/>
      <c r="Q61" s="96"/>
    </row>
    <row r="62" spans="1:17" s="2" customFormat="1" ht="12" customHeight="1">
      <c r="A62"/>
      <c r="B62"/>
      <c r="C62"/>
      <c r="D62" s="23"/>
      <c r="E62" s="23"/>
      <c r="F62"/>
      <c r="G62"/>
      <c r="H62"/>
      <c r="I62"/>
      <c r="J62" s="19"/>
      <c r="K62" s="19"/>
      <c r="L62" s="19"/>
      <c r="M62" s="19"/>
      <c r="N62" s="19"/>
      <c r="O62" s="19"/>
      <c r="P62" s="90"/>
      <c r="Q62" s="96"/>
    </row>
    <row r="63" spans="1:17" s="2" customFormat="1" ht="12" customHeight="1">
      <c r="A63"/>
      <c r="B63"/>
      <c r="C63"/>
      <c r="D63" s="23"/>
      <c r="E63" s="23"/>
      <c r="F63"/>
      <c r="G63"/>
      <c r="H63"/>
      <c r="I63"/>
      <c r="J63" s="19"/>
      <c r="K63" s="19"/>
      <c r="L63" s="19"/>
      <c r="M63" s="19"/>
      <c r="N63" s="19"/>
      <c r="O63" s="19"/>
      <c r="P63" s="90"/>
      <c r="Q63" s="96"/>
    </row>
    <row r="64" spans="1:17" s="2" customFormat="1" ht="12" customHeight="1">
      <c r="A64"/>
      <c r="B64"/>
      <c r="C64"/>
      <c r="D64" s="23"/>
      <c r="E64" s="23"/>
      <c r="F64"/>
      <c r="G64"/>
      <c r="H64"/>
      <c r="I64"/>
      <c r="J64" s="19"/>
      <c r="K64" s="19"/>
      <c r="L64" s="19"/>
      <c r="M64" s="19"/>
      <c r="N64" s="19"/>
      <c r="O64" s="19"/>
      <c r="P64" s="90"/>
      <c r="Q64" s="96"/>
    </row>
    <row r="65" spans="1:17" s="2" customFormat="1" ht="12" customHeight="1">
      <c r="A65"/>
      <c r="B65"/>
      <c r="C65"/>
      <c r="D65" s="23"/>
      <c r="E65" s="23"/>
      <c r="F65"/>
      <c r="G65"/>
      <c r="H65"/>
      <c r="I65"/>
      <c r="J65" s="19"/>
      <c r="K65" s="19"/>
      <c r="L65" s="19"/>
      <c r="M65" s="19"/>
      <c r="N65" s="19"/>
      <c r="O65" s="19"/>
      <c r="P65" s="90"/>
      <c r="Q65" s="96"/>
    </row>
    <row r="66" spans="1:17">
      <c r="Q66" s="96"/>
    </row>
    <row r="67" spans="1:17">
      <c r="Q67" s="96"/>
    </row>
    <row r="68" spans="1:17">
      <c r="Q68" s="96"/>
    </row>
    <row r="69" spans="1:17">
      <c r="Q69" s="96"/>
    </row>
    <row r="70" spans="1:17">
      <c r="Q70" s="96"/>
    </row>
    <row r="71" spans="1:17">
      <c r="Q71" s="96"/>
    </row>
    <row r="72" spans="1:17">
      <c r="Q72" s="96"/>
    </row>
    <row r="73" spans="1:17">
      <c r="Q73" s="96"/>
    </row>
    <row r="74" spans="1:17">
      <c r="Q74" s="96"/>
    </row>
    <row r="75" spans="1:17">
      <c r="Q75" s="96"/>
    </row>
    <row r="76" spans="1:17">
      <c r="Q76" s="96"/>
    </row>
    <row r="77" spans="1:17">
      <c r="Q77" s="96"/>
    </row>
    <row r="78" spans="1:17">
      <c r="Q78" s="96"/>
    </row>
    <row r="79" spans="1:17">
      <c r="Q79" s="96"/>
    </row>
    <row r="80" spans="1:17">
      <c r="Q80" s="96"/>
    </row>
    <row r="81" spans="17:17">
      <c r="Q81" s="96"/>
    </row>
    <row r="82" spans="17:17">
      <c r="Q82" s="96"/>
    </row>
    <row r="83" spans="17:17">
      <c r="Q83" s="96"/>
    </row>
    <row r="84" spans="17:17">
      <c r="Q84" s="96"/>
    </row>
    <row r="85" spans="17:17">
      <c r="Q85" s="96"/>
    </row>
    <row r="122" ht="12" customHeight="1"/>
    <row r="123" ht="12" customHeight="1"/>
    <row r="124" ht="12" customHeight="1"/>
    <row r="125" ht="12" customHeight="1"/>
    <row r="126" ht="12" customHeight="1"/>
    <row r="127" ht="12" customHeight="1"/>
    <row r="128" ht="12" customHeight="1"/>
    <row r="129" ht="12" customHeight="1"/>
    <row r="130" ht="12" customHeight="1"/>
    <row r="131" ht="12" customHeight="1"/>
    <row r="132" ht="12" customHeight="1"/>
    <row r="133" ht="12" customHeight="1"/>
    <row r="134" ht="12" customHeight="1"/>
    <row r="135" ht="12" customHeight="1"/>
    <row r="136" ht="12" customHeight="1"/>
    <row r="137" ht="12" customHeight="1"/>
    <row r="138" ht="12" customHeight="1"/>
    <row r="139" ht="12" customHeight="1"/>
    <row r="140" ht="12" customHeight="1"/>
    <row r="141" ht="12" customHeight="1"/>
    <row r="142" ht="12" customHeight="1"/>
    <row r="143" ht="12" customHeight="1"/>
    <row r="144" ht="12" customHeight="1"/>
    <row r="145" ht="12" customHeight="1"/>
    <row r="146" ht="12" customHeight="1"/>
    <row r="147" ht="12" customHeight="1"/>
    <row r="148" ht="12" customHeight="1"/>
    <row r="149" ht="12" customHeight="1"/>
    <row r="150" ht="12" customHeight="1"/>
    <row r="151" ht="12" customHeight="1"/>
    <row r="152" ht="12" customHeight="1"/>
    <row r="153" ht="12" customHeight="1"/>
    <row r="154" ht="12" customHeight="1"/>
    <row r="155" ht="12" customHeight="1"/>
    <row r="156" ht="12" customHeight="1"/>
    <row r="157" ht="12" customHeight="1"/>
    <row r="158" ht="12" customHeight="1"/>
    <row r="159" ht="12" customHeight="1"/>
    <row r="160" ht="12" customHeight="1"/>
    <row r="161" ht="12" customHeight="1"/>
    <row r="162" ht="12" customHeight="1"/>
    <row r="163" ht="12" customHeight="1"/>
    <row r="164" ht="12" customHeight="1"/>
    <row r="165" ht="12" customHeight="1"/>
    <row r="166" ht="12" customHeight="1"/>
    <row r="167" ht="12" customHeight="1"/>
    <row r="168" ht="12" customHeight="1"/>
    <row r="169" ht="12" customHeight="1"/>
    <row r="170" ht="12" customHeight="1"/>
    <row r="171" ht="12" customHeight="1"/>
  </sheetData>
  <mergeCells count="20">
    <mergeCell ref="D18:E18"/>
    <mergeCell ref="H18:I18"/>
    <mergeCell ref="D13:E13"/>
    <mergeCell ref="D14:E14"/>
    <mergeCell ref="D15:E15"/>
    <mergeCell ref="D16:E16"/>
    <mergeCell ref="D17:E17"/>
    <mergeCell ref="D12:E12"/>
    <mergeCell ref="H12:I12"/>
    <mergeCell ref="D10:E10"/>
    <mergeCell ref="D7:E7"/>
    <mergeCell ref="H7:I7"/>
    <mergeCell ref="D8:E8"/>
    <mergeCell ref="D9:E9"/>
    <mergeCell ref="D11:E11"/>
    <mergeCell ref="H4:I4"/>
    <mergeCell ref="D5:E5"/>
    <mergeCell ref="D6:E6"/>
    <mergeCell ref="D1:E1"/>
    <mergeCell ref="D4:E4"/>
  </mergeCells>
  <conditionalFormatting sqref="M5:M6">
    <cfRule type="cellIs" dxfId="492" priority="1" stopIfTrue="1" operator="lessThanOrEqual">
      <formula>$L5</formula>
    </cfRule>
    <cfRule type="cellIs" dxfId="491" priority="2" operator="greaterThan">
      <formula>L5</formula>
    </cfRule>
  </conditionalFormatting>
  <conditionalFormatting sqref="M13:M17 M8:M11">
    <cfRule type="cellIs" dxfId="490" priority="5" stopIfTrue="1" operator="lessThanOrEqual">
      <formula>$L8</formula>
    </cfRule>
    <cfRule type="cellIs" dxfId="489" priority="6" operator="greaterThan">
      <formula>L8</formula>
    </cfRule>
  </conditionalFormatting>
  <pageMargins left="0.7" right="0.7" top="0.75" bottom="0.75" header="0.3" footer="0.3"/>
  <pageSetup paperSize="3" fitToHeight="0" orientation="landscape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7AC7A141-3568-4763-8876-11D1AD498728}">
          <x14:formula1>
            <xm:f>Bolts!$A:$A</xm:f>
          </x14:formula1>
          <xm:sqref>C13:C17</xm:sqref>
        </x14:dataValidation>
        <x14:dataValidation type="list" allowBlank="1" showInputMessage="1" showErrorMessage="1" xr:uid="{572B089E-5D07-4DF1-B23E-53335FA18F6B}">
          <x14:formula1>
            <xm:f>Purchased!$A:$A</xm:f>
          </x14:formula1>
          <xm:sqref>C8:C11</xm:sqref>
        </x14:dataValidation>
        <x14:dataValidation type="list" allowBlank="1" showInputMessage="1" showErrorMessage="1" xr:uid="{25157129-91A2-43B4-B4FC-3E76DC816102}">
          <x14:formula1>
            <xm:f>Machined!$C:$C</xm:f>
          </x14:formula1>
          <xm:sqref>C5:C6</xm:sqref>
        </x14:dataValidation>
      </x14:dataValidation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FA19A-79FB-4D4B-BC52-9820E434CD1D}">
  <sheetPr codeName="Sheet158">
    <tabColor theme="3" tint="0.79998168889431442"/>
    <pageSetUpPr fitToPage="1"/>
  </sheetPr>
  <dimension ref="A1:Q169"/>
  <sheetViews>
    <sheetView zoomScaleNormal="100" workbookViewId="0">
      <selection activeCell="D26" sqref="D26"/>
    </sheetView>
  </sheetViews>
  <sheetFormatPr defaultColWidth="9.140625" defaultRowHeight="15"/>
  <cols>
    <col min="1" max="1" width="5.7109375" customWidth="1"/>
    <col min="2" max="2" width="5.42578125" bestFit="1" customWidth="1"/>
    <col min="3" max="3" width="30.7109375" customWidth="1"/>
    <col min="4" max="5" width="20.7109375" style="23" customWidth="1"/>
    <col min="6" max="6" width="16.85546875" bestFit="1" customWidth="1"/>
    <col min="7" max="7" width="9.7109375" customWidth="1"/>
    <col min="8" max="8" width="8.7109375" customWidth="1"/>
    <col min="9" max="9" width="20.7109375" customWidth="1"/>
    <col min="10" max="13" width="11.7109375" style="19" customWidth="1"/>
    <col min="14" max="14" width="11.85546875" style="19" bestFit="1" customWidth="1"/>
    <col min="15" max="15" width="7.7109375" style="19" customWidth="1"/>
    <col min="16" max="16" width="10.7109375" style="90" customWidth="1"/>
    <col min="17" max="17" width="10.7109375" style="97" customWidth="1"/>
  </cols>
  <sheetData>
    <row r="1" spans="1:17" s="55" customFormat="1" ht="12" customHeight="1">
      <c r="A1" s="68" t="s">
        <v>0</v>
      </c>
      <c r="B1" s="69"/>
      <c r="C1" s="69"/>
      <c r="D1" s="262" t="s">
        <v>1</v>
      </c>
      <c r="E1" s="263"/>
      <c r="F1" s="70"/>
      <c r="G1" s="69"/>
      <c r="H1" s="70"/>
      <c r="I1" s="71"/>
      <c r="J1" s="72"/>
      <c r="K1" s="72"/>
      <c r="L1" s="72"/>
      <c r="M1" s="72"/>
      <c r="N1" s="72"/>
      <c r="O1" s="72"/>
      <c r="P1" s="85"/>
      <c r="Q1" s="91"/>
    </row>
    <row r="2" spans="1:17" s="55" customFormat="1" ht="12" customHeight="1">
      <c r="A2" s="74" t="s">
        <v>48</v>
      </c>
      <c r="B2" s="58"/>
      <c r="C2" s="57" t="e">
        <f ca="1">VLOOKUP(E3,Assemblies!B:F,4,0)</f>
        <v>#VALUE!</v>
      </c>
      <c r="D2" s="75" t="s">
        <v>3</v>
      </c>
      <c r="E2" s="76" t="e">
        <f ca="1">'GF12'!E2</f>
        <v>#VALUE!</v>
      </c>
      <c r="F2" s="77" t="s">
        <v>4</v>
      </c>
      <c r="G2" s="58" t="str">
        <f>'GF12'!G2</f>
        <v>GH</v>
      </c>
      <c r="H2" s="77" t="s">
        <v>6</v>
      </c>
      <c r="I2" s="59">
        <f>'GF12'!I2</f>
        <v>44775</v>
      </c>
      <c r="J2" s="39"/>
      <c r="K2" s="40" t="s">
        <v>49</v>
      </c>
      <c r="L2" s="41" t="e">
        <f ca="1">VLOOKUP(C2,Assemblies!E:G,3,0)</f>
        <v>#VALUE!</v>
      </c>
      <c r="M2" s="78"/>
      <c r="N2" s="78"/>
      <c r="O2" s="78"/>
      <c r="P2" s="86"/>
      <c r="Q2" s="92"/>
    </row>
    <row r="3" spans="1:17" s="55" customFormat="1" ht="12" customHeight="1" thickBot="1">
      <c r="A3" s="74" t="s">
        <v>7</v>
      </c>
      <c r="B3" s="58"/>
      <c r="C3" s="57" t="e">
        <f ca="1">VLOOKUP(E3,Assemblies!B:F,5,0)</f>
        <v>#VALUE!</v>
      </c>
      <c r="D3" s="75" t="s">
        <v>50</v>
      </c>
      <c r="E3" s="76" t="e">
        <f ca="1">MID(CELL("filename",A1),FIND("]",CELL("filename",A1))+1,256)</f>
        <v>#VALUE!</v>
      </c>
      <c r="F3" s="77" t="s">
        <v>11</v>
      </c>
      <c r="G3" s="58" t="str">
        <f>'GF12'!G3</f>
        <v>GH</v>
      </c>
      <c r="H3" s="77" t="s">
        <v>6</v>
      </c>
      <c r="I3" s="59">
        <f>'GF12'!I3</f>
        <v>44775</v>
      </c>
      <c r="J3" s="78"/>
      <c r="K3" s="78"/>
      <c r="L3" s="78"/>
      <c r="M3" s="78"/>
      <c r="N3" s="78"/>
      <c r="O3" s="78"/>
      <c r="P3" s="86"/>
      <c r="Q3" s="92"/>
    </row>
    <row r="4" spans="1:17" s="56" customFormat="1" ht="12.75" customHeight="1" thickBot="1">
      <c r="A4" s="80" t="s">
        <v>12</v>
      </c>
      <c r="B4" s="81" t="s">
        <v>13</v>
      </c>
      <c r="C4" s="81" t="s">
        <v>14</v>
      </c>
      <c r="D4" s="270" t="s">
        <v>15</v>
      </c>
      <c r="E4" s="271"/>
      <c r="F4" s="104" t="s">
        <v>16</v>
      </c>
      <c r="G4" s="81" t="s">
        <v>17</v>
      </c>
      <c r="H4" s="260" t="s">
        <v>18</v>
      </c>
      <c r="I4" s="261"/>
      <c r="J4" s="81" t="s">
        <v>51</v>
      </c>
      <c r="K4" s="81" t="s">
        <v>20</v>
      </c>
      <c r="L4" s="81" t="s">
        <v>21</v>
      </c>
      <c r="M4" s="81" t="s">
        <v>52</v>
      </c>
      <c r="N4" s="81" t="s">
        <v>22</v>
      </c>
      <c r="O4" s="81" t="s">
        <v>53</v>
      </c>
      <c r="P4" s="107" t="s">
        <v>26</v>
      </c>
      <c r="Q4" s="82" t="s">
        <v>27</v>
      </c>
    </row>
    <row r="5" spans="1:17" s="2" customFormat="1" ht="12.75" customHeight="1">
      <c r="A5" s="127">
        <v>1</v>
      </c>
      <c r="B5" s="21">
        <v>1</v>
      </c>
      <c r="C5" s="108" t="s">
        <v>597</v>
      </c>
      <c r="D5" s="277" t="str">
        <f>VLOOKUP(C5,Machined!C:Q,2,0)</f>
        <v>Exh Manifold Plate, 4x 1-8 Port</v>
      </c>
      <c r="E5" s="278"/>
      <c r="F5" s="131" t="str">
        <f>VLOOKUP(C5,Machined!C:R,7,0)</f>
        <v>6061-T6 Alum</v>
      </c>
      <c r="G5" s="131" t="str">
        <f>VLOOKUP(C5,Machined!C:R,10,0)</f>
        <v>NULINE</v>
      </c>
      <c r="H5" s="131">
        <f>VLOOKUP(C5,Machined!C:R,11,0)</f>
        <v>0</v>
      </c>
      <c r="I5" s="131"/>
      <c r="J5" s="42" t="str">
        <f>VLOOKUP(C5,Machined!C:R,12,0)</f>
        <v>N/A</v>
      </c>
      <c r="K5" s="42" t="str">
        <f>VLOOKUP(C5,Machined!C:R,13,0)</f>
        <v>N/A</v>
      </c>
      <c r="L5" s="42" t="str">
        <f>VLOOKUP(C5,Machined!C:R,14,0)</f>
        <v>N/A</v>
      </c>
      <c r="M5" s="42" t="str">
        <f>VLOOKUP(C5,Machined!C:R,15,0)</f>
        <v>N/A</v>
      </c>
      <c r="N5" s="43" t="str">
        <f>VLOOKUP(C5,Machined!C:R,16,0)</f>
        <v>N/A</v>
      </c>
      <c r="O5" s="43" t="e">
        <f t="shared" ref="O5" ca="1" si="0">B5*$L$2</f>
        <v>#VALUE!</v>
      </c>
      <c r="P5" s="47">
        <f>IFERROR(VLOOKUP(C5,Machined!C:F,3,0),"")</f>
        <v>0</v>
      </c>
      <c r="Q5" s="48">
        <f t="shared" ref="Q5" si="1">IFERROR(B5*P5,"")</f>
        <v>0</v>
      </c>
    </row>
    <row r="6" spans="1:17" s="2" customFormat="1" ht="12.75" customHeight="1">
      <c r="A6" s="143"/>
      <c r="B6" s="26"/>
      <c r="C6" s="26"/>
      <c r="D6" s="272"/>
      <c r="E6" s="273"/>
      <c r="F6" s="26"/>
      <c r="G6" s="26"/>
      <c r="H6" s="274"/>
      <c r="I6" s="275"/>
      <c r="J6" s="27"/>
      <c r="K6" s="27"/>
      <c r="L6" s="27"/>
      <c r="M6" s="28"/>
      <c r="N6" s="29"/>
      <c r="O6" s="29"/>
      <c r="P6" s="141"/>
      <c r="Q6" s="142"/>
    </row>
    <row r="7" spans="1:17" s="2" customFormat="1" ht="12.75" customHeight="1">
      <c r="A7" s="4">
        <v>301</v>
      </c>
      <c r="B7" s="2">
        <v>1</v>
      </c>
      <c r="C7" s="114" t="s">
        <v>598</v>
      </c>
      <c r="D7" s="268" t="str">
        <f>VLOOKUP(C7,Purchased!A:B,2,0)</f>
        <v>Straight-Flow Rectangular Manifold, Anodized Aluminum, Standard, 4 Outlets, 1/4 NPT x 1/8 NPT</v>
      </c>
      <c r="E7" s="269"/>
      <c r="F7" s="112" t="str">
        <f>VLOOKUP(C7,Purchased!A:Q,9,0)</f>
        <v>MCM</v>
      </c>
      <c r="G7" s="112" t="str">
        <f>VLOOKUP(C7,Purchased!A:Q,10,0)</f>
        <v>MCM</v>
      </c>
      <c r="H7" s="112">
        <f>VLOOKUP(C7,Purchased!A:Q,12,0)</f>
        <v>0</v>
      </c>
      <c r="I7" s="113"/>
      <c r="J7" s="44" t="str">
        <f>VLOOKUP(C7,Purchased!A:Q,13,0)</f>
        <v>N/A</v>
      </c>
      <c r="K7" s="44">
        <f>VLOOKUP(C7,Purchased!A:Q,14,0)</f>
        <v>45238</v>
      </c>
      <c r="L7" s="44">
        <f>VLOOKUP(C7,Purchased!A:Q,15,0)</f>
        <v>45239</v>
      </c>
      <c r="M7" s="44">
        <f>VLOOKUP(C7,Purchased!A:Q,16,0)</f>
        <v>45239</v>
      </c>
      <c r="N7" s="45">
        <f>VLOOKUP(C7,Purchased!A:Q,17,0)</f>
        <v>55277</v>
      </c>
      <c r="O7" s="45" t="e">
        <f t="shared" ref="O7:O15" ca="1" si="2">B7*$L$2</f>
        <v>#VALUE!</v>
      </c>
      <c r="P7" s="49">
        <f>IFERROR(VLOOKUP(C7,Purchased!A:E,3,FALSE),"")</f>
        <v>26.82</v>
      </c>
      <c r="Q7" s="50">
        <f t="shared" ref="Q7:Q12" si="3">IFERROR(B7*P7,"")</f>
        <v>26.82</v>
      </c>
    </row>
    <row r="8" spans="1:17" s="2" customFormat="1" ht="12.75" customHeight="1">
      <c r="A8" s="4">
        <f>A7+1</f>
        <v>302</v>
      </c>
      <c r="B8" s="2">
        <v>1</v>
      </c>
      <c r="C8" s="114" t="s">
        <v>599</v>
      </c>
      <c r="D8" s="268" t="str">
        <f>VLOOKUP(C8,Purchased!A:B,2,0)</f>
        <v>Compact High-Flow Muffler with 1/4 NPT Male Zinc-Plated Steel Fitting</v>
      </c>
      <c r="E8" s="269"/>
      <c r="F8" s="112" t="str">
        <f>VLOOKUP(C8,Purchased!A:Q,9,0)</f>
        <v>MCM</v>
      </c>
      <c r="G8" s="112" t="str">
        <f>VLOOKUP(C8,Purchased!A:Q,10,0)</f>
        <v>MCM</v>
      </c>
      <c r="H8" s="112">
        <f>VLOOKUP(C8,Purchased!A:Q,12,0)</f>
        <v>0</v>
      </c>
      <c r="I8" s="113"/>
      <c r="J8" s="44" t="str">
        <f>VLOOKUP(C8,Purchased!A:Q,13,0)</f>
        <v>N/A</v>
      </c>
      <c r="K8" s="44">
        <f>VLOOKUP(C8,Purchased!A:Q,14,0)</f>
        <v>45238</v>
      </c>
      <c r="L8" s="44">
        <f>VLOOKUP(C8,Purchased!A:Q,15,0)</f>
        <v>45239</v>
      </c>
      <c r="M8" s="44">
        <f>VLOOKUP(C8,Purchased!A:Q,16,0)</f>
        <v>45239</v>
      </c>
      <c r="N8" s="45">
        <f>VLOOKUP(C8,Purchased!A:Q,17,0)</f>
        <v>55277</v>
      </c>
      <c r="O8" s="45" t="e">
        <f t="shared" ca="1" si="2"/>
        <v>#VALUE!</v>
      </c>
      <c r="P8" s="49">
        <f>IFERROR(VLOOKUP(C8,Purchased!A:E,3,FALSE),"")</f>
        <v>10.35</v>
      </c>
      <c r="Q8" s="50">
        <f t="shared" si="3"/>
        <v>10.35</v>
      </c>
    </row>
    <row r="9" spans="1:17" s="2" customFormat="1" ht="12.75" customHeight="1">
      <c r="A9" s="4">
        <f t="shared" ref="A9:A12" si="4">A8+1</f>
        <v>303</v>
      </c>
      <c r="B9" s="2">
        <v>2</v>
      </c>
      <c r="C9" s="114" t="s">
        <v>600</v>
      </c>
      <c r="D9" s="268" t="str">
        <f>VLOOKUP(C9,Purchased!A:B,2,0)</f>
        <v>SMC FITTING, MALE CONNECTOR</v>
      </c>
      <c r="E9" s="269"/>
      <c r="F9" s="112" t="str">
        <f>VLOOKUP(C9,Purchased!A:Q,9,0)</f>
        <v>SMC</v>
      </c>
      <c r="G9" s="112" t="str">
        <f>VLOOKUP(C9,Purchased!A:Q,10,0)</f>
        <v>AAP</v>
      </c>
      <c r="H9" s="112" t="str">
        <f>VLOOKUP(C9,Purchased!A:Q,12,0)</f>
        <v xml:space="preserve"> </v>
      </c>
      <c r="I9" s="113"/>
      <c r="J9" s="44" t="str">
        <f>VLOOKUP(C9,Purchased!A:Q,13,0)</f>
        <v>N/A</v>
      </c>
      <c r="K9" s="44">
        <f>VLOOKUP(C9,Purchased!A:Q,14,0)</f>
        <v>45162</v>
      </c>
      <c r="L9" s="44">
        <f>VLOOKUP(C9,Purchased!A:Q,15,0)</f>
        <v>45184</v>
      </c>
      <c r="M9" s="44">
        <f>VLOOKUP(C9,Purchased!A:Q,16,0)</f>
        <v>45180</v>
      </c>
      <c r="N9" s="45">
        <f>VLOOKUP(C9,Purchased!A:Q,17,0)</f>
        <v>55037</v>
      </c>
      <c r="O9" s="45" t="e">
        <f t="shared" ca="1" si="2"/>
        <v>#VALUE!</v>
      </c>
      <c r="P9" s="49">
        <f>IFERROR(VLOOKUP(C9,Purchased!A:E,3,FALSE),"")</f>
        <v>1.3280000000000001</v>
      </c>
      <c r="Q9" s="50">
        <f t="shared" si="3"/>
        <v>2.6560000000000001</v>
      </c>
    </row>
    <row r="10" spans="1:17" s="2" customFormat="1" ht="12.75" customHeight="1">
      <c r="A10" s="4">
        <f t="shared" si="4"/>
        <v>304</v>
      </c>
      <c r="B10" s="2">
        <v>2</v>
      </c>
      <c r="C10" s="114" t="s">
        <v>601</v>
      </c>
      <c r="D10" s="268" t="str">
        <f>VLOOKUP(C10,Purchased!A:B,2,0)</f>
        <v>SMC 1/8NPT to 4mm Fitting</v>
      </c>
      <c r="E10" s="269"/>
      <c r="F10" s="112" t="str">
        <f>VLOOKUP(C10,Purchased!A:Q,9,0)</f>
        <v>SMC</v>
      </c>
      <c r="G10" s="112" t="str">
        <f>VLOOKUP(C10,Purchased!A:Q,10,0)</f>
        <v>AAP</v>
      </c>
      <c r="H10" s="112" t="str">
        <f>VLOOKUP(C10,Purchased!A:Q,12,0)</f>
        <v>7 IN STOCK</v>
      </c>
      <c r="I10" s="113"/>
      <c r="J10" s="44">
        <f>VLOOKUP(C10,Purchased!A:Q,13,0)</f>
        <v>0</v>
      </c>
      <c r="K10" s="44">
        <f>VLOOKUP(C10,Purchased!A:Q,14,0)</f>
        <v>0</v>
      </c>
      <c r="L10" s="44">
        <f>VLOOKUP(C10,Purchased!A:Q,15,0)</f>
        <v>0</v>
      </c>
      <c r="M10" s="44">
        <f>VLOOKUP(C10,Purchased!A:Q,16,0)</f>
        <v>0</v>
      </c>
      <c r="N10" s="45">
        <f>VLOOKUP(C10,Purchased!A:Q,17,0)</f>
        <v>0</v>
      </c>
      <c r="O10" s="45" t="e">
        <f t="shared" ca="1" si="2"/>
        <v>#VALUE!</v>
      </c>
      <c r="P10" s="49">
        <f>IFERROR(VLOOKUP(C10,Purchased!A:E,3,FALSE),"")</f>
        <v>0</v>
      </c>
      <c r="Q10" s="50">
        <f t="shared" si="3"/>
        <v>0</v>
      </c>
    </row>
    <row r="11" spans="1:17" s="2" customFormat="1" ht="12.75" customHeight="1">
      <c r="A11" s="4">
        <f t="shared" si="4"/>
        <v>305</v>
      </c>
      <c r="B11" s="2">
        <v>0.5</v>
      </c>
      <c r="C11" s="114" t="s">
        <v>602</v>
      </c>
      <c r="D11" s="268" t="str">
        <f>VLOOKUP(C11,Purchased!A:B,2,0)</f>
        <v>SMC FITTING, EXT MALE ELBOW</v>
      </c>
      <c r="E11" s="269"/>
      <c r="F11" s="112" t="str">
        <f>VLOOKUP(C11,Purchased!A:Q,9,0)</f>
        <v>SMC</v>
      </c>
      <c r="G11" s="112" t="str">
        <f>VLOOKUP(C11,Purchased!A:Q,10,0)</f>
        <v>AAP</v>
      </c>
      <c r="H11" s="112" t="s">
        <v>603</v>
      </c>
      <c r="I11" s="113"/>
      <c r="J11" s="44" t="str">
        <f>VLOOKUP(C11,Purchased!A:Q,13,0)</f>
        <v>N/A</v>
      </c>
      <c r="K11" s="44">
        <f>VLOOKUP(C11,Purchased!A:Q,14,0)</f>
        <v>45162</v>
      </c>
      <c r="L11" s="44">
        <f>VLOOKUP(C11,Purchased!A:Q,15,0)</f>
        <v>45184</v>
      </c>
      <c r="M11" s="44">
        <f>VLOOKUP(C11,Purchased!A:Q,16,0)</f>
        <v>45197</v>
      </c>
      <c r="N11" s="45">
        <f>VLOOKUP(C11,Purchased!A:Q,17,0)</f>
        <v>55073</v>
      </c>
      <c r="O11" s="45" t="e">
        <f t="shared" ref="O11" ca="1" si="5">B11*$L$2</f>
        <v>#VALUE!</v>
      </c>
      <c r="P11" s="49">
        <f>IFERROR(VLOOKUP(C11,Purchased!A:E,3,FALSE),"")</f>
        <v>4.3437000000000001</v>
      </c>
      <c r="Q11" s="50">
        <f t="shared" ref="Q11" si="6">IFERROR(B11*P11,"")</f>
        <v>2.1718500000000001</v>
      </c>
    </row>
    <row r="12" spans="1:17" s="2" customFormat="1" ht="12.75" customHeight="1">
      <c r="A12" s="4">
        <f t="shared" si="4"/>
        <v>306</v>
      </c>
      <c r="B12" s="2">
        <v>2</v>
      </c>
      <c r="C12" s="114" t="s">
        <v>286</v>
      </c>
      <c r="D12" s="268" t="str">
        <f>VLOOKUP(C12,Purchased!A:B,2,0)</f>
        <v>BRX GOTO T-NUT 10 M5</v>
      </c>
      <c r="E12" s="269"/>
      <c r="F12" s="112" t="str">
        <f>VLOOKUP(C12,Purchased!A:Q,9,0)</f>
        <v>BRX</v>
      </c>
      <c r="G12" s="112" t="str">
        <f>VLOOKUP(C12,Purchased!A:Q,10,0)</f>
        <v>AAP</v>
      </c>
      <c r="H12" s="112">
        <f>VLOOKUP(C12,Purchased!A:Q,12,0)</f>
        <v>0</v>
      </c>
      <c r="I12" s="113"/>
      <c r="J12" s="44">
        <f>VLOOKUP(C12,Purchased!A:Q,13,0)</f>
        <v>45104</v>
      </c>
      <c r="K12" s="44">
        <f>VLOOKUP(C12,Purchased!A:Q,14,0)</f>
        <v>45105</v>
      </c>
      <c r="L12" s="44">
        <f>VLOOKUP(C12,Purchased!A:Q,15,0)</f>
        <v>45133</v>
      </c>
      <c r="M12" s="44">
        <f>VLOOKUP(C12,Purchased!A:Q,16,0)</f>
        <v>45133</v>
      </c>
      <c r="N12" s="45" t="str">
        <f>VLOOKUP(C12,Purchased!A:Q,17,0)</f>
        <v>50x54968, 200x55147, 150x55169</v>
      </c>
      <c r="O12" s="45" t="e">
        <f t="shared" ca="1" si="2"/>
        <v>#VALUE!</v>
      </c>
      <c r="P12" s="49">
        <f>IFERROR(VLOOKUP(C12,Purchased!A:E,3,FALSE),"")</f>
        <v>0.64290000000000003</v>
      </c>
      <c r="Q12" s="50">
        <f t="shared" si="3"/>
        <v>1.2858000000000001</v>
      </c>
    </row>
    <row r="13" spans="1:17" s="2" customFormat="1" ht="12.75" customHeight="1">
      <c r="A13" s="25"/>
      <c r="B13" s="26"/>
      <c r="C13" s="26"/>
      <c r="D13" s="272"/>
      <c r="E13" s="273"/>
      <c r="F13" s="26"/>
      <c r="G13" s="26"/>
      <c r="H13" s="274"/>
      <c r="I13" s="275"/>
      <c r="J13" s="27"/>
      <c r="K13" s="27"/>
      <c r="L13" s="27"/>
      <c r="M13" s="28"/>
      <c r="N13" s="29"/>
      <c r="O13" s="29" t="e">
        <f t="shared" ca="1" si="2"/>
        <v>#VALUE!</v>
      </c>
      <c r="P13" s="141"/>
      <c r="Q13" s="142"/>
    </row>
    <row r="14" spans="1:17" s="2" customFormat="1" ht="12.75" customHeight="1">
      <c r="A14" s="4">
        <v>501</v>
      </c>
      <c r="B14" s="2">
        <v>2</v>
      </c>
      <c r="C14" s="110" t="s">
        <v>287</v>
      </c>
      <c r="D14" s="268"/>
      <c r="E14" s="276"/>
      <c r="F14" s="112" t="str">
        <f>VLOOKUP(C14,Bolts!A:L,5,0)</f>
        <v xml:space="preserve">  </v>
      </c>
      <c r="G14" s="112" t="str">
        <f>VLOOKUP(C14,Bolts!A:L,6,0)</f>
        <v>Monroe Fasteners</v>
      </c>
      <c r="H14" s="112" t="str">
        <f>VLOOKUP(C14,Bolts!A:L,7,0)</f>
        <v xml:space="preserve">  </v>
      </c>
      <c r="I14" s="112"/>
      <c r="J14" s="44" t="str">
        <f>VLOOKUP(C14,Bolts!A:L,8,0)</f>
        <v xml:space="preserve"> </v>
      </c>
      <c r="K14" s="44" t="str">
        <f>VLOOKUP(C14,Bolts!A:L,9,0)</f>
        <v xml:space="preserve"> </v>
      </c>
      <c r="L14" s="44" t="str">
        <f>VLOOKUP(C14,Bolts!A:L,10,0)</f>
        <v xml:space="preserve"> </v>
      </c>
      <c r="M14" s="44" t="str">
        <f>VLOOKUP(C14,Bolts!A:L,11,0)</f>
        <v xml:space="preserve"> </v>
      </c>
      <c r="N14" s="45" t="str">
        <f>VLOOKUP(C14,Bolts!A:L,12,0)</f>
        <v xml:space="preserve"> </v>
      </c>
      <c r="O14" s="45" t="e">
        <f t="shared" ca="1" si="2"/>
        <v>#VALUE!</v>
      </c>
      <c r="P14" s="49" t="str">
        <f>IFERROR(VLOOKUP(C14,Bolts!A:B,2,FALSE),"")</f>
        <v xml:space="preserve"> </v>
      </c>
      <c r="Q14" s="50" t="str">
        <f t="shared" ref="Q14:Q15" si="7">IFERROR(B14*P14,"")</f>
        <v/>
      </c>
    </row>
    <row r="15" spans="1:17" s="2" customFormat="1" ht="12.75" customHeight="1" thickBot="1">
      <c r="A15" s="4">
        <f>A14+1</f>
        <v>502</v>
      </c>
      <c r="B15" s="2">
        <v>2</v>
      </c>
      <c r="C15" s="110" t="s">
        <v>312</v>
      </c>
      <c r="D15" s="268"/>
      <c r="E15" s="276"/>
      <c r="F15" s="112" t="str">
        <f>VLOOKUP(C15,Bolts!A:L,5,0)</f>
        <v xml:space="preserve">  </v>
      </c>
      <c r="G15" s="112" t="str">
        <f>VLOOKUP(C15,Bolts!A:L,6,0)</f>
        <v>Monroe Fasteners</v>
      </c>
      <c r="H15" s="112" t="str">
        <f>VLOOKUP(C15,Bolts!A:L,7,0)</f>
        <v xml:space="preserve">  </v>
      </c>
      <c r="I15" s="112"/>
      <c r="J15" s="44" t="str">
        <f>VLOOKUP(C15,Bolts!A:L,8,0)</f>
        <v xml:space="preserve"> </v>
      </c>
      <c r="K15" s="44" t="str">
        <f>VLOOKUP(C15,Bolts!A:L,9,0)</f>
        <v xml:space="preserve"> </v>
      </c>
      <c r="L15" s="44" t="str">
        <f>VLOOKUP(C15,Bolts!A:L,10,0)</f>
        <v xml:space="preserve"> </v>
      </c>
      <c r="M15" s="44" t="str">
        <f>VLOOKUP(C15,Bolts!A:L,11,0)</f>
        <v xml:space="preserve"> </v>
      </c>
      <c r="N15" s="45" t="str">
        <f>VLOOKUP(C15,Bolts!A:L,12,0)</f>
        <v xml:space="preserve"> </v>
      </c>
      <c r="O15" s="45" t="e">
        <f t="shared" ca="1" si="2"/>
        <v>#VALUE!</v>
      </c>
      <c r="P15" s="49" t="str">
        <f>IFERROR(VLOOKUP(C15,Bolts!A:B,2,FALSE),"")</f>
        <v xml:space="preserve"> </v>
      </c>
      <c r="Q15" s="50" t="str">
        <f t="shared" si="7"/>
        <v/>
      </c>
    </row>
    <row r="16" spans="1:17" s="2" customFormat="1" ht="12.75" customHeight="1" thickBot="1">
      <c r="A16" s="34"/>
      <c r="B16" s="35"/>
      <c r="C16" s="35"/>
      <c r="D16" s="256"/>
      <c r="E16" s="257"/>
      <c r="F16" s="35"/>
      <c r="G16" s="35"/>
      <c r="H16" s="294"/>
      <c r="I16" s="295"/>
      <c r="J16" s="36"/>
      <c r="K16" s="36"/>
      <c r="L16" s="36"/>
      <c r="M16" s="37"/>
      <c r="N16" s="38"/>
      <c r="O16" s="38"/>
      <c r="P16" s="89" t="s">
        <v>43</v>
      </c>
      <c r="Q16" s="94">
        <f>SUM(Q5:Q14)</f>
        <v>43.283650000000002</v>
      </c>
    </row>
    <row r="17" spans="4:17" s="2" customFormat="1" ht="12" customHeight="1">
      <c r="D17" s="22"/>
      <c r="E17" s="22"/>
      <c r="J17" s="8"/>
      <c r="K17" s="8"/>
      <c r="L17" s="8"/>
      <c r="M17" s="8"/>
      <c r="N17" s="5"/>
      <c r="O17" s="5"/>
      <c r="P17" s="88"/>
      <c r="Q17" s="95"/>
    </row>
    <row r="18" spans="4:17" s="2" customFormat="1" ht="12" customHeight="1">
      <c r="D18" s="22"/>
      <c r="E18" s="22"/>
      <c r="J18" s="5"/>
      <c r="K18" s="5"/>
      <c r="L18" s="5"/>
      <c r="M18" s="5"/>
      <c r="N18" s="5"/>
      <c r="O18" s="5"/>
      <c r="P18" s="88"/>
      <c r="Q18" s="95"/>
    </row>
    <row r="19" spans="4:17" s="2" customFormat="1" ht="12" customHeight="1">
      <c r="D19" s="22"/>
      <c r="E19" s="22"/>
      <c r="J19" s="5"/>
      <c r="K19" s="5"/>
      <c r="L19" s="5"/>
      <c r="M19" s="5"/>
      <c r="N19" s="5"/>
      <c r="O19" s="5"/>
      <c r="P19" s="88"/>
      <c r="Q19" s="95"/>
    </row>
    <row r="20" spans="4:17" s="2" customFormat="1" ht="12" customHeight="1">
      <c r="D20" s="22"/>
      <c r="E20" s="22"/>
      <c r="J20" s="5"/>
      <c r="K20" s="5"/>
      <c r="L20" s="5"/>
      <c r="M20" s="5"/>
      <c r="N20" s="5"/>
      <c r="O20" s="5"/>
      <c r="P20" s="88"/>
      <c r="Q20" s="95"/>
    </row>
    <row r="21" spans="4:17" s="2" customFormat="1" ht="12" customHeight="1">
      <c r="D21" s="22"/>
      <c r="E21" s="22"/>
      <c r="J21" s="5"/>
      <c r="K21" s="5"/>
      <c r="L21" s="5"/>
      <c r="M21" s="5"/>
      <c r="N21" s="5"/>
      <c r="O21" s="5"/>
      <c r="P21" s="88"/>
      <c r="Q21" s="95"/>
    </row>
    <row r="22" spans="4:17" s="2" customFormat="1" ht="12" customHeight="1">
      <c r="D22" s="22"/>
      <c r="E22" s="22"/>
      <c r="J22" s="5"/>
      <c r="K22" s="5"/>
      <c r="L22" s="5"/>
      <c r="M22" s="5"/>
      <c r="N22" s="5"/>
      <c r="O22" s="5"/>
      <c r="P22" s="88"/>
      <c r="Q22" s="95"/>
    </row>
    <row r="23" spans="4:17" s="2" customFormat="1" ht="12" customHeight="1">
      <c r="D23" s="22"/>
      <c r="E23" s="22"/>
      <c r="J23" s="5"/>
      <c r="K23" s="5"/>
      <c r="L23" s="5"/>
      <c r="M23" s="5"/>
      <c r="N23" s="5"/>
      <c r="O23" s="5"/>
      <c r="P23" s="88"/>
      <c r="Q23" s="95"/>
    </row>
    <row r="24" spans="4:17" s="2" customFormat="1" ht="12" customHeight="1">
      <c r="D24" s="22"/>
      <c r="E24" s="22"/>
      <c r="J24" s="5"/>
      <c r="K24" s="5"/>
      <c r="L24" s="5"/>
      <c r="M24" s="5"/>
      <c r="N24" s="5"/>
      <c r="O24" s="5"/>
      <c r="P24" s="88"/>
      <c r="Q24" s="95"/>
    </row>
    <row r="25" spans="4:17" s="2" customFormat="1" ht="12" customHeight="1">
      <c r="D25" s="22"/>
      <c r="E25" s="22"/>
      <c r="J25" s="5"/>
      <c r="K25" s="5"/>
      <c r="L25" s="5"/>
      <c r="M25" s="5"/>
      <c r="N25" s="5"/>
      <c r="O25" s="5"/>
      <c r="P25" s="88"/>
      <c r="Q25" s="95"/>
    </row>
    <row r="26" spans="4:17" s="2" customFormat="1" ht="12" customHeight="1">
      <c r="D26" s="22"/>
      <c r="E26" s="22"/>
      <c r="J26" s="5"/>
      <c r="K26" s="5"/>
      <c r="L26" s="5"/>
      <c r="M26" s="5"/>
      <c r="N26" s="5"/>
      <c r="O26" s="5"/>
      <c r="P26" s="88"/>
      <c r="Q26" s="95"/>
    </row>
    <row r="27" spans="4:17" s="2" customFormat="1" ht="12" customHeight="1">
      <c r="D27" s="22"/>
      <c r="E27" s="22"/>
      <c r="J27" s="5"/>
      <c r="K27" s="5"/>
      <c r="L27" s="5"/>
      <c r="M27" s="5"/>
      <c r="N27" s="5"/>
      <c r="O27" s="5"/>
      <c r="P27" s="88"/>
      <c r="Q27" s="95"/>
    </row>
    <row r="28" spans="4:17" s="2" customFormat="1" ht="12" customHeight="1">
      <c r="D28" s="22"/>
      <c r="E28" s="22"/>
      <c r="J28" s="5"/>
      <c r="K28" s="5"/>
      <c r="L28" s="5"/>
      <c r="M28" s="5"/>
      <c r="N28" s="5"/>
      <c r="O28" s="5"/>
      <c r="P28" s="88"/>
      <c r="Q28" s="95"/>
    </row>
    <row r="29" spans="4:17" s="2" customFormat="1" ht="12" customHeight="1">
      <c r="D29" s="22"/>
      <c r="E29" s="22"/>
      <c r="J29" s="5"/>
      <c r="K29" s="5"/>
      <c r="L29" s="5"/>
      <c r="M29" s="5"/>
      <c r="N29" s="5"/>
      <c r="O29" s="5"/>
      <c r="P29" s="88"/>
      <c r="Q29" s="95"/>
    </row>
    <row r="30" spans="4:17" s="2" customFormat="1" ht="12" customHeight="1">
      <c r="D30" s="22"/>
      <c r="E30" s="22"/>
      <c r="J30" s="5"/>
      <c r="K30" s="5"/>
      <c r="L30" s="5"/>
      <c r="M30" s="5"/>
      <c r="N30" s="5"/>
      <c r="O30" s="5"/>
      <c r="P30" s="88"/>
      <c r="Q30" s="95"/>
    </row>
    <row r="31" spans="4:17" s="2" customFormat="1" ht="12" customHeight="1">
      <c r="D31" s="22"/>
      <c r="E31" s="22"/>
      <c r="J31" s="5"/>
      <c r="K31" s="5"/>
      <c r="L31" s="5"/>
      <c r="M31" s="5"/>
      <c r="N31" s="5"/>
      <c r="O31" s="5"/>
      <c r="P31" s="88"/>
      <c r="Q31" s="95"/>
    </row>
    <row r="32" spans="4:17" s="2" customFormat="1" ht="12" customHeight="1">
      <c r="D32" s="22"/>
      <c r="E32" s="22"/>
      <c r="J32" s="5"/>
      <c r="K32" s="5"/>
      <c r="L32" s="5"/>
      <c r="M32" s="5"/>
      <c r="N32" s="5"/>
      <c r="O32" s="5"/>
      <c r="P32" s="88"/>
      <c r="Q32" s="95"/>
    </row>
    <row r="33" spans="4:17" s="2" customFormat="1" ht="12" customHeight="1">
      <c r="D33" s="22"/>
      <c r="E33" s="22"/>
      <c r="J33" s="5"/>
      <c r="K33" s="5"/>
      <c r="L33" s="5"/>
      <c r="M33" s="5"/>
      <c r="N33" s="5"/>
      <c r="O33" s="5"/>
      <c r="P33" s="88"/>
      <c r="Q33" s="95"/>
    </row>
    <row r="34" spans="4:17" s="2" customFormat="1" ht="12" customHeight="1">
      <c r="D34" s="22"/>
      <c r="E34" s="22"/>
      <c r="J34" s="5"/>
      <c r="K34" s="5"/>
      <c r="L34" s="5"/>
      <c r="M34" s="5"/>
      <c r="N34" s="5"/>
      <c r="O34" s="5"/>
      <c r="P34" s="88"/>
      <c r="Q34" s="95"/>
    </row>
    <row r="35" spans="4:17" s="2" customFormat="1" ht="12" customHeight="1">
      <c r="D35" s="22"/>
      <c r="E35" s="22"/>
      <c r="J35" s="5"/>
      <c r="K35" s="5"/>
      <c r="L35" s="5"/>
      <c r="M35" s="5"/>
      <c r="N35" s="5"/>
      <c r="O35" s="5"/>
      <c r="P35" s="88"/>
      <c r="Q35" s="95"/>
    </row>
    <row r="36" spans="4:17" s="2" customFormat="1" ht="12" customHeight="1">
      <c r="D36" s="22"/>
      <c r="E36" s="22"/>
      <c r="J36" s="5"/>
      <c r="K36" s="5"/>
      <c r="L36" s="5"/>
      <c r="M36" s="5"/>
      <c r="N36" s="5"/>
      <c r="O36" s="5"/>
      <c r="P36" s="88"/>
      <c r="Q36" s="95"/>
    </row>
    <row r="37" spans="4:17" s="2" customFormat="1" ht="12" customHeight="1">
      <c r="D37" s="22"/>
      <c r="E37" s="22"/>
      <c r="J37" s="5"/>
      <c r="K37" s="5"/>
      <c r="L37" s="5"/>
      <c r="M37" s="5"/>
      <c r="N37" s="5"/>
      <c r="O37" s="5"/>
      <c r="P37" s="88"/>
      <c r="Q37" s="95"/>
    </row>
    <row r="38" spans="4:17" s="2" customFormat="1" ht="12" customHeight="1">
      <c r="D38" s="22"/>
      <c r="E38" s="22"/>
      <c r="J38" s="5"/>
      <c r="K38" s="5"/>
      <c r="L38" s="5"/>
      <c r="M38" s="5"/>
      <c r="N38" s="5"/>
      <c r="O38" s="5"/>
      <c r="P38" s="88"/>
      <c r="Q38" s="95"/>
    </row>
    <row r="39" spans="4:17" s="2" customFormat="1" ht="12" customHeight="1">
      <c r="D39" s="22"/>
      <c r="E39" s="22"/>
      <c r="J39" s="5"/>
      <c r="K39" s="5"/>
      <c r="L39" s="5"/>
      <c r="M39" s="5"/>
      <c r="N39" s="5"/>
      <c r="O39" s="5"/>
      <c r="P39" s="88"/>
      <c r="Q39" s="95"/>
    </row>
    <row r="40" spans="4:17" s="2" customFormat="1" ht="12" customHeight="1">
      <c r="D40" s="22"/>
      <c r="E40" s="22"/>
      <c r="J40" s="5"/>
      <c r="K40" s="5"/>
      <c r="L40" s="5"/>
      <c r="M40" s="5"/>
      <c r="N40" s="5"/>
      <c r="O40" s="5"/>
      <c r="P40" s="88"/>
      <c r="Q40" s="95"/>
    </row>
    <row r="41" spans="4:17" s="2" customFormat="1" ht="12" customHeight="1">
      <c r="D41" s="22"/>
      <c r="E41" s="22"/>
      <c r="J41" s="5"/>
      <c r="K41" s="5"/>
      <c r="L41" s="5"/>
      <c r="M41" s="5"/>
      <c r="N41" s="5"/>
      <c r="O41" s="5"/>
      <c r="P41" s="88"/>
      <c r="Q41" s="95"/>
    </row>
    <row r="42" spans="4:17" s="2" customFormat="1" ht="12" customHeight="1">
      <c r="D42" s="22"/>
      <c r="E42" s="22"/>
      <c r="J42" s="5"/>
      <c r="K42" s="5"/>
      <c r="L42" s="5"/>
      <c r="M42" s="5"/>
      <c r="N42" s="5"/>
      <c r="O42" s="5"/>
      <c r="P42" s="88"/>
      <c r="Q42" s="95"/>
    </row>
    <row r="43" spans="4:17" s="2" customFormat="1" ht="12" customHeight="1">
      <c r="D43" s="22"/>
      <c r="E43" s="22"/>
      <c r="J43" s="5"/>
      <c r="K43" s="5"/>
      <c r="L43" s="5"/>
      <c r="M43" s="5"/>
      <c r="N43" s="5"/>
      <c r="O43" s="5"/>
      <c r="P43" s="88"/>
      <c r="Q43" s="95"/>
    </row>
    <row r="44" spans="4:17" s="2" customFormat="1" ht="12" customHeight="1">
      <c r="D44" s="22"/>
      <c r="E44" s="22"/>
      <c r="J44" s="5"/>
      <c r="K44" s="5"/>
      <c r="L44" s="5"/>
      <c r="M44" s="5"/>
      <c r="N44" s="5"/>
      <c r="O44" s="5"/>
      <c r="P44" s="88"/>
      <c r="Q44" s="95"/>
    </row>
    <row r="45" spans="4:17" s="2" customFormat="1" ht="12" customHeight="1">
      <c r="D45" s="22"/>
      <c r="E45" s="22"/>
      <c r="J45" s="5"/>
      <c r="K45" s="5"/>
      <c r="L45" s="5"/>
      <c r="M45" s="5"/>
      <c r="N45" s="5"/>
      <c r="O45" s="5"/>
      <c r="P45" s="88"/>
      <c r="Q45" s="95"/>
    </row>
    <row r="46" spans="4:17" s="2" customFormat="1" ht="12" customHeight="1">
      <c r="D46" s="22"/>
      <c r="E46" s="22"/>
      <c r="J46" s="5"/>
      <c r="K46" s="5"/>
      <c r="L46" s="5"/>
      <c r="M46" s="5"/>
      <c r="N46" s="5"/>
      <c r="O46" s="5"/>
      <c r="P46" s="88"/>
      <c r="Q46" s="95"/>
    </row>
    <row r="47" spans="4:17" s="2" customFormat="1" ht="12" customHeight="1">
      <c r="D47" s="22"/>
      <c r="E47" s="22"/>
      <c r="J47" s="5"/>
      <c r="K47" s="5"/>
      <c r="L47" s="5"/>
      <c r="M47" s="5"/>
      <c r="N47" s="5"/>
      <c r="O47" s="5"/>
      <c r="P47" s="88"/>
      <c r="Q47" s="95"/>
    </row>
    <row r="48" spans="4:17" s="2" customFormat="1" ht="12" customHeight="1">
      <c r="D48" s="22"/>
      <c r="E48" s="22"/>
      <c r="J48" s="5"/>
      <c r="K48" s="5"/>
      <c r="L48" s="5"/>
      <c r="M48" s="5"/>
      <c r="N48" s="5"/>
      <c r="O48" s="5"/>
      <c r="P48" s="88"/>
      <c r="Q48" s="95"/>
    </row>
    <row r="49" spans="1:17" s="2" customFormat="1" ht="12" customHeight="1">
      <c r="D49" s="22"/>
      <c r="E49" s="22"/>
      <c r="J49" s="5"/>
      <c r="K49" s="5"/>
      <c r="L49" s="5"/>
      <c r="M49" s="5"/>
      <c r="N49" s="5"/>
      <c r="O49" s="5"/>
      <c r="P49" s="88"/>
      <c r="Q49" s="95"/>
    </row>
    <row r="50" spans="1:17" s="2" customFormat="1" ht="12" customHeight="1">
      <c r="D50" s="22"/>
      <c r="E50" s="22"/>
      <c r="J50" s="5"/>
      <c r="K50" s="5"/>
      <c r="L50" s="5"/>
      <c r="M50" s="5"/>
      <c r="N50" s="5"/>
      <c r="O50" s="5"/>
      <c r="P50" s="88"/>
      <c r="Q50" s="95"/>
    </row>
    <row r="51" spans="1:17" s="2" customFormat="1" ht="12" customHeight="1">
      <c r="D51" s="22"/>
      <c r="E51" s="22"/>
      <c r="J51" s="5"/>
      <c r="K51" s="5"/>
      <c r="L51" s="5"/>
      <c r="M51" s="5"/>
      <c r="N51" s="5"/>
      <c r="O51" s="5"/>
      <c r="P51" s="88"/>
      <c r="Q51" s="95"/>
    </row>
    <row r="52" spans="1:17" s="2" customFormat="1" ht="12" customHeight="1">
      <c r="D52" s="22"/>
      <c r="E52" s="22"/>
      <c r="J52" s="5"/>
      <c r="K52" s="5"/>
      <c r="L52" s="5"/>
      <c r="M52" s="5"/>
      <c r="N52" s="5"/>
      <c r="O52" s="5"/>
      <c r="P52" s="88"/>
      <c r="Q52" s="95"/>
    </row>
    <row r="53" spans="1:17" s="2" customFormat="1" ht="12" customHeight="1">
      <c r="D53" s="22"/>
      <c r="E53" s="22"/>
      <c r="J53" s="5"/>
      <c r="K53" s="5"/>
      <c r="L53" s="5"/>
      <c r="M53" s="5"/>
      <c r="N53" s="5"/>
      <c r="O53" s="5"/>
      <c r="P53" s="88"/>
      <c r="Q53" s="95"/>
    </row>
    <row r="54" spans="1:17" s="2" customFormat="1" ht="12" customHeight="1">
      <c r="D54" s="22"/>
      <c r="E54" s="22"/>
      <c r="J54" s="5"/>
      <c r="K54" s="5"/>
      <c r="L54" s="5"/>
      <c r="M54" s="5"/>
      <c r="N54" s="5"/>
      <c r="O54" s="5"/>
      <c r="P54" s="88"/>
      <c r="Q54" s="95"/>
    </row>
    <row r="55" spans="1:17" s="2" customFormat="1" ht="12" customHeight="1">
      <c r="D55" s="22"/>
      <c r="E55" s="22"/>
      <c r="J55" s="5"/>
      <c r="K55" s="5"/>
      <c r="L55" s="5"/>
      <c r="M55" s="5"/>
      <c r="N55" s="5"/>
      <c r="O55" s="5"/>
      <c r="P55" s="88"/>
      <c r="Q55" s="96"/>
    </row>
    <row r="56" spans="1:17" s="2" customFormat="1" ht="12" customHeight="1">
      <c r="D56" s="22"/>
      <c r="E56" s="22"/>
      <c r="J56" s="5"/>
      <c r="K56" s="5"/>
      <c r="L56" s="5"/>
      <c r="M56" s="5"/>
      <c r="N56" s="5"/>
      <c r="O56" s="5"/>
      <c r="P56" s="88"/>
      <c r="Q56" s="96"/>
    </row>
    <row r="57" spans="1:17" s="2" customFormat="1" ht="12" customHeight="1">
      <c r="D57" s="22"/>
      <c r="E57" s="22"/>
      <c r="J57" s="5"/>
      <c r="K57" s="5"/>
      <c r="L57" s="5"/>
      <c r="M57" s="5"/>
      <c r="N57" s="5"/>
      <c r="O57" s="5"/>
      <c r="P57" s="88"/>
      <c r="Q57" s="96"/>
    </row>
    <row r="58" spans="1:17" s="2" customFormat="1" ht="12" customHeight="1">
      <c r="D58" s="22"/>
      <c r="E58" s="22"/>
      <c r="J58" s="5"/>
      <c r="K58" s="5"/>
      <c r="L58" s="5"/>
      <c r="M58" s="5"/>
      <c r="N58" s="5"/>
      <c r="O58" s="5"/>
      <c r="P58" s="88"/>
      <c r="Q58" s="96"/>
    </row>
    <row r="59" spans="1:17" s="2" customFormat="1" ht="12" customHeight="1">
      <c r="A59"/>
      <c r="B59"/>
      <c r="C59"/>
      <c r="D59" s="23"/>
      <c r="E59" s="23"/>
      <c r="F59"/>
      <c r="G59"/>
      <c r="H59"/>
      <c r="I59"/>
      <c r="J59" s="19"/>
      <c r="K59" s="19"/>
      <c r="L59" s="19"/>
      <c r="M59" s="19"/>
      <c r="N59" s="19"/>
      <c r="O59" s="19"/>
      <c r="P59" s="90"/>
      <c r="Q59" s="96"/>
    </row>
    <row r="60" spans="1:17" s="2" customFormat="1" ht="12" customHeight="1">
      <c r="A60"/>
      <c r="B60"/>
      <c r="C60"/>
      <c r="D60" s="23"/>
      <c r="E60" s="23"/>
      <c r="F60"/>
      <c r="G60"/>
      <c r="H60"/>
      <c r="I60"/>
      <c r="J60" s="19"/>
      <c r="K60" s="19"/>
      <c r="L60" s="19"/>
      <c r="M60" s="19"/>
      <c r="N60" s="19"/>
      <c r="O60" s="19"/>
      <c r="P60" s="90"/>
      <c r="Q60" s="96"/>
    </row>
    <row r="61" spans="1:17" s="2" customFormat="1" ht="12" customHeight="1">
      <c r="A61"/>
      <c r="B61"/>
      <c r="C61"/>
      <c r="D61" s="23"/>
      <c r="E61" s="23"/>
      <c r="F61"/>
      <c r="G61"/>
      <c r="H61"/>
      <c r="I61"/>
      <c r="J61" s="19"/>
      <c r="K61" s="19"/>
      <c r="L61" s="19"/>
      <c r="M61" s="19"/>
      <c r="N61" s="19"/>
      <c r="O61" s="19"/>
      <c r="P61" s="90"/>
      <c r="Q61" s="96"/>
    </row>
    <row r="62" spans="1:17" s="2" customFormat="1" ht="12" customHeight="1">
      <c r="A62"/>
      <c r="B62"/>
      <c r="C62"/>
      <c r="D62" s="23"/>
      <c r="E62" s="23"/>
      <c r="F62"/>
      <c r="G62"/>
      <c r="H62"/>
      <c r="I62"/>
      <c r="J62" s="19"/>
      <c r="K62" s="19"/>
      <c r="L62" s="19"/>
      <c r="M62" s="19"/>
      <c r="N62" s="19"/>
      <c r="O62" s="19"/>
      <c r="P62" s="90"/>
      <c r="Q62" s="96"/>
    </row>
    <row r="63" spans="1:17" s="2" customFormat="1" ht="12" customHeight="1">
      <c r="A63"/>
      <c r="B63"/>
      <c r="C63"/>
      <c r="D63" s="23"/>
      <c r="E63" s="23"/>
      <c r="F63"/>
      <c r="G63"/>
      <c r="H63"/>
      <c r="I63"/>
      <c r="J63" s="19"/>
      <c r="K63" s="19"/>
      <c r="L63" s="19"/>
      <c r="M63" s="19"/>
      <c r="N63" s="19"/>
      <c r="O63" s="19"/>
      <c r="P63" s="90"/>
      <c r="Q63" s="96"/>
    </row>
    <row r="64" spans="1:17">
      <c r="Q64" s="96"/>
    </row>
    <row r="65" spans="17:17">
      <c r="Q65" s="96"/>
    </row>
    <row r="66" spans="17:17">
      <c r="Q66" s="96"/>
    </row>
    <row r="67" spans="17:17">
      <c r="Q67" s="96"/>
    </row>
    <row r="68" spans="17:17">
      <c r="Q68" s="96"/>
    </row>
    <row r="69" spans="17:17">
      <c r="Q69" s="96"/>
    </row>
    <row r="70" spans="17:17">
      <c r="Q70" s="96"/>
    </row>
    <row r="71" spans="17:17">
      <c r="Q71" s="96"/>
    </row>
    <row r="72" spans="17:17">
      <c r="Q72" s="96"/>
    </row>
    <row r="73" spans="17:17">
      <c r="Q73" s="96"/>
    </row>
    <row r="74" spans="17:17">
      <c r="Q74" s="96"/>
    </row>
    <row r="75" spans="17:17">
      <c r="Q75" s="96"/>
    </row>
    <row r="76" spans="17:17">
      <c r="Q76" s="96"/>
    </row>
    <row r="77" spans="17:17">
      <c r="Q77" s="96"/>
    </row>
    <row r="78" spans="17:17">
      <c r="Q78" s="96"/>
    </row>
    <row r="79" spans="17:17">
      <c r="Q79" s="96"/>
    </row>
    <row r="80" spans="17:17">
      <c r="Q80" s="96"/>
    </row>
    <row r="81" spans="17:17">
      <c r="Q81" s="96"/>
    </row>
    <row r="82" spans="17:17">
      <c r="Q82" s="96"/>
    </row>
    <row r="83" spans="17:17">
      <c r="Q83" s="96"/>
    </row>
    <row r="120" ht="12" customHeight="1"/>
    <row r="121" ht="12" customHeight="1"/>
    <row r="122" ht="12" customHeight="1"/>
    <row r="123" ht="12" customHeight="1"/>
    <row r="124" ht="12" customHeight="1"/>
    <row r="125" ht="12" customHeight="1"/>
    <row r="126" ht="12" customHeight="1"/>
    <row r="127" ht="12" customHeight="1"/>
    <row r="128" ht="12" customHeight="1"/>
    <row r="129" ht="12" customHeight="1"/>
    <row r="130" ht="12" customHeight="1"/>
    <row r="131" ht="12" customHeight="1"/>
    <row r="132" ht="12" customHeight="1"/>
    <row r="133" ht="12" customHeight="1"/>
    <row r="134" ht="12" customHeight="1"/>
    <row r="135" ht="12" customHeight="1"/>
    <row r="136" ht="12" customHeight="1"/>
    <row r="137" ht="12" customHeight="1"/>
    <row r="138" ht="12" customHeight="1"/>
    <row r="139" ht="12" customHeight="1"/>
    <row r="140" ht="12" customHeight="1"/>
    <row r="141" ht="12" customHeight="1"/>
    <row r="142" ht="12" customHeight="1"/>
    <row r="143" ht="12" customHeight="1"/>
    <row r="144" ht="12" customHeight="1"/>
    <row r="145" ht="12" customHeight="1"/>
    <row r="146" ht="12" customHeight="1"/>
    <row r="147" ht="12" customHeight="1"/>
    <row r="148" ht="12" customHeight="1"/>
    <row r="149" ht="12" customHeight="1"/>
    <row r="150" ht="12" customHeight="1"/>
    <row r="151" ht="12" customHeight="1"/>
    <row r="152" ht="12" customHeight="1"/>
    <row r="153" ht="12" customHeight="1"/>
    <row r="154" ht="12" customHeight="1"/>
    <row r="155" ht="12" customHeight="1"/>
    <row r="156" ht="12" customHeight="1"/>
    <row r="157" ht="12" customHeight="1"/>
    <row r="158" ht="12" customHeight="1"/>
    <row r="159" ht="12" customHeight="1"/>
    <row r="160" ht="12" customHeight="1"/>
    <row r="161" ht="12" customHeight="1"/>
    <row r="162" ht="12" customHeight="1"/>
    <row r="163" ht="12" customHeight="1"/>
    <row r="164" ht="12" customHeight="1"/>
    <row r="165" ht="12" customHeight="1"/>
    <row r="166" ht="12" customHeight="1"/>
    <row r="167" ht="12" customHeight="1"/>
    <row r="168" ht="12" customHeight="1"/>
    <row r="169" ht="12" customHeight="1"/>
  </sheetData>
  <mergeCells count="18">
    <mergeCell ref="D1:E1"/>
    <mergeCell ref="D4:E4"/>
    <mergeCell ref="H4:I4"/>
    <mergeCell ref="D5:E5"/>
    <mergeCell ref="D6:E6"/>
    <mergeCell ref="H6:I6"/>
    <mergeCell ref="D7:E7"/>
    <mergeCell ref="D13:E13"/>
    <mergeCell ref="H13:I13"/>
    <mergeCell ref="D14:E14"/>
    <mergeCell ref="D16:E16"/>
    <mergeCell ref="H16:I16"/>
    <mergeCell ref="D8:E8"/>
    <mergeCell ref="D9:E9"/>
    <mergeCell ref="D10:E10"/>
    <mergeCell ref="D12:E12"/>
    <mergeCell ref="D15:E15"/>
    <mergeCell ref="D11:E11"/>
  </mergeCells>
  <conditionalFormatting sqref="M5 M14:M15 M7:M12">
    <cfRule type="cellIs" dxfId="488" priority="1" stopIfTrue="1" operator="lessThanOrEqual">
      <formula>$L5</formula>
    </cfRule>
    <cfRule type="cellIs" dxfId="487" priority="2" operator="greaterThan">
      <formula>L5</formula>
    </cfRule>
  </conditionalFormatting>
  <pageMargins left="0.7" right="0.7" top="0.75" bottom="0.75" header="0.3" footer="0.3"/>
  <pageSetup paperSize="3" fitToHeight="0" orientation="landscape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6620B4C9-6DC4-4CFC-9705-DE8B4C7AE5C6}">
          <x14:formula1>
            <xm:f>Bolts!$A:$A</xm:f>
          </x14:formula1>
          <xm:sqref>C14:C15</xm:sqref>
        </x14:dataValidation>
        <x14:dataValidation type="list" allowBlank="1" showInputMessage="1" showErrorMessage="1" xr:uid="{3E34FFCA-1B56-4A6D-93E8-923A9EE8AD64}">
          <x14:formula1>
            <xm:f>Purchased!$A:$A</xm:f>
          </x14:formula1>
          <xm:sqref>C7:C12</xm:sqref>
        </x14:dataValidation>
        <x14:dataValidation type="list" allowBlank="1" showInputMessage="1" showErrorMessage="1" xr:uid="{C2DAC06D-C965-4C08-B1FA-6889D03F8248}">
          <x14:formula1>
            <xm:f>Machined!$C:$C</xm:f>
          </x14:formula1>
          <xm:sqref>C5</xm:sqref>
        </x14:dataValidation>
      </x14:dataValidation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8C385B-A71E-49AF-B9FD-43FC7FF9EAA0}">
  <sheetPr codeName="Sheet45">
    <tabColor theme="3" tint="0.79998168889431442"/>
    <pageSetUpPr fitToPage="1"/>
  </sheetPr>
  <dimension ref="A1:Q170"/>
  <sheetViews>
    <sheetView zoomScaleNormal="100" workbookViewId="0">
      <selection activeCell="C43" sqref="C43"/>
    </sheetView>
  </sheetViews>
  <sheetFormatPr defaultColWidth="9.140625" defaultRowHeight="15"/>
  <cols>
    <col min="1" max="1" width="5.7109375" customWidth="1"/>
    <col min="2" max="2" width="5.42578125" bestFit="1" customWidth="1"/>
    <col min="3" max="3" width="30.7109375" customWidth="1"/>
    <col min="4" max="5" width="20.7109375" style="23" customWidth="1"/>
    <col min="6" max="6" width="16.85546875" bestFit="1" customWidth="1"/>
    <col min="7" max="7" width="9.7109375" customWidth="1"/>
    <col min="8" max="8" width="8.7109375" customWidth="1"/>
    <col min="9" max="9" width="20.7109375" customWidth="1"/>
    <col min="10" max="13" width="11.7109375" style="19" customWidth="1"/>
    <col min="14" max="14" width="11.85546875" style="19" bestFit="1" customWidth="1"/>
    <col min="15" max="15" width="7.7109375" style="19" customWidth="1"/>
    <col min="16" max="16" width="10.7109375" style="90" customWidth="1"/>
    <col min="17" max="17" width="10.7109375" style="97" customWidth="1"/>
  </cols>
  <sheetData>
    <row r="1" spans="1:17" s="55" customFormat="1" ht="12" customHeight="1">
      <c r="A1" s="68" t="s">
        <v>0</v>
      </c>
      <c r="B1" s="69"/>
      <c r="C1" s="69"/>
      <c r="D1" s="262" t="s">
        <v>1</v>
      </c>
      <c r="E1" s="263"/>
      <c r="F1" s="70"/>
      <c r="G1" s="69"/>
      <c r="H1" s="70"/>
      <c r="I1" s="71"/>
      <c r="J1" s="72"/>
      <c r="K1" s="72"/>
      <c r="L1" s="72"/>
      <c r="M1" s="72"/>
      <c r="N1" s="72"/>
      <c r="O1" s="72"/>
      <c r="P1" s="85"/>
      <c r="Q1" s="91"/>
    </row>
    <row r="2" spans="1:17" s="55" customFormat="1" ht="12" customHeight="1">
      <c r="A2" s="74" t="s">
        <v>48</v>
      </c>
      <c r="B2" s="58"/>
      <c r="C2" s="57" t="e">
        <f ca="1">VLOOKUP(E3,Assemblies!B:F,4,0)</f>
        <v>#VALUE!</v>
      </c>
      <c r="D2" s="75" t="s">
        <v>3</v>
      </c>
      <c r="E2" s="76" t="e">
        <f ca="1">'GF12'!E2</f>
        <v>#VALUE!</v>
      </c>
      <c r="F2" s="77" t="s">
        <v>4</v>
      </c>
      <c r="G2" s="58" t="str">
        <f>'GF12'!G2</f>
        <v>GH</v>
      </c>
      <c r="H2" s="77" t="s">
        <v>6</v>
      </c>
      <c r="I2" s="59">
        <f>'GF12'!I2</f>
        <v>44775</v>
      </c>
      <c r="J2" s="39"/>
      <c r="K2" s="40" t="s">
        <v>49</v>
      </c>
      <c r="L2" s="41" t="e">
        <f ca="1">VLOOKUP(C2,Assemblies!E:G,3,0)</f>
        <v>#VALUE!</v>
      </c>
      <c r="M2" s="78"/>
      <c r="N2" s="78"/>
      <c r="O2" s="78"/>
      <c r="P2" s="86"/>
      <c r="Q2" s="92"/>
    </row>
    <row r="3" spans="1:17" s="55" customFormat="1" ht="12" customHeight="1" thickBot="1">
      <c r="A3" s="74" t="s">
        <v>7</v>
      </c>
      <c r="B3" s="58"/>
      <c r="C3" s="57" t="e">
        <f ca="1">VLOOKUP(E3,Assemblies!B:F,5,0)</f>
        <v>#VALUE!</v>
      </c>
      <c r="D3" s="75" t="s">
        <v>50</v>
      </c>
      <c r="E3" s="76" t="e">
        <f ca="1">MID(CELL("filename",A1),FIND("]",CELL("filename",A1))+1,256)</f>
        <v>#VALUE!</v>
      </c>
      <c r="F3" s="77" t="s">
        <v>11</v>
      </c>
      <c r="G3" s="58" t="str">
        <f>'GF12'!G3</f>
        <v>GH</v>
      </c>
      <c r="H3" s="77" t="s">
        <v>6</v>
      </c>
      <c r="I3" s="59">
        <f>'GF12'!I3</f>
        <v>44775</v>
      </c>
      <c r="J3" s="78"/>
      <c r="K3" s="78"/>
      <c r="L3" s="78"/>
      <c r="M3" s="78"/>
      <c r="N3" s="78"/>
      <c r="O3" s="78"/>
      <c r="P3" s="86"/>
      <c r="Q3" s="92"/>
    </row>
    <row r="4" spans="1:17" s="56" customFormat="1" ht="12.75" customHeight="1" thickBot="1">
      <c r="A4" s="80" t="s">
        <v>12</v>
      </c>
      <c r="B4" s="81" t="s">
        <v>13</v>
      </c>
      <c r="C4" s="81" t="s">
        <v>14</v>
      </c>
      <c r="D4" s="270" t="s">
        <v>15</v>
      </c>
      <c r="E4" s="271"/>
      <c r="F4" s="104" t="s">
        <v>16</v>
      </c>
      <c r="G4" s="81" t="s">
        <v>17</v>
      </c>
      <c r="H4" s="260" t="s">
        <v>18</v>
      </c>
      <c r="I4" s="261"/>
      <c r="J4" s="81" t="s">
        <v>51</v>
      </c>
      <c r="K4" s="81" t="s">
        <v>20</v>
      </c>
      <c r="L4" s="81" t="s">
        <v>21</v>
      </c>
      <c r="M4" s="81" t="s">
        <v>52</v>
      </c>
      <c r="N4" s="81" t="s">
        <v>22</v>
      </c>
      <c r="O4" s="81" t="s">
        <v>53</v>
      </c>
      <c r="P4" s="107" t="s">
        <v>26</v>
      </c>
      <c r="Q4" s="82" t="s">
        <v>27</v>
      </c>
    </row>
    <row r="5" spans="1:17" s="2" customFormat="1" ht="12.75" customHeight="1">
      <c r="A5" s="127">
        <v>1</v>
      </c>
      <c r="B5" s="21">
        <v>4</v>
      </c>
      <c r="C5" s="108" t="s">
        <v>272</v>
      </c>
      <c r="D5" s="277" t="str">
        <f>VLOOKUP(C5,Machined!C:Q,2,0)</f>
        <v>EXTRUDED ROLLER</v>
      </c>
      <c r="E5" s="278"/>
      <c r="F5" s="131" t="str">
        <f>VLOOKUP(C5,Machined!C:R,7,0)</f>
        <v>6061-T6 Alum</v>
      </c>
      <c r="G5" s="131" t="str">
        <f>VLOOKUP(C5,Machined!C:R,10,0)</f>
        <v>BONNELL, RON GROB, 3J, Fin. Pros</v>
      </c>
      <c r="H5" s="131" t="str">
        <f>VLOOKUP(C5,Machined!C:R,11,0)</f>
        <v xml:space="preserve"> </v>
      </c>
      <c r="I5" s="131"/>
      <c r="J5" s="42" t="str">
        <f>VLOOKUP(C5,Machined!C:R,12,0)</f>
        <v>N/A</v>
      </c>
      <c r="K5" s="42" t="str">
        <f>VLOOKUP(C5,Machined!C:R,13,0)</f>
        <v>N/A</v>
      </c>
      <c r="L5" s="42" t="str">
        <f>VLOOKUP(C5,Machined!C:R,14,0)</f>
        <v>N/A</v>
      </c>
      <c r="M5" s="42" t="str">
        <f>VLOOKUP(C5,Machined!C:R,15,0)</f>
        <v>N/A</v>
      </c>
      <c r="N5" s="43" t="str">
        <f>VLOOKUP(C5,Machined!C:R,16,0)</f>
        <v xml:space="preserve">54809, 54970, 54989 </v>
      </c>
      <c r="O5" s="43" t="e">
        <f t="shared" ref="O5:O9" ca="1" si="0">B5*$L$2</f>
        <v>#VALUE!</v>
      </c>
      <c r="P5" s="47">
        <f>IFERROR(VLOOKUP(C5,Machined!C:F,3,0),"")</f>
        <v>119.09</v>
      </c>
      <c r="Q5" s="48">
        <f t="shared" ref="Q5:Q9" si="1">IFERROR(B5*P5,"")</f>
        <v>476.36</v>
      </c>
    </row>
    <row r="6" spans="1:17" s="2" customFormat="1" ht="12.75" customHeight="1">
      <c r="A6" s="127">
        <v>2</v>
      </c>
      <c r="B6" s="21">
        <v>4</v>
      </c>
      <c r="C6" s="108" t="s">
        <v>273</v>
      </c>
      <c r="D6" s="277" t="str">
        <f>VLOOKUP(C6,Machined!C:Q,2,0)</f>
        <v>ROLLER SHAFT</v>
      </c>
      <c r="E6" s="278"/>
      <c r="F6" s="131" t="str">
        <f>VLOOKUP(C6,Machined!C:R,7,0)</f>
        <v>303 SS - TG&amp;P</v>
      </c>
      <c r="G6" s="131" t="str">
        <f>VLOOKUP(C6,Machined!C:R,10,0)</f>
        <v>ALEXANDRIA, Nuline</v>
      </c>
      <c r="H6" s="131" t="str">
        <f>VLOOKUP(C6,Machined!C:R,11,0)</f>
        <v xml:space="preserve"> </v>
      </c>
      <c r="I6" s="131"/>
      <c r="J6" s="42" t="str">
        <f>VLOOKUP(C6,Machined!C:R,12,0)</f>
        <v>N/A</v>
      </c>
      <c r="K6" s="42" t="str">
        <f>VLOOKUP(C6,Machined!C:R,13,0)</f>
        <v>N/A</v>
      </c>
      <c r="L6" s="42" t="str">
        <f>VLOOKUP(C6,Machined!C:R,14,0)</f>
        <v>N/A</v>
      </c>
      <c r="M6" s="42" t="str">
        <f>VLOOKUP(C6,Machined!C:R,15,0)</f>
        <v>N/A</v>
      </c>
      <c r="N6" s="43">
        <f>VLOOKUP(C6,Machined!C:R,16,0)</f>
        <v>55018</v>
      </c>
      <c r="O6" s="43" t="e">
        <f t="shared" ca="1" si="0"/>
        <v>#VALUE!</v>
      </c>
      <c r="P6" s="47">
        <f>IFERROR(VLOOKUP(C6,Machined!C:F,3,0),"")</f>
        <v>85.05</v>
      </c>
      <c r="Q6" s="48">
        <f t="shared" si="1"/>
        <v>340.2</v>
      </c>
    </row>
    <row r="7" spans="1:17" s="2" customFormat="1" ht="12.75" customHeight="1">
      <c r="A7" s="127">
        <v>3</v>
      </c>
      <c r="B7" s="21">
        <v>8</v>
      </c>
      <c r="C7" s="108" t="s">
        <v>274</v>
      </c>
      <c r="D7" s="277" t="str">
        <f>VLOOKUP(C7,Machined!C:Q,2,0)</f>
        <v>ROLLER CAP</v>
      </c>
      <c r="E7" s="278"/>
      <c r="F7" s="131" t="str">
        <f>VLOOKUP(C7,Machined!C:R,7,0)</f>
        <v>304 SS</v>
      </c>
      <c r="G7" s="131" t="str">
        <f>VLOOKUP(C7,Machined!C:R,10,0)</f>
        <v>XOMETRY</v>
      </c>
      <c r="H7" s="131" t="str">
        <f>VLOOKUP(C7,Machined!C:R,11,0)</f>
        <v xml:space="preserve">  </v>
      </c>
      <c r="I7" s="131"/>
      <c r="J7" s="42" t="str">
        <f>VLOOKUP(C7,Machined!C:R,12,0)</f>
        <v>N/A</v>
      </c>
      <c r="K7" s="42">
        <f>VLOOKUP(C7,Machined!C:R,13,0)</f>
        <v>45141</v>
      </c>
      <c r="L7" s="42">
        <f>VLOOKUP(C7,Machined!C:R,14,0)</f>
        <v>45161</v>
      </c>
      <c r="M7" s="42">
        <f>VLOOKUP(C7,Machined!C:R,15,0)</f>
        <v>45161</v>
      </c>
      <c r="N7" s="43">
        <f>VLOOKUP(C7,Machined!C:R,16,0)</f>
        <v>55030</v>
      </c>
      <c r="O7" s="43" t="e">
        <f t="shared" ca="1" si="0"/>
        <v>#VALUE!</v>
      </c>
      <c r="P7" s="47">
        <f>IFERROR(VLOOKUP(C7,Machined!C:F,3,0),"")</f>
        <v>1.52</v>
      </c>
      <c r="Q7" s="48">
        <f t="shared" si="1"/>
        <v>12.16</v>
      </c>
    </row>
    <row r="8" spans="1:17" s="2" customFormat="1" ht="12.75" customHeight="1">
      <c r="A8" s="127">
        <v>4</v>
      </c>
      <c r="B8" s="21">
        <v>2</v>
      </c>
      <c r="C8" s="108" t="s">
        <v>604</v>
      </c>
      <c r="D8" s="277" t="str">
        <f>VLOOKUP(C8,Machined!C:Q,2,0)</f>
        <v>Unwind Roller Upper Bracket</v>
      </c>
      <c r="E8" s="278"/>
      <c r="F8" s="131" t="str">
        <f>VLOOKUP(C8,Machined!C:R,7,0)</f>
        <v>6061-T6 Alum</v>
      </c>
      <c r="G8" s="131" t="str">
        <f>VLOOKUP(C8,Machined!C:R,10,0)</f>
        <v>FRONTIER</v>
      </c>
      <c r="H8" s="131" t="str">
        <f>VLOOKUP(C8,Machined!C:R,11,0)</f>
        <v xml:space="preserve">  </v>
      </c>
      <c r="I8" s="131"/>
      <c r="J8" s="42">
        <f>VLOOKUP(C8,Machined!C:R,12,0)</f>
        <v>45105</v>
      </c>
      <c r="K8" s="42">
        <f>VLOOKUP(C8,Machined!C:R,13,0)</f>
        <v>45133</v>
      </c>
      <c r="L8" s="42">
        <f>VLOOKUP(C8,Machined!C:R,14,0)</f>
        <v>45163</v>
      </c>
      <c r="M8" s="42">
        <f>VLOOKUP(C8,Machined!C:R,15,0)</f>
        <v>45163</v>
      </c>
      <c r="N8" s="43">
        <f>VLOOKUP(C8,Machined!C:R,16,0)</f>
        <v>55015</v>
      </c>
      <c r="O8" s="43" t="e">
        <f t="shared" ca="1" si="0"/>
        <v>#VALUE!</v>
      </c>
      <c r="P8" s="47">
        <f>IFERROR(VLOOKUP(C8,Machined!C:F,3,0),"")</f>
        <v>101.6</v>
      </c>
      <c r="Q8" s="48">
        <f t="shared" si="1"/>
        <v>203.2</v>
      </c>
    </row>
    <row r="9" spans="1:17" s="2" customFormat="1" ht="12.75" customHeight="1">
      <c r="A9" s="127">
        <v>5</v>
      </c>
      <c r="B9" s="21">
        <v>2</v>
      </c>
      <c r="C9" s="108" t="s">
        <v>605</v>
      </c>
      <c r="D9" s="277" t="str">
        <f>VLOOKUP(C9,Machined!C:Q,2,0)</f>
        <v>Unwind Roller Clamp</v>
      </c>
      <c r="E9" s="278"/>
      <c r="F9" s="131" t="str">
        <f>VLOOKUP(C9,Machined!C:R,7,0)</f>
        <v>1018 CRS</v>
      </c>
      <c r="G9" s="131" t="str">
        <f>VLOOKUP(C9,Machined!C:R,10,0)</f>
        <v>FRONTIER</v>
      </c>
      <c r="H9" s="131" t="str">
        <f>VLOOKUP(C9,Machined!C:R,11,0)</f>
        <v xml:space="preserve">  </v>
      </c>
      <c r="I9" s="131"/>
      <c r="J9" s="42">
        <f>VLOOKUP(C9,Machined!C:R,12,0)</f>
        <v>45105</v>
      </c>
      <c r="K9" s="42">
        <f>VLOOKUP(C9,Machined!C:R,13,0)</f>
        <v>45133</v>
      </c>
      <c r="L9" s="42">
        <f>VLOOKUP(C9,Machined!C:R,14,0)</f>
        <v>45163</v>
      </c>
      <c r="M9" s="42">
        <f>VLOOKUP(C9,Machined!C:R,15,0)</f>
        <v>45163</v>
      </c>
      <c r="N9" s="43">
        <f>VLOOKUP(C9,Machined!C:R,16,0)</f>
        <v>55015</v>
      </c>
      <c r="O9" s="43" t="e">
        <f t="shared" ca="1" si="0"/>
        <v>#VALUE!</v>
      </c>
      <c r="P9" s="47">
        <f>IFERROR(VLOOKUP(C9,Machined!C:F,3,0),"")</f>
        <v>73.25</v>
      </c>
      <c r="Q9" s="48">
        <f t="shared" si="1"/>
        <v>146.5</v>
      </c>
    </row>
    <row r="10" spans="1:17" s="2" customFormat="1" ht="12.75" customHeight="1">
      <c r="A10" s="143"/>
      <c r="B10" s="26"/>
      <c r="C10" s="26"/>
      <c r="D10" s="272"/>
      <c r="E10" s="273"/>
      <c r="F10" s="26"/>
      <c r="G10" s="26"/>
      <c r="H10" s="274"/>
      <c r="I10" s="275"/>
      <c r="J10" s="27"/>
      <c r="K10" s="27"/>
      <c r="L10" s="27"/>
      <c r="M10" s="28"/>
      <c r="N10" s="29"/>
      <c r="O10" s="29"/>
      <c r="P10" s="141"/>
      <c r="Q10" s="142"/>
    </row>
    <row r="11" spans="1:17" s="2" customFormat="1" ht="12.75" customHeight="1">
      <c r="A11" s="4">
        <v>301</v>
      </c>
      <c r="B11" s="2">
        <v>8</v>
      </c>
      <c r="C11" s="114" t="s">
        <v>277</v>
      </c>
      <c r="D11" s="268" t="str">
        <f>VLOOKUP(C11,Purchased!A:B,2,0)</f>
        <v>7612 DLG Deep groove ball bearing, 3/4" Bore, 1-3/4" O.D - Outside seal, no inner, with light oil lube- no grease.</v>
      </c>
      <c r="E11" s="269"/>
      <c r="F11" s="112" t="str">
        <f>VLOOKUP(C11,Purchased!A:Q,9,0)</f>
        <v>QualBear</v>
      </c>
      <c r="G11" s="112" t="str">
        <f>VLOOKUP(C11,Purchased!A:Q,10,0)</f>
        <v>QualBear</v>
      </c>
      <c r="H11" s="112" t="str">
        <f>VLOOKUP(C11,Purchased!A:Q,12,0)</f>
        <v>MCM part 4768K6</v>
      </c>
      <c r="I11" s="113"/>
      <c r="J11" s="44" t="str">
        <f>VLOOKUP(C11,Purchased!A:Q,13,0)</f>
        <v>N/A</v>
      </c>
      <c r="K11" s="44">
        <f>VLOOKUP(C11,Purchased!A:Q,14,0)</f>
        <v>45124</v>
      </c>
      <c r="L11" s="44">
        <f>VLOOKUP(C11,Purchased!A:Q,15,0)</f>
        <v>45145</v>
      </c>
      <c r="M11" s="44">
        <f>VLOOKUP(C11,Purchased!A:Q,16,0)</f>
        <v>45148</v>
      </c>
      <c r="N11" s="45">
        <f>VLOOKUP(C11,Purchased!A:Q,17,0)</f>
        <v>54997</v>
      </c>
      <c r="O11" s="45" t="e">
        <f t="shared" ref="O11:O12" ca="1" si="2">B11*$L$2</f>
        <v>#VALUE!</v>
      </c>
      <c r="P11" s="49">
        <f>IFERROR(VLOOKUP(C11,Purchased!A:E,3,FALSE),"")</f>
        <v>6.79</v>
      </c>
      <c r="Q11" s="50">
        <f t="shared" ref="Q11:Q12" si="3">IFERROR(B11*P11,"")</f>
        <v>54.32</v>
      </c>
    </row>
    <row r="12" spans="1:17" s="2" customFormat="1" ht="12" customHeight="1">
      <c r="A12" s="4">
        <f t="shared" ref="A12" si="4">A11+1</f>
        <v>302</v>
      </c>
      <c r="B12" s="2">
        <v>8</v>
      </c>
      <c r="C12" s="114" t="s">
        <v>256</v>
      </c>
      <c r="D12" s="268" t="str">
        <f>VLOOKUP(C12,Purchased!A:B,2,0)</f>
        <v>BRX GOTO T-NUT 10 M8</v>
      </c>
      <c r="E12" s="269"/>
      <c r="F12" s="112" t="str">
        <f>VLOOKUP(C12,Purchased!A:Q,9,0)</f>
        <v>BRX</v>
      </c>
      <c r="G12" s="112" t="str">
        <f>VLOOKUP(C12,Purchased!A:Q,10,0)</f>
        <v>AAP</v>
      </c>
      <c r="H12" s="112" t="str">
        <f>VLOOKUP(C12,Purchased!A:Q,12,0)</f>
        <v xml:space="preserve">  </v>
      </c>
      <c r="I12" s="113"/>
      <c r="J12" s="44">
        <f>VLOOKUP(C12,Purchased!A:Q,13,0)</f>
        <v>45104</v>
      </c>
      <c r="K12" s="44">
        <f>VLOOKUP(C12,Purchased!A:Q,14,0)</f>
        <v>45105</v>
      </c>
      <c r="L12" s="44">
        <f>VLOOKUP(C12,Purchased!A:Q,15,0)</f>
        <v>45133</v>
      </c>
      <c r="M12" s="44">
        <f>VLOOKUP(C12,Purchased!A:Q,16,0)</f>
        <v>45133</v>
      </c>
      <c r="N12" s="45" t="str">
        <f>VLOOKUP(C12,Purchased!A:Q,17,0)</f>
        <v>54968, 55147</v>
      </c>
      <c r="O12" s="45" t="e">
        <f t="shared" ca="1" si="2"/>
        <v>#VALUE!</v>
      </c>
      <c r="P12" s="49">
        <f>IFERROR(VLOOKUP(C12,Purchased!A:E,3,FALSE),"")</f>
        <v>0.64290000000000003</v>
      </c>
      <c r="Q12" s="50">
        <f t="shared" si="3"/>
        <v>5.1432000000000002</v>
      </c>
    </row>
    <row r="13" spans="1:17" s="2" customFormat="1" ht="12.75" customHeight="1">
      <c r="A13" s="25"/>
      <c r="B13" s="26"/>
      <c r="C13" s="26"/>
      <c r="D13" s="272"/>
      <c r="E13" s="273"/>
      <c r="F13" s="26"/>
      <c r="G13" s="26"/>
      <c r="H13" s="274"/>
      <c r="I13" s="275"/>
      <c r="J13" s="27"/>
      <c r="K13" s="27"/>
      <c r="L13" s="27"/>
      <c r="M13" s="28"/>
      <c r="N13" s="29"/>
      <c r="O13" s="29" t="e">
        <f t="shared" ref="O13:O15" ca="1" si="5">B13*$L$2</f>
        <v>#VALUE!</v>
      </c>
      <c r="P13" s="141"/>
      <c r="Q13" s="142"/>
    </row>
    <row r="14" spans="1:17" s="2" customFormat="1" ht="12.75" customHeight="1">
      <c r="A14" s="4">
        <v>501</v>
      </c>
      <c r="B14" s="2">
        <v>8</v>
      </c>
      <c r="C14" s="110" t="s">
        <v>606</v>
      </c>
      <c r="D14" s="268"/>
      <c r="E14" s="276"/>
      <c r="F14" s="112" t="str">
        <f>VLOOKUP(C14,Bolts!A:L,5,0)</f>
        <v xml:space="preserve">  </v>
      </c>
      <c r="G14" s="112" t="str">
        <f>VLOOKUP(C14,Bolts!A:L,6,0)</f>
        <v>Monroe Fasteners</v>
      </c>
      <c r="H14" s="112" t="str">
        <f>VLOOKUP(C14,Bolts!A:L,7,0)</f>
        <v xml:space="preserve">  </v>
      </c>
      <c r="I14" s="112"/>
      <c r="J14" s="44" t="str">
        <f>VLOOKUP(C14,Bolts!A:L,8,0)</f>
        <v xml:space="preserve"> </v>
      </c>
      <c r="K14" s="44" t="str">
        <f>VLOOKUP(C14,Bolts!A:L,9,0)</f>
        <v xml:space="preserve"> </v>
      </c>
      <c r="L14" s="44" t="str">
        <f>VLOOKUP(C14,Bolts!A:L,10,0)</f>
        <v xml:space="preserve"> </v>
      </c>
      <c r="M14" s="44" t="str">
        <f>VLOOKUP(C14,Bolts!A:L,11,0)</f>
        <v xml:space="preserve"> </v>
      </c>
      <c r="N14" s="45" t="str">
        <f>VLOOKUP(C14,Bolts!A:L,12,0)</f>
        <v xml:space="preserve"> </v>
      </c>
      <c r="O14" s="45" t="e">
        <f t="shared" ca="1" si="5"/>
        <v>#VALUE!</v>
      </c>
      <c r="P14" s="49" t="str">
        <f>IFERROR(VLOOKUP(C14,Bolts!A:B,2,FALSE),"")</f>
        <v xml:space="preserve"> </v>
      </c>
      <c r="Q14" s="50" t="str">
        <f t="shared" ref="Q14:Q15" si="6">IFERROR(B14*P14,"")</f>
        <v/>
      </c>
    </row>
    <row r="15" spans="1:17" s="2" customFormat="1" ht="12.75" customHeight="1">
      <c r="A15" s="4">
        <f t="shared" ref="A15" si="7">A14+1</f>
        <v>502</v>
      </c>
      <c r="B15" s="2">
        <v>10</v>
      </c>
      <c r="C15" s="110" t="s">
        <v>278</v>
      </c>
      <c r="D15" s="268"/>
      <c r="E15" s="276"/>
      <c r="F15" s="112" t="str">
        <f>VLOOKUP(C15,Bolts!A:L,5,0)</f>
        <v xml:space="preserve">  </v>
      </c>
      <c r="G15" s="112" t="str">
        <f>VLOOKUP(C15,Bolts!A:L,6,0)</f>
        <v>Monroe Fasteners</v>
      </c>
      <c r="H15" s="112" t="str">
        <f>VLOOKUP(C15,Bolts!A:L,7,0)</f>
        <v xml:space="preserve">  </v>
      </c>
      <c r="I15" s="112"/>
      <c r="J15" s="44" t="str">
        <f>VLOOKUP(C15,Bolts!A:L,8,0)</f>
        <v xml:space="preserve"> </v>
      </c>
      <c r="K15" s="44" t="str">
        <f>VLOOKUP(C15,Bolts!A:L,9,0)</f>
        <v xml:space="preserve"> </v>
      </c>
      <c r="L15" s="44" t="str">
        <f>VLOOKUP(C15,Bolts!A:L,10,0)</f>
        <v xml:space="preserve"> </v>
      </c>
      <c r="M15" s="44" t="str">
        <f>VLOOKUP(C15,Bolts!A:L,11,0)</f>
        <v xml:space="preserve"> </v>
      </c>
      <c r="N15" s="45" t="str">
        <f>VLOOKUP(C15,Bolts!A:L,12,0)</f>
        <v xml:space="preserve"> </v>
      </c>
      <c r="O15" s="45" t="e">
        <f t="shared" ca="1" si="5"/>
        <v>#VALUE!</v>
      </c>
      <c r="P15" s="49" t="str">
        <f>IFERROR(VLOOKUP(C15,Bolts!A:B,2,FALSE),"")</f>
        <v xml:space="preserve"> </v>
      </c>
      <c r="Q15" s="50" t="str">
        <f t="shared" si="6"/>
        <v/>
      </c>
    </row>
    <row r="16" spans="1:17" s="2" customFormat="1" ht="12.75" customHeight="1" thickBot="1">
      <c r="A16" s="4">
        <v>503</v>
      </c>
      <c r="B16" s="2">
        <v>8</v>
      </c>
      <c r="C16" s="110" t="s">
        <v>515</v>
      </c>
      <c r="D16" s="164"/>
      <c r="E16" s="165"/>
      <c r="F16" s="112" t="str">
        <f>VLOOKUP(C16,Bolts!A:L,5,0)</f>
        <v xml:space="preserve">  </v>
      </c>
      <c r="G16" s="112" t="str">
        <f>VLOOKUP(C16,Bolts!A:L,6,0)</f>
        <v>Monroe Fasteners</v>
      </c>
      <c r="H16" s="112" t="str">
        <f>VLOOKUP(C16,Bolts!A:L,7,0)</f>
        <v xml:space="preserve">  </v>
      </c>
      <c r="I16" s="112"/>
      <c r="J16" s="44" t="str">
        <f>VLOOKUP(C16,Bolts!A:L,8,0)</f>
        <v xml:space="preserve"> </v>
      </c>
      <c r="K16" s="44" t="str">
        <f>VLOOKUP(C16,Bolts!A:L,9,0)</f>
        <v xml:space="preserve"> </v>
      </c>
      <c r="L16" s="44" t="str">
        <f>VLOOKUP(C16,Bolts!A:L,10,0)</f>
        <v xml:space="preserve"> </v>
      </c>
      <c r="M16" s="44" t="str">
        <f>VLOOKUP(C16,Bolts!A:L,11,0)</f>
        <v xml:space="preserve"> </v>
      </c>
      <c r="N16" s="45" t="str">
        <f>VLOOKUP(C16,Bolts!A:L,12,0)</f>
        <v xml:space="preserve"> </v>
      </c>
      <c r="O16" s="45" t="e">
        <f t="shared" ref="O16" ca="1" si="8">B16*$L$2</f>
        <v>#VALUE!</v>
      </c>
      <c r="P16" s="49" t="str">
        <f>IFERROR(VLOOKUP(C16,Bolts!A:B,2,FALSE),"")</f>
        <v xml:space="preserve"> </v>
      </c>
      <c r="Q16" s="50" t="str">
        <f t="shared" ref="Q16" si="9">IFERROR(B16*P16,"")</f>
        <v/>
      </c>
    </row>
    <row r="17" spans="1:17" s="2" customFormat="1" ht="12.75" customHeight="1" thickBot="1">
      <c r="A17" s="34"/>
      <c r="B17" s="35"/>
      <c r="C17" s="35"/>
      <c r="D17" s="256"/>
      <c r="E17" s="257"/>
      <c r="F17" s="35"/>
      <c r="G17" s="35"/>
      <c r="H17" s="294"/>
      <c r="I17" s="295"/>
      <c r="J17" s="36"/>
      <c r="K17" s="36"/>
      <c r="L17" s="36"/>
      <c r="M17" s="37"/>
      <c r="N17" s="38"/>
      <c r="O17" s="38"/>
      <c r="P17" s="89" t="s">
        <v>43</v>
      </c>
      <c r="Q17" s="94">
        <f>SUM(Q5:Q15)</f>
        <v>1237.8831999999998</v>
      </c>
    </row>
    <row r="18" spans="1:17" s="2" customFormat="1" ht="12" customHeight="1">
      <c r="D18" s="22"/>
      <c r="E18" s="22"/>
      <c r="J18" s="8"/>
      <c r="K18" s="8"/>
      <c r="L18" s="8"/>
      <c r="M18" s="8"/>
      <c r="N18" s="5"/>
      <c r="O18" s="5"/>
      <c r="P18" s="88"/>
      <c r="Q18" s="95"/>
    </row>
    <row r="19" spans="1:17" s="2" customFormat="1" ht="12" customHeight="1">
      <c r="D19" s="22"/>
      <c r="E19" s="22"/>
      <c r="J19" s="5"/>
      <c r="K19" s="5"/>
      <c r="L19" s="5"/>
      <c r="M19" s="5"/>
      <c r="N19" s="5"/>
      <c r="O19" s="5"/>
      <c r="P19" s="88"/>
      <c r="Q19" s="95"/>
    </row>
    <row r="20" spans="1:17" s="2" customFormat="1" ht="12" customHeight="1">
      <c r="D20" s="22"/>
      <c r="E20" s="22"/>
      <c r="J20" s="5"/>
      <c r="K20" s="5"/>
      <c r="L20" s="5"/>
      <c r="M20" s="5"/>
      <c r="N20" s="5"/>
      <c r="O20" s="5"/>
      <c r="P20" s="88"/>
      <c r="Q20" s="95"/>
    </row>
    <row r="21" spans="1:17" s="2" customFormat="1" ht="12" customHeight="1">
      <c r="D21" s="22"/>
      <c r="E21" s="22"/>
      <c r="J21" s="5"/>
      <c r="K21" s="5"/>
      <c r="L21" s="5"/>
      <c r="M21" s="5"/>
      <c r="N21" s="5"/>
      <c r="O21" s="5"/>
      <c r="P21" s="88"/>
      <c r="Q21" s="95"/>
    </row>
    <row r="22" spans="1:17" s="2" customFormat="1" ht="12" customHeight="1">
      <c r="D22" s="22"/>
      <c r="E22" s="22"/>
      <c r="J22" s="5"/>
      <c r="K22" s="5"/>
      <c r="L22" s="5"/>
      <c r="M22" s="5"/>
      <c r="N22" s="5"/>
      <c r="O22" s="5"/>
      <c r="P22" s="88"/>
      <c r="Q22" s="95"/>
    </row>
    <row r="23" spans="1:17" s="2" customFormat="1" ht="12" customHeight="1">
      <c r="D23" s="22"/>
      <c r="E23" s="22"/>
      <c r="J23" s="5"/>
      <c r="K23" s="5"/>
      <c r="L23" s="5"/>
      <c r="M23" s="5"/>
      <c r="N23" s="5"/>
      <c r="O23" s="5"/>
      <c r="P23" s="88"/>
      <c r="Q23" s="95"/>
    </row>
    <row r="24" spans="1:17" s="2" customFormat="1" ht="12" customHeight="1">
      <c r="D24" s="22"/>
      <c r="E24" s="22"/>
      <c r="J24" s="5"/>
      <c r="K24" s="5"/>
      <c r="L24" s="5"/>
      <c r="M24" s="5"/>
      <c r="N24" s="5"/>
      <c r="O24" s="5"/>
      <c r="P24" s="88"/>
      <c r="Q24" s="95"/>
    </row>
    <row r="25" spans="1:17" s="2" customFormat="1" ht="12" customHeight="1">
      <c r="D25" s="22"/>
      <c r="E25" s="22"/>
      <c r="J25" s="5"/>
      <c r="K25" s="5"/>
      <c r="L25" s="5"/>
      <c r="M25" s="5"/>
      <c r="N25" s="5"/>
      <c r="O25" s="5"/>
      <c r="P25" s="88"/>
      <c r="Q25" s="95"/>
    </row>
    <row r="26" spans="1:17" s="2" customFormat="1" ht="12" customHeight="1">
      <c r="D26" s="22"/>
      <c r="E26" s="22"/>
      <c r="J26" s="5"/>
      <c r="K26" s="5"/>
      <c r="L26" s="5"/>
      <c r="M26" s="5"/>
      <c r="N26" s="5"/>
      <c r="O26" s="5"/>
      <c r="P26" s="88"/>
      <c r="Q26" s="95"/>
    </row>
    <row r="27" spans="1:17" s="2" customFormat="1" ht="12" customHeight="1">
      <c r="D27" s="22"/>
      <c r="E27" s="22"/>
      <c r="J27" s="5"/>
      <c r="K27" s="5"/>
      <c r="L27" s="5"/>
      <c r="M27" s="5"/>
      <c r="N27" s="5"/>
      <c r="O27" s="5"/>
      <c r="P27" s="88"/>
      <c r="Q27" s="95"/>
    </row>
    <row r="28" spans="1:17" s="2" customFormat="1" ht="12" customHeight="1">
      <c r="D28" s="22"/>
      <c r="E28" s="22"/>
      <c r="J28" s="5"/>
      <c r="K28" s="5"/>
      <c r="L28" s="5"/>
      <c r="M28" s="5"/>
      <c r="N28" s="5"/>
      <c r="O28" s="5"/>
      <c r="P28" s="88"/>
      <c r="Q28" s="95"/>
    </row>
    <row r="29" spans="1:17" s="2" customFormat="1" ht="12" customHeight="1">
      <c r="D29" s="22"/>
      <c r="E29" s="22"/>
      <c r="J29" s="5"/>
      <c r="K29" s="5"/>
      <c r="L29" s="5"/>
      <c r="M29" s="5"/>
      <c r="N29" s="5"/>
      <c r="O29" s="5"/>
      <c r="P29" s="88"/>
      <c r="Q29" s="95"/>
    </row>
    <row r="30" spans="1:17" s="2" customFormat="1" ht="12" customHeight="1">
      <c r="D30" s="22"/>
      <c r="E30" s="22"/>
      <c r="J30" s="5"/>
      <c r="K30" s="5"/>
      <c r="L30" s="5"/>
      <c r="M30" s="5"/>
      <c r="N30" s="5"/>
      <c r="O30" s="5"/>
      <c r="P30" s="88"/>
      <c r="Q30" s="95"/>
    </row>
    <row r="31" spans="1:17" s="2" customFormat="1" ht="12" customHeight="1">
      <c r="D31" s="22"/>
      <c r="E31" s="22"/>
      <c r="J31" s="5"/>
      <c r="K31" s="5"/>
      <c r="L31" s="5"/>
      <c r="M31" s="5"/>
      <c r="N31" s="5"/>
      <c r="O31" s="5"/>
      <c r="P31" s="88"/>
      <c r="Q31" s="95"/>
    </row>
    <row r="32" spans="1:17" s="2" customFormat="1" ht="12" customHeight="1">
      <c r="D32" s="22"/>
      <c r="E32" s="22"/>
      <c r="J32" s="5"/>
      <c r="K32" s="5"/>
      <c r="L32" s="5"/>
      <c r="M32" s="5"/>
      <c r="N32" s="5"/>
      <c r="O32" s="5"/>
      <c r="P32" s="88"/>
      <c r="Q32" s="95"/>
    </row>
    <row r="33" spans="4:17" s="2" customFormat="1" ht="12" customHeight="1">
      <c r="D33" s="22"/>
      <c r="E33" s="22"/>
      <c r="J33" s="5"/>
      <c r="K33" s="5"/>
      <c r="L33" s="5"/>
      <c r="M33" s="5"/>
      <c r="N33" s="5"/>
      <c r="O33" s="5"/>
      <c r="P33" s="88"/>
      <c r="Q33" s="95"/>
    </row>
    <row r="34" spans="4:17" s="2" customFormat="1" ht="12" customHeight="1">
      <c r="D34" s="22"/>
      <c r="E34" s="22"/>
      <c r="J34" s="5"/>
      <c r="K34" s="5"/>
      <c r="L34" s="5"/>
      <c r="M34" s="5"/>
      <c r="N34" s="5"/>
      <c r="O34" s="5"/>
      <c r="P34" s="88"/>
      <c r="Q34" s="95"/>
    </row>
    <row r="35" spans="4:17" s="2" customFormat="1" ht="12" customHeight="1">
      <c r="D35" s="22"/>
      <c r="E35" s="22"/>
      <c r="J35" s="5"/>
      <c r="K35" s="5"/>
      <c r="L35" s="5"/>
      <c r="M35" s="5"/>
      <c r="N35" s="5"/>
      <c r="O35" s="5"/>
      <c r="P35" s="88"/>
      <c r="Q35" s="95"/>
    </row>
    <row r="36" spans="4:17" s="2" customFormat="1" ht="12" customHeight="1">
      <c r="D36" s="22"/>
      <c r="E36" s="22"/>
      <c r="J36" s="5"/>
      <c r="K36" s="5"/>
      <c r="L36" s="5"/>
      <c r="M36" s="5"/>
      <c r="N36" s="5"/>
      <c r="O36" s="5"/>
      <c r="P36" s="88"/>
      <c r="Q36" s="95"/>
    </row>
    <row r="37" spans="4:17" s="2" customFormat="1" ht="12" customHeight="1">
      <c r="D37" s="22"/>
      <c r="E37" s="22"/>
      <c r="J37" s="5"/>
      <c r="K37" s="5"/>
      <c r="L37" s="5"/>
      <c r="M37" s="5"/>
      <c r="N37" s="5"/>
      <c r="O37" s="5"/>
      <c r="P37" s="88"/>
      <c r="Q37" s="95"/>
    </row>
    <row r="38" spans="4:17" s="2" customFormat="1" ht="12" customHeight="1">
      <c r="D38" s="22"/>
      <c r="E38" s="22"/>
      <c r="J38" s="5"/>
      <c r="K38" s="5"/>
      <c r="L38" s="5"/>
      <c r="M38" s="5"/>
      <c r="N38" s="5"/>
      <c r="O38" s="5"/>
      <c r="P38" s="88"/>
      <c r="Q38" s="95"/>
    </row>
    <row r="39" spans="4:17" s="2" customFormat="1" ht="12" customHeight="1">
      <c r="D39" s="22"/>
      <c r="E39" s="22"/>
      <c r="J39" s="5"/>
      <c r="K39" s="5"/>
      <c r="L39" s="5"/>
      <c r="M39" s="5"/>
      <c r="N39" s="5"/>
      <c r="O39" s="5"/>
      <c r="P39" s="88"/>
      <c r="Q39" s="95"/>
    </row>
    <row r="40" spans="4:17" s="2" customFormat="1" ht="12" customHeight="1">
      <c r="D40" s="22"/>
      <c r="E40" s="22"/>
      <c r="J40" s="5"/>
      <c r="K40" s="5"/>
      <c r="L40" s="5"/>
      <c r="M40" s="5"/>
      <c r="N40" s="5"/>
      <c r="O40" s="5"/>
      <c r="P40" s="88"/>
      <c r="Q40" s="95"/>
    </row>
    <row r="41" spans="4:17" s="2" customFormat="1" ht="12" customHeight="1">
      <c r="D41" s="22"/>
      <c r="E41" s="22"/>
      <c r="J41" s="5"/>
      <c r="K41" s="5"/>
      <c r="L41" s="5"/>
      <c r="M41" s="5"/>
      <c r="N41" s="5"/>
      <c r="O41" s="5"/>
      <c r="P41" s="88"/>
      <c r="Q41" s="95"/>
    </row>
    <row r="42" spans="4:17" s="2" customFormat="1" ht="12" customHeight="1">
      <c r="D42" s="22"/>
      <c r="E42" s="22"/>
      <c r="J42" s="5"/>
      <c r="K42" s="5"/>
      <c r="L42" s="5"/>
      <c r="M42" s="5"/>
      <c r="N42" s="5"/>
      <c r="O42" s="5"/>
      <c r="P42" s="88"/>
      <c r="Q42" s="95"/>
    </row>
    <row r="43" spans="4:17" s="2" customFormat="1" ht="12" customHeight="1">
      <c r="D43" s="22"/>
      <c r="E43" s="22"/>
      <c r="J43" s="5"/>
      <c r="K43" s="5"/>
      <c r="L43" s="5"/>
      <c r="M43" s="5"/>
      <c r="N43" s="5"/>
      <c r="O43" s="5"/>
      <c r="P43" s="88"/>
      <c r="Q43" s="95"/>
    </row>
    <row r="44" spans="4:17" s="2" customFormat="1" ht="12" customHeight="1">
      <c r="D44" s="22"/>
      <c r="E44" s="22"/>
      <c r="J44" s="5"/>
      <c r="K44" s="5"/>
      <c r="L44" s="5"/>
      <c r="M44" s="5"/>
      <c r="N44" s="5"/>
      <c r="O44" s="5"/>
      <c r="P44" s="88"/>
      <c r="Q44" s="95"/>
    </row>
    <row r="45" spans="4:17" s="2" customFormat="1" ht="12" customHeight="1">
      <c r="D45" s="22"/>
      <c r="E45" s="22"/>
      <c r="J45" s="5"/>
      <c r="K45" s="5"/>
      <c r="L45" s="5"/>
      <c r="M45" s="5"/>
      <c r="N45" s="5"/>
      <c r="O45" s="5"/>
      <c r="P45" s="88"/>
      <c r="Q45" s="95"/>
    </row>
    <row r="46" spans="4:17" s="2" customFormat="1" ht="12" customHeight="1">
      <c r="D46" s="22"/>
      <c r="E46" s="22"/>
      <c r="J46" s="5"/>
      <c r="K46" s="5"/>
      <c r="L46" s="5"/>
      <c r="M46" s="5"/>
      <c r="N46" s="5"/>
      <c r="O46" s="5"/>
      <c r="P46" s="88"/>
      <c r="Q46" s="95"/>
    </row>
    <row r="47" spans="4:17" s="2" customFormat="1" ht="12" customHeight="1">
      <c r="D47" s="22"/>
      <c r="E47" s="22"/>
      <c r="J47" s="5"/>
      <c r="K47" s="5"/>
      <c r="L47" s="5"/>
      <c r="M47" s="5"/>
      <c r="N47" s="5"/>
      <c r="O47" s="5"/>
      <c r="P47" s="88"/>
      <c r="Q47" s="95"/>
    </row>
    <row r="48" spans="4:17" s="2" customFormat="1" ht="12" customHeight="1">
      <c r="D48" s="22"/>
      <c r="E48" s="22"/>
      <c r="J48" s="5"/>
      <c r="K48" s="5"/>
      <c r="L48" s="5"/>
      <c r="M48" s="5"/>
      <c r="N48" s="5"/>
      <c r="O48" s="5"/>
      <c r="P48" s="88"/>
      <c r="Q48" s="95"/>
    </row>
    <row r="49" spans="1:17" s="2" customFormat="1" ht="12" customHeight="1">
      <c r="D49" s="22"/>
      <c r="E49" s="22"/>
      <c r="J49" s="5"/>
      <c r="K49" s="5"/>
      <c r="L49" s="5"/>
      <c r="M49" s="5"/>
      <c r="N49" s="5"/>
      <c r="O49" s="5"/>
      <c r="P49" s="88"/>
      <c r="Q49" s="95"/>
    </row>
    <row r="50" spans="1:17" s="2" customFormat="1" ht="12" customHeight="1">
      <c r="D50" s="22"/>
      <c r="E50" s="22"/>
      <c r="J50" s="5"/>
      <c r="K50" s="5"/>
      <c r="L50" s="5"/>
      <c r="M50" s="5"/>
      <c r="N50" s="5"/>
      <c r="O50" s="5"/>
      <c r="P50" s="88"/>
      <c r="Q50" s="95"/>
    </row>
    <row r="51" spans="1:17" s="2" customFormat="1" ht="12" customHeight="1">
      <c r="D51" s="22"/>
      <c r="E51" s="22"/>
      <c r="J51" s="5"/>
      <c r="K51" s="5"/>
      <c r="L51" s="5"/>
      <c r="M51" s="5"/>
      <c r="N51" s="5"/>
      <c r="O51" s="5"/>
      <c r="P51" s="88"/>
      <c r="Q51" s="95"/>
    </row>
    <row r="52" spans="1:17" s="2" customFormat="1" ht="12" customHeight="1">
      <c r="D52" s="22"/>
      <c r="E52" s="22"/>
      <c r="J52" s="5"/>
      <c r="K52" s="5"/>
      <c r="L52" s="5"/>
      <c r="M52" s="5"/>
      <c r="N52" s="5"/>
      <c r="O52" s="5"/>
      <c r="P52" s="88"/>
      <c r="Q52" s="95"/>
    </row>
    <row r="53" spans="1:17" s="2" customFormat="1" ht="12" customHeight="1">
      <c r="D53" s="22"/>
      <c r="E53" s="22"/>
      <c r="J53" s="5"/>
      <c r="K53" s="5"/>
      <c r="L53" s="5"/>
      <c r="M53" s="5"/>
      <c r="N53" s="5"/>
      <c r="O53" s="5"/>
      <c r="P53" s="88"/>
      <c r="Q53" s="95"/>
    </row>
    <row r="54" spans="1:17" s="2" customFormat="1" ht="12" customHeight="1">
      <c r="D54" s="22"/>
      <c r="E54" s="22"/>
      <c r="J54" s="5"/>
      <c r="K54" s="5"/>
      <c r="L54" s="5"/>
      <c r="M54" s="5"/>
      <c r="N54" s="5"/>
      <c r="O54" s="5"/>
      <c r="P54" s="88"/>
      <c r="Q54" s="95"/>
    </row>
    <row r="55" spans="1:17" s="2" customFormat="1" ht="12" customHeight="1">
      <c r="D55" s="22"/>
      <c r="E55" s="22"/>
      <c r="J55" s="5"/>
      <c r="K55" s="5"/>
      <c r="L55" s="5"/>
      <c r="M55" s="5"/>
      <c r="N55" s="5"/>
      <c r="O55" s="5"/>
      <c r="P55" s="88"/>
      <c r="Q55" s="95"/>
    </row>
    <row r="56" spans="1:17" s="2" customFormat="1" ht="12" customHeight="1">
      <c r="D56" s="22"/>
      <c r="E56" s="22"/>
      <c r="J56" s="5"/>
      <c r="K56" s="5"/>
      <c r="L56" s="5"/>
      <c r="M56" s="5"/>
      <c r="N56" s="5"/>
      <c r="O56" s="5"/>
      <c r="P56" s="88"/>
      <c r="Q56" s="96"/>
    </row>
    <row r="57" spans="1:17" s="2" customFormat="1" ht="12" customHeight="1">
      <c r="D57" s="22"/>
      <c r="E57" s="22"/>
      <c r="J57" s="5"/>
      <c r="K57" s="5"/>
      <c r="L57" s="5"/>
      <c r="M57" s="5"/>
      <c r="N57" s="5"/>
      <c r="O57" s="5"/>
      <c r="P57" s="88"/>
      <c r="Q57" s="96"/>
    </row>
    <row r="58" spans="1:17" s="2" customFormat="1" ht="12" customHeight="1">
      <c r="D58" s="22"/>
      <c r="E58" s="22"/>
      <c r="J58" s="5"/>
      <c r="K58" s="5"/>
      <c r="L58" s="5"/>
      <c r="M58" s="5"/>
      <c r="N58" s="5"/>
      <c r="O58" s="5"/>
      <c r="P58" s="88"/>
      <c r="Q58" s="96"/>
    </row>
    <row r="59" spans="1:17" s="2" customFormat="1" ht="12" customHeight="1">
      <c r="D59" s="22"/>
      <c r="E59" s="22"/>
      <c r="J59" s="5"/>
      <c r="K59" s="5"/>
      <c r="L59" s="5"/>
      <c r="M59" s="5"/>
      <c r="N59" s="5"/>
      <c r="O59" s="5"/>
      <c r="P59" s="88"/>
      <c r="Q59" s="96"/>
    </row>
    <row r="60" spans="1:17" s="2" customFormat="1" ht="12" customHeight="1">
      <c r="A60"/>
      <c r="B60"/>
      <c r="C60"/>
      <c r="D60" s="23"/>
      <c r="E60" s="23"/>
      <c r="F60"/>
      <c r="G60"/>
      <c r="H60"/>
      <c r="I60"/>
      <c r="J60" s="19"/>
      <c r="K60" s="19"/>
      <c r="L60" s="19"/>
      <c r="M60" s="19"/>
      <c r="N60" s="19"/>
      <c r="O60" s="19"/>
      <c r="P60" s="90"/>
      <c r="Q60" s="96"/>
    </row>
    <row r="61" spans="1:17" s="2" customFormat="1" ht="12" customHeight="1">
      <c r="A61"/>
      <c r="B61"/>
      <c r="C61"/>
      <c r="D61" s="23"/>
      <c r="E61" s="23"/>
      <c r="F61"/>
      <c r="G61"/>
      <c r="H61"/>
      <c r="I61"/>
      <c r="J61" s="19"/>
      <c r="K61" s="19"/>
      <c r="L61" s="19"/>
      <c r="M61" s="19"/>
      <c r="N61" s="19"/>
      <c r="O61" s="19"/>
      <c r="P61" s="90"/>
      <c r="Q61" s="96"/>
    </row>
    <row r="62" spans="1:17" s="2" customFormat="1" ht="12" customHeight="1">
      <c r="A62"/>
      <c r="B62"/>
      <c r="C62"/>
      <c r="D62" s="23"/>
      <c r="E62" s="23"/>
      <c r="F62"/>
      <c r="G62"/>
      <c r="H62"/>
      <c r="I62"/>
      <c r="J62" s="19"/>
      <c r="K62" s="19"/>
      <c r="L62" s="19"/>
      <c r="M62" s="19"/>
      <c r="N62" s="19"/>
      <c r="O62" s="19"/>
      <c r="P62" s="90"/>
      <c r="Q62" s="96"/>
    </row>
    <row r="63" spans="1:17" s="2" customFormat="1" ht="12" customHeight="1">
      <c r="A63"/>
      <c r="B63"/>
      <c r="C63"/>
      <c r="D63" s="23"/>
      <c r="E63" s="23"/>
      <c r="F63"/>
      <c r="G63"/>
      <c r="H63"/>
      <c r="I63"/>
      <c r="J63" s="19"/>
      <c r="K63" s="19"/>
      <c r="L63" s="19"/>
      <c r="M63" s="19"/>
      <c r="N63" s="19"/>
      <c r="O63" s="19"/>
      <c r="P63" s="90"/>
      <c r="Q63" s="96"/>
    </row>
    <row r="64" spans="1:17" s="2" customFormat="1" ht="12" customHeight="1">
      <c r="A64"/>
      <c r="B64"/>
      <c r="C64"/>
      <c r="D64" s="23"/>
      <c r="E64" s="23"/>
      <c r="F64"/>
      <c r="G64"/>
      <c r="H64"/>
      <c r="I64"/>
      <c r="J64" s="19"/>
      <c r="K64" s="19"/>
      <c r="L64" s="19"/>
      <c r="M64" s="19"/>
      <c r="N64" s="19"/>
      <c r="O64" s="19"/>
      <c r="P64" s="90"/>
      <c r="Q64" s="96"/>
    </row>
    <row r="65" spans="17:17">
      <c r="Q65" s="96"/>
    </row>
    <row r="66" spans="17:17">
      <c r="Q66" s="96"/>
    </row>
    <row r="67" spans="17:17">
      <c r="Q67" s="96"/>
    </row>
    <row r="68" spans="17:17">
      <c r="Q68" s="96"/>
    </row>
    <row r="69" spans="17:17">
      <c r="Q69" s="96"/>
    </row>
    <row r="70" spans="17:17">
      <c r="Q70" s="96"/>
    </row>
    <row r="71" spans="17:17">
      <c r="Q71" s="96"/>
    </row>
    <row r="72" spans="17:17">
      <c r="Q72" s="96"/>
    </row>
    <row r="73" spans="17:17">
      <c r="Q73" s="96"/>
    </row>
    <row r="74" spans="17:17">
      <c r="Q74" s="96"/>
    </row>
    <row r="75" spans="17:17">
      <c r="Q75" s="96"/>
    </row>
    <row r="76" spans="17:17">
      <c r="Q76" s="96"/>
    </row>
    <row r="77" spans="17:17">
      <c r="Q77" s="96"/>
    </row>
    <row r="78" spans="17:17">
      <c r="Q78" s="96"/>
    </row>
    <row r="79" spans="17:17">
      <c r="Q79" s="96"/>
    </row>
    <row r="80" spans="17:17">
      <c r="Q80" s="96"/>
    </row>
    <row r="81" spans="17:17">
      <c r="Q81" s="96"/>
    </row>
    <row r="82" spans="17:17">
      <c r="Q82" s="96"/>
    </row>
    <row r="83" spans="17:17">
      <c r="Q83" s="96"/>
    </row>
    <row r="84" spans="17:17">
      <c r="Q84" s="96"/>
    </row>
    <row r="121" ht="12" customHeight="1"/>
    <row r="122" ht="12" customHeight="1"/>
    <row r="123" ht="12" customHeight="1"/>
    <row r="124" ht="12" customHeight="1"/>
    <row r="125" ht="12" customHeight="1"/>
    <row r="126" ht="12" customHeight="1"/>
    <row r="127" ht="12" customHeight="1"/>
    <row r="128" ht="12" customHeight="1"/>
    <row r="129" ht="12" customHeight="1"/>
    <row r="130" ht="12" customHeight="1"/>
    <row r="131" ht="12" customHeight="1"/>
    <row r="132" ht="12" customHeight="1"/>
    <row r="133" ht="12" customHeight="1"/>
    <row r="134" ht="12" customHeight="1"/>
    <row r="135" ht="12" customHeight="1"/>
    <row r="136" ht="12" customHeight="1"/>
    <row r="137" ht="12" customHeight="1"/>
    <row r="138" ht="12" customHeight="1"/>
    <row r="139" ht="12" customHeight="1"/>
    <row r="140" ht="12" customHeight="1"/>
    <row r="141" ht="12" customHeight="1"/>
    <row r="142" ht="12" customHeight="1"/>
    <row r="143" ht="12" customHeight="1"/>
    <row r="144" ht="12" customHeight="1"/>
    <row r="145" ht="12" customHeight="1"/>
    <row r="146" ht="12" customHeight="1"/>
    <row r="147" ht="12" customHeight="1"/>
    <row r="148" ht="12" customHeight="1"/>
    <row r="149" ht="12" customHeight="1"/>
    <row r="150" ht="12" customHeight="1"/>
    <row r="151" ht="12" customHeight="1"/>
    <row r="152" ht="12" customHeight="1"/>
    <row r="153" ht="12" customHeight="1"/>
    <row r="154" ht="12" customHeight="1"/>
    <row r="155" ht="12" customHeight="1"/>
    <row r="156" ht="12" customHeight="1"/>
    <row r="157" ht="12" customHeight="1"/>
    <row r="158" ht="12" customHeight="1"/>
    <row r="159" ht="12" customHeight="1"/>
    <row r="160" ht="12" customHeight="1"/>
    <row r="161" ht="12" customHeight="1"/>
    <row r="162" ht="12" customHeight="1"/>
    <row r="163" ht="12" customHeight="1"/>
    <row r="164" ht="12" customHeight="1"/>
    <row r="165" ht="12" customHeight="1"/>
    <row r="166" ht="12" customHeight="1"/>
    <row r="167" ht="12" customHeight="1"/>
    <row r="168" ht="12" customHeight="1"/>
    <row r="169" ht="12" customHeight="1"/>
    <row r="170" ht="12" customHeight="1"/>
  </sheetData>
  <mergeCells count="18">
    <mergeCell ref="D17:E17"/>
    <mergeCell ref="H17:I17"/>
    <mergeCell ref="D14:E14"/>
    <mergeCell ref="D15:E15"/>
    <mergeCell ref="D13:E13"/>
    <mergeCell ref="H13:I13"/>
    <mergeCell ref="D10:E10"/>
    <mergeCell ref="H10:I10"/>
    <mergeCell ref="D11:E11"/>
    <mergeCell ref="D12:E12"/>
    <mergeCell ref="D1:E1"/>
    <mergeCell ref="D4:E4"/>
    <mergeCell ref="H4:I4"/>
    <mergeCell ref="D5:E5"/>
    <mergeCell ref="D6:E6"/>
    <mergeCell ref="D7:E7"/>
    <mergeCell ref="D8:E8"/>
    <mergeCell ref="D9:E9"/>
  </mergeCells>
  <conditionalFormatting sqref="M5:M9">
    <cfRule type="cellIs" dxfId="486" priority="1" stopIfTrue="1" operator="lessThanOrEqual">
      <formula>$L5</formula>
    </cfRule>
    <cfRule type="cellIs" dxfId="485" priority="2" operator="greaterThan">
      <formula>L5</formula>
    </cfRule>
  </conditionalFormatting>
  <conditionalFormatting sqref="M11:M12 M14:M16">
    <cfRule type="cellIs" dxfId="484" priority="5" stopIfTrue="1" operator="lessThanOrEqual">
      <formula>$L11</formula>
    </cfRule>
    <cfRule type="cellIs" dxfId="483" priority="6" operator="greaterThan">
      <formula>L11</formula>
    </cfRule>
  </conditionalFormatting>
  <pageMargins left="0.7" right="0.7" top="0.75" bottom="0.75" header="0.3" footer="0.3"/>
  <pageSetup paperSize="3" fitToHeight="0" orientation="landscape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983CFEB4-45DB-4917-8892-0A607B105483}">
          <x14:formula1>
            <xm:f>Bolts!$A:$A</xm:f>
          </x14:formula1>
          <xm:sqref>C14:C16</xm:sqref>
        </x14:dataValidation>
        <x14:dataValidation type="list" allowBlank="1" showInputMessage="1" showErrorMessage="1" xr:uid="{9260E6EE-86D7-4A4E-BEFA-67AFE75ACF24}">
          <x14:formula1>
            <xm:f>Purchased!$A:$A</xm:f>
          </x14:formula1>
          <xm:sqref>C11:C12</xm:sqref>
        </x14:dataValidation>
        <x14:dataValidation type="list" allowBlank="1" showInputMessage="1" showErrorMessage="1" xr:uid="{CEE8255F-296D-4C17-AC27-8C5750A8A567}">
          <x14:formula1>
            <xm:f>Machined!$C:$C</xm:f>
          </x14:formula1>
          <xm:sqref>C5:C9</xm:sqref>
        </x14:dataValidation>
      </x14:dataValidation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AA58E0-9170-4DC0-8107-8C40477634DE}">
  <sheetPr codeName="Sheet46">
    <tabColor theme="3" tint="0.79998168889431442"/>
    <pageSetUpPr fitToPage="1"/>
  </sheetPr>
  <dimension ref="A1:Q188"/>
  <sheetViews>
    <sheetView zoomScaleNormal="100" workbookViewId="0">
      <selection activeCell="D38" sqref="D38"/>
    </sheetView>
  </sheetViews>
  <sheetFormatPr defaultColWidth="9.140625" defaultRowHeight="15"/>
  <cols>
    <col min="1" max="1" width="5.7109375" customWidth="1"/>
    <col min="2" max="2" width="5.42578125" bestFit="1" customWidth="1"/>
    <col min="3" max="3" width="30.7109375" customWidth="1"/>
    <col min="4" max="5" width="20.7109375" style="23" customWidth="1"/>
    <col min="6" max="6" width="16.85546875" bestFit="1" customWidth="1"/>
    <col min="7" max="7" width="9.7109375" customWidth="1"/>
    <col min="8" max="8" width="8.7109375" customWidth="1"/>
    <col min="9" max="9" width="20.7109375" customWidth="1"/>
    <col min="10" max="13" width="11.7109375" style="19" customWidth="1"/>
    <col min="14" max="14" width="11.85546875" style="19" bestFit="1" customWidth="1"/>
    <col min="15" max="15" width="7.7109375" style="19" customWidth="1"/>
    <col min="16" max="16" width="10.7109375" style="90" customWidth="1"/>
    <col min="17" max="17" width="10.7109375" style="97" customWidth="1"/>
  </cols>
  <sheetData>
    <row r="1" spans="1:17" s="55" customFormat="1" ht="12" customHeight="1">
      <c r="A1" s="68" t="s">
        <v>0</v>
      </c>
      <c r="B1" s="69"/>
      <c r="C1" s="69"/>
      <c r="D1" s="262" t="s">
        <v>1</v>
      </c>
      <c r="E1" s="263"/>
      <c r="F1" s="70"/>
      <c r="G1" s="69"/>
      <c r="H1" s="70"/>
      <c r="I1" s="71"/>
      <c r="J1" s="72"/>
      <c r="K1" s="72"/>
      <c r="L1" s="72"/>
      <c r="M1" s="72"/>
      <c r="N1" s="72"/>
      <c r="O1" s="72"/>
      <c r="P1" s="85"/>
      <c r="Q1" s="91"/>
    </row>
    <row r="2" spans="1:17" s="55" customFormat="1" ht="12" customHeight="1">
      <c r="A2" s="74" t="s">
        <v>48</v>
      </c>
      <c r="B2" s="58"/>
      <c r="C2" s="57" t="e">
        <f ca="1">VLOOKUP(E3,Assemblies!B:F,4,0)</f>
        <v>#VALUE!</v>
      </c>
      <c r="D2" s="75" t="s">
        <v>3</v>
      </c>
      <c r="E2" s="76" t="e">
        <f ca="1">'GF12'!E2</f>
        <v>#VALUE!</v>
      </c>
      <c r="F2" s="77" t="s">
        <v>4</v>
      </c>
      <c r="G2" s="58" t="str">
        <f>'GF12'!G2</f>
        <v>GH</v>
      </c>
      <c r="H2" s="77" t="s">
        <v>6</v>
      </c>
      <c r="I2" s="59">
        <f>'GF12'!I2</f>
        <v>44775</v>
      </c>
      <c r="J2" s="39"/>
      <c r="K2" s="40" t="s">
        <v>49</v>
      </c>
      <c r="L2" s="41" t="e">
        <f ca="1">VLOOKUP(C2,Assemblies!E:G,3,0)</f>
        <v>#VALUE!</v>
      </c>
      <c r="M2" s="78"/>
      <c r="N2" s="78"/>
      <c r="O2" s="78"/>
      <c r="P2" s="86"/>
      <c r="Q2" s="92"/>
    </row>
    <row r="3" spans="1:17" s="55" customFormat="1" ht="12" customHeight="1" thickBot="1">
      <c r="A3" s="74" t="s">
        <v>7</v>
      </c>
      <c r="B3" s="58"/>
      <c r="C3" s="57" t="e">
        <f ca="1">VLOOKUP(E3,Assemblies!B:F,5,0)</f>
        <v>#VALUE!</v>
      </c>
      <c r="D3" s="75" t="s">
        <v>50</v>
      </c>
      <c r="E3" s="76" t="e">
        <f ca="1">MID(CELL("filename",A1),FIND("]",CELL("filename",A1))+1,256)</f>
        <v>#VALUE!</v>
      </c>
      <c r="F3" s="77" t="s">
        <v>11</v>
      </c>
      <c r="G3" s="58" t="str">
        <f>'GF12'!G3</f>
        <v>GH</v>
      </c>
      <c r="H3" s="77" t="s">
        <v>6</v>
      </c>
      <c r="I3" s="59">
        <f>'GF12'!I3</f>
        <v>44775</v>
      </c>
      <c r="J3" s="78"/>
      <c r="K3" s="78"/>
      <c r="L3" s="78"/>
      <c r="M3" s="78"/>
      <c r="N3" s="78"/>
      <c r="O3" s="78"/>
      <c r="P3" s="86"/>
      <c r="Q3" s="92"/>
    </row>
    <row r="4" spans="1:17" s="56" customFormat="1" ht="12.75" customHeight="1" thickBot="1">
      <c r="A4" s="80" t="s">
        <v>12</v>
      </c>
      <c r="B4" s="81" t="s">
        <v>13</v>
      </c>
      <c r="C4" s="81" t="s">
        <v>14</v>
      </c>
      <c r="D4" s="270" t="s">
        <v>15</v>
      </c>
      <c r="E4" s="271"/>
      <c r="F4" s="104" t="s">
        <v>16</v>
      </c>
      <c r="G4" s="81" t="s">
        <v>17</v>
      </c>
      <c r="H4" s="260" t="s">
        <v>18</v>
      </c>
      <c r="I4" s="261"/>
      <c r="J4" s="81" t="s">
        <v>51</v>
      </c>
      <c r="K4" s="81" t="s">
        <v>20</v>
      </c>
      <c r="L4" s="81" t="s">
        <v>21</v>
      </c>
      <c r="M4" s="81" t="s">
        <v>52</v>
      </c>
      <c r="N4" s="81" t="s">
        <v>22</v>
      </c>
      <c r="O4" s="81" t="s">
        <v>53</v>
      </c>
      <c r="P4" s="107" t="s">
        <v>26</v>
      </c>
      <c r="Q4" s="82" t="s">
        <v>27</v>
      </c>
    </row>
    <row r="5" spans="1:17" s="2" customFormat="1" ht="12.75" customHeight="1">
      <c r="A5" s="127">
        <v>1</v>
      </c>
      <c r="B5" s="21">
        <v>2</v>
      </c>
      <c r="C5" s="108" t="s">
        <v>607</v>
      </c>
      <c r="D5" s="277" t="str">
        <f>VLOOKUP(C5,Machined!C:Q,2,0)</f>
        <v>Dancer Arm</v>
      </c>
      <c r="E5" s="278"/>
      <c r="F5" s="131" t="str">
        <f>VLOOKUP(C5,Machined!C:R,7,0)</f>
        <v>6061-T6 Alum</v>
      </c>
      <c r="G5" s="131" t="str">
        <f>VLOOKUP(C5,Machined!C:R,10,0)</f>
        <v>FRONTIER</v>
      </c>
      <c r="H5" s="131" t="str">
        <f>VLOOKUP(C5,Machined!C:R,11,0)</f>
        <v xml:space="preserve">  </v>
      </c>
      <c r="I5" s="131"/>
      <c r="J5" s="42">
        <f>VLOOKUP(C5,Machined!C:R,12,0)</f>
        <v>45105</v>
      </c>
      <c r="K5" s="42">
        <f>VLOOKUP(C5,Machined!C:R,13,0)</f>
        <v>45133</v>
      </c>
      <c r="L5" s="42">
        <f>VLOOKUP(C5,Machined!C:R,14,0)</f>
        <v>45163</v>
      </c>
      <c r="M5" s="42">
        <f>VLOOKUP(C5,Machined!C:R,15,0)</f>
        <v>45163</v>
      </c>
      <c r="N5" s="43">
        <f>VLOOKUP(C5,Machined!C:R,16,0)</f>
        <v>55015</v>
      </c>
      <c r="O5" s="43" t="e">
        <f t="shared" ref="O5:O12" ca="1" si="0">B5*$L$2</f>
        <v>#VALUE!</v>
      </c>
      <c r="P5" s="47">
        <f>IFERROR(VLOOKUP(C5,Machined!C:F,3,0),"")</f>
        <v>139.35</v>
      </c>
      <c r="Q5" s="48">
        <f t="shared" ref="Q5:Q12" si="1">IFERROR(B5*P5,"")</f>
        <v>278.7</v>
      </c>
    </row>
    <row r="6" spans="1:17" s="2" customFormat="1" ht="12.75" customHeight="1">
      <c r="A6" s="127">
        <v>2</v>
      </c>
      <c r="B6" s="21">
        <v>2</v>
      </c>
      <c r="C6" s="108" t="s">
        <v>608</v>
      </c>
      <c r="D6" s="277" t="str">
        <f>VLOOKUP(C6,Machined!C:Q,2,0)</f>
        <v>Dancer Arm Clamp</v>
      </c>
      <c r="E6" s="278"/>
      <c r="F6" s="131" t="str">
        <f>VLOOKUP(C6,Machined!C:R,7,0)</f>
        <v>1018 CRS</v>
      </c>
      <c r="G6" s="131" t="str">
        <f>VLOOKUP(C6,Machined!C:R,10,0)</f>
        <v>FRONTIER</v>
      </c>
      <c r="H6" s="131" t="str">
        <f>VLOOKUP(C6,Machined!C:R,11,0)</f>
        <v xml:space="preserve">  </v>
      </c>
      <c r="I6" s="131"/>
      <c r="J6" s="42">
        <f>VLOOKUP(C6,Machined!C:R,12,0)</f>
        <v>45105</v>
      </c>
      <c r="K6" s="42">
        <f>VLOOKUP(C6,Machined!C:R,13,0)</f>
        <v>45133</v>
      </c>
      <c r="L6" s="42">
        <f>VLOOKUP(C6,Machined!C:R,14,0)</f>
        <v>45163</v>
      </c>
      <c r="M6" s="42">
        <f>VLOOKUP(C6,Machined!C:R,15,0)</f>
        <v>45163</v>
      </c>
      <c r="N6" s="43">
        <f>VLOOKUP(C6,Machined!C:R,16,0)</f>
        <v>55015</v>
      </c>
      <c r="O6" s="43" t="e">
        <f t="shared" ca="1" si="0"/>
        <v>#VALUE!</v>
      </c>
      <c r="P6" s="47">
        <f>IFERROR(VLOOKUP(C6,Machined!C:F,3,0),"")</f>
        <v>56.05</v>
      </c>
      <c r="Q6" s="48">
        <f t="shared" si="1"/>
        <v>112.1</v>
      </c>
    </row>
    <row r="7" spans="1:17" s="2" customFormat="1" ht="12.75" customHeight="1">
      <c r="A7" s="127">
        <v>3</v>
      </c>
      <c r="B7" s="21">
        <v>2</v>
      </c>
      <c r="C7" s="108" t="s">
        <v>609</v>
      </c>
      <c r="D7" s="277" t="str">
        <f>VLOOKUP(C7,Machined!C:Q,2,0)</f>
        <v>Clevis Mount</v>
      </c>
      <c r="E7" s="278"/>
      <c r="F7" s="131" t="str">
        <f>VLOOKUP(C7,Machined!C:R,7,0)</f>
        <v>6061-T6 Alum</v>
      </c>
      <c r="G7" s="131" t="str">
        <f>VLOOKUP(C7,Machined!C:R,10,0)</f>
        <v>FRONTIER</v>
      </c>
      <c r="H7" s="131" t="str">
        <f>VLOOKUP(C7,Machined!C:R,11,0)</f>
        <v xml:space="preserve">  </v>
      </c>
      <c r="I7" s="131"/>
      <c r="J7" s="42">
        <f>VLOOKUP(C7,Machined!C:R,12,0)</f>
        <v>45105</v>
      </c>
      <c r="K7" s="42">
        <f>VLOOKUP(C7,Machined!C:R,13,0)</f>
        <v>45133</v>
      </c>
      <c r="L7" s="42">
        <f>VLOOKUP(C7,Machined!C:R,14,0)</f>
        <v>45163</v>
      </c>
      <c r="M7" s="42">
        <f>VLOOKUP(C7,Machined!C:R,15,0)</f>
        <v>45163</v>
      </c>
      <c r="N7" s="43">
        <f>VLOOKUP(C7,Machined!C:R,16,0)</f>
        <v>55015</v>
      </c>
      <c r="O7" s="43" t="e">
        <f t="shared" ca="1" si="0"/>
        <v>#VALUE!</v>
      </c>
      <c r="P7" s="47">
        <f>IFERROR(VLOOKUP(C7,Machined!C:F,3,0),"")</f>
        <v>54.8</v>
      </c>
      <c r="Q7" s="48">
        <f t="shared" si="1"/>
        <v>109.6</v>
      </c>
    </row>
    <row r="8" spans="1:17" s="2" customFormat="1" ht="12.75" customHeight="1">
      <c r="A8" s="127">
        <v>4</v>
      </c>
      <c r="B8" s="21">
        <v>1</v>
      </c>
      <c r="C8" s="108" t="s">
        <v>610</v>
      </c>
      <c r="D8" s="277" t="str">
        <f>VLOOKUP(C8,Machined!C:Q,2,0)</f>
        <v>Dancer Shaft</v>
      </c>
      <c r="E8" s="278"/>
      <c r="F8" s="131" t="str">
        <f>VLOOKUP(C8,Machined!C:R,7,0)</f>
        <v>303 SS - TG&amp;P</v>
      </c>
      <c r="G8" s="131" t="str">
        <f>VLOOKUP(C8,Machined!C:R,10,0)</f>
        <v>ALEXANDRIA, Nuline</v>
      </c>
      <c r="H8" s="131" t="str">
        <f>VLOOKUP(C8,Machined!C:R,11,0)</f>
        <v xml:space="preserve">  </v>
      </c>
      <c r="I8" s="131"/>
      <c r="J8" s="42" t="str">
        <f>VLOOKUP(C8,Machined!C:R,12,0)</f>
        <v>N/A</v>
      </c>
      <c r="K8" s="42" t="str">
        <f>VLOOKUP(C8,Machined!C:R,13,0)</f>
        <v>N/A</v>
      </c>
      <c r="L8" s="42" t="str">
        <f>VLOOKUP(C8,Machined!C:R,14,0)</f>
        <v>N/A</v>
      </c>
      <c r="M8" s="42" t="str">
        <f>VLOOKUP(C8,Machined!C:R,15,0)</f>
        <v>N/A</v>
      </c>
      <c r="N8" s="43">
        <f>VLOOKUP(C8,Machined!C:R,16,0)</f>
        <v>55018</v>
      </c>
      <c r="O8" s="43" t="e">
        <f t="shared" ca="1" si="0"/>
        <v>#VALUE!</v>
      </c>
      <c r="P8" s="47">
        <f>IFERROR(VLOOKUP(C8,Machined!C:F,3,0),"")</f>
        <v>132.03</v>
      </c>
      <c r="Q8" s="48">
        <f t="shared" si="1"/>
        <v>132.03</v>
      </c>
    </row>
    <row r="9" spans="1:17" s="2" customFormat="1" ht="12.75" customHeight="1">
      <c r="A9" s="127">
        <v>5</v>
      </c>
      <c r="B9" s="21">
        <v>2</v>
      </c>
      <c r="C9" s="108" t="s">
        <v>611</v>
      </c>
      <c r="D9" s="277" t="str">
        <f>VLOOKUP(C9,Machined!C:Q,2,0)</f>
        <v>Tension Cylinder Spacer</v>
      </c>
      <c r="E9" s="278"/>
      <c r="F9" s="131" t="str">
        <f>VLOOKUP(C9,Machined!C:R,7,0)</f>
        <v>6061-T6 Alum</v>
      </c>
      <c r="G9" s="131" t="str">
        <f>VLOOKUP(C9,Machined!C:R,10,0)</f>
        <v>FRONTIER</v>
      </c>
      <c r="H9" s="131" t="str">
        <f>VLOOKUP(C9,Machined!C:R,11,0)</f>
        <v xml:space="preserve">  </v>
      </c>
      <c r="I9" s="131"/>
      <c r="J9" s="42">
        <f>VLOOKUP(C9,Machined!C:R,12,0)</f>
        <v>45105</v>
      </c>
      <c r="K9" s="42">
        <f>VLOOKUP(C9,Machined!C:R,13,0)</f>
        <v>45133</v>
      </c>
      <c r="L9" s="42">
        <f>VLOOKUP(C9,Machined!C:R,14,0)</f>
        <v>45163</v>
      </c>
      <c r="M9" s="42">
        <f>VLOOKUP(C9,Machined!C:R,15,0)</f>
        <v>45163</v>
      </c>
      <c r="N9" s="43">
        <f>VLOOKUP(C9,Machined!C:R,16,0)</f>
        <v>55015</v>
      </c>
      <c r="O9" s="43" t="e">
        <f t="shared" ca="1" si="0"/>
        <v>#VALUE!</v>
      </c>
      <c r="P9" s="47">
        <f>IFERROR(VLOOKUP(C9,Machined!C:F,3,0),"")</f>
        <v>52.1</v>
      </c>
      <c r="Q9" s="48">
        <f t="shared" si="1"/>
        <v>104.2</v>
      </c>
    </row>
    <row r="10" spans="1:17" s="2" customFormat="1" ht="12.75" customHeight="1">
      <c r="A10" s="127">
        <v>6</v>
      </c>
      <c r="B10" s="21">
        <v>2</v>
      </c>
      <c r="C10" s="108" t="s">
        <v>612</v>
      </c>
      <c r="D10" s="277" t="str">
        <f>VLOOKUP(C10,Machined!C:Q,2,0)</f>
        <v>Dancer Roller Bracket</v>
      </c>
      <c r="E10" s="278"/>
      <c r="F10" s="131" t="str">
        <f>VLOOKUP(C10,Machined!C:R,7,0)</f>
        <v>6061-T6 Alum</v>
      </c>
      <c r="G10" s="131" t="str">
        <f>VLOOKUP(C10,Machined!C:R,10,0)</f>
        <v>FRONTIER</v>
      </c>
      <c r="H10" s="131" t="str">
        <f>VLOOKUP(C10,Machined!C:R,11,0)</f>
        <v xml:space="preserve">  </v>
      </c>
      <c r="I10" s="131"/>
      <c r="J10" s="42">
        <f>VLOOKUP(C10,Machined!C:R,12,0)</f>
        <v>45105</v>
      </c>
      <c r="K10" s="42">
        <f>VLOOKUP(C10,Machined!C:R,13,0)</f>
        <v>45133</v>
      </c>
      <c r="L10" s="42">
        <f>VLOOKUP(C10,Machined!C:R,14,0)</f>
        <v>45163</v>
      </c>
      <c r="M10" s="42">
        <f>VLOOKUP(C10,Machined!C:R,15,0)</f>
        <v>45163</v>
      </c>
      <c r="N10" s="43">
        <f>VLOOKUP(C10,Machined!C:R,16,0)</f>
        <v>55015</v>
      </c>
      <c r="O10" s="43" t="e">
        <f t="shared" ca="1" si="0"/>
        <v>#VALUE!</v>
      </c>
      <c r="P10" s="47">
        <f>IFERROR(VLOOKUP(C10,Machined!C:F,3,0),"")</f>
        <v>58.1</v>
      </c>
      <c r="Q10" s="48">
        <f t="shared" si="1"/>
        <v>116.2</v>
      </c>
    </row>
    <row r="11" spans="1:17" s="2" customFormat="1" ht="12.75" customHeight="1">
      <c r="A11" s="127">
        <v>7</v>
      </c>
      <c r="B11" s="21">
        <v>2</v>
      </c>
      <c r="C11" s="108" t="s">
        <v>613</v>
      </c>
      <c r="D11" s="277" t="str">
        <f>VLOOKUP(C11,Machined!C:Q,2,0)</f>
        <v>Single Roller Bracket Clamp</v>
      </c>
      <c r="E11" s="278"/>
      <c r="F11" s="131" t="str">
        <f>VLOOKUP(C11,Machined!C:R,7,0)</f>
        <v>1018 CRS</v>
      </c>
      <c r="G11" s="131" t="str">
        <f>VLOOKUP(C11,Machined!C:R,10,0)</f>
        <v>FRONTIER</v>
      </c>
      <c r="H11" s="131" t="str">
        <f>VLOOKUP(C11,Machined!C:R,11,0)</f>
        <v xml:space="preserve">  </v>
      </c>
      <c r="I11" s="131"/>
      <c r="J11" s="42">
        <f>VLOOKUP(C11,Machined!C:R,12,0)</f>
        <v>45105</v>
      </c>
      <c r="K11" s="42">
        <f>VLOOKUP(C11,Machined!C:R,13,0)</f>
        <v>45133</v>
      </c>
      <c r="L11" s="42">
        <f>VLOOKUP(C11,Machined!C:R,14,0)</f>
        <v>45163</v>
      </c>
      <c r="M11" s="42">
        <f>VLOOKUP(C11,Machined!C:R,15,0)</f>
        <v>45163</v>
      </c>
      <c r="N11" s="43">
        <f>VLOOKUP(C11,Machined!C:R,16,0)</f>
        <v>55015</v>
      </c>
      <c r="O11" s="43" t="e">
        <f t="shared" ca="1" si="0"/>
        <v>#VALUE!</v>
      </c>
      <c r="P11" s="47">
        <f>IFERROR(VLOOKUP(C11,Machined!C:F,3,0),"")</f>
        <v>43.95</v>
      </c>
      <c r="Q11" s="48">
        <f t="shared" si="1"/>
        <v>87.9</v>
      </c>
    </row>
    <row r="12" spans="1:17" s="2" customFormat="1" ht="12.75" customHeight="1">
      <c r="A12" s="127">
        <v>8</v>
      </c>
      <c r="B12" s="21">
        <v>3</v>
      </c>
      <c r="C12" s="108" t="s">
        <v>614</v>
      </c>
      <c r="D12" s="277" t="str">
        <f>VLOOKUP(C12,Machined!C:Q,2,0)</f>
        <v>Dancer Roller Shaft</v>
      </c>
      <c r="E12" s="278"/>
      <c r="F12" s="131" t="str">
        <f>VLOOKUP(C12,Machined!C:R,7,0)</f>
        <v>303 SS - TG&amp;P</v>
      </c>
      <c r="G12" s="131" t="str">
        <f>VLOOKUP(C12,Machined!C:R,10,0)</f>
        <v>ALEXANDRIA, NULINE</v>
      </c>
      <c r="H12" s="131" t="str">
        <f>VLOOKUP(C12,Machined!C:R,11,0)</f>
        <v xml:space="preserve">  </v>
      </c>
      <c r="I12" s="131"/>
      <c r="J12" s="42" t="str">
        <f>VLOOKUP(C12,Machined!C:R,12,0)</f>
        <v>N/A</v>
      </c>
      <c r="K12" s="42" t="str">
        <f>VLOOKUP(C12,Machined!C:R,13,0)</f>
        <v>N/A</v>
      </c>
      <c r="L12" s="42" t="str">
        <f>VLOOKUP(C12,Machined!C:R,14,0)</f>
        <v>N/A</v>
      </c>
      <c r="M12" s="42" t="str">
        <f>VLOOKUP(C12,Machined!C:R,15,0)</f>
        <v>N/A</v>
      </c>
      <c r="N12" s="43">
        <f>VLOOKUP(C12,Machined!C:R,16,0)</f>
        <v>55018</v>
      </c>
      <c r="O12" s="43" t="e">
        <f t="shared" ca="1" si="0"/>
        <v>#VALUE!</v>
      </c>
      <c r="P12" s="47">
        <f>IFERROR(VLOOKUP(C12,Machined!C:F,3,0),"")</f>
        <v>85.05</v>
      </c>
      <c r="Q12" s="48">
        <f t="shared" si="1"/>
        <v>255.14999999999998</v>
      </c>
    </row>
    <row r="13" spans="1:17" s="2" customFormat="1" ht="12.75" customHeight="1">
      <c r="A13" s="127">
        <v>9</v>
      </c>
      <c r="B13" s="21">
        <v>3</v>
      </c>
      <c r="C13" s="108" t="s">
        <v>272</v>
      </c>
      <c r="D13" s="277" t="str">
        <f>VLOOKUP(C13,Machined!C:Q,2,0)</f>
        <v>EXTRUDED ROLLER</v>
      </c>
      <c r="E13" s="278"/>
      <c r="F13" s="131" t="str">
        <f>VLOOKUP(C13,Machined!C:R,7,0)</f>
        <v>6061-T6 Alum</v>
      </c>
      <c r="G13" s="131" t="str">
        <f>VLOOKUP(C13,Machined!C:R,10,0)</f>
        <v>BONNELL, RON GROB, 3J, Fin. Pros</v>
      </c>
      <c r="H13" s="131" t="str">
        <f>VLOOKUP(C13,Machined!C:R,11,0)</f>
        <v xml:space="preserve"> </v>
      </c>
      <c r="I13" s="131"/>
      <c r="J13" s="42" t="str">
        <f>VLOOKUP(C13,Machined!C:R,12,0)</f>
        <v>N/A</v>
      </c>
      <c r="K13" s="42" t="str">
        <f>VLOOKUP(C13,Machined!C:R,13,0)</f>
        <v>N/A</v>
      </c>
      <c r="L13" s="42" t="str">
        <f>VLOOKUP(C13,Machined!C:R,14,0)</f>
        <v>N/A</v>
      </c>
      <c r="M13" s="42" t="str">
        <f>VLOOKUP(C13,Machined!C:R,15,0)</f>
        <v>N/A</v>
      </c>
      <c r="N13" s="43" t="str">
        <f>VLOOKUP(C13,Machined!C:R,16,0)</f>
        <v xml:space="preserve">54809, 54970, 54989 </v>
      </c>
      <c r="O13" s="43" t="e">
        <f ca="1">B13*$L$2</f>
        <v>#VALUE!</v>
      </c>
      <c r="P13" s="47">
        <f>IFERROR(VLOOKUP(C13,Machined!C:F,3,0),"")</f>
        <v>119.09</v>
      </c>
      <c r="Q13" s="48">
        <f>IFERROR(B13*P13,"")</f>
        <v>357.27</v>
      </c>
    </row>
    <row r="14" spans="1:17" s="2" customFormat="1" ht="12.75" customHeight="1">
      <c r="A14" s="127">
        <v>10</v>
      </c>
      <c r="B14" s="21">
        <v>6</v>
      </c>
      <c r="C14" s="108" t="s">
        <v>274</v>
      </c>
      <c r="D14" s="277" t="str">
        <f>VLOOKUP(C14,Machined!C:Q,2,0)</f>
        <v>ROLLER CAP</v>
      </c>
      <c r="E14" s="278"/>
      <c r="F14" s="131" t="str">
        <f>VLOOKUP(C14,Machined!C:R,7,0)</f>
        <v>304 SS</v>
      </c>
      <c r="G14" s="131" t="str">
        <f>VLOOKUP(C14,Machined!C:R,10,0)</f>
        <v>XOMETRY</v>
      </c>
      <c r="H14" s="131" t="str">
        <f>VLOOKUP(C14,Machined!C:R,11,0)</f>
        <v xml:space="preserve">  </v>
      </c>
      <c r="I14" s="131"/>
      <c r="J14" s="42" t="str">
        <f>VLOOKUP(C14,Machined!C:R,12,0)</f>
        <v>N/A</v>
      </c>
      <c r="K14" s="42">
        <f>VLOOKUP(C14,Machined!C:R,13,0)</f>
        <v>45141</v>
      </c>
      <c r="L14" s="42">
        <f>VLOOKUP(C14,Machined!C:R,14,0)</f>
        <v>45161</v>
      </c>
      <c r="M14" s="42">
        <f>VLOOKUP(C14,Machined!C:R,15,0)</f>
        <v>45161</v>
      </c>
      <c r="N14" s="43">
        <f>VLOOKUP(C14,Machined!C:R,16,0)</f>
        <v>55030</v>
      </c>
      <c r="O14" s="43" t="e">
        <f ca="1">B14*$L$2</f>
        <v>#VALUE!</v>
      </c>
      <c r="P14" s="47">
        <f>IFERROR(VLOOKUP(C14,Machined!C:F,3,0),"")</f>
        <v>1.52</v>
      </c>
      <c r="Q14" s="48">
        <f>IFERROR(B14*P14,"")</f>
        <v>9.120000000000001</v>
      </c>
    </row>
    <row r="15" spans="1:17" s="2" customFormat="1" ht="12.75" customHeight="1">
      <c r="A15" s="143"/>
      <c r="B15" s="26"/>
      <c r="C15" s="26"/>
      <c r="D15" s="272"/>
      <c r="E15" s="273"/>
      <c r="F15" s="26"/>
      <c r="G15" s="26"/>
      <c r="H15" s="274"/>
      <c r="I15" s="275"/>
      <c r="J15" s="27"/>
      <c r="K15" s="27"/>
      <c r="L15" s="27"/>
      <c r="M15" s="28"/>
      <c r="N15" s="29"/>
      <c r="O15" s="29"/>
      <c r="P15" s="141"/>
      <c r="Q15" s="142"/>
    </row>
    <row r="16" spans="1:17" s="2" customFormat="1" ht="12.75" customHeight="1">
      <c r="A16" s="4">
        <v>301</v>
      </c>
      <c r="B16" s="2">
        <v>2</v>
      </c>
      <c r="C16" s="114" t="s">
        <v>615</v>
      </c>
      <c r="D16" s="268" t="str">
        <f>VLOOKUP(C16,Purchased!A:B,2,0)</f>
        <v>SMC NCM, Air Cylinder</v>
      </c>
      <c r="E16" s="269"/>
      <c r="F16" s="112" t="str">
        <f>VLOOKUP(C16,Purchased!A:Q,9,0)</f>
        <v>SMC</v>
      </c>
      <c r="G16" s="112" t="str">
        <f>VLOOKUP(C16,Purchased!A:Q,10,0)</f>
        <v>AAP</v>
      </c>
      <c r="H16" s="112" t="str">
        <f>VLOOKUP(C16,Purchased!A:Q,12,0)</f>
        <v xml:space="preserve"> </v>
      </c>
      <c r="I16" s="113"/>
      <c r="J16" s="44" t="str">
        <f>VLOOKUP(C16,Purchased!A:Q,13,0)</f>
        <v>N/A</v>
      </c>
      <c r="K16" s="44">
        <f>VLOOKUP(C16,Purchased!A:Q,14,0)</f>
        <v>45042</v>
      </c>
      <c r="L16" s="44">
        <f>VLOOKUP(C16,Purchased!A:Q,15,0)</f>
        <v>45098</v>
      </c>
      <c r="M16" s="44">
        <f>VLOOKUP(C16,Purchased!A:Q,16,0)</f>
        <v>45144</v>
      </c>
      <c r="N16" s="45">
        <f>VLOOKUP(C16,Purchased!A:Q,17,0)</f>
        <v>54862</v>
      </c>
      <c r="O16" s="45" t="e">
        <f t="shared" ref="O16:O26" ca="1" si="2">B16*$L$2</f>
        <v>#VALUE!</v>
      </c>
      <c r="P16" s="49">
        <f>IFERROR(VLOOKUP(C16,Purchased!A:E,3,FALSE),"")</f>
        <v>57.975499999999997</v>
      </c>
      <c r="Q16" s="50">
        <f t="shared" ref="Q16:Q26" si="3">IFERROR(B16*P16,"")</f>
        <v>115.95099999999999</v>
      </c>
    </row>
    <row r="17" spans="1:17" s="2" customFormat="1" ht="12" customHeight="1">
      <c r="A17" s="4">
        <f t="shared" ref="A17:A20" si="4">A16+1</f>
        <v>302</v>
      </c>
      <c r="B17" s="2">
        <v>1</v>
      </c>
      <c r="C17" s="114" t="s">
        <v>616</v>
      </c>
      <c r="D17" s="268" t="str">
        <f>VLOOKUP(C17,Purchased!A:B,2,0)</f>
        <v>SICK Position Sensor on Actuated Dancer Roller</v>
      </c>
      <c r="E17" s="269"/>
      <c r="F17" s="112" t="str">
        <f>VLOOKUP(C17,Purchased!A:Q,9,0)</f>
        <v>Sick</v>
      </c>
      <c r="G17" s="112" t="str">
        <f>VLOOKUP(C17,Purchased!A:Q,10,0)</f>
        <v>AAP</v>
      </c>
      <c r="H17" s="112" t="str">
        <f>VLOOKUP(C17,Purchased!A:Q,12,0)</f>
        <v xml:space="preserve"> </v>
      </c>
      <c r="I17" s="113"/>
      <c r="J17" s="44" t="str">
        <f>VLOOKUP(C17,Purchased!A:Q,13,0)</f>
        <v>N/A</v>
      </c>
      <c r="K17" s="44">
        <f>VLOOKUP(C17,Purchased!A:Q,14,0)</f>
        <v>45152</v>
      </c>
      <c r="L17" s="44">
        <f>VLOOKUP(C17,Purchased!A:Q,15,0)</f>
        <v>45187</v>
      </c>
      <c r="M17" s="44">
        <f>VLOOKUP(C17,Purchased!A:Q,16,0)</f>
        <v>45187</v>
      </c>
      <c r="N17" s="45">
        <f>VLOOKUP(C17,Purchased!A:Q,17,0)</f>
        <v>55054</v>
      </c>
      <c r="O17" s="45" t="e">
        <f t="shared" ca="1" si="2"/>
        <v>#VALUE!</v>
      </c>
      <c r="P17" s="49">
        <f>IFERROR(VLOOKUP(C17,Purchased!A:E,3,FALSE),"")</f>
        <v>464</v>
      </c>
      <c r="Q17" s="50">
        <f t="shared" si="3"/>
        <v>464</v>
      </c>
    </row>
    <row r="18" spans="1:17" s="2" customFormat="1" ht="12" customHeight="1">
      <c r="A18" s="4">
        <f t="shared" si="4"/>
        <v>303</v>
      </c>
      <c r="B18" s="2">
        <v>2</v>
      </c>
      <c r="C18" s="114" t="s">
        <v>617</v>
      </c>
      <c r="D18" s="268" t="str">
        <f>VLOOKUP(C18,Purchased!A:B,2,0)</f>
        <v>Steel Hex Head Shoulder Screw 11mm Shoulder Diameter, 48mm Shoulder Length, M10 x 1.5mm Thread</v>
      </c>
      <c r="E18" s="269"/>
      <c r="F18" s="112" t="str">
        <f>VLOOKUP(C18,Purchased!A:Q,9,0)</f>
        <v>MCM</v>
      </c>
      <c r="G18" s="112" t="str">
        <f>VLOOKUP(C18,Purchased!A:Q,10,0)</f>
        <v>MCM</v>
      </c>
      <c r="H18" s="112" t="str">
        <f>VLOOKUP(C18,Purchased!A:Q,12,0)</f>
        <v xml:space="preserve"> </v>
      </c>
      <c r="I18" s="113"/>
      <c r="J18" s="44" t="str">
        <f>VLOOKUP(C18,Purchased!A:Q,13,0)</f>
        <v>N/A</v>
      </c>
      <c r="K18" s="44">
        <f>VLOOKUP(C18,Purchased!A:Q,14,0)</f>
        <v>45162</v>
      </c>
      <c r="L18" s="44">
        <f>VLOOKUP(C18,Purchased!A:Q,15,0)</f>
        <v>45184</v>
      </c>
      <c r="M18" s="44">
        <f>VLOOKUP(C18,Purchased!A:Q,16,0)</f>
        <v>45163</v>
      </c>
      <c r="N18" s="45">
        <f>VLOOKUP(C18,Purchased!A:Q,17,0)</f>
        <v>55089</v>
      </c>
      <c r="O18" s="45" t="e">
        <f t="shared" ca="1" si="2"/>
        <v>#VALUE!</v>
      </c>
      <c r="P18" s="49">
        <f>IFERROR(VLOOKUP(C18,Purchased!A:E,3,FALSE),"")</f>
        <v>7.14</v>
      </c>
      <c r="Q18" s="50">
        <f t="shared" si="3"/>
        <v>14.28</v>
      </c>
    </row>
    <row r="19" spans="1:17" s="2" customFormat="1" ht="12" customHeight="1">
      <c r="A19" s="4">
        <f t="shared" si="4"/>
        <v>304</v>
      </c>
      <c r="B19" s="2">
        <v>2</v>
      </c>
      <c r="C19" s="114" t="s">
        <v>618</v>
      </c>
      <c r="D19" s="268" t="str">
        <f>VLOOKUP(C19,Purchased!A:B,2,0)</f>
        <v>Aluminum Unthreaded Spacer 1" OD, 1-1/2" Long, for 1/2" Screw Size</v>
      </c>
      <c r="E19" s="269"/>
      <c r="F19" s="112" t="str">
        <f>VLOOKUP(C19,Purchased!A:Q,9,0)</f>
        <v>MCM</v>
      </c>
      <c r="G19" s="112" t="str">
        <f>VLOOKUP(C19,Purchased!A:Q,10,0)</f>
        <v>MCM</v>
      </c>
      <c r="H19" s="112" t="str">
        <f>VLOOKUP(C19,Purchased!A:Q,12,0)</f>
        <v xml:space="preserve"> </v>
      </c>
      <c r="I19" s="113"/>
      <c r="J19" s="44" t="str">
        <f>VLOOKUP(C19,Purchased!A:Q,13,0)</f>
        <v>N/A</v>
      </c>
      <c r="K19" s="44">
        <f>VLOOKUP(C19,Purchased!A:Q,14,0)</f>
        <v>45162</v>
      </c>
      <c r="L19" s="44">
        <f>VLOOKUP(C19,Purchased!A:Q,15,0)</f>
        <v>45184</v>
      </c>
      <c r="M19" s="44">
        <f>VLOOKUP(C19,Purchased!A:Q,16,0)</f>
        <v>45163</v>
      </c>
      <c r="N19" s="45">
        <f>VLOOKUP(C19,Purchased!A:Q,17,0)</f>
        <v>55089</v>
      </c>
      <c r="O19" s="45" t="e">
        <f t="shared" ca="1" si="2"/>
        <v>#VALUE!</v>
      </c>
      <c r="P19" s="49">
        <f>IFERROR(VLOOKUP(C19,Purchased!A:E,3,FALSE),"")</f>
        <v>10.68</v>
      </c>
      <c r="Q19" s="50">
        <f t="shared" si="3"/>
        <v>21.36</v>
      </c>
    </row>
    <row r="20" spans="1:17" s="2" customFormat="1" ht="12" customHeight="1">
      <c r="A20" s="4">
        <f t="shared" si="4"/>
        <v>305</v>
      </c>
      <c r="B20" s="2">
        <v>2</v>
      </c>
      <c r="C20" s="114" t="s">
        <v>619</v>
      </c>
      <c r="D20" s="268" t="str">
        <f>VLOOKUP(C20,Purchased!A:B,2,0)</f>
        <v>Ball Joint Rod End 7/16"-20 Thread, Right Hand</v>
      </c>
      <c r="E20" s="269"/>
      <c r="F20" s="112" t="str">
        <f>VLOOKUP(C20,Purchased!A:Q,9,0)</f>
        <v>MCM</v>
      </c>
      <c r="G20" s="112" t="str">
        <f>VLOOKUP(C20,Purchased!A:Q,10,0)</f>
        <v>MCM</v>
      </c>
      <c r="H20" s="112" t="str">
        <f>VLOOKUP(C20,Purchased!A:Q,12,0)</f>
        <v xml:space="preserve"> </v>
      </c>
      <c r="I20" s="113"/>
      <c r="J20" s="44" t="str">
        <f>VLOOKUP(C20,Purchased!A:Q,13,0)</f>
        <v>N/A</v>
      </c>
      <c r="K20" s="44">
        <f>VLOOKUP(C20,Purchased!A:Q,14,0)</f>
        <v>45162</v>
      </c>
      <c r="L20" s="44">
        <f>VLOOKUP(C20,Purchased!A:Q,15,0)</f>
        <v>45184</v>
      </c>
      <c r="M20" s="44">
        <f>VLOOKUP(C20,Purchased!A:Q,16,0)</f>
        <v>45166</v>
      </c>
      <c r="N20" s="45">
        <f>VLOOKUP(C20,Purchased!A:Q,17,0)</f>
        <v>55087</v>
      </c>
      <c r="O20" s="45" t="e">
        <f t="shared" ca="1" si="2"/>
        <v>#VALUE!</v>
      </c>
      <c r="P20" s="49">
        <f>IFERROR(VLOOKUP(C20,Purchased!A:E,3,FALSE),"")</f>
        <v>10.07</v>
      </c>
      <c r="Q20" s="50">
        <f t="shared" si="3"/>
        <v>20.14</v>
      </c>
    </row>
    <row r="21" spans="1:17" s="2" customFormat="1" ht="12" customHeight="1">
      <c r="A21" s="4">
        <f t="shared" ref="A21:A30" si="5">A20+1</f>
        <v>306</v>
      </c>
      <c r="B21" s="2">
        <v>2</v>
      </c>
      <c r="C21" s="114" t="s">
        <v>620</v>
      </c>
      <c r="D21" s="268" t="str">
        <f>VLOOKUP(C21,Purchased!A:B,2,0)</f>
        <v>Ring Shims 5052 Aluminum, 0.0630" Thick, 1" ID, 10pk</v>
      </c>
      <c r="E21" s="269"/>
      <c r="F21" s="112" t="str">
        <f>VLOOKUP(C21,Purchased!A:Q,9,0)</f>
        <v>MCM</v>
      </c>
      <c r="G21" s="112" t="str">
        <f>VLOOKUP(C21,Purchased!A:Q,10,0)</f>
        <v>MCM</v>
      </c>
      <c r="H21" s="112" t="str">
        <f>VLOOKUP(C21,Purchased!A:Q,12,0)</f>
        <v>Pack of 10</v>
      </c>
      <c r="I21" s="113"/>
      <c r="J21" s="44" t="str">
        <f>VLOOKUP(C21,Purchased!A:Q,13,0)</f>
        <v>N/A</v>
      </c>
      <c r="K21" s="44">
        <f>VLOOKUP(C21,Purchased!A:Q,14,0)</f>
        <v>45162</v>
      </c>
      <c r="L21" s="44">
        <f>VLOOKUP(C21,Purchased!A:Q,15,0)</f>
        <v>45184</v>
      </c>
      <c r="M21" s="44">
        <f>VLOOKUP(C21,Purchased!A:Q,16,0)</f>
        <v>45163</v>
      </c>
      <c r="N21" s="45">
        <f>VLOOKUP(C21,Purchased!A:Q,17,0)</f>
        <v>55089</v>
      </c>
      <c r="O21" s="45" t="e">
        <f t="shared" ref="O21" ca="1" si="6">B21*$L$2</f>
        <v>#VALUE!</v>
      </c>
      <c r="P21" s="49">
        <f>IFERROR(VLOOKUP(C21,Purchased!A:E,3,FALSE),"")</f>
        <v>8.0500000000000007</v>
      </c>
      <c r="Q21" s="50">
        <f t="shared" ref="Q21" si="7">IFERROR(B21*P21,"")</f>
        <v>16.100000000000001</v>
      </c>
    </row>
    <row r="22" spans="1:17" s="2" customFormat="1" ht="12" customHeight="1">
      <c r="A22" s="4">
        <f t="shared" si="5"/>
        <v>307</v>
      </c>
      <c r="B22" s="2">
        <v>2</v>
      </c>
      <c r="C22" s="114" t="s">
        <v>621</v>
      </c>
      <c r="D22" s="268" t="str">
        <f>VLOOKUP(C22,Purchased!A:B,2,0)</f>
        <v>Ball Bearing Sealed with Extended Inner Ring, for 1" Shaft Diameter</v>
      </c>
      <c r="E22" s="269"/>
      <c r="F22" s="112" t="str">
        <f>VLOOKUP(C22,Purchased!A:Q,9,0)</f>
        <v>MOTION</v>
      </c>
      <c r="G22" s="112" t="str">
        <f>VLOOKUP(C22,Purchased!A:Q,10,0)</f>
        <v>MOTION</v>
      </c>
      <c r="H22" s="112" t="str">
        <f>VLOOKUP(C22,Purchased!A:Q,12,0)</f>
        <v>MCM=6384K373</v>
      </c>
      <c r="I22" s="113"/>
      <c r="J22" s="44" t="str">
        <f>VLOOKUP(C22,Purchased!A:Q,13,0)</f>
        <v>N/A</v>
      </c>
      <c r="K22" s="44">
        <f>VLOOKUP(C22,Purchased!A:Q,14,0)</f>
        <v>45161</v>
      </c>
      <c r="L22" s="44">
        <f>VLOOKUP(C22,Purchased!A:Q,15,0)</f>
        <v>45191</v>
      </c>
      <c r="M22" s="44">
        <f>VLOOKUP(C22,Purchased!A:Q,16,0)</f>
        <v>45191</v>
      </c>
      <c r="N22" s="45">
        <f>VLOOKUP(C22,Purchased!A:Q,17,0)</f>
        <v>55079</v>
      </c>
      <c r="O22" s="45" t="e">
        <f t="shared" ca="1" si="2"/>
        <v>#VALUE!</v>
      </c>
      <c r="P22" s="49">
        <f>IFERROR(VLOOKUP(C22,Purchased!A:E,3,FALSE),"")</f>
        <v>14.96</v>
      </c>
      <c r="Q22" s="50">
        <f t="shared" si="3"/>
        <v>29.92</v>
      </c>
    </row>
    <row r="23" spans="1:17" s="2" customFormat="1" ht="12" customHeight="1">
      <c r="A23" s="4">
        <f t="shared" si="5"/>
        <v>308</v>
      </c>
      <c r="B23" s="2">
        <v>6</v>
      </c>
      <c r="C23" s="114" t="s">
        <v>277</v>
      </c>
      <c r="D23" s="268" t="str">
        <f>VLOOKUP(C23,Purchased!A:B,2,0)</f>
        <v>7612 DLG Deep groove ball bearing, 3/4" Bore, 1-3/4" O.D - Outside seal, no inner, with light oil lube- no grease.</v>
      </c>
      <c r="E23" s="269"/>
      <c r="F23" s="112" t="str">
        <f>VLOOKUP(C23,Purchased!A:Q,9,0)</f>
        <v>QualBear</v>
      </c>
      <c r="G23" s="112" t="str">
        <f>VLOOKUP(C23,Purchased!A:Q,10,0)</f>
        <v>QualBear</v>
      </c>
      <c r="H23" s="112" t="str">
        <f>VLOOKUP(C23,Purchased!A:Q,12,0)</f>
        <v>MCM part 4768K6</v>
      </c>
      <c r="I23" s="113"/>
      <c r="J23" s="44" t="str">
        <f>VLOOKUP(C23,Purchased!A:Q,13,0)</f>
        <v>N/A</v>
      </c>
      <c r="K23" s="44">
        <f>VLOOKUP(C23,Purchased!A:Q,14,0)</f>
        <v>45124</v>
      </c>
      <c r="L23" s="44">
        <f>VLOOKUP(C23,Purchased!A:Q,15,0)</f>
        <v>45145</v>
      </c>
      <c r="M23" s="44">
        <f>VLOOKUP(C23,Purchased!A:Q,16,0)</f>
        <v>45148</v>
      </c>
      <c r="N23" s="45">
        <f>VLOOKUP(C23,Purchased!A:Q,17,0)</f>
        <v>54997</v>
      </c>
      <c r="O23" s="45" t="e">
        <f t="shared" ca="1" si="2"/>
        <v>#VALUE!</v>
      </c>
      <c r="P23" s="49">
        <f>IFERROR(VLOOKUP(C23,Purchased!A:E,3,FALSE),"")</f>
        <v>6.79</v>
      </c>
      <c r="Q23" s="50">
        <f t="shared" si="3"/>
        <v>40.74</v>
      </c>
    </row>
    <row r="24" spans="1:17" s="2" customFormat="1" ht="12" customHeight="1">
      <c r="A24" s="4">
        <f t="shared" si="5"/>
        <v>309</v>
      </c>
      <c r="B24" s="2">
        <v>4</v>
      </c>
      <c r="C24" s="114" t="s">
        <v>262</v>
      </c>
      <c r="D24" s="268" t="str">
        <f>VLOOKUP(C24,Purchased!A:B,2,0)</f>
        <v>BRX GOTO T-NUT 10 M6</v>
      </c>
      <c r="E24" s="269"/>
      <c r="F24" s="112" t="str">
        <f>VLOOKUP(C24,Purchased!A:Q,9,0)</f>
        <v>BRX</v>
      </c>
      <c r="G24" s="112" t="str">
        <f>VLOOKUP(C24,Purchased!A:Q,10,0)</f>
        <v>AAP</v>
      </c>
      <c r="H24" s="112" t="str">
        <f>VLOOKUP(C24,Purchased!A:Q,12,0)</f>
        <v xml:space="preserve">  </v>
      </c>
      <c r="I24" s="113"/>
      <c r="J24" s="44">
        <f>VLOOKUP(C24,Purchased!A:Q,13,0)</f>
        <v>45104</v>
      </c>
      <c r="K24" s="44">
        <f>VLOOKUP(C24,Purchased!A:Q,14,0)</f>
        <v>45105</v>
      </c>
      <c r="L24" s="44">
        <f>VLOOKUP(C24,Purchased!A:Q,15,0)</f>
        <v>45133</v>
      </c>
      <c r="M24" s="44">
        <f>VLOOKUP(C24,Purchased!A:Q,16,0)</f>
        <v>45133</v>
      </c>
      <c r="N24" s="45" t="str">
        <f>VLOOKUP(C24,Purchased!A:Q,17,0)</f>
        <v>54968, 55147, 55270</v>
      </c>
      <c r="O24" s="45" t="e">
        <f t="shared" ca="1" si="2"/>
        <v>#VALUE!</v>
      </c>
      <c r="P24" s="49">
        <f>IFERROR(VLOOKUP(C24,Purchased!A:E,3,FALSE),"")</f>
        <v>0.64290000000000003</v>
      </c>
      <c r="Q24" s="50">
        <f t="shared" si="3"/>
        <v>2.5716000000000001</v>
      </c>
    </row>
    <row r="25" spans="1:17" s="2" customFormat="1" ht="12" customHeight="1">
      <c r="A25" s="4">
        <f t="shared" si="5"/>
        <v>310</v>
      </c>
      <c r="B25" s="2">
        <v>4</v>
      </c>
      <c r="C25" s="114" t="s">
        <v>256</v>
      </c>
      <c r="D25" s="268" t="str">
        <f>VLOOKUP(C25,Purchased!A:B,2,0)</f>
        <v>BRX GOTO T-NUT 10 M8</v>
      </c>
      <c r="E25" s="269"/>
      <c r="F25" s="112" t="str">
        <f>VLOOKUP(C25,Purchased!A:Q,9,0)</f>
        <v>BRX</v>
      </c>
      <c r="G25" s="112" t="str">
        <f>VLOOKUP(C25,Purchased!A:Q,10,0)</f>
        <v>AAP</v>
      </c>
      <c r="H25" s="112" t="str">
        <f>VLOOKUP(C25,Purchased!A:Q,12,0)</f>
        <v xml:space="preserve">  </v>
      </c>
      <c r="I25" s="113"/>
      <c r="J25" s="44">
        <f>VLOOKUP(C25,Purchased!A:Q,13,0)</f>
        <v>45104</v>
      </c>
      <c r="K25" s="44">
        <f>VLOOKUP(C25,Purchased!A:Q,14,0)</f>
        <v>45105</v>
      </c>
      <c r="L25" s="44">
        <f>VLOOKUP(C25,Purchased!A:Q,15,0)</f>
        <v>45133</v>
      </c>
      <c r="M25" s="44">
        <f>VLOOKUP(C25,Purchased!A:Q,16,0)</f>
        <v>45133</v>
      </c>
      <c r="N25" s="45" t="str">
        <f>VLOOKUP(C25,Purchased!A:Q,17,0)</f>
        <v>54968, 55147</v>
      </c>
      <c r="O25" s="45" t="e">
        <f t="shared" ca="1" si="2"/>
        <v>#VALUE!</v>
      </c>
      <c r="P25" s="49">
        <f>IFERROR(VLOOKUP(C25,Purchased!A:E,3,FALSE),"")</f>
        <v>0.64290000000000003</v>
      </c>
      <c r="Q25" s="50">
        <f t="shared" si="3"/>
        <v>2.5716000000000001</v>
      </c>
    </row>
    <row r="26" spans="1:17" s="2" customFormat="1" ht="12" customHeight="1">
      <c r="A26" s="4">
        <f t="shared" si="5"/>
        <v>311</v>
      </c>
      <c r="B26" s="2">
        <v>2</v>
      </c>
      <c r="C26" s="114" t="s">
        <v>622</v>
      </c>
      <c r="D26" s="268" t="str">
        <f>VLOOKUP(C26,Purchased!A:B,2,0)</f>
        <v>Alloy Steel Shoulder Screws 6 mm Shoulder Diameter, 40 mm Shoulder Length, M5 x 0.8 mm Thread</v>
      </c>
      <c r="E26" s="269"/>
      <c r="F26" s="112" t="str">
        <f>VLOOKUP(C26,Purchased!A:Q,9,0)</f>
        <v>MCM</v>
      </c>
      <c r="G26" s="112" t="str">
        <f>VLOOKUP(C26,Purchased!A:Q,10,0)</f>
        <v>MCM</v>
      </c>
      <c r="H26" s="112" t="str">
        <f>VLOOKUP(C26,Purchased!A:Q,12,0)</f>
        <v xml:space="preserve"> </v>
      </c>
      <c r="I26" s="113"/>
      <c r="J26" s="44" t="str">
        <f>VLOOKUP(C26,Purchased!A:Q,13,0)</f>
        <v>N/A</v>
      </c>
      <c r="K26" s="44">
        <f>VLOOKUP(C26,Purchased!A:Q,14,0)</f>
        <v>45162</v>
      </c>
      <c r="L26" s="44">
        <f>VLOOKUP(C26,Purchased!A:Q,15,0)</f>
        <v>45184</v>
      </c>
      <c r="M26" s="44">
        <f>VLOOKUP(C26,Purchased!A:Q,16,0)</f>
        <v>45163</v>
      </c>
      <c r="N26" s="45">
        <f>VLOOKUP(C26,Purchased!A:Q,17,0)</f>
        <v>55089</v>
      </c>
      <c r="O26" s="45" t="e">
        <f t="shared" ca="1" si="2"/>
        <v>#VALUE!</v>
      </c>
      <c r="P26" s="49">
        <f>IFERROR(VLOOKUP(C26,Purchased!A:E,3,FALSE),"")</f>
        <v>2.1</v>
      </c>
      <c r="Q26" s="50">
        <f t="shared" si="3"/>
        <v>4.2</v>
      </c>
    </row>
    <row r="27" spans="1:17" s="2" customFormat="1" ht="12" customHeight="1">
      <c r="A27" s="4">
        <f t="shared" si="5"/>
        <v>312</v>
      </c>
      <c r="B27" s="2">
        <v>4</v>
      </c>
      <c r="C27" s="114" t="s">
        <v>623</v>
      </c>
      <c r="D27" s="268" t="str">
        <f>VLOOKUP(C27,Purchased!A:B,2,0)</f>
        <v>SMC FITTING, MALE ELBOW</v>
      </c>
      <c r="E27" s="269"/>
      <c r="F27" s="112" t="str">
        <f>VLOOKUP(C27,Purchased!A:Q,9,0)</f>
        <v>SMC</v>
      </c>
      <c r="G27" s="112" t="str">
        <f>VLOOKUP(C27,Purchased!A:Q,10,0)</f>
        <v xml:space="preserve">AAP </v>
      </c>
      <c r="H27" s="112" t="str">
        <f>VLOOKUP(C27,Purchased!A:Q,12,0)</f>
        <v xml:space="preserve"> </v>
      </c>
      <c r="I27" s="113"/>
      <c r="J27" s="44" t="str">
        <f>VLOOKUP(C27,Purchased!A:Q,13,0)</f>
        <v>N/A</v>
      </c>
      <c r="K27" s="44">
        <f>VLOOKUP(C27,Purchased!A:Q,14,0)</f>
        <v>45162</v>
      </c>
      <c r="L27" s="44">
        <f>VLOOKUP(C27,Purchased!A:Q,15,0)</f>
        <v>45184</v>
      </c>
      <c r="M27" s="44">
        <f>VLOOKUP(C27,Purchased!A:Q,16,0)</f>
        <v>45180</v>
      </c>
      <c r="N27" s="45">
        <f>VLOOKUP(C27,Purchased!A:Q,17,0)</f>
        <v>55037</v>
      </c>
      <c r="O27" s="45" t="e">
        <f t="shared" ref="O27:O29" ca="1" si="8">B27*$L$2</f>
        <v>#VALUE!</v>
      </c>
      <c r="P27" s="49">
        <f>IFERROR(VLOOKUP(C27,Purchased!A:E,3,FALSE),"")</f>
        <v>1.5467</v>
      </c>
      <c r="Q27" s="50">
        <f t="shared" ref="Q27:Q29" si="9">IFERROR(B27*P27,"")</f>
        <v>6.1867999999999999</v>
      </c>
    </row>
    <row r="28" spans="1:17" s="2" customFormat="1" ht="12" customHeight="1">
      <c r="A28" s="4">
        <f t="shared" si="5"/>
        <v>313</v>
      </c>
      <c r="B28" s="2">
        <v>2</v>
      </c>
      <c r="C28" s="114" t="s">
        <v>624</v>
      </c>
      <c r="D28" s="268" t="str">
        <f>VLOOKUP(C28,Purchased!A:B,2,0)</f>
        <v>Black-Phosphate Steel Key-Locking Inserts with Thin Wall, M10 x 1.5 mm Thread Size</v>
      </c>
      <c r="E28" s="269"/>
      <c r="F28" s="112" t="str">
        <f>VLOOKUP(C28,Purchased!A:Q,9,0)</f>
        <v>MCM</v>
      </c>
      <c r="G28" s="112" t="str">
        <f>VLOOKUP(C28,Purchased!A:Q,10,0)</f>
        <v>MCM</v>
      </c>
      <c r="H28" s="112" t="str">
        <f>VLOOKUP(C28,Purchased!A:Q,12,0)</f>
        <v xml:space="preserve"> </v>
      </c>
      <c r="I28" s="113"/>
      <c r="J28" s="44" t="str">
        <f>VLOOKUP(C28,Purchased!A:Q,13,0)</f>
        <v>N/A</v>
      </c>
      <c r="K28" s="44">
        <f>VLOOKUP(C28,Purchased!A:Q,14,0)</f>
        <v>45162</v>
      </c>
      <c r="L28" s="44">
        <f>VLOOKUP(C28,Purchased!A:Q,15,0)</f>
        <v>45184</v>
      </c>
      <c r="M28" s="44">
        <f>VLOOKUP(C28,Purchased!A:Q,16,0)</f>
        <v>45163</v>
      </c>
      <c r="N28" s="45">
        <f>VLOOKUP(C28,Purchased!A:Q,17,0)</f>
        <v>55088</v>
      </c>
      <c r="O28" s="45" t="e">
        <f t="shared" ca="1" si="8"/>
        <v>#VALUE!</v>
      </c>
      <c r="P28" s="49">
        <f>IFERROR(VLOOKUP(C28,Purchased!A:E,3,FALSE),"")</f>
        <v>5.46</v>
      </c>
      <c r="Q28" s="50">
        <f t="shared" si="9"/>
        <v>10.92</v>
      </c>
    </row>
    <row r="29" spans="1:17" s="2" customFormat="1" ht="12" customHeight="1">
      <c r="A29" s="4">
        <f t="shared" si="5"/>
        <v>314</v>
      </c>
      <c r="B29" s="2">
        <v>1</v>
      </c>
      <c r="C29" s="114" t="s">
        <v>625</v>
      </c>
      <c r="D29" s="268" t="str">
        <f>VLOOKUP(C29,Purchased!A:B,2,0)</f>
        <v>MURR M8 Female, 0deg A-Coded, 4-Pin, w/ Cable, 10m, black</v>
      </c>
      <c r="E29" s="269"/>
      <c r="F29" s="112" t="str">
        <f>VLOOKUP(C29,Purchased!A:Q,9,0)</f>
        <v>MURR</v>
      </c>
      <c r="G29" s="112" t="str">
        <f>VLOOKUP(C29,Purchased!A:Q,10,0)</f>
        <v>MURR</v>
      </c>
      <c r="H29" s="112">
        <f>VLOOKUP(C29,Purchased!A:Q,12,0)</f>
        <v>0</v>
      </c>
      <c r="I29" s="113"/>
      <c r="J29" s="44">
        <f>VLOOKUP(C29,Purchased!A:Q,13,0)</f>
        <v>45216</v>
      </c>
      <c r="K29" s="44">
        <f>VLOOKUP(C29,Purchased!A:Q,14,0)</f>
        <v>45219</v>
      </c>
      <c r="L29" s="44">
        <f>VLOOKUP(C29,Purchased!A:Q,15,0)</f>
        <v>45226</v>
      </c>
      <c r="M29" s="44">
        <f>VLOOKUP(C29,Purchased!A:Q,16,0)</f>
        <v>45226</v>
      </c>
      <c r="N29" s="45">
        <f>VLOOKUP(C29,Purchased!A:Q,17,0)</f>
        <v>55194</v>
      </c>
      <c r="O29" s="45" t="e">
        <f t="shared" ca="1" si="8"/>
        <v>#VALUE!</v>
      </c>
      <c r="P29" s="49">
        <f>IFERROR(VLOOKUP(C29,Purchased!A:E,3,FALSE),"")</f>
        <v>25</v>
      </c>
      <c r="Q29" s="50">
        <f t="shared" si="9"/>
        <v>25</v>
      </c>
    </row>
    <row r="30" spans="1:17" s="2" customFormat="1" ht="12" customHeight="1">
      <c r="A30" s="4">
        <f t="shared" si="5"/>
        <v>315</v>
      </c>
      <c r="B30" s="2">
        <v>2</v>
      </c>
      <c r="C30" s="114" t="s">
        <v>626</v>
      </c>
      <c r="D30" s="268" t="str">
        <f>VLOOKUP(C30,Purchased!A:B,2,0)</f>
        <v>SICK BEF-KHZR085MPA Mounting Bracket for MPA Cylinder Sensor</v>
      </c>
      <c r="E30" s="269"/>
      <c r="F30" s="112" t="str">
        <f>VLOOKUP(C30,Purchased!A:Q,9,0)</f>
        <v>SICK</v>
      </c>
      <c r="G30" s="112" t="str">
        <f>VLOOKUP(C30,Purchased!A:Q,10,0)</f>
        <v>AAP</v>
      </c>
      <c r="H30" s="112">
        <f>VLOOKUP(C30,Purchased!A:Q,12,0)</f>
        <v>0</v>
      </c>
      <c r="I30" s="113"/>
      <c r="J30" s="44">
        <f>VLOOKUP(C30,Purchased!A:Q,13,0)</f>
        <v>45202</v>
      </c>
      <c r="K30" s="44">
        <f>VLOOKUP(C30,Purchased!A:Q,14,0)</f>
        <v>45203</v>
      </c>
      <c r="L30" s="44">
        <f>VLOOKUP(C30,Purchased!A:Q,15,0)</f>
        <v>45238</v>
      </c>
      <c r="M30" s="44">
        <f>VLOOKUP(C30,Purchased!A:Q,16,0)</f>
        <v>45238</v>
      </c>
      <c r="N30" s="45">
        <f>VLOOKUP(C30,Purchased!A:Q,17,0)</f>
        <v>55182</v>
      </c>
      <c r="O30" s="45" t="e">
        <f t="shared" ref="O30" ca="1" si="10">B30*$L$2</f>
        <v>#VALUE!</v>
      </c>
      <c r="P30" s="49">
        <f>IFERROR(VLOOKUP(C30,Purchased!A:E,3,FALSE),"")</f>
        <v>6.8666999999999998</v>
      </c>
      <c r="Q30" s="50">
        <f t="shared" ref="Q30" si="11">IFERROR(B30*P30,"")</f>
        <v>13.7334</v>
      </c>
    </row>
    <row r="31" spans="1:17" s="2" customFormat="1" ht="12.75" customHeight="1">
      <c r="A31" s="25"/>
      <c r="B31" s="26"/>
      <c r="C31" s="26"/>
      <c r="D31" s="272"/>
      <c r="E31" s="273"/>
      <c r="F31" s="26"/>
      <c r="G31" s="26"/>
      <c r="H31" s="274"/>
      <c r="I31" s="275"/>
      <c r="J31" s="27"/>
      <c r="K31" s="27"/>
      <c r="L31" s="27"/>
      <c r="M31" s="28"/>
      <c r="N31" s="29"/>
      <c r="O31" s="29" t="e">
        <f t="shared" ref="O31:O34" ca="1" si="12">B31*$L$2</f>
        <v>#VALUE!</v>
      </c>
      <c r="P31" s="141"/>
      <c r="Q31" s="142"/>
    </row>
    <row r="32" spans="1:17" s="2" customFormat="1" ht="12.75" customHeight="1">
      <c r="A32" s="4">
        <v>501</v>
      </c>
      <c r="B32" s="2">
        <v>16</v>
      </c>
      <c r="C32" s="110" t="s">
        <v>278</v>
      </c>
      <c r="D32" s="268"/>
      <c r="E32" s="276"/>
      <c r="F32" s="112" t="str">
        <f>VLOOKUP(C32,Bolts!A:L,5,0)</f>
        <v xml:space="preserve">  </v>
      </c>
      <c r="G32" s="112" t="str">
        <f>VLOOKUP(C32,Bolts!A:L,6,0)</f>
        <v>Monroe Fasteners</v>
      </c>
      <c r="H32" s="112" t="str">
        <f>VLOOKUP(C32,Bolts!A:L,7,0)</f>
        <v xml:space="preserve">  </v>
      </c>
      <c r="I32" s="112"/>
      <c r="J32" s="44" t="str">
        <f>VLOOKUP(C32,Bolts!A:L,8,0)</f>
        <v xml:space="preserve"> </v>
      </c>
      <c r="K32" s="44" t="str">
        <f>VLOOKUP(C32,Bolts!A:L,9,0)</f>
        <v xml:space="preserve"> </v>
      </c>
      <c r="L32" s="44" t="str">
        <f>VLOOKUP(C32,Bolts!A:L,10,0)</f>
        <v xml:space="preserve"> </v>
      </c>
      <c r="M32" s="44" t="str">
        <f>VLOOKUP(C32,Bolts!A:L,11,0)</f>
        <v xml:space="preserve"> </v>
      </c>
      <c r="N32" s="45" t="str">
        <f>VLOOKUP(C32,Bolts!A:L,12,0)</f>
        <v xml:space="preserve"> </v>
      </c>
      <c r="O32" s="45" t="e">
        <f t="shared" ca="1" si="12"/>
        <v>#VALUE!</v>
      </c>
      <c r="P32" s="49" t="str">
        <f>IFERROR(VLOOKUP(C32,Bolts!A:B,2,FALSE),"")</f>
        <v xml:space="preserve"> </v>
      </c>
      <c r="Q32" s="50" t="str">
        <f t="shared" ref="Q32:Q34" si="13">IFERROR(B32*P32,"")</f>
        <v/>
      </c>
    </row>
    <row r="33" spans="1:17" s="2" customFormat="1" ht="12.75" customHeight="1">
      <c r="A33" s="4">
        <f t="shared" ref="A33:A34" si="14">A32+1</f>
        <v>502</v>
      </c>
      <c r="B33" s="2">
        <v>4</v>
      </c>
      <c r="C33" s="110" t="s">
        <v>627</v>
      </c>
      <c r="D33" s="268"/>
      <c r="E33" s="276"/>
      <c r="F33" s="112" t="str">
        <f>VLOOKUP(C33,Bolts!A:L,5,0)</f>
        <v xml:space="preserve">  </v>
      </c>
      <c r="G33" s="112" t="str">
        <f>VLOOKUP(C33,Bolts!A:L,6,0)</f>
        <v>Monroe Fasteners</v>
      </c>
      <c r="H33" s="112" t="str">
        <f>VLOOKUP(C33,Bolts!A:L,7,0)</f>
        <v xml:space="preserve">  </v>
      </c>
      <c r="I33" s="112"/>
      <c r="J33" s="44" t="str">
        <f>VLOOKUP(C33,Bolts!A:L,8,0)</f>
        <v xml:space="preserve"> </v>
      </c>
      <c r="K33" s="44" t="str">
        <f>VLOOKUP(C33,Bolts!A:L,9,0)</f>
        <v xml:space="preserve"> </v>
      </c>
      <c r="L33" s="44" t="str">
        <f>VLOOKUP(C33,Bolts!A:L,10,0)</f>
        <v xml:space="preserve"> </v>
      </c>
      <c r="M33" s="44" t="str">
        <f>VLOOKUP(C33,Bolts!A:L,11,0)</f>
        <v xml:space="preserve"> </v>
      </c>
      <c r="N33" s="45" t="str">
        <f>VLOOKUP(C33,Bolts!A:L,12,0)</f>
        <v xml:space="preserve"> </v>
      </c>
      <c r="O33" s="45" t="e">
        <f t="shared" ca="1" si="12"/>
        <v>#VALUE!</v>
      </c>
      <c r="P33" s="49" t="str">
        <f>IFERROR(VLOOKUP(C33,Bolts!A:B,2,FALSE),"")</f>
        <v xml:space="preserve"> </v>
      </c>
      <c r="Q33" s="50" t="str">
        <f t="shared" si="13"/>
        <v/>
      </c>
    </row>
    <row r="34" spans="1:17" s="2" customFormat="1" ht="12" customHeight="1" thickBot="1">
      <c r="A34" s="4">
        <f t="shared" si="14"/>
        <v>503</v>
      </c>
      <c r="B34" s="2">
        <v>4</v>
      </c>
      <c r="C34" s="110" t="s">
        <v>515</v>
      </c>
      <c r="D34" s="268"/>
      <c r="E34" s="276"/>
      <c r="F34" s="112" t="str">
        <f>VLOOKUP(C34,Bolts!A:L,5,0)</f>
        <v xml:space="preserve">  </v>
      </c>
      <c r="G34" s="112" t="str">
        <f>VLOOKUP(C34,Bolts!A:L,6,0)</f>
        <v>Monroe Fasteners</v>
      </c>
      <c r="H34" s="112" t="str">
        <f>VLOOKUP(C34,Bolts!A:L,7,0)</f>
        <v xml:space="preserve">  </v>
      </c>
      <c r="I34" s="112"/>
      <c r="J34" s="44" t="str">
        <f>VLOOKUP(C34,Bolts!A:L,8,0)</f>
        <v xml:space="preserve"> </v>
      </c>
      <c r="K34" s="44" t="str">
        <f>VLOOKUP(C34,Bolts!A:L,9,0)</f>
        <v xml:space="preserve"> </v>
      </c>
      <c r="L34" s="44" t="str">
        <f>VLOOKUP(C34,Bolts!A:L,10,0)</f>
        <v xml:space="preserve"> </v>
      </c>
      <c r="M34" s="44" t="str">
        <f>VLOOKUP(C34,Bolts!A:L,11,0)</f>
        <v xml:space="preserve"> </v>
      </c>
      <c r="N34" s="45" t="str">
        <f>VLOOKUP(C34,Bolts!A:L,12,0)</f>
        <v xml:space="preserve"> </v>
      </c>
      <c r="O34" s="45" t="e">
        <f t="shared" ca="1" si="12"/>
        <v>#VALUE!</v>
      </c>
      <c r="P34" s="49" t="str">
        <f>IFERROR(VLOOKUP(C34,Bolts!A:B,2,FALSE),"")</f>
        <v xml:space="preserve"> </v>
      </c>
      <c r="Q34" s="50" t="str">
        <f t="shared" si="13"/>
        <v/>
      </c>
    </row>
    <row r="35" spans="1:17" s="2" customFormat="1" ht="12.75" customHeight="1" thickBot="1">
      <c r="A35" s="34"/>
      <c r="B35" s="35"/>
      <c r="C35" s="35"/>
      <c r="D35" s="256"/>
      <c r="E35" s="257"/>
      <c r="F35" s="35"/>
      <c r="G35" s="35"/>
      <c r="H35" s="294"/>
      <c r="I35" s="295"/>
      <c r="J35" s="36"/>
      <c r="K35" s="36"/>
      <c r="L35" s="36"/>
      <c r="M35" s="37"/>
      <c r="N35" s="38"/>
      <c r="O35" s="38"/>
      <c r="P35" s="89" t="s">
        <v>43</v>
      </c>
      <c r="Q35" s="94">
        <f>SUM(Q5:Q34)</f>
        <v>2349.9444000000003</v>
      </c>
    </row>
    <row r="36" spans="1:17" s="2" customFormat="1" ht="12" customHeight="1">
      <c r="D36" s="22"/>
      <c r="E36" s="22"/>
      <c r="J36" s="8"/>
      <c r="K36" s="8"/>
      <c r="L36" s="8"/>
      <c r="M36" s="8"/>
      <c r="N36" s="5"/>
      <c r="O36" s="5"/>
      <c r="P36" s="88"/>
      <c r="Q36" s="95"/>
    </row>
    <row r="37" spans="1:17" s="2" customFormat="1" ht="12" customHeight="1">
      <c r="D37" s="22"/>
      <c r="E37" s="22"/>
      <c r="J37" s="5"/>
      <c r="K37" s="5"/>
      <c r="L37" s="5"/>
      <c r="M37" s="5"/>
      <c r="N37" s="5"/>
      <c r="O37" s="5"/>
      <c r="P37" s="88"/>
      <c r="Q37" s="95"/>
    </row>
    <row r="38" spans="1:17" s="2" customFormat="1" ht="12" customHeight="1">
      <c r="D38" s="22"/>
      <c r="E38" s="22"/>
      <c r="J38" s="5"/>
      <c r="K38" s="5"/>
      <c r="L38" s="5"/>
      <c r="M38" s="5"/>
      <c r="N38" s="5"/>
      <c r="O38" s="5"/>
      <c r="P38" s="88"/>
      <c r="Q38" s="95"/>
    </row>
    <row r="39" spans="1:17" s="2" customFormat="1" ht="12" customHeight="1">
      <c r="D39" s="22"/>
      <c r="E39" s="22"/>
      <c r="J39" s="5"/>
      <c r="K39" s="5"/>
      <c r="L39" s="5"/>
      <c r="M39" s="5"/>
      <c r="N39" s="5"/>
      <c r="O39" s="5"/>
      <c r="P39" s="88"/>
      <c r="Q39" s="95"/>
    </row>
    <row r="40" spans="1:17" s="2" customFormat="1" ht="12" customHeight="1">
      <c r="D40" s="22"/>
      <c r="E40" s="22"/>
      <c r="J40" s="5"/>
      <c r="K40" s="5"/>
      <c r="L40" s="5"/>
      <c r="M40" s="5"/>
      <c r="N40" s="5"/>
      <c r="O40" s="5"/>
      <c r="P40" s="88"/>
      <c r="Q40" s="95"/>
    </row>
    <row r="41" spans="1:17" s="2" customFormat="1" ht="12" customHeight="1">
      <c r="D41" s="22"/>
      <c r="E41" s="22"/>
      <c r="J41" s="5"/>
      <c r="K41" s="5"/>
      <c r="L41" s="5"/>
      <c r="M41" s="5"/>
      <c r="N41" s="5"/>
      <c r="O41" s="5"/>
      <c r="P41" s="88"/>
      <c r="Q41" s="95"/>
    </row>
    <row r="42" spans="1:17" s="2" customFormat="1" ht="12" customHeight="1">
      <c r="D42" s="22"/>
      <c r="E42" s="22"/>
      <c r="J42" s="5"/>
      <c r="K42" s="5"/>
      <c r="L42" s="5"/>
      <c r="M42" s="5"/>
      <c r="N42" s="5"/>
      <c r="O42" s="5"/>
      <c r="P42" s="88"/>
      <c r="Q42" s="95"/>
    </row>
    <row r="43" spans="1:17" s="2" customFormat="1" ht="12" customHeight="1">
      <c r="D43" s="22"/>
      <c r="E43" s="22"/>
      <c r="J43" s="5"/>
      <c r="K43" s="5"/>
      <c r="L43" s="5"/>
      <c r="M43" s="5"/>
      <c r="N43" s="5"/>
      <c r="O43" s="5"/>
      <c r="P43" s="88"/>
      <c r="Q43" s="95"/>
    </row>
    <row r="44" spans="1:17" s="2" customFormat="1" ht="12" customHeight="1">
      <c r="D44" s="22"/>
      <c r="E44" s="22"/>
      <c r="J44" s="5"/>
      <c r="K44" s="5"/>
      <c r="L44" s="5"/>
      <c r="M44" s="5"/>
      <c r="N44" s="5"/>
      <c r="O44" s="5"/>
      <c r="P44" s="88"/>
      <c r="Q44" s="95"/>
    </row>
    <row r="45" spans="1:17" s="2" customFormat="1" ht="12" customHeight="1">
      <c r="D45" s="22"/>
      <c r="E45" s="22"/>
      <c r="J45" s="5"/>
      <c r="K45" s="5"/>
      <c r="L45" s="5"/>
      <c r="M45" s="5"/>
      <c r="N45" s="5"/>
      <c r="O45" s="5"/>
      <c r="P45" s="88"/>
      <c r="Q45" s="95"/>
    </row>
    <row r="46" spans="1:17" s="2" customFormat="1" ht="12" customHeight="1">
      <c r="D46" s="22"/>
      <c r="E46" s="22"/>
      <c r="J46" s="5"/>
      <c r="K46" s="5"/>
      <c r="L46" s="5"/>
      <c r="M46" s="5"/>
      <c r="N46" s="5"/>
      <c r="O46" s="5"/>
      <c r="P46" s="88"/>
      <c r="Q46" s="95"/>
    </row>
    <row r="47" spans="1:17" s="2" customFormat="1" ht="12" customHeight="1">
      <c r="D47" s="22"/>
      <c r="E47" s="22"/>
      <c r="J47" s="5"/>
      <c r="K47" s="5"/>
      <c r="L47" s="5"/>
      <c r="M47" s="5"/>
      <c r="N47" s="5"/>
      <c r="O47" s="5"/>
      <c r="P47" s="88"/>
      <c r="Q47" s="95"/>
    </row>
    <row r="48" spans="1:17" s="2" customFormat="1" ht="12" customHeight="1">
      <c r="D48" s="22"/>
      <c r="E48" s="22"/>
      <c r="J48" s="5"/>
      <c r="K48" s="5"/>
      <c r="L48" s="5"/>
      <c r="M48" s="5"/>
      <c r="N48" s="5"/>
      <c r="O48" s="5"/>
      <c r="P48" s="88"/>
      <c r="Q48" s="95"/>
    </row>
    <row r="49" spans="4:17" s="2" customFormat="1" ht="12" customHeight="1">
      <c r="D49" s="22"/>
      <c r="E49" s="22"/>
      <c r="J49" s="5"/>
      <c r="K49" s="5"/>
      <c r="L49" s="5"/>
      <c r="M49" s="5"/>
      <c r="N49" s="5"/>
      <c r="O49" s="5"/>
      <c r="P49" s="88"/>
      <c r="Q49" s="95"/>
    </row>
    <row r="50" spans="4:17" s="2" customFormat="1" ht="12" customHeight="1">
      <c r="D50" s="22"/>
      <c r="E50" s="22"/>
      <c r="J50" s="5"/>
      <c r="K50" s="5"/>
      <c r="L50" s="5"/>
      <c r="M50" s="5"/>
      <c r="N50" s="5"/>
      <c r="O50" s="5"/>
      <c r="P50" s="88"/>
      <c r="Q50" s="95"/>
    </row>
    <row r="51" spans="4:17" s="2" customFormat="1" ht="12" customHeight="1">
      <c r="D51" s="22"/>
      <c r="E51" s="22"/>
      <c r="J51" s="5"/>
      <c r="K51" s="5"/>
      <c r="L51" s="5"/>
      <c r="M51" s="5"/>
      <c r="N51" s="5"/>
      <c r="O51" s="5"/>
      <c r="P51" s="88"/>
      <c r="Q51" s="95"/>
    </row>
    <row r="52" spans="4:17" s="2" customFormat="1" ht="12" customHeight="1">
      <c r="D52" s="22"/>
      <c r="E52" s="22"/>
      <c r="J52" s="5"/>
      <c r="K52" s="5"/>
      <c r="L52" s="5"/>
      <c r="M52" s="5"/>
      <c r="N52" s="5"/>
      <c r="O52" s="5"/>
      <c r="P52" s="88"/>
      <c r="Q52" s="95"/>
    </row>
    <row r="53" spans="4:17" s="2" customFormat="1" ht="12" customHeight="1">
      <c r="D53" s="22"/>
      <c r="E53" s="22"/>
      <c r="J53" s="5"/>
      <c r="K53" s="5"/>
      <c r="L53" s="5"/>
      <c r="M53" s="5"/>
      <c r="N53" s="5"/>
      <c r="O53" s="5"/>
      <c r="P53" s="88"/>
      <c r="Q53" s="95"/>
    </row>
    <row r="54" spans="4:17" s="2" customFormat="1" ht="12" customHeight="1">
      <c r="D54" s="22"/>
      <c r="E54" s="22"/>
      <c r="J54" s="5"/>
      <c r="K54" s="5"/>
      <c r="L54" s="5"/>
      <c r="M54" s="5"/>
      <c r="N54" s="5"/>
      <c r="O54" s="5"/>
      <c r="P54" s="88"/>
      <c r="Q54" s="95"/>
    </row>
    <row r="55" spans="4:17" s="2" customFormat="1" ht="12" customHeight="1">
      <c r="D55" s="22"/>
      <c r="E55" s="22"/>
      <c r="J55" s="5"/>
      <c r="K55" s="5"/>
      <c r="L55" s="5"/>
      <c r="M55" s="5"/>
      <c r="N55" s="5"/>
      <c r="O55" s="5"/>
      <c r="P55" s="88"/>
      <c r="Q55" s="95"/>
    </row>
    <row r="56" spans="4:17" s="2" customFormat="1" ht="12" customHeight="1">
      <c r="D56" s="22"/>
      <c r="E56" s="22"/>
      <c r="J56" s="5"/>
      <c r="K56" s="5"/>
      <c r="L56" s="5"/>
      <c r="M56" s="5"/>
      <c r="N56" s="5"/>
      <c r="O56" s="5"/>
      <c r="P56" s="88"/>
      <c r="Q56" s="95"/>
    </row>
    <row r="57" spans="4:17" s="2" customFormat="1" ht="12" customHeight="1">
      <c r="D57" s="22"/>
      <c r="E57" s="22"/>
      <c r="J57" s="5"/>
      <c r="K57" s="5"/>
      <c r="L57" s="5"/>
      <c r="M57" s="5"/>
      <c r="N57" s="5"/>
      <c r="O57" s="5"/>
      <c r="P57" s="88"/>
      <c r="Q57" s="95"/>
    </row>
    <row r="58" spans="4:17" s="2" customFormat="1" ht="12" customHeight="1">
      <c r="D58" s="22"/>
      <c r="E58" s="22"/>
      <c r="J58" s="5"/>
      <c r="K58" s="5"/>
      <c r="L58" s="5"/>
      <c r="M58" s="5"/>
      <c r="N58" s="5"/>
      <c r="O58" s="5"/>
      <c r="P58" s="88"/>
      <c r="Q58" s="95"/>
    </row>
    <row r="59" spans="4:17" s="2" customFormat="1" ht="12" customHeight="1">
      <c r="D59" s="22"/>
      <c r="E59" s="22"/>
      <c r="J59" s="5"/>
      <c r="K59" s="5"/>
      <c r="L59" s="5"/>
      <c r="M59" s="5"/>
      <c r="N59" s="5"/>
      <c r="O59" s="5"/>
      <c r="P59" s="88"/>
      <c r="Q59" s="95"/>
    </row>
    <row r="60" spans="4:17" s="2" customFormat="1" ht="12" customHeight="1">
      <c r="D60" s="22"/>
      <c r="E60" s="22"/>
      <c r="J60" s="5"/>
      <c r="K60" s="5"/>
      <c r="L60" s="5"/>
      <c r="M60" s="5"/>
      <c r="N60" s="5"/>
      <c r="O60" s="5"/>
      <c r="P60" s="88"/>
      <c r="Q60" s="95"/>
    </row>
    <row r="61" spans="4:17" s="2" customFormat="1" ht="12" customHeight="1">
      <c r="D61" s="22"/>
      <c r="E61" s="22"/>
      <c r="J61" s="5"/>
      <c r="K61" s="5"/>
      <c r="L61" s="5"/>
      <c r="M61" s="5"/>
      <c r="N61" s="5"/>
      <c r="O61" s="5"/>
      <c r="P61" s="88"/>
      <c r="Q61" s="95"/>
    </row>
    <row r="62" spans="4:17" s="2" customFormat="1" ht="12" customHeight="1">
      <c r="D62" s="22"/>
      <c r="E62" s="22"/>
      <c r="J62" s="5"/>
      <c r="K62" s="5"/>
      <c r="L62" s="5"/>
      <c r="M62" s="5"/>
      <c r="N62" s="5"/>
      <c r="O62" s="5"/>
      <c r="P62" s="88"/>
      <c r="Q62" s="95"/>
    </row>
    <row r="63" spans="4:17" s="2" customFormat="1" ht="12" customHeight="1">
      <c r="D63" s="22"/>
      <c r="E63" s="22"/>
      <c r="J63" s="5"/>
      <c r="K63" s="5"/>
      <c r="L63" s="5"/>
      <c r="M63" s="5"/>
      <c r="N63" s="5"/>
      <c r="O63" s="5"/>
      <c r="P63" s="88"/>
      <c r="Q63" s="95"/>
    </row>
    <row r="64" spans="4:17" s="2" customFormat="1" ht="12" customHeight="1">
      <c r="D64" s="22"/>
      <c r="E64" s="22"/>
      <c r="J64" s="5"/>
      <c r="K64" s="5"/>
      <c r="L64" s="5"/>
      <c r="M64" s="5"/>
      <c r="N64" s="5"/>
      <c r="O64" s="5"/>
      <c r="P64" s="88"/>
      <c r="Q64" s="95"/>
    </row>
    <row r="65" spans="1:17" s="2" customFormat="1" ht="12" customHeight="1">
      <c r="D65" s="22"/>
      <c r="E65" s="22"/>
      <c r="J65" s="5"/>
      <c r="K65" s="5"/>
      <c r="L65" s="5"/>
      <c r="M65" s="5"/>
      <c r="N65" s="5"/>
      <c r="O65" s="5"/>
      <c r="P65" s="88"/>
      <c r="Q65" s="95"/>
    </row>
    <row r="66" spans="1:17" s="2" customFormat="1" ht="12" customHeight="1">
      <c r="D66" s="22"/>
      <c r="E66" s="22"/>
      <c r="J66" s="5"/>
      <c r="K66" s="5"/>
      <c r="L66" s="5"/>
      <c r="M66" s="5"/>
      <c r="N66" s="5"/>
      <c r="O66" s="5"/>
      <c r="P66" s="88"/>
      <c r="Q66" s="95"/>
    </row>
    <row r="67" spans="1:17" s="2" customFormat="1" ht="12" customHeight="1">
      <c r="D67" s="22"/>
      <c r="E67" s="22"/>
      <c r="J67" s="5"/>
      <c r="K67" s="5"/>
      <c r="L67" s="5"/>
      <c r="M67" s="5"/>
      <c r="N67" s="5"/>
      <c r="O67" s="5"/>
      <c r="P67" s="88"/>
      <c r="Q67" s="95"/>
    </row>
    <row r="68" spans="1:17" s="2" customFormat="1" ht="12" customHeight="1">
      <c r="D68" s="22"/>
      <c r="E68" s="22"/>
      <c r="J68" s="5"/>
      <c r="K68" s="5"/>
      <c r="L68" s="5"/>
      <c r="M68" s="5"/>
      <c r="N68" s="5"/>
      <c r="O68" s="5"/>
      <c r="P68" s="88"/>
      <c r="Q68" s="95"/>
    </row>
    <row r="69" spans="1:17" s="2" customFormat="1" ht="12" customHeight="1">
      <c r="D69" s="22"/>
      <c r="E69" s="22"/>
      <c r="J69" s="5"/>
      <c r="K69" s="5"/>
      <c r="L69" s="5"/>
      <c r="M69" s="5"/>
      <c r="N69" s="5"/>
      <c r="O69" s="5"/>
      <c r="P69" s="88"/>
      <c r="Q69" s="95"/>
    </row>
    <row r="70" spans="1:17" s="2" customFormat="1" ht="12" customHeight="1">
      <c r="D70" s="22"/>
      <c r="E70" s="22"/>
      <c r="J70" s="5"/>
      <c r="K70" s="5"/>
      <c r="L70" s="5"/>
      <c r="M70" s="5"/>
      <c r="N70" s="5"/>
      <c r="O70" s="5"/>
      <c r="P70" s="88"/>
      <c r="Q70" s="95"/>
    </row>
    <row r="71" spans="1:17" s="2" customFormat="1" ht="12" customHeight="1">
      <c r="D71" s="22"/>
      <c r="E71" s="22"/>
      <c r="J71" s="5"/>
      <c r="K71" s="5"/>
      <c r="L71" s="5"/>
      <c r="M71" s="5"/>
      <c r="N71" s="5"/>
      <c r="O71" s="5"/>
      <c r="P71" s="88"/>
      <c r="Q71" s="95"/>
    </row>
    <row r="72" spans="1:17" s="2" customFormat="1" ht="12" customHeight="1">
      <c r="D72" s="22"/>
      <c r="E72" s="22"/>
      <c r="J72" s="5"/>
      <c r="K72" s="5"/>
      <c r="L72" s="5"/>
      <c r="M72" s="5"/>
      <c r="N72" s="5"/>
      <c r="O72" s="5"/>
      <c r="P72" s="88"/>
      <c r="Q72" s="95"/>
    </row>
    <row r="73" spans="1:17" s="2" customFormat="1" ht="12" customHeight="1">
      <c r="D73" s="22"/>
      <c r="E73" s="22"/>
      <c r="J73" s="5"/>
      <c r="K73" s="5"/>
      <c r="L73" s="5"/>
      <c r="M73" s="5"/>
      <c r="N73" s="5"/>
      <c r="O73" s="5"/>
      <c r="P73" s="88"/>
      <c r="Q73" s="95"/>
    </row>
    <row r="74" spans="1:17" s="2" customFormat="1" ht="12" customHeight="1">
      <c r="D74" s="22"/>
      <c r="E74" s="22"/>
      <c r="J74" s="5"/>
      <c r="K74" s="5"/>
      <c r="L74" s="5"/>
      <c r="M74" s="5"/>
      <c r="N74" s="5"/>
      <c r="O74" s="5"/>
      <c r="P74" s="88"/>
      <c r="Q74" s="96"/>
    </row>
    <row r="75" spans="1:17" s="2" customFormat="1" ht="12" customHeight="1">
      <c r="D75" s="22"/>
      <c r="E75" s="22"/>
      <c r="J75" s="5"/>
      <c r="K75" s="5"/>
      <c r="L75" s="5"/>
      <c r="M75" s="5"/>
      <c r="N75" s="5"/>
      <c r="O75" s="5"/>
      <c r="P75" s="88"/>
      <c r="Q75" s="96"/>
    </row>
    <row r="76" spans="1:17" s="2" customFormat="1" ht="12" customHeight="1">
      <c r="D76" s="22"/>
      <c r="E76" s="22"/>
      <c r="J76" s="5"/>
      <c r="K76" s="5"/>
      <c r="L76" s="5"/>
      <c r="M76" s="5"/>
      <c r="N76" s="5"/>
      <c r="O76" s="5"/>
      <c r="P76" s="88"/>
      <c r="Q76" s="96"/>
    </row>
    <row r="77" spans="1:17" s="2" customFormat="1" ht="12" customHeight="1">
      <c r="D77" s="22"/>
      <c r="E77" s="22"/>
      <c r="J77" s="5"/>
      <c r="K77" s="5"/>
      <c r="L77" s="5"/>
      <c r="M77" s="5"/>
      <c r="N77" s="5"/>
      <c r="O77" s="5"/>
      <c r="P77" s="88"/>
      <c r="Q77" s="96"/>
    </row>
    <row r="78" spans="1:17" s="2" customFormat="1" ht="12" customHeight="1">
      <c r="A78"/>
      <c r="B78"/>
      <c r="C78"/>
      <c r="D78" s="23"/>
      <c r="E78" s="23"/>
      <c r="F78"/>
      <c r="G78"/>
      <c r="H78"/>
      <c r="I78"/>
      <c r="J78" s="19"/>
      <c r="K78" s="19"/>
      <c r="L78" s="19"/>
      <c r="M78" s="19"/>
      <c r="N78" s="19"/>
      <c r="O78" s="19"/>
      <c r="P78" s="90"/>
      <c r="Q78" s="96"/>
    </row>
    <row r="79" spans="1:17" s="2" customFormat="1" ht="12" customHeight="1">
      <c r="A79"/>
      <c r="B79"/>
      <c r="C79"/>
      <c r="D79" s="23"/>
      <c r="E79" s="23"/>
      <c r="F79"/>
      <c r="G79"/>
      <c r="H79"/>
      <c r="I79"/>
      <c r="J79" s="19"/>
      <c r="K79" s="19"/>
      <c r="L79" s="19"/>
      <c r="M79" s="19"/>
      <c r="N79" s="19"/>
      <c r="O79" s="19"/>
      <c r="P79" s="90"/>
      <c r="Q79" s="96"/>
    </row>
    <row r="80" spans="1:17" s="2" customFormat="1" ht="12" customHeight="1">
      <c r="A80"/>
      <c r="B80"/>
      <c r="C80"/>
      <c r="D80" s="23"/>
      <c r="E80" s="23"/>
      <c r="F80"/>
      <c r="G80"/>
      <c r="H80"/>
      <c r="I80"/>
      <c r="J80" s="19"/>
      <c r="K80" s="19"/>
      <c r="L80" s="19"/>
      <c r="M80" s="19"/>
      <c r="N80" s="19"/>
      <c r="O80" s="19"/>
      <c r="P80" s="90"/>
      <c r="Q80" s="96"/>
    </row>
    <row r="81" spans="1:17" s="2" customFormat="1" ht="12" customHeight="1">
      <c r="A81"/>
      <c r="B81"/>
      <c r="C81"/>
      <c r="D81" s="23"/>
      <c r="E81" s="23"/>
      <c r="F81"/>
      <c r="G81"/>
      <c r="H81"/>
      <c r="I81"/>
      <c r="J81" s="19"/>
      <c r="K81" s="19"/>
      <c r="L81" s="19"/>
      <c r="M81" s="19"/>
      <c r="N81" s="19"/>
      <c r="O81" s="19"/>
      <c r="P81" s="90"/>
      <c r="Q81" s="96"/>
    </row>
    <row r="82" spans="1:17" s="2" customFormat="1" ht="12" customHeight="1">
      <c r="A82"/>
      <c r="B82"/>
      <c r="C82"/>
      <c r="D82" s="23"/>
      <c r="E82" s="23"/>
      <c r="F82"/>
      <c r="G82"/>
      <c r="H82"/>
      <c r="I82"/>
      <c r="J82" s="19"/>
      <c r="K82" s="19"/>
      <c r="L82" s="19"/>
      <c r="M82" s="19"/>
      <c r="N82" s="19"/>
      <c r="O82" s="19"/>
      <c r="P82" s="90"/>
      <c r="Q82" s="96"/>
    </row>
    <row r="83" spans="1:17">
      <c r="Q83" s="96"/>
    </row>
    <row r="84" spans="1:17">
      <c r="Q84" s="96"/>
    </row>
    <row r="85" spans="1:17">
      <c r="Q85" s="96"/>
    </row>
    <row r="86" spans="1:17">
      <c r="Q86" s="96"/>
    </row>
    <row r="87" spans="1:17">
      <c r="Q87" s="96"/>
    </row>
    <row r="88" spans="1:17">
      <c r="Q88" s="96"/>
    </row>
    <row r="89" spans="1:17">
      <c r="Q89" s="96"/>
    </row>
    <row r="90" spans="1:17">
      <c r="Q90" s="96"/>
    </row>
    <row r="91" spans="1:17">
      <c r="Q91" s="96"/>
    </row>
    <row r="92" spans="1:17">
      <c r="Q92" s="96"/>
    </row>
    <row r="93" spans="1:17">
      <c r="Q93" s="96"/>
    </row>
    <row r="94" spans="1:17">
      <c r="Q94" s="96"/>
    </row>
    <row r="95" spans="1:17">
      <c r="Q95" s="96"/>
    </row>
    <row r="96" spans="1:17">
      <c r="Q96" s="96"/>
    </row>
    <row r="97" spans="17:17">
      <c r="Q97" s="96"/>
    </row>
    <row r="98" spans="17:17">
      <c r="Q98" s="96"/>
    </row>
    <row r="99" spans="17:17">
      <c r="Q99" s="96"/>
    </row>
    <row r="100" spans="17:17">
      <c r="Q100" s="96"/>
    </row>
    <row r="101" spans="17:17">
      <c r="Q101" s="96"/>
    </row>
    <row r="102" spans="17:17">
      <c r="Q102" s="96"/>
    </row>
    <row r="139" ht="12" customHeight="1"/>
    <row r="140" ht="12" customHeight="1"/>
    <row r="141" ht="12" customHeight="1"/>
    <row r="142" ht="12" customHeight="1"/>
    <row r="143" ht="12" customHeight="1"/>
    <row r="144" ht="12" customHeight="1"/>
    <row r="145" ht="12" customHeight="1"/>
    <row r="146" ht="12" customHeight="1"/>
    <row r="147" ht="12" customHeight="1"/>
    <row r="148" ht="12" customHeight="1"/>
    <row r="149" ht="12" customHeight="1"/>
    <row r="150" ht="12" customHeight="1"/>
    <row r="151" ht="12" customHeight="1"/>
    <row r="152" ht="12" customHeight="1"/>
    <row r="153" ht="12" customHeight="1"/>
    <row r="154" ht="12" customHeight="1"/>
    <row r="155" ht="12" customHeight="1"/>
    <row r="156" ht="12" customHeight="1"/>
    <row r="157" ht="12" customHeight="1"/>
    <row r="158" ht="12" customHeight="1"/>
    <row r="159" ht="12" customHeight="1"/>
    <row r="160" ht="12" customHeight="1"/>
    <row r="161" ht="12" customHeight="1"/>
    <row r="162" ht="12" customHeight="1"/>
    <row r="163" ht="12" customHeight="1"/>
    <row r="164" ht="12" customHeight="1"/>
    <row r="165" ht="12" customHeight="1"/>
    <row r="166" ht="12" customHeight="1"/>
    <row r="167" ht="12" customHeight="1"/>
    <row r="168" ht="12" customHeight="1"/>
    <row r="169" ht="12" customHeight="1"/>
    <row r="170" ht="12" customHeight="1"/>
    <row r="171" ht="12" customHeight="1"/>
    <row r="172" ht="12" customHeight="1"/>
    <row r="173" ht="12" customHeight="1"/>
    <row r="174" ht="12" customHeight="1"/>
    <row r="175" ht="12" customHeight="1"/>
    <row r="176" ht="12" customHeight="1"/>
    <row r="177" ht="12" customHeight="1"/>
    <row r="178" ht="12" customHeight="1"/>
    <row r="179" ht="12" customHeight="1"/>
    <row r="180" ht="12" customHeight="1"/>
    <row r="181" ht="12" customHeight="1"/>
    <row r="182" ht="12" customHeight="1"/>
    <row r="183" ht="12" customHeight="1"/>
    <row r="184" ht="12" customHeight="1"/>
    <row r="185" ht="12" customHeight="1"/>
    <row r="186" ht="12" customHeight="1"/>
    <row r="187" ht="12" customHeight="1"/>
    <row r="188" ht="12" customHeight="1"/>
  </sheetData>
  <mergeCells count="37">
    <mergeCell ref="D35:E35"/>
    <mergeCell ref="H35:I35"/>
    <mergeCell ref="D32:E32"/>
    <mergeCell ref="D33:E33"/>
    <mergeCell ref="D34:E34"/>
    <mergeCell ref="D12:E12"/>
    <mergeCell ref="D31:E31"/>
    <mergeCell ref="D8:E8"/>
    <mergeCell ref="H31:I31"/>
    <mergeCell ref="D25:E25"/>
    <mergeCell ref="D26:E26"/>
    <mergeCell ref="D18:E18"/>
    <mergeCell ref="D19:E19"/>
    <mergeCell ref="D20:E20"/>
    <mergeCell ref="D22:E22"/>
    <mergeCell ref="D23:E23"/>
    <mergeCell ref="D24:E24"/>
    <mergeCell ref="D27:E27"/>
    <mergeCell ref="D28:E28"/>
    <mergeCell ref="D29:E29"/>
    <mergeCell ref="D30:E30"/>
    <mergeCell ref="D1:E1"/>
    <mergeCell ref="D4:E4"/>
    <mergeCell ref="H4:I4"/>
    <mergeCell ref="D21:E21"/>
    <mergeCell ref="D13:E13"/>
    <mergeCell ref="D14:E14"/>
    <mergeCell ref="D5:E5"/>
    <mergeCell ref="D6:E6"/>
    <mergeCell ref="D7:E7"/>
    <mergeCell ref="D15:E15"/>
    <mergeCell ref="H15:I15"/>
    <mergeCell ref="D16:E16"/>
    <mergeCell ref="D17:E17"/>
    <mergeCell ref="D9:E9"/>
    <mergeCell ref="D10:E10"/>
    <mergeCell ref="D11:E11"/>
  </mergeCells>
  <conditionalFormatting sqref="M5:M14">
    <cfRule type="cellIs" dxfId="482" priority="1" stopIfTrue="1" operator="lessThanOrEqual">
      <formula>$L5</formula>
    </cfRule>
    <cfRule type="cellIs" dxfId="481" priority="2" operator="greaterThan">
      <formula>L5</formula>
    </cfRule>
  </conditionalFormatting>
  <conditionalFormatting sqref="M32:M34 M16:M30">
    <cfRule type="cellIs" dxfId="480" priority="5" stopIfTrue="1" operator="lessThanOrEqual">
      <formula>$L16</formula>
    </cfRule>
    <cfRule type="cellIs" dxfId="479" priority="6" operator="greaterThan">
      <formula>L16</formula>
    </cfRule>
  </conditionalFormatting>
  <pageMargins left="0.7" right="0.7" top="0.75" bottom="0.75" header="0.3" footer="0.3"/>
  <pageSetup paperSize="3" fitToHeight="0" orientation="landscape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4084F28-1431-47F7-8296-CA7C0EAFFE9D}">
          <x14:formula1>
            <xm:f>Purchased!$A:$A</xm:f>
          </x14:formula1>
          <xm:sqref>C16:C30</xm:sqref>
        </x14:dataValidation>
        <x14:dataValidation type="list" allowBlank="1" showInputMessage="1" showErrorMessage="1" xr:uid="{EA9481C7-FABF-4220-8556-E02C37464E8B}">
          <x14:formula1>
            <xm:f>Machined!$C:$C</xm:f>
          </x14:formula1>
          <xm:sqref>C5:C14</xm:sqref>
        </x14:dataValidation>
      </x14:dataValidation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F868E2-FB68-4EF8-9B92-BA3481B18780}">
  <sheetPr codeName="Sheet47">
    <tabColor theme="3" tint="0.79998168889431442"/>
    <pageSetUpPr fitToPage="1"/>
  </sheetPr>
  <dimension ref="A1:Q189"/>
  <sheetViews>
    <sheetView zoomScaleNormal="100" workbookViewId="0">
      <selection activeCell="B16" sqref="B16"/>
    </sheetView>
  </sheetViews>
  <sheetFormatPr defaultColWidth="9.140625" defaultRowHeight="15"/>
  <cols>
    <col min="1" max="1" width="5.7109375" customWidth="1"/>
    <col min="2" max="2" width="5.42578125" bestFit="1" customWidth="1"/>
    <col min="3" max="3" width="30.7109375" customWidth="1"/>
    <col min="4" max="5" width="20.7109375" style="23" customWidth="1"/>
    <col min="6" max="6" width="16.85546875" bestFit="1" customWidth="1"/>
    <col min="7" max="7" width="9.7109375" customWidth="1"/>
    <col min="8" max="8" width="8.7109375" customWidth="1"/>
    <col min="9" max="9" width="20.7109375" customWidth="1"/>
    <col min="10" max="13" width="11.7109375" style="19" customWidth="1"/>
    <col min="14" max="14" width="11.85546875" style="19" bestFit="1" customWidth="1"/>
    <col min="15" max="15" width="7.7109375" style="19" customWidth="1"/>
    <col min="16" max="16" width="10.7109375" style="90" customWidth="1"/>
    <col min="17" max="17" width="10.7109375" style="97" customWidth="1"/>
  </cols>
  <sheetData>
    <row r="1" spans="1:17" s="55" customFormat="1" ht="12" customHeight="1">
      <c r="A1" s="68" t="s">
        <v>0</v>
      </c>
      <c r="B1" s="69"/>
      <c r="C1" s="69"/>
      <c r="D1" s="262" t="s">
        <v>1</v>
      </c>
      <c r="E1" s="263"/>
      <c r="F1" s="70"/>
      <c r="G1" s="69"/>
      <c r="H1" s="70"/>
      <c r="I1" s="71"/>
      <c r="J1" s="72"/>
      <c r="K1" s="72"/>
      <c r="L1" s="72"/>
      <c r="M1" s="72"/>
      <c r="N1" s="72"/>
      <c r="O1" s="72"/>
      <c r="P1" s="85"/>
      <c r="Q1" s="91"/>
    </row>
    <row r="2" spans="1:17" s="55" customFormat="1" ht="12" customHeight="1">
      <c r="A2" s="74" t="s">
        <v>48</v>
      </c>
      <c r="B2" s="58"/>
      <c r="C2" s="57" t="e">
        <f ca="1">VLOOKUP(E3,Assemblies!B:F,4,0)</f>
        <v>#VALUE!</v>
      </c>
      <c r="D2" s="75" t="s">
        <v>3</v>
      </c>
      <c r="E2" s="76" t="e">
        <f ca="1">'GF12'!E2</f>
        <v>#VALUE!</v>
      </c>
      <c r="F2" s="77" t="s">
        <v>4</v>
      </c>
      <c r="G2" s="58" t="str">
        <f>'GF12'!G2</f>
        <v>GH</v>
      </c>
      <c r="H2" s="77" t="s">
        <v>6</v>
      </c>
      <c r="I2" s="59">
        <f>'GF12'!I2</f>
        <v>44775</v>
      </c>
      <c r="J2" s="39"/>
      <c r="K2" s="40" t="s">
        <v>49</v>
      </c>
      <c r="L2" s="41" t="e">
        <f ca="1">VLOOKUP(C2,Assemblies!E:G,3,0)</f>
        <v>#VALUE!</v>
      </c>
      <c r="M2" s="78"/>
      <c r="N2" s="78"/>
      <c r="O2" s="78"/>
      <c r="P2" s="86"/>
      <c r="Q2" s="92"/>
    </row>
    <row r="3" spans="1:17" s="55" customFormat="1" ht="12" customHeight="1" thickBot="1">
      <c r="A3" s="74" t="s">
        <v>7</v>
      </c>
      <c r="B3" s="58"/>
      <c r="C3" s="57" t="e">
        <f ca="1">VLOOKUP(E3,Assemblies!B:F,5,0)</f>
        <v>#VALUE!</v>
      </c>
      <c r="D3" s="75" t="s">
        <v>50</v>
      </c>
      <c r="E3" s="76" t="e">
        <f ca="1">MID(CELL("filename",A1),FIND("]",CELL("filename",A1))+1,256)</f>
        <v>#VALUE!</v>
      </c>
      <c r="F3" s="77" t="s">
        <v>11</v>
      </c>
      <c r="G3" s="58" t="str">
        <f>'GF12'!G3</f>
        <v>GH</v>
      </c>
      <c r="H3" s="77" t="s">
        <v>6</v>
      </c>
      <c r="I3" s="59">
        <f>'GF12'!I3</f>
        <v>44775</v>
      </c>
      <c r="J3" s="78"/>
      <c r="K3" s="78"/>
      <c r="L3" s="78"/>
      <c r="M3" s="78"/>
      <c r="N3" s="78"/>
      <c r="O3" s="78"/>
      <c r="P3" s="86"/>
      <c r="Q3" s="92"/>
    </row>
    <row r="4" spans="1:17" s="56" customFormat="1" ht="12.75" customHeight="1" thickBot="1">
      <c r="A4" s="80" t="s">
        <v>12</v>
      </c>
      <c r="B4" s="81" t="s">
        <v>13</v>
      </c>
      <c r="C4" s="81" t="s">
        <v>14</v>
      </c>
      <c r="D4" s="270" t="s">
        <v>15</v>
      </c>
      <c r="E4" s="271"/>
      <c r="F4" s="104" t="s">
        <v>16</v>
      </c>
      <c r="G4" s="81" t="s">
        <v>17</v>
      </c>
      <c r="H4" s="260" t="s">
        <v>18</v>
      </c>
      <c r="I4" s="261"/>
      <c r="J4" s="81" t="s">
        <v>51</v>
      </c>
      <c r="K4" s="81" t="s">
        <v>20</v>
      </c>
      <c r="L4" s="81" t="s">
        <v>21</v>
      </c>
      <c r="M4" s="81" t="s">
        <v>52</v>
      </c>
      <c r="N4" s="81" t="s">
        <v>22</v>
      </c>
      <c r="O4" s="81" t="s">
        <v>53</v>
      </c>
      <c r="P4" s="107" t="s">
        <v>26</v>
      </c>
      <c r="Q4" s="82" t="s">
        <v>27</v>
      </c>
    </row>
    <row r="5" spans="1:17" s="2" customFormat="1" ht="12.75" customHeight="1">
      <c r="A5" s="127">
        <v>1</v>
      </c>
      <c r="B5" s="21">
        <v>1</v>
      </c>
      <c r="C5" s="108" t="s">
        <v>628</v>
      </c>
      <c r="D5" s="277" t="str">
        <f>VLOOKUP(C5,Machined!C:Q,2,0)</f>
        <v>Manifold 1 Mounting Plate</v>
      </c>
      <c r="E5" s="278"/>
      <c r="F5" s="131" t="str">
        <f>VLOOKUP(C5,Machined!C:R,7,0)</f>
        <v>6061-T6 Alum</v>
      </c>
      <c r="G5" s="131" t="str">
        <f>VLOOKUP(C5,Machined!C:R,10,0)</f>
        <v>NULINE</v>
      </c>
      <c r="H5" s="131" t="str">
        <f>VLOOKUP(C5,Machined!C:R,11,0)</f>
        <v xml:space="preserve">  </v>
      </c>
      <c r="I5" s="131"/>
      <c r="J5" s="42" t="str">
        <f>VLOOKUP(C5,Machined!C:R,12,0)</f>
        <v>N/A</v>
      </c>
      <c r="K5" s="42" t="str">
        <f>VLOOKUP(C5,Machined!C:R,13,0)</f>
        <v>N/A</v>
      </c>
      <c r="L5" s="42" t="str">
        <f>VLOOKUP(C5,Machined!C:R,14,0)</f>
        <v>N/A</v>
      </c>
      <c r="M5" s="42" t="str">
        <f>VLOOKUP(C5,Machined!C:R,15,0)</f>
        <v>N/A</v>
      </c>
      <c r="N5" s="43" t="str">
        <f>VLOOKUP(C5,Machined!C:R,16,0)</f>
        <v>N/A</v>
      </c>
      <c r="O5" s="43" t="e">
        <f t="shared" ref="O5:O6" ca="1" si="0">B5*$L$2</f>
        <v>#VALUE!</v>
      </c>
      <c r="P5" s="47">
        <f>IFERROR(VLOOKUP(C5,Machined!C:F,3,0),"")</f>
        <v>0</v>
      </c>
      <c r="Q5" s="48">
        <f t="shared" ref="Q5:Q6" si="1">IFERROR(B5*P5,"")</f>
        <v>0</v>
      </c>
    </row>
    <row r="6" spans="1:17" s="2" customFormat="1" ht="12.75" customHeight="1">
      <c r="A6" s="127">
        <v>2</v>
      </c>
      <c r="B6" s="21">
        <v>2</v>
      </c>
      <c r="C6" s="108" t="s">
        <v>629</v>
      </c>
      <c r="D6" s="277" t="str">
        <f>VLOOKUP(C6,Machined!C:Q,2,0)</f>
        <v>Flow Controller Mount Plate</v>
      </c>
      <c r="E6" s="278"/>
      <c r="F6" s="131" t="str">
        <f>VLOOKUP(C6,Machined!C:R,7,0)</f>
        <v>6061-T6 Alum</v>
      </c>
      <c r="G6" s="131" t="str">
        <f>VLOOKUP(C6,Machined!C:R,10,0)</f>
        <v>NULINE</v>
      </c>
      <c r="H6" s="131" t="str">
        <f>VLOOKUP(C6,Machined!C:R,11,0)</f>
        <v xml:space="preserve">  </v>
      </c>
      <c r="I6" s="131"/>
      <c r="J6" s="42" t="str">
        <f>VLOOKUP(C6,Machined!C:R,12,0)</f>
        <v>N/A</v>
      </c>
      <c r="K6" s="42" t="str">
        <f>VLOOKUP(C6,Machined!C:R,13,0)</f>
        <v>N/A</v>
      </c>
      <c r="L6" s="42" t="str">
        <f>VLOOKUP(C6,Machined!C:R,14,0)</f>
        <v>N/A</v>
      </c>
      <c r="M6" s="42" t="str">
        <f>VLOOKUP(C6,Machined!C:R,15,0)</f>
        <v>N/A</v>
      </c>
      <c r="N6" s="43" t="str">
        <f>VLOOKUP(C6,Machined!C:R,16,0)</f>
        <v>N/A</v>
      </c>
      <c r="O6" s="43" t="e">
        <f t="shared" ca="1" si="0"/>
        <v>#VALUE!</v>
      </c>
      <c r="P6" s="47">
        <f>IFERROR(VLOOKUP(C6,Machined!C:F,3,0),"")</f>
        <v>0</v>
      </c>
      <c r="Q6" s="48">
        <f t="shared" si="1"/>
        <v>0</v>
      </c>
    </row>
    <row r="7" spans="1:17" s="2" customFormat="1" ht="12.75" customHeight="1">
      <c r="A7" s="143"/>
      <c r="B7" s="26"/>
      <c r="C7" s="26"/>
      <c r="D7" s="272"/>
      <c r="E7" s="273"/>
      <c r="F7" s="26"/>
      <c r="G7" s="26"/>
      <c r="H7" s="274"/>
      <c r="I7" s="275"/>
      <c r="J7" s="27"/>
      <c r="K7" s="27"/>
      <c r="L7" s="27"/>
      <c r="M7" s="28"/>
      <c r="N7" s="29"/>
      <c r="O7" s="29"/>
      <c r="P7" s="141"/>
      <c r="Q7" s="142"/>
    </row>
    <row r="8" spans="1:17" s="2" customFormat="1" ht="12.75" customHeight="1">
      <c r="A8" s="4">
        <v>301</v>
      </c>
      <c r="B8" s="2">
        <v>1</v>
      </c>
      <c r="C8" s="114" t="s">
        <v>169</v>
      </c>
      <c r="D8" s="268" t="str">
        <f>VLOOKUP(C8,Purchased!A:B,2,0)</f>
        <v>SMC SS5Y5 D SIDE END PLATE</v>
      </c>
      <c r="E8" s="269"/>
      <c r="F8" s="112" t="str">
        <f>VLOOKUP(C8,Purchased!A:Q,9,0)</f>
        <v>SMC</v>
      </c>
      <c r="G8" s="112" t="str">
        <f>VLOOKUP(C8,Purchased!A:Q,10,0)</f>
        <v>AAP</v>
      </c>
      <c r="H8" s="112" t="str">
        <f>VLOOKUP(C8,Purchased!A:Q,12,0)</f>
        <v xml:space="preserve">  </v>
      </c>
      <c r="I8" s="113"/>
      <c r="J8" s="44" t="str">
        <f>VLOOKUP(C8,Purchased!A:Q,13,0)</f>
        <v>N/A</v>
      </c>
      <c r="K8" s="44">
        <f>VLOOKUP(C8,Purchased!A:Q,14,0)</f>
        <v>45086</v>
      </c>
      <c r="L8" s="44">
        <f>VLOOKUP(C8,Purchased!A:Q,15,0)</f>
        <v>45103</v>
      </c>
      <c r="M8" s="44">
        <f>VLOOKUP(C8,Purchased!A:Q,16,0)</f>
        <v>45103</v>
      </c>
      <c r="N8" s="45">
        <f>VLOOKUP(C8,Purchased!A:Q,17,0)</f>
        <v>54926</v>
      </c>
      <c r="O8" s="45" t="e">
        <f t="shared" ref="O8:O31" ca="1" si="2">B8*$L$2</f>
        <v>#VALUE!</v>
      </c>
      <c r="P8" s="49">
        <f>IFERROR(VLOOKUP(C8,Purchased!A:E,3,FALSE),"")</f>
        <v>49.398800000000001</v>
      </c>
      <c r="Q8" s="50">
        <f t="shared" ref="Q8:Q24" si="3">IFERROR(B8*P8,"")</f>
        <v>49.398800000000001</v>
      </c>
    </row>
    <row r="9" spans="1:17" s="2" customFormat="1" ht="12" customHeight="1">
      <c r="A9" s="4">
        <f t="shared" ref="A9:A25" si="4">A8+1</f>
        <v>302</v>
      </c>
      <c r="B9" s="2">
        <v>8</v>
      </c>
      <c r="C9" s="114" t="s">
        <v>170</v>
      </c>
      <c r="D9" s="268" t="str">
        <f>VLOOKUP(C9,Purchased!A:B,2,0)</f>
        <v>SMC BLOCK ASSY</v>
      </c>
      <c r="E9" s="269"/>
      <c r="F9" s="112" t="str">
        <f>VLOOKUP(C9,Purchased!A:Q,9,0)</f>
        <v>SMC</v>
      </c>
      <c r="G9" s="112" t="str">
        <f>VLOOKUP(C9,Purchased!A:Q,10,0)</f>
        <v>AAP</v>
      </c>
      <c r="H9" s="112" t="str">
        <f>VLOOKUP(C9,Purchased!A:Q,12,0)</f>
        <v xml:space="preserve">  </v>
      </c>
      <c r="I9" s="113"/>
      <c r="J9" s="44" t="str">
        <f>VLOOKUP(C9,Purchased!A:Q,13,0)</f>
        <v>N/A</v>
      </c>
      <c r="K9" s="44">
        <f>VLOOKUP(C9,Purchased!A:Q,14,0)</f>
        <v>45086</v>
      </c>
      <c r="L9" s="44">
        <f>VLOOKUP(C9,Purchased!A:Q,15,0)</f>
        <v>45103</v>
      </c>
      <c r="M9" s="44">
        <f>VLOOKUP(C9,Purchased!A:Q,16,0)</f>
        <v>45103</v>
      </c>
      <c r="N9" s="45">
        <f>VLOOKUP(C9,Purchased!A:Q,17,0)</f>
        <v>54926</v>
      </c>
      <c r="O9" s="45" t="e">
        <f t="shared" ca="1" si="2"/>
        <v>#VALUE!</v>
      </c>
      <c r="P9" s="49">
        <f>IFERROR(VLOOKUP(C9,Purchased!A:E,3,FALSE),"")</f>
        <v>17.9833</v>
      </c>
      <c r="Q9" s="50">
        <f t="shared" si="3"/>
        <v>143.8664</v>
      </c>
    </row>
    <row r="10" spans="1:17" s="2" customFormat="1" ht="12" customHeight="1">
      <c r="A10" s="4">
        <f t="shared" si="4"/>
        <v>303</v>
      </c>
      <c r="B10" s="2">
        <v>4</v>
      </c>
      <c r="C10" s="114" t="s">
        <v>172</v>
      </c>
      <c r="D10" s="268" t="str">
        <f>VLOOKUP(C10,Purchased!A:B,2,0)</f>
        <v>SMC Valve, 5 Port Solenoid</v>
      </c>
      <c r="E10" s="269"/>
      <c r="F10" s="112" t="str">
        <f>VLOOKUP(C10,Purchased!A:Q,9,0)</f>
        <v>SMC</v>
      </c>
      <c r="G10" s="112" t="str">
        <f>VLOOKUP(C10,Purchased!A:Q,10,0)</f>
        <v>AAP</v>
      </c>
      <c r="H10" s="112" t="str">
        <f>VLOOKUP(C10,Purchased!A:Q,12,0)</f>
        <v xml:space="preserve"> </v>
      </c>
      <c r="I10" s="113"/>
      <c r="J10" s="44" t="str">
        <f>VLOOKUP(C10,Purchased!A:Q,13,0)</f>
        <v>N/A</v>
      </c>
      <c r="K10" s="44">
        <f>VLOOKUP(C10,Purchased!A:Q,14,0)</f>
        <v>45086</v>
      </c>
      <c r="L10" s="44">
        <f>VLOOKUP(C10,Purchased!A:Q,15,0)</f>
        <v>45103</v>
      </c>
      <c r="M10" s="44">
        <f>VLOOKUP(C10,Purchased!A:Q,16,0)</f>
        <v>45103</v>
      </c>
      <c r="N10" s="45">
        <f>VLOOKUP(C10,Purchased!A:Q,17,0)</f>
        <v>54926</v>
      </c>
      <c r="O10" s="45" t="e">
        <f t="shared" ca="1" si="2"/>
        <v>#VALUE!</v>
      </c>
      <c r="P10" s="49">
        <f>IFERROR(VLOOKUP(C10,Purchased!A:E,3,FALSE),"")</f>
        <v>83.1798</v>
      </c>
      <c r="Q10" s="50">
        <f t="shared" si="3"/>
        <v>332.7192</v>
      </c>
    </row>
    <row r="11" spans="1:17" s="2" customFormat="1" ht="12" customHeight="1">
      <c r="A11" s="4">
        <f t="shared" si="4"/>
        <v>304</v>
      </c>
      <c r="B11" s="2">
        <v>2</v>
      </c>
      <c r="C11" s="114" t="s">
        <v>200</v>
      </c>
      <c r="D11" s="268" t="str">
        <f>VLOOKUP(C11,Purchased!A:B,2,0)</f>
        <v>SMC Valve, 5 Port Solenoid</v>
      </c>
      <c r="E11" s="269"/>
      <c r="F11" s="112" t="str">
        <f>VLOOKUP(C11,Purchased!A:Q,9,0)</f>
        <v>SMC</v>
      </c>
      <c r="G11" s="112" t="str">
        <f>VLOOKUP(C11,Purchased!A:Q,10,0)</f>
        <v>AAP</v>
      </c>
      <c r="H11" s="112" t="str">
        <f>VLOOKUP(C11,Purchased!A:Q,12,0)</f>
        <v xml:space="preserve"> </v>
      </c>
      <c r="I11" s="113"/>
      <c r="J11" s="44" t="str">
        <f>VLOOKUP(C11,Purchased!A:Q,13,0)</f>
        <v>N/A</v>
      </c>
      <c r="K11" s="44">
        <f>VLOOKUP(C11,Purchased!A:Q,14,0)</f>
        <v>45086</v>
      </c>
      <c r="L11" s="44">
        <f>VLOOKUP(C11,Purchased!A:Q,15,0)</f>
        <v>45103</v>
      </c>
      <c r="M11" s="44">
        <f>VLOOKUP(C11,Purchased!A:Q,16,0)</f>
        <v>45103</v>
      </c>
      <c r="N11" s="45">
        <f>VLOOKUP(C11,Purchased!A:Q,17,0)</f>
        <v>54926</v>
      </c>
      <c r="O11" s="45" t="e">
        <f t="shared" ca="1" si="2"/>
        <v>#VALUE!</v>
      </c>
      <c r="P11" s="49">
        <f>IFERROR(VLOOKUP(C11,Purchased!A:E,3,FALSE),"")</f>
        <v>53.659500000000001</v>
      </c>
      <c r="Q11" s="50">
        <f t="shared" si="3"/>
        <v>107.319</v>
      </c>
    </row>
    <row r="12" spans="1:17" s="2" customFormat="1" ht="12" customHeight="1">
      <c r="A12" s="4">
        <f t="shared" si="4"/>
        <v>305</v>
      </c>
      <c r="B12" s="2">
        <v>2</v>
      </c>
      <c r="C12" s="114" t="s">
        <v>402</v>
      </c>
      <c r="D12" s="268" t="str">
        <f>VLOOKUP(C12,Purchased!A:B,2,0)</f>
        <v>SMC BLANKING PLATE ASSY</v>
      </c>
      <c r="E12" s="269"/>
      <c r="F12" s="112" t="str">
        <f>VLOOKUP(C12,Purchased!A:Q,9,0)</f>
        <v>SMC</v>
      </c>
      <c r="G12" s="112" t="str">
        <f>VLOOKUP(C12,Purchased!A:Q,10,0)</f>
        <v>AAP</v>
      </c>
      <c r="H12" s="112" t="str">
        <f>VLOOKUP(C12,Purchased!A:Q,12,0)</f>
        <v xml:space="preserve">  </v>
      </c>
      <c r="I12" s="113"/>
      <c r="J12" s="44" t="str">
        <f>VLOOKUP(C12,Purchased!A:Q,13,0)</f>
        <v>N/A</v>
      </c>
      <c r="K12" s="44">
        <f>VLOOKUP(C12,Purchased!A:Q,14,0)</f>
        <v>45086</v>
      </c>
      <c r="L12" s="44">
        <f>VLOOKUP(C12,Purchased!A:Q,15,0)</f>
        <v>45103</v>
      </c>
      <c r="M12" s="44">
        <f>VLOOKUP(C12,Purchased!A:Q,16,0)</f>
        <v>45103</v>
      </c>
      <c r="N12" s="45">
        <f>VLOOKUP(C12,Purchased!A:Q,17,0)</f>
        <v>54926</v>
      </c>
      <c r="O12" s="45" t="e">
        <f t="shared" ca="1" si="2"/>
        <v>#VALUE!</v>
      </c>
      <c r="P12" s="49">
        <f>IFERROR(VLOOKUP(C12,Purchased!A:E,3,FALSE),"")</f>
        <v>5.6577999999999999</v>
      </c>
      <c r="Q12" s="50">
        <f t="shared" si="3"/>
        <v>11.3156</v>
      </c>
    </row>
    <row r="13" spans="1:17" s="2" customFormat="1" ht="12" customHeight="1">
      <c r="A13" s="4">
        <f t="shared" si="4"/>
        <v>306</v>
      </c>
      <c r="B13" s="2">
        <v>1</v>
      </c>
      <c r="C13" s="114" t="s">
        <v>630</v>
      </c>
      <c r="D13" s="268" t="str">
        <f>VLOOKUP(C13,Purchased!A:B,2,0)</f>
        <v>SMC TIE ROD KIT</v>
      </c>
      <c r="E13" s="269"/>
      <c r="F13" s="112" t="str">
        <f>VLOOKUP(C13,Purchased!A:Q,9,0)</f>
        <v>SMC</v>
      </c>
      <c r="G13" s="112" t="str">
        <f>VLOOKUP(C13,Purchased!A:Q,10,0)</f>
        <v>AAP</v>
      </c>
      <c r="H13" s="112" t="str">
        <f>VLOOKUP(C13,Purchased!A:Q,12,0)</f>
        <v xml:space="preserve"> </v>
      </c>
      <c r="I13" s="113"/>
      <c r="J13" s="44" t="str">
        <f>VLOOKUP(C13,Purchased!A:Q,13,0)</f>
        <v>N/A</v>
      </c>
      <c r="K13" s="44">
        <f>VLOOKUP(C13,Purchased!A:Q,14,0)</f>
        <v>45086</v>
      </c>
      <c r="L13" s="44">
        <f>VLOOKUP(C13,Purchased!A:Q,15,0)</f>
        <v>45103</v>
      </c>
      <c r="M13" s="44">
        <f>VLOOKUP(C13,Purchased!A:Q,16,0)</f>
        <v>45103</v>
      </c>
      <c r="N13" s="45">
        <f>VLOOKUP(C13,Purchased!A:Q,17,0)</f>
        <v>54926</v>
      </c>
      <c r="O13" s="45" t="e">
        <f t="shared" ca="1" si="2"/>
        <v>#VALUE!</v>
      </c>
      <c r="P13" s="49">
        <f>IFERROR(VLOOKUP(C13,Purchased!A:E,3,FALSE),"")</f>
        <v>13.3492</v>
      </c>
      <c r="Q13" s="50">
        <f t="shared" si="3"/>
        <v>13.3492</v>
      </c>
    </row>
    <row r="14" spans="1:17" s="2" customFormat="1" ht="12" customHeight="1">
      <c r="A14" s="4">
        <f t="shared" si="4"/>
        <v>307</v>
      </c>
      <c r="B14" s="2">
        <v>2</v>
      </c>
      <c r="C14" s="114" t="s">
        <v>175</v>
      </c>
      <c r="D14" s="268" t="str">
        <f>VLOOKUP(C14,Purchased!A:B,2,0)</f>
        <v>SMC FITTING ASSY</v>
      </c>
      <c r="E14" s="269"/>
      <c r="F14" s="112"/>
      <c r="G14" s="112"/>
      <c r="H14" s="112"/>
      <c r="I14" s="113"/>
      <c r="J14" s="44"/>
      <c r="K14" s="44"/>
      <c r="L14" s="44"/>
      <c r="M14" s="44"/>
      <c r="N14" s="45"/>
      <c r="O14" s="45"/>
      <c r="P14" s="49"/>
      <c r="Q14" s="50"/>
    </row>
    <row r="15" spans="1:17" s="2" customFormat="1" ht="12" customHeight="1">
      <c r="A15" s="4">
        <f t="shared" si="4"/>
        <v>308</v>
      </c>
      <c r="B15" s="2">
        <v>1</v>
      </c>
      <c r="C15" s="114" t="s">
        <v>176</v>
      </c>
      <c r="D15" s="268" t="str">
        <f>VLOOKUP(C15,Purchased!A:B,2,0)</f>
        <v>SMC SS5Y5 U SIDE END PLATE</v>
      </c>
      <c r="E15" s="269"/>
      <c r="F15" s="112"/>
      <c r="G15" s="112"/>
      <c r="H15" s="112"/>
      <c r="I15" s="113"/>
      <c r="J15" s="44"/>
      <c r="K15" s="44"/>
      <c r="L15" s="44"/>
      <c r="M15" s="44"/>
      <c r="N15" s="45"/>
      <c r="O15" s="45"/>
      <c r="P15" s="49"/>
      <c r="Q15" s="50"/>
    </row>
    <row r="16" spans="1:17" s="2" customFormat="1" ht="12" customHeight="1">
      <c r="A16" s="4">
        <f t="shared" si="4"/>
        <v>309</v>
      </c>
      <c r="B16" s="240">
        <v>2</v>
      </c>
      <c r="C16" s="114" t="s">
        <v>177</v>
      </c>
      <c r="D16" s="268" t="str">
        <f>VLOOKUP(C16,Purchased!A:B,2,0)</f>
        <v>SMC COVER ASSY</v>
      </c>
      <c r="E16" s="269"/>
      <c r="F16" s="112" t="str">
        <f>VLOOKUP(C16,Purchased!A:Q,9,0)</f>
        <v>SMC</v>
      </c>
      <c r="G16" s="112" t="str">
        <f>VLOOKUP(C16,Purchased!A:Q,10,0)</f>
        <v>AAP</v>
      </c>
      <c r="H16" s="112" t="str">
        <f>VLOOKUP(C16,Purchased!A:Q,12,0)</f>
        <v xml:space="preserve"> </v>
      </c>
      <c r="I16" s="113"/>
      <c r="J16" s="44" t="str">
        <f>VLOOKUP(C16,Purchased!A:Q,13,0)</f>
        <v>N/A</v>
      </c>
      <c r="K16" s="44">
        <f>VLOOKUP(C16,Purchased!A:Q,14,0)</f>
        <v>45086</v>
      </c>
      <c r="L16" s="44">
        <f>VLOOKUP(C16,Purchased!A:Q,15,0)</f>
        <v>45103</v>
      </c>
      <c r="M16" s="44">
        <f>VLOOKUP(C16,Purchased!A:Q,16,0)</f>
        <v>45103</v>
      </c>
      <c r="N16" s="45" t="str">
        <f>VLOOKUP(C16,Purchased!A:Q,17,0)</f>
        <v>4x54926, 5x55260</v>
      </c>
      <c r="O16" s="45" t="e">
        <f t="shared" ca="1" si="2"/>
        <v>#VALUE!</v>
      </c>
      <c r="P16" s="49">
        <f>IFERROR(VLOOKUP(C16,Purchased!A:E,3,FALSE),"")</f>
        <v>1.7153</v>
      </c>
      <c r="Q16" s="50">
        <f t="shared" si="3"/>
        <v>3.4306000000000001</v>
      </c>
    </row>
    <row r="17" spans="1:17" s="2" customFormat="1" ht="12" customHeight="1">
      <c r="A17" s="4">
        <f t="shared" si="4"/>
        <v>310</v>
      </c>
      <c r="B17" s="2">
        <v>4</v>
      </c>
      <c r="C17" s="114" t="s">
        <v>325</v>
      </c>
      <c r="D17" s="268" t="str">
        <f>VLOOKUP(C17,Purchased!A:B,2,0)</f>
        <v>BRX GOTO T-NUT 10 M4</v>
      </c>
      <c r="E17" s="269"/>
      <c r="F17" s="112" t="str">
        <f>VLOOKUP(C17,Purchased!A:Q,9,0)</f>
        <v>BRX</v>
      </c>
      <c r="G17" s="112" t="str">
        <f>VLOOKUP(C17,Purchased!A:Q,10,0)</f>
        <v>AAP</v>
      </c>
      <c r="H17" s="112" t="str">
        <f>VLOOKUP(C17,Purchased!A:Q,12,0)</f>
        <v>14 NuLine Stock</v>
      </c>
      <c r="I17" s="113"/>
      <c r="J17" s="44">
        <f>VLOOKUP(C17,Purchased!A:Q,13,0)</f>
        <v>45104</v>
      </c>
      <c r="K17" s="44">
        <f>VLOOKUP(C17,Purchased!A:Q,14,0)</f>
        <v>45105</v>
      </c>
      <c r="L17" s="44">
        <f>VLOOKUP(C17,Purchased!A:Q,15,0)</f>
        <v>45133</v>
      </c>
      <c r="M17" s="44">
        <f>VLOOKUP(C17,Purchased!A:Q,16,0)</f>
        <v>45133</v>
      </c>
      <c r="N17" s="45">
        <f>VLOOKUP(C17,Purchased!A:Q,17,0)</f>
        <v>54968</v>
      </c>
      <c r="O17" s="45" t="e">
        <f t="shared" ca="1" si="2"/>
        <v>#VALUE!</v>
      </c>
      <c r="P17" s="49">
        <f>IFERROR(VLOOKUP(C17,Purchased!A:E,3,FALSE),"")</f>
        <v>0.64290000000000003</v>
      </c>
      <c r="Q17" s="50">
        <f t="shared" si="3"/>
        <v>2.5716000000000001</v>
      </c>
    </row>
    <row r="18" spans="1:17" s="2" customFormat="1" ht="12" customHeight="1">
      <c r="A18" s="4">
        <f t="shared" si="4"/>
        <v>311</v>
      </c>
      <c r="B18" s="2">
        <v>8</v>
      </c>
      <c r="C18" s="114" t="s">
        <v>445</v>
      </c>
      <c r="D18" s="268" t="str">
        <f>VLOOKUP(C18,Purchased!A:B,2,0)</f>
        <v>SMC SPEED CONTROLLER</v>
      </c>
      <c r="E18" s="269"/>
      <c r="F18" s="112" t="str">
        <f>VLOOKUP(C18,Purchased!A:Q,9,0)</f>
        <v>SMC</v>
      </c>
      <c r="G18" s="112" t="str">
        <f>VLOOKUP(C18,Purchased!A:Q,10,0)</f>
        <v>AAP</v>
      </c>
      <c r="H18" s="112" t="str">
        <f>VLOOKUP(C18,Purchased!A:Q,12,0)</f>
        <v xml:space="preserve"> </v>
      </c>
      <c r="I18" s="113"/>
      <c r="J18" s="44" t="str">
        <f>VLOOKUP(C18,Purchased!A:Q,13,0)</f>
        <v>N/A</v>
      </c>
      <c r="K18" s="44">
        <f>VLOOKUP(C18,Purchased!A:Q,14,0)</f>
        <v>45162</v>
      </c>
      <c r="L18" s="44">
        <f>VLOOKUP(C18,Purchased!A:Q,15,0)</f>
        <v>45184</v>
      </c>
      <c r="M18" s="44">
        <f>VLOOKUP(C18,Purchased!A:Q,16,0)</f>
        <v>45180</v>
      </c>
      <c r="N18" s="45">
        <f>VLOOKUP(C18,Purchased!A:Q,17,0)</f>
        <v>55037</v>
      </c>
      <c r="O18" s="45" t="e">
        <f t="shared" ca="1" si="2"/>
        <v>#VALUE!</v>
      </c>
      <c r="P18" s="49">
        <f>IFERROR(VLOOKUP(C18,Purchased!A:E,3,FALSE),"")</f>
        <v>20.3765</v>
      </c>
      <c r="Q18" s="50">
        <f t="shared" si="3"/>
        <v>163.012</v>
      </c>
    </row>
    <row r="19" spans="1:17" s="2" customFormat="1" ht="12" customHeight="1">
      <c r="A19" s="4">
        <f t="shared" si="4"/>
        <v>312</v>
      </c>
      <c r="B19" s="2">
        <v>4</v>
      </c>
      <c r="C19" s="114" t="s">
        <v>421</v>
      </c>
      <c r="D19" s="268" t="str">
        <f>VLOOKUP(C19,Purchased!A:B,2,0)</f>
        <v>SMC KIT, L-BRACKET, AS2052F</v>
      </c>
      <c r="E19" s="269"/>
      <c r="F19" s="112" t="str">
        <f>VLOOKUP(C19,Purchased!A:Q,9,0)</f>
        <v>SMC</v>
      </c>
      <c r="G19" s="112" t="str">
        <f>VLOOKUP(C19,Purchased!A:Q,10,0)</f>
        <v>AAP</v>
      </c>
      <c r="H19" s="112" t="str">
        <f>VLOOKUP(C19,Purchased!A:Q,12,0)</f>
        <v xml:space="preserve"> </v>
      </c>
      <c r="I19" s="113"/>
      <c r="J19" s="44" t="str">
        <f>VLOOKUP(C19,Purchased!A:Q,13,0)</f>
        <v>N/A</v>
      </c>
      <c r="K19" s="44">
        <f>VLOOKUP(C19,Purchased!A:Q,14,0)</f>
        <v>45162</v>
      </c>
      <c r="L19" s="44">
        <f>VLOOKUP(C19,Purchased!A:Q,15,0)</f>
        <v>45184</v>
      </c>
      <c r="M19" s="44">
        <f>VLOOKUP(C19,Purchased!A:Q,16,0)</f>
        <v>45180</v>
      </c>
      <c r="N19" s="45">
        <f>VLOOKUP(C19,Purchased!A:Q,17,0)</f>
        <v>55037</v>
      </c>
      <c r="O19" s="45" t="e">
        <f t="shared" ca="1" si="2"/>
        <v>#VALUE!</v>
      </c>
      <c r="P19" s="49">
        <f>IFERROR(VLOOKUP(C19,Purchased!A:E,3,FALSE),"")</f>
        <v>2.2410000000000001</v>
      </c>
      <c r="Q19" s="50">
        <f t="shared" si="3"/>
        <v>8.9640000000000004</v>
      </c>
    </row>
    <row r="20" spans="1:17" s="2" customFormat="1" ht="12" customHeight="1">
      <c r="A20" s="4">
        <f t="shared" si="4"/>
        <v>313</v>
      </c>
      <c r="B20" s="2">
        <v>2</v>
      </c>
      <c r="C20" s="114" t="s">
        <v>631</v>
      </c>
      <c r="D20" s="268" t="str">
        <f>VLOOKUP(C20,Purchased!A:B,2,0)</f>
        <v>SMC FITTING, DIFF DIA STR UNION</v>
      </c>
      <c r="E20" s="269"/>
      <c r="F20" s="112" t="str">
        <f>VLOOKUP(C20,Purchased!A:Q,9,0)</f>
        <v>SMC</v>
      </c>
      <c r="G20" s="112" t="str">
        <f>VLOOKUP(C20,Purchased!A:Q,10,0)</f>
        <v>AAP</v>
      </c>
      <c r="H20" s="112" t="str">
        <f>VLOOKUP(C20,Purchased!A:Q,12,0)</f>
        <v xml:space="preserve"> </v>
      </c>
      <c r="I20" s="113"/>
      <c r="J20" s="44" t="str">
        <f>VLOOKUP(C20,Purchased!A:Q,13,0)</f>
        <v>N/A</v>
      </c>
      <c r="K20" s="44">
        <f>VLOOKUP(C20,Purchased!A:Q,14,0)</f>
        <v>45162</v>
      </c>
      <c r="L20" s="44">
        <f>VLOOKUP(C20,Purchased!A:Q,15,0)</f>
        <v>45184</v>
      </c>
      <c r="M20" s="44">
        <f>VLOOKUP(C20,Purchased!A:Q,16,0)</f>
        <v>45180</v>
      </c>
      <c r="N20" s="45">
        <f>VLOOKUP(C20,Purchased!A:Q,17,0)</f>
        <v>55037</v>
      </c>
      <c r="O20" s="45" t="e">
        <f t="shared" ca="1" si="2"/>
        <v>#VALUE!</v>
      </c>
      <c r="P20" s="49">
        <f>IFERROR(VLOOKUP(C20,Purchased!A:E,3,FALSE),"")</f>
        <v>1.6738</v>
      </c>
      <c r="Q20" s="50">
        <f t="shared" si="3"/>
        <v>3.3475999999999999</v>
      </c>
    </row>
    <row r="21" spans="1:17" s="2" customFormat="1" ht="12" customHeight="1">
      <c r="A21" s="4">
        <f t="shared" si="4"/>
        <v>314</v>
      </c>
      <c r="B21" s="2">
        <v>4</v>
      </c>
      <c r="C21" s="114" t="s">
        <v>244</v>
      </c>
      <c r="D21" s="268" t="str">
        <f>VLOOKUP(C21,Purchased!A:B,2,0)</f>
        <v>BRX GOTO QUICK CONNECTOR N10 0°</v>
      </c>
      <c r="E21" s="269"/>
      <c r="F21" s="112" t="str">
        <f>VLOOKUP(C21,Purchased!A:Q,9,0)</f>
        <v>BRX</v>
      </c>
      <c r="G21" s="112" t="str">
        <f>VLOOKUP(C21,Purchased!A:Q,10,0)</f>
        <v>AAP</v>
      </c>
      <c r="H21" s="112" t="str">
        <f>VLOOKUP(C21,Purchased!A:Q,12,0)</f>
        <v>17 in stock</v>
      </c>
      <c r="I21" s="113"/>
      <c r="J21" s="44" t="str">
        <f>VLOOKUP(C21,Purchased!A:Q,13,0)</f>
        <v>N/A</v>
      </c>
      <c r="K21" s="44">
        <f>VLOOKUP(C21,Purchased!A:Q,14,0)</f>
        <v>45089</v>
      </c>
      <c r="L21" s="44">
        <f>VLOOKUP(C21,Purchased!A:Q,15,0)</f>
        <v>45124</v>
      </c>
      <c r="M21" s="44">
        <f>VLOOKUP(C21,Purchased!A:Q,16,0)</f>
        <v>45124</v>
      </c>
      <c r="N21" s="45" t="str">
        <f>VLOOKUP(C21,Purchased!A:Q,17,0)</f>
        <v>500x54927, 500x55060</v>
      </c>
      <c r="O21" s="45" t="e">
        <f t="shared" ca="1" si="2"/>
        <v>#VALUE!</v>
      </c>
      <c r="P21" s="49">
        <f>IFERROR(VLOOKUP(C21,Purchased!A:E,3,FALSE),"")</f>
        <v>5.2857000000000003</v>
      </c>
      <c r="Q21" s="50">
        <f t="shared" si="3"/>
        <v>21.142800000000001</v>
      </c>
    </row>
    <row r="22" spans="1:17" s="2" customFormat="1" ht="12" customHeight="1">
      <c r="A22" s="4">
        <f t="shared" si="4"/>
        <v>315</v>
      </c>
      <c r="B22" s="2">
        <v>8</v>
      </c>
      <c r="C22" s="114" t="s">
        <v>446</v>
      </c>
      <c r="D22" s="268" t="str">
        <f>VLOOKUP(C22,Purchased!A:B,2,0)</f>
        <v>SMC FITTING, MALE ELBOW</v>
      </c>
      <c r="E22" s="269"/>
      <c r="F22" s="112" t="str">
        <f>VLOOKUP(C22,Purchased!A:Q,9,0)</f>
        <v>SMC</v>
      </c>
      <c r="G22" s="112" t="str">
        <f>VLOOKUP(C22,Purchased!A:Q,10,0)</f>
        <v>AAP</v>
      </c>
      <c r="H22" s="112" t="str">
        <f>VLOOKUP(C22,Purchased!A:Q,12,0)</f>
        <v xml:space="preserve">  </v>
      </c>
      <c r="I22" s="113"/>
      <c r="J22" s="44" t="str">
        <f>VLOOKUP(C22,Purchased!A:Q,13,0)</f>
        <v>N/A</v>
      </c>
      <c r="K22" s="44">
        <f>VLOOKUP(C22,Purchased!A:Q,14,0)</f>
        <v>45162</v>
      </c>
      <c r="L22" s="44">
        <f>VLOOKUP(C22,Purchased!A:Q,15,0)</f>
        <v>45184</v>
      </c>
      <c r="M22" s="44">
        <f>VLOOKUP(C22,Purchased!A:Q,16,0)</f>
        <v>45180</v>
      </c>
      <c r="N22" s="45">
        <f>VLOOKUP(C22,Purchased!A:Q,17,0)</f>
        <v>55037</v>
      </c>
      <c r="O22" s="45" t="e">
        <f t="shared" ca="1" si="2"/>
        <v>#VALUE!</v>
      </c>
      <c r="P22" s="49">
        <f>IFERROR(VLOOKUP(C22,Purchased!A:E,3,FALSE),"")</f>
        <v>1.8674999999999999</v>
      </c>
      <c r="Q22" s="50">
        <f t="shared" si="3"/>
        <v>14.94</v>
      </c>
    </row>
    <row r="23" spans="1:17" s="2" customFormat="1" ht="12" customHeight="1">
      <c r="A23" s="4">
        <f t="shared" si="4"/>
        <v>316</v>
      </c>
      <c r="B23" s="2">
        <v>3</v>
      </c>
      <c r="C23" s="114" t="s">
        <v>632</v>
      </c>
      <c r="D23" s="268" t="str">
        <f>VLOOKUP(C23,Purchased!A:B,2,0)</f>
        <v>SMC FITTING, MALE ELBOW</v>
      </c>
      <c r="E23" s="269"/>
      <c r="F23" s="112" t="str">
        <f>VLOOKUP(C23,Purchased!A:Q,9,0)</f>
        <v>SMC</v>
      </c>
      <c r="G23" s="112" t="str">
        <f>VLOOKUP(C23,Purchased!A:Q,10,0)</f>
        <v>AAP</v>
      </c>
      <c r="H23" s="112" t="str">
        <f>VLOOKUP(C23,Purchased!A:Q,12,0)</f>
        <v xml:space="preserve"> </v>
      </c>
      <c r="I23" s="113"/>
      <c r="J23" s="44" t="str">
        <f>VLOOKUP(C23,Purchased!A:Q,13,0)</f>
        <v>N/A</v>
      </c>
      <c r="K23" s="44">
        <f>VLOOKUP(C23,Purchased!A:Q,14,0)</f>
        <v>45162</v>
      </c>
      <c r="L23" s="44">
        <f>VLOOKUP(C23,Purchased!A:Q,15,0)</f>
        <v>45184</v>
      </c>
      <c r="M23" s="44">
        <f>VLOOKUP(C23,Purchased!A:Q,16,0)</f>
        <v>45180</v>
      </c>
      <c r="N23" s="45">
        <f>VLOOKUP(C23,Purchased!A:Q,17,0)</f>
        <v>55037</v>
      </c>
      <c r="O23" s="45" t="e">
        <f t="shared" ca="1" si="2"/>
        <v>#VALUE!</v>
      </c>
      <c r="P23" s="49">
        <f>IFERROR(VLOOKUP(C23,Purchased!A:E,3,FALSE),"")</f>
        <v>2.8081999999999998</v>
      </c>
      <c r="Q23" s="50">
        <f t="shared" si="3"/>
        <v>8.4245999999999999</v>
      </c>
    </row>
    <row r="24" spans="1:17" s="2" customFormat="1" ht="12" customHeight="1">
      <c r="A24" s="4">
        <f t="shared" si="4"/>
        <v>317</v>
      </c>
      <c r="B24" s="2">
        <v>1</v>
      </c>
      <c r="C24" s="114" t="s">
        <v>633</v>
      </c>
      <c r="D24" s="268" t="str">
        <f>VLOOKUP(C24,Purchased!A:B,2,0)</f>
        <v>SMC FITTING, UNION TEE</v>
      </c>
      <c r="E24" s="269"/>
      <c r="F24" s="112" t="str">
        <f>VLOOKUP(C24,Purchased!A:Q,9,0)</f>
        <v>SMC</v>
      </c>
      <c r="G24" s="112" t="str">
        <f>VLOOKUP(C24,Purchased!A:Q,10,0)</f>
        <v>AAP</v>
      </c>
      <c r="H24" s="112" t="str">
        <f>VLOOKUP(C24,Purchased!A:Q,12,0)</f>
        <v xml:space="preserve"> </v>
      </c>
      <c r="I24" s="113"/>
      <c r="J24" s="44" t="str">
        <f>VLOOKUP(C24,Purchased!A:Q,13,0)</f>
        <v>N/A</v>
      </c>
      <c r="K24" s="44">
        <f>VLOOKUP(C24,Purchased!A:Q,14,0)</f>
        <v>45162</v>
      </c>
      <c r="L24" s="44">
        <f>VLOOKUP(C24,Purchased!A:Q,15,0)</f>
        <v>45184</v>
      </c>
      <c r="M24" s="44">
        <f>VLOOKUP(C24,Purchased!A:Q,16,0)</f>
        <v>45180</v>
      </c>
      <c r="N24" s="45" t="str">
        <f>VLOOKUP(C24,Purchased!A:Q,17,0)</f>
        <v>10x55037, 20x 55270</v>
      </c>
      <c r="O24" s="45" t="e">
        <f t="shared" ca="1" si="2"/>
        <v>#VALUE!</v>
      </c>
      <c r="P24" s="49">
        <f>IFERROR(VLOOKUP(C24,Purchased!A:E,3,FALSE),"")</f>
        <v>3.0710000000000002</v>
      </c>
      <c r="Q24" s="50">
        <f t="shared" si="3"/>
        <v>3.0710000000000002</v>
      </c>
    </row>
    <row r="25" spans="1:17" s="2" customFormat="1" ht="12" customHeight="1">
      <c r="A25" s="4">
        <f t="shared" si="4"/>
        <v>318</v>
      </c>
      <c r="B25" s="2">
        <v>0.3</v>
      </c>
      <c r="C25" s="114" t="s">
        <v>634</v>
      </c>
      <c r="D25" s="268" t="str">
        <f>VLOOKUP(C25,Purchased!A:B,2,0)</f>
        <v>18-8 Stainless Steel Threaded Rod, M4 x 0.7 mm Thread Size, 1 M Long</v>
      </c>
      <c r="E25" s="269"/>
      <c r="F25" s="112" t="str">
        <f>VLOOKUP(C25,Purchased!A:Q,9,0)</f>
        <v>MCM</v>
      </c>
      <c r="G25" s="112" t="str">
        <f>VLOOKUP(C25,Purchased!A:Q,10,0)</f>
        <v>MCM</v>
      </c>
      <c r="H25" s="112" t="s">
        <v>635</v>
      </c>
      <c r="I25" s="113"/>
      <c r="J25" s="44" t="str">
        <f>VLOOKUP(C25,Purchased!A:Q,13,0)</f>
        <v>N/A</v>
      </c>
      <c r="K25" s="44">
        <f>VLOOKUP(C25,Purchased!A:Q,14,0)</f>
        <v>45162</v>
      </c>
      <c r="L25" s="44">
        <f>VLOOKUP(C25,Purchased!A:Q,15,0)</f>
        <v>45184</v>
      </c>
      <c r="M25" s="44">
        <f>VLOOKUP(C25,Purchased!A:Q,16,0)</f>
        <v>45163</v>
      </c>
      <c r="N25" s="45">
        <f>VLOOKUP(C25,Purchased!A:Q,17,0)</f>
        <v>55088</v>
      </c>
      <c r="O25" s="45" t="e">
        <f t="shared" ref="O25" ca="1" si="5">B25*$L$2</f>
        <v>#VALUE!</v>
      </c>
      <c r="P25" s="49">
        <f>IFERROR(VLOOKUP(C25,Purchased!A:E,3,FALSE),"")</f>
        <v>9.4</v>
      </c>
      <c r="Q25" s="50">
        <f t="shared" ref="Q25" si="6">IFERROR(B25*P25,"")</f>
        <v>2.82</v>
      </c>
    </row>
    <row r="26" spans="1:17" s="2" customFormat="1" ht="12" customHeight="1">
      <c r="A26" s="4">
        <f>A25+1</f>
        <v>319</v>
      </c>
      <c r="B26" s="2">
        <v>4</v>
      </c>
      <c r="C26" s="114" t="s">
        <v>286</v>
      </c>
      <c r="D26" s="268" t="str">
        <f>VLOOKUP(C26,Purchased!A:B,2,0)</f>
        <v>BRX GOTO T-NUT 10 M5</v>
      </c>
      <c r="E26" s="269"/>
      <c r="F26" s="112" t="str">
        <f>VLOOKUP(C26,Purchased!A:Q,9,0)</f>
        <v>BRX</v>
      </c>
      <c r="G26" s="112" t="str">
        <f>VLOOKUP(C26,Purchased!A:Q,10,0)</f>
        <v>AAP</v>
      </c>
      <c r="H26" s="112">
        <f>VLOOKUP(C26,Purchased!A:Q,12,0)</f>
        <v>0</v>
      </c>
      <c r="I26" s="113"/>
      <c r="J26" s="44">
        <f>VLOOKUP(C26,Purchased!A:Q,13,0)</f>
        <v>45104</v>
      </c>
      <c r="K26" s="44">
        <f>VLOOKUP(C26,Purchased!A:Q,14,0)</f>
        <v>45105</v>
      </c>
      <c r="L26" s="44">
        <f>VLOOKUP(C26,Purchased!A:Q,15,0)</f>
        <v>45133</v>
      </c>
      <c r="M26" s="44">
        <f>VLOOKUP(C26,Purchased!A:Q,16,0)</f>
        <v>45133</v>
      </c>
      <c r="N26" s="45" t="str">
        <f>VLOOKUP(C26,Purchased!A:Q,17,0)</f>
        <v>50x54968, 200x55147, 150x55169</v>
      </c>
      <c r="O26" s="45" t="e">
        <f ca="1">B26*$L$2</f>
        <v>#VALUE!</v>
      </c>
      <c r="P26" s="49">
        <f>IFERROR(VLOOKUP(C26,Purchased!A:E,3,FALSE),"")</f>
        <v>0.64290000000000003</v>
      </c>
      <c r="Q26" s="50">
        <f>IFERROR(B26*P26,"")</f>
        <v>2.5716000000000001</v>
      </c>
    </row>
    <row r="27" spans="1:17" s="2" customFormat="1" ht="12" customHeight="1">
      <c r="A27" s="4">
        <f>A26+1</f>
        <v>320</v>
      </c>
      <c r="B27" s="2">
        <v>1</v>
      </c>
      <c r="C27" s="114" t="s">
        <v>449</v>
      </c>
      <c r="D27" s="268" t="str">
        <f>VLOOKUP(C27,Purchased!A:B,2,0)</f>
        <v>SMC F TYPE CONNECTOR, 8M LENGTH</v>
      </c>
      <c r="E27" s="269"/>
      <c r="F27" s="112" t="str">
        <f>VLOOKUP(C27,Purchased!A:Q,9,0)</f>
        <v>SMC</v>
      </c>
      <c r="G27" s="112" t="str">
        <f>VLOOKUP(C27,Purchased!A:Q,10,0)</f>
        <v>AAP</v>
      </c>
      <c r="H27" s="112">
        <f>VLOOKUP(C27,Purchased!A:Q,12,0)</f>
        <v>0</v>
      </c>
      <c r="I27" s="113"/>
      <c r="J27" s="44">
        <f>VLOOKUP(C27,Purchased!A:Q,13,0)</f>
        <v>45089</v>
      </c>
      <c r="K27" s="44">
        <f>VLOOKUP(C27,Purchased!A:Q,14,0)</f>
        <v>45167</v>
      </c>
      <c r="L27" s="44">
        <f>VLOOKUP(C27,Purchased!A:Q,15,0)</f>
        <v>45184</v>
      </c>
      <c r="M27" s="44">
        <f>VLOOKUP(C27,Purchased!A:Q,16,0)</f>
        <v>45184</v>
      </c>
      <c r="N27" s="45">
        <f>VLOOKUP(C27,Purchased!A:Q,17,0)</f>
        <v>55114</v>
      </c>
      <c r="O27" s="45" t="e">
        <f ca="1">B27*$L$2</f>
        <v>#VALUE!</v>
      </c>
      <c r="P27" s="49">
        <f>IFERROR(VLOOKUP(C27,Purchased!A:E,3,FALSE),"")</f>
        <v>136.85319999999999</v>
      </c>
      <c r="Q27" s="50">
        <f>IFERROR(B27*P27,"")</f>
        <v>136.85319999999999</v>
      </c>
    </row>
    <row r="28" spans="1:17" s="2" customFormat="1" ht="12.75" customHeight="1">
      <c r="A28" s="25"/>
      <c r="B28" s="26"/>
      <c r="C28" s="26"/>
      <c r="D28" s="272"/>
      <c r="E28" s="273"/>
      <c r="F28" s="26"/>
      <c r="G28" s="26"/>
      <c r="H28" s="274"/>
      <c r="I28" s="275"/>
      <c r="J28" s="27"/>
      <c r="K28" s="27"/>
      <c r="L28" s="27"/>
      <c r="M28" s="28"/>
      <c r="N28" s="29"/>
      <c r="O28" s="29"/>
      <c r="P28" s="141"/>
      <c r="Q28" s="142"/>
    </row>
    <row r="29" spans="1:17" s="2" customFormat="1" ht="12.75" customHeight="1">
      <c r="A29" s="4">
        <v>501</v>
      </c>
      <c r="B29" s="2">
        <v>4</v>
      </c>
      <c r="C29" s="110" t="s">
        <v>636</v>
      </c>
      <c r="D29" s="268"/>
      <c r="E29" s="276"/>
      <c r="F29" s="112" t="str">
        <f>VLOOKUP(C29,Bolts!A:L,5,0)</f>
        <v xml:space="preserve">  </v>
      </c>
      <c r="G29" s="112" t="str">
        <f>VLOOKUP(C29,Bolts!A:L,6,0)</f>
        <v>Monroe Fasteners</v>
      </c>
      <c r="H29" s="112" t="str">
        <f>VLOOKUP(C29,Bolts!A:L,7,0)</f>
        <v xml:space="preserve">  </v>
      </c>
      <c r="I29" s="112"/>
      <c r="J29" s="44" t="str">
        <f>VLOOKUP(C29,Bolts!A:L,8,0)</f>
        <v xml:space="preserve"> </v>
      </c>
      <c r="K29" s="44" t="str">
        <f>VLOOKUP(C29,Bolts!A:L,9,0)</f>
        <v xml:space="preserve"> </v>
      </c>
      <c r="L29" s="44" t="str">
        <f>VLOOKUP(C29,Bolts!A:L,10,0)</f>
        <v xml:space="preserve"> </v>
      </c>
      <c r="M29" s="44" t="str">
        <f>VLOOKUP(C29,Bolts!A:L,11,0)</f>
        <v xml:space="preserve"> </v>
      </c>
      <c r="N29" s="45" t="str">
        <f>VLOOKUP(C29,Bolts!A:L,12,0)</f>
        <v xml:space="preserve"> </v>
      </c>
      <c r="O29" s="45" t="e">
        <f t="shared" ca="1" si="2"/>
        <v>#VALUE!</v>
      </c>
      <c r="P29" s="49" t="str">
        <f>IFERROR(VLOOKUP(C29,Bolts!A:B,2,FALSE),"")</f>
        <v xml:space="preserve"> </v>
      </c>
      <c r="Q29" s="50" t="str">
        <f t="shared" ref="Q29:Q31" si="7">IFERROR(B29*P29,"")</f>
        <v/>
      </c>
    </row>
    <row r="30" spans="1:17" s="2" customFormat="1" ht="12.75" customHeight="1">
      <c r="A30" s="4">
        <f t="shared" ref="A30:A32" si="8">A29+1</f>
        <v>502</v>
      </c>
      <c r="B30" s="2">
        <v>4</v>
      </c>
      <c r="C30" s="110" t="s">
        <v>287</v>
      </c>
      <c r="D30" s="268"/>
      <c r="E30" s="276"/>
      <c r="F30" s="112" t="str">
        <f>VLOOKUP(C30,Bolts!A:L,5,0)</f>
        <v xml:space="preserve">  </v>
      </c>
      <c r="G30" s="112" t="str">
        <f>VLOOKUP(C30,Bolts!A:L,6,0)</f>
        <v>Monroe Fasteners</v>
      </c>
      <c r="H30" s="112" t="str">
        <f>VLOOKUP(C30,Bolts!A:L,7,0)</f>
        <v xml:space="preserve">  </v>
      </c>
      <c r="I30" s="112"/>
      <c r="J30" s="44" t="str">
        <f>VLOOKUP(C30,Bolts!A:L,8,0)</f>
        <v xml:space="preserve"> </v>
      </c>
      <c r="K30" s="44" t="str">
        <f>VLOOKUP(C30,Bolts!A:L,9,0)</f>
        <v xml:space="preserve"> </v>
      </c>
      <c r="L30" s="44" t="str">
        <f>VLOOKUP(C30,Bolts!A:L,10,0)</f>
        <v xml:space="preserve"> </v>
      </c>
      <c r="M30" s="44" t="str">
        <f>VLOOKUP(C30,Bolts!A:L,11,0)</f>
        <v xml:space="preserve"> </v>
      </c>
      <c r="N30" s="45" t="str">
        <f>VLOOKUP(C30,Bolts!A:L,12,0)</f>
        <v xml:space="preserve"> </v>
      </c>
      <c r="O30" s="45" t="e">
        <f t="shared" ca="1" si="2"/>
        <v>#VALUE!</v>
      </c>
      <c r="P30" s="49" t="str">
        <f>IFERROR(VLOOKUP(C30,Bolts!A:B,2,FALSE),"")</f>
        <v xml:space="preserve"> </v>
      </c>
      <c r="Q30" s="50" t="str">
        <f t="shared" si="7"/>
        <v/>
      </c>
    </row>
    <row r="31" spans="1:17" s="2" customFormat="1" ht="12" customHeight="1">
      <c r="A31" s="4">
        <f t="shared" si="8"/>
        <v>503</v>
      </c>
      <c r="B31" s="2">
        <v>8</v>
      </c>
      <c r="C31" s="110" t="s">
        <v>637</v>
      </c>
      <c r="D31" s="268"/>
      <c r="E31" s="276"/>
      <c r="F31" s="112" t="str">
        <f>VLOOKUP(C31,Bolts!A:L,5,0)</f>
        <v xml:space="preserve">  </v>
      </c>
      <c r="G31" s="112" t="str">
        <f>VLOOKUP(C31,Bolts!A:L,6,0)</f>
        <v>Monroe Fasteners</v>
      </c>
      <c r="H31" s="112" t="str">
        <f>VLOOKUP(C31,Bolts!A:L,7,0)</f>
        <v xml:space="preserve">  </v>
      </c>
      <c r="I31" s="112"/>
      <c r="J31" s="44" t="str">
        <f>VLOOKUP(C31,Bolts!A:L,8,0)</f>
        <v xml:space="preserve"> </v>
      </c>
      <c r="K31" s="44" t="str">
        <f>VLOOKUP(C31,Bolts!A:L,9,0)</f>
        <v xml:space="preserve"> </v>
      </c>
      <c r="L31" s="44" t="str">
        <f>VLOOKUP(C31,Bolts!A:L,10,0)</f>
        <v xml:space="preserve"> </v>
      </c>
      <c r="M31" s="44" t="str">
        <f>VLOOKUP(C31,Bolts!A:L,11,0)</f>
        <v xml:space="preserve"> </v>
      </c>
      <c r="N31" s="45" t="str">
        <f>VLOOKUP(C31,Bolts!A:L,12,0)</f>
        <v xml:space="preserve"> </v>
      </c>
      <c r="O31" s="45" t="e">
        <f t="shared" ca="1" si="2"/>
        <v>#VALUE!</v>
      </c>
      <c r="P31" s="49" t="str">
        <f>IFERROR(VLOOKUP(C31,Bolts!A:B,2,FALSE),"")</f>
        <v xml:space="preserve"> </v>
      </c>
      <c r="Q31" s="50" t="str">
        <f t="shared" si="7"/>
        <v/>
      </c>
    </row>
    <row r="32" spans="1:17" s="2" customFormat="1" ht="12" customHeight="1">
      <c r="A32" s="4">
        <f t="shared" si="8"/>
        <v>504</v>
      </c>
      <c r="B32" s="2">
        <v>8</v>
      </c>
      <c r="C32" s="110" t="s">
        <v>452</v>
      </c>
      <c r="D32" s="268"/>
      <c r="E32" s="276"/>
      <c r="F32" s="112" t="str">
        <f>VLOOKUP(C32,Bolts!A:L,5,0)</f>
        <v xml:space="preserve">  </v>
      </c>
      <c r="G32" s="112" t="str">
        <f>VLOOKUP(C32,Bolts!A:L,6,0)</f>
        <v>Monroe Fasteners</v>
      </c>
      <c r="H32" s="112" t="str">
        <f>VLOOKUP(C32,Bolts!A:L,7,0)</f>
        <v xml:space="preserve">  </v>
      </c>
      <c r="I32" s="112"/>
      <c r="J32" s="44" t="str">
        <f>VLOOKUP(C32,Bolts!A:L,8,0)</f>
        <v xml:space="preserve"> </v>
      </c>
      <c r="K32" s="44" t="str">
        <f>VLOOKUP(C32,Bolts!A:L,9,0)</f>
        <v xml:space="preserve"> </v>
      </c>
      <c r="L32" s="44" t="str">
        <f>VLOOKUP(C32,Bolts!A:L,10,0)</f>
        <v xml:space="preserve"> </v>
      </c>
      <c r="M32" s="44" t="str">
        <f>VLOOKUP(C32,Bolts!A:L,11,0)</f>
        <v xml:space="preserve"> </v>
      </c>
      <c r="N32" s="45" t="str">
        <f>VLOOKUP(C32,Bolts!A:L,12,0)</f>
        <v xml:space="preserve"> </v>
      </c>
      <c r="O32" s="45" t="e">
        <f t="shared" ref="O32" ca="1" si="9">B32*$L$2</f>
        <v>#VALUE!</v>
      </c>
      <c r="P32" s="49" t="str">
        <f>IFERROR(VLOOKUP(C32,Bolts!A:B,2,FALSE),"")</f>
        <v xml:space="preserve"> </v>
      </c>
      <c r="Q32" s="50" t="str">
        <f t="shared" ref="Q32" si="10">IFERROR(B32*P32,"")</f>
        <v/>
      </c>
    </row>
    <row r="33" spans="1:17" s="2" customFormat="1" ht="12" customHeight="1">
      <c r="A33" s="4">
        <f>A32+1</f>
        <v>505</v>
      </c>
      <c r="B33" s="2">
        <v>4</v>
      </c>
      <c r="C33" s="110" t="s">
        <v>638</v>
      </c>
      <c r="D33" s="164"/>
      <c r="E33" s="165"/>
      <c r="F33" s="112" t="str">
        <f>VLOOKUP(C33,Bolts!A:L,5,0)</f>
        <v xml:space="preserve">  </v>
      </c>
      <c r="G33" s="112" t="str">
        <f>VLOOKUP(C33,Bolts!A:L,6,0)</f>
        <v>Monroe Fasteners</v>
      </c>
      <c r="H33" s="112" t="str">
        <f>VLOOKUP(C33,Bolts!A:L,7,0)</f>
        <v xml:space="preserve">  </v>
      </c>
      <c r="I33" s="112"/>
      <c r="J33" s="44" t="str">
        <f>VLOOKUP(C33,Bolts!A:L,8,0)</f>
        <v xml:space="preserve"> </v>
      </c>
      <c r="K33" s="44" t="str">
        <f>VLOOKUP(C33,Bolts!A:L,9,0)</f>
        <v xml:space="preserve"> </v>
      </c>
      <c r="L33" s="44" t="str">
        <f>VLOOKUP(C33,Bolts!A:L,10,0)</f>
        <v xml:space="preserve"> </v>
      </c>
      <c r="M33" s="44" t="str">
        <f>VLOOKUP(C33,Bolts!A:L,11,0)</f>
        <v xml:space="preserve"> </v>
      </c>
      <c r="N33" s="45" t="str">
        <f>VLOOKUP(C33,Bolts!A:L,12,0)</f>
        <v xml:space="preserve"> </v>
      </c>
      <c r="O33" s="45" t="e">
        <f t="shared" ref="O33" ca="1" si="11">B33*$L$2</f>
        <v>#VALUE!</v>
      </c>
      <c r="P33" s="49" t="str">
        <f>IFERROR(VLOOKUP(C33,Bolts!A:B,2,FALSE),"")</f>
        <v xml:space="preserve"> </v>
      </c>
      <c r="Q33" s="50" t="str">
        <f t="shared" ref="Q33" si="12">IFERROR(B33*P33,"")</f>
        <v/>
      </c>
    </row>
    <row r="34" spans="1:17" s="2" customFormat="1" ht="12.75" customHeight="1">
      <c r="A34" s="25"/>
      <c r="B34" s="26"/>
      <c r="C34" s="26"/>
      <c r="D34" s="272"/>
      <c r="E34" s="273"/>
      <c r="F34" s="26"/>
      <c r="G34" s="26"/>
      <c r="H34" s="274"/>
      <c r="I34" s="275"/>
      <c r="J34" s="27"/>
      <c r="K34" s="27"/>
      <c r="L34" s="27"/>
      <c r="M34" s="28"/>
      <c r="N34" s="29"/>
      <c r="O34" s="29"/>
      <c r="P34" s="141"/>
      <c r="Q34" s="142"/>
    </row>
    <row r="35" spans="1:17" s="2" customFormat="1" ht="12.75" customHeight="1" thickBot="1">
      <c r="A35" s="4">
        <v>701</v>
      </c>
      <c r="B35" s="2">
        <v>1</v>
      </c>
      <c r="C35" s="111" t="s">
        <v>575</v>
      </c>
      <c r="D35" s="268" t="str">
        <f>VLOOKUP(C35,Extrusion!B:C,2,0)</f>
        <v>Assy .210</v>
      </c>
      <c r="E35" s="269"/>
      <c r="F35" s="112" t="str">
        <f>VLOOKUP(C35,Extrusion!B:M,6,0)</f>
        <v>BOSCH</v>
      </c>
      <c r="G35" s="112" t="str">
        <f>VLOOKUP(C35,Extrusion!B:M,7,0)</f>
        <v>NULINE</v>
      </c>
      <c r="H35" s="112" t="str">
        <f>VLOOKUP(C35,Extrusion!B:M,8,0)</f>
        <v xml:space="preserve"> </v>
      </c>
      <c r="I35" s="113"/>
      <c r="J35" s="44" t="str">
        <f>VLOOKUP(C35,Extrusion!B:M,9,0)</f>
        <v>N/A</v>
      </c>
      <c r="K35" s="44">
        <f>VLOOKUP(C35,Extrusion!B:M,10,0)</f>
        <v>44894</v>
      </c>
      <c r="L35" s="44">
        <f>VLOOKUP(C35,Extrusion!B:M,11,0)</f>
        <v>44970</v>
      </c>
      <c r="M35" s="44">
        <f>VLOOKUP(C35,Extrusion!B:M,12,0)</f>
        <v>44970</v>
      </c>
      <c r="N35" s="45">
        <f>VLOOKUP(C35,Extrusion!B:N,13,0)</f>
        <v>54598</v>
      </c>
      <c r="O35" s="45" t="e">
        <f t="shared" ref="O35" ca="1" si="13">B35*$L$2</f>
        <v>#VALUE!</v>
      </c>
      <c r="P35" s="49">
        <f>IFERROR(VLOOKUP(C35,Extrusion!B:F,5,0),"")</f>
        <v>91.841515999999999</v>
      </c>
      <c r="Q35" s="50">
        <f t="shared" ref="Q35" si="14">IFERROR(B35*P35,"")</f>
        <v>91.841515999999999</v>
      </c>
    </row>
    <row r="36" spans="1:17" s="2" customFormat="1" ht="12.75" customHeight="1" thickBot="1">
      <c r="A36" s="34"/>
      <c r="B36" s="35"/>
      <c r="C36" s="35"/>
      <c r="D36" s="256"/>
      <c r="E36" s="257"/>
      <c r="F36" s="35"/>
      <c r="G36" s="35"/>
      <c r="H36" s="294"/>
      <c r="I36" s="295"/>
      <c r="J36" s="36"/>
      <c r="K36" s="36"/>
      <c r="L36" s="36"/>
      <c r="M36" s="37"/>
      <c r="N36" s="38"/>
      <c r="O36" s="38"/>
      <c r="P36" s="89" t="s">
        <v>43</v>
      </c>
      <c r="Q36" s="94">
        <f>SUM(Q5:Q35)</f>
        <v>1120.9587160000001</v>
      </c>
    </row>
    <row r="37" spans="1:17" s="2" customFormat="1" ht="12" customHeight="1">
      <c r="D37" s="22"/>
      <c r="E37" s="22"/>
      <c r="J37" s="8"/>
      <c r="K37" s="8"/>
      <c r="L37" s="8"/>
      <c r="M37" s="8"/>
      <c r="N37" s="5"/>
      <c r="O37" s="5"/>
      <c r="P37" s="88"/>
      <c r="Q37" s="95"/>
    </row>
    <row r="38" spans="1:17" s="2" customFormat="1" ht="12" customHeight="1">
      <c r="C38" s="22"/>
      <c r="D38" s="22"/>
      <c r="I38" s="5"/>
      <c r="J38" s="5"/>
      <c r="K38" s="5"/>
      <c r="L38" s="5"/>
      <c r="M38" s="5"/>
      <c r="N38" s="5"/>
      <c r="O38" s="88"/>
      <c r="P38" s="95"/>
    </row>
    <row r="39" spans="1:17" s="2" customFormat="1" ht="12" customHeight="1">
      <c r="C39" s="22"/>
      <c r="D39" s="22"/>
      <c r="I39" s="5"/>
      <c r="J39" s="5"/>
      <c r="K39" s="5"/>
      <c r="L39" s="5"/>
      <c r="M39" s="5"/>
      <c r="N39" s="5"/>
      <c r="O39" s="88"/>
      <c r="P39" s="95"/>
    </row>
    <row r="40" spans="1:17" s="2" customFormat="1" ht="12" customHeight="1">
      <c r="D40" s="22"/>
      <c r="E40" s="22"/>
      <c r="J40" s="5"/>
      <c r="K40" s="5"/>
      <c r="L40" s="5"/>
      <c r="M40" s="5"/>
      <c r="N40" s="5"/>
      <c r="O40" s="5"/>
      <c r="P40" s="88"/>
      <c r="Q40" s="95"/>
    </row>
    <row r="41" spans="1:17" s="2" customFormat="1" ht="12" customHeight="1">
      <c r="D41" s="22"/>
      <c r="E41" s="22"/>
      <c r="J41" s="5"/>
      <c r="K41" s="5"/>
      <c r="L41" s="5"/>
      <c r="M41" s="5"/>
      <c r="N41" s="5"/>
      <c r="O41" s="5"/>
      <c r="P41" s="88"/>
      <c r="Q41" s="95"/>
    </row>
    <row r="42" spans="1:17" s="2" customFormat="1" ht="12" customHeight="1">
      <c r="D42" s="22"/>
      <c r="E42" s="22"/>
      <c r="J42" s="5"/>
      <c r="K42" s="5"/>
      <c r="L42" s="5"/>
      <c r="M42" s="5"/>
      <c r="N42" s="5"/>
      <c r="O42" s="5"/>
      <c r="P42" s="88"/>
      <c r="Q42" s="95"/>
    </row>
    <row r="43" spans="1:17" s="2" customFormat="1" ht="12" customHeight="1">
      <c r="D43" s="22"/>
      <c r="E43" s="22"/>
      <c r="J43" s="5"/>
      <c r="K43" s="5"/>
      <c r="L43" s="5"/>
      <c r="M43" s="5"/>
      <c r="N43" s="5"/>
      <c r="O43" s="5"/>
      <c r="P43" s="88"/>
      <c r="Q43" s="95"/>
    </row>
    <row r="44" spans="1:17" s="2" customFormat="1" ht="12" customHeight="1">
      <c r="D44" s="22"/>
      <c r="E44" s="22"/>
      <c r="J44" s="5"/>
      <c r="K44" s="5"/>
      <c r="L44" s="5"/>
      <c r="M44" s="5"/>
      <c r="N44" s="5"/>
      <c r="O44" s="5"/>
      <c r="P44" s="88"/>
      <c r="Q44" s="95"/>
    </row>
    <row r="45" spans="1:17" s="2" customFormat="1" ht="12" customHeight="1">
      <c r="D45" s="22"/>
      <c r="E45" s="22"/>
      <c r="J45" s="5"/>
      <c r="K45" s="5"/>
      <c r="L45" s="5"/>
      <c r="M45" s="5"/>
      <c r="N45" s="5"/>
      <c r="O45" s="5"/>
      <c r="P45" s="88"/>
      <c r="Q45" s="95"/>
    </row>
    <row r="46" spans="1:17" s="2" customFormat="1" ht="12" customHeight="1">
      <c r="D46" s="22"/>
      <c r="E46" s="22"/>
      <c r="J46" s="5"/>
      <c r="K46" s="5"/>
      <c r="L46" s="5"/>
      <c r="M46" s="5"/>
      <c r="N46" s="5"/>
      <c r="O46" s="5"/>
      <c r="P46" s="88"/>
      <c r="Q46" s="95"/>
    </row>
    <row r="47" spans="1:17" s="2" customFormat="1" ht="12" customHeight="1">
      <c r="D47" s="22"/>
      <c r="E47" s="22"/>
      <c r="J47" s="5"/>
      <c r="K47" s="5"/>
      <c r="L47" s="5"/>
      <c r="M47" s="5"/>
      <c r="N47" s="5"/>
      <c r="O47" s="5"/>
      <c r="P47" s="88"/>
      <c r="Q47" s="95"/>
    </row>
    <row r="48" spans="1:17" s="2" customFormat="1" ht="12" customHeight="1">
      <c r="D48" s="22"/>
      <c r="E48" s="22"/>
      <c r="J48" s="5"/>
      <c r="K48" s="5"/>
      <c r="L48" s="5"/>
      <c r="M48" s="5"/>
      <c r="N48" s="5"/>
      <c r="O48" s="5"/>
      <c r="P48" s="88"/>
      <c r="Q48" s="95"/>
    </row>
    <row r="49" spans="4:17" s="2" customFormat="1" ht="12" customHeight="1">
      <c r="D49" s="22"/>
      <c r="E49" s="22"/>
      <c r="J49" s="5"/>
      <c r="K49" s="5"/>
      <c r="L49" s="5"/>
      <c r="M49" s="5"/>
      <c r="N49" s="5"/>
      <c r="O49" s="5"/>
      <c r="P49" s="88"/>
      <c r="Q49" s="95"/>
    </row>
    <row r="50" spans="4:17" s="2" customFormat="1" ht="12" customHeight="1">
      <c r="D50" s="22"/>
      <c r="E50" s="22"/>
      <c r="J50" s="5"/>
      <c r="K50" s="5"/>
      <c r="L50" s="5"/>
      <c r="M50" s="5"/>
      <c r="N50" s="5"/>
      <c r="O50" s="5"/>
      <c r="P50" s="88"/>
      <c r="Q50" s="95"/>
    </row>
    <row r="51" spans="4:17" s="2" customFormat="1" ht="12" customHeight="1">
      <c r="D51" s="22"/>
      <c r="E51" s="22"/>
      <c r="J51" s="5"/>
      <c r="K51" s="5"/>
      <c r="L51" s="5"/>
      <c r="M51" s="5"/>
      <c r="N51" s="5"/>
      <c r="O51" s="5"/>
      <c r="P51" s="88"/>
      <c r="Q51" s="95"/>
    </row>
    <row r="52" spans="4:17" s="2" customFormat="1" ht="12" customHeight="1">
      <c r="D52" s="22"/>
      <c r="E52" s="22"/>
      <c r="J52" s="5"/>
      <c r="K52" s="5"/>
      <c r="L52" s="5"/>
      <c r="M52" s="5"/>
      <c r="N52" s="5"/>
      <c r="O52" s="5"/>
      <c r="P52" s="88"/>
      <c r="Q52" s="95"/>
    </row>
    <row r="53" spans="4:17" s="2" customFormat="1" ht="12" customHeight="1">
      <c r="D53" s="22"/>
      <c r="E53" s="22"/>
      <c r="J53" s="5"/>
      <c r="K53" s="5"/>
      <c r="L53" s="5"/>
      <c r="M53" s="5"/>
      <c r="N53" s="5"/>
      <c r="O53" s="5"/>
      <c r="P53" s="88"/>
      <c r="Q53" s="95"/>
    </row>
    <row r="54" spans="4:17" s="2" customFormat="1" ht="12" customHeight="1">
      <c r="D54" s="22"/>
      <c r="E54" s="22"/>
      <c r="J54" s="5"/>
      <c r="K54" s="5"/>
      <c r="L54" s="5"/>
      <c r="M54" s="5"/>
      <c r="N54" s="5"/>
      <c r="O54" s="5"/>
      <c r="P54" s="88"/>
      <c r="Q54" s="95"/>
    </row>
    <row r="55" spans="4:17" s="2" customFormat="1" ht="12" customHeight="1">
      <c r="D55" s="22"/>
      <c r="E55" s="22"/>
      <c r="J55" s="5"/>
      <c r="K55" s="5"/>
      <c r="L55" s="5"/>
      <c r="M55" s="5"/>
      <c r="N55" s="5"/>
      <c r="O55" s="5"/>
      <c r="P55" s="88"/>
      <c r="Q55" s="95"/>
    </row>
    <row r="56" spans="4:17" s="2" customFormat="1" ht="12" customHeight="1">
      <c r="D56" s="22"/>
      <c r="E56" s="22"/>
      <c r="J56" s="5"/>
      <c r="K56" s="5"/>
      <c r="L56" s="5"/>
      <c r="M56" s="5"/>
      <c r="N56" s="5"/>
      <c r="O56" s="5"/>
      <c r="P56" s="88"/>
      <c r="Q56" s="95"/>
    </row>
    <row r="57" spans="4:17" s="2" customFormat="1" ht="12" customHeight="1">
      <c r="D57" s="22"/>
      <c r="E57" s="22"/>
      <c r="J57" s="5"/>
      <c r="K57" s="5"/>
      <c r="L57" s="5"/>
      <c r="M57" s="5"/>
      <c r="N57" s="5"/>
      <c r="O57" s="5"/>
      <c r="P57" s="88"/>
      <c r="Q57" s="95"/>
    </row>
    <row r="58" spans="4:17" s="2" customFormat="1" ht="12" customHeight="1">
      <c r="D58" s="22"/>
      <c r="E58" s="22"/>
      <c r="J58" s="5"/>
      <c r="K58" s="5"/>
      <c r="L58" s="5"/>
      <c r="M58" s="5"/>
      <c r="N58" s="5"/>
      <c r="O58" s="5"/>
      <c r="P58" s="88"/>
      <c r="Q58" s="95"/>
    </row>
    <row r="59" spans="4:17" s="2" customFormat="1" ht="12" customHeight="1">
      <c r="D59" s="22"/>
      <c r="E59" s="22"/>
      <c r="J59" s="5"/>
      <c r="K59" s="5"/>
      <c r="L59" s="5"/>
      <c r="M59" s="5"/>
      <c r="N59" s="5"/>
      <c r="O59" s="5"/>
      <c r="P59" s="88"/>
      <c r="Q59" s="95"/>
    </row>
    <row r="60" spans="4:17" s="2" customFormat="1" ht="12" customHeight="1">
      <c r="D60" s="22"/>
      <c r="E60" s="22"/>
      <c r="J60" s="5"/>
      <c r="K60" s="5"/>
      <c r="L60" s="5"/>
      <c r="M60" s="5"/>
      <c r="N60" s="5"/>
      <c r="O60" s="5"/>
      <c r="P60" s="88"/>
      <c r="Q60" s="95"/>
    </row>
    <row r="61" spans="4:17" s="2" customFormat="1" ht="12" customHeight="1">
      <c r="D61" s="22"/>
      <c r="E61" s="22"/>
      <c r="J61" s="5"/>
      <c r="K61" s="5"/>
      <c r="L61" s="5"/>
      <c r="M61" s="5"/>
      <c r="N61" s="5"/>
      <c r="O61" s="5"/>
      <c r="P61" s="88"/>
      <c r="Q61" s="95"/>
    </row>
    <row r="62" spans="4:17" s="2" customFormat="1" ht="12" customHeight="1">
      <c r="D62" s="22"/>
      <c r="E62" s="22"/>
      <c r="J62" s="5"/>
      <c r="K62" s="5"/>
      <c r="L62" s="5"/>
      <c r="M62" s="5"/>
      <c r="N62" s="5"/>
      <c r="O62" s="5"/>
      <c r="P62" s="88"/>
      <c r="Q62" s="95"/>
    </row>
    <row r="63" spans="4:17" s="2" customFormat="1" ht="12" customHeight="1">
      <c r="D63" s="22"/>
      <c r="E63" s="22"/>
      <c r="J63" s="5"/>
      <c r="K63" s="5"/>
      <c r="L63" s="5"/>
      <c r="M63" s="5"/>
      <c r="N63" s="5"/>
      <c r="O63" s="5"/>
      <c r="P63" s="88"/>
      <c r="Q63" s="95"/>
    </row>
    <row r="64" spans="4:17" s="2" customFormat="1" ht="12" customHeight="1">
      <c r="D64" s="22"/>
      <c r="E64" s="22"/>
      <c r="J64" s="5"/>
      <c r="K64" s="5"/>
      <c r="L64" s="5"/>
      <c r="M64" s="5"/>
      <c r="N64" s="5"/>
      <c r="O64" s="5"/>
      <c r="P64" s="88"/>
      <c r="Q64" s="95"/>
    </row>
    <row r="65" spans="1:17" s="2" customFormat="1" ht="12" customHeight="1">
      <c r="D65" s="22"/>
      <c r="E65" s="22"/>
      <c r="J65" s="5"/>
      <c r="K65" s="5"/>
      <c r="L65" s="5"/>
      <c r="M65" s="5"/>
      <c r="N65" s="5"/>
      <c r="O65" s="5"/>
      <c r="P65" s="88"/>
      <c r="Q65" s="95"/>
    </row>
    <row r="66" spans="1:17" s="2" customFormat="1" ht="12" customHeight="1">
      <c r="D66" s="22"/>
      <c r="E66" s="22"/>
      <c r="J66" s="5"/>
      <c r="K66" s="5"/>
      <c r="L66" s="5"/>
      <c r="M66" s="5"/>
      <c r="N66" s="5"/>
      <c r="O66" s="5"/>
      <c r="P66" s="88"/>
      <c r="Q66" s="95"/>
    </row>
    <row r="67" spans="1:17" s="2" customFormat="1" ht="12" customHeight="1">
      <c r="D67" s="22"/>
      <c r="E67" s="22"/>
      <c r="J67" s="5"/>
      <c r="K67" s="5"/>
      <c r="L67" s="5"/>
      <c r="M67" s="5"/>
      <c r="N67" s="5"/>
      <c r="O67" s="5"/>
      <c r="P67" s="88"/>
      <c r="Q67" s="95"/>
    </row>
    <row r="68" spans="1:17" s="2" customFormat="1" ht="12" customHeight="1">
      <c r="D68" s="22"/>
      <c r="E68" s="22"/>
      <c r="J68" s="5"/>
      <c r="K68" s="5"/>
      <c r="L68" s="5"/>
      <c r="M68" s="5"/>
      <c r="N68" s="5"/>
      <c r="O68" s="5"/>
      <c r="P68" s="88"/>
      <c r="Q68" s="95"/>
    </row>
    <row r="69" spans="1:17" s="2" customFormat="1" ht="12" customHeight="1">
      <c r="D69" s="22"/>
      <c r="E69" s="22"/>
      <c r="J69" s="5"/>
      <c r="K69" s="5"/>
      <c r="L69" s="5"/>
      <c r="M69" s="5"/>
      <c r="N69" s="5"/>
      <c r="O69" s="5"/>
      <c r="P69" s="88"/>
      <c r="Q69" s="95"/>
    </row>
    <row r="70" spans="1:17" s="2" customFormat="1" ht="12" customHeight="1">
      <c r="D70" s="22"/>
      <c r="E70" s="22"/>
      <c r="J70" s="5"/>
      <c r="K70" s="5"/>
      <c r="L70" s="5"/>
      <c r="M70" s="5"/>
      <c r="N70" s="5"/>
      <c r="O70" s="5"/>
      <c r="P70" s="88"/>
      <c r="Q70" s="95"/>
    </row>
    <row r="71" spans="1:17" s="2" customFormat="1" ht="12" customHeight="1">
      <c r="D71" s="22"/>
      <c r="E71" s="22"/>
      <c r="J71" s="5"/>
      <c r="K71" s="5"/>
      <c r="L71" s="5"/>
      <c r="M71" s="5"/>
      <c r="N71" s="5"/>
      <c r="O71" s="5"/>
      <c r="P71" s="88"/>
      <c r="Q71" s="95"/>
    </row>
    <row r="72" spans="1:17" s="2" customFormat="1" ht="12" customHeight="1">
      <c r="D72" s="22"/>
      <c r="E72" s="22"/>
      <c r="J72" s="5"/>
      <c r="K72" s="5"/>
      <c r="L72" s="5"/>
      <c r="M72" s="5"/>
      <c r="N72" s="5"/>
      <c r="O72" s="5"/>
      <c r="P72" s="88"/>
      <c r="Q72" s="95"/>
    </row>
    <row r="73" spans="1:17" s="2" customFormat="1" ht="12" customHeight="1">
      <c r="D73" s="22"/>
      <c r="E73" s="22"/>
      <c r="J73" s="5"/>
      <c r="K73" s="5"/>
      <c r="L73" s="5"/>
      <c r="M73" s="5"/>
      <c r="N73" s="5"/>
      <c r="O73" s="5"/>
      <c r="P73" s="88"/>
      <c r="Q73" s="95"/>
    </row>
    <row r="74" spans="1:17" s="2" customFormat="1" ht="12" customHeight="1">
      <c r="D74" s="22"/>
      <c r="E74" s="22"/>
      <c r="J74" s="5"/>
      <c r="K74" s="5"/>
      <c r="L74" s="5"/>
      <c r="M74" s="5"/>
      <c r="N74" s="5"/>
      <c r="O74" s="5"/>
      <c r="P74" s="88"/>
      <c r="Q74" s="95"/>
    </row>
    <row r="75" spans="1:17" s="2" customFormat="1" ht="12" customHeight="1">
      <c r="D75" s="22"/>
      <c r="E75" s="22"/>
      <c r="J75" s="5"/>
      <c r="K75" s="5"/>
      <c r="L75" s="5"/>
      <c r="M75" s="5"/>
      <c r="N75" s="5"/>
      <c r="O75" s="5"/>
      <c r="P75" s="88"/>
      <c r="Q75" s="96"/>
    </row>
    <row r="76" spans="1:17" s="2" customFormat="1" ht="12" customHeight="1">
      <c r="D76" s="22"/>
      <c r="E76" s="22"/>
      <c r="J76" s="5"/>
      <c r="K76" s="5"/>
      <c r="L76" s="5"/>
      <c r="M76" s="5"/>
      <c r="N76" s="5"/>
      <c r="O76" s="5"/>
      <c r="P76" s="88"/>
      <c r="Q76" s="96"/>
    </row>
    <row r="77" spans="1:17" s="2" customFormat="1" ht="12" customHeight="1">
      <c r="D77" s="22"/>
      <c r="E77" s="22"/>
      <c r="J77" s="5"/>
      <c r="K77" s="5"/>
      <c r="L77" s="5"/>
      <c r="M77" s="5"/>
      <c r="N77" s="5"/>
      <c r="O77" s="5"/>
      <c r="P77" s="88"/>
      <c r="Q77" s="96"/>
    </row>
    <row r="78" spans="1:17" s="2" customFormat="1" ht="12" customHeight="1">
      <c r="D78" s="22"/>
      <c r="E78" s="22"/>
      <c r="J78" s="5"/>
      <c r="K78" s="5"/>
      <c r="L78" s="5"/>
      <c r="M78" s="5"/>
      <c r="N78" s="5"/>
      <c r="O78" s="5"/>
      <c r="P78" s="88"/>
      <c r="Q78" s="96"/>
    </row>
    <row r="79" spans="1:17" s="2" customFormat="1" ht="12" customHeight="1">
      <c r="A79"/>
      <c r="B79"/>
      <c r="C79"/>
      <c r="D79" s="23"/>
      <c r="E79" s="23"/>
      <c r="F79"/>
      <c r="G79"/>
      <c r="H79"/>
      <c r="I79"/>
      <c r="J79" s="19"/>
      <c r="K79" s="19"/>
      <c r="L79" s="19"/>
      <c r="M79" s="19"/>
      <c r="N79" s="19"/>
      <c r="O79" s="19"/>
      <c r="P79" s="90"/>
      <c r="Q79" s="96"/>
    </row>
    <row r="80" spans="1:17" s="2" customFormat="1" ht="12" customHeight="1">
      <c r="A80"/>
      <c r="B80"/>
      <c r="C80"/>
      <c r="D80" s="23"/>
      <c r="E80" s="23"/>
      <c r="F80"/>
      <c r="G80"/>
      <c r="H80"/>
      <c r="I80"/>
      <c r="J80" s="19"/>
      <c r="K80" s="19"/>
      <c r="L80" s="19"/>
      <c r="M80" s="19"/>
      <c r="N80" s="19"/>
      <c r="O80" s="19"/>
      <c r="P80" s="90"/>
      <c r="Q80" s="96"/>
    </row>
    <row r="81" spans="1:17" s="2" customFormat="1" ht="12" customHeight="1">
      <c r="A81"/>
      <c r="B81"/>
      <c r="C81"/>
      <c r="D81" s="23"/>
      <c r="E81" s="23"/>
      <c r="F81"/>
      <c r="G81"/>
      <c r="H81"/>
      <c r="I81"/>
      <c r="J81" s="19"/>
      <c r="K81" s="19"/>
      <c r="L81" s="19"/>
      <c r="M81" s="19"/>
      <c r="N81" s="19"/>
      <c r="O81" s="19"/>
      <c r="P81" s="90"/>
      <c r="Q81" s="96"/>
    </row>
    <row r="82" spans="1:17" s="2" customFormat="1" ht="12" customHeight="1">
      <c r="A82"/>
      <c r="B82"/>
      <c r="C82"/>
      <c r="D82" s="23"/>
      <c r="E82" s="23"/>
      <c r="F82"/>
      <c r="G82"/>
      <c r="H82"/>
      <c r="I82"/>
      <c r="J82" s="19"/>
      <c r="K82" s="19"/>
      <c r="L82" s="19"/>
      <c r="M82" s="19"/>
      <c r="N82" s="19"/>
      <c r="O82" s="19"/>
      <c r="P82" s="90"/>
      <c r="Q82" s="96"/>
    </row>
    <row r="83" spans="1:17" s="2" customFormat="1" ht="12" customHeight="1">
      <c r="A83"/>
      <c r="B83"/>
      <c r="C83"/>
      <c r="D83" s="23"/>
      <c r="E83" s="23"/>
      <c r="F83"/>
      <c r="G83"/>
      <c r="H83"/>
      <c r="I83"/>
      <c r="J83" s="19"/>
      <c r="K83" s="19"/>
      <c r="L83" s="19"/>
      <c r="M83" s="19"/>
      <c r="N83" s="19"/>
      <c r="O83" s="19"/>
      <c r="P83" s="90"/>
      <c r="Q83" s="96"/>
    </row>
    <row r="84" spans="1:17">
      <c r="Q84" s="96"/>
    </row>
    <row r="85" spans="1:17">
      <c r="Q85" s="96"/>
    </row>
    <row r="86" spans="1:17">
      <c r="Q86" s="96"/>
    </row>
    <row r="87" spans="1:17">
      <c r="Q87" s="96"/>
    </row>
    <row r="88" spans="1:17">
      <c r="Q88" s="96"/>
    </row>
    <row r="89" spans="1:17">
      <c r="Q89" s="96"/>
    </row>
    <row r="90" spans="1:17">
      <c r="Q90" s="96"/>
    </row>
    <row r="91" spans="1:17">
      <c r="Q91" s="96"/>
    </row>
    <row r="92" spans="1:17">
      <c r="Q92" s="96"/>
    </row>
    <row r="93" spans="1:17">
      <c r="Q93" s="96"/>
    </row>
    <row r="94" spans="1:17">
      <c r="Q94" s="96"/>
    </row>
    <row r="95" spans="1:17">
      <c r="Q95" s="96"/>
    </row>
    <row r="96" spans="1:17">
      <c r="Q96" s="96"/>
    </row>
    <row r="97" spans="17:17">
      <c r="Q97" s="96"/>
    </row>
    <row r="98" spans="17:17">
      <c r="Q98" s="96"/>
    </row>
    <row r="99" spans="17:17">
      <c r="Q99" s="96"/>
    </row>
    <row r="100" spans="17:17">
      <c r="Q100" s="96"/>
    </row>
    <row r="101" spans="17:17">
      <c r="Q101" s="96"/>
    </row>
    <row r="102" spans="17:17">
      <c r="Q102" s="96"/>
    </row>
    <row r="103" spans="17:17">
      <c r="Q103" s="96"/>
    </row>
    <row r="140" ht="12" customHeight="1"/>
    <row r="141" ht="12" customHeight="1"/>
    <row r="142" ht="12" customHeight="1"/>
    <row r="143" ht="12" customHeight="1"/>
    <row r="144" ht="12" customHeight="1"/>
    <row r="145" ht="12" customHeight="1"/>
    <row r="146" ht="12" customHeight="1"/>
    <row r="147" ht="12" customHeight="1"/>
    <row r="148" ht="12" customHeight="1"/>
    <row r="149" ht="12" customHeight="1"/>
    <row r="150" ht="12" customHeight="1"/>
    <row r="151" ht="12" customHeight="1"/>
    <row r="152" ht="12" customHeight="1"/>
    <row r="153" ht="12" customHeight="1"/>
    <row r="154" ht="12" customHeight="1"/>
    <row r="155" ht="12" customHeight="1"/>
    <row r="156" ht="12" customHeight="1"/>
    <row r="157" ht="12" customHeight="1"/>
    <row r="158" ht="12" customHeight="1"/>
    <row r="159" ht="12" customHeight="1"/>
    <row r="160" ht="12" customHeight="1"/>
    <row r="161" ht="12" customHeight="1"/>
    <row r="162" ht="12" customHeight="1"/>
    <row r="163" ht="12" customHeight="1"/>
    <row r="164" ht="12" customHeight="1"/>
    <row r="165" ht="12" customHeight="1"/>
    <row r="166" ht="12" customHeight="1"/>
    <row r="167" ht="12" customHeight="1"/>
    <row r="168" ht="12" customHeight="1"/>
    <row r="169" ht="12" customHeight="1"/>
    <row r="170" ht="12" customHeight="1"/>
    <row r="171" ht="12" customHeight="1"/>
    <row r="172" ht="12" customHeight="1"/>
    <row r="173" ht="12" customHeight="1"/>
    <row r="174" ht="12" customHeight="1"/>
    <row r="175" ht="12" customHeight="1"/>
    <row r="176" ht="12" customHeight="1"/>
    <row r="177" ht="12" customHeight="1"/>
    <row r="178" ht="12" customHeight="1"/>
    <row r="179" ht="12" customHeight="1"/>
    <row r="180" ht="12" customHeight="1"/>
    <row r="181" ht="12" customHeight="1"/>
    <row r="182" ht="12" customHeight="1"/>
    <row r="183" ht="12" customHeight="1"/>
    <row r="184" ht="12" customHeight="1"/>
    <row r="185" ht="12" customHeight="1"/>
    <row r="186" ht="12" customHeight="1"/>
    <row r="187" ht="12" customHeight="1"/>
    <row r="188" ht="12" customHeight="1"/>
    <row r="189" ht="12" customHeight="1"/>
  </sheetData>
  <mergeCells count="38">
    <mergeCell ref="D27:E27"/>
    <mergeCell ref="H28:I28"/>
    <mergeCell ref="D36:E36"/>
    <mergeCell ref="H36:I36"/>
    <mergeCell ref="D34:E34"/>
    <mergeCell ref="H34:I34"/>
    <mergeCell ref="D35:E35"/>
    <mergeCell ref="H4:I4"/>
    <mergeCell ref="D5:E5"/>
    <mergeCell ref="D6:E6"/>
    <mergeCell ref="D17:E17"/>
    <mergeCell ref="D15:E15"/>
    <mergeCell ref="D14:E14"/>
    <mergeCell ref="D7:E7"/>
    <mergeCell ref="H7:I7"/>
    <mergeCell ref="D8:E8"/>
    <mergeCell ref="D9:E9"/>
    <mergeCell ref="D10:E10"/>
    <mergeCell ref="D11:E11"/>
    <mergeCell ref="D12:E12"/>
    <mergeCell ref="D13:E13"/>
    <mergeCell ref="D16:E16"/>
    <mergeCell ref="D26:E26"/>
    <mergeCell ref="D25:E25"/>
    <mergeCell ref="D32:E32"/>
    <mergeCell ref="D1:E1"/>
    <mergeCell ref="D4:E4"/>
    <mergeCell ref="D24:E24"/>
    <mergeCell ref="D18:E18"/>
    <mergeCell ref="D19:E19"/>
    <mergeCell ref="D20:E20"/>
    <mergeCell ref="D21:E21"/>
    <mergeCell ref="D22:E22"/>
    <mergeCell ref="D23:E23"/>
    <mergeCell ref="D29:E29"/>
    <mergeCell ref="D30:E30"/>
    <mergeCell ref="D31:E31"/>
    <mergeCell ref="D28:E28"/>
  </mergeCells>
  <conditionalFormatting sqref="M5:M6">
    <cfRule type="cellIs" dxfId="478" priority="4" stopIfTrue="1" operator="lessThanOrEqual">
      <formula>$L5</formula>
    </cfRule>
    <cfRule type="cellIs" dxfId="477" priority="5" operator="greaterThan">
      <formula>L5</formula>
    </cfRule>
  </conditionalFormatting>
  <conditionalFormatting sqref="M29:M33 M8:M27">
    <cfRule type="cellIs" dxfId="476" priority="10" stopIfTrue="1" operator="lessThanOrEqual">
      <formula>$L8</formula>
    </cfRule>
    <cfRule type="cellIs" dxfId="475" priority="11" operator="greaterThan">
      <formula>L8</formula>
    </cfRule>
  </conditionalFormatting>
  <conditionalFormatting sqref="M35">
    <cfRule type="cellIs" dxfId="474" priority="2" stopIfTrue="1" operator="lessThanOrEqual">
      <formula>$L35</formula>
    </cfRule>
    <cfRule type="cellIs" dxfId="473" priority="3" operator="greaterThan">
      <formula>L35</formula>
    </cfRule>
  </conditionalFormatting>
  <pageMargins left="0.7" right="0.7" top="0.75" bottom="0.75" header="0.3" footer="0.3"/>
  <pageSetup paperSize="3" fitToHeight="0" orientation="landscape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8A13E0F0-AEB5-4D69-BDDC-6617773A7FE4}">
          <x14:formula1>
            <xm:f>Bolts!$A:$A</xm:f>
          </x14:formula1>
          <xm:sqref>C29:C33</xm:sqref>
        </x14:dataValidation>
        <x14:dataValidation type="list" allowBlank="1" showInputMessage="1" showErrorMessage="1" xr:uid="{BD1D9294-93DC-4058-942A-559A48C588E7}">
          <x14:formula1>
            <xm:f>Purchased!$A:$A</xm:f>
          </x14:formula1>
          <xm:sqref>C8:C27</xm:sqref>
        </x14:dataValidation>
        <x14:dataValidation type="list" allowBlank="1" showInputMessage="1" showErrorMessage="1" xr:uid="{D69EB49C-649F-42C2-8ACB-F6BA9500D96E}">
          <x14:formula1>
            <xm:f>Extrusion!$B:$B</xm:f>
          </x14:formula1>
          <xm:sqref>C35</xm:sqref>
        </x14:dataValidation>
        <x14:dataValidation type="list" allowBlank="1" showInputMessage="1" showErrorMessage="1" xr:uid="{1ED2C3D6-5255-4DC7-8CD6-5A4609F4A1D2}">
          <x14:formula1>
            <xm:f>Machined!$C:$C</xm:f>
          </x14:formula1>
          <xm:sqref>C5:C6</xm:sqref>
        </x14:dataValidation>
      </x14:dataValidation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E55929-D6D1-40C5-9BB2-B5116D27EC8B}">
  <sheetPr codeName="Sheet48">
    <tabColor theme="3" tint="0.79998168889431442"/>
    <pageSetUpPr fitToPage="1"/>
  </sheetPr>
  <dimension ref="A1:Q176"/>
  <sheetViews>
    <sheetView zoomScaleNormal="100" workbookViewId="0">
      <selection activeCell="C15" sqref="C15"/>
    </sheetView>
  </sheetViews>
  <sheetFormatPr defaultColWidth="9.140625" defaultRowHeight="15"/>
  <cols>
    <col min="1" max="1" width="5.7109375" customWidth="1"/>
    <col min="2" max="2" width="5.42578125" bestFit="1" customWidth="1"/>
    <col min="3" max="3" width="30.7109375" customWidth="1"/>
    <col min="4" max="5" width="20.7109375" style="23" customWidth="1"/>
    <col min="6" max="6" width="16.85546875" bestFit="1" customWidth="1"/>
    <col min="7" max="7" width="9.7109375" customWidth="1"/>
    <col min="8" max="8" width="8.7109375" customWidth="1"/>
    <col min="9" max="9" width="20.7109375" customWidth="1"/>
    <col min="10" max="13" width="11.7109375" style="19" customWidth="1"/>
    <col min="14" max="14" width="11.85546875" style="19" bestFit="1" customWidth="1"/>
    <col min="15" max="15" width="7.7109375" style="19" customWidth="1"/>
    <col min="16" max="16" width="10.7109375" style="90" customWidth="1"/>
    <col min="17" max="17" width="10.7109375" style="97" customWidth="1"/>
  </cols>
  <sheetData>
    <row r="1" spans="1:17" s="55" customFormat="1" ht="12" customHeight="1">
      <c r="A1" s="68" t="s">
        <v>0</v>
      </c>
      <c r="B1" s="69"/>
      <c r="C1" s="69"/>
      <c r="D1" s="262" t="s">
        <v>1</v>
      </c>
      <c r="E1" s="263"/>
      <c r="F1" s="70"/>
      <c r="G1" s="69"/>
      <c r="H1" s="70"/>
      <c r="I1" s="71"/>
      <c r="J1" s="72"/>
      <c r="K1" s="72"/>
      <c r="L1" s="72"/>
      <c r="M1" s="72"/>
      <c r="N1" s="72"/>
      <c r="O1" s="72"/>
      <c r="P1" s="85"/>
      <c r="Q1" s="91"/>
    </row>
    <row r="2" spans="1:17" s="55" customFormat="1" ht="12" customHeight="1">
      <c r="A2" s="74" t="s">
        <v>48</v>
      </c>
      <c r="B2" s="58"/>
      <c r="C2" s="57" t="e">
        <f ca="1">VLOOKUP(E3,Assemblies!B:F,4,0)</f>
        <v>#VALUE!</v>
      </c>
      <c r="D2" s="75" t="s">
        <v>3</v>
      </c>
      <c r="E2" s="76" t="e">
        <f ca="1">'GF12'!E2</f>
        <v>#VALUE!</v>
      </c>
      <c r="F2" s="77" t="s">
        <v>4</v>
      </c>
      <c r="G2" s="58" t="str">
        <f>'GF12'!G2</f>
        <v>GH</v>
      </c>
      <c r="H2" s="77" t="s">
        <v>6</v>
      </c>
      <c r="I2" s="59">
        <f>'GF12'!I2</f>
        <v>44775</v>
      </c>
      <c r="J2" s="39"/>
      <c r="K2" s="40" t="s">
        <v>49</v>
      </c>
      <c r="L2" s="41" t="e">
        <f ca="1">VLOOKUP(C2,Assemblies!E:G,3,0)</f>
        <v>#VALUE!</v>
      </c>
      <c r="M2" s="78"/>
      <c r="N2" s="78"/>
      <c r="O2" s="78"/>
      <c r="P2" s="86"/>
      <c r="Q2" s="92"/>
    </row>
    <row r="3" spans="1:17" s="55" customFormat="1" ht="12" customHeight="1" thickBot="1">
      <c r="A3" s="74" t="s">
        <v>7</v>
      </c>
      <c r="B3" s="58"/>
      <c r="C3" s="57" t="e">
        <f ca="1">VLOOKUP(E3,Assemblies!B:F,5,0)</f>
        <v>#VALUE!</v>
      </c>
      <c r="D3" s="75" t="s">
        <v>50</v>
      </c>
      <c r="E3" s="76" t="e">
        <f ca="1">MID(CELL("filename",A1),FIND("]",CELL("filename",A1))+1,256)</f>
        <v>#VALUE!</v>
      </c>
      <c r="F3" s="77" t="s">
        <v>11</v>
      </c>
      <c r="G3" s="58" t="str">
        <f>'GF12'!G3</f>
        <v>GH</v>
      </c>
      <c r="H3" s="77" t="s">
        <v>6</v>
      </c>
      <c r="I3" s="59">
        <f>'GF12'!I3</f>
        <v>44775</v>
      </c>
      <c r="J3" s="78"/>
      <c r="K3" s="78"/>
      <c r="L3" s="78"/>
      <c r="M3" s="78"/>
      <c r="N3" s="78"/>
      <c r="O3" s="78"/>
      <c r="P3" s="86"/>
      <c r="Q3" s="92"/>
    </row>
    <row r="4" spans="1:17" s="56" customFormat="1" ht="12.75" customHeight="1" thickBot="1">
      <c r="A4" s="80" t="s">
        <v>12</v>
      </c>
      <c r="B4" s="81" t="s">
        <v>13</v>
      </c>
      <c r="C4" s="81" t="s">
        <v>14</v>
      </c>
      <c r="D4" s="270" t="s">
        <v>15</v>
      </c>
      <c r="E4" s="271"/>
      <c r="F4" s="104" t="s">
        <v>16</v>
      </c>
      <c r="G4" s="81" t="s">
        <v>17</v>
      </c>
      <c r="H4" s="260" t="s">
        <v>18</v>
      </c>
      <c r="I4" s="261"/>
      <c r="J4" s="81" t="s">
        <v>51</v>
      </c>
      <c r="K4" s="81" t="s">
        <v>20</v>
      </c>
      <c r="L4" s="81" t="s">
        <v>21</v>
      </c>
      <c r="M4" s="81" t="s">
        <v>52</v>
      </c>
      <c r="N4" s="81" t="s">
        <v>22</v>
      </c>
      <c r="O4" s="81" t="s">
        <v>53</v>
      </c>
      <c r="P4" s="107" t="s">
        <v>26</v>
      </c>
      <c r="Q4" s="82" t="s">
        <v>27</v>
      </c>
    </row>
    <row r="5" spans="1:17" s="2" customFormat="1" ht="12.75" customHeight="1">
      <c r="A5" s="127">
        <v>1</v>
      </c>
      <c r="B5" s="21">
        <v>1</v>
      </c>
      <c r="C5" s="108" t="s">
        <v>639</v>
      </c>
      <c r="D5" s="277" t="str">
        <f>VLOOKUP(C5,Machined!C:Q,2,0)</f>
        <v>ITV Mount Actuated Dancer</v>
      </c>
      <c r="E5" s="278"/>
      <c r="F5" s="131" t="str">
        <f>VLOOKUP(C5,Machined!C:R,7,0)</f>
        <v>6061-T6 Alum</v>
      </c>
      <c r="G5" s="131" t="str">
        <f>VLOOKUP(C5,Machined!C:R,10,0)</f>
        <v>NULINE</v>
      </c>
      <c r="H5" s="131" t="str">
        <f>VLOOKUP(C5,Machined!C:R,11,0)</f>
        <v xml:space="preserve">  </v>
      </c>
      <c r="I5" s="131"/>
      <c r="J5" s="42" t="str">
        <f>VLOOKUP(C5,Machined!C:R,12,0)</f>
        <v>N/A</v>
      </c>
      <c r="K5" s="42" t="str">
        <f>VLOOKUP(C5,Machined!C:R,13,0)</f>
        <v>N/A</v>
      </c>
      <c r="L5" s="42" t="str">
        <f>VLOOKUP(C5,Machined!C:R,14,0)</f>
        <v>N/A</v>
      </c>
      <c r="M5" s="42" t="str">
        <f>VLOOKUP(C5,Machined!C:R,15,0)</f>
        <v>N/A</v>
      </c>
      <c r="N5" s="43" t="str">
        <f>VLOOKUP(C5,Machined!C:R,16,0)</f>
        <v>N/A</v>
      </c>
      <c r="O5" s="43" t="e">
        <f t="shared" ref="O5:O6" ca="1" si="0">B5*$L$2</f>
        <v>#VALUE!</v>
      </c>
      <c r="P5" s="47">
        <f>IFERROR(VLOOKUP(C5,Machined!C:F,3,0),"")</f>
        <v>0</v>
      </c>
      <c r="Q5" s="48">
        <f t="shared" ref="Q5:Q6" si="1">IFERROR(B5*P5,"")</f>
        <v>0</v>
      </c>
    </row>
    <row r="6" spans="1:17" s="2" customFormat="1" ht="12.75" customHeight="1">
      <c r="A6" s="127">
        <v>2</v>
      </c>
      <c r="B6" s="21">
        <v>1</v>
      </c>
      <c r="C6" s="108" t="s">
        <v>640</v>
      </c>
      <c r="D6" s="277" t="str">
        <f>VLOOKUP(C6,Machined!C:Q,2,0)</f>
        <v>Actuated Dancer Fittings Plate</v>
      </c>
      <c r="E6" s="278"/>
      <c r="F6" s="131" t="str">
        <f>VLOOKUP(C6,Machined!C:R,7,0)</f>
        <v>6061-T6 Alum</v>
      </c>
      <c r="G6" s="131" t="str">
        <f>VLOOKUP(C6,Machined!C:R,10,0)</f>
        <v>NULINE</v>
      </c>
      <c r="H6" s="131" t="str">
        <f>VLOOKUP(C6,Machined!C:R,11,0)</f>
        <v xml:space="preserve">  </v>
      </c>
      <c r="I6" s="131"/>
      <c r="J6" s="42" t="str">
        <f>VLOOKUP(C6,Machined!C:R,12,0)</f>
        <v>N/A</v>
      </c>
      <c r="K6" s="42" t="str">
        <f>VLOOKUP(C6,Machined!C:R,13,0)</f>
        <v>N/A</v>
      </c>
      <c r="L6" s="42" t="str">
        <f>VLOOKUP(C6,Machined!C:R,14,0)</f>
        <v>N/A</v>
      </c>
      <c r="M6" s="42" t="str">
        <f>VLOOKUP(C6,Machined!C:R,15,0)</f>
        <v>N/A</v>
      </c>
      <c r="N6" s="43" t="str">
        <f>VLOOKUP(C6,Machined!C:R,16,0)</f>
        <v>N/A</v>
      </c>
      <c r="O6" s="43" t="e">
        <f t="shared" ca="1" si="0"/>
        <v>#VALUE!</v>
      </c>
      <c r="P6" s="47">
        <f>IFERROR(VLOOKUP(C6,Machined!C:F,3,0),"")</f>
        <v>0</v>
      </c>
      <c r="Q6" s="48">
        <f t="shared" si="1"/>
        <v>0</v>
      </c>
    </row>
    <row r="7" spans="1:17" s="2" customFormat="1" ht="12.75" customHeight="1">
      <c r="A7" s="143"/>
      <c r="B7" s="26"/>
      <c r="C7" s="26"/>
      <c r="D7" s="272"/>
      <c r="E7" s="273"/>
      <c r="F7" s="26"/>
      <c r="G7" s="26"/>
      <c r="H7" s="274"/>
      <c r="I7" s="275"/>
      <c r="J7" s="27"/>
      <c r="K7" s="27"/>
      <c r="L7" s="27"/>
      <c r="M7" s="28"/>
      <c r="N7" s="29"/>
      <c r="O7" s="29"/>
      <c r="P7" s="141"/>
      <c r="Q7" s="142"/>
    </row>
    <row r="8" spans="1:17" s="2" customFormat="1" ht="12.75" customHeight="1">
      <c r="A8" s="4">
        <v>301</v>
      </c>
      <c r="B8" s="2">
        <v>1</v>
      </c>
      <c r="C8" s="114" t="s">
        <v>182</v>
      </c>
      <c r="D8" s="268" t="str">
        <f>VLOOKUP(C8,Purchased!A:B,2,0)</f>
        <v>SMC 2000 Size Electro-Pneumatic Regulato</v>
      </c>
      <c r="E8" s="269"/>
      <c r="F8" s="112" t="str">
        <f>VLOOKUP(C8,Purchased!A:Q,9,0)</f>
        <v>SMC</v>
      </c>
      <c r="G8" s="112" t="str">
        <f>VLOOKUP(C8,Purchased!A:Q,10,0)</f>
        <v>AAP</v>
      </c>
      <c r="H8" s="112" t="str">
        <f>VLOOKUP(C8,Purchased!A:Q,12,0)</f>
        <v xml:space="preserve"> </v>
      </c>
      <c r="I8" s="113"/>
      <c r="J8" s="44" t="str">
        <f>VLOOKUP(C8,Purchased!A:Q,13,0)</f>
        <v>N/A</v>
      </c>
      <c r="K8" s="44">
        <f>VLOOKUP(C8,Purchased!A:Q,14,0)</f>
        <v>45099</v>
      </c>
      <c r="L8" s="44">
        <f>VLOOKUP(C8,Purchased!A:Q,15,0)</f>
        <v>45129</v>
      </c>
      <c r="M8" s="44">
        <f>VLOOKUP(C8,Purchased!A:Q,16,0)</f>
        <v>45129</v>
      </c>
      <c r="N8" s="45">
        <f>VLOOKUP(C8,Purchased!A:Q,17,0)</f>
        <v>54958</v>
      </c>
      <c r="O8" s="45" t="e">
        <f t="shared" ref="O8:O20" ca="1" si="2">B8*$L$2</f>
        <v>#VALUE!</v>
      </c>
      <c r="P8" s="49">
        <f>IFERROR(VLOOKUP(C8,Purchased!A:E,3,FALSE),"")</f>
        <v>348.6</v>
      </c>
      <c r="Q8" s="50">
        <f t="shared" ref="Q8:Q14" si="3">IFERROR(B8*P8,"")</f>
        <v>348.6</v>
      </c>
    </row>
    <row r="9" spans="1:17" s="2" customFormat="1" ht="12" customHeight="1">
      <c r="A9" s="4">
        <f t="shared" ref="A9:A15" si="4">A8+1</f>
        <v>302</v>
      </c>
      <c r="B9" s="2">
        <v>1</v>
      </c>
      <c r="C9" s="114" t="s">
        <v>290</v>
      </c>
      <c r="D9" s="268" t="str">
        <f>VLOOKUP(C9,Purchased!A:B,2,0)</f>
        <v>SMC FITTING, UNIFIT</v>
      </c>
      <c r="E9" s="269"/>
      <c r="F9" s="112" t="str">
        <f>VLOOKUP(C9,Purchased!A:Q,9,0)</f>
        <v>SMC</v>
      </c>
      <c r="G9" s="112" t="str">
        <f>VLOOKUP(C9,Purchased!A:Q,10,0)</f>
        <v>AAP</v>
      </c>
      <c r="H9" s="112" t="str">
        <f>VLOOKUP(C9,Purchased!A:Q,12,0)</f>
        <v xml:space="preserve"> </v>
      </c>
      <c r="I9" s="113"/>
      <c r="J9" s="44" t="str">
        <f>VLOOKUP(C9,Purchased!A:Q,13,0)</f>
        <v>N/A</v>
      </c>
      <c r="K9" s="44">
        <f>VLOOKUP(C9,Purchased!A:Q,14,0)</f>
        <v>45162</v>
      </c>
      <c r="L9" s="44">
        <f>VLOOKUP(C9,Purchased!A:Q,15,0)</f>
        <v>45184</v>
      </c>
      <c r="M9" s="44">
        <f>VLOOKUP(C9,Purchased!A:Q,16,0)</f>
        <v>45180</v>
      </c>
      <c r="N9" s="45" t="str">
        <f>VLOOKUP(C9,Purchased!A:Q,17,0)</f>
        <v>20x55037, 10x55270</v>
      </c>
      <c r="O9" s="45" t="e">
        <f t="shared" ca="1" si="2"/>
        <v>#VALUE!</v>
      </c>
      <c r="P9" s="49">
        <f>IFERROR(VLOOKUP(C9,Purchased!A:E,3,FALSE),"")</f>
        <v>1.6323000000000001</v>
      </c>
      <c r="Q9" s="50">
        <f t="shared" si="3"/>
        <v>1.6323000000000001</v>
      </c>
    </row>
    <row r="10" spans="1:17" s="2" customFormat="1" ht="12" customHeight="1">
      <c r="A10" s="4">
        <f t="shared" si="4"/>
        <v>303</v>
      </c>
      <c r="B10" s="2">
        <v>2</v>
      </c>
      <c r="C10" s="114" t="s">
        <v>185</v>
      </c>
      <c r="D10" s="268" t="str">
        <f>VLOOKUP(C10,Purchased!A:B,2,0)</f>
        <v>SMC FITTING, MALE ELBOW</v>
      </c>
      <c r="E10" s="269"/>
      <c r="F10" s="112" t="str">
        <f>VLOOKUP(C10,Purchased!A:Q,9,0)</f>
        <v>SMC</v>
      </c>
      <c r="G10" s="112" t="str">
        <f>VLOOKUP(C10,Purchased!A:Q,10,0)</f>
        <v>AAP</v>
      </c>
      <c r="H10" s="112" t="str">
        <f>VLOOKUP(C10,Purchased!A:Q,12,0)</f>
        <v xml:space="preserve"> </v>
      </c>
      <c r="I10" s="113"/>
      <c r="J10" s="44" t="str">
        <f>VLOOKUP(C10,Purchased!A:Q,13,0)</f>
        <v>N/A</v>
      </c>
      <c r="K10" s="44">
        <f>VLOOKUP(C10,Purchased!A:Q,14,0)</f>
        <v>45162</v>
      </c>
      <c r="L10" s="44">
        <f>VLOOKUP(C10,Purchased!A:Q,15,0)</f>
        <v>45184</v>
      </c>
      <c r="M10" s="44">
        <f>VLOOKUP(C10,Purchased!A:Q,16,0)</f>
        <v>45180</v>
      </c>
      <c r="N10" s="45" t="str">
        <f>VLOOKUP(C10,Purchased!A:Q,17,0)</f>
        <v>10x55037, 20x55073, 10x55270</v>
      </c>
      <c r="O10" s="45" t="e">
        <f t="shared" ca="1" si="2"/>
        <v>#VALUE!</v>
      </c>
      <c r="P10" s="49">
        <f>IFERROR(VLOOKUP(C10,Purchased!A:E,3,FALSE),"")</f>
        <v>2.2932999999999999</v>
      </c>
      <c r="Q10" s="50">
        <f t="shared" si="3"/>
        <v>4.5865999999999998</v>
      </c>
    </row>
    <row r="11" spans="1:17" s="2" customFormat="1" ht="12" customHeight="1">
      <c r="A11" s="4">
        <f t="shared" si="4"/>
        <v>304</v>
      </c>
      <c r="B11" s="2">
        <v>2</v>
      </c>
      <c r="C11" s="114" t="s">
        <v>641</v>
      </c>
      <c r="D11" s="268" t="str">
        <f>VLOOKUP(C11,Purchased!A:B,2,0)</f>
        <v>SMC FITTING ,DIFF DIA UNION TEE</v>
      </c>
      <c r="E11" s="269"/>
      <c r="F11" s="112" t="str">
        <f>VLOOKUP(C11,Purchased!A:Q,9,0)</f>
        <v>SMC</v>
      </c>
      <c r="G11" s="112" t="str">
        <f>VLOOKUP(C11,Purchased!A:Q,10,0)</f>
        <v>AAP</v>
      </c>
      <c r="H11" s="112" t="str">
        <f>VLOOKUP(C11,Purchased!A:Q,12,0)</f>
        <v xml:space="preserve"> </v>
      </c>
      <c r="I11" s="113"/>
      <c r="J11" s="44" t="str">
        <f>VLOOKUP(C11,Purchased!A:Q,13,0)</f>
        <v>N/A</v>
      </c>
      <c r="K11" s="44">
        <f>VLOOKUP(C11,Purchased!A:Q,14,0)</f>
        <v>45162</v>
      </c>
      <c r="L11" s="44">
        <f>VLOOKUP(C11,Purchased!A:Q,15,0)</f>
        <v>45184</v>
      </c>
      <c r="M11" s="44">
        <f>VLOOKUP(C11,Purchased!A:Q,16,0)</f>
        <v>45180</v>
      </c>
      <c r="N11" s="45">
        <f>VLOOKUP(C11,Purchased!A:Q,17,0)</f>
        <v>55037</v>
      </c>
      <c r="O11" s="45" t="e">
        <f t="shared" ca="1" si="2"/>
        <v>#VALUE!</v>
      </c>
      <c r="P11" s="49">
        <f>IFERROR(VLOOKUP(C11,Purchased!A:E,3,FALSE),"")</f>
        <v>2.3932000000000002</v>
      </c>
      <c r="Q11" s="50">
        <f t="shared" si="3"/>
        <v>4.7864000000000004</v>
      </c>
    </row>
    <row r="12" spans="1:17" s="2" customFormat="1" ht="12" customHeight="1">
      <c r="A12" s="4">
        <f t="shared" si="4"/>
        <v>305</v>
      </c>
      <c r="B12" s="2">
        <v>4</v>
      </c>
      <c r="C12" s="114" t="s">
        <v>325</v>
      </c>
      <c r="D12" s="268" t="str">
        <f>VLOOKUP(C12,Purchased!A:B,2,0)</f>
        <v>BRX GOTO T-NUT 10 M4</v>
      </c>
      <c r="E12" s="269"/>
      <c r="F12" s="112" t="str">
        <f>VLOOKUP(C12,Purchased!A:Q,9,0)</f>
        <v>BRX</v>
      </c>
      <c r="G12" s="112" t="str">
        <f>VLOOKUP(C12,Purchased!A:Q,10,0)</f>
        <v>AAP</v>
      </c>
      <c r="H12" s="112" t="str">
        <f>VLOOKUP(C12,Purchased!A:Q,12,0)</f>
        <v>14 NuLine Stock</v>
      </c>
      <c r="I12" s="113"/>
      <c r="J12" s="44">
        <f>VLOOKUP(C12,Purchased!A:Q,13,0)</f>
        <v>45104</v>
      </c>
      <c r="K12" s="44">
        <f>VLOOKUP(C12,Purchased!A:Q,14,0)</f>
        <v>45105</v>
      </c>
      <c r="L12" s="44">
        <f>VLOOKUP(C12,Purchased!A:Q,15,0)</f>
        <v>45133</v>
      </c>
      <c r="M12" s="44">
        <f>VLOOKUP(C12,Purchased!A:Q,16,0)</f>
        <v>45133</v>
      </c>
      <c r="N12" s="45">
        <f>VLOOKUP(C12,Purchased!A:Q,17,0)</f>
        <v>54968</v>
      </c>
      <c r="O12" s="45" t="e">
        <f t="shared" ca="1" si="2"/>
        <v>#VALUE!</v>
      </c>
      <c r="P12" s="49">
        <f>IFERROR(VLOOKUP(C12,Purchased!A:E,3,FALSE),"")</f>
        <v>0.64290000000000003</v>
      </c>
      <c r="Q12" s="50">
        <f t="shared" si="3"/>
        <v>2.5716000000000001</v>
      </c>
    </row>
    <row r="13" spans="1:17" s="2" customFormat="1" ht="12" customHeight="1">
      <c r="A13" s="4">
        <f t="shared" si="4"/>
        <v>306</v>
      </c>
      <c r="B13" s="2">
        <v>2</v>
      </c>
      <c r="C13" s="114" t="s">
        <v>446</v>
      </c>
      <c r="D13" s="268" t="str">
        <f>VLOOKUP(C13,Purchased!A:B,2,0)</f>
        <v>SMC FITTING, MALE ELBOW</v>
      </c>
      <c r="E13" s="269"/>
      <c r="F13" s="112" t="str">
        <f>VLOOKUP(C13,Purchased!A:Q,9,0)</f>
        <v>SMC</v>
      </c>
      <c r="G13" s="112" t="str">
        <f>VLOOKUP(C13,Purchased!A:Q,10,0)</f>
        <v>AAP</v>
      </c>
      <c r="H13" s="112" t="str">
        <f>VLOOKUP(C13,Purchased!A:Q,12,0)</f>
        <v xml:space="preserve">  </v>
      </c>
      <c r="I13" s="113"/>
      <c r="J13" s="44" t="str">
        <f>VLOOKUP(C13,Purchased!A:Q,13,0)</f>
        <v>N/A</v>
      </c>
      <c r="K13" s="44">
        <f>VLOOKUP(C13,Purchased!A:Q,14,0)</f>
        <v>45162</v>
      </c>
      <c r="L13" s="44">
        <f>VLOOKUP(C13,Purchased!A:Q,15,0)</f>
        <v>45184</v>
      </c>
      <c r="M13" s="44">
        <f>VLOOKUP(C13,Purchased!A:Q,16,0)</f>
        <v>45180</v>
      </c>
      <c r="N13" s="45">
        <f>VLOOKUP(C13,Purchased!A:Q,17,0)</f>
        <v>55037</v>
      </c>
      <c r="O13" s="45" t="e">
        <f t="shared" ca="1" si="2"/>
        <v>#VALUE!</v>
      </c>
      <c r="P13" s="49">
        <f>IFERROR(VLOOKUP(C13,Purchased!A:E,3,FALSE),"")</f>
        <v>1.8674999999999999</v>
      </c>
      <c r="Q13" s="50">
        <f t="shared" si="3"/>
        <v>3.7349999999999999</v>
      </c>
    </row>
    <row r="14" spans="1:17" s="2" customFormat="1" ht="12" customHeight="1">
      <c r="A14" s="4">
        <f t="shared" si="4"/>
        <v>307</v>
      </c>
      <c r="B14" s="2">
        <v>2</v>
      </c>
      <c r="C14" s="114" t="s">
        <v>244</v>
      </c>
      <c r="D14" s="268" t="str">
        <f>VLOOKUP(C14,Purchased!A:B,2,0)</f>
        <v>BRX GOTO QUICK CONNECTOR N10 0°</v>
      </c>
      <c r="E14" s="269"/>
      <c r="F14" s="112" t="str">
        <f>VLOOKUP(C14,Purchased!A:Q,9,0)</f>
        <v>BRX</v>
      </c>
      <c r="G14" s="112" t="str">
        <f>VLOOKUP(C14,Purchased!A:Q,10,0)</f>
        <v>AAP</v>
      </c>
      <c r="H14" s="112" t="str">
        <f>VLOOKUP(C14,Purchased!A:Q,12,0)</f>
        <v>17 in stock</v>
      </c>
      <c r="I14" s="113"/>
      <c r="J14" s="44" t="str">
        <f>VLOOKUP(C14,Purchased!A:Q,13,0)</f>
        <v>N/A</v>
      </c>
      <c r="K14" s="44">
        <f>VLOOKUP(C14,Purchased!A:Q,14,0)</f>
        <v>45089</v>
      </c>
      <c r="L14" s="44">
        <f>VLOOKUP(C14,Purchased!A:Q,15,0)</f>
        <v>45124</v>
      </c>
      <c r="M14" s="44">
        <f>VLOOKUP(C14,Purchased!A:Q,16,0)</f>
        <v>45124</v>
      </c>
      <c r="N14" s="45" t="str">
        <f>VLOOKUP(C14,Purchased!A:Q,17,0)</f>
        <v>500x54927, 500x55060</v>
      </c>
      <c r="O14" s="45" t="e">
        <f t="shared" ca="1" si="2"/>
        <v>#VALUE!</v>
      </c>
      <c r="P14" s="49">
        <f>IFERROR(VLOOKUP(C14,Purchased!A:E,3,FALSE),"")</f>
        <v>5.2857000000000003</v>
      </c>
      <c r="Q14" s="50">
        <f t="shared" si="3"/>
        <v>10.571400000000001</v>
      </c>
    </row>
    <row r="15" spans="1:17" s="2" customFormat="1" ht="12" customHeight="1">
      <c r="A15" s="4">
        <f t="shared" si="4"/>
        <v>308</v>
      </c>
      <c r="B15" s="2">
        <v>1</v>
      </c>
      <c r="C15" s="114" t="s">
        <v>184</v>
      </c>
      <c r="D15" s="268" t="str">
        <f>VLOOKUP(C15,Purchased!A:B,2,0)</f>
        <v>M12 female 0° A-cod. 4-Pin with cable 5M</v>
      </c>
      <c r="E15" s="269"/>
      <c r="F15" s="112" t="str">
        <f>VLOOKUP(C15,Purchased!A:Q,9,0)</f>
        <v>MURR</v>
      </c>
      <c r="G15" s="112" t="str">
        <f>VLOOKUP(C15,Purchased!A:Q,10,0)</f>
        <v>MURR</v>
      </c>
      <c r="H15" s="112" t="str">
        <f>VLOOKUP(C15,Purchased!A:Q,12,0)</f>
        <v xml:space="preserve"> </v>
      </c>
      <c r="I15" s="113"/>
      <c r="J15" s="44">
        <f>VLOOKUP(C15,Purchased!A:Q,13,0)</f>
        <v>45216</v>
      </c>
      <c r="K15" s="44">
        <f>VLOOKUP(C15,Purchased!A:Q,14,0)</f>
        <v>45219</v>
      </c>
      <c r="L15" s="44">
        <f>VLOOKUP(C15,Purchased!A:Q,15,0)</f>
        <v>45226</v>
      </c>
      <c r="M15" s="44">
        <f>VLOOKUP(C15,Purchased!A:Q,16,0)</f>
        <v>45226</v>
      </c>
      <c r="N15" s="45">
        <f>VLOOKUP(C15,Purchased!A:Q,17,0)</f>
        <v>55194</v>
      </c>
      <c r="O15" s="45" t="e">
        <f t="shared" ref="O15" ca="1" si="5">B15*$L$2</f>
        <v>#VALUE!</v>
      </c>
      <c r="P15" s="49">
        <f>IFERROR(VLOOKUP(C15,Purchased!A:E,3,FALSE),"")</f>
        <v>26.52</v>
      </c>
      <c r="Q15" s="50">
        <f t="shared" ref="Q15" si="6">IFERROR(B15*P15,"")</f>
        <v>26.52</v>
      </c>
    </row>
    <row r="16" spans="1:17" s="2" customFormat="1" ht="12.75" customHeight="1">
      <c r="A16" s="25"/>
      <c r="B16" s="26"/>
      <c r="C16" s="26"/>
      <c r="D16" s="272"/>
      <c r="E16" s="273"/>
      <c r="F16" s="26"/>
      <c r="G16" s="26"/>
      <c r="H16" s="274"/>
      <c r="I16" s="275"/>
      <c r="J16" s="27"/>
      <c r="K16" s="27"/>
      <c r="L16" s="27"/>
      <c r="M16" s="28"/>
      <c r="N16" s="29"/>
      <c r="O16" s="29" t="e">
        <f t="shared" ca="1" si="2"/>
        <v>#VALUE!</v>
      </c>
      <c r="P16" s="141"/>
      <c r="Q16" s="142"/>
    </row>
    <row r="17" spans="1:17" s="2" customFormat="1" ht="12.75" customHeight="1">
      <c r="A17" s="4">
        <v>501</v>
      </c>
      <c r="B17" s="2">
        <v>3</v>
      </c>
      <c r="C17" s="110" t="s">
        <v>642</v>
      </c>
      <c r="D17" s="268"/>
      <c r="E17" s="276"/>
      <c r="F17" s="112" t="str">
        <f>VLOOKUP(C17,Bolts!A:L,5,0)</f>
        <v xml:space="preserve">  </v>
      </c>
      <c r="G17" s="112" t="str">
        <f>VLOOKUP(C17,Bolts!A:L,6,0)</f>
        <v>Monroe Fasteners</v>
      </c>
      <c r="H17" s="112" t="str">
        <f>VLOOKUP(C17,Bolts!A:L,7,0)</f>
        <v xml:space="preserve">  </v>
      </c>
      <c r="I17" s="112"/>
      <c r="J17" s="44" t="str">
        <f>VLOOKUP(C17,Bolts!A:L,8,0)</f>
        <v xml:space="preserve"> </v>
      </c>
      <c r="K17" s="44" t="str">
        <f>VLOOKUP(C17,Bolts!A:L,9,0)</f>
        <v xml:space="preserve"> </v>
      </c>
      <c r="L17" s="44" t="str">
        <f>VLOOKUP(C17,Bolts!A:L,10,0)</f>
        <v xml:space="preserve"> </v>
      </c>
      <c r="M17" s="44" t="str">
        <f>VLOOKUP(C17,Bolts!A:L,11,0)</f>
        <v xml:space="preserve"> </v>
      </c>
      <c r="N17" s="45" t="str">
        <f>VLOOKUP(C17,Bolts!A:L,12,0)</f>
        <v xml:space="preserve"> </v>
      </c>
      <c r="O17" s="45" t="e">
        <f t="shared" ca="1" si="2"/>
        <v>#VALUE!</v>
      </c>
      <c r="P17" s="49" t="str">
        <f>IFERROR(VLOOKUP(C17,Bolts!A:B,2,FALSE),"")</f>
        <v xml:space="preserve"> </v>
      </c>
      <c r="Q17" s="50" t="str">
        <f t="shared" ref="Q17:Q20" si="7">IFERROR(B17*P17,"")</f>
        <v/>
      </c>
    </row>
    <row r="18" spans="1:17" s="2" customFormat="1" ht="12.75" customHeight="1">
      <c r="A18" s="4">
        <f t="shared" ref="A18:A20" si="8">A17+1</f>
        <v>502</v>
      </c>
      <c r="B18" s="2">
        <v>2</v>
      </c>
      <c r="C18" s="110" t="s">
        <v>636</v>
      </c>
      <c r="D18" s="268"/>
      <c r="E18" s="276"/>
      <c r="F18" s="112" t="str">
        <f>VLOOKUP(C18,Bolts!A:L,5,0)</f>
        <v xml:space="preserve">  </v>
      </c>
      <c r="G18" s="112" t="str">
        <f>VLOOKUP(C18,Bolts!A:L,6,0)</f>
        <v>Monroe Fasteners</v>
      </c>
      <c r="H18" s="112" t="str">
        <f>VLOOKUP(C18,Bolts!A:L,7,0)</f>
        <v xml:space="preserve">  </v>
      </c>
      <c r="I18" s="112"/>
      <c r="J18" s="44" t="str">
        <f>VLOOKUP(C18,Bolts!A:L,8,0)</f>
        <v xml:space="preserve"> </v>
      </c>
      <c r="K18" s="44" t="str">
        <f>VLOOKUP(C18,Bolts!A:L,9,0)</f>
        <v xml:space="preserve"> </v>
      </c>
      <c r="L18" s="44" t="str">
        <f>VLOOKUP(C18,Bolts!A:L,10,0)</f>
        <v xml:space="preserve"> </v>
      </c>
      <c r="M18" s="44" t="str">
        <f>VLOOKUP(C18,Bolts!A:L,11,0)</f>
        <v xml:space="preserve"> </v>
      </c>
      <c r="N18" s="45" t="str">
        <f>VLOOKUP(C18,Bolts!A:L,12,0)</f>
        <v xml:space="preserve"> </v>
      </c>
      <c r="O18" s="45" t="e">
        <f t="shared" ca="1" si="2"/>
        <v>#VALUE!</v>
      </c>
      <c r="P18" s="49" t="str">
        <f>IFERROR(VLOOKUP(C18,Bolts!A:B,2,FALSE),"")</f>
        <v xml:space="preserve"> </v>
      </c>
      <c r="Q18" s="50" t="str">
        <f t="shared" si="7"/>
        <v/>
      </c>
    </row>
    <row r="19" spans="1:17" s="2" customFormat="1" ht="12" customHeight="1">
      <c r="A19" s="4">
        <f t="shared" si="8"/>
        <v>503</v>
      </c>
      <c r="B19" s="2">
        <v>2</v>
      </c>
      <c r="C19" s="110" t="s">
        <v>454</v>
      </c>
      <c r="D19" s="268"/>
      <c r="E19" s="276"/>
      <c r="F19" s="112" t="str">
        <f>VLOOKUP(C19,Bolts!A:L,5,0)</f>
        <v xml:space="preserve">  </v>
      </c>
      <c r="G19" s="112" t="str">
        <f>VLOOKUP(C19,Bolts!A:L,6,0)</f>
        <v>Monroe Fasteners</v>
      </c>
      <c r="H19" s="112" t="str">
        <f>VLOOKUP(C19,Bolts!A:L,7,0)</f>
        <v xml:space="preserve">  </v>
      </c>
      <c r="I19" s="112"/>
      <c r="J19" s="44" t="str">
        <f>VLOOKUP(C19,Bolts!A:L,8,0)</f>
        <v xml:space="preserve"> </v>
      </c>
      <c r="K19" s="44" t="str">
        <f>VLOOKUP(C19,Bolts!A:L,9,0)</f>
        <v xml:space="preserve"> </v>
      </c>
      <c r="L19" s="44" t="str">
        <f>VLOOKUP(C19,Bolts!A:L,10,0)</f>
        <v xml:space="preserve"> </v>
      </c>
      <c r="M19" s="44" t="str">
        <f>VLOOKUP(C19,Bolts!A:L,11,0)</f>
        <v xml:space="preserve"> </v>
      </c>
      <c r="N19" s="45" t="str">
        <f>VLOOKUP(C19,Bolts!A:L,12,0)</f>
        <v xml:space="preserve"> </v>
      </c>
      <c r="O19" s="45" t="e">
        <f t="shared" ca="1" si="2"/>
        <v>#VALUE!</v>
      </c>
      <c r="P19" s="49" t="str">
        <f>IFERROR(VLOOKUP(C19,Bolts!A:B,2,FALSE),"")</f>
        <v xml:space="preserve"> </v>
      </c>
      <c r="Q19" s="50" t="str">
        <f t="shared" si="7"/>
        <v/>
      </c>
    </row>
    <row r="20" spans="1:17" s="2" customFormat="1" ht="12" customHeight="1">
      <c r="A20" s="4">
        <f t="shared" si="8"/>
        <v>504</v>
      </c>
      <c r="B20" s="2">
        <v>4</v>
      </c>
      <c r="C20" s="110" t="s">
        <v>638</v>
      </c>
      <c r="D20" s="268"/>
      <c r="E20" s="276"/>
      <c r="F20" s="112" t="str">
        <f>VLOOKUP(C20,Bolts!A:L,5,0)</f>
        <v xml:space="preserve">  </v>
      </c>
      <c r="G20" s="112" t="str">
        <f>VLOOKUP(C20,Bolts!A:L,6,0)</f>
        <v>Monroe Fasteners</v>
      </c>
      <c r="H20" s="112" t="str">
        <f>VLOOKUP(C20,Bolts!A:L,7,0)</f>
        <v xml:space="preserve">  </v>
      </c>
      <c r="I20" s="112"/>
      <c r="J20" s="44" t="str">
        <f>VLOOKUP(C20,Bolts!A:L,8,0)</f>
        <v xml:space="preserve"> </v>
      </c>
      <c r="K20" s="44" t="str">
        <f>VLOOKUP(C20,Bolts!A:L,9,0)</f>
        <v xml:space="preserve"> </v>
      </c>
      <c r="L20" s="44" t="str">
        <f>VLOOKUP(C20,Bolts!A:L,10,0)</f>
        <v xml:space="preserve"> </v>
      </c>
      <c r="M20" s="44" t="str">
        <f>VLOOKUP(C20,Bolts!A:L,11,0)</f>
        <v xml:space="preserve"> </v>
      </c>
      <c r="N20" s="45" t="str">
        <f>VLOOKUP(C20,Bolts!A:L,12,0)</f>
        <v xml:space="preserve"> </v>
      </c>
      <c r="O20" s="45" t="e">
        <f t="shared" ca="1" si="2"/>
        <v>#VALUE!</v>
      </c>
      <c r="P20" s="49" t="str">
        <f>IFERROR(VLOOKUP(C20,Bolts!A:B,2,FALSE),"")</f>
        <v xml:space="preserve"> </v>
      </c>
      <c r="Q20" s="50" t="str">
        <f t="shared" si="7"/>
        <v/>
      </c>
    </row>
    <row r="21" spans="1:17" s="2" customFormat="1" ht="12.75" customHeight="1">
      <c r="A21" s="25"/>
      <c r="B21" s="26"/>
      <c r="C21" s="26"/>
      <c r="D21" s="272"/>
      <c r="E21" s="273"/>
      <c r="F21" s="26"/>
      <c r="G21" s="26"/>
      <c r="H21" s="274"/>
      <c r="I21" s="275"/>
      <c r="J21" s="27"/>
      <c r="K21" s="27"/>
      <c r="L21" s="27"/>
      <c r="M21" s="28"/>
      <c r="N21" s="29"/>
      <c r="O21" s="29"/>
      <c r="P21" s="141"/>
      <c r="Q21" s="142"/>
    </row>
    <row r="22" spans="1:17" s="2" customFormat="1" ht="12.75" customHeight="1" thickBot="1">
      <c r="A22" s="4">
        <v>701</v>
      </c>
      <c r="B22" s="2">
        <v>1</v>
      </c>
      <c r="C22" s="111" t="s">
        <v>643</v>
      </c>
      <c r="D22" s="268" t="str">
        <f>VLOOKUP(C22,Extrusion!B:C,2,0)</f>
        <v>Assy .218</v>
      </c>
      <c r="E22" s="269"/>
      <c r="F22" s="112" t="str">
        <f>VLOOKUP(C22,Extrusion!B:M,6,0)</f>
        <v>BOSCH</v>
      </c>
      <c r="G22" s="112" t="str">
        <f>VLOOKUP(C22,Extrusion!B:M,7,0)</f>
        <v>NULINE</v>
      </c>
      <c r="H22" s="112" t="str">
        <f>VLOOKUP(C22,Extrusion!B:M,8,0)</f>
        <v xml:space="preserve"> </v>
      </c>
      <c r="I22" s="113"/>
      <c r="J22" s="44" t="str">
        <f>VLOOKUP(C22,Extrusion!B:M,9,0)</f>
        <v>N/A</v>
      </c>
      <c r="K22" s="44">
        <f>VLOOKUP(C22,Extrusion!B:M,10,0)</f>
        <v>44894</v>
      </c>
      <c r="L22" s="44">
        <f>VLOOKUP(C22,Extrusion!B:M,11,0)</f>
        <v>44970</v>
      </c>
      <c r="M22" s="44">
        <f>VLOOKUP(C22,Extrusion!B:M,12,0)</f>
        <v>44970</v>
      </c>
      <c r="N22" s="45">
        <f>VLOOKUP(C22,Extrusion!B:N,13,0)</f>
        <v>54598</v>
      </c>
      <c r="O22" s="45" t="e">
        <f t="shared" ref="O22" ca="1" si="9">B22*$L$2</f>
        <v>#VALUE!</v>
      </c>
      <c r="P22" s="49">
        <f>IFERROR(VLOOKUP(C22,Extrusion!B:F,5,0),"")</f>
        <v>52.153923999999996</v>
      </c>
      <c r="Q22" s="50">
        <f t="shared" ref="Q22" si="10">IFERROR(B22*P22,"")</f>
        <v>52.153923999999996</v>
      </c>
    </row>
    <row r="23" spans="1:17" s="2" customFormat="1" ht="12.75" customHeight="1" thickBot="1">
      <c r="A23" s="34"/>
      <c r="B23" s="35"/>
      <c r="C23" s="35"/>
      <c r="D23" s="256"/>
      <c r="E23" s="257"/>
      <c r="F23" s="35"/>
      <c r="G23" s="35"/>
      <c r="H23" s="294"/>
      <c r="I23" s="295"/>
      <c r="J23" s="36"/>
      <c r="K23" s="36"/>
      <c r="L23" s="36"/>
      <c r="M23" s="37"/>
      <c r="N23" s="38"/>
      <c r="O23" s="38"/>
      <c r="P23" s="89" t="s">
        <v>43</v>
      </c>
      <c r="Q23" s="94">
        <f>SUM(Q5:Q22)</f>
        <v>455.15722399999999</v>
      </c>
    </row>
    <row r="24" spans="1:17" s="2" customFormat="1" ht="12" customHeight="1">
      <c r="D24" s="22"/>
      <c r="E24" s="22"/>
      <c r="J24" s="8"/>
      <c r="K24" s="8"/>
      <c r="L24" s="8"/>
      <c r="M24" s="8"/>
      <c r="N24" s="5"/>
      <c r="O24" s="5"/>
      <c r="P24" s="88"/>
      <c r="Q24" s="95"/>
    </row>
    <row r="25" spans="1:17" s="2" customFormat="1" ht="12" customHeight="1">
      <c r="D25" s="22"/>
      <c r="E25" s="22"/>
      <c r="J25" s="5"/>
      <c r="K25" s="5"/>
      <c r="L25" s="5"/>
      <c r="M25" s="5"/>
      <c r="N25" s="5"/>
      <c r="O25" s="5"/>
      <c r="P25" s="88"/>
      <c r="Q25" s="95"/>
    </row>
    <row r="26" spans="1:17" s="2" customFormat="1" ht="12" customHeight="1">
      <c r="D26" s="22"/>
      <c r="E26" s="22"/>
      <c r="J26" s="5"/>
      <c r="K26" s="5"/>
      <c r="L26" s="5"/>
      <c r="M26" s="5"/>
      <c r="N26" s="5"/>
      <c r="O26" s="5"/>
      <c r="P26" s="88"/>
      <c r="Q26" s="95"/>
    </row>
    <row r="27" spans="1:17" s="2" customFormat="1" ht="12" customHeight="1">
      <c r="D27" s="22"/>
      <c r="E27" s="22"/>
      <c r="J27" s="5"/>
      <c r="K27" s="5"/>
      <c r="L27" s="5"/>
      <c r="M27" s="5"/>
      <c r="N27" s="5"/>
      <c r="O27" s="5"/>
      <c r="P27" s="88"/>
      <c r="Q27" s="95"/>
    </row>
    <row r="28" spans="1:17" s="2" customFormat="1" ht="12" customHeight="1">
      <c r="D28" s="22"/>
      <c r="E28" s="22"/>
      <c r="J28" s="5"/>
      <c r="K28" s="5"/>
      <c r="L28" s="5"/>
      <c r="M28" s="5"/>
      <c r="N28" s="5"/>
      <c r="O28" s="5"/>
      <c r="P28" s="88"/>
      <c r="Q28" s="95"/>
    </row>
    <row r="29" spans="1:17" s="2" customFormat="1" ht="12" customHeight="1">
      <c r="D29" s="22"/>
      <c r="E29" s="22"/>
      <c r="J29" s="5"/>
      <c r="K29" s="5"/>
      <c r="L29" s="5"/>
      <c r="M29" s="5"/>
      <c r="N29" s="5"/>
      <c r="O29" s="5"/>
      <c r="P29" s="88"/>
      <c r="Q29" s="95"/>
    </row>
    <row r="30" spans="1:17" s="2" customFormat="1" ht="12" customHeight="1">
      <c r="D30" s="22"/>
      <c r="E30" s="22"/>
      <c r="J30" s="5"/>
      <c r="K30" s="5"/>
      <c r="L30" s="5"/>
      <c r="M30" s="5"/>
      <c r="N30" s="5"/>
      <c r="O30" s="5"/>
      <c r="P30" s="88"/>
      <c r="Q30" s="95"/>
    </row>
    <row r="31" spans="1:17" s="2" customFormat="1" ht="12" customHeight="1">
      <c r="D31" s="22"/>
      <c r="E31" s="22"/>
      <c r="J31" s="5"/>
      <c r="K31" s="5"/>
      <c r="L31" s="5"/>
      <c r="M31" s="5"/>
      <c r="N31" s="5"/>
      <c r="O31" s="5"/>
      <c r="P31" s="88"/>
      <c r="Q31" s="95"/>
    </row>
    <row r="32" spans="1:17" s="2" customFormat="1" ht="12" customHeight="1">
      <c r="D32" s="22"/>
      <c r="E32" s="22"/>
      <c r="J32" s="5"/>
      <c r="K32" s="5"/>
      <c r="L32" s="5"/>
      <c r="M32" s="5"/>
      <c r="N32" s="5"/>
      <c r="O32" s="5"/>
      <c r="P32" s="88"/>
      <c r="Q32" s="95"/>
    </row>
    <row r="33" spans="4:17" s="2" customFormat="1" ht="12" customHeight="1">
      <c r="D33" s="22"/>
      <c r="E33" s="22"/>
      <c r="J33" s="5"/>
      <c r="K33" s="5"/>
      <c r="L33" s="5"/>
      <c r="M33" s="5"/>
      <c r="N33" s="5"/>
      <c r="O33" s="5"/>
      <c r="P33" s="88"/>
      <c r="Q33" s="95"/>
    </row>
    <row r="34" spans="4:17" s="2" customFormat="1" ht="12" customHeight="1">
      <c r="D34" s="22"/>
      <c r="E34" s="22"/>
      <c r="J34" s="5"/>
      <c r="K34" s="5"/>
      <c r="L34" s="5"/>
      <c r="M34" s="5"/>
      <c r="N34" s="5"/>
      <c r="O34" s="5"/>
      <c r="P34" s="88"/>
      <c r="Q34" s="95"/>
    </row>
    <row r="35" spans="4:17" s="2" customFormat="1" ht="12" customHeight="1">
      <c r="D35" s="22"/>
      <c r="E35" s="22"/>
      <c r="J35" s="5"/>
      <c r="K35" s="5"/>
      <c r="L35" s="5"/>
      <c r="M35" s="5"/>
      <c r="N35" s="5"/>
      <c r="O35" s="5"/>
      <c r="P35" s="88"/>
      <c r="Q35" s="95"/>
    </row>
    <row r="36" spans="4:17" s="2" customFormat="1" ht="12" customHeight="1">
      <c r="D36" s="22"/>
      <c r="E36" s="22"/>
      <c r="J36" s="5"/>
      <c r="K36" s="5"/>
      <c r="L36" s="5"/>
      <c r="M36" s="5"/>
      <c r="N36" s="5"/>
      <c r="O36" s="5"/>
      <c r="P36" s="88"/>
      <c r="Q36" s="95"/>
    </row>
    <row r="37" spans="4:17" s="2" customFormat="1" ht="12" customHeight="1">
      <c r="D37" s="22"/>
      <c r="E37" s="22"/>
      <c r="J37" s="5"/>
      <c r="K37" s="5"/>
      <c r="L37" s="5"/>
      <c r="M37" s="5"/>
      <c r="N37" s="5"/>
      <c r="O37" s="5"/>
      <c r="P37" s="88"/>
      <c r="Q37" s="95"/>
    </row>
    <row r="38" spans="4:17" s="2" customFormat="1" ht="12" customHeight="1">
      <c r="D38" s="22"/>
      <c r="E38" s="22"/>
      <c r="J38" s="5"/>
      <c r="K38" s="5"/>
      <c r="L38" s="5"/>
      <c r="M38" s="5"/>
      <c r="N38" s="5"/>
      <c r="O38" s="5"/>
      <c r="P38" s="88"/>
      <c r="Q38" s="95"/>
    </row>
    <row r="39" spans="4:17" s="2" customFormat="1" ht="12" customHeight="1">
      <c r="D39" s="22"/>
      <c r="E39" s="22"/>
      <c r="J39" s="5"/>
      <c r="K39" s="5"/>
      <c r="L39" s="5"/>
      <c r="M39" s="5"/>
      <c r="N39" s="5"/>
      <c r="O39" s="5"/>
      <c r="P39" s="88"/>
      <c r="Q39" s="95"/>
    </row>
    <row r="40" spans="4:17" s="2" customFormat="1" ht="12" customHeight="1">
      <c r="D40" s="22"/>
      <c r="E40" s="22"/>
      <c r="J40" s="5"/>
      <c r="K40" s="5"/>
      <c r="L40" s="5"/>
      <c r="M40" s="5"/>
      <c r="N40" s="5"/>
      <c r="O40" s="5"/>
      <c r="P40" s="88"/>
      <c r="Q40" s="95"/>
    </row>
    <row r="41" spans="4:17" s="2" customFormat="1" ht="12" customHeight="1">
      <c r="D41" s="22"/>
      <c r="E41" s="22"/>
      <c r="J41" s="5"/>
      <c r="K41" s="5"/>
      <c r="L41" s="5"/>
      <c r="M41" s="5"/>
      <c r="N41" s="5"/>
      <c r="O41" s="5"/>
      <c r="P41" s="88"/>
      <c r="Q41" s="95"/>
    </row>
    <row r="42" spans="4:17" s="2" customFormat="1" ht="12" customHeight="1">
      <c r="D42" s="22"/>
      <c r="E42" s="22"/>
      <c r="J42" s="5"/>
      <c r="K42" s="5"/>
      <c r="L42" s="5"/>
      <c r="M42" s="5"/>
      <c r="N42" s="5"/>
      <c r="O42" s="5"/>
      <c r="P42" s="88"/>
      <c r="Q42" s="95"/>
    </row>
    <row r="43" spans="4:17" s="2" customFormat="1" ht="12" customHeight="1">
      <c r="D43" s="22"/>
      <c r="E43" s="22"/>
      <c r="J43" s="5"/>
      <c r="K43" s="5"/>
      <c r="L43" s="5"/>
      <c r="M43" s="5"/>
      <c r="N43" s="5"/>
      <c r="O43" s="5"/>
      <c r="P43" s="88"/>
      <c r="Q43" s="95"/>
    </row>
    <row r="44" spans="4:17" s="2" customFormat="1" ht="12" customHeight="1">
      <c r="D44" s="22"/>
      <c r="E44" s="22"/>
      <c r="J44" s="5"/>
      <c r="K44" s="5"/>
      <c r="L44" s="5"/>
      <c r="M44" s="5"/>
      <c r="N44" s="5"/>
      <c r="O44" s="5"/>
      <c r="P44" s="88"/>
      <c r="Q44" s="95"/>
    </row>
    <row r="45" spans="4:17" s="2" customFormat="1" ht="12" customHeight="1">
      <c r="D45" s="22"/>
      <c r="E45" s="22"/>
      <c r="J45" s="5"/>
      <c r="K45" s="5"/>
      <c r="L45" s="5"/>
      <c r="M45" s="5"/>
      <c r="N45" s="5"/>
      <c r="O45" s="5"/>
      <c r="P45" s="88"/>
      <c r="Q45" s="95"/>
    </row>
    <row r="46" spans="4:17" s="2" customFormat="1" ht="12" customHeight="1">
      <c r="D46" s="22"/>
      <c r="E46" s="22"/>
      <c r="J46" s="5"/>
      <c r="K46" s="5"/>
      <c r="L46" s="5"/>
      <c r="M46" s="5"/>
      <c r="N46" s="5"/>
      <c r="O46" s="5"/>
      <c r="P46" s="88"/>
      <c r="Q46" s="95"/>
    </row>
    <row r="47" spans="4:17" s="2" customFormat="1" ht="12" customHeight="1">
      <c r="D47" s="22"/>
      <c r="E47" s="22"/>
      <c r="J47" s="5"/>
      <c r="K47" s="5"/>
      <c r="L47" s="5"/>
      <c r="M47" s="5"/>
      <c r="N47" s="5"/>
      <c r="O47" s="5"/>
      <c r="P47" s="88"/>
      <c r="Q47" s="95"/>
    </row>
    <row r="48" spans="4:17" s="2" customFormat="1" ht="12" customHeight="1">
      <c r="D48" s="22"/>
      <c r="E48" s="22"/>
      <c r="J48" s="5"/>
      <c r="K48" s="5"/>
      <c r="L48" s="5"/>
      <c r="M48" s="5"/>
      <c r="N48" s="5"/>
      <c r="O48" s="5"/>
      <c r="P48" s="88"/>
      <c r="Q48" s="95"/>
    </row>
    <row r="49" spans="4:17" s="2" customFormat="1" ht="12" customHeight="1">
      <c r="D49" s="22"/>
      <c r="E49" s="22"/>
      <c r="J49" s="5"/>
      <c r="K49" s="5"/>
      <c r="L49" s="5"/>
      <c r="M49" s="5"/>
      <c r="N49" s="5"/>
      <c r="O49" s="5"/>
      <c r="P49" s="88"/>
      <c r="Q49" s="95"/>
    </row>
    <row r="50" spans="4:17" s="2" customFormat="1" ht="12" customHeight="1">
      <c r="D50" s="22"/>
      <c r="E50" s="22"/>
      <c r="J50" s="5"/>
      <c r="K50" s="5"/>
      <c r="L50" s="5"/>
      <c r="M50" s="5"/>
      <c r="N50" s="5"/>
      <c r="O50" s="5"/>
      <c r="P50" s="88"/>
      <c r="Q50" s="95"/>
    </row>
    <row r="51" spans="4:17" s="2" customFormat="1" ht="12" customHeight="1">
      <c r="D51" s="22"/>
      <c r="E51" s="22"/>
      <c r="J51" s="5"/>
      <c r="K51" s="5"/>
      <c r="L51" s="5"/>
      <c r="M51" s="5"/>
      <c r="N51" s="5"/>
      <c r="O51" s="5"/>
      <c r="P51" s="88"/>
      <c r="Q51" s="95"/>
    </row>
    <row r="52" spans="4:17" s="2" customFormat="1" ht="12" customHeight="1">
      <c r="D52" s="22"/>
      <c r="E52" s="22"/>
      <c r="J52" s="5"/>
      <c r="K52" s="5"/>
      <c r="L52" s="5"/>
      <c r="M52" s="5"/>
      <c r="N52" s="5"/>
      <c r="O52" s="5"/>
      <c r="P52" s="88"/>
      <c r="Q52" s="95"/>
    </row>
    <row r="53" spans="4:17" s="2" customFormat="1" ht="12" customHeight="1">
      <c r="D53" s="22"/>
      <c r="E53" s="22"/>
      <c r="J53" s="5"/>
      <c r="K53" s="5"/>
      <c r="L53" s="5"/>
      <c r="M53" s="5"/>
      <c r="N53" s="5"/>
      <c r="O53" s="5"/>
      <c r="P53" s="88"/>
      <c r="Q53" s="95"/>
    </row>
    <row r="54" spans="4:17" s="2" customFormat="1" ht="12" customHeight="1">
      <c r="D54" s="22"/>
      <c r="E54" s="22"/>
      <c r="J54" s="5"/>
      <c r="K54" s="5"/>
      <c r="L54" s="5"/>
      <c r="M54" s="5"/>
      <c r="N54" s="5"/>
      <c r="O54" s="5"/>
      <c r="P54" s="88"/>
      <c r="Q54" s="95"/>
    </row>
    <row r="55" spans="4:17" s="2" customFormat="1" ht="12" customHeight="1">
      <c r="D55" s="22"/>
      <c r="E55" s="22"/>
      <c r="J55" s="5"/>
      <c r="K55" s="5"/>
      <c r="L55" s="5"/>
      <c r="M55" s="5"/>
      <c r="N55" s="5"/>
      <c r="O55" s="5"/>
      <c r="P55" s="88"/>
      <c r="Q55" s="95"/>
    </row>
    <row r="56" spans="4:17" s="2" customFormat="1" ht="12" customHeight="1">
      <c r="D56" s="22"/>
      <c r="E56" s="22"/>
      <c r="J56" s="5"/>
      <c r="K56" s="5"/>
      <c r="L56" s="5"/>
      <c r="M56" s="5"/>
      <c r="N56" s="5"/>
      <c r="O56" s="5"/>
      <c r="P56" s="88"/>
      <c r="Q56" s="95"/>
    </row>
    <row r="57" spans="4:17" s="2" customFormat="1" ht="12" customHeight="1">
      <c r="D57" s="22"/>
      <c r="E57" s="22"/>
      <c r="J57" s="5"/>
      <c r="K57" s="5"/>
      <c r="L57" s="5"/>
      <c r="M57" s="5"/>
      <c r="N57" s="5"/>
      <c r="O57" s="5"/>
      <c r="P57" s="88"/>
      <c r="Q57" s="95"/>
    </row>
    <row r="58" spans="4:17" s="2" customFormat="1" ht="12" customHeight="1">
      <c r="D58" s="22"/>
      <c r="E58" s="22"/>
      <c r="J58" s="5"/>
      <c r="K58" s="5"/>
      <c r="L58" s="5"/>
      <c r="M58" s="5"/>
      <c r="N58" s="5"/>
      <c r="O58" s="5"/>
      <c r="P58" s="88"/>
      <c r="Q58" s="95"/>
    </row>
    <row r="59" spans="4:17" s="2" customFormat="1" ht="12" customHeight="1">
      <c r="D59" s="22"/>
      <c r="E59" s="22"/>
      <c r="J59" s="5"/>
      <c r="K59" s="5"/>
      <c r="L59" s="5"/>
      <c r="M59" s="5"/>
      <c r="N59" s="5"/>
      <c r="O59" s="5"/>
      <c r="P59" s="88"/>
      <c r="Q59" s="95"/>
    </row>
    <row r="60" spans="4:17" s="2" customFormat="1" ht="12" customHeight="1">
      <c r="D60" s="22"/>
      <c r="E60" s="22"/>
      <c r="J60" s="5"/>
      <c r="K60" s="5"/>
      <c r="L60" s="5"/>
      <c r="M60" s="5"/>
      <c r="N60" s="5"/>
      <c r="O60" s="5"/>
      <c r="P60" s="88"/>
      <c r="Q60" s="95"/>
    </row>
    <row r="61" spans="4:17" s="2" customFormat="1" ht="12" customHeight="1">
      <c r="D61" s="22"/>
      <c r="E61" s="22"/>
      <c r="J61" s="5"/>
      <c r="K61" s="5"/>
      <c r="L61" s="5"/>
      <c r="M61" s="5"/>
      <c r="N61" s="5"/>
      <c r="O61" s="5"/>
      <c r="P61" s="88"/>
      <c r="Q61" s="95"/>
    </row>
    <row r="62" spans="4:17" s="2" customFormat="1" ht="12" customHeight="1">
      <c r="D62" s="22"/>
      <c r="E62" s="22"/>
      <c r="J62" s="5"/>
      <c r="K62" s="5"/>
      <c r="L62" s="5"/>
      <c r="M62" s="5"/>
      <c r="N62" s="5"/>
      <c r="O62" s="5"/>
      <c r="P62" s="88"/>
      <c r="Q62" s="96"/>
    </row>
    <row r="63" spans="4:17" s="2" customFormat="1" ht="12" customHeight="1">
      <c r="D63" s="22"/>
      <c r="E63" s="22"/>
      <c r="J63" s="5"/>
      <c r="K63" s="5"/>
      <c r="L63" s="5"/>
      <c r="M63" s="5"/>
      <c r="N63" s="5"/>
      <c r="O63" s="5"/>
      <c r="P63" s="88"/>
      <c r="Q63" s="96"/>
    </row>
    <row r="64" spans="4:17" s="2" customFormat="1" ht="12" customHeight="1">
      <c r="D64" s="22"/>
      <c r="E64" s="22"/>
      <c r="J64" s="5"/>
      <c r="K64" s="5"/>
      <c r="L64" s="5"/>
      <c r="M64" s="5"/>
      <c r="N64" s="5"/>
      <c r="O64" s="5"/>
      <c r="P64" s="88"/>
      <c r="Q64" s="96"/>
    </row>
    <row r="65" spans="1:17" s="2" customFormat="1" ht="12" customHeight="1">
      <c r="D65" s="22"/>
      <c r="E65" s="22"/>
      <c r="J65" s="5"/>
      <c r="K65" s="5"/>
      <c r="L65" s="5"/>
      <c r="M65" s="5"/>
      <c r="N65" s="5"/>
      <c r="O65" s="5"/>
      <c r="P65" s="88"/>
      <c r="Q65" s="96"/>
    </row>
    <row r="66" spans="1:17" s="2" customFormat="1" ht="12" customHeight="1">
      <c r="A66"/>
      <c r="B66"/>
      <c r="C66"/>
      <c r="D66" s="23"/>
      <c r="E66" s="23"/>
      <c r="F66"/>
      <c r="G66"/>
      <c r="H66"/>
      <c r="I66"/>
      <c r="J66" s="19"/>
      <c r="K66" s="19"/>
      <c r="L66" s="19"/>
      <c r="M66" s="19"/>
      <c r="N66" s="19"/>
      <c r="O66" s="19"/>
      <c r="P66" s="90"/>
      <c r="Q66" s="96"/>
    </row>
    <row r="67" spans="1:17" s="2" customFormat="1" ht="12" customHeight="1">
      <c r="A67"/>
      <c r="B67"/>
      <c r="C67"/>
      <c r="D67" s="23"/>
      <c r="E67" s="23"/>
      <c r="F67"/>
      <c r="G67"/>
      <c r="H67"/>
      <c r="I67"/>
      <c r="J67" s="19"/>
      <c r="K67" s="19"/>
      <c r="L67" s="19"/>
      <c r="M67" s="19"/>
      <c r="N67" s="19"/>
      <c r="O67" s="19"/>
      <c r="P67" s="90"/>
      <c r="Q67" s="96"/>
    </row>
    <row r="68" spans="1:17" s="2" customFormat="1" ht="12" customHeight="1">
      <c r="A68"/>
      <c r="B68"/>
      <c r="C68"/>
      <c r="D68" s="23"/>
      <c r="E68" s="23"/>
      <c r="F68"/>
      <c r="G68"/>
      <c r="H68"/>
      <c r="I68"/>
      <c r="J68" s="19"/>
      <c r="K68" s="19"/>
      <c r="L68" s="19"/>
      <c r="M68" s="19"/>
      <c r="N68" s="19"/>
      <c r="O68" s="19"/>
      <c r="P68" s="90"/>
      <c r="Q68" s="96"/>
    </row>
    <row r="69" spans="1:17" s="2" customFormat="1" ht="12" customHeight="1">
      <c r="A69"/>
      <c r="B69"/>
      <c r="C69"/>
      <c r="D69" s="23"/>
      <c r="E69" s="23"/>
      <c r="F69"/>
      <c r="G69"/>
      <c r="H69"/>
      <c r="I69"/>
      <c r="J69" s="19"/>
      <c r="K69" s="19"/>
      <c r="L69" s="19"/>
      <c r="M69" s="19"/>
      <c r="N69" s="19"/>
      <c r="O69" s="19"/>
      <c r="P69" s="90"/>
      <c r="Q69" s="96"/>
    </row>
    <row r="70" spans="1:17" s="2" customFormat="1" ht="12" customHeight="1">
      <c r="A70"/>
      <c r="B70"/>
      <c r="C70"/>
      <c r="D70" s="23"/>
      <c r="E70" s="23"/>
      <c r="F70"/>
      <c r="G70"/>
      <c r="H70"/>
      <c r="I70"/>
      <c r="J70" s="19"/>
      <c r="K70" s="19"/>
      <c r="L70" s="19"/>
      <c r="M70" s="19"/>
      <c r="N70" s="19"/>
      <c r="O70" s="19"/>
      <c r="P70" s="90"/>
      <c r="Q70" s="96"/>
    </row>
    <row r="71" spans="1:17">
      <c r="Q71" s="96"/>
    </row>
    <row r="72" spans="1:17">
      <c r="Q72" s="96"/>
    </row>
    <row r="73" spans="1:17">
      <c r="Q73" s="96"/>
    </row>
    <row r="74" spans="1:17">
      <c r="Q74" s="96"/>
    </row>
    <row r="75" spans="1:17">
      <c r="Q75" s="96"/>
    </row>
    <row r="76" spans="1:17">
      <c r="Q76" s="96"/>
    </row>
    <row r="77" spans="1:17">
      <c r="Q77" s="96"/>
    </row>
    <row r="78" spans="1:17">
      <c r="Q78" s="96"/>
    </row>
    <row r="79" spans="1:17">
      <c r="Q79" s="96"/>
    </row>
    <row r="80" spans="1:17">
      <c r="Q80" s="96"/>
    </row>
    <row r="81" spans="17:17">
      <c r="Q81" s="96"/>
    </row>
    <row r="82" spans="17:17">
      <c r="Q82" s="96"/>
    </row>
    <row r="83" spans="17:17">
      <c r="Q83" s="96"/>
    </row>
    <row r="84" spans="17:17">
      <c r="Q84" s="96"/>
    </row>
    <row r="85" spans="17:17">
      <c r="Q85" s="96"/>
    </row>
    <row r="86" spans="17:17">
      <c r="Q86" s="96"/>
    </row>
    <row r="87" spans="17:17">
      <c r="Q87" s="96"/>
    </row>
    <row r="88" spans="17:17">
      <c r="Q88" s="96"/>
    </row>
    <row r="89" spans="17:17">
      <c r="Q89" s="96"/>
    </row>
    <row r="90" spans="17:17">
      <c r="Q90" s="96"/>
    </row>
    <row r="127" ht="12" customHeight="1"/>
    <row r="128" ht="12" customHeight="1"/>
    <row r="129" ht="12" customHeight="1"/>
    <row r="130" ht="12" customHeight="1"/>
    <row r="131" ht="12" customHeight="1"/>
    <row r="132" ht="12" customHeight="1"/>
    <row r="133" ht="12" customHeight="1"/>
    <row r="134" ht="12" customHeight="1"/>
    <row r="135" ht="12" customHeight="1"/>
    <row r="136" ht="12" customHeight="1"/>
    <row r="137" ht="12" customHeight="1"/>
    <row r="138" ht="12" customHeight="1"/>
    <row r="139" ht="12" customHeight="1"/>
    <row r="140" ht="12" customHeight="1"/>
    <row r="141" ht="12" customHeight="1"/>
    <row r="142" ht="12" customHeight="1"/>
    <row r="143" ht="12" customHeight="1"/>
    <row r="144" ht="12" customHeight="1"/>
    <row r="145" ht="12" customHeight="1"/>
    <row r="146" ht="12" customHeight="1"/>
    <row r="147" ht="12" customHeight="1"/>
    <row r="148" ht="12" customHeight="1"/>
    <row r="149" ht="12" customHeight="1"/>
    <row r="150" ht="12" customHeight="1"/>
    <row r="151" ht="12" customHeight="1"/>
    <row r="152" ht="12" customHeight="1"/>
    <row r="153" ht="12" customHeight="1"/>
    <row r="154" ht="12" customHeight="1"/>
    <row r="155" ht="12" customHeight="1"/>
    <row r="156" ht="12" customHeight="1"/>
    <row r="157" ht="12" customHeight="1"/>
    <row r="158" ht="12" customHeight="1"/>
    <row r="159" ht="12" customHeight="1"/>
    <row r="160" ht="12" customHeight="1"/>
    <row r="161" ht="12" customHeight="1"/>
    <row r="162" ht="12" customHeight="1"/>
    <row r="163" ht="12" customHeight="1"/>
    <row r="164" ht="12" customHeight="1"/>
    <row r="165" ht="12" customHeight="1"/>
    <row r="166" ht="12" customHeight="1"/>
    <row r="167" ht="12" customHeight="1"/>
    <row r="168" ht="12" customHeight="1"/>
    <row r="169" ht="12" customHeight="1"/>
    <row r="170" ht="12" customHeight="1"/>
    <row r="171" ht="12" customHeight="1"/>
    <row r="172" ht="12" customHeight="1"/>
    <row r="173" ht="12" customHeight="1"/>
    <row r="174" ht="12" customHeight="1"/>
    <row r="175" ht="12" customHeight="1"/>
    <row r="176" ht="12" customHeight="1"/>
  </sheetData>
  <mergeCells count="26">
    <mergeCell ref="D23:E23"/>
    <mergeCell ref="H23:I23"/>
    <mergeCell ref="D21:E21"/>
    <mergeCell ref="H21:I21"/>
    <mergeCell ref="D22:E22"/>
    <mergeCell ref="D17:E17"/>
    <mergeCell ref="D18:E18"/>
    <mergeCell ref="D19:E19"/>
    <mergeCell ref="D20:E20"/>
    <mergeCell ref="D16:E16"/>
    <mergeCell ref="D8:E8"/>
    <mergeCell ref="D9:E9"/>
    <mergeCell ref="D5:E5"/>
    <mergeCell ref="D6:E6"/>
    <mergeCell ref="H16:I16"/>
    <mergeCell ref="D10:E10"/>
    <mergeCell ref="D11:E11"/>
    <mergeCell ref="D12:E12"/>
    <mergeCell ref="D13:E13"/>
    <mergeCell ref="D14:E14"/>
    <mergeCell ref="D15:E15"/>
    <mergeCell ref="D1:E1"/>
    <mergeCell ref="D4:E4"/>
    <mergeCell ref="H4:I4"/>
    <mergeCell ref="D7:E7"/>
    <mergeCell ref="H7:I7"/>
  </mergeCells>
  <conditionalFormatting sqref="M5:M6">
    <cfRule type="cellIs" dxfId="472" priority="3" stopIfTrue="1" operator="lessThanOrEqual">
      <formula>$L5</formula>
    </cfRule>
    <cfRule type="cellIs" dxfId="471" priority="4" operator="greaterThan">
      <formula>L5</formula>
    </cfRule>
  </conditionalFormatting>
  <conditionalFormatting sqref="M17:M20 M8:M15">
    <cfRule type="cellIs" dxfId="470" priority="5" stopIfTrue="1" operator="lessThanOrEqual">
      <formula>$L8</formula>
    </cfRule>
    <cfRule type="cellIs" dxfId="469" priority="6" operator="greaterThan">
      <formula>L8</formula>
    </cfRule>
  </conditionalFormatting>
  <conditionalFormatting sqref="M22">
    <cfRule type="cellIs" dxfId="468" priority="1" stopIfTrue="1" operator="lessThanOrEqual">
      <formula>$L22</formula>
    </cfRule>
    <cfRule type="cellIs" dxfId="467" priority="2" operator="greaterThan">
      <formula>L22</formula>
    </cfRule>
  </conditionalFormatting>
  <pageMargins left="0.7" right="0.7" top="0.75" bottom="0.75" header="0.3" footer="0.3"/>
  <pageSetup paperSize="3" fitToHeight="0" orientation="landscape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BC23E02F-40CC-4CBB-8168-5AAF02028ED0}">
          <x14:formula1>
            <xm:f>Bolts!$A:$A</xm:f>
          </x14:formula1>
          <xm:sqref>C17:C20</xm:sqref>
        </x14:dataValidation>
        <x14:dataValidation type="list" allowBlank="1" showInputMessage="1" showErrorMessage="1" xr:uid="{E95E35C6-DE18-4B0D-8587-73A6B7F40CF7}">
          <x14:formula1>
            <xm:f>Purchased!$A:$A</xm:f>
          </x14:formula1>
          <xm:sqref>C8:C15</xm:sqref>
        </x14:dataValidation>
        <x14:dataValidation type="list" allowBlank="1" showInputMessage="1" showErrorMessage="1" xr:uid="{5E28F586-002C-49F0-BF66-995F59D27699}">
          <x14:formula1>
            <xm:f>Extrusion!$B:$B</xm:f>
          </x14:formula1>
          <xm:sqref>C22</xm:sqref>
        </x14:dataValidation>
        <x14:dataValidation type="list" allowBlank="1" showInputMessage="1" showErrorMessage="1" xr:uid="{538573D9-3388-4538-9B2B-7CD4EE63C2AB}">
          <x14:formula1>
            <xm:f>Machined!$C:$C</xm:f>
          </x14:formula1>
          <xm:sqref>C5:C6</xm:sqref>
        </x14:dataValidation>
      </x14:dataValidation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D75290-E35C-4DD9-B4A4-496DED8AB4AA}">
  <sheetPr codeName="Sheet159">
    <tabColor theme="3" tint="0.79998168889431442"/>
    <pageSetUpPr fitToPage="1"/>
  </sheetPr>
  <dimension ref="A1:Q168"/>
  <sheetViews>
    <sheetView zoomScaleNormal="100" workbookViewId="0">
      <selection activeCell="C17" sqref="C17"/>
    </sheetView>
  </sheetViews>
  <sheetFormatPr defaultColWidth="9.140625" defaultRowHeight="15"/>
  <cols>
    <col min="1" max="1" width="5.7109375" customWidth="1"/>
    <col min="2" max="2" width="5.42578125" bestFit="1" customWidth="1"/>
    <col min="3" max="3" width="30.7109375" customWidth="1"/>
    <col min="4" max="5" width="20.7109375" style="23" customWidth="1"/>
    <col min="6" max="6" width="16.85546875" bestFit="1" customWidth="1"/>
    <col min="7" max="7" width="9.7109375" customWidth="1"/>
    <col min="8" max="8" width="8.7109375" customWidth="1"/>
    <col min="9" max="9" width="20.7109375" customWidth="1"/>
    <col min="10" max="13" width="11.7109375" style="19" customWidth="1"/>
    <col min="14" max="14" width="11.85546875" style="19" bestFit="1" customWidth="1"/>
    <col min="15" max="15" width="7.7109375" style="19" customWidth="1"/>
    <col min="16" max="16" width="10.7109375" style="90" customWidth="1"/>
    <col min="17" max="17" width="10.7109375" style="97" customWidth="1"/>
  </cols>
  <sheetData>
    <row r="1" spans="1:17" s="55" customFormat="1" ht="12" customHeight="1">
      <c r="A1" s="68" t="s">
        <v>0</v>
      </c>
      <c r="B1" s="69"/>
      <c r="C1" s="69"/>
      <c r="D1" s="262" t="s">
        <v>1</v>
      </c>
      <c r="E1" s="263"/>
      <c r="F1" s="70"/>
      <c r="G1" s="69"/>
      <c r="H1" s="70"/>
      <c r="I1" s="71"/>
      <c r="J1" s="72"/>
      <c r="K1" s="72"/>
      <c r="L1" s="72"/>
      <c r="M1" s="72"/>
      <c r="N1" s="72"/>
      <c r="O1" s="72"/>
      <c r="P1" s="85"/>
      <c r="Q1" s="91"/>
    </row>
    <row r="2" spans="1:17" s="55" customFormat="1" ht="12" customHeight="1">
      <c r="A2" s="74" t="s">
        <v>48</v>
      </c>
      <c r="B2" s="58"/>
      <c r="C2" s="57" t="e">
        <f ca="1">VLOOKUP(E3,Assemblies!B:F,4,0)</f>
        <v>#VALUE!</v>
      </c>
      <c r="D2" s="75" t="s">
        <v>3</v>
      </c>
      <c r="E2" s="76" t="e">
        <f ca="1">'GF12'!E2</f>
        <v>#VALUE!</v>
      </c>
      <c r="F2" s="77" t="s">
        <v>4</v>
      </c>
      <c r="G2" s="58" t="str">
        <f>'GF12'!G2</f>
        <v>GH</v>
      </c>
      <c r="H2" s="77" t="s">
        <v>6</v>
      </c>
      <c r="I2" s="59">
        <f>'GF12'!I2</f>
        <v>44775</v>
      </c>
      <c r="J2" s="39"/>
      <c r="K2" s="40" t="s">
        <v>49</v>
      </c>
      <c r="L2" s="41" t="e">
        <f ca="1">VLOOKUP(C2,Assemblies!E:G,3,0)</f>
        <v>#VALUE!</v>
      </c>
      <c r="M2" s="78"/>
      <c r="N2" s="78"/>
      <c r="O2" s="78"/>
      <c r="P2" s="86"/>
      <c r="Q2" s="92"/>
    </row>
    <row r="3" spans="1:17" s="55" customFormat="1" ht="12" customHeight="1" thickBot="1">
      <c r="A3" s="74" t="s">
        <v>7</v>
      </c>
      <c r="B3" s="58"/>
      <c r="C3" s="57" t="e">
        <f ca="1">VLOOKUP(E3,Assemblies!B:F,5,0)</f>
        <v>#VALUE!</v>
      </c>
      <c r="D3" s="75" t="s">
        <v>50</v>
      </c>
      <c r="E3" s="76" t="e">
        <f ca="1">MID(CELL("filename",A1),FIND("]",CELL("filename",A1))+1,256)</f>
        <v>#VALUE!</v>
      </c>
      <c r="F3" s="77" t="s">
        <v>11</v>
      </c>
      <c r="G3" s="58" t="str">
        <f>'GF12'!G3</f>
        <v>GH</v>
      </c>
      <c r="H3" s="77" t="s">
        <v>6</v>
      </c>
      <c r="I3" s="59">
        <f>'GF12'!I3</f>
        <v>44775</v>
      </c>
      <c r="J3" s="78"/>
      <c r="K3" s="78"/>
      <c r="L3" s="78"/>
      <c r="M3" s="78"/>
      <c r="N3" s="78"/>
      <c r="O3" s="78"/>
      <c r="P3" s="86"/>
      <c r="Q3" s="92"/>
    </row>
    <row r="4" spans="1:17" s="56" customFormat="1" ht="12.75" customHeight="1" thickBot="1">
      <c r="A4" s="80" t="s">
        <v>12</v>
      </c>
      <c r="B4" s="81" t="s">
        <v>13</v>
      </c>
      <c r="C4" s="81" t="s">
        <v>14</v>
      </c>
      <c r="D4" s="270" t="s">
        <v>15</v>
      </c>
      <c r="E4" s="271"/>
      <c r="F4" s="104" t="s">
        <v>16</v>
      </c>
      <c r="G4" s="81" t="s">
        <v>17</v>
      </c>
      <c r="H4" s="260" t="s">
        <v>18</v>
      </c>
      <c r="I4" s="261"/>
      <c r="J4" s="81" t="s">
        <v>51</v>
      </c>
      <c r="K4" s="81" t="s">
        <v>20</v>
      </c>
      <c r="L4" s="81" t="s">
        <v>21</v>
      </c>
      <c r="M4" s="81" t="s">
        <v>52</v>
      </c>
      <c r="N4" s="81" t="s">
        <v>22</v>
      </c>
      <c r="O4" s="81" t="s">
        <v>53</v>
      </c>
      <c r="P4" s="107" t="s">
        <v>26</v>
      </c>
      <c r="Q4" s="82" t="s">
        <v>27</v>
      </c>
    </row>
    <row r="5" spans="1:17" s="2" customFormat="1" ht="12.75" customHeight="1">
      <c r="A5" s="127">
        <v>1</v>
      </c>
      <c r="B5" s="21">
        <v>1</v>
      </c>
      <c r="C5" s="108" t="s">
        <v>644</v>
      </c>
      <c r="D5" s="277" t="str">
        <f>VLOOKUP(C5,Machined!C:Q,2,0)</f>
        <v>Exh Manifold Plate, 2x 1-4 Port</v>
      </c>
      <c r="E5" s="278"/>
      <c r="F5" s="131" t="str">
        <f>VLOOKUP(C5,Machined!C:R,7,0)</f>
        <v>6061-T6 Alum</v>
      </c>
      <c r="G5" s="131" t="str">
        <f>VLOOKUP(C5,Machined!C:R,10,0)</f>
        <v>NULINE</v>
      </c>
      <c r="H5" s="131">
        <f>VLOOKUP(C5,Machined!C:R,11,0)</f>
        <v>0</v>
      </c>
      <c r="I5" s="131"/>
      <c r="J5" s="42" t="str">
        <f>VLOOKUP(C5,Machined!C:R,12,0)</f>
        <v>N/A</v>
      </c>
      <c r="K5" s="42" t="str">
        <f>VLOOKUP(C5,Machined!C:R,13,0)</f>
        <v>N/A</v>
      </c>
      <c r="L5" s="42" t="str">
        <f>VLOOKUP(C5,Machined!C:R,14,0)</f>
        <v>N/A</v>
      </c>
      <c r="M5" s="42" t="str">
        <f>VLOOKUP(C5,Machined!C:R,15,0)</f>
        <v>N/A</v>
      </c>
      <c r="N5" s="43" t="str">
        <f>VLOOKUP(C5,Machined!C:R,16,0)</f>
        <v>N/A</v>
      </c>
      <c r="O5" s="43" t="e">
        <f t="shared" ref="O5" ca="1" si="0">B5*$L$2</f>
        <v>#VALUE!</v>
      </c>
      <c r="P5" s="47">
        <f>IFERROR(VLOOKUP(C5,Machined!C:F,3,0),"")</f>
        <v>0</v>
      </c>
      <c r="Q5" s="48">
        <f t="shared" ref="Q5" si="1">IFERROR(B5*P5,"")</f>
        <v>0</v>
      </c>
    </row>
    <row r="6" spans="1:17" s="2" customFormat="1" ht="12.75" customHeight="1">
      <c r="A6" s="143"/>
      <c r="B6" s="26"/>
      <c r="C6" s="26"/>
      <c r="D6" s="272"/>
      <c r="E6" s="273"/>
      <c r="F6" s="26"/>
      <c r="G6" s="26"/>
      <c r="H6" s="274"/>
      <c r="I6" s="275"/>
      <c r="J6" s="27"/>
      <c r="K6" s="27"/>
      <c r="L6" s="27"/>
      <c r="M6" s="28"/>
      <c r="N6" s="29"/>
      <c r="O6" s="29"/>
      <c r="P6" s="141"/>
      <c r="Q6" s="142"/>
    </row>
    <row r="7" spans="1:17" s="2" customFormat="1" ht="12.75" customHeight="1">
      <c r="A7" s="4">
        <v>301</v>
      </c>
      <c r="B7" s="2">
        <v>1</v>
      </c>
      <c r="C7" s="114" t="s">
        <v>645</v>
      </c>
      <c r="D7" s="268" t="str">
        <f>VLOOKUP(C7,Purchased!A:B,2,0)</f>
        <v>Straight-Flow Rectangular Manifold, Anodized Aluminum, Extra Wd, 2 Outlets, 3/8 NPT x 1/4 NPT</v>
      </c>
      <c r="E7" s="269"/>
      <c r="F7" s="112" t="str">
        <f>VLOOKUP(C7,Purchased!A:Q,9,0)</f>
        <v>MCM</v>
      </c>
      <c r="G7" s="112" t="str">
        <f>VLOOKUP(C7,Purchased!A:Q,10,0)</f>
        <v>MCM</v>
      </c>
      <c r="H7" s="112">
        <f>VLOOKUP(C7,Purchased!A:Q,12,0)</f>
        <v>0</v>
      </c>
      <c r="I7" s="113"/>
      <c r="J7" s="44" t="str">
        <f>VLOOKUP(C7,Purchased!A:Q,13,0)</f>
        <v>N/A</v>
      </c>
      <c r="K7" s="44">
        <f>VLOOKUP(C7,Purchased!A:Q,14,0)</f>
        <v>45238</v>
      </c>
      <c r="L7" s="44">
        <f>VLOOKUP(C7,Purchased!A:Q,15,0)</f>
        <v>45239</v>
      </c>
      <c r="M7" s="44">
        <f>VLOOKUP(C7,Purchased!A:Q,16,0)</f>
        <v>45239</v>
      </c>
      <c r="N7" s="45">
        <f>VLOOKUP(C7,Purchased!A:Q,17,0)</f>
        <v>55277</v>
      </c>
      <c r="O7" s="45" t="e">
        <f t="shared" ref="O7:O14" ca="1" si="2">B7*$L$2</f>
        <v>#VALUE!</v>
      </c>
      <c r="P7" s="49">
        <f>IFERROR(VLOOKUP(C7,Purchased!A:E,3,FALSE),"")</f>
        <v>26.91</v>
      </c>
      <c r="Q7" s="50">
        <f t="shared" ref="Q7:Q10" si="3">IFERROR(B7*P7,"")</f>
        <v>26.91</v>
      </c>
    </row>
    <row r="8" spans="1:17" s="2" customFormat="1" ht="12.75" customHeight="1">
      <c r="A8" s="4">
        <f>A7+1</f>
        <v>302</v>
      </c>
      <c r="B8" s="2">
        <v>1</v>
      </c>
      <c r="C8" s="114" t="s">
        <v>284</v>
      </c>
      <c r="D8" s="268" t="str">
        <f>VLOOKUP(C8,Purchased!A:B,2,0)</f>
        <v>Compact High-Flow Muffler with 3/8 NPT Male Zinc-Plated Steel Fitting</v>
      </c>
      <c r="E8" s="269"/>
      <c r="F8" s="112" t="str">
        <f>VLOOKUP(C8,Purchased!A:Q,9,0)</f>
        <v>MCM</v>
      </c>
      <c r="G8" s="112" t="str">
        <f>VLOOKUP(C8,Purchased!A:Q,10,0)</f>
        <v>MCM</v>
      </c>
      <c r="H8" s="112">
        <f>VLOOKUP(C8,Purchased!A:Q,12,0)</f>
        <v>0</v>
      </c>
      <c r="I8" s="113"/>
      <c r="J8" s="44" t="str">
        <f>VLOOKUP(C8,Purchased!A:Q,13,0)</f>
        <v>N/A</v>
      </c>
      <c r="K8" s="44">
        <f>VLOOKUP(C8,Purchased!A:Q,14,0)</f>
        <v>45238</v>
      </c>
      <c r="L8" s="44">
        <f>VLOOKUP(C8,Purchased!A:Q,15,0)</f>
        <v>45239</v>
      </c>
      <c r="M8" s="44">
        <f>VLOOKUP(C8,Purchased!A:Q,16,0)</f>
        <v>45239</v>
      </c>
      <c r="N8" s="45">
        <f>VLOOKUP(C8,Purchased!A:Q,17,0)</f>
        <v>55277</v>
      </c>
      <c r="O8" s="45" t="e">
        <f t="shared" ca="1" si="2"/>
        <v>#VALUE!</v>
      </c>
      <c r="P8" s="49">
        <f>IFERROR(VLOOKUP(C8,Purchased!A:E,3,FALSE),"")</f>
        <v>13.28</v>
      </c>
      <c r="Q8" s="50">
        <f t="shared" si="3"/>
        <v>13.28</v>
      </c>
    </row>
    <row r="9" spans="1:17" s="2" customFormat="1" ht="12.75" customHeight="1">
      <c r="A9" s="4">
        <f t="shared" ref="A9:A10" si="4">A8+1</f>
        <v>303</v>
      </c>
      <c r="B9" s="2">
        <v>2</v>
      </c>
      <c r="C9" s="114" t="s">
        <v>285</v>
      </c>
      <c r="D9" s="268" t="str">
        <f>VLOOKUP(C9,Purchased!A:B,2,0)</f>
        <v>SMC 1/4NPT to 10mm Fitting</v>
      </c>
      <c r="E9" s="269"/>
      <c r="F9" s="112" t="str">
        <f>VLOOKUP(C9,Purchased!A:Q,9,0)</f>
        <v>SMC</v>
      </c>
      <c r="G9" s="112" t="str">
        <f>VLOOKUP(C9,Purchased!A:Q,10,0)</f>
        <v>AAP</v>
      </c>
      <c r="H9" s="112">
        <f>VLOOKUP(C9,Purchased!A:Q,12,0)</f>
        <v>0</v>
      </c>
      <c r="I9" s="113"/>
      <c r="J9" s="44">
        <f>VLOOKUP(C9,Purchased!A:Q,13,0)</f>
        <v>45237</v>
      </c>
      <c r="K9" s="44">
        <f>VLOOKUP(C9,Purchased!A:Q,14,0)</f>
        <v>45237</v>
      </c>
      <c r="L9" s="44">
        <f>VLOOKUP(C9,Purchased!A:Q,15,0)</f>
        <v>45246</v>
      </c>
      <c r="M9" s="44">
        <f>VLOOKUP(C9,Purchased!A:Q,16,0)</f>
        <v>45246</v>
      </c>
      <c r="N9" s="45">
        <f>VLOOKUP(C9,Purchased!A:Q,17,0)</f>
        <v>55270</v>
      </c>
      <c r="O9" s="45" t="e">
        <f t="shared" ca="1" si="2"/>
        <v>#VALUE!</v>
      </c>
      <c r="P9" s="49">
        <f>IFERROR(VLOOKUP(C9,Purchased!A:E,3,FALSE),"")</f>
        <v>2.1436000000000002</v>
      </c>
      <c r="Q9" s="50">
        <f t="shared" si="3"/>
        <v>4.2872000000000003</v>
      </c>
    </row>
    <row r="10" spans="1:17" s="2" customFormat="1" ht="12.75" customHeight="1">
      <c r="A10" s="4">
        <f t="shared" si="4"/>
        <v>304</v>
      </c>
      <c r="B10" s="2">
        <v>2</v>
      </c>
      <c r="C10" s="114" t="s">
        <v>286</v>
      </c>
      <c r="D10" s="268" t="str">
        <f>VLOOKUP(C10,Purchased!A:B,2,0)</f>
        <v>BRX GOTO T-NUT 10 M5</v>
      </c>
      <c r="E10" s="269"/>
      <c r="F10" s="112" t="str">
        <f>VLOOKUP(C10,Purchased!A:Q,9,0)</f>
        <v>BRX</v>
      </c>
      <c r="G10" s="112" t="str">
        <f>VLOOKUP(C10,Purchased!A:Q,10,0)</f>
        <v>AAP</v>
      </c>
      <c r="H10" s="112">
        <f>VLOOKUP(C10,Purchased!A:Q,12,0)</f>
        <v>0</v>
      </c>
      <c r="I10" s="113"/>
      <c r="J10" s="44">
        <f>VLOOKUP(C10,Purchased!A:Q,13,0)</f>
        <v>45104</v>
      </c>
      <c r="K10" s="44">
        <f>VLOOKUP(C10,Purchased!A:Q,14,0)</f>
        <v>45105</v>
      </c>
      <c r="L10" s="44">
        <f>VLOOKUP(C10,Purchased!A:Q,15,0)</f>
        <v>45133</v>
      </c>
      <c r="M10" s="44">
        <f>VLOOKUP(C10,Purchased!A:Q,16,0)</f>
        <v>45133</v>
      </c>
      <c r="N10" s="45" t="str">
        <f>VLOOKUP(C10,Purchased!A:Q,17,0)</f>
        <v>50x54968, 200x55147, 150x55169</v>
      </c>
      <c r="O10" s="45" t="e">
        <f t="shared" ca="1" si="2"/>
        <v>#VALUE!</v>
      </c>
      <c r="P10" s="49">
        <f>IFERROR(VLOOKUP(C10,Purchased!A:E,3,FALSE),"")</f>
        <v>0.64290000000000003</v>
      </c>
      <c r="Q10" s="50">
        <f t="shared" si="3"/>
        <v>1.2858000000000001</v>
      </c>
    </row>
    <row r="11" spans="1:17" s="2" customFormat="1" ht="12.75" customHeight="1">
      <c r="A11" s="25"/>
      <c r="B11" s="26"/>
      <c r="C11" s="26"/>
      <c r="D11" s="272"/>
      <c r="E11" s="273"/>
      <c r="F11" s="26"/>
      <c r="G11" s="26"/>
      <c r="H11" s="274"/>
      <c r="I11" s="275"/>
      <c r="J11" s="27"/>
      <c r="K11" s="27"/>
      <c r="L11" s="27"/>
      <c r="M11" s="28"/>
      <c r="N11" s="29"/>
      <c r="O11" s="29" t="e">
        <f t="shared" ca="1" si="2"/>
        <v>#VALUE!</v>
      </c>
      <c r="P11" s="141"/>
      <c r="Q11" s="142"/>
    </row>
    <row r="12" spans="1:17" s="2" customFormat="1" ht="12.75" customHeight="1">
      <c r="A12" s="4">
        <v>501</v>
      </c>
      <c r="B12" s="2">
        <v>2</v>
      </c>
      <c r="C12" s="110" t="s">
        <v>287</v>
      </c>
      <c r="D12" s="268"/>
      <c r="E12" s="276"/>
      <c r="F12" s="112" t="str">
        <f>VLOOKUP(C12,Bolts!A:L,5,0)</f>
        <v xml:space="preserve">  </v>
      </c>
      <c r="G12" s="112" t="str">
        <f>VLOOKUP(C12,Bolts!A:L,6,0)</f>
        <v>Monroe Fasteners</v>
      </c>
      <c r="H12" s="112" t="str">
        <f>VLOOKUP(C12,Bolts!A:L,7,0)</f>
        <v xml:space="preserve">  </v>
      </c>
      <c r="I12" s="112"/>
      <c r="J12" s="44" t="str">
        <f>VLOOKUP(C12,Bolts!A:L,8,0)</f>
        <v xml:space="preserve"> </v>
      </c>
      <c r="K12" s="44" t="str">
        <f>VLOOKUP(C12,Bolts!A:L,9,0)</f>
        <v xml:space="preserve"> </v>
      </c>
      <c r="L12" s="44" t="str">
        <f>VLOOKUP(C12,Bolts!A:L,10,0)</f>
        <v xml:space="preserve"> </v>
      </c>
      <c r="M12" s="44" t="str">
        <f>VLOOKUP(C12,Bolts!A:L,11,0)</f>
        <v xml:space="preserve"> </v>
      </c>
      <c r="N12" s="45" t="str">
        <f>VLOOKUP(C12,Bolts!A:L,12,0)</f>
        <v xml:space="preserve"> </v>
      </c>
      <c r="O12" s="45" t="e">
        <f t="shared" ca="1" si="2"/>
        <v>#VALUE!</v>
      </c>
      <c r="P12" s="49" t="str">
        <f>IFERROR(VLOOKUP(C12,Bolts!A:B,2,FALSE),"")</f>
        <v xml:space="preserve"> </v>
      </c>
      <c r="Q12" s="50" t="str">
        <f t="shared" ref="Q12:Q14" si="5">IFERROR(B12*P12,"")</f>
        <v/>
      </c>
    </row>
    <row r="13" spans="1:17" s="2" customFormat="1" ht="12.75" customHeight="1">
      <c r="A13" s="4">
        <f>A12+1</f>
        <v>502</v>
      </c>
      <c r="B13" s="2">
        <v>2</v>
      </c>
      <c r="C13" s="110" t="s">
        <v>288</v>
      </c>
      <c r="D13" s="268"/>
      <c r="E13" s="276"/>
      <c r="F13" s="112" t="str">
        <f>VLOOKUP(C13,Bolts!A:L,5,0)</f>
        <v xml:space="preserve">  </v>
      </c>
      <c r="G13" s="112" t="str">
        <f>VLOOKUP(C13,Bolts!A:L,6,0)</f>
        <v>Monroe Fasteners</v>
      </c>
      <c r="H13" s="112" t="str">
        <f>VLOOKUP(C13,Bolts!A:L,7,0)</f>
        <v xml:space="preserve">  </v>
      </c>
      <c r="I13" s="112"/>
      <c r="J13" s="44" t="str">
        <f>VLOOKUP(C13,Bolts!A:L,8,0)</f>
        <v xml:space="preserve"> </v>
      </c>
      <c r="K13" s="44" t="str">
        <f>VLOOKUP(C13,Bolts!A:L,9,0)</f>
        <v xml:space="preserve"> </v>
      </c>
      <c r="L13" s="44" t="str">
        <f>VLOOKUP(C13,Bolts!A:L,10,0)</f>
        <v xml:space="preserve"> </v>
      </c>
      <c r="M13" s="44" t="str">
        <f>VLOOKUP(C13,Bolts!A:L,11,0)</f>
        <v xml:space="preserve"> </v>
      </c>
      <c r="N13" s="45" t="str">
        <f>VLOOKUP(C13,Bolts!A:L,12,0)</f>
        <v xml:space="preserve"> </v>
      </c>
      <c r="O13" s="45" t="e">
        <f t="shared" ca="1" si="2"/>
        <v>#VALUE!</v>
      </c>
      <c r="P13" s="49" t="str">
        <f>IFERROR(VLOOKUP(C13,Bolts!A:B,2,FALSE),"")</f>
        <v xml:space="preserve"> </v>
      </c>
      <c r="Q13" s="50" t="str">
        <f t="shared" si="5"/>
        <v/>
      </c>
    </row>
    <row r="14" spans="1:17" s="2" customFormat="1" ht="12.75" customHeight="1" thickBot="1">
      <c r="A14" s="4">
        <f>A13+1</f>
        <v>503</v>
      </c>
      <c r="B14" s="2">
        <v>4</v>
      </c>
      <c r="C14" s="110" t="s">
        <v>289</v>
      </c>
      <c r="D14" s="268"/>
      <c r="E14" s="276"/>
      <c r="F14" s="112" t="str">
        <f>VLOOKUP(C14,Bolts!A:L,5,0)</f>
        <v xml:space="preserve">  </v>
      </c>
      <c r="G14" s="112" t="str">
        <f>VLOOKUP(C14,Bolts!A:L,6,0)</f>
        <v>Monroe Fasteners</v>
      </c>
      <c r="H14" s="112" t="str">
        <f>VLOOKUP(C14,Bolts!A:L,7,0)</f>
        <v xml:space="preserve">  </v>
      </c>
      <c r="I14" s="112"/>
      <c r="J14" s="44" t="str">
        <f>VLOOKUP(C14,Bolts!A:L,8,0)</f>
        <v xml:space="preserve"> </v>
      </c>
      <c r="K14" s="44" t="str">
        <f>VLOOKUP(C14,Bolts!A:L,9,0)</f>
        <v xml:space="preserve"> </v>
      </c>
      <c r="L14" s="44" t="str">
        <f>VLOOKUP(C14,Bolts!A:L,10,0)</f>
        <v xml:space="preserve"> </v>
      </c>
      <c r="M14" s="44" t="str">
        <f>VLOOKUP(C14,Bolts!A:L,11,0)</f>
        <v xml:space="preserve"> </v>
      </c>
      <c r="N14" s="45" t="str">
        <f>VLOOKUP(C14,Bolts!A:L,12,0)</f>
        <v xml:space="preserve"> </v>
      </c>
      <c r="O14" s="45" t="e">
        <f t="shared" ca="1" si="2"/>
        <v>#VALUE!</v>
      </c>
      <c r="P14" s="49" t="str">
        <f>IFERROR(VLOOKUP(C14,Bolts!A:B,2,FALSE),"")</f>
        <v xml:space="preserve"> </v>
      </c>
      <c r="Q14" s="50" t="str">
        <f t="shared" si="5"/>
        <v/>
      </c>
    </row>
    <row r="15" spans="1:17" s="2" customFormat="1" ht="12.75" customHeight="1" thickBot="1">
      <c r="A15" s="34"/>
      <c r="B15" s="35"/>
      <c r="C15" s="35"/>
      <c r="D15" s="256"/>
      <c r="E15" s="257"/>
      <c r="F15" s="35"/>
      <c r="G15" s="35"/>
      <c r="H15" s="294"/>
      <c r="I15" s="295"/>
      <c r="J15" s="36"/>
      <c r="K15" s="36"/>
      <c r="L15" s="36"/>
      <c r="M15" s="37"/>
      <c r="N15" s="38"/>
      <c r="O15" s="38"/>
      <c r="P15" s="89" t="s">
        <v>43</v>
      </c>
      <c r="Q15" s="94">
        <f>SUM(Q5:Q12)</f>
        <v>45.762999999999998</v>
      </c>
    </row>
    <row r="16" spans="1:17" s="2" customFormat="1" ht="12" customHeight="1">
      <c r="D16" s="22"/>
      <c r="E16" s="22"/>
      <c r="J16" s="8"/>
      <c r="K16" s="8"/>
      <c r="L16" s="8"/>
      <c r="M16" s="8"/>
      <c r="N16" s="5"/>
      <c r="O16" s="5"/>
      <c r="P16" s="88"/>
      <c r="Q16" s="95"/>
    </row>
    <row r="17" spans="4:17" s="2" customFormat="1" ht="12" customHeight="1">
      <c r="D17" s="22"/>
      <c r="E17" s="22"/>
      <c r="J17" s="5"/>
      <c r="K17" s="5"/>
      <c r="L17" s="5"/>
      <c r="M17" s="5"/>
      <c r="N17" s="5"/>
      <c r="O17" s="5"/>
      <c r="P17" s="88"/>
      <c r="Q17" s="95"/>
    </row>
    <row r="18" spans="4:17" s="2" customFormat="1" ht="12" customHeight="1">
      <c r="D18" s="22"/>
      <c r="E18" s="22"/>
      <c r="J18" s="5"/>
      <c r="K18" s="5"/>
      <c r="L18" s="5"/>
      <c r="M18" s="5"/>
      <c r="N18" s="5"/>
      <c r="O18" s="5"/>
      <c r="P18" s="88"/>
      <c r="Q18" s="95"/>
    </row>
    <row r="19" spans="4:17" s="2" customFormat="1" ht="12" customHeight="1">
      <c r="D19" s="22"/>
      <c r="E19" s="22"/>
      <c r="J19" s="5"/>
      <c r="K19" s="5"/>
      <c r="L19" s="5"/>
      <c r="M19" s="5"/>
      <c r="N19" s="5"/>
      <c r="O19" s="5"/>
      <c r="P19" s="88"/>
      <c r="Q19" s="95"/>
    </row>
    <row r="20" spans="4:17" s="2" customFormat="1" ht="12" customHeight="1">
      <c r="D20" s="22"/>
      <c r="E20" s="22"/>
      <c r="J20" s="5"/>
      <c r="K20" s="5"/>
      <c r="L20" s="5"/>
      <c r="M20" s="5"/>
      <c r="N20" s="5"/>
      <c r="O20" s="5"/>
      <c r="P20" s="88"/>
      <c r="Q20" s="95"/>
    </row>
    <row r="21" spans="4:17" s="2" customFormat="1" ht="12" customHeight="1">
      <c r="D21" s="22"/>
      <c r="E21" s="22"/>
      <c r="J21" s="5"/>
      <c r="K21" s="5"/>
      <c r="L21" s="5"/>
      <c r="M21" s="5"/>
      <c r="N21" s="5"/>
      <c r="O21" s="5"/>
      <c r="P21" s="88"/>
      <c r="Q21" s="95"/>
    </row>
    <row r="22" spans="4:17" s="2" customFormat="1" ht="12" customHeight="1">
      <c r="D22" s="22"/>
      <c r="E22" s="22"/>
      <c r="J22" s="5"/>
      <c r="K22" s="5"/>
      <c r="L22" s="5"/>
      <c r="M22" s="5"/>
      <c r="N22" s="5"/>
      <c r="O22" s="5"/>
      <c r="P22" s="88"/>
      <c r="Q22" s="95"/>
    </row>
    <row r="23" spans="4:17" s="2" customFormat="1" ht="12" customHeight="1">
      <c r="D23" s="22"/>
      <c r="E23" s="22"/>
      <c r="J23" s="5"/>
      <c r="K23" s="5"/>
      <c r="L23" s="5"/>
      <c r="M23" s="5"/>
      <c r="N23" s="5"/>
      <c r="O23" s="5"/>
      <c r="P23" s="88"/>
      <c r="Q23" s="95"/>
    </row>
    <row r="24" spans="4:17" s="2" customFormat="1" ht="12" customHeight="1">
      <c r="D24" s="22"/>
      <c r="E24" s="22"/>
      <c r="J24" s="5"/>
      <c r="K24" s="5"/>
      <c r="L24" s="5"/>
      <c r="M24" s="5"/>
      <c r="N24" s="5"/>
      <c r="O24" s="5"/>
      <c r="P24" s="88"/>
      <c r="Q24" s="95"/>
    </row>
    <row r="25" spans="4:17" s="2" customFormat="1" ht="12" customHeight="1">
      <c r="D25" s="22"/>
      <c r="E25" s="22"/>
      <c r="J25" s="5"/>
      <c r="K25" s="5"/>
      <c r="L25" s="5"/>
      <c r="M25" s="5"/>
      <c r="N25" s="5"/>
      <c r="O25" s="5"/>
      <c r="P25" s="88"/>
      <c r="Q25" s="95"/>
    </row>
    <row r="26" spans="4:17" s="2" customFormat="1" ht="12" customHeight="1">
      <c r="D26" s="22"/>
      <c r="E26" s="22"/>
      <c r="J26" s="5"/>
      <c r="K26" s="5"/>
      <c r="L26" s="5"/>
      <c r="M26" s="5"/>
      <c r="N26" s="5"/>
      <c r="O26" s="5"/>
      <c r="P26" s="88"/>
      <c r="Q26" s="95"/>
    </row>
    <row r="27" spans="4:17" s="2" customFormat="1" ht="12" customHeight="1">
      <c r="D27" s="22"/>
      <c r="E27" s="22"/>
      <c r="J27" s="5"/>
      <c r="K27" s="5"/>
      <c r="L27" s="5"/>
      <c r="M27" s="5"/>
      <c r="N27" s="5"/>
      <c r="O27" s="5"/>
      <c r="P27" s="88"/>
      <c r="Q27" s="95"/>
    </row>
    <row r="28" spans="4:17" s="2" customFormat="1" ht="12" customHeight="1">
      <c r="D28" s="22"/>
      <c r="E28" s="22"/>
      <c r="J28" s="5"/>
      <c r="K28" s="5"/>
      <c r="L28" s="5"/>
      <c r="M28" s="5"/>
      <c r="N28" s="5"/>
      <c r="O28" s="5"/>
      <c r="P28" s="88"/>
      <c r="Q28" s="95"/>
    </row>
    <row r="29" spans="4:17" s="2" customFormat="1" ht="12" customHeight="1">
      <c r="D29" s="22"/>
      <c r="E29" s="22"/>
      <c r="J29" s="5"/>
      <c r="K29" s="5"/>
      <c r="L29" s="5"/>
      <c r="M29" s="5"/>
      <c r="N29" s="5"/>
      <c r="O29" s="5"/>
      <c r="P29" s="88"/>
      <c r="Q29" s="95"/>
    </row>
    <row r="30" spans="4:17" s="2" customFormat="1" ht="12" customHeight="1">
      <c r="D30" s="22"/>
      <c r="E30" s="22"/>
      <c r="J30" s="5"/>
      <c r="K30" s="5"/>
      <c r="L30" s="5"/>
      <c r="M30" s="5"/>
      <c r="N30" s="5"/>
      <c r="O30" s="5"/>
      <c r="P30" s="88"/>
      <c r="Q30" s="95"/>
    </row>
    <row r="31" spans="4:17" s="2" customFormat="1" ht="12" customHeight="1">
      <c r="D31" s="22"/>
      <c r="E31" s="22"/>
      <c r="J31" s="5"/>
      <c r="K31" s="5"/>
      <c r="L31" s="5"/>
      <c r="M31" s="5"/>
      <c r="N31" s="5"/>
      <c r="O31" s="5"/>
      <c r="P31" s="88"/>
      <c r="Q31" s="95"/>
    </row>
    <row r="32" spans="4:17" s="2" customFormat="1" ht="12" customHeight="1">
      <c r="D32" s="22"/>
      <c r="E32" s="22"/>
      <c r="J32" s="5"/>
      <c r="K32" s="5"/>
      <c r="L32" s="5"/>
      <c r="M32" s="5"/>
      <c r="N32" s="5"/>
      <c r="O32" s="5"/>
      <c r="P32" s="88"/>
      <c r="Q32" s="95"/>
    </row>
    <row r="33" spans="4:17" s="2" customFormat="1" ht="12" customHeight="1">
      <c r="D33" s="22"/>
      <c r="E33" s="22"/>
      <c r="J33" s="5"/>
      <c r="K33" s="5"/>
      <c r="L33" s="5"/>
      <c r="M33" s="5"/>
      <c r="N33" s="5"/>
      <c r="O33" s="5"/>
      <c r="P33" s="88"/>
      <c r="Q33" s="95"/>
    </row>
    <row r="34" spans="4:17" s="2" customFormat="1" ht="12" customHeight="1">
      <c r="D34" s="22"/>
      <c r="E34" s="22"/>
      <c r="J34" s="5"/>
      <c r="K34" s="5"/>
      <c r="L34" s="5"/>
      <c r="M34" s="5"/>
      <c r="N34" s="5"/>
      <c r="O34" s="5"/>
      <c r="P34" s="88"/>
      <c r="Q34" s="95"/>
    </row>
    <row r="35" spans="4:17" s="2" customFormat="1" ht="12" customHeight="1">
      <c r="D35" s="22"/>
      <c r="E35" s="22"/>
      <c r="J35" s="5"/>
      <c r="K35" s="5"/>
      <c r="L35" s="5"/>
      <c r="M35" s="5"/>
      <c r="N35" s="5"/>
      <c r="O35" s="5"/>
      <c r="P35" s="88"/>
      <c r="Q35" s="95"/>
    </row>
    <row r="36" spans="4:17" s="2" customFormat="1" ht="12" customHeight="1">
      <c r="D36" s="22"/>
      <c r="E36" s="22"/>
      <c r="J36" s="5"/>
      <c r="K36" s="5"/>
      <c r="L36" s="5"/>
      <c r="M36" s="5"/>
      <c r="N36" s="5"/>
      <c r="O36" s="5"/>
      <c r="P36" s="88"/>
      <c r="Q36" s="95"/>
    </row>
    <row r="37" spans="4:17" s="2" customFormat="1" ht="12" customHeight="1">
      <c r="D37" s="22"/>
      <c r="E37" s="22"/>
      <c r="J37" s="5"/>
      <c r="K37" s="5"/>
      <c r="L37" s="5"/>
      <c r="M37" s="5"/>
      <c r="N37" s="5"/>
      <c r="O37" s="5"/>
      <c r="P37" s="88"/>
      <c r="Q37" s="95"/>
    </row>
    <row r="38" spans="4:17" s="2" customFormat="1" ht="12" customHeight="1">
      <c r="D38" s="22"/>
      <c r="E38" s="22"/>
      <c r="J38" s="5"/>
      <c r="K38" s="5"/>
      <c r="L38" s="5"/>
      <c r="M38" s="5"/>
      <c r="N38" s="5"/>
      <c r="O38" s="5"/>
      <c r="P38" s="88"/>
      <c r="Q38" s="95"/>
    </row>
    <row r="39" spans="4:17" s="2" customFormat="1" ht="12" customHeight="1">
      <c r="D39" s="22"/>
      <c r="E39" s="22"/>
      <c r="J39" s="5"/>
      <c r="K39" s="5"/>
      <c r="L39" s="5"/>
      <c r="M39" s="5"/>
      <c r="N39" s="5"/>
      <c r="O39" s="5"/>
      <c r="P39" s="88"/>
      <c r="Q39" s="95"/>
    </row>
    <row r="40" spans="4:17" s="2" customFormat="1" ht="12" customHeight="1">
      <c r="D40" s="22"/>
      <c r="E40" s="22"/>
      <c r="J40" s="5"/>
      <c r="K40" s="5"/>
      <c r="L40" s="5"/>
      <c r="M40" s="5"/>
      <c r="N40" s="5"/>
      <c r="O40" s="5"/>
      <c r="P40" s="88"/>
      <c r="Q40" s="95"/>
    </row>
    <row r="41" spans="4:17" s="2" customFormat="1" ht="12" customHeight="1">
      <c r="D41" s="22"/>
      <c r="E41" s="22"/>
      <c r="J41" s="5"/>
      <c r="K41" s="5"/>
      <c r="L41" s="5"/>
      <c r="M41" s="5"/>
      <c r="N41" s="5"/>
      <c r="O41" s="5"/>
      <c r="P41" s="88"/>
      <c r="Q41" s="95"/>
    </row>
    <row r="42" spans="4:17" s="2" customFormat="1" ht="12" customHeight="1">
      <c r="D42" s="22"/>
      <c r="E42" s="22"/>
      <c r="J42" s="5"/>
      <c r="K42" s="5"/>
      <c r="L42" s="5"/>
      <c r="M42" s="5"/>
      <c r="N42" s="5"/>
      <c r="O42" s="5"/>
      <c r="P42" s="88"/>
      <c r="Q42" s="95"/>
    </row>
    <row r="43" spans="4:17" s="2" customFormat="1" ht="12" customHeight="1">
      <c r="D43" s="22"/>
      <c r="E43" s="22"/>
      <c r="J43" s="5"/>
      <c r="K43" s="5"/>
      <c r="L43" s="5"/>
      <c r="M43" s="5"/>
      <c r="N43" s="5"/>
      <c r="O43" s="5"/>
      <c r="P43" s="88"/>
      <c r="Q43" s="95"/>
    </row>
    <row r="44" spans="4:17" s="2" customFormat="1" ht="12" customHeight="1">
      <c r="D44" s="22"/>
      <c r="E44" s="22"/>
      <c r="J44" s="5"/>
      <c r="K44" s="5"/>
      <c r="L44" s="5"/>
      <c r="M44" s="5"/>
      <c r="N44" s="5"/>
      <c r="O44" s="5"/>
      <c r="P44" s="88"/>
      <c r="Q44" s="95"/>
    </row>
    <row r="45" spans="4:17" s="2" customFormat="1" ht="12" customHeight="1">
      <c r="D45" s="22"/>
      <c r="E45" s="22"/>
      <c r="J45" s="5"/>
      <c r="K45" s="5"/>
      <c r="L45" s="5"/>
      <c r="M45" s="5"/>
      <c r="N45" s="5"/>
      <c r="O45" s="5"/>
      <c r="P45" s="88"/>
      <c r="Q45" s="95"/>
    </row>
    <row r="46" spans="4:17" s="2" customFormat="1" ht="12" customHeight="1">
      <c r="D46" s="22"/>
      <c r="E46" s="22"/>
      <c r="J46" s="5"/>
      <c r="K46" s="5"/>
      <c r="L46" s="5"/>
      <c r="M46" s="5"/>
      <c r="N46" s="5"/>
      <c r="O46" s="5"/>
      <c r="P46" s="88"/>
      <c r="Q46" s="95"/>
    </row>
    <row r="47" spans="4:17" s="2" customFormat="1" ht="12" customHeight="1">
      <c r="D47" s="22"/>
      <c r="E47" s="22"/>
      <c r="J47" s="5"/>
      <c r="K47" s="5"/>
      <c r="L47" s="5"/>
      <c r="M47" s="5"/>
      <c r="N47" s="5"/>
      <c r="O47" s="5"/>
      <c r="P47" s="88"/>
      <c r="Q47" s="95"/>
    </row>
    <row r="48" spans="4:17" s="2" customFormat="1" ht="12" customHeight="1">
      <c r="D48" s="22"/>
      <c r="E48" s="22"/>
      <c r="J48" s="5"/>
      <c r="K48" s="5"/>
      <c r="L48" s="5"/>
      <c r="M48" s="5"/>
      <c r="N48" s="5"/>
      <c r="O48" s="5"/>
      <c r="P48" s="88"/>
      <c r="Q48" s="95"/>
    </row>
    <row r="49" spans="1:17" s="2" customFormat="1" ht="12" customHeight="1">
      <c r="D49" s="22"/>
      <c r="E49" s="22"/>
      <c r="J49" s="5"/>
      <c r="K49" s="5"/>
      <c r="L49" s="5"/>
      <c r="M49" s="5"/>
      <c r="N49" s="5"/>
      <c r="O49" s="5"/>
      <c r="P49" s="88"/>
      <c r="Q49" s="95"/>
    </row>
    <row r="50" spans="1:17" s="2" customFormat="1" ht="12" customHeight="1">
      <c r="D50" s="22"/>
      <c r="E50" s="22"/>
      <c r="J50" s="5"/>
      <c r="K50" s="5"/>
      <c r="L50" s="5"/>
      <c r="M50" s="5"/>
      <c r="N50" s="5"/>
      <c r="O50" s="5"/>
      <c r="P50" s="88"/>
      <c r="Q50" s="95"/>
    </row>
    <row r="51" spans="1:17" s="2" customFormat="1" ht="12" customHeight="1">
      <c r="D51" s="22"/>
      <c r="E51" s="22"/>
      <c r="J51" s="5"/>
      <c r="K51" s="5"/>
      <c r="L51" s="5"/>
      <c r="M51" s="5"/>
      <c r="N51" s="5"/>
      <c r="O51" s="5"/>
      <c r="P51" s="88"/>
      <c r="Q51" s="95"/>
    </row>
    <row r="52" spans="1:17" s="2" customFormat="1" ht="12" customHeight="1">
      <c r="D52" s="22"/>
      <c r="E52" s="22"/>
      <c r="J52" s="5"/>
      <c r="K52" s="5"/>
      <c r="L52" s="5"/>
      <c r="M52" s="5"/>
      <c r="N52" s="5"/>
      <c r="O52" s="5"/>
      <c r="P52" s="88"/>
      <c r="Q52" s="95"/>
    </row>
    <row r="53" spans="1:17" s="2" customFormat="1" ht="12" customHeight="1">
      <c r="D53" s="22"/>
      <c r="E53" s="22"/>
      <c r="J53" s="5"/>
      <c r="K53" s="5"/>
      <c r="L53" s="5"/>
      <c r="M53" s="5"/>
      <c r="N53" s="5"/>
      <c r="O53" s="5"/>
      <c r="P53" s="88"/>
      <c r="Q53" s="95"/>
    </row>
    <row r="54" spans="1:17" s="2" customFormat="1" ht="12" customHeight="1">
      <c r="D54" s="22"/>
      <c r="E54" s="22"/>
      <c r="J54" s="5"/>
      <c r="K54" s="5"/>
      <c r="L54" s="5"/>
      <c r="M54" s="5"/>
      <c r="N54" s="5"/>
      <c r="O54" s="5"/>
      <c r="P54" s="88"/>
      <c r="Q54" s="96"/>
    </row>
    <row r="55" spans="1:17" s="2" customFormat="1" ht="12" customHeight="1">
      <c r="D55" s="22"/>
      <c r="E55" s="22"/>
      <c r="J55" s="5"/>
      <c r="K55" s="5"/>
      <c r="L55" s="5"/>
      <c r="M55" s="5"/>
      <c r="N55" s="5"/>
      <c r="O55" s="5"/>
      <c r="P55" s="88"/>
      <c r="Q55" s="96"/>
    </row>
    <row r="56" spans="1:17" s="2" customFormat="1" ht="12" customHeight="1">
      <c r="D56" s="22"/>
      <c r="E56" s="22"/>
      <c r="J56" s="5"/>
      <c r="K56" s="5"/>
      <c r="L56" s="5"/>
      <c r="M56" s="5"/>
      <c r="N56" s="5"/>
      <c r="O56" s="5"/>
      <c r="P56" s="88"/>
      <c r="Q56" s="96"/>
    </row>
    <row r="57" spans="1:17" s="2" customFormat="1" ht="12" customHeight="1">
      <c r="D57" s="22"/>
      <c r="E57" s="22"/>
      <c r="J57" s="5"/>
      <c r="K57" s="5"/>
      <c r="L57" s="5"/>
      <c r="M57" s="5"/>
      <c r="N57" s="5"/>
      <c r="O57" s="5"/>
      <c r="P57" s="88"/>
      <c r="Q57" s="96"/>
    </row>
    <row r="58" spans="1:17" s="2" customFormat="1" ht="12" customHeight="1">
      <c r="A58"/>
      <c r="B58"/>
      <c r="C58"/>
      <c r="D58" s="23"/>
      <c r="E58" s="23"/>
      <c r="F58"/>
      <c r="G58"/>
      <c r="H58"/>
      <c r="I58"/>
      <c r="J58" s="19"/>
      <c r="K58" s="19"/>
      <c r="L58" s="19"/>
      <c r="M58" s="19"/>
      <c r="N58" s="19"/>
      <c r="O58" s="19"/>
      <c r="P58" s="90"/>
      <c r="Q58" s="96"/>
    </row>
    <row r="59" spans="1:17" s="2" customFormat="1" ht="12" customHeight="1">
      <c r="A59"/>
      <c r="B59"/>
      <c r="C59"/>
      <c r="D59" s="23"/>
      <c r="E59" s="23"/>
      <c r="F59"/>
      <c r="G59"/>
      <c r="H59"/>
      <c r="I59"/>
      <c r="J59" s="19"/>
      <c r="K59" s="19"/>
      <c r="L59" s="19"/>
      <c r="M59" s="19"/>
      <c r="N59" s="19"/>
      <c r="O59" s="19"/>
      <c r="P59" s="90"/>
      <c r="Q59" s="96"/>
    </row>
    <row r="60" spans="1:17" s="2" customFormat="1" ht="12" customHeight="1">
      <c r="A60"/>
      <c r="B60"/>
      <c r="C60"/>
      <c r="D60" s="23"/>
      <c r="E60" s="23"/>
      <c r="F60"/>
      <c r="G60"/>
      <c r="H60"/>
      <c r="I60"/>
      <c r="J60" s="19"/>
      <c r="K60" s="19"/>
      <c r="L60" s="19"/>
      <c r="M60" s="19"/>
      <c r="N60" s="19"/>
      <c r="O60" s="19"/>
      <c r="P60" s="90"/>
      <c r="Q60" s="96"/>
    </row>
    <row r="61" spans="1:17" s="2" customFormat="1" ht="12" customHeight="1">
      <c r="A61"/>
      <c r="B61"/>
      <c r="C61"/>
      <c r="D61" s="23"/>
      <c r="E61" s="23"/>
      <c r="F61"/>
      <c r="G61"/>
      <c r="H61"/>
      <c r="I61"/>
      <c r="J61" s="19"/>
      <c r="K61" s="19"/>
      <c r="L61" s="19"/>
      <c r="M61" s="19"/>
      <c r="N61" s="19"/>
      <c r="O61" s="19"/>
      <c r="P61" s="90"/>
      <c r="Q61" s="96"/>
    </row>
    <row r="62" spans="1:17" s="2" customFormat="1" ht="12" customHeight="1">
      <c r="A62"/>
      <c r="B62"/>
      <c r="C62"/>
      <c r="D62" s="23"/>
      <c r="E62" s="23"/>
      <c r="F62"/>
      <c r="G62"/>
      <c r="H62"/>
      <c r="I62"/>
      <c r="J62" s="19"/>
      <c r="K62" s="19"/>
      <c r="L62" s="19"/>
      <c r="M62" s="19"/>
      <c r="N62" s="19"/>
      <c r="O62" s="19"/>
      <c r="P62" s="90"/>
      <c r="Q62" s="96"/>
    </row>
    <row r="63" spans="1:17">
      <c r="Q63" s="96"/>
    </row>
    <row r="64" spans="1:17">
      <c r="Q64" s="96"/>
    </row>
    <row r="65" spans="17:17">
      <c r="Q65" s="96"/>
    </row>
    <row r="66" spans="17:17">
      <c r="Q66" s="96"/>
    </row>
    <row r="67" spans="17:17">
      <c r="Q67" s="96"/>
    </row>
    <row r="68" spans="17:17">
      <c r="Q68" s="96"/>
    </row>
    <row r="69" spans="17:17">
      <c r="Q69" s="96"/>
    </row>
    <row r="70" spans="17:17">
      <c r="Q70" s="96"/>
    </row>
    <row r="71" spans="17:17">
      <c r="Q71" s="96"/>
    </row>
    <row r="72" spans="17:17">
      <c r="Q72" s="96"/>
    </row>
    <row r="73" spans="17:17">
      <c r="Q73" s="96"/>
    </row>
    <row r="74" spans="17:17">
      <c r="Q74" s="96"/>
    </row>
    <row r="75" spans="17:17">
      <c r="Q75" s="96"/>
    </row>
    <row r="76" spans="17:17">
      <c r="Q76" s="96"/>
    </row>
    <row r="77" spans="17:17">
      <c r="Q77" s="96"/>
    </row>
    <row r="78" spans="17:17">
      <c r="Q78" s="96"/>
    </row>
    <row r="79" spans="17:17">
      <c r="Q79" s="96"/>
    </row>
    <row r="80" spans="17:17">
      <c r="Q80" s="96"/>
    </row>
    <row r="81" spans="17:17">
      <c r="Q81" s="96"/>
    </row>
    <row r="82" spans="17:17">
      <c r="Q82" s="96"/>
    </row>
    <row r="119" ht="12" customHeight="1"/>
    <row r="120" ht="12" customHeight="1"/>
    <row r="121" ht="12" customHeight="1"/>
    <row r="122" ht="12" customHeight="1"/>
    <row r="123" ht="12" customHeight="1"/>
    <row r="124" ht="12" customHeight="1"/>
    <row r="125" ht="12" customHeight="1"/>
    <row r="126" ht="12" customHeight="1"/>
    <row r="127" ht="12" customHeight="1"/>
    <row r="128" ht="12" customHeight="1"/>
    <row r="129" ht="12" customHeight="1"/>
    <row r="130" ht="12" customHeight="1"/>
    <row r="131" ht="12" customHeight="1"/>
    <row r="132" ht="12" customHeight="1"/>
    <row r="133" ht="12" customHeight="1"/>
    <row r="134" ht="12" customHeight="1"/>
    <row r="135" ht="12" customHeight="1"/>
    <row r="136" ht="12" customHeight="1"/>
    <row r="137" ht="12" customHeight="1"/>
    <row r="138" ht="12" customHeight="1"/>
    <row r="139" ht="12" customHeight="1"/>
    <row r="140" ht="12" customHeight="1"/>
    <row r="141" ht="12" customHeight="1"/>
    <row r="142" ht="12" customHeight="1"/>
    <row r="143" ht="12" customHeight="1"/>
    <row r="144" ht="12" customHeight="1"/>
    <row r="145" ht="12" customHeight="1"/>
    <row r="146" ht="12" customHeight="1"/>
    <row r="147" ht="12" customHeight="1"/>
    <row r="148" ht="12" customHeight="1"/>
    <row r="149" ht="12" customHeight="1"/>
    <row r="150" ht="12" customHeight="1"/>
    <row r="151" ht="12" customHeight="1"/>
    <row r="152" ht="12" customHeight="1"/>
    <row r="153" ht="12" customHeight="1"/>
    <row r="154" ht="12" customHeight="1"/>
    <row r="155" ht="12" customHeight="1"/>
    <row r="156" ht="12" customHeight="1"/>
    <row r="157" ht="12" customHeight="1"/>
    <row r="158" ht="12" customHeight="1"/>
    <row r="159" ht="12" customHeight="1"/>
    <row r="160" ht="12" customHeight="1"/>
    <row r="161" ht="12" customHeight="1"/>
    <row r="162" ht="12" customHeight="1"/>
    <row r="163" ht="12" customHeight="1"/>
    <row r="164" ht="12" customHeight="1"/>
    <row r="165" ht="12" customHeight="1"/>
    <row r="166" ht="12" customHeight="1"/>
    <row r="167" ht="12" customHeight="1"/>
    <row r="168" ht="12" customHeight="1"/>
  </sheetData>
  <mergeCells count="17">
    <mergeCell ref="D1:E1"/>
    <mergeCell ref="D4:E4"/>
    <mergeCell ref="H4:I4"/>
    <mergeCell ref="D5:E5"/>
    <mergeCell ref="D6:E6"/>
    <mergeCell ref="H6:I6"/>
    <mergeCell ref="D7:E7"/>
    <mergeCell ref="D11:E11"/>
    <mergeCell ref="H11:I11"/>
    <mergeCell ref="D12:E12"/>
    <mergeCell ref="D15:E15"/>
    <mergeCell ref="H15:I15"/>
    <mergeCell ref="D8:E8"/>
    <mergeCell ref="D9:E9"/>
    <mergeCell ref="D10:E10"/>
    <mergeCell ref="D13:E13"/>
    <mergeCell ref="D14:E14"/>
  </mergeCells>
  <conditionalFormatting sqref="M5 M7:M10">
    <cfRule type="cellIs" dxfId="466" priority="1" stopIfTrue="1" operator="lessThanOrEqual">
      <formula>$L5</formula>
    </cfRule>
    <cfRule type="cellIs" dxfId="465" priority="2" operator="greaterThan">
      <formula>L5</formula>
    </cfRule>
  </conditionalFormatting>
  <conditionalFormatting sqref="M12:M14">
    <cfRule type="cellIs" dxfId="464" priority="3" stopIfTrue="1" operator="lessThanOrEqual">
      <formula>$L12</formula>
    </cfRule>
    <cfRule type="cellIs" dxfId="463" priority="4" operator="greaterThan">
      <formula>L12</formula>
    </cfRule>
  </conditionalFormatting>
  <pageMargins left="0.7" right="0.7" top="0.75" bottom="0.75" header="0.3" footer="0.3"/>
  <pageSetup paperSize="3" fitToHeight="0" orientation="landscape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EE1B82A-64E9-4D83-BD0F-8684BF972EC0}">
          <x14:formula1>
            <xm:f>Bolts!$A:$A</xm:f>
          </x14:formula1>
          <xm:sqref>C12:C14</xm:sqref>
        </x14:dataValidation>
        <x14:dataValidation type="list" allowBlank="1" showInputMessage="1" showErrorMessage="1" xr:uid="{7D572162-53FD-4945-87C8-05EAA2214883}">
          <x14:formula1>
            <xm:f>Purchased!$A:$A</xm:f>
          </x14:formula1>
          <xm:sqref>C7:C10</xm:sqref>
        </x14:dataValidation>
        <x14:dataValidation type="list" allowBlank="1" showInputMessage="1" showErrorMessage="1" xr:uid="{8301870E-51DF-47AB-BACC-3B1562F5D3CA}">
          <x14:formula1>
            <xm:f>Machined!$C:$C</xm:f>
          </x14:formula1>
          <xm:sqref>C5</xm:sqref>
        </x14:dataValidation>
      </x14:dataValidation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5317BA-86A9-4B7D-927F-BE83FE2A0914}">
  <sheetPr codeName="Sheet49">
    <tabColor theme="3" tint="0.59999389629810485"/>
    <pageSetUpPr fitToPage="1"/>
  </sheetPr>
  <dimension ref="A1:R184"/>
  <sheetViews>
    <sheetView zoomScaleNormal="100" workbookViewId="0">
      <selection activeCell="R26" sqref="R26"/>
    </sheetView>
  </sheetViews>
  <sheetFormatPr defaultColWidth="9.140625" defaultRowHeight="15"/>
  <cols>
    <col min="1" max="1" width="5.7109375" customWidth="1"/>
    <col min="2" max="2" width="5.42578125" bestFit="1" customWidth="1"/>
    <col min="3" max="3" width="30.7109375" customWidth="1"/>
    <col min="4" max="5" width="20.7109375" style="23" customWidth="1"/>
    <col min="6" max="6" width="16.85546875" bestFit="1" customWidth="1"/>
    <col min="7" max="7" width="9.7109375" customWidth="1"/>
    <col min="8" max="8" width="8.7109375" customWidth="1"/>
    <col min="9" max="9" width="20.7109375" customWidth="1"/>
    <col min="10" max="13" width="11.7109375" style="19" customWidth="1"/>
    <col min="14" max="14" width="11.85546875" style="19" bestFit="1" customWidth="1"/>
    <col min="15" max="15" width="7.7109375" style="19" customWidth="1"/>
    <col min="16" max="16" width="10.7109375" style="90" customWidth="1"/>
    <col min="17" max="17" width="10.7109375" style="97" customWidth="1"/>
  </cols>
  <sheetData>
    <row r="1" spans="1:18" s="55" customFormat="1" ht="12" customHeight="1">
      <c r="A1" s="68" t="s">
        <v>0</v>
      </c>
      <c r="B1" s="69"/>
      <c r="C1" s="69"/>
      <c r="D1" s="262" t="s">
        <v>1</v>
      </c>
      <c r="E1" s="263"/>
      <c r="F1" s="70"/>
      <c r="G1" s="69"/>
      <c r="H1" s="70"/>
      <c r="I1" s="71"/>
      <c r="J1" s="72"/>
      <c r="K1" s="72"/>
      <c r="L1" s="72"/>
      <c r="M1" s="72"/>
      <c r="N1" s="72"/>
      <c r="O1" s="72"/>
      <c r="P1" s="85"/>
      <c r="Q1" s="91"/>
    </row>
    <row r="2" spans="1:18" s="55" customFormat="1" ht="12" customHeight="1">
      <c r="A2" s="74" t="s">
        <v>48</v>
      </c>
      <c r="B2" s="58"/>
      <c r="C2" s="57" t="e">
        <f ca="1">VLOOKUP(E3,Assemblies!B:F,4,0)</f>
        <v>#VALUE!</v>
      </c>
      <c r="D2" s="75" t="s">
        <v>3</v>
      </c>
      <c r="E2" s="76" t="e">
        <f ca="1">'GF12'!E2</f>
        <v>#VALUE!</v>
      </c>
      <c r="F2" s="77" t="s">
        <v>4</v>
      </c>
      <c r="G2" s="58" t="str">
        <f>'GF12'!G2</f>
        <v>GH</v>
      </c>
      <c r="H2" s="77" t="s">
        <v>6</v>
      </c>
      <c r="I2" s="59">
        <f>'GF12'!I2</f>
        <v>44775</v>
      </c>
      <c r="J2" s="39"/>
      <c r="K2" s="40" t="s">
        <v>49</v>
      </c>
      <c r="L2" s="41" t="e">
        <f ca="1">VLOOKUP(C2,Assemblies!E:G,3,0)</f>
        <v>#VALUE!</v>
      </c>
      <c r="M2" s="78"/>
      <c r="N2" s="78"/>
      <c r="O2" s="78"/>
      <c r="P2" s="86"/>
      <c r="Q2" s="92"/>
    </row>
    <row r="3" spans="1:18" s="55" customFormat="1" ht="12" customHeight="1" thickBot="1">
      <c r="A3" s="74" t="s">
        <v>7</v>
      </c>
      <c r="B3" s="58"/>
      <c r="C3" s="57" t="e">
        <f ca="1">VLOOKUP(E3,Assemblies!B:F,5,0)</f>
        <v>#VALUE!</v>
      </c>
      <c r="D3" s="75" t="s">
        <v>50</v>
      </c>
      <c r="E3" s="76" t="e">
        <f ca="1">MID(CELL("filename",A1),FIND("]",CELL("filename",A1))+1,256)</f>
        <v>#VALUE!</v>
      </c>
      <c r="F3" s="77" t="s">
        <v>11</v>
      </c>
      <c r="G3" s="58" t="str">
        <f>'GF12'!G3</f>
        <v>GH</v>
      </c>
      <c r="H3" s="77" t="s">
        <v>6</v>
      </c>
      <c r="I3" s="59">
        <f>'GF12'!I3</f>
        <v>44775</v>
      </c>
      <c r="J3" s="78"/>
      <c r="K3" s="78"/>
      <c r="L3" s="78"/>
      <c r="M3" s="78"/>
      <c r="N3" s="78"/>
      <c r="O3" s="78"/>
      <c r="P3" s="86"/>
      <c r="Q3" s="92"/>
    </row>
    <row r="4" spans="1:18" s="56" customFormat="1" ht="12.75" customHeight="1" thickBot="1">
      <c r="A4" s="80" t="s">
        <v>12</v>
      </c>
      <c r="B4" s="81" t="s">
        <v>13</v>
      </c>
      <c r="C4" s="81" t="s">
        <v>14</v>
      </c>
      <c r="D4" s="270" t="s">
        <v>15</v>
      </c>
      <c r="E4" s="271"/>
      <c r="F4" s="104" t="s">
        <v>16</v>
      </c>
      <c r="G4" s="81" t="s">
        <v>17</v>
      </c>
      <c r="H4" s="260" t="s">
        <v>18</v>
      </c>
      <c r="I4" s="261"/>
      <c r="J4" s="81" t="s">
        <v>51</v>
      </c>
      <c r="K4" s="81" t="s">
        <v>20</v>
      </c>
      <c r="L4" s="81" t="s">
        <v>21</v>
      </c>
      <c r="M4" s="81" t="s">
        <v>52</v>
      </c>
      <c r="N4" s="81" t="s">
        <v>22</v>
      </c>
      <c r="O4" s="81" t="s">
        <v>53</v>
      </c>
      <c r="P4" s="107" t="s">
        <v>26</v>
      </c>
      <c r="Q4" s="82" t="s">
        <v>27</v>
      </c>
    </row>
    <row r="5" spans="1:18" s="21" customFormat="1" ht="12.75" customHeight="1">
      <c r="A5" s="66" t="s">
        <v>54</v>
      </c>
      <c r="B5" s="1">
        <v>1</v>
      </c>
      <c r="C5" s="67" t="s">
        <v>646</v>
      </c>
      <c r="D5" s="277" t="e">
        <f ca="1">VLOOKUP(C5,Assemblies!E:S,2,0)</f>
        <v>#N/A</v>
      </c>
      <c r="E5" s="278"/>
      <c r="F5" s="32"/>
      <c r="G5" s="32"/>
      <c r="H5" s="292"/>
      <c r="I5" s="293"/>
      <c r="J5" s="28"/>
      <c r="K5" s="28"/>
      <c r="L5" s="28"/>
      <c r="M5" s="28"/>
      <c r="N5" s="33"/>
      <c r="O5" s="46" t="e">
        <f t="shared" ref="O5:O7" ca="1" si="0">B5*$L$2</f>
        <v>#VALUE!</v>
      </c>
      <c r="P5" s="87">
        <f>'221'!Q16</f>
        <v>346.36</v>
      </c>
      <c r="Q5" s="93">
        <f t="shared" ref="Q5:Q7" si="1">B5*P5</f>
        <v>346.36</v>
      </c>
    </row>
    <row r="6" spans="1:18" s="21" customFormat="1" ht="12.75" customHeight="1">
      <c r="A6" s="66" t="s">
        <v>56</v>
      </c>
      <c r="B6" s="1">
        <v>1</v>
      </c>
      <c r="C6" s="67" t="s">
        <v>647</v>
      </c>
      <c r="D6" s="277" t="e">
        <f ca="1">VLOOKUP(C6,Assemblies!E:S,2,0)</f>
        <v>#N/A</v>
      </c>
      <c r="E6" s="278"/>
      <c r="F6" s="32"/>
      <c r="G6" s="32"/>
      <c r="H6" s="292"/>
      <c r="I6" s="293"/>
      <c r="J6" s="28"/>
      <c r="K6" s="28"/>
      <c r="L6" s="28"/>
      <c r="M6" s="28"/>
      <c r="N6" s="33"/>
      <c r="O6" s="46" t="e">
        <f t="shared" ca="1" si="0"/>
        <v>#VALUE!</v>
      </c>
      <c r="P6" s="87">
        <f>'222'!Q16</f>
        <v>373.76000000000005</v>
      </c>
      <c r="Q6" s="93">
        <f t="shared" si="1"/>
        <v>373.76000000000005</v>
      </c>
    </row>
    <row r="7" spans="1:18" s="21" customFormat="1" ht="12.75" customHeight="1">
      <c r="A7" s="66" t="s">
        <v>58</v>
      </c>
      <c r="B7" s="1">
        <v>1</v>
      </c>
      <c r="C7" s="67" t="s">
        <v>648</v>
      </c>
      <c r="D7" s="277" t="e">
        <f ca="1">VLOOKUP(C7,Assemblies!E:S,2,0)</f>
        <v>#N/A</v>
      </c>
      <c r="E7" s="278"/>
      <c r="F7" s="32"/>
      <c r="G7" s="32"/>
      <c r="H7" s="292"/>
      <c r="I7" s="293"/>
      <c r="J7" s="28"/>
      <c r="K7" s="28"/>
      <c r="L7" s="28"/>
      <c r="M7" s="28"/>
      <c r="N7" s="33"/>
      <c r="O7" s="46" t="e">
        <f t="shared" ca="1" si="0"/>
        <v>#VALUE!</v>
      </c>
      <c r="P7" s="87">
        <f>'223'!Q15</f>
        <v>762.12</v>
      </c>
      <c r="Q7" s="93">
        <f t="shared" si="1"/>
        <v>762.12</v>
      </c>
    </row>
    <row r="8" spans="1:18" s="21" customFormat="1" ht="12.75" customHeight="1">
      <c r="A8" s="25"/>
      <c r="B8" s="26"/>
      <c r="C8" s="26"/>
      <c r="D8" s="272"/>
      <c r="E8" s="273"/>
      <c r="F8" s="26"/>
      <c r="G8" s="26"/>
      <c r="H8" s="274"/>
      <c r="I8" s="275"/>
      <c r="J8" s="27"/>
      <c r="K8" s="27"/>
      <c r="L8" s="27"/>
      <c r="M8" s="28"/>
      <c r="N8" s="29"/>
      <c r="O8" s="29"/>
      <c r="P8" s="141"/>
      <c r="Q8" s="142"/>
      <c r="R8" s="20"/>
    </row>
    <row r="9" spans="1:18" s="2" customFormat="1" ht="12.75" customHeight="1">
      <c r="A9" s="127">
        <v>1</v>
      </c>
      <c r="B9" s="21">
        <v>1</v>
      </c>
      <c r="C9" s="108" t="s">
        <v>649</v>
      </c>
      <c r="D9" s="277" t="str">
        <f>VLOOKUP(C9,Machined!C:Q,2,0)</f>
        <v>Unwind Base Plate</v>
      </c>
      <c r="E9" s="278"/>
      <c r="F9" s="131" t="str">
        <f>VLOOKUP(C9,Machined!C:R,7,0)</f>
        <v>6061-T6 Alum</v>
      </c>
      <c r="G9" s="131" t="str">
        <f>VLOOKUP(C9,Machined!C:R,10,0)</f>
        <v>BEMOX</v>
      </c>
      <c r="H9" s="131" t="str">
        <f>VLOOKUP(C9,Machined!C:R,11,0)</f>
        <v xml:space="preserve">  </v>
      </c>
      <c r="I9" s="131"/>
      <c r="J9" s="42">
        <f>VLOOKUP(C9,Machined!C:R,12,0)</f>
        <v>45141</v>
      </c>
      <c r="K9" s="42">
        <f>VLOOKUP(C9,Machined!C:R,13,0)</f>
        <v>45141</v>
      </c>
      <c r="L9" s="42">
        <f>VLOOKUP(C9,Machined!C:R,14,0)</f>
        <v>45171</v>
      </c>
      <c r="M9" s="42">
        <f>VLOOKUP(C9,Machined!C:R,15,0)</f>
        <v>45171</v>
      </c>
      <c r="N9" s="43">
        <f>VLOOKUP(C9,Machined!C:R,16,0)</f>
        <v>55029</v>
      </c>
      <c r="O9" s="43" t="e">
        <f t="shared" ref="O9:O13" ca="1" si="2">B9*$L$2</f>
        <v>#VALUE!</v>
      </c>
      <c r="P9" s="47">
        <f>IFERROR(VLOOKUP(C9,Machined!C:F,3,0),"")</f>
        <v>1185</v>
      </c>
      <c r="Q9" s="48">
        <f t="shared" ref="Q9:Q13" si="3">IFERROR(B9*P9,"")</f>
        <v>1185</v>
      </c>
    </row>
    <row r="10" spans="1:18" s="2" customFormat="1" ht="12.75" customHeight="1">
      <c r="A10" s="127">
        <v>2</v>
      </c>
      <c r="B10" s="21">
        <v>2</v>
      </c>
      <c r="C10" s="108" t="s">
        <v>650</v>
      </c>
      <c r="D10" s="277" t="str">
        <f>VLOOKUP(C10,Machined!C:Q,2,0)</f>
        <v>Unwind Side</v>
      </c>
      <c r="E10" s="278"/>
      <c r="F10" s="131" t="str">
        <f>VLOOKUP(C10,Machined!C:R,7,0)</f>
        <v>6061-T6 Alum</v>
      </c>
      <c r="G10" s="131" t="str">
        <f>VLOOKUP(C10,Machined!C:R,10,0)</f>
        <v>BEMOX</v>
      </c>
      <c r="H10" s="131" t="str">
        <f>VLOOKUP(C10,Machined!C:R,11,0)</f>
        <v xml:space="preserve">  </v>
      </c>
      <c r="I10" s="131"/>
      <c r="J10" s="42">
        <f>VLOOKUP(C10,Machined!C:R,12,0)</f>
        <v>45142</v>
      </c>
      <c r="K10" s="42">
        <f>VLOOKUP(C10,Machined!C:R,13,0)</f>
        <v>45146</v>
      </c>
      <c r="L10" s="42">
        <f>VLOOKUP(C10,Machined!C:R,14,0)</f>
        <v>45170</v>
      </c>
      <c r="M10" s="42">
        <f>VLOOKUP(C10,Machined!C:R,15,0)</f>
        <v>45170</v>
      </c>
      <c r="N10" s="43">
        <f>VLOOKUP(C10,Machined!C:R,16,0)</f>
        <v>55041</v>
      </c>
      <c r="O10" s="43" t="e">
        <f t="shared" ca="1" si="2"/>
        <v>#VALUE!</v>
      </c>
      <c r="P10" s="47">
        <f>IFERROR(VLOOKUP(C10,Machined!C:F,3,0),"")</f>
        <v>608.75</v>
      </c>
      <c r="Q10" s="48">
        <f t="shared" si="3"/>
        <v>1217.5</v>
      </c>
    </row>
    <row r="11" spans="1:18" s="2" customFormat="1" ht="12.75" customHeight="1">
      <c r="A11" s="127">
        <v>3</v>
      </c>
      <c r="B11" s="21">
        <v>4</v>
      </c>
      <c r="C11" s="108" t="s">
        <v>651</v>
      </c>
      <c r="D11" s="277" t="str">
        <f>VLOOKUP(C11,Machined!C:Q,2,0)</f>
        <v>Unwind Gusset</v>
      </c>
      <c r="E11" s="278"/>
      <c r="F11" s="131" t="str">
        <f>VLOOKUP(C11,Machined!C:R,7,0)</f>
        <v>6061-T6 Alum</v>
      </c>
      <c r="G11" s="131" t="str">
        <f>VLOOKUP(C11,Machined!C:R,10,0)</f>
        <v>FRONTIER</v>
      </c>
      <c r="H11" s="131" t="str">
        <f>VLOOKUP(C11,Machined!C:R,11,0)</f>
        <v xml:space="preserve"> </v>
      </c>
      <c r="I11" s="131"/>
      <c r="J11" s="42">
        <f>VLOOKUP(C11,Machined!C:R,12,0)</f>
        <v>45105</v>
      </c>
      <c r="K11" s="42">
        <f>VLOOKUP(C11,Machined!C:R,13,0)</f>
        <v>45133</v>
      </c>
      <c r="L11" s="42">
        <f>VLOOKUP(C11,Machined!C:R,14,0)</f>
        <v>45163</v>
      </c>
      <c r="M11" s="42">
        <f>VLOOKUP(C11,Machined!C:R,15,0)</f>
        <v>45163</v>
      </c>
      <c r="N11" s="43">
        <f>VLOOKUP(C11,Machined!C:R,16,0)</f>
        <v>55015</v>
      </c>
      <c r="O11" s="43" t="e">
        <f t="shared" ca="1" si="2"/>
        <v>#VALUE!</v>
      </c>
      <c r="P11" s="47">
        <f>IFERROR(VLOOKUP(C11,Machined!C:F,3,0),"")</f>
        <v>206.95</v>
      </c>
      <c r="Q11" s="48">
        <f t="shared" si="3"/>
        <v>827.8</v>
      </c>
    </row>
    <row r="12" spans="1:18" s="2" customFormat="1" ht="12.75" customHeight="1">
      <c r="A12" s="127">
        <v>4</v>
      </c>
      <c r="B12" s="21">
        <v>1</v>
      </c>
      <c r="C12" s="108" t="s">
        <v>652</v>
      </c>
      <c r="D12" s="277" t="str">
        <f>VLOOKUP(C12,Machined!C:Q,2,0)</f>
        <v>Gearbox Spacer Flange</v>
      </c>
      <c r="E12" s="278"/>
      <c r="F12" s="131" t="str">
        <f>VLOOKUP(C12,Machined!C:R,7,0)</f>
        <v>6061-T6 Alum</v>
      </c>
      <c r="G12" s="131" t="str">
        <f>VLOOKUP(C12,Machined!C:R,10,0)</f>
        <v>FRONTIER</v>
      </c>
      <c r="H12" s="131" t="str">
        <f>VLOOKUP(C12,Machined!C:R,11,0)</f>
        <v xml:space="preserve"> </v>
      </c>
      <c r="I12" s="131"/>
      <c r="J12" s="42">
        <f>VLOOKUP(C12,Machined!C:R,12,0)</f>
        <v>45105</v>
      </c>
      <c r="K12" s="42">
        <f>VLOOKUP(C12,Machined!C:R,13,0)</f>
        <v>45133</v>
      </c>
      <c r="L12" s="42">
        <f>VLOOKUP(C12,Machined!C:R,14,0)</f>
        <v>45163</v>
      </c>
      <c r="M12" s="42">
        <f>VLOOKUP(C12,Machined!C:R,15,0)</f>
        <v>45163</v>
      </c>
      <c r="N12" s="43">
        <f>VLOOKUP(C12,Machined!C:R,16,0)</f>
        <v>55015</v>
      </c>
      <c r="O12" s="43" t="e">
        <f t="shared" ca="1" si="2"/>
        <v>#VALUE!</v>
      </c>
      <c r="P12" s="47">
        <f>IFERROR(VLOOKUP(C12,Machined!C:F,3,0),"")</f>
        <v>393.75</v>
      </c>
      <c r="Q12" s="48">
        <f t="shared" si="3"/>
        <v>393.75</v>
      </c>
    </row>
    <row r="13" spans="1:18" s="2" customFormat="1" ht="12.75" customHeight="1">
      <c r="A13" s="127">
        <v>5</v>
      </c>
      <c r="B13" s="21">
        <v>1</v>
      </c>
      <c r="C13" s="108" t="s">
        <v>653</v>
      </c>
      <c r="D13" s="277" t="str">
        <f>VLOOKUP(C13,Machined!C:Q,2,0)</f>
        <v>Gearbox Spacer Block</v>
      </c>
      <c r="E13" s="278"/>
      <c r="F13" s="131" t="str">
        <f>VLOOKUP(C13,Machined!C:R,7,0)</f>
        <v>6061-T6 Alum</v>
      </c>
      <c r="G13" s="131" t="str">
        <f>VLOOKUP(C13,Machined!C:R,10,0)</f>
        <v>FRONTIER</v>
      </c>
      <c r="H13" s="131" t="str">
        <f>VLOOKUP(C13,Machined!C:R,11,0)</f>
        <v xml:space="preserve"> </v>
      </c>
      <c r="I13" s="131"/>
      <c r="J13" s="42">
        <f>VLOOKUP(C13,Machined!C:R,12,0)</f>
        <v>45105</v>
      </c>
      <c r="K13" s="42">
        <f>VLOOKUP(C13,Machined!C:R,13,0)</f>
        <v>45133</v>
      </c>
      <c r="L13" s="42">
        <f>VLOOKUP(C13,Machined!C:R,14,0)</f>
        <v>45163</v>
      </c>
      <c r="M13" s="42">
        <f>VLOOKUP(C13,Machined!C:R,15,0)</f>
        <v>45163</v>
      </c>
      <c r="N13" s="43">
        <f>VLOOKUP(C13,Machined!C:R,16,0)</f>
        <v>55015</v>
      </c>
      <c r="O13" s="43" t="e">
        <f t="shared" ca="1" si="2"/>
        <v>#VALUE!</v>
      </c>
      <c r="P13" s="47">
        <f>IFERROR(VLOOKUP(C13,Machined!C:F,3,0),"")</f>
        <v>573.4</v>
      </c>
      <c r="Q13" s="48">
        <f t="shared" si="3"/>
        <v>573.4</v>
      </c>
    </row>
    <row r="14" spans="1:18" s="2" customFormat="1" ht="12.75" customHeight="1">
      <c r="A14" s="143"/>
      <c r="B14" s="26"/>
      <c r="C14" s="26"/>
      <c r="D14" s="272"/>
      <c r="E14" s="273"/>
      <c r="F14" s="26"/>
      <c r="G14" s="26"/>
      <c r="H14" s="274"/>
      <c r="I14" s="275"/>
      <c r="J14" s="27"/>
      <c r="K14" s="27"/>
      <c r="L14" s="27"/>
      <c r="M14" s="28"/>
      <c r="N14" s="29"/>
      <c r="O14" s="29"/>
      <c r="P14" s="141"/>
      <c r="Q14" s="142"/>
    </row>
    <row r="15" spans="1:18" s="2" customFormat="1" ht="12.75" customHeight="1">
      <c r="A15" s="4">
        <v>301</v>
      </c>
      <c r="B15" s="2">
        <v>6</v>
      </c>
      <c r="C15" s="114" t="s">
        <v>406</v>
      </c>
      <c r="D15" s="268" t="str">
        <f>VLOOKUP(C15,Purchased!A:B,2,0)</f>
        <v>BRL 25mm runner block, flanged</v>
      </c>
      <c r="E15" s="269"/>
      <c r="F15" s="112" t="str">
        <f>VLOOKUP(C15,Purchased!A:Q,9,0)</f>
        <v>BRL</v>
      </c>
      <c r="G15" s="112" t="str">
        <f>VLOOKUP(C15,Purchased!A:Q,10,0)</f>
        <v>AAP</v>
      </c>
      <c r="H15" s="112" t="str">
        <f>VLOOKUP(C15,Purchased!A:Q,12,0)</f>
        <v xml:space="preserve">  </v>
      </c>
      <c r="I15" s="113"/>
      <c r="J15" s="44">
        <f>VLOOKUP(C15,Purchased!A:Q,13,0)</f>
        <v>45093</v>
      </c>
      <c r="K15" s="44">
        <f>VLOOKUP(C15,Purchased!A:Q,14,0)</f>
        <v>45093</v>
      </c>
      <c r="L15" s="44">
        <f>VLOOKUP(C15,Purchased!A:Q,15,0)</f>
        <v>45184</v>
      </c>
      <c r="M15" s="44">
        <f>VLOOKUP(C15,Purchased!A:Q,16,0)</f>
        <v>45184</v>
      </c>
      <c r="N15" s="45">
        <f>VLOOKUP(C15,Purchased!A:Q,17,0)</f>
        <v>54942</v>
      </c>
      <c r="O15" s="45" t="e">
        <f t="shared" ref="O15:O22" ca="1" si="4">B15*$L$2</f>
        <v>#VALUE!</v>
      </c>
      <c r="P15" s="49">
        <f>IFERROR(VLOOKUP(C15,Purchased!A:E,3,FALSE),"")</f>
        <v>138.67920000000001</v>
      </c>
      <c r="Q15" s="50">
        <f t="shared" ref="Q15:Q22" si="5">IFERROR(B15*P15,"")</f>
        <v>832.0752</v>
      </c>
    </row>
    <row r="16" spans="1:18" s="2" customFormat="1" ht="12" customHeight="1">
      <c r="A16" s="4">
        <f t="shared" ref="A16:A22" si="6">A15+1</f>
        <v>302</v>
      </c>
      <c r="B16" s="2">
        <v>1</v>
      </c>
      <c r="C16" s="114" t="s">
        <v>442</v>
      </c>
      <c r="D16" s="268" t="str">
        <f>VLOOKUP(C16,Purchased!A:B,2,0)</f>
        <v>BRC MS2N07-EXXXN-BXVG2-XNNNN-NN Servomotor</v>
      </c>
      <c r="E16" s="269"/>
      <c r="F16" s="112" t="str">
        <f>VLOOKUP(C16,Purchased!A:Q,9,0)</f>
        <v>BRC</v>
      </c>
      <c r="G16" s="112" t="str">
        <f>VLOOKUP(C16,Purchased!A:Q,10,0)</f>
        <v>AAP</v>
      </c>
      <c r="H16" s="112" t="str">
        <f>VLOOKUP(C16,Purchased!A:Q,12,0)</f>
        <v xml:space="preserve"> </v>
      </c>
      <c r="I16" s="113"/>
      <c r="J16" s="44" t="str">
        <f>VLOOKUP(C16,Purchased!A:Q,13,0)</f>
        <v>N/A</v>
      </c>
      <c r="K16" s="44">
        <f>VLOOKUP(C16,Purchased!A:Q,14,0)</f>
        <v>44881</v>
      </c>
      <c r="L16" s="44">
        <f>VLOOKUP(C16,Purchased!A:Q,15,0)</f>
        <v>44986</v>
      </c>
      <c r="M16" s="44">
        <f>VLOOKUP(C16,Purchased!A:Q,16,0)</f>
        <v>44986</v>
      </c>
      <c r="N16" s="45">
        <f>VLOOKUP(C16,Purchased!A:Q,17,0)</f>
        <v>54563</v>
      </c>
      <c r="O16" s="45" t="e">
        <f t="shared" ca="1" si="4"/>
        <v>#VALUE!</v>
      </c>
      <c r="P16" s="49">
        <f>IFERROR(VLOOKUP(C16,Purchased!A:E,3,FALSE),"")</f>
        <v>3673.3872999999999</v>
      </c>
      <c r="Q16" s="50">
        <f t="shared" si="5"/>
        <v>3673.3872999999999</v>
      </c>
    </row>
    <row r="17" spans="1:17" s="2" customFormat="1" ht="12" customHeight="1">
      <c r="A17" s="4">
        <f t="shared" si="6"/>
        <v>303</v>
      </c>
      <c r="B17" s="2">
        <v>1</v>
      </c>
      <c r="C17" s="114" t="s">
        <v>419</v>
      </c>
      <c r="D17" s="268" t="str">
        <f>VLOOKUP(C17,Purchased!A:B,2,0)</f>
        <v>BRC RG2-002ABB-NN-010,0 - 10m Encoder Servo cable</v>
      </c>
      <c r="E17" s="269"/>
      <c r="F17" s="112" t="str">
        <f>VLOOKUP(C17,Purchased!A:Q,9,0)</f>
        <v>BRC</v>
      </c>
      <c r="G17" s="112" t="str">
        <f>VLOOKUP(C17,Purchased!A:Q,10,0)</f>
        <v>AAP</v>
      </c>
      <c r="H17" s="112" t="str">
        <f>VLOOKUP(C17,Purchased!A:Q,12,0)</f>
        <v>2x unwind rolls 3x seg nips</v>
      </c>
      <c r="I17" s="113"/>
      <c r="J17" s="44">
        <f>VLOOKUP(C17,Purchased!A:Q,13,0)</f>
        <v>45089</v>
      </c>
      <c r="K17" s="44">
        <f>VLOOKUP(C17,Purchased!A:Q,14,0)</f>
        <v>45092</v>
      </c>
      <c r="L17" s="44">
        <f>VLOOKUP(C17,Purchased!A:Q,15,0)</f>
        <v>45139</v>
      </c>
      <c r="M17" s="44">
        <f>VLOOKUP(C17,Purchased!A:Q,16,0)</f>
        <v>45155</v>
      </c>
      <c r="N17" s="45">
        <f>VLOOKUP(C17,Purchased!A:Q,17,0)</f>
        <v>54940</v>
      </c>
      <c r="O17" s="45" t="e">
        <f t="shared" ca="1" si="4"/>
        <v>#VALUE!</v>
      </c>
      <c r="P17" s="49">
        <f>IFERROR(VLOOKUP(C17,Purchased!A:E,3,FALSE),"")</f>
        <v>183.85980000000001</v>
      </c>
      <c r="Q17" s="50">
        <f t="shared" si="5"/>
        <v>183.85980000000001</v>
      </c>
    </row>
    <row r="18" spans="1:17" s="2" customFormat="1" ht="12" customHeight="1">
      <c r="A18" s="4">
        <f t="shared" si="6"/>
        <v>304</v>
      </c>
      <c r="B18" s="2">
        <v>1</v>
      </c>
      <c r="C18" s="114" t="s">
        <v>418</v>
      </c>
      <c r="D18" s="268" t="str">
        <f>VLOOKUP(C18,Purchased!A:B,2,0)</f>
        <v>BRC RL2-043DBB-NN-010,0 - 10m Power Servo Cable</v>
      </c>
      <c r="E18" s="269"/>
      <c r="F18" s="112" t="str">
        <f>VLOOKUP(C18,Purchased!A:Q,9,0)</f>
        <v>BRC</v>
      </c>
      <c r="G18" s="112" t="str">
        <f>VLOOKUP(C18,Purchased!A:Q,10,0)</f>
        <v>AAP</v>
      </c>
      <c r="H18" s="112" t="str">
        <f>VLOOKUP(C18,Purchased!A:Q,12,0)</f>
        <v>2x unwind rolls 3x seg nips</v>
      </c>
      <c r="I18" s="113"/>
      <c r="J18" s="44">
        <f>VLOOKUP(C18,Purchased!A:Q,13,0)</f>
        <v>45089</v>
      </c>
      <c r="K18" s="44">
        <f>VLOOKUP(C18,Purchased!A:Q,14,0)</f>
        <v>45092</v>
      </c>
      <c r="L18" s="44">
        <f>VLOOKUP(C18,Purchased!A:Q,15,0)</f>
        <v>45139</v>
      </c>
      <c r="M18" s="44">
        <f>VLOOKUP(C18,Purchased!A:Q,16,0)</f>
        <v>45155</v>
      </c>
      <c r="N18" s="45">
        <f>VLOOKUP(C18,Purchased!A:Q,17,0)</f>
        <v>54940</v>
      </c>
      <c r="O18" s="45" t="e">
        <f t="shared" ca="1" si="4"/>
        <v>#VALUE!</v>
      </c>
      <c r="P18" s="49">
        <f>IFERROR(VLOOKUP(C18,Purchased!A:E,3,FALSE),"")</f>
        <v>481.34809999999999</v>
      </c>
      <c r="Q18" s="50">
        <f t="shared" si="5"/>
        <v>481.34809999999999</v>
      </c>
    </row>
    <row r="19" spans="1:17" s="2" customFormat="1" ht="12" customHeight="1">
      <c r="A19" s="4">
        <f t="shared" si="6"/>
        <v>305</v>
      </c>
      <c r="B19" s="2">
        <v>1</v>
      </c>
      <c r="C19" s="114" t="s">
        <v>654</v>
      </c>
      <c r="D19" s="268" t="str">
        <f>VLOOKUP(C19,Purchased!A:B,2,0)</f>
        <v>SRL-2500 Strip Shaft 6in</v>
      </c>
      <c r="E19" s="269"/>
      <c r="F19" s="112" t="str">
        <f>VLOOKUP(C19,Purchased!A:Q,9,0)</f>
        <v>Double E</v>
      </c>
      <c r="G19" s="112" t="str">
        <f>VLOOKUP(C19,Purchased!A:Q,10,0)</f>
        <v>Double E</v>
      </c>
      <c r="H19" s="112" t="str">
        <f>VLOOKUP(C19,Purchased!A:Q,12,0)</f>
        <v xml:space="preserve"> </v>
      </c>
      <c r="I19" s="113"/>
      <c r="J19" s="44" t="str">
        <f>VLOOKUP(C19,Purchased!A:Q,13,0)</f>
        <v>N/A</v>
      </c>
      <c r="K19" s="44">
        <f>VLOOKUP(C19,Purchased!A:Q,14,0)</f>
        <v>45016</v>
      </c>
      <c r="L19" s="44">
        <f>VLOOKUP(C19,Purchased!A:Q,15,0)</f>
        <v>45086</v>
      </c>
      <c r="M19" s="44">
        <f>VLOOKUP(C19,Purchased!A:Q,16,0)</f>
        <v>45086</v>
      </c>
      <c r="N19" s="45">
        <f>VLOOKUP(C19,Purchased!A:Q,17,0)</f>
        <v>54832</v>
      </c>
      <c r="O19" s="45" t="e">
        <f t="shared" ref="O19:O21" ca="1" si="7">B19*$L$2</f>
        <v>#VALUE!</v>
      </c>
      <c r="P19" s="49">
        <f>IFERROR(VLOOKUP(C19,Purchased!A:E,3,FALSE),"")</f>
        <v>2799</v>
      </c>
      <c r="Q19" s="50">
        <f t="shared" ref="Q19:Q21" si="8">IFERROR(B19*P19,"")</f>
        <v>2799</v>
      </c>
    </row>
    <row r="20" spans="1:17" s="2" customFormat="1" ht="12" customHeight="1">
      <c r="A20" s="4">
        <f t="shared" si="6"/>
        <v>306</v>
      </c>
      <c r="B20" s="2">
        <v>1</v>
      </c>
      <c r="C20" s="109" t="s">
        <v>655</v>
      </c>
      <c r="D20" s="268" t="str">
        <f>VLOOKUP(C20,Purchased!A:B,2,0)</f>
        <v>SP100-F1-IU38 Driven Safety Chuck</v>
      </c>
      <c r="E20" s="269"/>
      <c r="F20" s="112" t="str">
        <f>VLOOKUP(C20,Purchased!A:Q,9,0)</f>
        <v>Double E</v>
      </c>
      <c r="G20" s="112" t="str">
        <f>VLOOKUP(C20,Purchased!A:Q,10,0)</f>
        <v>Double E</v>
      </c>
      <c r="H20" s="112" t="str">
        <f>VLOOKUP(C20,Purchased!A:Q,12,0)</f>
        <v xml:space="preserve"> </v>
      </c>
      <c r="I20" s="113"/>
      <c r="J20" s="44" t="str">
        <f>VLOOKUP(C20,Purchased!A:Q,13,0)</f>
        <v>N/A</v>
      </c>
      <c r="K20" s="44">
        <f>VLOOKUP(C20,Purchased!A:Q,14,0)</f>
        <v>45016</v>
      </c>
      <c r="L20" s="44">
        <f>VLOOKUP(C20,Purchased!A:Q,15,0)</f>
        <v>45086</v>
      </c>
      <c r="M20" s="44">
        <f>VLOOKUP(C20,Purchased!A:Q,16,0)</f>
        <v>45086</v>
      </c>
      <c r="N20" s="45">
        <f>VLOOKUP(C20,Purchased!A:Q,17,0)</f>
        <v>54832</v>
      </c>
      <c r="O20" s="45" t="e">
        <f t="shared" ca="1" si="7"/>
        <v>#VALUE!</v>
      </c>
      <c r="P20" s="49">
        <f>IFERROR(VLOOKUP(C20,Purchased!A:E,3,FALSE),"")</f>
        <v>2327</v>
      </c>
      <c r="Q20" s="50">
        <f t="shared" si="8"/>
        <v>2327</v>
      </c>
    </row>
    <row r="21" spans="1:17" s="2" customFormat="1" ht="12" customHeight="1">
      <c r="A21" s="4">
        <f t="shared" si="6"/>
        <v>307</v>
      </c>
      <c r="B21" s="2">
        <v>1</v>
      </c>
      <c r="C21" s="114" t="s">
        <v>656</v>
      </c>
      <c r="D21" s="268" t="str">
        <f>VLOOKUP(C21,Purchased!A:B,2,0)</f>
        <v>SP100-F0-IU38 Idler Safety Chuck</v>
      </c>
      <c r="E21" s="269"/>
      <c r="F21" s="112" t="str">
        <f>VLOOKUP(C21,Purchased!A:Q,9,0)</f>
        <v>Double E</v>
      </c>
      <c r="G21" s="112" t="str">
        <f>VLOOKUP(C21,Purchased!A:Q,10,0)</f>
        <v>Double E</v>
      </c>
      <c r="H21" s="112" t="str">
        <f>VLOOKUP(C21,Purchased!A:Q,12,0)</f>
        <v xml:space="preserve"> </v>
      </c>
      <c r="I21" s="113"/>
      <c r="J21" s="44" t="str">
        <f>VLOOKUP(C21,Purchased!A:Q,13,0)</f>
        <v>N/A</v>
      </c>
      <c r="K21" s="44">
        <f>VLOOKUP(C21,Purchased!A:Q,14,0)</f>
        <v>45016</v>
      </c>
      <c r="L21" s="44">
        <f>VLOOKUP(C21,Purchased!A:Q,15,0)</f>
        <v>45086</v>
      </c>
      <c r="M21" s="44">
        <f>VLOOKUP(C21,Purchased!A:Q,16,0)</f>
        <v>45086</v>
      </c>
      <c r="N21" s="45">
        <f>VLOOKUP(C21,Purchased!A:Q,17,0)</f>
        <v>54832</v>
      </c>
      <c r="O21" s="45" t="e">
        <f t="shared" ca="1" si="7"/>
        <v>#VALUE!</v>
      </c>
      <c r="P21" s="49">
        <f>IFERROR(VLOOKUP(C21,Purchased!A:E,3,FALSE),"")</f>
        <v>2025</v>
      </c>
      <c r="Q21" s="50">
        <f t="shared" si="8"/>
        <v>2025</v>
      </c>
    </row>
    <row r="22" spans="1:17" s="2" customFormat="1" ht="12" customHeight="1">
      <c r="A22" s="4">
        <f t="shared" si="6"/>
        <v>308</v>
      </c>
      <c r="B22" s="2">
        <v>1</v>
      </c>
      <c r="C22" s="114" t="s">
        <v>657</v>
      </c>
      <c r="D22" s="268" t="str">
        <f>VLOOKUP(C22,Purchased!A:B,2,0)</f>
        <v>STOBER K713WG0590ME30 GEARBOX</v>
      </c>
      <c r="E22" s="269"/>
      <c r="F22" s="112" t="str">
        <f>VLOOKUP(C22,Purchased!A:Q,9,0)</f>
        <v>STOBER</v>
      </c>
      <c r="G22" s="112" t="str">
        <f>VLOOKUP(C22,Purchased!A:Q,10,0)</f>
        <v>AAP</v>
      </c>
      <c r="H22" s="112" t="str">
        <f>VLOOKUP(C22,Purchased!A:Q,12,0)</f>
        <v xml:space="preserve"> </v>
      </c>
      <c r="I22" s="113"/>
      <c r="J22" s="44" t="str">
        <f>VLOOKUP(C22,Purchased!A:Q,13,0)</f>
        <v>N/A</v>
      </c>
      <c r="K22" s="44">
        <f>VLOOKUP(C22,Purchased!A:Q,14,0)</f>
        <v>45096</v>
      </c>
      <c r="L22" s="44">
        <f>VLOOKUP(C22,Purchased!A:Q,15,0)</f>
        <v>45110</v>
      </c>
      <c r="M22" s="44">
        <f>VLOOKUP(C22,Purchased!A:Q,16,0)</f>
        <v>45110</v>
      </c>
      <c r="N22" s="45">
        <f>VLOOKUP(C22,Purchased!A:Q,17,0)</f>
        <v>54937</v>
      </c>
      <c r="O22" s="45" t="e">
        <f t="shared" ca="1" si="4"/>
        <v>#VALUE!</v>
      </c>
      <c r="P22" s="49">
        <f>IFERROR(VLOOKUP(C22,Purchased!A:E,3,FALSE),"")</f>
        <v>6236.2879999999996</v>
      </c>
      <c r="Q22" s="50">
        <f t="shared" si="5"/>
        <v>6236.2879999999996</v>
      </c>
    </row>
    <row r="23" spans="1:17" s="2" customFormat="1" ht="12.75" customHeight="1">
      <c r="A23" s="25"/>
      <c r="B23" s="26"/>
      <c r="C23" s="26"/>
      <c r="D23" s="272"/>
      <c r="E23" s="273"/>
      <c r="F23" s="26"/>
      <c r="G23" s="26"/>
      <c r="H23" s="274"/>
      <c r="I23" s="275"/>
      <c r="J23" s="27"/>
      <c r="K23" s="27"/>
      <c r="L23" s="27"/>
      <c r="M23" s="28"/>
      <c r="N23" s="29"/>
      <c r="O23" s="29" t="e">
        <f t="shared" ref="O23:O29" ca="1" si="9">B23*$L$2</f>
        <v>#VALUE!</v>
      </c>
      <c r="P23" s="141"/>
      <c r="Q23" s="142"/>
    </row>
    <row r="24" spans="1:17" s="2" customFormat="1" ht="12.75" customHeight="1">
      <c r="A24" s="4">
        <v>501</v>
      </c>
      <c r="B24" s="2">
        <v>24</v>
      </c>
      <c r="C24" s="110" t="s">
        <v>362</v>
      </c>
      <c r="D24" s="268"/>
      <c r="E24" s="276"/>
      <c r="F24" s="112" t="str">
        <f>VLOOKUP(C24,Bolts!A:L,5,0)</f>
        <v xml:space="preserve">  </v>
      </c>
      <c r="G24" s="112" t="str">
        <f>VLOOKUP(C24,Bolts!A:L,6,0)</f>
        <v>Monroe Fasteners</v>
      </c>
      <c r="H24" s="112" t="str">
        <f>VLOOKUP(C24,Bolts!A:L,7,0)</f>
        <v xml:space="preserve">  </v>
      </c>
      <c r="I24" s="112"/>
      <c r="J24" s="44" t="str">
        <f>VLOOKUP(C24,Bolts!A:L,8,0)</f>
        <v xml:space="preserve"> </v>
      </c>
      <c r="K24" s="44" t="str">
        <f>VLOOKUP(C24,Bolts!A:L,9,0)</f>
        <v xml:space="preserve"> </v>
      </c>
      <c r="L24" s="44" t="str">
        <f>VLOOKUP(C24,Bolts!A:L,10,0)</f>
        <v xml:space="preserve"> </v>
      </c>
      <c r="M24" s="44" t="str">
        <f>VLOOKUP(C24,Bolts!A:L,11,0)</f>
        <v xml:space="preserve"> </v>
      </c>
      <c r="N24" s="45" t="str">
        <f>VLOOKUP(C24,Bolts!A:L,12,0)</f>
        <v xml:space="preserve"> </v>
      </c>
      <c r="O24" s="45" t="e">
        <f t="shared" ca="1" si="9"/>
        <v>#VALUE!</v>
      </c>
      <c r="P24" s="49" t="str">
        <f>IFERROR(VLOOKUP(C24,Bolts!A:B,2,FALSE),"")</f>
        <v xml:space="preserve"> </v>
      </c>
      <c r="Q24" s="50" t="str">
        <f t="shared" ref="Q24:Q29" si="10">IFERROR(B24*P24,"")</f>
        <v/>
      </c>
    </row>
    <row r="25" spans="1:17" s="2" customFormat="1" ht="12.75" customHeight="1">
      <c r="A25" s="4">
        <f t="shared" ref="A25:A29" si="11">A24+1</f>
        <v>502</v>
      </c>
      <c r="B25" s="2">
        <v>20</v>
      </c>
      <c r="C25" s="110" t="s">
        <v>353</v>
      </c>
      <c r="D25" s="268"/>
      <c r="E25" s="276"/>
      <c r="F25" s="112" t="str">
        <f>VLOOKUP(C25,Bolts!A:L,5,0)</f>
        <v xml:space="preserve">  </v>
      </c>
      <c r="G25" s="112" t="str">
        <f>VLOOKUP(C25,Bolts!A:L,6,0)</f>
        <v>Monroe Fasteners</v>
      </c>
      <c r="H25" s="112" t="str">
        <f>VLOOKUP(C25,Bolts!A:L,7,0)</f>
        <v xml:space="preserve">  </v>
      </c>
      <c r="I25" s="112"/>
      <c r="J25" s="44" t="str">
        <f>VLOOKUP(C25,Bolts!A:L,8,0)</f>
        <v xml:space="preserve"> </v>
      </c>
      <c r="K25" s="44" t="str">
        <f>VLOOKUP(C25,Bolts!A:L,9,0)</f>
        <v xml:space="preserve"> </v>
      </c>
      <c r="L25" s="44" t="str">
        <f>VLOOKUP(C25,Bolts!A:L,10,0)</f>
        <v xml:space="preserve"> </v>
      </c>
      <c r="M25" s="44" t="str">
        <f>VLOOKUP(C25,Bolts!A:L,11,0)</f>
        <v xml:space="preserve"> </v>
      </c>
      <c r="N25" s="45" t="str">
        <f>VLOOKUP(C25,Bolts!A:L,12,0)</f>
        <v xml:space="preserve"> </v>
      </c>
      <c r="O25" s="45" t="e">
        <f t="shared" ca="1" si="9"/>
        <v>#VALUE!</v>
      </c>
      <c r="P25" s="49" t="str">
        <f>IFERROR(VLOOKUP(C25,Bolts!A:B,2,FALSE),"")</f>
        <v xml:space="preserve"> </v>
      </c>
      <c r="Q25" s="50" t="str">
        <f t="shared" si="10"/>
        <v/>
      </c>
    </row>
    <row r="26" spans="1:17" s="2" customFormat="1" ht="12" customHeight="1">
      <c r="A26" s="4">
        <f t="shared" si="11"/>
        <v>503</v>
      </c>
      <c r="B26" s="2">
        <v>4</v>
      </c>
      <c r="C26" s="110" t="s">
        <v>428</v>
      </c>
      <c r="D26" s="268"/>
      <c r="E26" s="276"/>
      <c r="F26" s="112" t="str">
        <f>VLOOKUP(C26,Bolts!A:L,5,0)</f>
        <v xml:space="preserve">  </v>
      </c>
      <c r="G26" s="112" t="str">
        <f>VLOOKUP(C26,Bolts!A:L,6,0)</f>
        <v>Monroe Fasteners</v>
      </c>
      <c r="H26" s="112" t="str">
        <f>VLOOKUP(C26,Bolts!A:L,7,0)</f>
        <v xml:space="preserve">  </v>
      </c>
      <c r="I26" s="112"/>
      <c r="J26" s="44" t="str">
        <f>VLOOKUP(C26,Bolts!A:L,8,0)</f>
        <v xml:space="preserve"> </v>
      </c>
      <c r="K26" s="44" t="str">
        <f>VLOOKUP(C26,Bolts!A:L,9,0)</f>
        <v xml:space="preserve"> </v>
      </c>
      <c r="L26" s="44" t="str">
        <f>VLOOKUP(C26,Bolts!A:L,10,0)</f>
        <v xml:space="preserve"> </v>
      </c>
      <c r="M26" s="44" t="str">
        <f>VLOOKUP(C26,Bolts!A:L,11,0)</f>
        <v xml:space="preserve"> </v>
      </c>
      <c r="N26" s="45" t="str">
        <f>VLOOKUP(C26,Bolts!A:L,12,0)</f>
        <v xml:space="preserve"> </v>
      </c>
      <c r="O26" s="45" t="e">
        <f t="shared" ca="1" si="9"/>
        <v>#VALUE!</v>
      </c>
      <c r="P26" s="49" t="str">
        <f>IFERROR(VLOOKUP(C26,Bolts!A:B,2,FALSE),"")</f>
        <v xml:space="preserve"> </v>
      </c>
      <c r="Q26" s="50" t="str">
        <f t="shared" si="10"/>
        <v/>
      </c>
    </row>
    <row r="27" spans="1:17" s="2" customFormat="1" ht="12" customHeight="1">
      <c r="A27" s="4">
        <f t="shared" si="11"/>
        <v>504</v>
      </c>
      <c r="B27" s="2">
        <v>8</v>
      </c>
      <c r="C27" s="110" t="s">
        <v>658</v>
      </c>
      <c r="D27" s="268"/>
      <c r="E27" s="276"/>
      <c r="F27" s="112" t="str">
        <f>VLOOKUP(C27,Bolts!A:L,5,0)</f>
        <v xml:space="preserve">  </v>
      </c>
      <c r="G27" s="112" t="str">
        <f>VLOOKUP(C27,Bolts!A:L,6,0)</f>
        <v>Monroe Fasteners</v>
      </c>
      <c r="H27" s="112" t="str">
        <f>VLOOKUP(C27,Bolts!A:L,7,0)</f>
        <v xml:space="preserve">  </v>
      </c>
      <c r="I27" s="112"/>
      <c r="J27" s="44" t="str">
        <f>VLOOKUP(C27,Bolts!A:L,8,0)</f>
        <v xml:space="preserve"> </v>
      </c>
      <c r="K27" s="44" t="str">
        <f>VLOOKUP(C27,Bolts!A:L,9,0)</f>
        <v xml:space="preserve"> </v>
      </c>
      <c r="L27" s="44" t="str">
        <f>VLOOKUP(C27,Bolts!A:L,10,0)</f>
        <v xml:space="preserve"> </v>
      </c>
      <c r="M27" s="44" t="str">
        <f>VLOOKUP(C27,Bolts!A:L,11,0)</f>
        <v xml:space="preserve"> </v>
      </c>
      <c r="N27" s="45" t="str">
        <f>VLOOKUP(C27,Bolts!A:L,12,0)</f>
        <v xml:space="preserve"> </v>
      </c>
      <c r="O27" s="45" t="e">
        <f t="shared" ca="1" si="9"/>
        <v>#VALUE!</v>
      </c>
      <c r="P27" s="49" t="str">
        <f>IFERROR(VLOOKUP(C27,Bolts!A:B,2,FALSE),"")</f>
        <v xml:space="preserve"> </v>
      </c>
      <c r="Q27" s="50" t="str">
        <f t="shared" si="10"/>
        <v/>
      </c>
    </row>
    <row r="28" spans="1:17" s="2" customFormat="1" ht="12" customHeight="1">
      <c r="A28" s="4">
        <f t="shared" si="11"/>
        <v>505</v>
      </c>
      <c r="B28" s="2">
        <v>6</v>
      </c>
      <c r="C28" s="110" t="s">
        <v>659</v>
      </c>
      <c r="D28" s="268"/>
      <c r="E28" s="276"/>
      <c r="F28" s="112" t="str">
        <f>VLOOKUP(C28,Bolts!A:L,5,0)</f>
        <v xml:space="preserve">  </v>
      </c>
      <c r="G28" s="112" t="str">
        <f>VLOOKUP(C28,Bolts!A:L,6,0)</f>
        <v>Monroe Fasteners</v>
      </c>
      <c r="H28" s="112" t="str">
        <f>VLOOKUP(C28,Bolts!A:L,7,0)</f>
        <v xml:space="preserve">  </v>
      </c>
      <c r="I28" s="112"/>
      <c r="J28" s="44" t="str">
        <f>VLOOKUP(C28,Bolts!A:L,8,0)</f>
        <v xml:space="preserve"> </v>
      </c>
      <c r="K28" s="44" t="str">
        <f>VLOOKUP(C28,Bolts!A:L,9,0)</f>
        <v xml:space="preserve"> </v>
      </c>
      <c r="L28" s="44" t="str">
        <f>VLOOKUP(C28,Bolts!A:L,10,0)</f>
        <v xml:space="preserve"> </v>
      </c>
      <c r="M28" s="44" t="str">
        <f>VLOOKUP(C28,Bolts!A:L,11,0)</f>
        <v xml:space="preserve"> </v>
      </c>
      <c r="N28" s="45" t="str">
        <f>VLOOKUP(C28,Bolts!A:L,12,0)</f>
        <v xml:space="preserve"> </v>
      </c>
      <c r="O28" s="45" t="e">
        <f t="shared" ca="1" si="9"/>
        <v>#VALUE!</v>
      </c>
      <c r="P28" s="49" t="str">
        <f>IFERROR(VLOOKUP(C28,Bolts!A:B,2,FALSE),"")</f>
        <v xml:space="preserve"> </v>
      </c>
      <c r="Q28" s="50" t="str">
        <f t="shared" si="10"/>
        <v/>
      </c>
    </row>
    <row r="29" spans="1:17" s="2" customFormat="1" ht="12" customHeight="1">
      <c r="A29" s="4">
        <f t="shared" si="11"/>
        <v>506</v>
      </c>
      <c r="B29" s="2">
        <v>8</v>
      </c>
      <c r="C29" s="110" t="s">
        <v>660</v>
      </c>
      <c r="D29" s="268"/>
      <c r="E29" s="276"/>
      <c r="F29" s="112" t="str">
        <f>VLOOKUP(C29,Bolts!A:L,5,0)</f>
        <v xml:space="preserve">  </v>
      </c>
      <c r="G29" s="112" t="str">
        <f>VLOOKUP(C29,Bolts!A:L,6,0)</f>
        <v>Monroe Fasteners</v>
      </c>
      <c r="H29" s="112" t="str">
        <f>VLOOKUP(C29,Bolts!A:L,7,0)</f>
        <v xml:space="preserve">  </v>
      </c>
      <c r="I29" s="112"/>
      <c r="J29" s="44" t="str">
        <f>VLOOKUP(C29,Bolts!A:L,8,0)</f>
        <v xml:space="preserve"> </v>
      </c>
      <c r="K29" s="44" t="str">
        <f>VLOOKUP(C29,Bolts!A:L,9,0)</f>
        <v xml:space="preserve"> </v>
      </c>
      <c r="L29" s="44" t="str">
        <f>VLOOKUP(C29,Bolts!A:L,10,0)</f>
        <v xml:space="preserve"> </v>
      </c>
      <c r="M29" s="44" t="str">
        <f>VLOOKUP(C29,Bolts!A:L,11,0)</f>
        <v xml:space="preserve"> </v>
      </c>
      <c r="N29" s="45" t="str">
        <f>VLOOKUP(C29,Bolts!A:L,12,0)</f>
        <v xml:space="preserve"> </v>
      </c>
      <c r="O29" s="45" t="e">
        <f t="shared" ca="1" si="9"/>
        <v>#VALUE!</v>
      </c>
      <c r="P29" s="49" t="str">
        <f>IFERROR(VLOOKUP(C29,Bolts!A:B,2,FALSE),"")</f>
        <v xml:space="preserve"> </v>
      </c>
      <c r="Q29" s="50" t="str">
        <f t="shared" si="10"/>
        <v/>
      </c>
    </row>
    <row r="30" spans="1:17" s="2" customFormat="1" ht="12" customHeight="1" thickBot="1">
      <c r="A30" s="4">
        <v>507</v>
      </c>
      <c r="B30" s="2">
        <v>8</v>
      </c>
      <c r="C30" s="110" t="s">
        <v>661</v>
      </c>
      <c r="D30" s="268"/>
      <c r="E30" s="276"/>
      <c r="F30" s="112">
        <f>VLOOKUP(C30,Bolts!A:L,5,0)</f>
        <v>0</v>
      </c>
      <c r="G30" s="112">
        <f>VLOOKUP(C30,Bolts!A:L,6,0)</f>
        <v>0</v>
      </c>
      <c r="H30" s="112">
        <f>VLOOKUP(C30,Bolts!A:L,7,0)</f>
        <v>0</v>
      </c>
      <c r="I30" s="112"/>
      <c r="J30" s="44">
        <f>VLOOKUP(C30,Bolts!A:L,8,0)</f>
        <v>0</v>
      </c>
      <c r="K30" s="44">
        <f>VLOOKUP(C30,Bolts!A:L,9,0)</f>
        <v>0</v>
      </c>
      <c r="L30" s="44">
        <f>VLOOKUP(C30,Bolts!A:L,10,0)</f>
        <v>0</v>
      </c>
      <c r="M30" s="44">
        <f>VLOOKUP(C30,Bolts!A:L,11,0)</f>
        <v>0</v>
      </c>
      <c r="N30" s="45">
        <f>VLOOKUP(C30,Bolts!A:L,12,0)</f>
        <v>0</v>
      </c>
      <c r="O30" s="45" t="e">
        <f t="shared" ref="O30" ca="1" si="12">B30*$L$2</f>
        <v>#VALUE!</v>
      </c>
      <c r="P30" s="49">
        <f>IFERROR(VLOOKUP(C30,Bolts!A:B,2,FALSE),"")</f>
        <v>0</v>
      </c>
      <c r="Q30" s="50">
        <f t="shared" ref="Q30" si="13">IFERROR(B30*P30,"")</f>
        <v>0</v>
      </c>
    </row>
    <row r="31" spans="1:17" s="2" customFormat="1" ht="12.75" customHeight="1" thickBot="1">
      <c r="A31" s="34"/>
      <c r="B31" s="35"/>
      <c r="C31" s="35"/>
      <c r="D31" s="256"/>
      <c r="E31" s="257"/>
      <c r="F31" s="35"/>
      <c r="G31" s="35"/>
      <c r="H31" s="294"/>
      <c r="I31" s="295"/>
      <c r="J31" s="36"/>
      <c r="K31" s="36"/>
      <c r="L31" s="36"/>
      <c r="M31" s="37"/>
      <c r="N31" s="38"/>
      <c r="O31" s="38"/>
      <c r="P31" s="89" t="s">
        <v>43</v>
      </c>
      <c r="Q31" s="94">
        <f>SUM(Q5:Q30)</f>
        <v>24237.648399999998</v>
      </c>
    </row>
    <row r="32" spans="1:17" s="2" customFormat="1" ht="12" customHeight="1">
      <c r="D32" s="22"/>
      <c r="E32" s="22"/>
      <c r="J32" s="8"/>
      <c r="K32" s="8"/>
      <c r="L32" s="8"/>
      <c r="M32" s="8"/>
      <c r="N32" s="5"/>
      <c r="O32" s="5"/>
      <c r="P32" s="88"/>
      <c r="Q32" s="95"/>
    </row>
    <row r="33" spans="4:17" s="2" customFormat="1" ht="12" customHeight="1">
      <c r="D33" s="22"/>
      <c r="E33" s="22"/>
      <c r="J33" s="5"/>
      <c r="K33" s="5"/>
      <c r="L33" s="5"/>
      <c r="M33" s="5"/>
      <c r="N33" s="5"/>
      <c r="O33" s="5"/>
      <c r="P33" s="88"/>
      <c r="Q33" s="95"/>
    </row>
    <row r="34" spans="4:17" s="2" customFormat="1" ht="12" customHeight="1">
      <c r="D34" s="22"/>
      <c r="E34" s="22"/>
      <c r="J34" s="5"/>
      <c r="K34" s="5"/>
      <c r="L34" s="5"/>
      <c r="M34" s="5"/>
      <c r="N34" s="5"/>
      <c r="O34" s="5"/>
      <c r="P34" s="88"/>
      <c r="Q34" s="95"/>
    </row>
    <row r="35" spans="4:17" s="2" customFormat="1" ht="12" customHeight="1">
      <c r="D35" s="22"/>
      <c r="E35" s="22"/>
      <c r="J35" s="5"/>
      <c r="K35" s="5"/>
      <c r="L35" s="5"/>
      <c r="M35" s="5"/>
      <c r="N35" s="5"/>
      <c r="O35" s="5"/>
      <c r="P35" s="88"/>
      <c r="Q35" s="95"/>
    </row>
    <row r="36" spans="4:17" s="2" customFormat="1" ht="12" customHeight="1">
      <c r="D36" s="22"/>
      <c r="E36" s="22"/>
      <c r="J36" s="5"/>
      <c r="K36" s="5"/>
      <c r="L36" s="5"/>
      <c r="M36" s="5"/>
      <c r="N36" s="5"/>
      <c r="O36" s="5"/>
      <c r="P36" s="88"/>
      <c r="Q36" s="95"/>
    </row>
    <row r="37" spans="4:17" s="2" customFormat="1" ht="12" customHeight="1">
      <c r="D37" s="22"/>
      <c r="E37" s="22"/>
      <c r="J37" s="5"/>
      <c r="K37" s="5"/>
      <c r="L37" s="5"/>
      <c r="M37" s="5"/>
      <c r="N37" s="5"/>
      <c r="O37" s="5"/>
      <c r="P37" s="88"/>
      <c r="Q37" s="95"/>
    </row>
    <row r="38" spans="4:17" s="2" customFormat="1" ht="12" customHeight="1">
      <c r="D38" s="22"/>
      <c r="E38" s="22"/>
      <c r="J38" s="5"/>
      <c r="K38" s="5"/>
      <c r="L38" s="5"/>
      <c r="M38" s="5"/>
      <c r="N38" s="5"/>
      <c r="O38" s="5"/>
      <c r="P38" s="88"/>
      <c r="Q38" s="95"/>
    </row>
    <row r="39" spans="4:17" s="2" customFormat="1" ht="12" customHeight="1">
      <c r="D39" s="22"/>
      <c r="E39" s="22"/>
      <c r="J39" s="5"/>
      <c r="K39" s="5"/>
      <c r="L39" s="5"/>
      <c r="M39" s="5"/>
      <c r="N39" s="5"/>
      <c r="O39" s="5"/>
      <c r="P39" s="88"/>
      <c r="Q39" s="95"/>
    </row>
    <row r="40" spans="4:17" s="2" customFormat="1" ht="12" customHeight="1">
      <c r="D40" s="22"/>
      <c r="E40" s="22"/>
      <c r="J40" s="5"/>
      <c r="K40" s="5"/>
      <c r="L40" s="5"/>
      <c r="M40" s="5"/>
      <c r="N40" s="5"/>
      <c r="O40" s="5"/>
      <c r="P40" s="88"/>
      <c r="Q40" s="95"/>
    </row>
    <row r="41" spans="4:17" s="2" customFormat="1" ht="12" customHeight="1">
      <c r="D41" s="22"/>
      <c r="E41" s="22"/>
      <c r="J41" s="5"/>
      <c r="K41" s="5"/>
      <c r="L41" s="5"/>
      <c r="M41" s="5"/>
      <c r="N41" s="5"/>
      <c r="O41" s="5"/>
      <c r="P41" s="88"/>
      <c r="Q41" s="95"/>
    </row>
    <row r="42" spans="4:17" s="2" customFormat="1" ht="12" customHeight="1">
      <c r="D42" s="22"/>
      <c r="E42" s="22"/>
      <c r="J42" s="5"/>
      <c r="K42" s="5"/>
      <c r="L42" s="5"/>
      <c r="M42" s="5"/>
      <c r="N42" s="5"/>
      <c r="O42" s="5"/>
      <c r="P42" s="88"/>
      <c r="Q42" s="95"/>
    </row>
    <row r="43" spans="4:17" s="2" customFormat="1" ht="12" customHeight="1">
      <c r="D43" s="22"/>
      <c r="E43" s="22"/>
      <c r="J43" s="5"/>
      <c r="K43" s="5"/>
      <c r="L43" s="5"/>
      <c r="M43" s="5"/>
      <c r="N43" s="5"/>
      <c r="O43" s="5"/>
      <c r="P43" s="88"/>
      <c r="Q43" s="95"/>
    </row>
    <row r="44" spans="4:17" s="2" customFormat="1" ht="12" customHeight="1">
      <c r="D44" s="22"/>
      <c r="E44" s="22"/>
      <c r="J44" s="5"/>
      <c r="K44" s="5"/>
      <c r="L44" s="5"/>
      <c r="M44" s="5"/>
      <c r="N44" s="5"/>
      <c r="O44" s="5"/>
      <c r="P44" s="88"/>
      <c r="Q44" s="95"/>
    </row>
    <row r="45" spans="4:17" s="2" customFormat="1" ht="12" customHeight="1">
      <c r="D45" s="22"/>
      <c r="E45" s="22"/>
      <c r="J45" s="5"/>
      <c r="K45" s="5"/>
      <c r="L45" s="5"/>
      <c r="M45" s="5"/>
      <c r="N45" s="5"/>
      <c r="O45" s="5"/>
      <c r="P45" s="88"/>
      <c r="Q45" s="95"/>
    </row>
    <row r="46" spans="4:17" s="2" customFormat="1" ht="12" customHeight="1">
      <c r="D46" s="22"/>
      <c r="E46" s="22"/>
      <c r="J46" s="5"/>
      <c r="K46" s="5"/>
      <c r="L46" s="5"/>
      <c r="M46" s="5"/>
      <c r="N46" s="5"/>
      <c r="O46" s="5"/>
      <c r="P46" s="88"/>
      <c r="Q46" s="95"/>
    </row>
    <row r="47" spans="4:17" s="2" customFormat="1" ht="12" customHeight="1">
      <c r="D47" s="22"/>
      <c r="E47" s="22"/>
      <c r="J47" s="5"/>
      <c r="K47" s="5"/>
      <c r="L47" s="5"/>
      <c r="M47" s="5"/>
      <c r="N47" s="5"/>
      <c r="O47" s="5"/>
      <c r="P47" s="88"/>
      <c r="Q47" s="95"/>
    </row>
    <row r="48" spans="4:17" s="2" customFormat="1" ht="12" customHeight="1">
      <c r="D48" s="22"/>
      <c r="E48" s="22"/>
      <c r="J48" s="5"/>
      <c r="K48" s="5"/>
      <c r="L48" s="5"/>
      <c r="M48" s="5"/>
      <c r="N48" s="5"/>
      <c r="O48" s="5"/>
      <c r="P48" s="88"/>
      <c r="Q48" s="95"/>
    </row>
    <row r="49" spans="4:17" s="2" customFormat="1" ht="12" customHeight="1">
      <c r="D49" s="22"/>
      <c r="E49" s="22"/>
      <c r="J49" s="5"/>
      <c r="K49" s="5"/>
      <c r="L49" s="5"/>
      <c r="M49" s="5"/>
      <c r="N49" s="5"/>
      <c r="O49" s="5"/>
      <c r="P49" s="88"/>
      <c r="Q49" s="95"/>
    </row>
    <row r="50" spans="4:17" s="2" customFormat="1" ht="12" customHeight="1">
      <c r="D50" s="22"/>
      <c r="E50" s="22"/>
      <c r="J50" s="5"/>
      <c r="K50" s="5"/>
      <c r="L50" s="5"/>
      <c r="M50" s="5"/>
      <c r="N50" s="5"/>
      <c r="O50" s="5"/>
      <c r="P50" s="88"/>
      <c r="Q50" s="95"/>
    </row>
    <row r="51" spans="4:17" s="2" customFormat="1" ht="12" customHeight="1">
      <c r="D51" s="22"/>
      <c r="E51" s="22"/>
      <c r="J51" s="5"/>
      <c r="K51" s="5"/>
      <c r="L51" s="5"/>
      <c r="M51" s="5"/>
      <c r="N51" s="5"/>
      <c r="O51" s="5"/>
      <c r="P51" s="88"/>
      <c r="Q51" s="95"/>
    </row>
    <row r="52" spans="4:17" s="2" customFormat="1" ht="12" customHeight="1">
      <c r="D52" s="22"/>
      <c r="E52" s="22"/>
      <c r="J52" s="5"/>
      <c r="K52" s="5"/>
      <c r="L52" s="5"/>
      <c r="M52" s="5"/>
      <c r="N52" s="5"/>
      <c r="O52" s="5"/>
      <c r="P52" s="88"/>
      <c r="Q52" s="95"/>
    </row>
    <row r="53" spans="4:17" s="2" customFormat="1" ht="12" customHeight="1">
      <c r="D53" s="22"/>
      <c r="E53" s="22"/>
      <c r="J53" s="5"/>
      <c r="K53" s="5"/>
      <c r="L53" s="5"/>
      <c r="M53" s="5"/>
      <c r="N53" s="5"/>
      <c r="O53" s="5"/>
      <c r="P53" s="88"/>
      <c r="Q53" s="95"/>
    </row>
    <row r="54" spans="4:17" s="2" customFormat="1" ht="12" customHeight="1">
      <c r="D54" s="22"/>
      <c r="E54" s="22"/>
      <c r="J54" s="5"/>
      <c r="K54" s="5"/>
      <c r="L54" s="5"/>
      <c r="M54" s="5"/>
      <c r="N54" s="5"/>
      <c r="O54" s="5"/>
      <c r="P54" s="88"/>
      <c r="Q54" s="95"/>
    </row>
    <row r="55" spans="4:17" s="2" customFormat="1" ht="12" customHeight="1">
      <c r="D55" s="22"/>
      <c r="E55" s="22"/>
      <c r="J55" s="5"/>
      <c r="K55" s="5"/>
      <c r="L55" s="5"/>
      <c r="M55" s="5"/>
      <c r="N55" s="5"/>
      <c r="O55" s="5"/>
      <c r="P55" s="88"/>
      <c r="Q55" s="95"/>
    </row>
    <row r="56" spans="4:17" s="2" customFormat="1" ht="12" customHeight="1">
      <c r="D56" s="22"/>
      <c r="E56" s="22"/>
      <c r="J56" s="5"/>
      <c r="K56" s="5"/>
      <c r="L56" s="5"/>
      <c r="M56" s="5"/>
      <c r="N56" s="5"/>
      <c r="O56" s="5"/>
      <c r="P56" s="88"/>
      <c r="Q56" s="95"/>
    </row>
    <row r="57" spans="4:17" s="2" customFormat="1" ht="12" customHeight="1">
      <c r="D57" s="22"/>
      <c r="E57" s="22"/>
      <c r="J57" s="5"/>
      <c r="K57" s="5"/>
      <c r="L57" s="5"/>
      <c r="M57" s="5"/>
      <c r="N57" s="5"/>
      <c r="O57" s="5"/>
      <c r="P57" s="88"/>
      <c r="Q57" s="95"/>
    </row>
    <row r="58" spans="4:17" s="2" customFormat="1" ht="12" customHeight="1">
      <c r="D58" s="22"/>
      <c r="E58" s="22"/>
      <c r="J58" s="5"/>
      <c r="K58" s="5"/>
      <c r="L58" s="5"/>
      <c r="M58" s="5"/>
      <c r="N58" s="5"/>
      <c r="O58" s="5"/>
      <c r="P58" s="88"/>
      <c r="Q58" s="95"/>
    </row>
    <row r="59" spans="4:17" s="2" customFormat="1" ht="12" customHeight="1">
      <c r="D59" s="22"/>
      <c r="E59" s="22"/>
      <c r="J59" s="5"/>
      <c r="K59" s="5"/>
      <c r="L59" s="5"/>
      <c r="M59" s="5"/>
      <c r="N59" s="5"/>
      <c r="O59" s="5"/>
      <c r="P59" s="88"/>
      <c r="Q59" s="95"/>
    </row>
    <row r="60" spans="4:17" s="2" customFormat="1" ht="12" customHeight="1">
      <c r="D60" s="22"/>
      <c r="E60" s="22"/>
      <c r="J60" s="5"/>
      <c r="K60" s="5"/>
      <c r="L60" s="5"/>
      <c r="M60" s="5"/>
      <c r="N60" s="5"/>
      <c r="O60" s="5"/>
      <c r="P60" s="88"/>
      <c r="Q60" s="95"/>
    </row>
    <row r="61" spans="4:17" s="2" customFormat="1" ht="12" customHeight="1">
      <c r="D61" s="22"/>
      <c r="E61" s="22"/>
      <c r="J61" s="5"/>
      <c r="K61" s="5"/>
      <c r="L61" s="5"/>
      <c r="M61" s="5"/>
      <c r="N61" s="5"/>
      <c r="O61" s="5"/>
      <c r="P61" s="88"/>
      <c r="Q61" s="95"/>
    </row>
    <row r="62" spans="4:17" s="2" customFormat="1" ht="12" customHeight="1">
      <c r="D62" s="22"/>
      <c r="E62" s="22"/>
      <c r="J62" s="5"/>
      <c r="K62" s="5"/>
      <c r="L62" s="5"/>
      <c r="M62" s="5"/>
      <c r="N62" s="5"/>
      <c r="O62" s="5"/>
      <c r="P62" s="88"/>
      <c r="Q62" s="95"/>
    </row>
    <row r="63" spans="4:17" s="2" customFormat="1" ht="12" customHeight="1">
      <c r="D63" s="22"/>
      <c r="E63" s="22"/>
      <c r="J63" s="5"/>
      <c r="K63" s="5"/>
      <c r="L63" s="5"/>
      <c r="M63" s="5"/>
      <c r="N63" s="5"/>
      <c r="O63" s="5"/>
      <c r="P63" s="88"/>
      <c r="Q63" s="95"/>
    </row>
    <row r="64" spans="4:17" s="2" customFormat="1" ht="12" customHeight="1">
      <c r="D64" s="22"/>
      <c r="E64" s="22"/>
      <c r="J64" s="5"/>
      <c r="K64" s="5"/>
      <c r="L64" s="5"/>
      <c r="M64" s="5"/>
      <c r="N64" s="5"/>
      <c r="O64" s="5"/>
      <c r="P64" s="88"/>
      <c r="Q64" s="95"/>
    </row>
    <row r="65" spans="1:17" s="2" customFormat="1" ht="12" customHeight="1">
      <c r="D65" s="22"/>
      <c r="E65" s="22"/>
      <c r="J65" s="5"/>
      <c r="K65" s="5"/>
      <c r="L65" s="5"/>
      <c r="M65" s="5"/>
      <c r="N65" s="5"/>
      <c r="O65" s="5"/>
      <c r="P65" s="88"/>
      <c r="Q65" s="95"/>
    </row>
    <row r="66" spans="1:17" s="2" customFormat="1" ht="12" customHeight="1">
      <c r="D66" s="22"/>
      <c r="E66" s="22"/>
      <c r="J66" s="5"/>
      <c r="K66" s="5"/>
      <c r="L66" s="5"/>
      <c r="M66" s="5"/>
      <c r="N66" s="5"/>
      <c r="O66" s="5"/>
      <c r="P66" s="88"/>
      <c r="Q66" s="95"/>
    </row>
    <row r="67" spans="1:17" s="2" customFormat="1" ht="12" customHeight="1">
      <c r="D67" s="22"/>
      <c r="E67" s="22"/>
      <c r="J67" s="5"/>
      <c r="K67" s="5"/>
      <c r="L67" s="5"/>
      <c r="M67" s="5"/>
      <c r="N67" s="5"/>
      <c r="O67" s="5"/>
      <c r="P67" s="88"/>
      <c r="Q67" s="95"/>
    </row>
    <row r="68" spans="1:17" s="2" customFormat="1" ht="12" customHeight="1">
      <c r="D68" s="22"/>
      <c r="E68" s="22"/>
      <c r="J68" s="5"/>
      <c r="K68" s="5"/>
      <c r="L68" s="5"/>
      <c r="M68" s="5"/>
      <c r="N68" s="5"/>
      <c r="O68" s="5"/>
      <c r="P68" s="88"/>
      <c r="Q68" s="95"/>
    </row>
    <row r="69" spans="1:17" s="2" customFormat="1" ht="12" customHeight="1">
      <c r="D69" s="22"/>
      <c r="E69" s="22"/>
      <c r="J69" s="5"/>
      <c r="K69" s="5"/>
      <c r="L69" s="5"/>
      <c r="M69" s="5"/>
      <c r="N69" s="5"/>
      <c r="O69" s="5"/>
      <c r="P69" s="88"/>
      <c r="Q69" s="95"/>
    </row>
    <row r="70" spans="1:17" s="2" customFormat="1" ht="12" customHeight="1">
      <c r="D70" s="22"/>
      <c r="E70" s="22"/>
      <c r="J70" s="5"/>
      <c r="K70" s="5"/>
      <c r="L70" s="5"/>
      <c r="M70" s="5"/>
      <c r="N70" s="5"/>
      <c r="O70" s="5"/>
      <c r="P70" s="88"/>
      <c r="Q70" s="96"/>
    </row>
    <row r="71" spans="1:17" s="2" customFormat="1" ht="12" customHeight="1">
      <c r="D71" s="22"/>
      <c r="E71" s="22"/>
      <c r="J71" s="5"/>
      <c r="K71" s="5"/>
      <c r="L71" s="5"/>
      <c r="M71" s="5"/>
      <c r="N71" s="5"/>
      <c r="O71" s="5"/>
      <c r="P71" s="88"/>
      <c r="Q71" s="96"/>
    </row>
    <row r="72" spans="1:17" s="2" customFormat="1" ht="12" customHeight="1">
      <c r="D72" s="22"/>
      <c r="E72" s="22"/>
      <c r="J72" s="5"/>
      <c r="K72" s="5"/>
      <c r="L72" s="5"/>
      <c r="M72" s="5"/>
      <c r="N72" s="5"/>
      <c r="O72" s="5"/>
      <c r="P72" s="88"/>
      <c r="Q72" s="96"/>
    </row>
    <row r="73" spans="1:17" s="2" customFormat="1" ht="12" customHeight="1">
      <c r="D73" s="22"/>
      <c r="E73" s="22"/>
      <c r="J73" s="5"/>
      <c r="K73" s="5"/>
      <c r="L73" s="5"/>
      <c r="M73" s="5"/>
      <c r="N73" s="5"/>
      <c r="O73" s="5"/>
      <c r="P73" s="88"/>
      <c r="Q73" s="96"/>
    </row>
    <row r="74" spans="1:17" s="2" customFormat="1" ht="12" customHeight="1">
      <c r="A74"/>
      <c r="B74"/>
      <c r="C74"/>
      <c r="D74" s="23"/>
      <c r="E74" s="23"/>
      <c r="F74"/>
      <c r="G74"/>
      <c r="H74"/>
      <c r="I74"/>
      <c r="J74" s="19"/>
      <c r="K74" s="19"/>
      <c r="L74" s="19"/>
      <c r="M74" s="19"/>
      <c r="N74" s="19"/>
      <c r="O74" s="19"/>
      <c r="P74" s="90"/>
      <c r="Q74" s="96"/>
    </row>
    <row r="75" spans="1:17" s="2" customFormat="1" ht="12" customHeight="1">
      <c r="A75"/>
      <c r="B75"/>
      <c r="C75"/>
      <c r="D75" s="23"/>
      <c r="E75" s="23"/>
      <c r="F75"/>
      <c r="G75"/>
      <c r="H75"/>
      <c r="I75"/>
      <c r="J75" s="19"/>
      <c r="K75" s="19"/>
      <c r="L75" s="19"/>
      <c r="M75" s="19"/>
      <c r="N75" s="19"/>
      <c r="O75" s="19"/>
      <c r="P75" s="90"/>
      <c r="Q75" s="96"/>
    </row>
    <row r="76" spans="1:17" s="2" customFormat="1" ht="12" customHeight="1">
      <c r="A76"/>
      <c r="B76"/>
      <c r="C76"/>
      <c r="D76" s="23"/>
      <c r="E76" s="23"/>
      <c r="F76"/>
      <c r="G76"/>
      <c r="H76"/>
      <c r="I76"/>
      <c r="J76" s="19"/>
      <c r="K76" s="19"/>
      <c r="L76" s="19"/>
      <c r="M76" s="19"/>
      <c r="N76" s="19"/>
      <c r="O76" s="19"/>
      <c r="P76" s="90"/>
      <c r="Q76" s="96"/>
    </row>
    <row r="77" spans="1:17" s="2" customFormat="1" ht="12" customHeight="1">
      <c r="A77"/>
      <c r="B77"/>
      <c r="C77"/>
      <c r="D77" s="23"/>
      <c r="E77" s="23"/>
      <c r="F77"/>
      <c r="G77"/>
      <c r="H77"/>
      <c r="I77"/>
      <c r="J77" s="19"/>
      <c r="K77" s="19"/>
      <c r="L77" s="19"/>
      <c r="M77" s="19"/>
      <c r="N77" s="19"/>
      <c r="O77" s="19"/>
      <c r="P77" s="90"/>
      <c r="Q77" s="96"/>
    </row>
    <row r="78" spans="1:17" s="2" customFormat="1" ht="12" customHeight="1">
      <c r="A78"/>
      <c r="B78"/>
      <c r="C78"/>
      <c r="D78" s="23"/>
      <c r="E78" s="23"/>
      <c r="F78"/>
      <c r="G78"/>
      <c r="H78"/>
      <c r="I78"/>
      <c r="J78" s="19"/>
      <c r="K78" s="19"/>
      <c r="L78" s="19"/>
      <c r="M78" s="19"/>
      <c r="N78" s="19"/>
      <c r="O78" s="19"/>
      <c r="P78" s="90"/>
      <c r="Q78" s="96"/>
    </row>
    <row r="79" spans="1:17">
      <c r="Q79" s="96"/>
    </row>
    <row r="80" spans="1:17">
      <c r="Q80" s="96"/>
    </row>
    <row r="81" spans="17:17">
      <c r="Q81" s="96"/>
    </row>
    <row r="82" spans="17:17">
      <c r="Q82" s="96"/>
    </row>
    <row r="83" spans="17:17">
      <c r="Q83" s="96"/>
    </row>
    <row r="84" spans="17:17">
      <c r="Q84" s="96"/>
    </row>
    <row r="85" spans="17:17">
      <c r="Q85" s="96"/>
    </row>
    <row r="86" spans="17:17">
      <c r="Q86" s="96"/>
    </row>
    <row r="87" spans="17:17">
      <c r="Q87" s="96"/>
    </row>
    <row r="88" spans="17:17">
      <c r="Q88" s="96"/>
    </row>
    <row r="89" spans="17:17">
      <c r="Q89" s="96"/>
    </row>
    <row r="90" spans="17:17">
      <c r="Q90" s="96"/>
    </row>
    <row r="91" spans="17:17">
      <c r="Q91" s="96"/>
    </row>
    <row r="92" spans="17:17">
      <c r="Q92" s="96"/>
    </row>
    <row r="93" spans="17:17">
      <c r="Q93" s="96"/>
    </row>
    <row r="94" spans="17:17">
      <c r="Q94" s="96"/>
    </row>
    <row r="95" spans="17:17">
      <c r="Q95" s="96"/>
    </row>
    <row r="96" spans="17:17">
      <c r="Q96" s="96"/>
    </row>
    <row r="97" spans="17:17">
      <c r="Q97" s="96"/>
    </row>
    <row r="98" spans="17:17">
      <c r="Q98" s="96"/>
    </row>
    <row r="135" ht="12" customHeight="1"/>
    <row r="136" ht="12" customHeight="1"/>
    <row r="137" ht="12" customHeight="1"/>
    <row r="138" ht="12" customHeight="1"/>
    <row r="139" ht="12" customHeight="1"/>
    <row r="140" ht="12" customHeight="1"/>
    <row r="141" ht="12" customHeight="1"/>
    <row r="142" ht="12" customHeight="1"/>
    <row r="143" ht="12" customHeight="1"/>
    <row r="144" ht="12" customHeight="1"/>
    <row r="145" ht="12" customHeight="1"/>
    <row r="146" ht="12" customHeight="1"/>
    <row r="147" ht="12" customHeight="1"/>
    <row r="148" ht="12" customHeight="1"/>
    <row r="149" ht="12" customHeight="1"/>
    <row r="150" ht="12" customHeight="1"/>
    <row r="151" ht="12" customHeight="1"/>
    <row r="152" ht="12" customHeight="1"/>
    <row r="153" ht="12" customHeight="1"/>
    <row r="154" ht="12" customHeight="1"/>
    <row r="155" ht="12" customHeight="1"/>
    <row r="156" ht="12" customHeight="1"/>
    <row r="157" ht="12" customHeight="1"/>
    <row r="158" ht="12" customHeight="1"/>
    <row r="159" ht="12" customHeight="1"/>
    <row r="160" ht="12" customHeight="1"/>
    <row r="161" ht="12" customHeight="1"/>
    <row r="162" ht="12" customHeight="1"/>
    <row r="163" ht="12" customHeight="1"/>
    <row r="164" ht="12" customHeight="1"/>
    <row r="165" ht="12" customHeight="1"/>
    <row r="166" ht="12" customHeight="1"/>
    <row r="167" ht="12" customHeight="1"/>
    <row r="168" ht="12" customHeight="1"/>
    <row r="169" ht="12" customHeight="1"/>
    <row r="170" ht="12" customHeight="1"/>
    <row r="171" ht="12" customHeight="1"/>
    <row r="172" ht="12" customHeight="1"/>
    <row r="173" ht="12" customHeight="1"/>
    <row r="174" ht="12" customHeight="1"/>
    <row r="175" ht="12" customHeight="1"/>
    <row r="176" ht="12" customHeight="1"/>
    <row r="177" ht="12" customHeight="1"/>
    <row r="178" ht="12" customHeight="1"/>
    <row r="179" ht="12" customHeight="1"/>
    <row r="180" ht="12" customHeight="1"/>
    <row r="181" ht="12" customHeight="1"/>
    <row r="182" ht="12" customHeight="1"/>
    <row r="183" ht="12" customHeight="1"/>
    <row r="184" ht="12" customHeight="1"/>
  </sheetData>
  <mergeCells count="37">
    <mergeCell ref="D23:E23"/>
    <mergeCell ref="H23:I23"/>
    <mergeCell ref="D31:E31"/>
    <mergeCell ref="H31:I31"/>
    <mergeCell ref="D24:E24"/>
    <mergeCell ref="D25:E25"/>
    <mergeCell ref="D26:E26"/>
    <mergeCell ref="D27:E27"/>
    <mergeCell ref="D28:E28"/>
    <mergeCell ref="D29:E29"/>
    <mergeCell ref="D30:E30"/>
    <mergeCell ref="D22:E22"/>
    <mergeCell ref="D14:E14"/>
    <mergeCell ref="H14:I14"/>
    <mergeCell ref="D15:E15"/>
    <mergeCell ref="D16:E16"/>
    <mergeCell ref="D17:E17"/>
    <mergeCell ref="D18:E18"/>
    <mergeCell ref="D19:E19"/>
    <mergeCell ref="D20:E20"/>
    <mergeCell ref="D21:E21"/>
    <mergeCell ref="D7:E7"/>
    <mergeCell ref="H7:I7"/>
    <mergeCell ref="D6:E6"/>
    <mergeCell ref="H6:I6"/>
    <mergeCell ref="D8:E8"/>
    <mergeCell ref="H8:I8"/>
    <mergeCell ref="D9:E9"/>
    <mergeCell ref="D10:E10"/>
    <mergeCell ref="D11:E11"/>
    <mergeCell ref="D12:E12"/>
    <mergeCell ref="D13:E13"/>
    <mergeCell ref="D1:E1"/>
    <mergeCell ref="D4:E4"/>
    <mergeCell ref="H4:I4"/>
    <mergeCell ref="D5:E5"/>
    <mergeCell ref="H5:I5"/>
  </mergeCells>
  <conditionalFormatting sqref="M9:M13 M24:M30">
    <cfRule type="cellIs" dxfId="462" priority="1" stopIfTrue="1" operator="lessThanOrEqual">
      <formula>$L9</formula>
    </cfRule>
    <cfRule type="cellIs" dxfId="461" priority="2" operator="greaterThan">
      <formula>L9</formula>
    </cfRule>
  </conditionalFormatting>
  <conditionalFormatting sqref="M15:M22">
    <cfRule type="cellIs" dxfId="460" priority="3" stopIfTrue="1" operator="lessThanOrEqual">
      <formula>$L15</formula>
    </cfRule>
    <cfRule type="cellIs" dxfId="459" priority="4" operator="greaterThan">
      <formula>L15</formula>
    </cfRule>
  </conditionalFormatting>
  <pageMargins left="0.7" right="0.7" top="0.75" bottom="0.75" header="0.3" footer="0.3"/>
  <pageSetup paperSize="3" fitToHeight="0" orientation="landscape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A618020D-83AB-4798-A900-8691551A81DD}">
          <x14:formula1>
            <xm:f>Assemblies!$E:$E</xm:f>
          </x14:formula1>
          <xm:sqref>C5:C7</xm:sqref>
        </x14:dataValidation>
        <x14:dataValidation type="list" allowBlank="1" showInputMessage="1" showErrorMessage="1" xr:uid="{244C90CE-2FD8-483C-8015-2CE1125FBA68}">
          <x14:formula1>
            <xm:f>Purchased!$A:$A</xm:f>
          </x14:formula1>
          <xm:sqref>C21:C22 C15:C19</xm:sqref>
        </x14:dataValidation>
        <x14:dataValidation type="list" allowBlank="1" showInputMessage="1" showErrorMessage="1" xr:uid="{04B541B7-4CA6-4B58-901E-49A0D85E2813}">
          <x14:formula1>
            <xm:f>Machined!$C:$C</xm:f>
          </x14:formula1>
          <xm:sqref>C9:C13</xm:sqref>
        </x14:dataValidation>
      </x14:dataValidation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C5D44D-F8D6-42DB-AC06-526985041324}">
  <sheetPr codeName="Sheet50">
    <tabColor theme="3" tint="0.79998168889431442"/>
    <pageSetUpPr fitToPage="1"/>
  </sheetPr>
  <dimension ref="A1:Q169"/>
  <sheetViews>
    <sheetView zoomScaleNormal="100" workbookViewId="0">
      <selection activeCell="C43" sqref="C43"/>
    </sheetView>
  </sheetViews>
  <sheetFormatPr defaultColWidth="9.140625" defaultRowHeight="15"/>
  <cols>
    <col min="1" max="1" width="5.7109375" customWidth="1"/>
    <col min="2" max="2" width="5.42578125" bestFit="1" customWidth="1"/>
    <col min="3" max="3" width="30.7109375" customWidth="1"/>
    <col min="4" max="5" width="20.7109375" style="23" customWidth="1"/>
    <col min="6" max="6" width="16.85546875" bestFit="1" customWidth="1"/>
    <col min="7" max="7" width="9.7109375" customWidth="1"/>
    <col min="8" max="8" width="8.7109375" customWidth="1"/>
    <col min="9" max="9" width="20.7109375" customWidth="1"/>
    <col min="10" max="13" width="11.7109375" style="19" customWidth="1"/>
    <col min="14" max="14" width="11.85546875" style="19" bestFit="1" customWidth="1"/>
    <col min="15" max="15" width="7.7109375" style="19" customWidth="1"/>
    <col min="16" max="16" width="10.7109375" style="90" customWidth="1"/>
    <col min="17" max="17" width="10.7109375" style="97" customWidth="1"/>
  </cols>
  <sheetData>
    <row r="1" spans="1:17" s="55" customFormat="1" ht="12" customHeight="1">
      <c r="A1" s="68" t="s">
        <v>0</v>
      </c>
      <c r="B1" s="69"/>
      <c r="C1" s="69"/>
      <c r="D1" s="262" t="s">
        <v>1</v>
      </c>
      <c r="E1" s="263"/>
      <c r="F1" s="70"/>
      <c r="G1" s="69"/>
      <c r="H1" s="70"/>
      <c r="I1" s="71"/>
      <c r="J1" s="72"/>
      <c r="K1" s="72"/>
      <c r="L1" s="72"/>
      <c r="M1" s="72"/>
      <c r="N1" s="72"/>
      <c r="O1" s="72"/>
      <c r="P1" s="85"/>
      <c r="Q1" s="91"/>
    </row>
    <row r="2" spans="1:17" s="55" customFormat="1" ht="12" customHeight="1">
      <c r="A2" s="74" t="s">
        <v>48</v>
      </c>
      <c r="B2" s="58"/>
      <c r="C2" s="57" t="e">
        <f ca="1">VLOOKUP(E3,Assemblies!B:F,4,0)</f>
        <v>#VALUE!</v>
      </c>
      <c r="D2" s="75" t="s">
        <v>3</v>
      </c>
      <c r="E2" s="76" t="e">
        <f ca="1">'GF12'!E2</f>
        <v>#VALUE!</v>
      </c>
      <c r="F2" s="77" t="s">
        <v>4</v>
      </c>
      <c r="G2" s="58" t="str">
        <f>'GF12'!G2</f>
        <v>GH</v>
      </c>
      <c r="H2" s="77" t="s">
        <v>6</v>
      </c>
      <c r="I2" s="59">
        <f>'GF12'!I2</f>
        <v>44775</v>
      </c>
      <c r="J2" s="39"/>
      <c r="K2" s="40" t="s">
        <v>49</v>
      </c>
      <c r="L2" s="41" t="e">
        <f ca="1">VLOOKUP(C2,Assemblies!E:G,3,0)</f>
        <v>#VALUE!</v>
      </c>
      <c r="M2" s="78"/>
      <c r="N2" s="78"/>
      <c r="O2" s="78"/>
      <c r="P2" s="86"/>
      <c r="Q2" s="92"/>
    </row>
    <row r="3" spans="1:17" s="55" customFormat="1" ht="12" customHeight="1" thickBot="1">
      <c r="A3" s="74" t="s">
        <v>7</v>
      </c>
      <c r="B3" s="58"/>
      <c r="C3" s="57" t="e">
        <f ca="1">VLOOKUP(E3,Assemblies!B:F,5,0)</f>
        <v>#VALUE!</v>
      </c>
      <c r="D3" s="75" t="s">
        <v>50</v>
      </c>
      <c r="E3" s="76" t="e">
        <f ca="1">MID(CELL("filename",A1),FIND("]",CELL("filename",A1))+1,256)</f>
        <v>#VALUE!</v>
      </c>
      <c r="F3" s="77" t="s">
        <v>11</v>
      </c>
      <c r="G3" s="58" t="str">
        <f>'GF12'!G3</f>
        <v>GH</v>
      </c>
      <c r="H3" s="77" t="s">
        <v>6</v>
      </c>
      <c r="I3" s="59">
        <f>'GF12'!I3</f>
        <v>44775</v>
      </c>
      <c r="J3" s="78"/>
      <c r="K3" s="78"/>
      <c r="L3" s="78"/>
      <c r="M3" s="78"/>
      <c r="N3" s="78"/>
      <c r="O3" s="78"/>
      <c r="P3" s="86"/>
      <c r="Q3" s="92"/>
    </row>
    <row r="4" spans="1:17" s="56" customFormat="1" ht="12.75" customHeight="1" thickBot="1">
      <c r="A4" s="80" t="s">
        <v>12</v>
      </c>
      <c r="B4" s="81" t="s">
        <v>13</v>
      </c>
      <c r="C4" s="81" t="s">
        <v>14</v>
      </c>
      <c r="D4" s="270" t="s">
        <v>15</v>
      </c>
      <c r="E4" s="271"/>
      <c r="F4" s="104" t="s">
        <v>16</v>
      </c>
      <c r="G4" s="81" t="s">
        <v>17</v>
      </c>
      <c r="H4" s="260" t="s">
        <v>18</v>
      </c>
      <c r="I4" s="261"/>
      <c r="J4" s="81" t="s">
        <v>51</v>
      </c>
      <c r="K4" s="81" t="s">
        <v>20</v>
      </c>
      <c r="L4" s="81" t="s">
        <v>21</v>
      </c>
      <c r="M4" s="81" t="s">
        <v>52</v>
      </c>
      <c r="N4" s="81" t="s">
        <v>22</v>
      </c>
      <c r="O4" s="81" t="s">
        <v>53</v>
      </c>
      <c r="P4" s="107" t="s">
        <v>26</v>
      </c>
      <c r="Q4" s="82" t="s">
        <v>27</v>
      </c>
    </row>
    <row r="5" spans="1:17" s="2" customFormat="1" ht="12.75" customHeight="1">
      <c r="A5" s="127">
        <v>1</v>
      </c>
      <c r="B5" s="21">
        <v>2</v>
      </c>
      <c r="C5" s="108" t="s">
        <v>662</v>
      </c>
      <c r="D5" s="277" t="str">
        <f>VLOOKUP(C5,Machined!C:Q,2,0)</f>
        <v>Roller Bracket</v>
      </c>
      <c r="E5" s="278"/>
      <c r="F5" s="131" t="str">
        <f>VLOOKUP(C5,Machined!C:R,7,0)</f>
        <v>6061-T6 Alum</v>
      </c>
      <c r="G5" s="131" t="str">
        <f>VLOOKUP(C5,Machined!C:R,10,0)</f>
        <v>FRONTIER</v>
      </c>
      <c r="H5" s="131" t="str">
        <f>VLOOKUP(C5,Machined!C:R,11,0)</f>
        <v xml:space="preserve"> </v>
      </c>
      <c r="I5" s="131"/>
      <c r="J5" s="42">
        <f>VLOOKUP(C5,Machined!C:R,12,0)</f>
        <v>45105</v>
      </c>
      <c r="K5" s="42">
        <f>VLOOKUP(C5,Machined!C:R,13,0)</f>
        <v>45133</v>
      </c>
      <c r="L5" s="42">
        <f>VLOOKUP(C5,Machined!C:R,14,0)</f>
        <v>45163</v>
      </c>
      <c r="M5" s="42">
        <f>VLOOKUP(C5,Machined!C:R,15,0)</f>
        <v>45163</v>
      </c>
      <c r="N5" s="43">
        <f>VLOOKUP(C5,Machined!C:R,16,0)</f>
        <v>55015</v>
      </c>
      <c r="O5" s="43" t="e">
        <f t="shared" ref="O5:O9" ca="1" si="0">B5*$L$2</f>
        <v>#VALUE!</v>
      </c>
      <c r="P5" s="47">
        <f>IFERROR(VLOOKUP(C5,Machined!C:F,3,0),"")</f>
        <v>62.8</v>
      </c>
      <c r="Q5" s="48">
        <f t="shared" ref="Q5:Q9" si="1">IFERROR(B5*P5,"")</f>
        <v>125.6</v>
      </c>
    </row>
    <row r="6" spans="1:17" s="2" customFormat="1" ht="12.75" customHeight="1">
      <c r="A6" s="127">
        <v>2</v>
      </c>
      <c r="B6" s="21">
        <v>1</v>
      </c>
      <c r="C6" s="108" t="s">
        <v>272</v>
      </c>
      <c r="D6" s="277" t="str">
        <f>VLOOKUP(C6,Machined!C:Q,2,0)</f>
        <v>EXTRUDED ROLLER</v>
      </c>
      <c r="E6" s="278"/>
      <c r="F6" s="131" t="str">
        <f>VLOOKUP(C6,Machined!C:R,7,0)</f>
        <v>6061-T6 Alum</v>
      </c>
      <c r="G6" s="131" t="str">
        <f>VLOOKUP(C6,Machined!C:R,10,0)</f>
        <v>BONNELL, RON GROB, 3J, Fin. Pros</v>
      </c>
      <c r="H6" s="131" t="str">
        <f>VLOOKUP(C6,Machined!C:R,11,0)</f>
        <v xml:space="preserve"> </v>
      </c>
      <c r="I6" s="131"/>
      <c r="J6" s="42" t="str">
        <f>VLOOKUP(C6,Machined!C:R,12,0)</f>
        <v>N/A</v>
      </c>
      <c r="K6" s="42" t="str">
        <f>VLOOKUP(C6,Machined!C:R,13,0)</f>
        <v>N/A</v>
      </c>
      <c r="L6" s="42" t="str">
        <f>VLOOKUP(C6,Machined!C:R,14,0)</f>
        <v>N/A</v>
      </c>
      <c r="M6" s="42" t="str">
        <f>VLOOKUP(C6,Machined!C:R,15,0)</f>
        <v>N/A</v>
      </c>
      <c r="N6" s="43" t="str">
        <f>VLOOKUP(C6,Machined!C:R,16,0)</f>
        <v xml:space="preserve">54809, 54970, 54989 </v>
      </c>
      <c r="O6" s="43" t="e">
        <f t="shared" ca="1" si="0"/>
        <v>#VALUE!</v>
      </c>
      <c r="P6" s="47">
        <f>IFERROR(VLOOKUP(C6,Machined!C:F,3,0),"")</f>
        <v>119.09</v>
      </c>
      <c r="Q6" s="48">
        <f t="shared" si="1"/>
        <v>119.09</v>
      </c>
    </row>
    <row r="7" spans="1:17" s="2" customFormat="1" ht="12.75" customHeight="1">
      <c r="A7" s="127">
        <v>3</v>
      </c>
      <c r="B7" s="21">
        <v>1</v>
      </c>
      <c r="C7" s="108" t="s">
        <v>273</v>
      </c>
      <c r="D7" s="277" t="str">
        <f>VLOOKUP(C7,Machined!C:Q,2,0)</f>
        <v>ROLLER SHAFT</v>
      </c>
      <c r="E7" s="278"/>
      <c r="F7" s="131" t="str">
        <f>VLOOKUP(C7,Machined!C:R,7,0)</f>
        <v>303 SS - TG&amp;P</v>
      </c>
      <c r="G7" s="131" t="str">
        <f>VLOOKUP(C7,Machined!C:R,10,0)</f>
        <v>ALEXANDRIA, Nuline</v>
      </c>
      <c r="H7" s="131" t="str">
        <f>VLOOKUP(C7,Machined!C:R,11,0)</f>
        <v xml:space="preserve"> </v>
      </c>
      <c r="I7" s="131"/>
      <c r="J7" s="42" t="str">
        <f>VLOOKUP(C7,Machined!C:R,12,0)</f>
        <v>N/A</v>
      </c>
      <c r="K7" s="42" t="str">
        <f>VLOOKUP(C7,Machined!C:R,13,0)</f>
        <v>N/A</v>
      </c>
      <c r="L7" s="42" t="str">
        <f>VLOOKUP(C7,Machined!C:R,14,0)</f>
        <v>N/A</v>
      </c>
      <c r="M7" s="42" t="str">
        <f>VLOOKUP(C7,Machined!C:R,15,0)</f>
        <v>N/A</v>
      </c>
      <c r="N7" s="43">
        <f>VLOOKUP(C7,Machined!C:R,16,0)</f>
        <v>55018</v>
      </c>
      <c r="O7" s="43" t="e">
        <f t="shared" ca="1" si="0"/>
        <v>#VALUE!</v>
      </c>
      <c r="P7" s="47">
        <f>IFERROR(VLOOKUP(C7,Machined!C:F,3,0),"")</f>
        <v>85.05</v>
      </c>
      <c r="Q7" s="48">
        <f t="shared" si="1"/>
        <v>85.05</v>
      </c>
    </row>
    <row r="8" spans="1:17" s="2" customFormat="1" ht="12.75" customHeight="1">
      <c r="A8" s="127">
        <v>4</v>
      </c>
      <c r="B8" s="21">
        <v>2</v>
      </c>
      <c r="C8" s="108" t="s">
        <v>274</v>
      </c>
      <c r="D8" s="277" t="str">
        <f>VLOOKUP(C8,Machined!C:Q,2,0)</f>
        <v>ROLLER CAP</v>
      </c>
      <c r="E8" s="278"/>
      <c r="F8" s="131" t="str">
        <f>VLOOKUP(C8,Machined!C:R,7,0)</f>
        <v>304 SS</v>
      </c>
      <c r="G8" s="131" t="str">
        <f>VLOOKUP(C8,Machined!C:R,10,0)</f>
        <v>XOMETRY</v>
      </c>
      <c r="H8" s="131" t="str">
        <f>VLOOKUP(C8,Machined!C:R,11,0)</f>
        <v xml:space="preserve">  </v>
      </c>
      <c r="I8" s="131"/>
      <c r="J8" s="42" t="str">
        <f>VLOOKUP(C8,Machined!C:R,12,0)</f>
        <v>N/A</v>
      </c>
      <c r="K8" s="42">
        <f>VLOOKUP(C8,Machined!C:R,13,0)</f>
        <v>45141</v>
      </c>
      <c r="L8" s="42">
        <f>VLOOKUP(C8,Machined!C:R,14,0)</f>
        <v>45161</v>
      </c>
      <c r="M8" s="42">
        <f>VLOOKUP(C8,Machined!C:R,15,0)</f>
        <v>45161</v>
      </c>
      <c r="N8" s="43">
        <f>VLOOKUP(C8,Machined!C:R,16,0)</f>
        <v>55030</v>
      </c>
      <c r="O8" s="43" t="e">
        <f t="shared" ca="1" si="0"/>
        <v>#VALUE!</v>
      </c>
      <c r="P8" s="47">
        <f>IFERROR(VLOOKUP(C8,Machined!C:F,3,0),"")</f>
        <v>1.52</v>
      </c>
      <c r="Q8" s="48">
        <f t="shared" si="1"/>
        <v>3.04</v>
      </c>
    </row>
    <row r="9" spans="1:17" s="2" customFormat="1" ht="12.75" customHeight="1">
      <c r="A9" s="127">
        <v>5</v>
      </c>
      <c r="B9" s="21">
        <v>2</v>
      </c>
      <c r="C9" s="108" t="s">
        <v>276</v>
      </c>
      <c r="D9" s="277" t="str">
        <f>VLOOKUP(C9,Machined!C:Q,2,0)</f>
        <v>SINGLE ROLLER BRACKET 
CLAMP</v>
      </c>
      <c r="E9" s="278"/>
      <c r="F9" s="131" t="str">
        <f>VLOOKUP(C9,Machined!C:R,7,0)</f>
        <v>6061-T6 Alum</v>
      </c>
      <c r="G9" s="131" t="str">
        <f>VLOOKUP(C9,Machined!C:R,10,0)</f>
        <v>FRONTIER</v>
      </c>
      <c r="H9" s="131" t="str">
        <f>VLOOKUP(C9,Machined!C:R,11,0)</f>
        <v xml:space="preserve">  </v>
      </c>
      <c r="I9" s="131"/>
      <c r="J9" s="42">
        <f>VLOOKUP(C9,Machined!C:R,12,0)</f>
        <v>45139</v>
      </c>
      <c r="K9" s="42">
        <f>VLOOKUP(C9,Machined!C:R,13,0)</f>
        <v>45140</v>
      </c>
      <c r="L9" s="42">
        <f>VLOOKUP(C9,Machined!C:R,14,0)</f>
        <v>45170</v>
      </c>
      <c r="M9" s="42">
        <f>VLOOKUP(C9,Machined!C:R,15,0)</f>
        <v>45170</v>
      </c>
      <c r="N9" s="43">
        <f>VLOOKUP(C9,Machined!C:R,16,0)</f>
        <v>55025</v>
      </c>
      <c r="O9" s="43" t="e">
        <f t="shared" ca="1" si="0"/>
        <v>#VALUE!</v>
      </c>
      <c r="P9" s="47">
        <f>IFERROR(VLOOKUP(C9,Machined!C:F,3,0),"")</f>
        <v>0</v>
      </c>
      <c r="Q9" s="48">
        <f t="shared" si="1"/>
        <v>0</v>
      </c>
    </row>
    <row r="10" spans="1:17" s="2" customFormat="1" ht="12.75" customHeight="1">
      <c r="A10" s="143"/>
      <c r="B10" s="26"/>
      <c r="C10" s="26"/>
      <c r="D10" s="272"/>
      <c r="E10" s="273"/>
      <c r="F10" s="26"/>
      <c r="G10" s="26"/>
      <c r="H10" s="274"/>
      <c r="I10" s="275"/>
      <c r="J10" s="27"/>
      <c r="K10" s="27"/>
      <c r="L10" s="27"/>
      <c r="M10" s="28"/>
      <c r="N10" s="29"/>
      <c r="O10" s="29"/>
      <c r="P10" s="141"/>
      <c r="Q10" s="142"/>
    </row>
    <row r="11" spans="1:17" s="2" customFormat="1" ht="12.75" customHeight="1">
      <c r="A11" s="4">
        <v>301</v>
      </c>
      <c r="B11" s="2">
        <v>2</v>
      </c>
      <c r="C11" s="114" t="s">
        <v>277</v>
      </c>
      <c r="D11" s="268" t="str">
        <f>VLOOKUP(C11,Purchased!A:B,2,0)</f>
        <v>7612 DLG Deep groove ball bearing, 3/4" Bore, 1-3/4" O.D - Outside seal, no inner, with light oil lube- no grease.</v>
      </c>
      <c r="E11" s="269"/>
      <c r="F11" s="112" t="str">
        <f>VLOOKUP(C11,Purchased!A:Q,9,0)</f>
        <v>QualBear</v>
      </c>
      <c r="G11" s="112" t="str">
        <f>VLOOKUP(C11,Purchased!A:Q,10,0)</f>
        <v>QualBear</v>
      </c>
      <c r="H11" s="112" t="str">
        <f>VLOOKUP(C11,Purchased!A:Q,12,0)</f>
        <v>MCM part 4768K6</v>
      </c>
      <c r="I11" s="113"/>
      <c r="J11" s="44" t="str">
        <f>VLOOKUP(C11,Purchased!A:Q,13,0)</f>
        <v>N/A</v>
      </c>
      <c r="K11" s="44">
        <f>VLOOKUP(C11,Purchased!A:Q,14,0)</f>
        <v>45124</v>
      </c>
      <c r="L11" s="44">
        <f>VLOOKUP(C11,Purchased!A:Q,15,0)</f>
        <v>45145</v>
      </c>
      <c r="M11" s="44">
        <f>VLOOKUP(C11,Purchased!A:Q,16,0)</f>
        <v>45148</v>
      </c>
      <c r="N11" s="45">
        <f>VLOOKUP(C11,Purchased!A:Q,17,0)</f>
        <v>54997</v>
      </c>
      <c r="O11" s="45" t="e">
        <f t="shared" ref="O11:O13" ca="1" si="2">B11*$L$2</f>
        <v>#VALUE!</v>
      </c>
      <c r="P11" s="49">
        <f>IFERROR(VLOOKUP(C11,Purchased!A:E,3,FALSE),"")</f>
        <v>6.79</v>
      </c>
      <c r="Q11" s="50">
        <f t="shared" ref="Q11" si="3">IFERROR(B11*P11,"")</f>
        <v>13.58</v>
      </c>
    </row>
    <row r="12" spans="1:17" s="2" customFormat="1" ht="12.75" customHeight="1">
      <c r="A12" s="25"/>
      <c r="B12" s="26"/>
      <c r="C12" s="26"/>
      <c r="D12" s="272"/>
      <c r="E12" s="273"/>
      <c r="F12" s="26"/>
      <c r="G12" s="26"/>
      <c r="H12" s="274"/>
      <c r="I12" s="275"/>
      <c r="J12" s="27"/>
      <c r="K12" s="27"/>
      <c r="L12" s="27"/>
      <c r="M12" s="28"/>
      <c r="N12" s="29"/>
      <c r="O12" s="29" t="e">
        <f t="shared" ca="1" si="2"/>
        <v>#VALUE!</v>
      </c>
      <c r="P12" s="141"/>
      <c r="Q12" s="142"/>
    </row>
    <row r="13" spans="1:17" s="2" customFormat="1" ht="12.75" customHeight="1">
      <c r="A13" s="4">
        <v>501</v>
      </c>
      <c r="B13" s="2">
        <v>4</v>
      </c>
      <c r="C13" s="110" t="s">
        <v>278</v>
      </c>
      <c r="D13" s="268"/>
      <c r="E13" s="276"/>
      <c r="F13" s="112" t="str">
        <f>VLOOKUP(C13,Bolts!A:L,5,0)</f>
        <v xml:space="preserve">  </v>
      </c>
      <c r="G13" s="112" t="str">
        <f>VLOOKUP(C13,Bolts!A:L,6,0)</f>
        <v>Monroe Fasteners</v>
      </c>
      <c r="H13" s="112" t="str">
        <f>VLOOKUP(C13,Bolts!A:L,7,0)</f>
        <v xml:space="preserve">  </v>
      </c>
      <c r="I13" s="112"/>
      <c r="J13" s="44" t="str">
        <f>VLOOKUP(C13,Bolts!A:L,8,0)</f>
        <v xml:space="preserve"> </v>
      </c>
      <c r="K13" s="44" t="str">
        <f>VLOOKUP(C13,Bolts!A:L,9,0)</f>
        <v xml:space="preserve"> </v>
      </c>
      <c r="L13" s="44" t="str">
        <f>VLOOKUP(C13,Bolts!A:L,10,0)</f>
        <v xml:space="preserve"> </v>
      </c>
      <c r="M13" s="44" t="str">
        <f>VLOOKUP(C13,Bolts!A:L,11,0)</f>
        <v xml:space="preserve"> </v>
      </c>
      <c r="N13" s="45" t="str">
        <f>VLOOKUP(C13,Bolts!A:L,12,0)</f>
        <v xml:space="preserve"> </v>
      </c>
      <c r="O13" s="45" t="e">
        <f t="shared" ca="1" si="2"/>
        <v>#VALUE!</v>
      </c>
      <c r="P13" s="49" t="str">
        <f>IFERROR(VLOOKUP(C13,Bolts!A:B,2,FALSE),"")</f>
        <v xml:space="preserve"> </v>
      </c>
      <c r="Q13" s="50" t="str">
        <f t="shared" ref="Q13" si="4">IFERROR(B13*P13,"")</f>
        <v/>
      </c>
    </row>
    <row r="14" spans="1:17" s="2" customFormat="1" ht="12.75" customHeight="1">
      <c r="A14" s="4">
        <f>A13+1</f>
        <v>502</v>
      </c>
      <c r="B14" s="2">
        <v>4</v>
      </c>
      <c r="C14" s="110" t="s">
        <v>432</v>
      </c>
      <c r="D14" s="164"/>
      <c r="E14" s="165"/>
      <c r="F14" s="112" t="str">
        <f>VLOOKUP(C14,Bolts!A:L,5,0)</f>
        <v xml:space="preserve">  </v>
      </c>
      <c r="G14" s="112" t="str">
        <f>VLOOKUP(C14,Bolts!A:L,6,0)</f>
        <v>Monroe Fasteners</v>
      </c>
      <c r="H14" s="112" t="str">
        <f>VLOOKUP(C14,Bolts!A:L,7,0)</f>
        <v xml:space="preserve">  </v>
      </c>
      <c r="I14" s="112"/>
      <c r="J14" s="44" t="str">
        <f>VLOOKUP(C14,Bolts!A:L,8,0)</f>
        <v xml:space="preserve"> </v>
      </c>
      <c r="K14" s="44" t="str">
        <f>VLOOKUP(C14,Bolts!A:L,9,0)</f>
        <v xml:space="preserve"> </v>
      </c>
      <c r="L14" s="44" t="str">
        <f>VLOOKUP(C14,Bolts!A:L,10,0)</f>
        <v xml:space="preserve"> </v>
      </c>
      <c r="M14" s="44" t="str">
        <f>VLOOKUP(C14,Bolts!A:L,11,0)</f>
        <v xml:space="preserve"> </v>
      </c>
      <c r="N14" s="45" t="str">
        <f>VLOOKUP(C14,Bolts!A:L,12,0)</f>
        <v xml:space="preserve"> </v>
      </c>
      <c r="O14" s="45" t="e">
        <f t="shared" ref="O14:O15" ca="1" si="5">B14*$L$2</f>
        <v>#VALUE!</v>
      </c>
      <c r="P14" s="49" t="str">
        <f>IFERROR(VLOOKUP(C14,Bolts!A:B,2,FALSE),"")</f>
        <v xml:space="preserve"> </v>
      </c>
      <c r="Q14" s="50" t="str">
        <f t="shared" ref="Q14:Q15" si="6">IFERROR(B14*P14,"")</f>
        <v/>
      </c>
    </row>
    <row r="15" spans="1:17" s="2" customFormat="1" ht="12.75" customHeight="1" thickBot="1">
      <c r="A15" s="4">
        <f>A14+1</f>
        <v>503</v>
      </c>
      <c r="B15" s="2">
        <v>4</v>
      </c>
      <c r="C15" s="110" t="s">
        <v>434</v>
      </c>
      <c r="D15" s="164"/>
      <c r="E15" s="165"/>
      <c r="F15" s="112" t="str">
        <f>VLOOKUP(C15,Bolts!A:L,5,0)</f>
        <v xml:space="preserve">  </v>
      </c>
      <c r="G15" s="112" t="str">
        <f>VLOOKUP(C15,Bolts!A:L,6,0)</f>
        <v>Monroe Fasteners</v>
      </c>
      <c r="H15" s="112" t="str">
        <f>VLOOKUP(C15,Bolts!A:L,7,0)</f>
        <v xml:space="preserve">  </v>
      </c>
      <c r="I15" s="112"/>
      <c r="J15" s="44" t="str">
        <f>VLOOKUP(C15,Bolts!A:L,8,0)</f>
        <v xml:space="preserve"> </v>
      </c>
      <c r="K15" s="44" t="str">
        <f>VLOOKUP(C15,Bolts!A:L,9,0)</f>
        <v xml:space="preserve"> </v>
      </c>
      <c r="L15" s="44" t="str">
        <f>VLOOKUP(C15,Bolts!A:L,10,0)</f>
        <v xml:space="preserve"> </v>
      </c>
      <c r="M15" s="44" t="str">
        <f>VLOOKUP(C15,Bolts!A:L,11,0)</f>
        <v xml:space="preserve"> </v>
      </c>
      <c r="N15" s="45" t="str">
        <f>VLOOKUP(C15,Bolts!A:L,12,0)</f>
        <v xml:space="preserve"> </v>
      </c>
      <c r="O15" s="45" t="e">
        <f t="shared" ca="1" si="5"/>
        <v>#VALUE!</v>
      </c>
      <c r="P15" s="49" t="str">
        <f>IFERROR(VLOOKUP(C15,Bolts!A:B,2,FALSE),"")</f>
        <v xml:space="preserve"> </v>
      </c>
      <c r="Q15" s="50" t="str">
        <f t="shared" si="6"/>
        <v/>
      </c>
    </row>
    <row r="16" spans="1:17" s="2" customFormat="1" ht="12.75" customHeight="1" thickBot="1">
      <c r="A16" s="34"/>
      <c r="B16" s="35"/>
      <c r="C16" s="35"/>
      <c r="D16" s="256"/>
      <c r="E16" s="257"/>
      <c r="F16" s="35"/>
      <c r="G16" s="35"/>
      <c r="H16" s="294"/>
      <c r="I16" s="295"/>
      <c r="J16" s="36"/>
      <c r="K16" s="36"/>
      <c r="L16" s="36"/>
      <c r="M16" s="37"/>
      <c r="N16" s="38"/>
      <c r="O16" s="38"/>
      <c r="P16" s="89" t="s">
        <v>43</v>
      </c>
      <c r="Q16" s="94">
        <f>SUM(Q5:Q13)</f>
        <v>346.36</v>
      </c>
    </row>
    <row r="17" spans="4:17" s="2" customFormat="1" ht="12" customHeight="1">
      <c r="D17" s="22"/>
      <c r="E17" s="22"/>
      <c r="J17" s="8"/>
      <c r="K17" s="8"/>
      <c r="L17" s="8"/>
      <c r="M17" s="8"/>
      <c r="N17" s="5"/>
      <c r="O17" s="5"/>
      <c r="P17" s="88"/>
      <c r="Q17" s="95"/>
    </row>
    <row r="18" spans="4:17" s="2" customFormat="1" ht="12" customHeight="1">
      <c r="D18" s="22"/>
      <c r="E18" s="22"/>
      <c r="J18" s="5"/>
      <c r="K18" s="5"/>
      <c r="L18" s="5"/>
      <c r="M18" s="5"/>
      <c r="N18" s="5"/>
      <c r="O18" s="5"/>
      <c r="P18" s="88"/>
      <c r="Q18" s="95"/>
    </row>
    <row r="19" spans="4:17" s="2" customFormat="1" ht="12" customHeight="1">
      <c r="D19" s="22"/>
      <c r="E19" s="22"/>
      <c r="J19" s="5"/>
      <c r="K19" s="5"/>
      <c r="L19" s="5"/>
      <c r="M19" s="5"/>
      <c r="N19" s="5"/>
      <c r="O19" s="5"/>
      <c r="P19" s="88"/>
      <c r="Q19" s="95"/>
    </row>
    <row r="20" spans="4:17" s="2" customFormat="1" ht="12" customHeight="1">
      <c r="D20" s="22"/>
      <c r="E20" s="22"/>
      <c r="J20" s="5"/>
      <c r="K20" s="5"/>
      <c r="L20" s="5"/>
      <c r="M20" s="5"/>
      <c r="N20" s="5"/>
      <c r="O20" s="5"/>
      <c r="P20" s="88"/>
      <c r="Q20" s="95"/>
    </row>
    <row r="21" spans="4:17" s="2" customFormat="1" ht="12" customHeight="1">
      <c r="D21" s="22"/>
      <c r="E21" s="22"/>
      <c r="J21" s="5"/>
      <c r="K21" s="5"/>
      <c r="L21" s="5"/>
      <c r="M21" s="5"/>
      <c r="N21" s="5"/>
      <c r="O21" s="5"/>
      <c r="P21" s="88"/>
      <c r="Q21" s="95"/>
    </row>
    <row r="22" spans="4:17" s="2" customFormat="1" ht="12" customHeight="1">
      <c r="D22" s="22"/>
      <c r="E22" s="22"/>
      <c r="J22" s="5"/>
      <c r="K22" s="5"/>
      <c r="L22" s="5"/>
      <c r="M22" s="5"/>
      <c r="N22" s="5"/>
      <c r="O22" s="5"/>
      <c r="P22" s="88"/>
      <c r="Q22" s="95"/>
    </row>
    <row r="23" spans="4:17" s="2" customFormat="1" ht="12" customHeight="1">
      <c r="D23" s="22"/>
      <c r="E23" s="22"/>
      <c r="J23" s="5"/>
      <c r="K23" s="5"/>
      <c r="L23" s="5"/>
      <c r="M23" s="5"/>
      <c r="N23" s="5"/>
      <c r="O23" s="5"/>
      <c r="P23" s="88"/>
      <c r="Q23" s="95"/>
    </row>
    <row r="24" spans="4:17" s="2" customFormat="1" ht="12" customHeight="1">
      <c r="D24" s="22"/>
      <c r="E24" s="22"/>
      <c r="J24" s="5"/>
      <c r="K24" s="5"/>
      <c r="L24" s="5"/>
      <c r="M24" s="5"/>
      <c r="N24" s="5"/>
      <c r="O24" s="5"/>
      <c r="P24" s="88"/>
      <c r="Q24" s="95"/>
    </row>
    <row r="25" spans="4:17" s="2" customFormat="1" ht="12" customHeight="1">
      <c r="D25" s="22"/>
      <c r="E25" s="22"/>
      <c r="J25" s="5"/>
      <c r="K25" s="5"/>
      <c r="L25" s="5"/>
      <c r="M25" s="5"/>
      <c r="N25" s="5"/>
      <c r="O25" s="5"/>
      <c r="P25" s="88"/>
      <c r="Q25" s="95"/>
    </row>
    <row r="26" spans="4:17" s="2" customFormat="1" ht="12" customHeight="1">
      <c r="D26" s="22"/>
      <c r="E26" s="22"/>
      <c r="J26" s="5"/>
      <c r="K26" s="5"/>
      <c r="L26" s="5"/>
      <c r="M26" s="5"/>
      <c r="N26" s="5"/>
      <c r="O26" s="5"/>
      <c r="P26" s="88"/>
      <c r="Q26" s="95"/>
    </row>
    <row r="27" spans="4:17" s="2" customFormat="1" ht="12" customHeight="1">
      <c r="D27" s="22"/>
      <c r="E27" s="22"/>
      <c r="J27" s="5"/>
      <c r="K27" s="5"/>
      <c r="L27" s="5"/>
      <c r="M27" s="5"/>
      <c r="N27" s="5"/>
      <c r="O27" s="5"/>
      <c r="P27" s="88"/>
      <c r="Q27" s="95"/>
    </row>
    <row r="28" spans="4:17" s="2" customFormat="1" ht="12" customHeight="1">
      <c r="D28" s="22"/>
      <c r="E28" s="22"/>
      <c r="J28" s="5"/>
      <c r="K28" s="5"/>
      <c r="L28" s="5"/>
      <c r="M28" s="5"/>
      <c r="N28" s="5"/>
      <c r="O28" s="5"/>
      <c r="P28" s="88"/>
      <c r="Q28" s="95"/>
    </row>
    <row r="29" spans="4:17" s="2" customFormat="1" ht="12" customHeight="1">
      <c r="D29" s="22"/>
      <c r="E29" s="22"/>
      <c r="J29" s="5"/>
      <c r="K29" s="5"/>
      <c r="L29" s="5"/>
      <c r="M29" s="5"/>
      <c r="N29" s="5"/>
      <c r="O29" s="5"/>
      <c r="P29" s="88"/>
      <c r="Q29" s="95"/>
    </row>
    <row r="30" spans="4:17" s="2" customFormat="1" ht="12" customHeight="1">
      <c r="D30" s="22"/>
      <c r="E30" s="22"/>
      <c r="J30" s="5"/>
      <c r="K30" s="5"/>
      <c r="L30" s="5"/>
      <c r="M30" s="5"/>
      <c r="N30" s="5"/>
      <c r="O30" s="5"/>
      <c r="P30" s="88"/>
      <c r="Q30" s="95"/>
    </row>
    <row r="31" spans="4:17" s="2" customFormat="1" ht="12" customHeight="1">
      <c r="D31" s="22"/>
      <c r="E31" s="22"/>
      <c r="J31" s="5"/>
      <c r="K31" s="5"/>
      <c r="L31" s="5"/>
      <c r="M31" s="5"/>
      <c r="N31" s="5"/>
      <c r="O31" s="5"/>
      <c r="P31" s="88"/>
      <c r="Q31" s="95"/>
    </row>
    <row r="32" spans="4:17" s="2" customFormat="1" ht="12" customHeight="1">
      <c r="D32" s="22"/>
      <c r="E32" s="22"/>
      <c r="J32" s="5"/>
      <c r="K32" s="5"/>
      <c r="L32" s="5"/>
      <c r="M32" s="5"/>
      <c r="N32" s="5"/>
      <c r="O32" s="5"/>
      <c r="P32" s="88"/>
      <c r="Q32" s="95"/>
    </row>
    <row r="33" spans="4:17" s="2" customFormat="1" ht="12" customHeight="1">
      <c r="D33" s="22"/>
      <c r="E33" s="22"/>
      <c r="J33" s="5"/>
      <c r="K33" s="5"/>
      <c r="L33" s="5"/>
      <c r="M33" s="5"/>
      <c r="N33" s="5"/>
      <c r="O33" s="5"/>
      <c r="P33" s="88"/>
      <c r="Q33" s="95"/>
    </row>
    <row r="34" spans="4:17" s="2" customFormat="1" ht="12" customHeight="1">
      <c r="D34" s="22"/>
      <c r="E34" s="22"/>
      <c r="J34" s="5"/>
      <c r="K34" s="5"/>
      <c r="L34" s="5"/>
      <c r="M34" s="5"/>
      <c r="N34" s="5"/>
      <c r="O34" s="5"/>
      <c r="P34" s="88"/>
      <c r="Q34" s="95"/>
    </row>
    <row r="35" spans="4:17" s="2" customFormat="1" ht="12" customHeight="1">
      <c r="D35" s="22"/>
      <c r="E35" s="22"/>
      <c r="J35" s="5"/>
      <c r="K35" s="5"/>
      <c r="L35" s="5"/>
      <c r="M35" s="5"/>
      <c r="N35" s="5"/>
      <c r="O35" s="5"/>
      <c r="P35" s="88"/>
      <c r="Q35" s="95"/>
    </row>
    <row r="36" spans="4:17" s="2" customFormat="1" ht="12" customHeight="1">
      <c r="D36" s="22"/>
      <c r="E36" s="22"/>
      <c r="J36" s="5"/>
      <c r="K36" s="5"/>
      <c r="L36" s="5"/>
      <c r="M36" s="5"/>
      <c r="N36" s="5"/>
      <c r="O36" s="5"/>
      <c r="P36" s="88"/>
      <c r="Q36" s="95"/>
    </row>
    <row r="37" spans="4:17" s="2" customFormat="1" ht="12" customHeight="1">
      <c r="D37" s="22"/>
      <c r="E37" s="22"/>
      <c r="J37" s="5"/>
      <c r="K37" s="5"/>
      <c r="L37" s="5"/>
      <c r="M37" s="5"/>
      <c r="N37" s="5"/>
      <c r="O37" s="5"/>
      <c r="P37" s="88"/>
      <c r="Q37" s="95"/>
    </row>
    <row r="38" spans="4:17" s="2" customFormat="1" ht="12" customHeight="1">
      <c r="D38" s="22"/>
      <c r="E38" s="22"/>
      <c r="J38" s="5"/>
      <c r="K38" s="5"/>
      <c r="L38" s="5"/>
      <c r="M38" s="5"/>
      <c r="N38" s="5"/>
      <c r="O38" s="5"/>
      <c r="P38" s="88"/>
      <c r="Q38" s="95"/>
    </row>
    <row r="39" spans="4:17" s="2" customFormat="1" ht="12" customHeight="1">
      <c r="D39" s="22"/>
      <c r="E39" s="22"/>
      <c r="J39" s="5"/>
      <c r="K39" s="5"/>
      <c r="L39" s="5"/>
      <c r="M39" s="5"/>
      <c r="N39" s="5"/>
      <c r="O39" s="5"/>
      <c r="P39" s="88"/>
      <c r="Q39" s="95"/>
    </row>
    <row r="40" spans="4:17" s="2" customFormat="1" ht="12" customHeight="1">
      <c r="D40" s="22"/>
      <c r="E40" s="22"/>
      <c r="J40" s="5"/>
      <c r="K40" s="5"/>
      <c r="L40" s="5"/>
      <c r="M40" s="5"/>
      <c r="N40" s="5"/>
      <c r="O40" s="5"/>
      <c r="P40" s="88"/>
      <c r="Q40" s="95"/>
    </row>
    <row r="41" spans="4:17" s="2" customFormat="1" ht="12" customHeight="1">
      <c r="D41" s="22"/>
      <c r="E41" s="22"/>
      <c r="J41" s="5"/>
      <c r="K41" s="5"/>
      <c r="L41" s="5"/>
      <c r="M41" s="5"/>
      <c r="N41" s="5"/>
      <c r="O41" s="5"/>
      <c r="P41" s="88"/>
      <c r="Q41" s="95"/>
    </row>
    <row r="42" spans="4:17" s="2" customFormat="1" ht="12" customHeight="1">
      <c r="D42" s="22"/>
      <c r="E42" s="22"/>
      <c r="J42" s="5"/>
      <c r="K42" s="5"/>
      <c r="L42" s="5"/>
      <c r="M42" s="5"/>
      <c r="N42" s="5"/>
      <c r="O42" s="5"/>
      <c r="P42" s="88"/>
      <c r="Q42" s="95"/>
    </row>
    <row r="43" spans="4:17" s="2" customFormat="1" ht="12" customHeight="1">
      <c r="D43" s="22"/>
      <c r="E43" s="22"/>
      <c r="J43" s="5"/>
      <c r="K43" s="5"/>
      <c r="L43" s="5"/>
      <c r="M43" s="5"/>
      <c r="N43" s="5"/>
      <c r="O43" s="5"/>
      <c r="P43" s="88"/>
      <c r="Q43" s="95"/>
    </row>
    <row r="44" spans="4:17" s="2" customFormat="1" ht="12" customHeight="1">
      <c r="D44" s="22"/>
      <c r="E44" s="22"/>
      <c r="J44" s="5"/>
      <c r="K44" s="5"/>
      <c r="L44" s="5"/>
      <c r="M44" s="5"/>
      <c r="N44" s="5"/>
      <c r="O44" s="5"/>
      <c r="P44" s="88"/>
      <c r="Q44" s="95"/>
    </row>
    <row r="45" spans="4:17" s="2" customFormat="1" ht="12" customHeight="1">
      <c r="D45" s="22"/>
      <c r="E45" s="22"/>
      <c r="J45" s="5"/>
      <c r="K45" s="5"/>
      <c r="L45" s="5"/>
      <c r="M45" s="5"/>
      <c r="N45" s="5"/>
      <c r="O45" s="5"/>
      <c r="P45" s="88"/>
      <c r="Q45" s="95"/>
    </row>
    <row r="46" spans="4:17" s="2" customFormat="1" ht="12" customHeight="1">
      <c r="D46" s="22"/>
      <c r="E46" s="22"/>
      <c r="J46" s="5"/>
      <c r="K46" s="5"/>
      <c r="L46" s="5"/>
      <c r="M46" s="5"/>
      <c r="N46" s="5"/>
      <c r="O46" s="5"/>
      <c r="P46" s="88"/>
      <c r="Q46" s="95"/>
    </row>
    <row r="47" spans="4:17" s="2" customFormat="1" ht="12" customHeight="1">
      <c r="D47" s="22"/>
      <c r="E47" s="22"/>
      <c r="J47" s="5"/>
      <c r="K47" s="5"/>
      <c r="L47" s="5"/>
      <c r="M47" s="5"/>
      <c r="N47" s="5"/>
      <c r="O47" s="5"/>
      <c r="P47" s="88"/>
      <c r="Q47" s="95"/>
    </row>
    <row r="48" spans="4:17" s="2" customFormat="1" ht="12" customHeight="1">
      <c r="D48" s="22"/>
      <c r="E48" s="22"/>
      <c r="J48" s="5"/>
      <c r="K48" s="5"/>
      <c r="L48" s="5"/>
      <c r="M48" s="5"/>
      <c r="N48" s="5"/>
      <c r="O48" s="5"/>
      <c r="P48" s="88"/>
      <c r="Q48" s="95"/>
    </row>
    <row r="49" spans="1:17" s="2" customFormat="1" ht="12" customHeight="1">
      <c r="D49" s="22"/>
      <c r="E49" s="22"/>
      <c r="J49" s="5"/>
      <c r="K49" s="5"/>
      <c r="L49" s="5"/>
      <c r="M49" s="5"/>
      <c r="N49" s="5"/>
      <c r="O49" s="5"/>
      <c r="P49" s="88"/>
      <c r="Q49" s="95"/>
    </row>
    <row r="50" spans="1:17" s="2" customFormat="1" ht="12" customHeight="1">
      <c r="D50" s="22"/>
      <c r="E50" s="22"/>
      <c r="J50" s="5"/>
      <c r="K50" s="5"/>
      <c r="L50" s="5"/>
      <c r="M50" s="5"/>
      <c r="N50" s="5"/>
      <c r="O50" s="5"/>
      <c r="P50" s="88"/>
      <c r="Q50" s="95"/>
    </row>
    <row r="51" spans="1:17" s="2" customFormat="1" ht="12" customHeight="1">
      <c r="D51" s="22"/>
      <c r="E51" s="22"/>
      <c r="J51" s="5"/>
      <c r="K51" s="5"/>
      <c r="L51" s="5"/>
      <c r="M51" s="5"/>
      <c r="N51" s="5"/>
      <c r="O51" s="5"/>
      <c r="P51" s="88"/>
      <c r="Q51" s="95"/>
    </row>
    <row r="52" spans="1:17" s="2" customFormat="1" ht="12" customHeight="1">
      <c r="D52" s="22"/>
      <c r="E52" s="22"/>
      <c r="J52" s="5"/>
      <c r="K52" s="5"/>
      <c r="L52" s="5"/>
      <c r="M52" s="5"/>
      <c r="N52" s="5"/>
      <c r="O52" s="5"/>
      <c r="P52" s="88"/>
      <c r="Q52" s="95"/>
    </row>
    <row r="53" spans="1:17" s="2" customFormat="1" ht="12" customHeight="1">
      <c r="D53" s="22"/>
      <c r="E53" s="22"/>
      <c r="J53" s="5"/>
      <c r="K53" s="5"/>
      <c r="L53" s="5"/>
      <c r="M53" s="5"/>
      <c r="N53" s="5"/>
      <c r="O53" s="5"/>
      <c r="P53" s="88"/>
      <c r="Q53" s="95"/>
    </row>
    <row r="54" spans="1:17" s="2" customFormat="1" ht="12" customHeight="1">
      <c r="D54" s="22"/>
      <c r="E54" s="22"/>
      <c r="J54" s="5"/>
      <c r="K54" s="5"/>
      <c r="L54" s="5"/>
      <c r="M54" s="5"/>
      <c r="N54" s="5"/>
      <c r="O54" s="5"/>
      <c r="P54" s="88"/>
      <c r="Q54" s="95"/>
    </row>
    <row r="55" spans="1:17" s="2" customFormat="1" ht="12" customHeight="1">
      <c r="D55" s="22"/>
      <c r="E55" s="22"/>
      <c r="J55" s="5"/>
      <c r="K55" s="5"/>
      <c r="L55" s="5"/>
      <c r="M55" s="5"/>
      <c r="N55" s="5"/>
      <c r="O55" s="5"/>
      <c r="P55" s="88"/>
      <c r="Q55" s="96"/>
    </row>
    <row r="56" spans="1:17" s="2" customFormat="1" ht="12" customHeight="1">
      <c r="D56" s="22"/>
      <c r="E56" s="22"/>
      <c r="J56" s="5"/>
      <c r="K56" s="5"/>
      <c r="L56" s="5"/>
      <c r="M56" s="5"/>
      <c r="N56" s="5"/>
      <c r="O56" s="5"/>
      <c r="P56" s="88"/>
      <c r="Q56" s="96"/>
    </row>
    <row r="57" spans="1:17" s="2" customFormat="1" ht="12" customHeight="1">
      <c r="D57" s="22"/>
      <c r="E57" s="22"/>
      <c r="J57" s="5"/>
      <c r="K57" s="5"/>
      <c r="L57" s="5"/>
      <c r="M57" s="5"/>
      <c r="N57" s="5"/>
      <c r="O57" s="5"/>
      <c r="P57" s="88"/>
      <c r="Q57" s="96"/>
    </row>
    <row r="58" spans="1:17" s="2" customFormat="1" ht="12" customHeight="1">
      <c r="D58" s="22"/>
      <c r="E58" s="22"/>
      <c r="J58" s="5"/>
      <c r="K58" s="5"/>
      <c r="L58" s="5"/>
      <c r="M58" s="5"/>
      <c r="N58" s="5"/>
      <c r="O58" s="5"/>
      <c r="P58" s="88"/>
      <c r="Q58" s="96"/>
    </row>
    <row r="59" spans="1:17" s="2" customFormat="1" ht="12" customHeight="1">
      <c r="A59"/>
      <c r="B59"/>
      <c r="C59"/>
      <c r="D59" s="23"/>
      <c r="E59" s="23"/>
      <c r="F59"/>
      <c r="G59"/>
      <c r="H59"/>
      <c r="I59"/>
      <c r="J59" s="19"/>
      <c r="K59" s="19"/>
      <c r="L59" s="19"/>
      <c r="M59" s="19"/>
      <c r="N59" s="19"/>
      <c r="O59" s="19"/>
      <c r="P59" s="90"/>
      <c r="Q59" s="96"/>
    </row>
    <row r="60" spans="1:17" s="2" customFormat="1" ht="12" customHeight="1">
      <c r="A60"/>
      <c r="B60"/>
      <c r="C60"/>
      <c r="D60" s="23"/>
      <c r="E60" s="23"/>
      <c r="F60"/>
      <c r="G60"/>
      <c r="H60"/>
      <c r="I60"/>
      <c r="J60" s="19"/>
      <c r="K60" s="19"/>
      <c r="L60" s="19"/>
      <c r="M60" s="19"/>
      <c r="N60" s="19"/>
      <c r="O60" s="19"/>
      <c r="P60" s="90"/>
      <c r="Q60" s="96"/>
    </row>
    <row r="61" spans="1:17" s="2" customFormat="1" ht="12" customHeight="1">
      <c r="A61"/>
      <c r="B61"/>
      <c r="C61"/>
      <c r="D61" s="23"/>
      <c r="E61" s="23"/>
      <c r="F61"/>
      <c r="G61"/>
      <c r="H61"/>
      <c r="I61"/>
      <c r="J61" s="19"/>
      <c r="K61" s="19"/>
      <c r="L61" s="19"/>
      <c r="M61" s="19"/>
      <c r="N61" s="19"/>
      <c r="O61" s="19"/>
      <c r="P61" s="90"/>
      <c r="Q61" s="96"/>
    </row>
    <row r="62" spans="1:17" s="2" customFormat="1" ht="12" customHeight="1">
      <c r="A62"/>
      <c r="B62"/>
      <c r="C62"/>
      <c r="D62" s="23"/>
      <c r="E62" s="23"/>
      <c r="F62"/>
      <c r="G62"/>
      <c r="H62"/>
      <c r="I62"/>
      <c r="J62" s="19"/>
      <c r="K62" s="19"/>
      <c r="L62" s="19"/>
      <c r="M62" s="19"/>
      <c r="N62" s="19"/>
      <c r="O62" s="19"/>
      <c r="P62" s="90"/>
      <c r="Q62" s="96"/>
    </row>
    <row r="63" spans="1:17" s="2" customFormat="1" ht="12" customHeight="1">
      <c r="A63"/>
      <c r="B63"/>
      <c r="C63"/>
      <c r="D63" s="23"/>
      <c r="E63" s="23"/>
      <c r="F63"/>
      <c r="G63"/>
      <c r="H63"/>
      <c r="I63"/>
      <c r="J63" s="19"/>
      <c r="K63" s="19"/>
      <c r="L63" s="19"/>
      <c r="M63" s="19"/>
      <c r="N63" s="19"/>
      <c r="O63" s="19"/>
      <c r="P63" s="90"/>
      <c r="Q63" s="96"/>
    </row>
    <row r="64" spans="1:17">
      <c r="Q64" s="96"/>
    </row>
    <row r="65" spans="17:17">
      <c r="Q65" s="96"/>
    </row>
    <row r="66" spans="17:17">
      <c r="Q66" s="96"/>
    </row>
    <row r="67" spans="17:17">
      <c r="Q67" s="96"/>
    </row>
    <row r="68" spans="17:17">
      <c r="Q68" s="96"/>
    </row>
    <row r="69" spans="17:17">
      <c r="Q69" s="96"/>
    </row>
    <row r="70" spans="17:17">
      <c r="Q70" s="96"/>
    </row>
    <row r="71" spans="17:17">
      <c r="Q71" s="96"/>
    </row>
    <row r="72" spans="17:17">
      <c r="Q72" s="96"/>
    </row>
    <row r="73" spans="17:17">
      <c r="Q73" s="96"/>
    </row>
    <row r="74" spans="17:17">
      <c r="Q74" s="96"/>
    </row>
    <row r="75" spans="17:17">
      <c r="Q75" s="96"/>
    </row>
    <row r="76" spans="17:17">
      <c r="Q76" s="96"/>
    </row>
    <row r="77" spans="17:17">
      <c r="Q77" s="96"/>
    </row>
    <row r="78" spans="17:17">
      <c r="Q78" s="96"/>
    </row>
    <row r="79" spans="17:17">
      <c r="Q79" s="96"/>
    </row>
    <row r="80" spans="17:17">
      <c r="Q80" s="96"/>
    </row>
    <row r="81" spans="17:17">
      <c r="Q81" s="96"/>
    </row>
    <row r="82" spans="17:17">
      <c r="Q82" s="96"/>
    </row>
    <row r="83" spans="17:17">
      <c r="Q83" s="96"/>
    </row>
    <row r="120" ht="12" customHeight="1"/>
    <row r="121" ht="12" customHeight="1"/>
    <row r="122" ht="12" customHeight="1"/>
    <row r="123" ht="12" customHeight="1"/>
    <row r="124" ht="12" customHeight="1"/>
    <row r="125" ht="12" customHeight="1"/>
    <row r="126" ht="12" customHeight="1"/>
    <row r="127" ht="12" customHeight="1"/>
    <row r="128" ht="12" customHeight="1"/>
    <row r="129" ht="12" customHeight="1"/>
    <row r="130" ht="12" customHeight="1"/>
    <row r="131" ht="12" customHeight="1"/>
    <row r="132" ht="12" customHeight="1"/>
    <row r="133" ht="12" customHeight="1"/>
    <row r="134" ht="12" customHeight="1"/>
    <row r="135" ht="12" customHeight="1"/>
    <row r="136" ht="12" customHeight="1"/>
    <row r="137" ht="12" customHeight="1"/>
    <row r="138" ht="12" customHeight="1"/>
    <row r="139" ht="12" customHeight="1"/>
    <row r="140" ht="12" customHeight="1"/>
    <row r="141" ht="12" customHeight="1"/>
    <row r="142" ht="12" customHeight="1"/>
    <row r="143" ht="12" customHeight="1"/>
    <row r="144" ht="12" customHeight="1"/>
    <row r="145" ht="12" customHeight="1"/>
    <row r="146" ht="12" customHeight="1"/>
    <row r="147" ht="12" customHeight="1"/>
    <row r="148" ht="12" customHeight="1"/>
    <row r="149" ht="12" customHeight="1"/>
    <row r="150" ht="12" customHeight="1"/>
    <row r="151" ht="12" customHeight="1"/>
    <row r="152" ht="12" customHeight="1"/>
    <row r="153" ht="12" customHeight="1"/>
    <row r="154" ht="12" customHeight="1"/>
    <row r="155" ht="12" customHeight="1"/>
    <row r="156" ht="12" customHeight="1"/>
    <row r="157" ht="12" customHeight="1"/>
    <row r="158" ht="12" customHeight="1"/>
    <row r="159" ht="12" customHeight="1"/>
    <row r="160" ht="12" customHeight="1"/>
    <row r="161" ht="12" customHeight="1"/>
    <row r="162" ht="12" customHeight="1"/>
    <row r="163" ht="12" customHeight="1"/>
    <row r="164" ht="12" customHeight="1"/>
    <row r="165" ht="12" customHeight="1"/>
    <row r="166" ht="12" customHeight="1"/>
    <row r="167" ht="12" customHeight="1"/>
    <row r="168" ht="12" customHeight="1"/>
    <row r="169" ht="12" customHeight="1"/>
  </sheetData>
  <mergeCells count="16">
    <mergeCell ref="D1:E1"/>
    <mergeCell ref="D4:E4"/>
    <mergeCell ref="H4:I4"/>
    <mergeCell ref="D5:E5"/>
    <mergeCell ref="D6:E6"/>
    <mergeCell ref="D7:E7"/>
    <mergeCell ref="D8:E8"/>
    <mergeCell ref="D9:E9"/>
    <mergeCell ref="D10:E10"/>
    <mergeCell ref="H10:I10"/>
    <mergeCell ref="D11:E11"/>
    <mergeCell ref="H12:I12"/>
    <mergeCell ref="H16:I16"/>
    <mergeCell ref="D13:E13"/>
    <mergeCell ref="D12:E12"/>
    <mergeCell ref="D16:E16"/>
  </mergeCells>
  <conditionalFormatting sqref="M5:M9">
    <cfRule type="cellIs" dxfId="458" priority="1" stopIfTrue="1" operator="lessThanOrEqual">
      <formula>$L5</formula>
    </cfRule>
    <cfRule type="cellIs" dxfId="457" priority="2" operator="greaterThan">
      <formula>L5</formula>
    </cfRule>
  </conditionalFormatting>
  <conditionalFormatting sqref="M11 M13:M15">
    <cfRule type="cellIs" dxfId="456" priority="3" stopIfTrue="1" operator="lessThanOrEqual">
      <formula>$L11</formula>
    </cfRule>
    <cfRule type="cellIs" dxfId="455" priority="4" operator="greaterThan">
      <formula>L11</formula>
    </cfRule>
  </conditionalFormatting>
  <pageMargins left="0.7" right="0.7" top="0.75" bottom="0.75" header="0.3" footer="0.3"/>
  <pageSetup paperSize="3" fitToHeight="0" orientation="landscape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25D5C9D2-C2D1-48B5-8A8E-D101F4143FA3}">
          <x14:formula1>
            <xm:f>Purchased!$A:$A</xm:f>
          </x14:formula1>
          <xm:sqref>C11</xm:sqref>
        </x14:dataValidation>
        <x14:dataValidation type="list" allowBlank="1" showInputMessage="1" showErrorMessage="1" xr:uid="{D877F278-EBC8-4057-A63B-F493666B7AB1}">
          <x14:formula1>
            <xm:f>Machined!$C:$C</xm:f>
          </x14:formula1>
          <xm:sqref>C5:C9</xm:sqref>
        </x14:dataValidation>
      </x14:dataValidation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0D924-7A8D-4E23-83D2-4FCB928DFBE1}">
  <sheetPr codeName="Sheet51">
    <tabColor theme="3" tint="0.79998168889431442"/>
    <pageSetUpPr fitToPage="1"/>
  </sheetPr>
  <dimension ref="A1:Q169"/>
  <sheetViews>
    <sheetView zoomScaleNormal="100" workbookViewId="0">
      <selection activeCell="C43" sqref="C43"/>
    </sheetView>
  </sheetViews>
  <sheetFormatPr defaultColWidth="9.140625" defaultRowHeight="15"/>
  <cols>
    <col min="1" max="1" width="5.7109375" customWidth="1"/>
    <col min="2" max="2" width="5.42578125" bestFit="1" customWidth="1"/>
    <col min="3" max="3" width="30.7109375" customWidth="1"/>
    <col min="4" max="5" width="20.7109375" style="23" customWidth="1"/>
    <col min="6" max="6" width="16.85546875" bestFit="1" customWidth="1"/>
    <col min="7" max="7" width="9.7109375" customWidth="1"/>
    <col min="8" max="8" width="8.7109375" customWidth="1"/>
    <col min="9" max="9" width="20.7109375" customWidth="1"/>
    <col min="10" max="13" width="11.7109375" style="19" customWidth="1"/>
    <col min="14" max="14" width="11.85546875" style="19" bestFit="1" customWidth="1"/>
    <col min="15" max="15" width="7.7109375" style="19" customWidth="1"/>
    <col min="16" max="16" width="10.7109375" style="90" customWidth="1"/>
    <col min="17" max="17" width="10.7109375" style="97" customWidth="1"/>
  </cols>
  <sheetData>
    <row r="1" spans="1:17" s="55" customFormat="1" ht="12" customHeight="1">
      <c r="A1" s="68" t="s">
        <v>0</v>
      </c>
      <c r="B1" s="69"/>
      <c r="C1" s="69"/>
      <c r="D1" s="262" t="s">
        <v>1</v>
      </c>
      <c r="E1" s="263"/>
      <c r="F1" s="70"/>
      <c r="G1" s="69"/>
      <c r="H1" s="70"/>
      <c r="I1" s="71"/>
      <c r="J1" s="72"/>
      <c r="K1" s="72"/>
      <c r="L1" s="72"/>
      <c r="M1" s="72"/>
      <c r="N1" s="72"/>
      <c r="O1" s="72"/>
      <c r="P1" s="85"/>
      <c r="Q1" s="91"/>
    </row>
    <row r="2" spans="1:17" s="55" customFormat="1" ht="12" customHeight="1">
      <c r="A2" s="74" t="s">
        <v>48</v>
      </c>
      <c r="B2" s="58"/>
      <c r="C2" s="57" t="e">
        <f ca="1">VLOOKUP(E3,Assemblies!B:F,4,0)</f>
        <v>#VALUE!</v>
      </c>
      <c r="D2" s="75" t="s">
        <v>3</v>
      </c>
      <c r="E2" s="76" t="e">
        <f ca="1">'GF12'!E2</f>
        <v>#VALUE!</v>
      </c>
      <c r="F2" s="77" t="s">
        <v>4</v>
      </c>
      <c r="G2" s="58" t="str">
        <f>'GF12'!G2</f>
        <v>GH</v>
      </c>
      <c r="H2" s="77" t="s">
        <v>6</v>
      </c>
      <c r="I2" s="59">
        <f>'GF12'!I2</f>
        <v>44775</v>
      </c>
      <c r="J2" s="39"/>
      <c r="K2" s="40" t="s">
        <v>49</v>
      </c>
      <c r="L2" s="41" t="e">
        <f ca="1">VLOOKUP(C2,Assemblies!E:G,3,0)</f>
        <v>#VALUE!</v>
      </c>
      <c r="M2" s="78"/>
      <c r="N2" s="78"/>
      <c r="O2" s="78"/>
      <c r="P2" s="86"/>
      <c r="Q2" s="92"/>
    </row>
    <row r="3" spans="1:17" s="55" customFormat="1" ht="12" customHeight="1" thickBot="1">
      <c r="A3" s="74" t="s">
        <v>7</v>
      </c>
      <c r="B3" s="58"/>
      <c r="C3" s="57" t="e">
        <f ca="1">VLOOKUP(E3,Assemblies!B:F,5,0)</f>
        <v>#VALUE!</v>
      </c>
      <c r="D3" s="75" t="s">
        <v>50</v>
      </c>
      <c r="E3" s="76" t="e">
        <f ca="1">MID(CELL("filename",A1),FIND("]",CELL("filename",A1))+1,256)</f>
        <v>#VALUE!</v>
      </c>
      <c r="F3" s="77" t="s">
        <v>11</v>
      </c>
      <c r="G3" s="58" t="str">
        <f>'GF12'!G3</f>
        <v>GH</v>
      </c>
      <c r="H3" s="77" t="s">
        <v>6</v>
      </c>
      <c r="I3" s="59">
        <f>'GF12'!I3</f>
        <v>44775</v>
      </c>
      <c r="J3" s="78"/>
      <c r="K3" s="78"/>
      <c r="L3" s="78"/>
      <c r="M3" s="78"/>
      <c r="N3" s="78"/>
      <c r="O3" s="78"/>
      <c r="P3" s="86"/>
      <c r="Q3" s="92"/>
    </row>
    <row r="4" spans="1:17" s="56" customFormat="1" ht="12.75" customHeight="1" thickBot="1">
      <c r="A4" s="80" t="s">
        <v>12</v>
      </c>
      <c r="B4" s="81" t="s">
        <v>13</v>
      </c>
      <c r="C4" s="81" t="s">
        <v>14</v>
      </c>
      <c r="D4" s="270" t="s">
        <v>15</v>
      </c>
      <c r="E4" s="271"/>
      <c r="F4" s="104" t="s">
        <v>16</v>
      </c>
      <c r="G4" s="81" t="s">
        <v>17</v>
      </c>
      <c r="H4" s="260" t="s">
        <v>18</v>
      </c>
      <c r="I4" s="261"/>
      <c r="J4" s="81" t="s">
        <v>51</v>
      </c>
      <c r="K4" s="81" t="s">
        <v>20</v>
      </c>
      <c r="L4" s="81" t="s">
        <v>21</v>
      </c>
      <c r="M4" s="81" t="s">
        <v>52</v>
      </c>
      <c r="N4" s="81" t="s">
        <v>22</v>
      </c>
      <c r="O4" s="81" t="s">
        <v>53</v>
      </c>
      <c r="P4" s="107" t="s">
        <v>26</v>
      </c>
      <c r="Q4" s="82" t="s">
        <v>27</v>
      </c>
    </row>
    <row r="5" spans="1:17" s="2" customFormat="1" ht="12.75" customHeight="1">
      <c r="A5" s="127">
        <v>1</v>
      </c>
      <c r="B5" s="21">
        <v>2</v>
      </c>
      <c r="C5" s="108" t="s">
        <v>663</v>
      </c>
      <c r="D5" s="277" t="str">
        <f>VLOOKUP(C5,Machined!C:Q,2,0)</f>
        <v>Roller Bracket Long</v>
      </c>
      <c r="E5" s="278"/>
      <c r="F5" s="131" t="str">
        <f>VLOOKUP(C5,Machined!C:R,7,0)</f>
        <v>6061-T6 Alum</v>
      </c>
      <c r="G5" s="131" t="str">
        <f>VLOOKUP(C5,Machined!C:R,10,0)</f>
        <v>FRONTIER</v>
      </c>
      <c r="H5" s="131" t="str">
        <f>VLOOKUP(C5,Machined!C:R,11,0)</f>
        <v xml:space="preserve">  </v>
      </c>
      <c r="I5" s="131"/>
      <c r="J5" s="42">
        <f>VLOOKUP(C5,Machined!C:R,12,0)</f>
        <v>45105</v>
      </c>
      <c r="K5" s="42">
        <f>VLOOKUP(C5,Machined!C:R,13,0)</f>
        <v>45133</v>
      </c>
      <c r="L5" s="42">
        <f>VLOOKUP(C5,Machined!C:R,14,0)</f>
        <v>45163</v>
      </c>
      <c r="M5" s="42">
        <f>VLOOKUP(C5,Machined!C:R,15,0)</f>
        <v>45163</v>
      </c>
      <c r="N5" s="43">
        <f>VLOOKUP(C5,Machined!C:R,16,0)</f>
        <v>55015</v>
      </c>
      <c r="O5" s="43" t="e">
        <f t="shared" ref="O5:O9" ca="1" si="0">B5*$L$2</f>
        <v>#VALUE!</v>
      </c>
      <c r="P5" s="47">
        <f>IFERROR(VLOOKUP(C5,Machined!C:F,3,0),"")</f>
        <v>76.5</v>
      </c>
      <c r="Q5" s="48">
        <f t="shared" ref="Q5:Q9" si="1">IFERROR(B5*P5,"")</f>
        <v>153</v>
      </c>
    </row>
    <row r="6" spans="1:17" s="2" customFormat="1" ht="12.75" customHeight="1">
      <c r="A6" s="127">
        <v>2</v>
      </c>
      <c r="B6" s="21">
        <v>1</v>
      </c>
      <c r="C6" s="108" t="s">
        <v>272</v>
      </c>
      <c r="D6" s="277" t="str">
        <f>VLOOKUP(C6,Machined!C:Q,2,0)</f>
        <v>EXTRUDED ROLLER</v>
      </c>
      <c r="E6" s="278"/>
      <c r="F6" s="131" t="str">
        <f>VLOOKUP(C6,Machined!C:R,7,0)</f>
        <v>6061-T6 Alum</v>
      </c>
      <c r="G6" s="131" t="str">
        <f>VLOOKUP(C6,Machined!C:R,10,0)</f>
        <v>BONNELL, RON GROB, 3J, Fin. Pros</v>
      </c>
      <c r="H6" s="131" t="str">
        <f>VLOOKUP(C6,Machined!C:R,11,0)</f>
        <v xml:space="preserve"> </v>
      </c>
      <c r="I6" s="131"/>
      <c r="J6" s="42" t="str">
        <f>VLOOKUP(C6,Machined!C:R,12,0)</f>
        <v>N/A</v>
      </c>
      <c r="K6" s="42" t="str">
        <f>VLOOKUP(C6,Machined!C:R,13,0)</f>
        <v>N/A</v>
      </c>
      <c r="L6" s="42" t="str">
        <f>VLOOKUP(C6,Machined!C:R,14,0)</f>
        <v>N/A</v>
      </c>
      <c r="M6" s="42" t="str">
        <f>VLOOKUP(C6,Machined!C:R,15,0)</f>
        <v>N/A</v>
      </c>
      <c r="N6" s="43" t="str">
        <f>VLOOKUP(C6,Machined!C:R,16,0)</f>
        <v xml:space="preserve">54809, 54970, 54989 </v>
      </c>
      <c r="O6" s="43" t="e">
        <f t="shared" ca="1" si="0"/>
        <v>#VALUE!</v>
      </c>
      <c r="P6" s="47">
        <f>IFERROR(VLOOKUP(C6,Machined!C:F,3,0),"")</f>
        <v>119.09</v>
      </c>
      <c r="Q6" s="48">
        <f t="shared" si="1"/>
        <v>119.09</v>
      </c>
    </row>
    <row r="7" spans="1:17" s="2" customFormat="1" ht="12.75" customHeight="1">
      <c r="A7" s="127">
        <v>3</v>
      </c>
      <c r="B7" s="21">
        <v>1</v>
      </c>
      <c r="C7" s="108" t="s">
        <v>273</v>
      </c>
      <c r="D7" s="277" t="str">
        <f>VLOOKUP(C7,Machined!C:Q,2,0)</f>
        <v>ROLLER SHAFT</v>
      </c>
      <c r="E7" s="278"/>
      <c r="F7" s="131" t="str">
        <f>VLOOKUP(C7,Machined!C:R,7,0)</f>
        <v>303 SS - TG&amp;P</v>
      </c>
      <c r="G7" s="131" t="str">
        <f>VLOOKUP(C7,Machined!C:R,10,0)</f>
        <v>ALEXANDRIA, Nuline</v>
      </c>
      <c r="H7" s="131" t="str">
        <f>VLOOKUP(C7,Machined!C:R,11,0)</f>
        <v xml:space="preserve"> </v>
      </c>
      <c r="I7" s="131"/>
      <c r="J7" s="42" t="str">
        <f>VLOOKUP(C7,Machined!C:R,12,0)</f>
        <v>N/A</v>
      </c>
      <c r="K7" s="42" t="str">
        <f>VLOOKUP(C7,Machined!C:R,13,0)</f>
        <v>N/A</v>
      </c>
      <c r="L7" s="42" t="str">
        <f>VLOOKUP(C7,Machined!C:R,14,0)</f>
        <v>N/A</v>
      </c>
      <c r="M7" s="42" t="str">
        <f>VLOOKUP(C7,Machined!C:R,15,0)</f>
        <v>N/A</v>
      </c>
      <c r="N7" s="43">
        <f>VLOOKUP(C7,Machined!C:R,16,0)</f>
        <v>55018</v>
      </c>
      <c r="O7" s="43" t="e">
        <f t="shared" ca="1" si="0"/>
        <v>#VALUE!</v>
      </c>
      <c r="P7" s="47">
        <f>IFERROR(VLOOKUP(C7,Machined!C:F,3,0),"")</f>
        <v>85.05</v>
      </c>
      <c r="Q7" s="48">
        <f t="shared" si="1"/>
        <v>85.05</v>
      </c>
    </row>
    <row r="8" spans="1:17" s="2" customFormat="1" ht="12.75" customHeight="1">
      <c r="A8" s="127">
        <v>4</v>
      </c>
      <c r="B8" s="21">
        <v>2</v>
      </c>
      <c r="C8" s="108" t="s">
        <v>274</v>
      </c>
      <c r="D8" s="277" t="str">
        <f>VLOOKUP(C8,Machined!C:Q,2,0)</f>
        <v>ROLLER CAP</v>
      </c>
      <c r="E8" s="278"/>
      <c r="F8" s="131" t="str">
        <f>VLOOKUP(C8,Machined!C:R,7,0)</f>
        <v>304 SS</v>
      </c>
      <c r="G8" s="131" t="str">
        <f>VLOOKUP(C8,Machined!C:R,10,0)</f>
        <v>XOMETRY</v>
      </c>
      <c r="H8" s="131" t="str">
        <f>VLOOKUP(C8,Machined!C:R,11,0)</f>
        <v xml:space="preserve">  </v>
      </c>
      <c r="I8" s="131"/>
      <c r="J8" s="42" t="str">
        <f>VLOOKUP(C8,Machined!C:R,12,0)</f>
        <v>N/A</v>
      </c>
      <c r="K8" s="42">
        <f>VLOOKUP(C8,Machined!C:R,13,0)</f>
        <v>45141</v>
      </c>
      <c r="L8" s="42">
        <f>VLOOKUP(C8,Machined!C:R,14,0)</f>
        <v>45161</v>
      </c>
      <c r="M8" s="42">
        <f>VLOOKUP(C8,Machined!C:R,15,0)</f>
        <v>45161</v>
      </c>
      <c r="N8" s="43">
        <f>VLOOKUP(C8,Machined!C:R,16,0)</f>
        <v>55030</v>
      </c>
      <c r="O8" s="43" t="e">
        <f t="shared" ca="1" si="0"/>
        <v>#VALUE!</v>
      </c>
      <c r="P8" s="47">
        <f>IFERROR(VLOOKUP(C8,Machined!C:F,3,0),"")</f>
        <v>1.52</v>
      </c>
      <c r="Q8" s="48">
        <f t="shared" si="1"/>
        <v>3.04</v>
      </c>
    </row>
    <row r="9" spans="1:17" s="2" customFormat="1" ht="12.75" customHeight="1">
      <c r="A9" s="127">
        <v>5</v>
      </c>
      <c r="B9" s="21">
        <v>2</v>
      </c>
      <c r="C9" s="108" t="s">
        <v>276</v>
      </c>
      <c r="D9" s="277" t="str">
        <f>VLOOKUP(C9,Machined!C:Q,2,0)</f>
        <v>SINGLE ROLLER BRACKET 
CLAMP</v>
      </c>
      <c r="E9" s="278"/>
      <c r="F9" s="131" t="str">
        <f>VLOOKUP(C9,Machined!C:R,7,0)</f>
        <v>6061-T6 Alum</v>
      </c>
      <c r="G9" s="131" t="str">
        <f>VLOOKUP(C9,Machined!C:R,10,0)</f>
        <v>FRONTIER</v>
      </c>
      <c r="H9" s="131" t="str">
        <f>VLOOKUP(C9,Machined!C:R,11,0)</f>
        <v xml:space="preserve">  </v>
      </c>
      <c r="I9" s="131"/>
      <c r="J9" s="42">
        <f>VLOOKUP(C9,Machined!C:R,12,0)</f>
        <v>45139</v>
      </c>
      <c r="K9" s="42">
        <f>VLOOKUP(C9,Machined!C:R,13,0)</f>
        <v>45140</v>
      </c>
      <c r="L9" s="42">
        <f>VLOOKUP(C9,Machined!C:R,14,0)</f>
        <v>45170</v>
      </c>
      <c r="M9" s="42">
        <f>VLOOKUP(C9,Machined!C:R,15,0)</f>
        <v>45170</v>
      </c>
      <c r="N9" s="43">
        <f>VLOOKUP(C9,Machined!C:R,16,0)</f>
        <v>55025</v>
      </c>
      <c r="O9" s="43" t="e">
        <f t="shared" ca="1" si="0"/>
        <v>#VALUE!</v>
      </c>
      <c r="P9" s="47">
        <f>IFERROR(VLOOKUP(C9,Machined!C:F,3,0),"")</f>
        <v>0</v>
      </c>
      <c r="Q9" s="48">
        <f t="shared" si="1"/>
        <v>0</v>
      </c>
    </row>
    <row r="10" spans="1:17" s="2" customFormat="1" ht="12.75" customHeight="1">
      <c r="A10" s="143"/>
      <c r="B10" s="26"/>
      <c r="C10" s="26"/>
      <c r="D10" s="272"/>
      <c r="E10" s="273"/>
      <c r="F10" s="26"/>
      <c r="G10" s="26"/>
      <c r="H10" s="274"/>
      <c r="I10" s="275"/>
      <c r="J10" s="27"/>
      <c r="K10" s="27"/>
      <c r="L10" s="27"/>
      <c r="M10" s="28"/>
      <c r="N10" s="29"/>
      <c r="O10" s="29"/>
      <c r="P10" s="141"/>
      <c r="Q10" s="142"/>
    </row>
    <row r="11" spans="1:17" s="2" customFormat="1" ht="12.75" customHeight="1">
      <c r="A11" s="4">
        <v>301</v>
      </c>
      <c r="B11" s="2">
        <v>2</v>
      </c>
      <c r="C11" s="114" t="s">
        <v>277</v>
      </c>
      <c r="D11" s="268" t="str">
        <f>VLOOKUP(C11,Purchased!A:B,2,0)</f>
        <v>7612 DLG Deep groove ball bearing, 3/4" Bore, 1-3/4" O.D - Outside seal, no inner, with light oil lube- no grease.</v>
      </c>
      <c r="E11" s="269"/>
      <c r="F11" s="112" t="str">
        <f>VLOOKUP(C11,Purchased!A:Q,9,0)</f>
        <v>QualBear</v>
      </c>
      <c r="G11" s="112" t="str">
        <f>VLOOKUP(C11,Purchased!A:Q,10,0)</f>
        <v>QualBear</v>
      </c>
      <c r="H11" s="112" t="str">
        <f>VLOOKUP(C11,Purchased!A:Q,12,0)</f>
        <v>MCM part 4768K6</v>
      </c>
      <c r="I11" s="113"/>
      <c r="J11" s="44" t="str">
        <f>VLOOKUP(C11,Purchased!A:Q,13,0)</f>
        <v>N/A</v>
      </c>
      <c r="K11" s="44">
        <f>VLOOKUP(C11,Purchased!A:Q,14,0)</f>
        <v>45124</v>
      </c>
      <c r="L11" s="44">
        <f>VLOOKUP(C11,Purchased!A:Q,15,0)</f>
        <v>45145</v>
      </c>
      <c r="M11" s="44">
        <f>VLOOKUP(C11,Purchased!A:Q,16,0)</f>
        <v>45148</v>
      </c>
      <c r="N11" s="45">
        <f>VLOOKUP(C11,Purchased!A:Q,17,0)</f>
        <v>54997</v>
      </c>
      <c r="O11" s="45" t="e">
        <f t="shared" ref="O11:O15" ca="1" si="2">B11*$L$2</f>
        <v>#VALUE!</v>
      </c>
      <c r="P11" s="49">
        <f>IFERROR(VLOOKUP(C11,Purchased!A:E,3,FALSE),"")</f>
        <v>6.79</v>
      </c>
      <c r="Q11" s="50">
        <f t="shared" ref="Q11" si="3">IFERROR(B11*P11,"")</f>
        <v>13.58</v>
      </c>
    </row>
    <row r="12" spans="1:17" s="2" customFormat="1" ht="12.75" customHeight="1">
      <c r="A12" s="25"/>
      <c r="B12" s="26"/>
      <c r="C12" s="26"/>
      <c r="D12" s="272"/>
      <c r="E12" s="273"/>
      <c r="F12" s="26"/>
      <c r="G12" s="26"/>
      <c r="H12" s="274"/>
      <c r="I12" s="275"/>
      <c r="J12" s="27"/>
      <c r="K12" s="27"/>
      <c r="L12" s="27"/>
      <c r="M12" s="28"/>
      <c r="N12" s="29"/>
      <c r="O12" s="29" t="e">
        <f t="shared" ca="1" si="2"/>
        <v>#VALUE!</v>
      </c>
      <c r="P12" s="141"/>
      <c r="Q12" s="142"/>
    </row>
    <row r="13" spans="1:17" s="2" customFormat="1" ht="12.75" customHeight="1">
      <c r="A13" s="4">
        <v>501</v>
      </c>
      <c r="B13" s="2">
        <v>4</v>
      </c>
      <c r="C13" s="110" t="s">
        <v>278</v>
      </c>
      <c r="D13" s="268"/>
      <c r="E13" s="276"/>
      <c r="F13" s="112" t="str">
        <f>VLOOKUP(C13,Bolts!A:L,5,0)</f>
        <v xml:space="preserve">  </v>
      </c>
      <c r="G13" s="112" t="str">
        <f>VLOOKUP(C13,Bolts!A:L,6,0)</f>
        <v>Monroe Fasteners</v>
      </c>
      <c r="H13" s="112" t="str">
        <f>VLOOKUP(C13,Bolts!A:L,7,0)</f>
        <v xml:space="preserve">  </v>
      </c>
      <c r="I13" s="112"/>
      <c r="J13" s="44" t="str">
        <f>VLOOKUP(C13,Bolts!A:L,8,0)</f>
        <v xml:space="preserve"> </v>
      </c>
      <c r="K13" s="44" t="str">
        <f>VLOOKUP(C13,Bolts!A:L,9,0)</f>
        <v xml:space="preserve"> </v>
      </c>
      <c r="L13" s="44" t="str">
        <f>VLOOKUP(C13,Bolts!A:L,10,0)</f>
        <v xml:space="preserve"> </v>
      </c>
      <c r="M13" s="44" t="str">
        <f>VLOOKUP(C13,Bolts!A:L,11,0)</f>
        <v xml:space="preserve"> </v>
      </c>
      <c r="N13" s="45" t="str">
        <f>VLOOKUP(C13,Bolts!A:L,12,0)</f>
        <v xml:space="preserve"> </v>
      </c>
      <c r="O13" s="45" t="e">
        <f t="shared" ca="1" si="2"/>
        <v>#VALUE!</v>
      </c>
      <c r="P13" s="49" t="str">
        <f>IFERROR(VLOOKUP(C13,Bolts!A:B,2,FALSE),"")</f>
        <v xml:space="preserve"> </v>
      </c>
      <c r="Q13" s="50" t="str">
        <f t="shared" ref="Q13:Q15" si="4">IFERROR(B13*P13,"")</f>
        <v/>
      </c>
    </row>
    <row r="14" spans="1:17" s="2" customFormat="1" ht="12.75" customHeight="1">
      <c r="A14" s="4">
        <f>A13+1</f>
        <v>502</v>
      </c>
      <c r="B14" s="2">
        <v>4</v>
      </c>
      <c r="C14" s="110" t="s">
        <v>432</v>
      </c>
      <c r="D14" s="164"/>
      <c r="E14" s="165"/>
      <c r="F14" s="112" t="str">
        <f>VLOOKUP(C14,Bolts!A:L,5,0)</f>
        <v xml:space="preserve">  </v>
      </c>
      <c r="G14" s="112" t="str">
        <f>VLOOKUP(C14,Bolts!A:L,6,0)</f>
        <v>Monroe Fasteners</v>
      </c>
      <c r="H14" s="112" t="str">
        <f>VLOOKUP(C14,Bolts!A:L,7,0)</f>
        <v xml:space="preserve">  </v>
      </c>
      <c r="I14" s="112"/>
      <c r="J14" s="44" t="str">
        <f>VLOOKUP(C14,Bolts!A:L,8,0)</f>
        <v xml:space="preserve"> </v>
      </c>
      <c r="K14" s="44" t="str">
        <f>VLOOKUP(C14,Bolts!A:L,9,0)</f>
        <v xml:space="preserve"> </v>
      </c>
      <c r="L14" s="44" t="str">
        <f>VLOOKUP(C14,Bolts!A:L,10,0)</f>
        <v xml:space="preserve"> </v>
      </c>
      <c r="M14" s="44" t="str">
        <f>VLOOKUP(C14,Bolts!A:L,11,0)</f>
        <v xml:space="preserve"> </v>
      </c>
      <c r="N14" s="45" t="str">
        <f>VLOOKUP(C14,Bolts!A:L,12,0)</f>
        <v xml:space="preserve"> </v>
      </c>
      <c r="O14" s="45" t="e">
        <f t="shared" ca="1" si="2"/>
        <v>#VALUE!</v>
      </c>
      <c r="P14" s="49" t="str">
        <f>IFERROR(VLOOKUP(C14,Bolts!A:B,2,FALSE),"")</f>
        <v xml:space="preserve"> </v>
      </c>
      <c r="Q14" s="50" t="str">
        <f t="shared" si="4"/>
        <v/>
      </c>
    </row>
    <row r="15" spans="1:17" s="2" customFormat="1" ht="12.75" customHeight="1" thickBot="1">
      <c r="A15" s="4">
        <f>A14+1</f>
        <v>503</v>
      </c>
      <c r="B15" s="2">
        <v>4</v>
      </c>
      <c r="C15" s="110" t="s">
        <v>434</v>
      </c>
      <c r="D15" s="164"/>
      <c r="E15" s="165"/>
      <c r="F15" s="112" t="str">
        <f>VLOOKUP(C15,Bolts!A:L,5,0)</f>
        <v xml:space="preserve">  </v>
      </c>
      <c r="G15" s="112" t="str">
        <f>VLOOKUP(C15,Bolts!A:L,6,0)</f>
        <v>Monroe Fasteners</v>
      </c>
      <c r="H15" s="112" t="str">
        <f>VLOOKUP(C15,Bolts!A:L,7,0)</f>
        <v xml:space="preserve">  </v>
      </c>
      <c r="I15" s="112"/>
      <c r="J15" s="44" t="str">
        <f>VLOOKUP(C15,Bolts!A:L,8,0)</f>
        <v xml:space="preserve"> </v>
      </c>
      <c r="K15" s="44" t="str">
        <f>VLOOKUP(C15,Bolts!A:L,9,0)</f>
        <v xml:space="preserve"> </v>
      </c>
      <c r="L15" s="44" t="str">
        <f>VLOOKUP(C15,Bolts!A:L,10,0)</f>
        <v xml:space="preserve"> </v>
      </c>
      <c r="M15" s="44" t="str">
        <f>VLOOKUP(C15,Bolts!A:L,11,0)</f>
        <v xml:space="preserve"> </v>
      </c>
      <c r="N15" s="45" t="str">
        <f>VLOOKUP(C15,Bolts!A:L,12,0)</f>
        <v xml:space="preserve"> </v>
      </c>
      <c r="O15" s="45" t="e">
        <f t="shared" ca="1" si="2"/>
        <v>#VALUE!</v>
      </c>
      <c r="P15" s="49" t="str">
        <f>IFERROR(VLOOKUP(C15,Bolts!A:B,2,FALSE),"")</f>
        <v xml:space="preserve"> </v>
      </c>
      <c r="Q15" s="50" t="str">
        <f t="shared" si="4"/>
        <v/>
      </c>
    </row>
    <row r="16" spans="1:17" s="2" customFormat="1" ht="12.75" customHeight="1" thickBot="1">
      <c r="A16" s="34"/>
      <c r="B16" s="35"/>
      <c r="C16" s="35"/>
      <c r="D16" s="256"/>
      <c r="E16" s="257"/>
      <c r="F16" s="35"/>
      <c r="G16" s="35"/>
      <c r="H16" s="294"/>
      <c r="I16" s="295"/>
      <c r="J16" s="36"/>
      <c r="K16" s="36"/>
      <c r="L16" s="36"/>
      <c r="M16" s="37"/>
      <c r="N16" s="38"/>
      <c r="O16" s="38"/>
      <c r="P16" s="89" t="s">
        <v>43</v>
      </c>
      <c r="Q16" s="94">
        <f>SUM(Q5:Q13)</f>
        <v>373.76000000000005</v>
      </c>
    </row>
    <row r="17" spans="4:17" s="2" customFormat="1" ht="12" customHeight="1">
      <c r="D17" s="22"/>
      <c r="E17" s="22"/>
      <c r="J17" s="8"/>
      <c r="K17" s="8"/>
      <c r="L17" s="8"/>
      <c r="M17" s="8"/>
      <c r="N17" s="5"/>
      <c r="O17" s="5"/>
      <c r="P17" s="88"/>
      <c r="Q17" s="95"/>
    </row>
    <row r="18" spans="4:17" s="2" customFormat="1" ht="12" customHeight="1">
      <c r="D18" s="22"/>
      <c r="E18" s="22"/>
      <c r="J18" s="5"/>
      <c r="K18" s="5"/>
      <c r="L18" s="5"/>
      <c r="M18" s="5"/>
      <c r="N18" s="5"/>
      <c r="O18" s="5"/>
      <c r="P18" s="88"/>
      <c r="Q18" s="95"/>
    </row>
    <row r="19" spans="4:17" s="2" customFormat="1" ht="12" customHeight="1">
      <c r="D19" s="22"/>
      <c r="E19" s="22"/>
      <c r="J19" s="5"/>
      <c r="K19" s="5"/>
      <c r="L19" s="5"/>
      <c r="M19" s="5"/>
      <c r="N19" s="5"/>
      <c r="O19" s="5"/>
      <c r="P19" s="88"/>
      <c r="Q19" s="95"/>
    </row>
    <row r="20" spans="4:17" s="2" customFormat="1" ht="12" customHeight="1">
      <c r="D20" s="22"/>
      <c r="E20" s="22"/>
      <c r="J20" s="5"/>
      <c r="K20" s="5"/>
      <c r="L20" s="5"/>
      <c r="M20" s="5"/>
      <c r="N20" s="5"/>
      <c r="O20" s="5"/>
      <c r="P20" s="88"/>
      <c r="Q20" s="95"/>
    </row>
    <row r="21" spans="4:17" s="2" customFormat="1" ht="12" customHeight="1">
      <c r="D21" s="22"/>
      <c r="E21" s="22"/>
      <c r="J21" s="5"/>
      <c r="K21" s="5"/>
      <c r="L21" s="5"/>
      <c r="M21" s="5"/>
      <c r="N21" s="5"/>
      <c r="O21" s="5"/>
      <c r="P21" s="88"/>
      <c r="Q21" s="95"/>
    </row>
    <row r="22" spans="4:17" s="2" customFormat="1" ht="12" customHeight="1">
      <c r="D22" s="22"/>
      <c r="E22" s="22"/>
      <c r="J22" s="5"/>
      <c r="K22" s="5"/>
      <c r="L22" s="5"/>
      <c r="M22" s="5"/>
      <c r="N22" s="5"/>
      <c r="O22" s="5"/>
      <c r="P22" s="88"/>
      <c r="Q22" s="95"/>
    </row>
    <row r="23" spans="4:17" s="2" customFormat="1" ht="12" customHeight="1">
      <c r="D23" s="22"/>
      <c r="E23" s="22"/>
      <c r="J23" s="5"/>
      <c r="K23" s="5"/>
      <c r="L23" s="5"/>
      <c r="M23" s="5"/>
      <c r="N23" s="5"/>
      <c r="O23" s="5"/>
      <c r="P23" s="88"/>
      <c r="Q23" s="95"/>
    </row>
    <row r="24" spans="4:17" s="2" customFormat="1" ht="12" customHeight="1">
      <c r="D24" s="22"/>
      <c r="E24" s="22"/>
      <c r="J24" s="5"/>
      <c r="K24" s="5"/>
      <c r="L24" s="5"/>
      <c r="M24" s="5"/>
      <c r="N24" s="5"/>
      <c r="O24" s="5"/>
      <c r="P24" s="88"/>
      <c r="Q24" s="95"/>
    </row>
    <row r="25" spans="4:17" s="2" customFormat="1" ht="12" customHeight="1">
      <c r="D25" s="22"/>
      <c r="E25" s="22"/>
      <c r="J25" s="5"/>
      <c r="K25" s="5"/>
      <c r="L25" s="5"/>
      <c r="M25" s="5"/>
      <c r="N25" s="5"/>
      <c r="O25" s="5"/>
      <c r="P25" s="88"/>
      <c r="Q25" s="95"/>
    </row>
    <row r="26" spans="4:17" s="2" customFormat="1" ht="12" customHeight="1">
      <c r="D26" s="22"/>
      <c r="E26" s="22"/>
      <c r="J26" s="5"/>
      <c r="K26" s="5"/>
      <c r="L26" s="5"/>
      <c r="M26" s="5"/>
      <c r="N26" s="5"/>
      <c r="O26" s="5"/>
      <c r="P26" s="88"/>
      <c r="Q26" s="95"/>
    </row>
    <row r="27" spans="4:17" s="2" customFormat="1" ht="12" customHeight="1">
      <c r="D27" s="22"/>
      <c r="E27" s="22"/>
      <c r="J27" s="5"/>
      <c r="K27" s="5"/>
      <c r="L27" s="5"/>
      <c r="M27" s="5"/>
      <c r="N27" s="5"/>
      <c r="O27" s="5"/>
      <c r="P27" s="88"/>
      <c r="Q27" s="95"/>
    </row>
    <row r="28" spans="4:17" s="2" customFormat="1" ht="12" customHeight="1">
      <c r="D28" s="22"/>
      <c r="E28" s="22"/>
      <c r="J28" s="5"/>
      <c r="K28" s="5"/>
      <c r="L28" s="5"/>
      <c r="M28" s="5"/>
      <c r="N28" s="5"/>
      <c r="O28" s="5"/>
      <c r="P28" s="88"/>
      <c r="Q28" s="95"/>
    </row>
    <row r="29" spans="4:17" s="2" customFormat="1" ht="12" customHeight="1">
      <c r="D29" s="22"/>
      <c r="E29" s="22"/>
      <c r="J29" s="5"/>
      <c r="K29" s="5"/>
      <c r="L29" s="5"/>
      <c r="M29" s="5"/>
      <c r="N29" s="5"/>
      <c r="O29" s="5"/>
      <c r="P29" s="88"/>
      <c r="Q29" s="95"/>
    </row>
    <row r="30" spans="4:17" s="2" customFormat="1" ht="12" customHeight="1">
      <c r="D30" s="22"/>
      <c r="E30" s="22"/>
      <c r="J30" s="5"/>
      <c r="K30" s="5"/>
      <c r="L30" s="5"/>
      <c r="M30" s="5"/>
      <c r="N30" s="5"/>
      <c r="O30" s="5"/>
      <c r="P30" s="88"/>
      <c r="Q30" s="95"/>
    </row>
    <row r="31" spans="4:17" s="2" customFormat="1" ht="12" customHeight="1">
      <c r="D31" s="22"/>
      <c r="E31" s="22"/>
      <c r="J31" s="5"/>
      <c r="K31" s="5"/>
      <c r="L31" s="5"/>
      <c r="M31" s="5"/>
      <c r="N31" s="5"/>
      <c r="O31" s="5"/>
      <c r="P31" s="88"/>
      <c r="Q31" s="95"/>
    </row>
    <row r="32" spans="4:17" s="2" customFormat="1" ht="12" customHeight="1">
      <c r="D32" s="22"/>
      <c r="E32" s="22"/>
      <c r="J32" s="5"/>
      <c r="K32" s="5"/>
      <c r="L32" s="5"/>
      <c r="M32" s="5"/>
      <c r="N32" s="5"/>
      <c r="O32" s="5"/>
      <c r="P32" s="88"/>
      <c r="Q32" s="95"/>
    </row>
    <row r="33" spans="4:17" s="2" customFormat="1" ht="12" customHeight="1">
      <c r="D33" s="22"/>
      <c r="E33" s="22"/>
      <c r="J33" s="5"/>
      <c r="K33" s="5"/>
      <c r="L33" s="5"/>
      <c r="M33" s="5"/>
      <c r="N33" s="5"/>
      <c r="O33" s="5"/>
      <c r="P33" s="88"/>
      <c r="Q33" s="95"/>
    </row>
    <row r="34" spans="4:17" s="2" customFormat="1" ht="12" customHeight="1">
      <c r="D34" s="22"/>
      <c r="E34" s="22"/>
      <c r="J34" s="5"/>
      <c r="K34" s="5"/>
      <c r="L34" s="5"/>
      <c r="M34" s="5"/>
      <c r="N34" s="5"/>
      <c r="O34" s="5"/>
      <c r="P34" s="88"/>
      <c r="Q34" s="95"/>
    </row>
    <row r="35" spans="4:17" s="2" customFormat="1" ht="12" customHeight="1">
      <c r="D35" s="22"/>
      <c r="E35" s="22"/>
      <c r="J35" s="5"/>
      <c r="K35" s="5"/>
      <c r="L35" s="5"/>
      <c r="M35" s="5"/>
      <c r="N35" s="5"/>
      <c r="O35" s="5"/>
      <c r="P35" s="88"/>
      <c r="Q35" s="95"/>
    </row>
    <row r="36" spans="4:17" s="2" customFormat="1" ht="12" customHeight="1">
      <c r="D36" s="22"/>
      <c r="E36" s="22"/>
      <c r="J36" s="5"/>
      <c r="K36" s="5"/>
      <c r="L36" s="5"/>
      <c r="M36" s="5"/>
      <c r="N36" s="5"/>
      <c r="O36" s="5"/>
      <c r="P36" s="88"/>
      <c r="Q36" s="95"/>
    </row>
    <row r="37" spans="4:17" s="2" customFormat="1" ht="12" customHeight="1">
      <c r="D37" s="22"/>
      <c r="E37" s="22"/>
      <c r="J37" s="5"/>
      <c r="K37" s="5"/>
      <c r="L37" s="5"/>
      <c r="M37" s="5"/>
      <c r="N37" s="5"/>
      <c r="O37" s="5"/>
      <c r="P37" s="88"/>
      <c r="Q37" s="95"/>
    </row>
    <row r="38" spans="4:17" s="2" customFormat="1" ht="12" customHeight="1">
      <c r="D38" s="22"/>
      <c r="E38" s="22"/>
      <c r="J38" s="5"/>
      <c r="K38" s="5"/>
      <c r="L38" s="5"/>
      <c r="M38" s="5"/>
      <c r="N38" s="5"/>
      <c r="O38" s="5"/>
      <c r="P38" s="88"/>
      <c r="Q38" s="95"/>
    </row>
    <row r="39" spans="4:17" s="2" customFormat="1" ht="12" customHeight="1">
      <c r="D39" s="22"/>
      <c r="E39" s="22"/>
      <c r="J39" s="5"/>
      <c r="K39" s="5"/>
      <c r="L39" s="5"/>
      <c r="M39" s="5"/>
      <c r="N39" s="5"/>
      <c r="O39" s="5"/>
      <c r="P39" s="88"/>
      <c r="Q39" s="95"/>
    </row>
    <row r="40" spans="4:17" s="2" customFormat="1" ht="12" customHeight="1">
      <c r="D40" s="22"/>
      <c r="E40" s="22"/>
      <c r="J40" s="5"/>
      <c r="K40" s="5"/>
      <c r="L40" s="5"/>
      <c r="M40" s="5"/>
      <c r="N40" s="5"/>
      <c r="O40" s="5"/>
      <c r="P40" s="88"/>
      <c r="Q40" s="95"/>
    </row>
    <row r="41" spans="4:17" s="2" customFormat="1" ht="12" customHeight="1">
      <c r="D41" s="22"/>
      <c r="E41" s="22"/>
      <c r="J41" s="5"/>
      <c r="K41" s="5"/>
      <c r="L41" s="5"/>
      <c r="M41" s="5"/>
      <c r="N41" s="5"/>
      <c r="O41" s="5"/>
      <c r="P41" s="88"/>
      <c r="Q41" s="95"/>
    </row>
    <row r="42" spans="4:17" s="2" customFormat="1" ht="12" customHeight="1">
      <c r="D42" s="22"/>
      <c r="E42" s="22"/>
      <c r="J42" s="5"/>
      <c r="K42" s="5"/>
      <c r="L42" s="5"/>
      <c r="M42" s="5"/>
      <c r="N42" s="5"/>
      <c r="O42" s="5"/>
      <c r="P42" s="88"/>
      <c r="Q42" s="95"/>
    </row>
    <row r="43" spans="4:17" s="2" customFormat="1" ht="12" customHeight="1">
      <c r="D43" s="22"/>
      <c r="E43" s="22"/>
      <c r="J43" s="5"/>
      <c r="K43" s="5"/>
      <c r="L43" s="5"/>
      <c r="M43" s="5"/>
      <c r="N43" s="5"/>
      <c r="O43" s="5"/>
      <c r="P43" s="88"/>
      <c r="Q43" s="95"/>
    </row>
    <row r="44" spans="4:17" s="2" customFormat="1" ht="12" customHeight="1">
      <c r="D44" s="22"/>
      <c r="E44" s="22"/>
      <c r="J44" s="5"/>
      <c r="K44" s="5"/>
      <c r="L44" s="5"/>
      <c r="M44" s="5"/>
      <c r="N44" s="5"/>
      <c r="O44" s="5"/>
      <c r="P44" s="88"/>
      <c r="Q44" s="95"/>
    </row>
    <row r="45" spans="4:17" s="2" customFormat="1" ht="12" customHeight="1">
      <c r="D45" s="22"/>
      <c r="E45" s="22"/>
      <c r="J45" s="5"/>
      <c r="K45" s="5"/>
      <c r="L45" s="5"/>
      <c r="M45" s="5"/>
      <c r="N45" s="5"/>
      <c r="O45" s="5"/>
      <c r="P45" s="88"/>
      <c r="Q45" s="95"/>
    </row>
    <row r="46" spans="4:17" s="2" customFormat="1" ht="12" customHeight="1">
      <c r="D46" s="22"/>
      <c r="E46" s="22"/>
      <c r="J46" s="5"/>
      <c r="K46" s="5"/>
      <c r="L46" s="5"/>
      <c r="M46" s="5"/>
      <c r="N46" s="5"/>
      <c r="O46" s="5"/>
      <c r="P46" s="88"/>
      <c r="Q46" s="95"/>
    </row>
    <row r="47" spans="4:17" s="2" customFormat="1" ht="12" customHeight="1">
      <c r="D47" s="22"/>
      <c r="E47" s="22"/>
      <c r="J47" s="5"/>
      <c r="K47" s="5"/>
      <c r="L47" s="5"/>
      <c r="M47" s="5"/>
      <c r="N47" s="5"/>
      <c r="O47" s="5"/>
      <c r="P47" s="88"/>
      <c r="Q47" s="95"/>
    </row>
    <row r="48" spans="4:17" s="2" customFormat="1" ht="12" customHeight="1">
      <c r="D48" s="22"/>
      <c r="E48" s="22"/>
      <c r="J48" s="5"/>
      <c r="K48" s="5"/>
      <c r="L48" s="5"/>
      <c r="M48" s="5"/>
      <c r="N48" s="5"/>
      <c r="O48" s="5"/>
      <c r="P48" s="88"/>
      <c r="Q48" s="95"/>
    </row>
    <row r="49" spans="1:17" s="2" customFormat="1" ht="12" customHeight="1">
      <c r="D49" s="22"/>
      <c r="E49" s="22"/>
      <c r="J49" s="5"/>
      <c r="K49" s="5"/>
      <c r="L49" s="5"/>
      <c r="M49" s="5"/>
      <c r="N49" s="5"/>
      <c r="O49" s="5"/>
      <c r="P49" s="88"/>
      <c r="Q49" s="95"/>
    </row>
    <row r="50" spans="1:17" s="2" customFormat="1" ht="12" customHeight="1">
      <c r="D50" s="22"/>
      <c r="E50" s="22"/>
      <c r="J50" s="5"/>
      <c r="K50" s="5"/>
      <c r="L50" s="5"/>
      <c r="M50" s="5"/>
      <c r="N50" s="5"/>
      <c r="O50" s="5"/>
      <c r="P50" s="88"/>
      <c r="Q50" s="95"/>
    </row>
    <row r="51" spans="1:17" s="2" customFormat="1" ht="12" customHeight="1">
      <c r="D51" s="22"/>
      <c r="E51" s="22"/>
      <c r="J51" s="5"/>
      <c r="K51" s="5"/>
      <c r="L51" s="5"/>
      <c r="M51" s="5"/>
      <c r="N51" s="5"/>
      <c r="O51" s="5"/>
      <c r="P51" s="88"/>
      <c r="Q51" s="95"/>
    </row>
    <row r="52" spans="1:17" s="2" customFormat="1" ht="12" customHeight="1">
      <c r="D52" s="22"/>
      <c r="E52" s="22"/>
      <c r="J52" s="5"/>
      <c r="K52" s="5"/>
      <c r="L52" s="5"/>
      <c r="M52" s="5"/>
      <c r="N52" s="5"/>
      <c r="O52" s="5"/>
      <c r="P52" s="88"/>
      <c r="Q52" s="95"/>
    </row>
    <row r="53" spans="1:17" s="2" customFormat="1" ht="12" customHeight="1">
      <c r="D53" s="22"/>
      <c r="E53" s="22"/>
      <c r="J53" s="5"/>
      <c r="K53" s="5"/>
      <c r="L53" s="5"/>
      <c r="M53" s="5"/>
      <c r="N53" s="5"/>
      <c r="O53" s="5"/>
      <c r="P53" s="88"/>
      <c r="Q53" s="95"/>
    </row>
    <row r="54" spans="1:17" s="2" customFormat="1" ht="12" customHeight="1">
      <c r="D54" s="22"/>
      <c r="E54" s="22"/>
      <c r="J54" s="5"/>
      <c r="K54" s="5"/>
      <c r="L54" s="5"/>
      <c r="M54" s="5"/>
      <c r="N54" s="5"/>
      <c r="O54" s="5"/>
      <c r="P54" s="88"/>
      <c r="Q54" s="95"/>
    </row>
    <row r="55" spans="1:17" s="2" customFormat="1" ht="12" customHeight="1">
      <c r="D55" s="22"/>
      <c r="E55" s="22"/>
      <c r="J55" s="5"/>
      <c r="K55" s="5"/>
      <c r="L55" s="5"/>
      <c r="M55" s="5"/>
      <c r="N55" s="5"/>
      <c r="O55" s="5"/>
      <c r="P55" s="88"/>
      <c r="Q55" s="96"/>
    </row>
    <row r="56" spans="1:17" s="2" customFormat="1" ht="12" customHeight="1">
      <c r="D56" s="22"/>
      <c r="E56" s="22"/>
      <c r="J56" s="5"/>
      <c r="K56" s="5"/>
      <c r="L56" s="5"/>
      <c r="M56" s="5"/>
      <c r="N56" s="5"/>
      <c r="O56" s="5"/>
      <c r="P56" s="88"/>
      <c r="Q56" s="96"/>
    </row>
    <row r="57" spans="1:17" s="2" customFormat="1" ht="12" customHeight="1">
      <c r="D57" s="22"/>
      <c r="E57" s="22"/>
      <c r="J57" s="5"/>
      <c r="K57" s="5"/>
      <c r="L57" s="5"/>
      <c r="M57" s="5"/>
      <c r="N57" s="5"/>
      <c r="O57" s="5"/>
      <c r="P57" s="88"/>
      <c r="Q57" s="96"/>
    </row>
    <row r="58" spans="1:17" s="2" customFormat="1" ht="12" customHeight="1">
      <c r="D58" s="22"/>
      <c r="E58" s="22"/>
      <c r="J58" s="5"/>
      <c r="K58" s="5"/>
      <c r="L58" s="5"/>
      <c r="M58" s="5"/>
      <c r="N58" s="5"/>
      <c r="O58" s="5"/>
      <c r="P58" s="88"/>
      <c r="Q58" s="96"/>
    </row>
    <row r="59" spans="1:17" s="2" customFormat="1" ht="12" customHeight="1">
      <c r="A59"/>
      <c r="B59"/>
      <c r="C59"/>
      <c r="D59" s="23"/>
      <c r="E59" s="23"/>
      <c r="F59"/>
      <c r="G59"/>
      <c r="H59"/>
      <c r="I59"/>
      <c r="J59" s="19"/>
      <c r="K59" s="19"/>
      <c r="L59" s="19"/>
      <c r="M59" s="19"/>
      <c r="N59" s="19"/>
      <c r="O59" s="19"/>
      <c r="P59" s="90"/>
      <c r="Q59" s="96"/>
    </row>
    <row r="60" spans="1:17" s="2" customFormat="1" ht="12" customHeight="1">
      <c r="A60"/>
      <c r="B60"/>
      <c r="C60"/>
      <c r="D60" s="23"/>
      <c r="E60" s="23"/>
      <c r="F60"/>
      <c r="G60"/>
      <c r="H60"/>
      <c r="I60"/>
      <c r="J60" s="19"/>
      <c r="K60" s="19"/>
      <c r="L60" s="19"/>
      <c r="M60" s="19"/>
      <c r="N60" s="19"/>
      <c r="O60" s="19"/>
      <c r="P60" s="90"/>
      <c r="Q60" s="96"/>
    </row>
    <row r="61" spans="1:17" s="2" customFormat="1" ht="12" customHeight="1">
      <c r="A61"/>
      <c r="B61"/>
      <c r="C61"/>
      <c r="D61" s="23"/>
      <c r="E61" s="23"/>
      <c r="F61"/>
      <c r="G61"/>
      <c r="H61"/>
      <c r="I61"/>
      <c r="J61" s="19"/>
      <c r="K61" s="19"/>
      <c r="L61" s="19"/>
      <c r="M61" s="19"/>
      <c r="N61" s="19"/>
      <c r="O61" s="19"/>
      <c r="P61" s="90"/>
      <c r="Q61" s="96"/>
    </row>
    <row r="62" spans="1:17" s="2" customFormat="1" ht="12" customHeight="1">
      <c r="A62"/>
      <c r="B62"/>
      <c r="C62"/>
      <c r="D62" s="23"/>
      <c r="E62" s="23"/>
      <c r="F62"/>
      <c r="G62"/>
      <c r="H62"/>
      <c r="I62"/>
      <c r="J62" s="19"/>
      <c r="K62" s="19"/>
      <c r="L62" s="19"/>
      <c r="M62" s="19"/>
      <c r="N62" s="19"/>
      <c r="O62" s="19"/>
      <c r="P62" s="90"/>
      <c r="Q62" s="96"/>
    </row>
    <row r="63" spans="1:17" s="2" customFormat="1" ht="12" customHeight="1">
      <c r="A63"/>
      <c r="B63"/>
      <c r="C63"/>
      <c r="D63" s="23"/>
      <c r="E63" s="23"/>
      <c r="F63"/>
      <c r="G63"/>
      <c r="H63"/>
      <c r="I63"/>
      <c r="J63" s="19"/>
      <c r="K63" s="19"/>
      <c r="L63" s="19"/>
      <c r="M63" s="19"/>
      <c r="N63" s="19"/>
      <c r="O63" s="19"/>
      <c r="P63" s="90"/>
      <c r="Q63" s="96"/>
    </row>
    <row r="64" spans="1:17">
      <c r="Q64" s="96"/>
    </row>
    <row r="65" spans="17:17">
      <c r="Q65" s="96"/>
    </row>
    <row r="66" spans="17:17">
      <c r="Q66" s="96"/>
    </row>
    <row r="67" spans="17:17">
      <c r="Q67" s="96"/>
    </row>
    <row r="68" spans="17:17">
      <c r="Q68" s="96"/>
    </row>
    <row r="69" spans="17:17">
      <c r="Q69" s="96"/>
    </row>
    <row r="70" spans="17:17">
      <c r="Q70" s="96"/>
    </row>
    <row r="71" spans="17:17">
      <c r="Q71" s="96"/>
    </row>
    <row r="72" spans="17:17">
      <c r="Q72" s="96"/>
    </row>
    <row r="73" spans="17:17">
      <c r="Q73" s="96"/>
    </row>
    <row r="74" spans="17:17">
      <c r="Q74" s="96"/>
    </row>
    <row r="75" spans="17:17">
      <c r="Q75" s="96"/>
    </row>
    <row r="76" spans="17:17">
      <c r="Q76" s="96"/>
    </row>
    <row r="77" spans="17:17">
      <c r="Q77" s="96"/>
    </row>
    <row r="78" spans="17:17">
      <c r="Q78" s="96"/>
    </row>
    <row r="79" spans="17:17">
      <c r="Q79" s="96"/>
    </row>
    <row r="80" spans="17:17">
      <c r="Q80" s="96"/>
    </row>
    <row r="81" spans="17:17">
      <c r="Q81" s="96"/>
    </row>
    <row r="82" spans="17:17">
      <c r="Q82" s="96"/>
    </row>
    <row r="83" spans="17:17">
      <c r="Q83" s="96"/>
    </row>
    <row r="120" ht="12" customHeight="1"/>
    <row r="121" ht="12" customHeight="1"/>
    <row r="122" ht="12" customHeight="1"/>
    <row r="123" ht="12" customHeight="1"/>
    <row r="124" ht="12" customHeight="1"/>
    <row r="125" ht="12" customHeight="1"/>
    <row r="126" ht="12" customHeight="1"/>
    <row r="127" ht="12" customHeight="1"/>
    <row r="128" ht="12" customHeight="1"/>
    <row r="129" ht="12" customHeight="1"/>
    <row r="130" ht="12" customHeight="1"/>
    <row r="131" ht="12" customHeight="1"/>
    <row r="132" ht="12" customHeight="1"/>
    <row r="133" ht="12" customHeight="1"/>
    <row r="134" ht="12" customHeight="1"/>
    <row r="135" ht="12" customHeight="1"/>
    <row r="136" ht="12" customHeight="1"/>
    <row r="137" ht="12" customHeight="1"/>
    <row r="138" ht="12" customHeight="1"/>
    <row r="139" ht="12" customHeight="1"/>
    <row r="140" ht="12" customHeight="1"/>
    <row r="141" ht="12" customHeight="1"/>
    <row r="142" ht="12" customHeight="1"/>
    <row r="143" ht="12" customHeight="1"/>
    <row r="144" ht="12" customHeight="1"/>
    <row r="145" ht="12" customHeight="1"/>
    <row r="146" ht="12" customHeight="1"/>
    <row r="147" ht="12" customHeight="1"/>
    <row r="148" ht="12" customHeight="1"/>
    <row r="149" ht="12" customHeight="1"/>
    <row r="150" ht="12" customHeight="1"/>
    <row r="151" ht="12" customHeight="1"/>
    <row r="152" ht="12" customHeight="1"/>
    <row r="153" ht="12" customHeight="1"/>
    <row r="154" ht="12" customHeight="1"/>
    <row r="155" ht="12" customHeight="1"/>
    <row r="156" ht="12" customHeight="1"/>
    <row r="157" ht="12" customHeight="1"/>
    <row r="158" ht="12" customHeight="1"/>
    <row r="159" ht="12" customHeight="1"/>
    <row r="160" ht="12" customHeight="1"/>
    <row r="161" ht="12" customHeight="1"/>
    <row r="162" ht="12" customHeight="1"/>
    <row r="163" ht="12" customHeight="1"/>
    <row r="164" ht="12" customHeight="1"/>
    <row r="165" ht="12" customHeight="1"/>
    <row r="166" ht="12" customHeight="1"/>
    <row r="167" ht="12" customHeight="1"/>
    <row r="168" ht="12" customHeight="1"/>
    <row r="169" ht="12" customHeight="1"/>
  </sheetData>
  <mergeCells count="16">
    <mergeCell ref="D16:E16"/>
    <mergeCell ref="H16:I16"/>
    <mergeCell ref="D13:E13"/>
    <mergeCell ref="D12:E12"/>
    <mergeCell ref="H12:I12"/>
    <mergeCell ref="D11:E11"/>
    <mergeCell ref="D5:E5"/>
    <mergeCell ref="D6:E6"/>
    <mergeCell ref="D7:E7"/>
    <mergeCell ref="D8:E8"/>
    <mergeCell ref="D9:E9"/>
    <mergeCell ref="D1:E1"/>
    <mergeCell ref="D4:E4"/>
    <mergeCell ref="H4:I4"/>
    <mergeCell ref="D10:E10"/>
    <mergeCell ref="H10:I10"/>
  </mergeCells>
  <conditionalFormatting sqref="M5:M9">
    <cfRule type="cellIs" dxfId="454" priority="3" stopIfTrue="1" operator="lessThanOrEqual">
      <formula>$L5</formula>
    </cfRule>
    <cfRule type="cellIs" dxfId="453" priority="4" operator="greaterThan">
      <formula>L5</formula>
    </cfRule>
  </conditionalFormatting>
  <conditionalFormatting sqref="M11">
    <cfRule type="cellIs" dxfId="452" priority="5" stopIfTrue="1" operator="lessThanOrEqual">
      <formula>$L11</formula>
    </cfRule>
    <cfRule type="cellIs" dxfId="451" priority="6" operator="greaterThan">
      <formula>L11</formula>
    </cfRule>
  </conditionalFormatting>
  <conditionalFormatting sqref="M13:M15">
    <cfRule type="cellIs" dxfId="450" priority="1" stopIfTrue="1" operator="lessThanOrEqual">
      <formula>$L13</formula>
    </cfRule>
    <cfRule type="cellIs" dxfId="449" priority="2" operator="greaterThan">
      <formula>L13</formula>
    </cfRule>
  </conditionalFormatting>
  <pageMargins left="0.7" right="0.7" top="0.75" bottom="0.75" header="0.3" footer="0.3"/>
  <pageSetup paperSize="3" fitToHeight="0" orientation="landscape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40D9F9C-9B65-4D7B-B79B-5078C0C29A7C}">
          <x14:formula1>
            <xm:f>Purchased!$A:$A</xm:f>
          </x14:formula1>
          <xm:sqref>C11</xm:sqref>
        </x14:dataValidation>
        <x14:dataValidation type="list" allowBlank="1" showInputMessage="1" showErrorMessage="1" xr:uid="{880E6E9A-01EC-4AA3-8C76-9D8B0BE8A543}">
          <x14:formula1>
            <xm:f>Machined!$C:$C</xm:f>
          </x14:formula1>
          <xm:sqref>C5:C9</xm:sqref>
        </x14:dataValidation>
      </x14:dataValidation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ABEB6A-D5E7-48F4-B9E0-48F3470BD456}">
  <sheetPr codeName="Sheet52">
    <tabColor theme="3" tint="0.79998168889431442"/>
    <pageSetUpPr fitToPage="1"/>
  </sheetPr>
  <dimension ref="A1:Q168"/>
  <sheetViews>
    <sheetView zoomScaleNormal="100" workbookViewId="0">
      <selection activeCell="D22" sqref="D22"/>
    </sheetView>
  </sheetViews>
  <sheetFormatPr defaultColWidth="9.140625" defaultRowHeight="15"/>
  <cols>
    <col min="1" max="1" width="5.7109375" customWidth="1"/>
    <col min="2" max="2" width="5.42578125" bestFit="1" customWidth="1"/>
    <col min="3" max="3" width="30.7109375" customWidth="1"/>
    <col min="4" max="5" width="20.7109375" style="23" customWidth="1"/>
    <col min="6" max="6" width="16.85546875" bestFit="1" customWidth="1"/>
    <col min="7" max="7" width="9.7109375" customWidth="1"/>
    <col min="8" max="8" width="8.7109375" customWidth="1"/>
    <col min="9" max="9" width="20.7109375" customWidth="1"/>
    <col min="10" max="13" width="11.7109375" style="19" customWidth="1"/>
    <col min="14" max="14" width="11.85546875" style="19" bestFit="1" customWidth="1"/>
    <col min="15" max="15" width="7.7109375" style="19" customWidth="1"/>
    <col min="16" max="16" width="10.7109375" style="90" customWidth="1"/>
    <col min="17" max="17" width="10.7109375" style="97" customWidth="1"/>
  </cols>
  <sheetData>
    <row r="1" spans="1:17" s="55" customFormat="1" ht="12" customHeight="1">
      <c r="A1" s="68" t="s">
        <v>0</v>
      </c>
      <c r="B1" s="69"/>
      <c r="C1" s="69"/>
      <c r="D1" s="262" t="s">
        <v>1</v>
      </c>
      <c r="E1" s="263"/>
      <c r="F1" s="70"/>
      <c r="G1" s="69"/>
      <c r="H1" s="70"/>
      <c r="I1" s="71"/>
      <c r="J1" s="72"/>
      <c r="K1" s="72"/>
      <c r="L1" s="72"/>
      <c r="M1" s="72"/>
      <c r="N1" s="72"/>
      <c r="O1" s="72"/>
      <c r="P1" s="85"/>
      <c r="Q1" s="91"/>
    </row>
    <row r="2" spans="1:17" s="55" customFormat="1" ht="12" customHeight="1">
      <c r="A2" s="74" t="s">
        <v>48</v>
      </c>
      <c r="B2" s="58"/>
      <c r="C2" s="57" t="e">
        <f ca="1">VLOOKUP(E3,Assemblies!B:F,4,0)</f>
        <v>#VALUE!</v>
      </c>
      <c r="D2" s="75" t="s">
        <v>3</v>
      </c>
      <c r="E2" s="76" t="e">
        <f ca="1">'GF12'!E2</f>
        <v>#VALUE!</v>
      </c>
      <c r="F2" s="77" t="s">
        <v>4</v>
      </c>
      <c r="G2" s="58" t="str">
        <f>'GF12'!G2</f>
        <v>GH</v>
      </c>
      <c r="H2" s="77" t="s">
        <v>6</v>
      </c>
      <c r="I2" s="59">
        <f>'GF12'!I2</f>
        <v>44775</v>
      </c>
      <c r="J2" s="39"/>
      <c r="K2" s="40" t="s">
        <v>49</v>
      </c>
      <c r="L2" s="41" t="e">
        <f ca="1">VLOOKUP(C2,Assemblies!E:G,3,0)</f>
        <v>#VALUE!</v>
      </c>
      <c r="M2" s="78"/>
      <c r="N2" s="78"/>
      <c r="O2" s="78"/>
      <c r="P2" s="86"/>
      <c r="Q2" s="92"/>
    </row>
    <row r="3" spans="1:17" s="55" customFormat="1" ht="12" customHeight="1" thickBot="1">
      <c r="A3" s="74" t="s">
        <v>7</v>
      </c>
      <c r="B3" s="58"/>
      <c r="C3" s="57" t="e">
        <f ca="1">VLOOKUP(E3,Assemblies!B:F,5,0)</f>
        <v>#VALUE!</v>
      </c>
      <c r="D3" s="75" t="s">
        <v>50</v>
      </c>
      <c r="E3" s="76" t="e">
        <f ca="1">MID(CELL("filename",A1),FIND("]",CELL("filename",A1))+1,256)</f>
        <v>#VALUE!</v>
      </c>
      <c r="F3" s="77" t="s">
        <v>11</v>
      </c>
      <c r="G3" s="58" t="str">
        <f>'GF12'!G3</f>
        <v>GH</v>
      </c>
      <c r="H3" s="77" t="s">
        <v>6</v>
      </c>
      <c r="I3" s="59">
        <f>'GF12'!I3</f>
        <v>44775</v>
      </c>
      <c r="J3" s="78"/>
      <c r="K3" s="78"/>
      <c r="L3" s="78"/>
      <c r="M3" s="78"/>
      <c r="N3" s="78"/>
      <c r="O3" s="78"/>
      <c r="P3" s="86"/>
      <c r="Q3" s="92"/>
    </row>
    <row r="4" spans="1:17" s="56" customFormat="1" ht="12.75" customHeight="1" thickBot="1">
      <c r="A4" s="80" t="s">
        <v>12</v>
      </c>
      <c r="B4" s="81" t="s">
        <v>13</v>
      </c>
      <c r="C4" s="81" t="s">
        <v>14</v>
      </c>
      <c r="D4" s="270" t="s">
        <v>15</v>
      </c>
      <c r="E4" s="271"/>
      <c r="F4" s="104" t="s">
        <v>16</v>
      </c>
      <c r="G4" s="81" t="s">
        <v>17</v>
      </c>
      <c r="H4" s="260" t="s">
        <v>18</v>
      </c>
      <c r="I4" s="261"/>
      <c r="J4" s="81" t="s">
        <v>51</v>
      </c>
      <c r="K4" s="81" t="s">
        <v>20</v>
      </c>
      <c r="L4" s="81" t="s">
        <v>21</v>
      </c>
      <c r="M4" s="81" t="s">
        <v>52</v>
      </c>
      <c r="N4" s="81" t="s">
        <v>22</v>
      </c>
      <c r="O4" s="81" t="s">
        <v>53</v>
      </c>
      <c r="P4" s="107" t="s">
        <v>26</v>
      </c>
      <c r="Q4" s="82" t="s">
        <v>27</v>
      </c>
    </row>
    <row r="5" spans="1:17" s="2" customFormat="1" ht="12.75" customHeight="1">
      <c r="A5" s="127">
        <v>1</v>
      </c>
      <c r="B5" s="21">
        <v>1</v>
      </c>
      <c r="C5" s="108" t="s">
        <v>664</v>
      </c>
      <c r="D5" s="277" t="str">
        <f>VLOOKUP(C5,Machined!C:Q,2,0)</f>
        <v>LASER SENSOR MOUNT PLATE</v>
      </c>
      <c r="E5" s="278"/>
      <c r="F5" s="131" t="str">
        <f>VLOOKUP(C5,Machined!C:R,7,0)</f>
        <v>6061-T6 Alum</v>
      </c>
      <c r="G5" s="131" t="str">
        <f>VLOOKUP(C5,Machined!C:R,10,0)</f>
        <v>FRONTIER</v>
      </c>
      <c r="H5" s="131" t="str">
        <f>VLOOKUP(C5,Machined!C:R,11,0)</f>
        <v xml:space="preserve"> </v>
      </c>
      <c r="I5" s="131"/>
      <c r="J5" s="42">
        <f>VLOOKUP(C5,Machined!C:R,12,0)</f>
        <v>45105</v>
      </c>
      <c r="K5" s="42">
        <f>VLOOKUP(C5,Machined!C:R,13,0)</f>
        <v>45133</v>
      </c>
      <c r="L5" s="42">
        <f>VLOOKUP(C5,Machined!C:R,14,0)</f>
        <v>45163</v>
      </c>
      <c r="M5" s="42">
        <f>VLOOKUP(C5,Machined!C:R,15,0)</f>
        <v>45163</v>
      </c>
      <c r="N5" s="43">
        <f>VLOOKUP(C5,Machined!C:R,16,0)</f>
        <v>55015</v>
      </c>
      <c r="O5" s="43" t="e">
        <f t="shared" ref="O5:O6" ca="1" si="0">B5*$L$2</f>
        <v>#VALUE!</v>
      </c>
      <c r="P5" s="47">
        <f>IFERROR(VLOOKUP(C5,Machined!C:F,3,0),"")</f>
        <v>85.4</v>
      </c>
      <c r="Q5" s="48">
        <f t="shared" ref="Q5:Q6" si="1">IFERROR(B5*P5,"")</f>
        <v>85.4</v>
      </c>
    </row>
    <row r="6" spans="1:17" s="2" customFormat="1" ht="12.75" customHeight="1">
      <c r="A6" s="127">
        <v>2</v>
      </c>
      <c r="B6" s="21">
        <v>1</v>
      </c>
      <c r="C6" s="108" t="s">
        <v>665</v>
      </c>
      <c r="D6" s="277" t="str">
        <f>VLOOKUP(C6,Machined!C:Q,2,0)</f>
        <v>LASER SENSOR MOUNT BLOCK</v>
      </c>
      <c r="E6" s="278"/>
      <c r="F6" s="131" t="str">
        <f>VLOOKUP(C6,Machined!C:R,7,0)</f>
        <v>6061-T6 Alum</v>
      </c>
      <c r="G6" s="131" t="str">
        <f>VLOOKUP(C6,Machined!C:R,10,0)</f>
        <v>FRONTIER</v>
      </c>
      <c r="H6" s="131" t="str">
        <f>VLOOKUP(C6,Machined!C:R,11,0)</f>
        <v xml:space="preserve">  </v>
      </c>
      <c r="I6" s="131"/>
      <c r="J6" s="42">
        <f>VLOOKUP(C6,Machined!C:R,12,0)</f>
        <v>45105</v>
      </c>
      <c r="K6" s="42">
        <f>VLOOKUP(C6,Machined!C:R,13,0)</f>
        <v>45133</v>
      </c>
      <c r="L6" s="42">
        <f>VLOOKUP(C6,Machined!C:R,14,0)</f>
        <v>45163</v>
      </c>
      <c r="M6" s="42">
        <f>VLOOKUP(C6,Machined!C:R,15,0)</f>
        <v>45163</v>
      </c>
      <c r="N6" s="43">
        <f>VLOOKUP(C6,Machined!C:R,16,0)</f>
        <v>55015</v>
      </c>
      <c r="O6" s="43" t="e">
        <f t="shared" ca="1" si="0"/>
        <v>#VALUE!</v>
      </c>
      <c r="P6" s="47">
        <f>IFERROR(VLOOKUP(C6,Machined!C:F,3,0),"")</f>
        <v>90.2</v>
      </c>
      <c r="Q6" s="48">
        <f t="shared" si="1"/>
        <v>90.2</v>
      </c>
    </row>
    <row r="7" spans="1:17" s="2" customFormat="1" ht="12.75" customHeight="1">
      <c r="A7" s="143"/>
      <c r="B7" s="26"/>
      <c r="C7" s="26"/>
      <c r="D7" s="272"/>
      <c r="E7" s="273"/>
      <c r="F7" s="26"/>
      <c r="G7" s="26"/>
      <c r="H7" s="274"/>
      <c r="I7" s="275"/>
      <c r="J7" s="27"/>
      <c r="K7" s="27"/>
      <c r="L7" s="27"/>
      <c r="M7" s="28"/>
      <c r="N7" s="29"/>
      <c r="O7" s="29"/>
      <c r="P7" s="141"/>
      <c r="Q7" s="142"/>
    </row>
    <row r="8" spans="1:17" s="2" customFormat="1" ht="12.75" customHeight="1">
      <c r="A8" s="4">
        <v>301</v>
      </c>
      <c r="B8" s="2">
        <v>1</v>
      </c>
      <c r="C8" s="114" t="s">
        <v>666</v>
      </c>
      <c r="D8" s="268" t="str">
        <f>VLOOKUP(C8,Purchased!A:B,2,0)</f>
        <v>KEYENCE ALL PURPOSE LASER DISTANCE SENSOR, ANALOG</v>
      </c>
      <c r="E8" s="269"/>
      <c r="F8" s="112" t="str">
        <f>VLOOKUP(C8,Purchased!A:Q,9,0)</f>
        <v>KEYENCE</v>
      </c>
      <c r="G8" s="112" t="str">
        <f>VLOOKUP(C8,Purchased!A:Q,10,0)</f>
        <v>KEYENCE</v>
      </c>
      <c r="H8" s="112" t="str">
        <f>VLOOKUP(C8,Purchased!A:Q,12,0)</f>
        <v xml:space="preserve"> </v>
      </c>
      <c r="I8" s="113"/>
      <c r="J8" s="44" t="str">
        <f>VLOOKUP(C8,Purchased!A:Q,13,0)</f>
        <v>N/A</v>
      </c>
      <c r="K8" s="44">
        <f>VLOOKUP(C8,Purchased!A:Q,14,0)</f>
        <v>45149</v>
      </c>
      <c r="L8" s="44">
        <f>VLOOKUP(C8,Purchased!A:Q,15,0)</f>
        <v>45156</v>
      </c>
      <c r="M8" s="44">
        <f>VLOOKUP(C8,Purchased!A:Q,16,0)</f>
        <v>45156</v>
      </c>
      <c r="N8" s="45">
        <f>VLOOKUP(C8,Purchased!A:Q,17,0)</f>
        <v>55050</v>
      </c>
      <c r="O8" s="45" t="e">
        <f t="shared" ref="O8:O12" ca="1" si="2">B8*$L$2</f>
        <v>#VALUE!</v>
      </c>
      <c r="P8" s="49">
        <f>IFERROR(VLOOKUP(C8,Purchased!A:E,3,FALSE),"")</f>
        <v>560</v>
      </c>
      <c r="Q8" s="50">
        <f t="shared" ref="Q8" si="3">IFERROR(B8*P8,"")</f>
        <v>560</v>
      </c>
    </row>
    <row r="9" spans="1:17" s="2" customFormat="1" ht="12.75" customHeight="1">
      <c r="A9" s="4">
        <v>302</v>
      </c>
      <c r="B9" s="2">
        <v>1</v>
      </c>
      <c r="C9" s="114" t="s">
        <v>184</v>
      </c>
      <c r="D9" s="268" t="str">
        <f>VLOOKUP(C9,Purchased!A:B,2,0)</f>
        <v>M12 female 0° A-cod. 4-Pin with cable 5M</v>
      </c>
      <c r="E9" s="269"/>
      <c r="F9" s="112" t="str">
        <f>VLOOKUP(C9,Purchased!A:Q,9,0)</f>
        <v>MURR</v>
      </c>
      <c r="G9" s="112" t="str">
        <f>VLOOKUP(C9,Purchased!A:Q,10,0)</f>
        <v>MURR</v>
      </c>
      <c r="H9" s="112" t="str">
        <f>VLOOKUP(C9,Purchased!A:Q,12,0)</f>
        <v xml:space="preserve"> </v>
      </c>
      <c r="I9" s="113"/>
      <c r="J9" s="44">
        <f>VLOOKUP(C9,Purchased!A:Q,13,0)</f>
        <v>45216</v>
      </c>
      <c r="K9" s="44">
        <f>VLOOKUP(C9,Purchased!A:Q,14,0)</f>
        <v>45219</v>
      </c>
      <c r="L9" s="44">
        <f>VLOOKUP(C9,Purchased!A:Q,15,0)</f>
        <v>45226</v>
      </c>
      <c r="M9" s="44">
        <f>VLOOKUP(C9,Purchased!A:Q,16,0)</f>
        <v>45226</v>
      </c>
      <c r="N9" s="45">
        <f>VLOOKUP(C9,Purchased!A:Q,17,0)</f>
        <v>55194</v>
      </c>
      <c r="O9" s="45" t="e">
        <f t="shared" ref="O9" ca="1" si="4">B9*$L$2</f>
        <v>#VALUE!</v>
      </c>
      <c r="P9" s="49">
        <f>IFERROR(VLOOKUP(C9,Purchased!A:E,3,FALSE),"")</f>
        <v>26.52</v>
      </c>
      <c r="Q9" s="50">
        <f t="shared" ref="Q9" si="5">IFERROR(B9*P9,"")</f>
        <v>26.52</v>
      </c>
    </row>
    <row r="10" spans="1:17" s="2" customFormat="1" ht="12.75" customHeight="1">
      <c r="A10" s="25"/>
      <c r="B10" s="26"/>
      <c r="C10" s="26"/>
      <c r="D10" s="272"/>
      <c r="E10" s="273"/>
      <c r="F10" s="26"/>
      <c r="G10" s="26"/>
      <c r="H10" s="274"/>
      <c r="I10" s="275"/>
      <c r="J10" s="27"/>
      <c r="K10" s="27"/>
      <c r="L10" s="27"/>
      <c r="M10" s="28"/>
      <c r="N10" s="29"/>
      <c r="O10" s="29" t="e">
        <f t="shared" ca="1" si="2"/>
        <v>#VALUE!</v>
      </c>
      <c r="P10" s="141"/>
      <c r="Q10" s="142"/>
    </row>
    <row r="11" spans="1:17" s="2" customFormat="1" ht="12.75" customHeight="1">
      <c r="A11" s="4">
        <v>501</v>
      </c>
      <c r="B11" s="2">
        <v>2</v>
      </c>
      <c r="C11" s="110" t="s">
        <v>667</v>
      </c>
      <c r="D11" s="268"/>
      <c r="E11" s="276"/>
      <c r="F11" s="112" t="str">
        <f>VLOOKUP(C11,Bolts!A:L,5,0)</f>
        <v xml:space="preserve">  </v>
      </c>
      <c r="G11" s="112" t="str">
        <f>VLOOKUP(C11,Bolts!A:L,6,0)</f>
        <v>Monroe Fasteners</v>
      </c>
      <c r="H11" s="112" t="str">
        <f>VLOOKUP(C11,Bolts!A:L,7,0)</f>
        <v xml:space="preserve">  </v>
      </c>
      <c r="I11" s="112"/>
      <c r="J11" s="44" t="str">
        <f>VLOOKUP(C11,Bolts!A:L,8,0)</f>
        <v xml:space="preserve"> </v>
      </c>
      <c r="K11" s="44" t="str">
        <f>VLOOKUP(C11,Bolts!A:L,9,0)</f>
        <v xml:space="preserve"> </v>
      </c>
      <c r="L11" s="44" t="str">
        <f>VLOOKUP(C11,Bolts!A:L,10,0)</f>
        <v xml:space="preserve"> </v>
      </c>
      <c r="M11" s="44" t="str">
        <f>VLOOKUP(C11,Bolts!A:L,11,0)</f>
        <v xml:space="preserve"> </v>
      </c>
      <c r="N11" s="45" t="str">
        <f>VLOOKUP(C11,Bolts!A:L,12,0)</f>
        <v xml:space="preserve"> </v>
      </c>
      <c r="O11" s="45" t="e">
        <f t="shared" ca="1" si="2"/>
        <v>#VALUE!</v>
      </c>
      <c r="P11" s="49" t="str">
        <f>IFERROR(VLOOKUP(C11,Bolts!A:B,2,FALSE),"")</f>
        <v xml:space="preserve"> </v>
      </c>
      <c r="Q11" s="50" t="str">
        <f t="shared" ref="Q11:Q12" si="6">IFERROR(B11*P11,"")</f>
        <v/>
      </c>
    </row>
    <row r="12" spans="1:17" s="2" customFormat="1" ht="12.75" customHeight="1">
      <c r="A12" s="4">
        <f t="shared" ref="A12" si="7">A11+1</f>
        <v>502</v>
      </c>
      <c r="B12" s="2">
        <v>2</v>
      </c>
      <c r="C12" s="110" t="s">
        <v>668</v>
      </c>
      <c r="D12" s="268"/>
      <c r="E12" s="276"/>
      <c r="F12" s="112" t="str">
        <f>VLOOKUP(C12,Bolts!A:L,5,0)</f>
        <v xml:space="preserve">  </v>
      </c>
      <c r="G12" s="112" t="str">
        <f>VLOOKUP(C12,Bolts!A:L,6,0)</f>
        <v>Monroe Fasteners</v>
      </c>
      <c r="H12" s="112" t="str">
        <f>VLOOKUP(C12,Bolts!A:L,7,0)</f>
        <v xml:space="preserve">  </v>
      </c>
      <c r="I12" s="112"/>
      <c r="J12" s="44" t="str">
        <f>VLOOKUP(C12,Bolts!A:L,8,0)</f>
        <v xml:space="preserve"> </v>
      </c>
      <c r="K12" s="44" t="str">
        <f>VLOOKUP(C12,Bolts!A:L,9,0)</f>
        <v xml:space="preserve"> </v>
      </c>
      <c r="L12" s="44" t="str">
        <f>VLOOKUP(C12,Bolts!A:L,10,0)</f>
        <v xml:space="preserve"> </v>
      </c>
      <c r="M12" s="44" t="str">
        <f>VLOOKUP(C12,Bolts!A:L,11,0)</f>
        <v xml:space="preserve"> </v>
      </c>
      <c r="N12" s="45" t="str">
        <f>VLOOKUP(C12,Bolts!A:L,12,0)</f>
        <v xml:space="preserve"> </v>
      </c>
      <c r="O12" s="45" t="e">
        <f t="shared" ca="1" si="2"/>
        <v>#VALUE!</v>
      </c>
      <c r="P12" s="49" t="str">
        <f>IFERROR(VLOOKUP(C12,Bolts!A:B,2,FALSE),"")</f>
        <v xml:space="preserve"> </v>
      </c>
      <c r="Q12" s="50" t="str">
        <f t="shared" si="6"/>
        <v/>
      </c>
    </row>
    <row r="13" spans="1:17" s="2" customFormat="1" ht="12.75" customHeight="1">
      <c r="A13" s="4">
        <v>503</v>
      </c>
      <c r="B13" s="2">
        <v>2</v>
      </c>
      <c r="C13" s="110" t="s">
        <v>337</v>
      </c>
      <c r="D13" s="164"/>
      <c r="E13" s="165"/>
      <c r="F13" s="112" t="str">
        <f>VLOOKUP(C13,Bolts!A:L,5,0)</f>
        <v xml:space="preserve">  </v>
      </c>
      <c r="G13" s="112" t="str">
        <f>VLOOKUP(C13,Bolts!A:L,6,0)</f>
        <v>Monroe Fasteners</v>
      </c>
      <c r="H13" s="112" t="str">
        <f>VLOOKUP(C13,Bolts!A:L,7,0)</f>
        <v xml:space="preserve">  </v>
      </c>
      <c r="I13" s="112"/>
      <c r="J13" s="44" t="str">
        <f>VLOOKUP(C13,Bolts!A:L,8,0)</f>
        <v xml:space="preserve"> </v>
      </c>
      <c r="K13" s="44" t="str">
        <f>VLOOKUP(C13,Bolts!A:L,9,0)</f>
        <v xml:space="preserve"> </v>
      </c>
      <c r="L13" s="44" t="str">
        <f>VLOOKUP(C13,Bolts!A:L,10,0)</f>
        <v xml:space="preserve"> </v>
      </c>
      <c r="M13" s="44" t="str">
        <f>VLOOKUP(C13,Bolts!A:L,11,0)</f>
        <v xml:space="preserve"> </v>
      </c>
      <c r="N13" s="45" t="str">
        <f>VLOOKUP(C13,Bolts!A:L,12,0)</f>
        <v xml:space="preserve"> </v>
      </c>
      <c r="O13" s="45" t="e">
        <f t="shared" ref="O13:O14" ca="1" si="8">B13*$L$2</f>
        <v>#VALUE!</v>
      </c>
      <c r="P13" s="49" t="str">
        <f>IFERROR(VLOOKUP(C13,Bolts!A:B,2,FALSE),"")</f>
        <v xml:space="preserve"> </v>
      </c>
      <c r="Q13" s="50" t="str">
        <f t="shared" ref="Q13:Q14" si="9">IFERROR(B13*P13,"")</f>
        <v/>
      </c>
    </row>
    <row r="14" spans="1:17" s="2" customFormat="1" ht="12.75" customHeight="1" thickBot="1">
      <c r="A14" s="4">
        <v>504</v>
      </c>
      <c r="B14" s="2">
        <v>4</v>
      </c>
      <c r="C14" s="110" t="s">
        <v>669</v>
      </c>
      <c r="D14" s="164"/>
      <c r="E14" s="165"/>
      <c r="F14" s="112" t="str">
        <f>VLOOKUP(C14,Bolts!A:L,5,0)</f>
        <v xml:space="preserve">  </v>
      </c>
      <c r="G14" s="112" t="str">
        <f>VLOOKUP(C14,Bolts!A:L,6,0)</f>
        <v>Monroe Fasteners</v>
      </c>
      <c r="H14" s="112" t="str">
        <f>VLOOKUP(C14,Bolts!A:L,7,0)</f>
        <v xml:space="preserve">  </v>
      </c>
      <c r="I14" s="112"/>
      <c r="J14" s="44" t="str">
        <f>VLOOKUP(C14,Bolts!A:L,8,0)</f>
        <v xml:space="preserve"> </v>
      </c>
      <c r="K14" s="44" t="str">
        <f>VLOOKUP(C14,Bolts!A:L,9,0)</f>
        <v xml:space="preserve"> </v>
      </c>
      <c r="L14" s="44" t="str">
        <f>VLOOKUP(C14,Bolts!A:L,10,0)</f>
        <v xml:space="preserve"> </v>
      </c>
      <c r="M14" s="44" t="str">
        <f>VLOOKUP(C14,Bolts!A:L,11,0)</f>
        <v xml:space="preserve"> </v>
      </c>
      <c r="N14" s="45" t="str">
        <f>VLOOKUP(C14,Bolts!A:L,12,0)</f>
        <v xml:space="preserve"> </v>
      </c>
      <c r="O14" s="45" t="e">
        <f t="shared" ca="1" si="8"/>
        <v>#VALUE!</v>
      </c>
      <c r="P14" s="49" t="str">
        <f>IFERROR(VLOOKUP(C14,Bolts!A:B,2,FALSE),"")</f>
        <v xml:space="preserve"> </v>
      </c>
      <c r="Q14" s="50" t="str">
        <f t="shared" si="9"/>
        <v/>
      </c>
    </row>
    <row r="15" spans="1:17" s="2" customFormat="1" ht="12.75" customHeight="1" thickBot="1">
      <c r="A15" s="34"/>
      <c r="B15" s="35"/>
      <c r="C15" s="35"/>
      <c r="D15" s="256"/>
      <c r="E15" s="257"/>
      <c r="F15" s="35"/>
      <c r="G15" s="35"/>
      <c r="H15" s="294"/>
      <c r="I15" s="295"/>
      <c r="J15" s="36"/>
      <c r="K15" s="36"/>
      <c r="L15" s="36"/>
      <c r="M15" s="37"/>
      <c r="N15" s="38"/>
      <c r="O15" s="38"/>
      <c r="P15" s="89" t="s">
        <v>43</v>
      </c>
      <c r="Q15" s="94">
        <f>SUM(Q5:Q12)</f>
        <v>762.12</v>
      </c>
    </row>
    <row r="16" spans="1:17" s="2" customFormat="1" ht="12" customHeight="1">
      <c r="D16" s="22"/>
      <c r="E16" s="22"/>
      <c r="J16" s="8"/>
      <c r="K16" s="8"/>
      <c r="L16" s="8"/>
      <c r="M16" s="8"/>
      <c r="N16" s="5"/>
      <c r="O16" s="5"/>
      <c r="P16" s="88"/>
      <c r="Q16" s="95"/>
    </row>
    <row r="17" spans="4:17" s="2" customFormat="1" ht="12" customHeight="1">
      <c r="D17" s="22"/>
      <c r="E17" s="22"/>
      <c r="J17" s="5"/>
      <c r="K17" s="5"/>
      <c r="L17" s="5"/>
      <c r="M17" s="5"/>
      <c r="N17" s="5"/>
      <c r="O17" s="5"/>
      <c r="P17" s="88"/>
      <c r="Q17" s="95"/>
    </row>
    <row r="18" spans="4:17" s="2" customFormat="1" ht="12" customHeight="1">
      <c r="D18" s="22"/>
      <c r="E18" s="22"/>
      <c r="J18" s="5"/>
      <c r="K18" s="5"/>
      <c r="L18" s="5"/>
      <c r="M18" s="5"/>
      <c r="N18" s="5"/>
      <c r="O18" s="5"/>
      <c r="P18" s="88"/>
      <c r="Q18" s="95"/>
    </row>
    <row r="19" spans="4:17" s="2" customFormat="1" ht="12" customHeight="1">
      <c r="D19" s="22"/>
      <c r="E19" s="22"/>
      <c r="J19" s="5"/>
      <c r="K19" s="5"/>
      <c r="L19" s="5"/>
      <c r="M19" s="5"/>
      <c r="N19" s="5"/>
      <c r="O19" s="5"/>
      <c r="P19" s="88"/>
      <c r="Q19" s="95"/>
    </row>
    <row r="20" spans="4:17" s="2" customFormat="1" ht="12" customHeight="1">
      <c r="D20" s="22"/>
      <c r="E20" s="22"/>
      <c r="J20" s="5"/>
      <c r="K20" s="5"/>
      <c r="L20" s="5"/>
      <c r="M20" s="5"/>
      <c r="N20" s="5"/>
      <c r="O20" s="5"/>
      <c r="P20" s="88"/>
      <c r="Q20" s="95"/>
    </row>
    <row r="21" spans="4:17" s="2" customFormat="1" ht="12" customHeight="1">
      <c r="D21" s="22"/>
      <c r="E21" s="22"/>
      <c r="J21" s="5"/>
      <c r="K21" s="5"/>
      <c r="L21" s="5"/>
      <c r="M21" s="5"/>
      <c r="N21" s="5"/>
      <c r="O21" s="5"/>
      <c r="P21" s="88"/>
      <c r="Q21" s="95"/>
    </row>
    <row r="22" spans="4:17" s="2" customFormat="1" ht="12" customHeight="1">
      <c r="D22" s="22"/>
      <c r="E22" s="22"/>
      <c r="J22" s="5"/>
      <c r="K22" s="5"/>
      <c r="L22" s="5"/>
      <c r="M22" s="5"/>
      <c r="N22" s="5"/>
      <c r="O22" s="5"/>
      <c r="P22" s="88"/>
      <c r="Q22" s="95"/>
    </row>
    <row r="23" spans="4:17" s="2" customFormat="1" ht="12" customHeight="1">
      <c r="D23" s="22"/>
      <c r="E23" s="22"/>
      <c r="J23" s="5"/>
      <c r="K23" s="5"/>
      <c r="L23" s="5"/>
      <c r="M23" s="5"/>
      <c r="N23" s="5"/>
      <c r="O23" s="5"/>
      <c r="P23" s="88"/>
      <c r="Q23" s="95"/>
    </row>
    <row r="24" spans="4:17" s="2" customFormat="1" ht="12" customHeight="1">
      <c r="D24" s="22"/>
      <c r="E24" s="22"/>
      <c r="J24" s="5"/>
      <c r="K24" s="5"/>
      <c r="L24" s="5"/>
      <c r="M24" s="5"/>
      <c r="N24" s="5"/>
      <c r="O24" s="5"/>
      <c r="P24" s="88"/>
      <c r="Q24" s="95"/>
    </row>
    <row r="25" spans="4:17" s="2" customFormat="1" ht="12" customHeight="1">
      <c r="D25" s="22"/>
      <c r="E25" s="22"/>
      <c r="J25" s="5"/>
      <c r="K25" s="5"/>
      <c r="L25" s="5"/>
      <c r="M25" s="5"/>
      <c r="N25" s="5"/>
      <c r="O25" s="5"/>
      <c r="P25" s="88"/>
      <c r="Q25" s="95"/>
    </row>
    <row r="26" spans="4:17" s="2" customFormat="1" ht="12" customHeight="1">
      <c r="D26" s="22"/>
      <c r="E26" s="22"/>
      <c r="J26" s="5"/>
      <c r="K26" s="5"/>
      <c r="L26" s="5"/>
      <c r="M26" s="5"/>
      <c r="N26" s="5"/>
      <c r="O26" s="5"/>
      <c r="P26" s="88"/>
      <c r="Q26" s="95"/>
    </row>
    <row r="27" spans="4:17" s="2" customFormat="1" ht="12" customHeight="1">
      <c r="D27" s="22"/>
      <c r="E27" s="22"/>
      <c r="J27" s="5"/>
      <c r="K27" s="5"/>
      <c r="L27" s="5"/>
      <c r="M27" s="5"/>
      <c r="N27" s="5"/>
      <c r="O27" s="5"/>
      <c r="P27" s="88"/>
      <c r="Q27" s="95"/>
    </row>
    <row r="28" spans="4:17" s="2" customFormat="1" ht="12" customHeight="1">
      <c r="D28" s="22"/>
      <c r="E28" s="22"/>
      <c r="J28" s="5"/>
      <c r="K28" s="5"/>
      <c r="L28" s="5"/>
      <c r="M28" s="5"/>
      <c r="N28" s="5"/>
      <c r="O28" s="5"/>
      <c r="P28" s="88"/>
      <c r="Q28" s="95"/>
    </row>
    <row r="29" spans="4:17" s="2" customFormat="1" ht="12" customHeight="1">
      <c r="D29" s="22"/>
      <c r="E29" s="22"/>
      <c r="J29" s="5"/>
      <c r="K29" s="5"/>
      <c r="L29" s="5"/>
      <c r="M29" s="5"/>
      <c r="N29" s="5"/>
      <c r="O29" s="5"/>
      <c r="P29" s="88"/>
      <c r="Q29" s="95"/>
    </row>
    <row r="30" spans="4:17" s="2" customFormat="1" ht="12" customHeight="1">
      <c r="D30" s="22"/>
      <c r="E30" s="22"/>
      <c r="J30" s="5"/>
      <c r="K30" s="5"/>
      <c r="L30" s="5"/>
      <c r="M30" s="5"/>
      <c r="N30" s="5"/>
      <c r="O30" s="5"/>
      <c r="P30" s="88"/>
      <c r="Q30" s="95"/>
    </row>
    <row r="31" spans="4:17" s="2" customFormat="1" ht="12" customHeight="1">
      <c r="D31" s="22"/>
      <c r="E31" s="22"/>
      <c r="J31" s="5"/>
      <c r="K31" s="5"/>
      <c r="L31" s="5"/>
      <c r="M31" s="5"/>
      <c r="N31" s="5"/>
      <c r="O31" s="5"/>
      <c r="P31" s="88"/>
      <c r="Q31" s="95"/>
    </row>
    <row r="32" spans="4:17" s="2" customFormat="1" ht="12" customHeight="1">
      <c r="D32" s="22"/>
      <c r="E32" s="22"/>
      <c r="J32" s="5"/>
      <c r="K32" s="5"/>
      <c r="L32" s="5"/>
      <c r="M32" s="5"/>
      <c r="N32" s="5"/>
      <c r="O32" s="5"/>
      <c r="P32" s="88"/>
      <c r="Q32" s="95"/>
    </row>
    <row r="33" spans="4:17" s="2" customFormat="1" ht="12" customHeight="1">
      <c r="D33" s="22"/>
      <c r="E33" s="22"/>
      <c r="J33" s="5"/>
      <c r="K33" s="5"/>
      <c r="L33" s="5"/>
      <c r="M33" s="5"/>
      <c r="N33" s="5"/>
      <c r="O33" s="5"/>
      <c r="P33" s="88"/>
      <c r="Q33" s="95"/>
    </row>
    <row r="34" spans="4:17" s="2" customFormat="1" ht="12" customHeight="1">
      <c r="D34" s="22"/>
      <c r="E34" s="22"/>
      <c r="J34" s="5"/>
      <c r="K34" s="5"/>
      <c r="L34" s="5"/>
      <c r="M34" s="5"/>
      <c r="N34" s="5"/>
      <c r="O34" s="5"/>
      <c r="P34" s="88"/>
      <c r="Q34" s="95"/>
    </row>
    <row r="35" spans="4:17" s="2" customFormat="1" ht="12" customHeight="1">
      <c r="D35" s="22"/>
      <c r="E35" s="22"/>
      <c r="J35" s="5"/>
      <c r="K35" s="5"/>
      <c r="L35" s="5"/>
      <c r="M35" s="5"/>
      <c r="N35" s="5"/>
      <c r="O35" s="5"/>
      <c r="P35" s="88"/>
      <c r="Q35" s="95"/>
    </row>
    <row r="36" spans="4:17" s="2" customFormat="1" ht="12" customHeight="1">
      <c r="D36" s="22"/>
      <c r="E36" s="22"/>
      <c r="J36" s="5"/>
      <c r="K36" s="5"/>
      <c r="L36" s="5"/>
      <c r="M36" s="5"/>
      <c r="N36" s="5"/>
      <c r="O36" s="5"/>
      <c r="P36" s="88"/>
      <c r="Q36" s="95"/>
    </row>
    <row r="37" spans="4:17" s="2" customFormat="1" ht="12" customHeight="1">
      <c r="D37" s="22"/>
      <c r="E37" s="22"/>
      <c r="J37" s="5"/>
      <c r="K37" s="5"/>
      <c r="L37" s="5"/>
      <c r="M37" s="5"/>
      <c r="N37" s="5"/>
      <c r="O37" s="5"/>
      <c r="P37" s="88"/>
      <c r="Q37" s="95"/>
    </row>
    <row r="38" spans="4:17" s="2" customFormat="1" ht="12" customHeight="1">
      <c r="D38" s="22"/>
      <c r="E38" s="22"/>
      <c r="J38" s="5"/>
      <c r="K38" s="5"/>
      <c r="L38" s="5"/>
      <c r="M38" s="5"/>
      <c r="N38" s="5"/>
      <c r="O38" s="5"/>
      <c r="P38" s="88"/>
      <c r="Q38" s="95"/>
    </row>
    <row r="39" spans="4:17" s="2" customFormat="1" ht="12" customHeight="1">
      <c r="D39" s="22"/>
      <c r="E39" s="22"/>
      <c r="J39" s="5"/>
      <c r="K39" s="5"/>
      <c r="L39" s="5"/>
      <c r="M39" s="5"/>
      <c r="N39" s="5"/>
      <c r="O39" s="5"/>
      <c r="P39" s="88"/>
      <c r="Q39" s="95"/>
    </row>
    <row r="40" spans="4:17" s="2" customFormat="1" ht="12" customHeight="1">
      <c r="D40" s="22"/>
      <c r="E40" s="22"/>
      <c r="J40" s="5"/>
      <c r="K40" s="5"/>
      <c r="L40" s="5"/>
      <c r="M40" s="5"/>
      <c r="N40" s="5"/>
      <c r="O40" s="5"/>
      <c r="P40" s="88"/>
      <c r="Q40" s="95"/>
    </row>
    <row r="41" spans="4:17" s="2" customFormat="1" ht="12" customHeight="1">
      <c r="D41" s="22"/>
      <c r="E41" s="22"/>
      <c r="J41" s="5"/>
      <c r="K41" s="5"/>
      <c r="L41" s="5"/>
      <c r="M41" s="5"/>
      <c r="N41" s="5"/>
      <c r="O41" s="5"/>
      <c r="P41" s="88"/>
      <c r="Q41" s="95"/>
    </row>
    <row r="42" spans="4:17" s="2" customFormat="1" ht="12" customHeight="1">
      <c r="D42" s="22"/>
      <c r="E42" s="22"/>
      <c r="J42" s="5"/>
      <c r="K42" s="5"/>
      <c r="L42" s="5"/>
      <c r="M42" s="5"/>
      <c r="N42" s="5"/>
      <c r="O42" s="5"/>
      <c r="P42" s="88"/>
      <c r="Q42" s="95"/>
    </row>
    <row r="43" spans="4:17" s="2" customFormat="1" ht="12" customHeight="1">
      <c r="D43" s="22"/>
      <c r="E43" s="22"/>
      <c r="J43" s="5"/>
      <c r="K43" s="5"/>
      <c r="L43" s="5"/>
      <c r="M43" s="5"/>
      <c r="N43" s="5"/>
      <c r="O43" s="5"/>
      <c r="P43" s="88"/>
      <c r="Q43" s="95"/>
    </row>
    <row r="44" spans="4:17" s="2" customFormat="1" ht="12" customHeight="1">
      <c r="D44" s="22"/>
      <c r="E44" s="22"/>
      <c r="J44" s="5"/>
      <c r="K44" s="5"/>
      <c r="L44" s="5"/>
      <c r="M44" s="5"/>
      <c r="N44" s="5"/>
      <c r="O44" s="5"/>
      <c r="P44" s="88"/>
      <c r="Q44" s="95"/>
    </row>
    <row r="45" spans="4:17" s="2" customFormat="1" ht="12" customHeight="1">
      <c r="D45" s="22"/>
      <c r="E45" s="22"/>
      <c r="J45" s="5"/>
      <c r="K45" s="5"/>
      <c r="L45" s="5"/>
      <c r="M45" s="5"/>
      <c r="N45" s="5"/>
      <c r="O45" s="5"/>
      <c r="P45" s="88"/>
      <c r="Q45" s="95"/>
    </row>
    <row r="46" spans="4:17" s="2" customFormat="1" ht="12" customHeight="1">
      <c r="D46" s="22"/>
      <c r="E46" s="22"/>
      <c r="J46" s="5"/>
      <c r="K46" s="5"/>
      <c r="L46" s="5"/>
      <c r="M46" s="5"/>
      <c r="N46" s="5"/>
      <c r="O46" s="5"/>
      <c r="P46" s="88"/>
      <c r="Q46" s="95"/>
    </row>
    <row r="47" spans="4:17" s="2" customFormat="1" ht="12" customHeight="1">
      <c r="D47" s="22"/>
      <c r="E47" s="22"/>
      <c r="J47" s="5"/>
      <c r="K47" s="5"/>
      <c r="L47" s="5"/>
      <c r="M47" s="5"/>
      <c r="N47" s="5"/>
      <c r="O47" s="5"/>
      <c r="P47" s="88"/>
      <c r="Q47" s="95"/>
    </row>
    <row r="48" spans="4:17" s="2" customFormat="1" ht="12" customHeight="1">
      <c r="D48" s="22"/>
      <c r="E48" s="22"/>
      <c r="J48" s="5"/>
      <c r="K48" s="5"/>
      <c r="L48" s="5"/>
      <c r="M48" s="5"/>
      <c r="N48" s="5"/>
      <c r="O48" s="5"/>
      <c r="P48" s="88"/>
      <c r="Q48" s="95"/>
    </row>
    <row r="49" spans="1:17" s="2" customFormat="1" ht="12" customHeight="1">
      <c r="D49" s="22"/>
      <c r="E49" s="22"/>
      <c r="J49" s="5"/>
      <c r="K49" s="5"/>
      <c r="L49" s="5"/>
      <c r="M49" s="5"/>
      <c r="N49" s="5"/>
      <c r="O49" s="5"/>
      <c r="P49" s="88"/>
      <c r="Q49" s="95"/>
    </row>
    <row r="50" spans="1:17" s="2" customFormat="1" ht="12" customHeight="1">
      <c r="D50" s="22"/>
      <c r="E50" s="22"/>
      <c r="J50" s="5"/>
      <c r="K50" s="5"/>
      <c r="L50" s="5"/>
      <c r="M50" s="5"/>
      <c r="N50" s="5"/>
      <c r="O50" s="5"/>
      <c r="P50" s="88"/>
      <c r="Q50" s="95"/>
    </row>
    <row r="51" spans="1:17" s="2" customFormat="1" ht="12" customHeight="1">
      <c r="D51" s="22"/>
      <c r="E51" s="22"/>
      <c r="J51" s="5"/>
      <c r="K51" s="5"/>
      <c r="L51" s="5"/>
      <c r="M51" s="5"/>
      <c r="N51" s="5"/>
      <c r="O51" s="5"/>
      <c r="P51" s="88"/>
      <c r="Q51" s="95"/>
    </row>
    <row r="52" spans="1:17" s="2" customFormat="1" ht="12" customHeight="1">
      <c r="D52" s="22"/>
      <c r="E52" s="22"/>
      <c r="J52" s="5"/>
      <c r="K52" s="5"/>
      <c r="L52" s="5"/>
      <c r="M52" s="5"/>
      <c r="N52" s="5"/>
      <c r="O52" s="5"/>
      <c r="P52" s="88"/>
      <c r="Q52" s="95"/>
    </row>
    <row r="53" spans="1:17" s="2" customFormat="1" ht="12" customHeight="1">
      <c r="D53" s="22"/>
      <c r="E53" s="22"/>
      <c r="J53" s="5"/>
      <c r="K53" s="5"/>
      <c r="L53" s="5"/>
      <c r="M53" s="5"/>
      <c r="N53" s="5"/>
      <c r="O53" s="5"/>
      <c r="P53" s="88"/>
      <c r="Q53" s="95"/>
    </row>
    <row r="54" spans="1:17" s="2" customFormat="1" ht="12" customHeight="1">
      <c r="D54" s="22"/>
      <c r="E54" s="22"/>
      <c r="J54" s="5"/>
      <c r="K54" s="5"/>
      <c r="L54" s="5"/>
      <c r="M54" s="5"/>
      <c r="N54" s="5"/>
      <c r="O54" s="5"/>
      <c r="P54" s="88"/>
      <c r="Q54" s="96"/>
    </row>
    <row r="55" spans="1:17" s="2" customFormat="1" ht="12" customHeight="1">
      <c r="D55" s="22"/>
      <c r="E55" s="22"/>
      <c r="J55" s="5"/>
      <c r="K55" s="5"/>
      <c r="L55" s="5"/>
      <c r="M55" s="5"/>
      <c r="N55" s="5"/>
      <c r="O55" s="5"/>
      <c r="P55" s="88"/>
      <c r="Q55" s="96"/>
    </row>
    <row r="56" spans="1:17" s="2" customFormat="1" ht="12" customHeight="1">
      <c r="D56" s="22"/>
      <c r="E56" s="22"/>
      <c r="J56" s="5"/>
      <c r="K56" s="5"/>
      <c r="L56" s="5"/>
      <c r="M56" s="5"/>
      <c r="N56" s="5"/>
      <c r="O56" s="5"/>
      <c r="P56" s="88"/>
      <c r="Q56" s="96"/>
    </row>
    <row r="57" spans="1:17" s="2" customFormat="1" ht="12" customHeight="1">
      <c r="D57" s="22"/>
      <c r="E57" s="22"/>
      <c r="J57" s="5"/>
      <c r="K57" s="5"/>
      <c r="L57" s="5"/>
      <c r="M57" s="5"/>
      <c r="N57" s="5"/>
      <c r="O57" s="5"/>
      <c r="P57" s="88"/>
      <c r="Q57" s="96"/>
    </row>
    <row r="58" spans="1:17" s="2" customFormat="1" ht="12" customHeight="1">
      <c r="A58"/>
      <c r="B58"/>
      <c r="C58"/>
      <c r="D58" s="23"/>
      <c r="E58" s="23"/>
      <c r="F58"/>
      <c r="G58"/>
      <c r="H58"/>
      <c r="I58"/>
      <c r="J58" s="19"/>
      <c r="K58" s="19"/>
      <c r="L58" s="19"/>
      <c r="M58" s="19"/>
      <c r="N58" s="19"/>
      <c r="O58" s="19"/>
      <c r="P58" s="90"/>
      <c r="Q58" s="96"/>
    </row>
    <row r="59" spans="1:17" s="2" customFormat="1" ht="12" customHeight="1">
      <c r="A59"/>
      <c r="B59"/>
      <c r="C59"/>
      <c r="D59" s="23"/>
      <c r="E59" s="23"/>
      <c r="F59"/>
      <c r="G59"/>
      <c r="H59"/>
      <c r="I59"/>
      <c r="J59" s="19"/>
      <c r="K59" s="19"/>
      <c r="L59" s="19"/>
      <c r="M59" s="19"/>
      <c r="N59" s="19"/>
      <c r="O59" s="19"/>
      <c r="P59" s="90"/>
      <c r="Q59" s="96"/>
    </row>
    <row r="60" spans="1:17" s="2" customFormat="1" ht="12" customHeight="1">
      <c r="A60"/>
      <c r="B60"/>
      <c r="C60"/>
      <c r="D60" s="23"/>
      <c r="E60" s="23"/>
      <c r="F60"/>
      <c r="G60"/>
      <c r="H60"/>
      <c r="I60"/>
      <c r="J60" s="19"/>
      <c r="K60" s="19"/>
      <c r="L60" s="19"/>
      <c r="M60" s="19"/>
      <c r="N60" s="19"/>
      <c r="O60" s="19"/>
      <c r="P60" s="90"/>
      <c r="Q60" s="96"/>
    </row>
    <row r="61" spans="1:17" s="2" customFormat="1" ht="12" customHeight="1">
      <c r="A61"/>
      <c r="B61"/>
      <c r="C61"/>
      <c r="D61" s="23"/>
      <c r="E61" s="23"/>
      <c r="F61"/>
      <c r="G61"/>
      <c r="H61"/>
      <c r="I61"/>
      <c r="J61" s="19"/>
      <c r="K61" s="19"/>
      <c r="L61" s="19"/>
      <c r="M61" s="19"/>
      <c r="N61" s="19"/>
      <c r="O61" s="19"/>
      <c r="P61" s="90"/>
      <c r="Q61" s="96"/>
    </row>
    <row r="62" spans="1:17" s="2" customFormat="1" ht="12" customHeight="1">
      <c r="A62"/>
      <c r="B62"/>
      <c r="C62"/>
      <c r="D62" s="23"/>
      <c r="E62" s="23"/>
      <c r="F62"/>
      <c r="G62"/>
      <c r="H62"/>
      <c r="I62"/>
      <c r="J62" s="19"/>
      <c r="K62" s="19"/>
      <c r="L62" s="19"/>
      <c r="M62" s="19"/>
      <c r="N62" s="19"/>
      <c r="O62" s="19"/>
      <c r="P62" s="90"/>
      <c r="Q62" s="96"/>
    </row>
    <row r="63" spans="1:17">
      <c r="Q63" s="96"/>
    </row>
    <row r="64" spans="1:17">
      <c r="Q64" s="96"/>
    </row>
    <row r="65" spans="17:17">
      <c r="Q65" s="96"/>
    </row>
    <row r="66" spans="17:17">
      <c r="Q66" s="96"/>
    </row>
    <row r="67" spans="17:17">
      <c r="Q67" s="96"/>
    </row>
    <row r="68" spans="17:17">
      <c r="Q68" s="96"/>
    </row>
    <row r="69" spans="17:17">
      <c r="Q69" s="96"/>
    </row>
    <row r="70" spans="17:17">
      <c r="Q70" s="96"/>
    </row>
    <row r="71" spans="17:17">
      <c r="Q71" s="96"/>
    </row>
    <row r="72" spans="17:17">
      <c r="Q72" s="96"/>
    </row>
    <row r="73" spans="17:17">
      <c r="Q73" s="96"/>
    </row>
    <row r="74" spans="17:17">
      <c r="Q74" s="96"/>
    </row>
    <row r="75" spans="17:17">
      <c r="Q75" s="96"/>
    </row>
    <row r="76" spans="17:17">
      <c r="Q76" s="96"/>
    </row>
    <row r="77" spans="17:17">
      <c r="Q77" s="96"/>
    </row>
    <row r="78" spans="17:17">
      <c r="Q78" s="96"/>
    </row>
    <row r="79" spans="17:17">
      <c r="Q79" s="96"/>
    </row>
    <row r="80" spans="17:17">
      <c r="Q80" s="96"/>
    </row>
    <row r="81" spans="17:17">
      <c r="Q81" s="96"/>
    </row>
    <row r="82" spans="17:17">
      <c r="Q82" s="96"/>
    </row>
    <row r="119" ht="12" customHeight="1"/>
    <row r="120" ht="12" customHeight="1"/>
    <row r="121" ht="12" customHeight="1"/>
    <row r="122" ht="12" customHeight="1"/>
    <row r="123" ht="12" customHeight="1"/>
    <row r="124" ht="12" customHeight="1"/>
    <row r="125" ht="12" customHeight="1"/>
    <row r="126" ht="12" customHeight="1"/>
    <row r="127" ht="12" customHeight="1"/>
    <row r="128" ht="12" customHeight="1"/>
    <row r="129" ht="12" customHeight="1"/>
    <row r="130" ht="12" customHeight="1"/>
    <row r="131" ht="12" customHeight="1"/>
    <row r="132" ht="12" customHeight="1"/>
    <row r="133" ht="12" customHeight="1"/>
    <row r="134" ht="12" customHeight="1"/>
    <row r="135" ht="12" customHeight="1"/>
    <row r="136" ht="12" customHeight="1"/>
    <row r="137" ht="12" customHeight="1"/>
    <row r="138" ht="12" customHeight="1"/>
    <row r="139" ht="12" customHeight="1"/>
    <row r="140" ht="12" customHeight="1"/>
    <row r="141" ht="12" customHeight="1"/>
    <row r="142" ht="12" customHeight="1"/>
    <row r="143" ht="12" customHeight="1"/>
    <row r="144" ht="12" customHeight="1"/>
    <row r="145" ht="12" customHeight="1"/>
    <row r="146" ht="12" customHeight="1"/>
    <row r="147" ht="12" customHeight="1"/>
    <row r="148" ht="12" customHeight="1"/>
    <row r="149" ht="12" customHeight="1"/>
    <row r="150" ht="12" customHeight="1"/>
    <row r="151" ht="12" customHeight="1"/>
    <row r="152" ht="12" customHeight="1"/>
    <row r="153" ht="12" customHeight="1"/>
    <row r="154" ht="12" customHeight="1"/>
    <row r="155" ht="12" customHeight="1"/>
    <row r="156" ht="12" customHeight="1"/>
    <row r="157" ht="12" customHeight="1"/>
    <row r="158" ht="12" customHeight="1"/>
    <row r="159" ht="12" customHeight="1"/>
    <row r="160" ht="12" customHeight="1"/>
    <row r="161" ht="12" customHeight="1"/>
    <row r="162" ht="12" customHeight="1"/>
    <row r="163" ht="12" customHeight="1"/>
    <row r="164" ht="12" customHeight="1"/>
    <row r="165" ht="12" customHeight="1"/>
    <row r="166" ht="12" customHeight="1"/>
    <row r="167" ht="12" customHeight="1"/>
    <row r="168" ht="12" customHeight="1"/>
  </sheetData>
  <mergeCells count="15">
    <mergeCell ref="D15:E15"/>
    <mergeCell ref="H15:I15"/>
    <mergeCell ref="D11:E11"/>
    <mergeCell ref="D12:E12"/>
    <mergeCell ref="D1:E1"/>
    <mergeCell ref="D4:E4"/>
    <mergeCell ref="D10:E10"/>
    <mergeCell ref="H10:I10"/>
    <mergeCell ref="D7:E7"/>
    <mergeCell ref="H7:I7"/>
    <mergeCell ref="D8:E8"/>
    <mergeCell ref="H4:I4"/>
    <mergeCell ref="D5:E5"/>
    <mergeCell ref="D6:E6"/>
    <mergeCell ref="D9:E9"/>
  </mergeCells>
  <conditionalFormatting sqref="M5:M6">
    <cfRule type="cellIs" dxfId="448" priority="1" stopIfTrue="1" operator="lessThanOrEqual">
      <formula>$L5</formula>
    </cfRule>
    <cfRule type="cellIs" dxfId="447" priority="2" operator="greaterThan">
      <formula>L5</formula>
    </cfRule>
  </conditionalFormatting>
  <conditionalFormatting sqref="M11:M14 M8:M9">
    <cfRule type="cellIs" dxfId="446" priority="3" stopIfTrue="1" operator="lessThanOrEqual">
      <formula>$L8</formula>
    </cfRule>
    <cfRule type="cellIs" dxfId="445" priority="4" operator="greaterThan">
      <formula>L8</formula>
    </cfRule>
  </conditionalFormatting>
  <pageMargins left="0.7" right="0.7" top="0.75" bottom="0.75" header="0.3" footer="0.3"/>
  <pageSetup paperSize="3" fitToHeight="0" orientation="landscape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60CCFBC-CBBF-4196-8FB0-4C21A8FF1C6A}">
          <x14:formula1>
            <xm:f>Purchased!$A:$A</xm:f>
          </x14:formula1>
          <xm:sqref>C8:C9</xm:sqref>
        </x14:dataValidation>
        <x14:dataValidation type="list" allowBlank="1" showInputMessage="1" showErrorMessage="1" xr:uid="{865D4B61-2FF4-472C-AB76-5DF9FA4CE1BA}">
          <x14:formula1>
            <xm:f>Machined!$C:$C</xm:f>
          </x14:formula1>
          <xm:sqref>C5:C6</xm:sqref>
        </x14:dataValidation>
      </x14:dataValidation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F4426E-BB04-4539-9212-C4C55B101F52}">
  <sheetPr codeName="Sheet53">
    <tabColor theme="3" tint="0.59999389629810485"/>
    <pageSetUpPr fitToPage="1"/>
  </sheetPr>
  <dimension ref="A1:R213"/>
  <sheetViews>
    <sheetView zoomScaleNormal="100" workbookViewId="0">
      <selection activeCell="B32" sqref="B32:C33"/>
    </sheetView>
  </sheetViews>
  <sheetFormatPr defaultColWidth="9.140625" defaultRowHeight="15"/>
  <cols>
    <col min="1" max="1" width="5.7109375" customWidth="1"/>
    <col min="2" max="2" width="5.42578125" bestFit="1" customWidth="1"/>
    <col min="3" max="3" width="30.7109375" customWidth="1"/>
    <col min="4" max="5" width="20.7109375" style="23" customWidth="1"/>
    <col min="6" max="6" width="16.85546875" bestFit="1" customWidth="1"/>
    <col min="7" max="7" width="9.7109375" customWidth="1"/>
    <col min="8" max="8" width="8.7109375" customWidth="1"/>
    <col min="9" max="9" width="20.7109375" customWidth="1"/>
    <col min="10" max="13" width="11.7109375" style="19" customWidth="1"/>
    <col min="14" max="14" width="11.85546875" style="19" bestFit="1" customWidth="1"/>
    <col min="15" max="15" width="7.7109375" style="19" customWidth="1"/>
    <col min="16" max="16" width="10.7109375" style="90" customWidth="1"/>
    <col min="17" max="17" width="10.7109375" style="97" customWidth="1"/>
  </cols>
  <sheetData>
    <row r="1" spans="1:18" s="55" customFormat="1" ht="12" customHeight="1">
      <c r="A1" s="68" t="s">
        <v>0</v>
      </c>
      <c r="B1" s="69"/>
      <c r="C1" s="69"/>
      <c r="D1" s="262" t="s">
        <v>1</v>
      </c>
      <c r="E1" s="263"/>
      <c r="F1" s="70"/>
      <c r="G1" s="69"/>
      <c r="H1" s="70"/>
      <c r="I1" s="71"/>
      <c r="J1" s="72"/>
      <c r="K1" s="72"/>
      <c r="L1" s="72"/>
      <c r="M1" s="72"/>
      <c r="N1" s="72"/>
      <c r="O1" s="72"/>
      <c r="P1" s="85"/>
      <c r="Q1" s="91"/>
    </row>
    <row r="2" spans="1:18" s="55" customFormat="1" ht="12" customHeight="1">
      <c r="A2" s="74" t="s">
        <v>48</v>
      </c>
      <c r="B2" s="58"/>
      <c r="C2" s="57" t="e">
        <f ca="1">VLOOKUP(E3,Assemblies!B:F,4,0)</f>
        <v>#VALUE!</v>
      </c>
      <c r="D2" s="75" t="s">
        <v>3</v>
      </c>
      <c r="E2" s="76" t="e">
        <f ca="1">'GF12'!E2</f>
        <v>#VALUE!</v>
      </c>
      <c r="F2" s="77" t="s">
        <v>4</v>
      </c>
      <c r="G2" s="58" t="str">
        <f>'GF12'!G2</f>
        <v>GH</v>
      </c>
      <c r="H2" s="77" t="s">
        <v>6</v>
      </c>
      <c r="I2" s="59">
        <f>'GF12'!I2</f>
        <v>44775</v>
      </c>
      <c r="J2" s="39"/>
      <c r="K2" s="40" t="s">
        <v>49</v>
      </c>
      <c r="L2" s="41" t="e">
        <f ca="1">VLOOKUP(C2,Assemblies!E:G,3,0)</f>
        <v>#VALUE!</v>
      </c>
      <c r="M2" s="78"/>
      <c r="N2" s="78"/>
      <c r="O2" s="78"/>
      <c r="P2" s="86"/>
      <c r="Q2" s="92"/>
    </row>
    <row r="3" spans="1:18" s="55" customFormat="1" ht="12" customHeight="1" thickBot="1">
      <c r="A3" s="74" t="s">
        <v>7</v>
      </c>
      <c r="B3" s="58"/>
      <c r="C3" s="57" t="e">
        <f ca="1">VLOOKUP(E3,Assemblies!B:F,5,0)</f>
        <v>#VALUE!</v>
      </c>
      <c r="D3" s="75" t="s">
        <v>50</v>
      </c>
      <c r="E3" s="76" t="e">
        <f ca="1">MID(CELL("filename",A1),FIND("]",CELL("filename",A1))+1,256)</f>
        <v>#VALUE!</v>
      </c>
      <c r="F3" s="77" t="s">
        <v>11</v>
      </c>
      <c r="G3" s="58" t="str">
        <f>'GF12'!G3</f>
        <v>GH</v>
      </c>
      <c r="H3" s="77" t="s">
        <v>6</v>
      </c>
      <c r="I3" s="59">
        <f>'GF12'!I3</f>
        <v>44775</v>
      </c>
      <c r="J3" s="78"/>
      <c r="K3" s="78"/>
      <c r="L3" s="78"/>
      <c r="M3" s="78"/>
      <c r="N3" s="78"/>
      <c r="O3" s="78"/>
      <c r="P3" s="86"/>
      <c r="Q3" s="92"/>
    </row>
    <row r="4" spans="1:18" s="56" customFormat="1" ht="12.75" customHeight="1" thickBot="1">
      <c r="A4" s="80" t="s">
        <v>12</v>
      </c>
      <c r="B4" s="81" t="s">
        <v>13</v>
      </c>
      <c r="C4" s="81" t="s">
        <v>14</v>
      </c>
      <c r="D4" s="270" t="s">
        <v>15</v>
      </c>
      <c r="E4" s="271"/>
      <c r="F4" s="104" t="s">
        <v>16</v>
      </c>
      <c r="G4" s="81" t="s">
        <v>17</v>
      </c>
      <c r="H4" s="260" t="s">
        <v>18</v>
      </c>
      <c r="I4" s="261"/>
      <c r="J4" s="81" t="s">
        <v>51</v>
      </c>
      <c r="K4" s="81" t="s">
        <v>20</v>
      </c>
      <c r="L4" s="81" t="s">
        <v>21</v>
      </c>
      <c r="M4" s="81" t="s">
        <v>52</v>
      </c>
      <c r="N4" s="81" t="s">
        <v>22</v>
      </c>
      <c r="O4" s="81" t="s">
        <v>53</v>
      </c>
      <c r="P4" s="107" t="s">
        <v>26</v>
      </c>
      <c r="Q4" s="82" t="s">
        <v>27</v>
      </c>
    </row>
    <row r="5" spans="1:18" s="21" customFormat="1" ht="12.75" customHeight="1">
      <c r="A5" s="66" t="s">
        <v>54</v>
      </c>
      <c r="B5" s="1">
        <v>1</v>
      </c>
      <c r="C5" s="67" t="s">
        <v>670</v>
      </c>
      <c r="D5" s="277" t="e">
        <f ca="1">VLOOKUP(C5,Assemblies!E:S,2,0)</f>
        <v>#N/A</v>
      </c>
      <c r="E5" s="278"/>
      <c r="F5" s="32"/>
      <c r="G5" s="32"/>
      <c r="H5" s="292"/>
      <c r="I5" s="293"/>
      <c r="J5" s="28"/>
      <c r="K5" s="28"/>
      <c r="L5" s="28"/>
      <c r="M5" s="28"/>
      <c r="N5" s="33"/>
      <c r="O5" s="46" t="e">
        <f t="shared" ref="O5:O7" ca="1" si="0">B5*$L$2</f>
        <v>#VALUE!</v>
      </c>
      <c r="P5" s="87">
        <f>'231'!Q6</f>
        <v>1977.23</v>
      </c>
      <c r="Q5" s="93">
        <f t="shared" ref="Q5:Q7" si="1">B5*P5</f>
        <v>1977.23</v>
      </c>
    </row>
    <row r="6" spans="1:18" s="21" customFormat="1" ht="12.75" customHeight="1">
      <c r="A6" s="66" t="s">
        <v>56</v>
      </c>
      <c r="B6" s="1">
        <v>1</v>
      </c>
      <c r="C6" s="67" t="s">
        <v>387</v>
      </c>
      <c r="D6" s="277" t="e">
        <f ca="1">VLOOKUP(C6,Assemblies!E:S,2,0)</f>
        <v>#N/A</v>
      </c>
      <c r="E6" s="278"/>
      <c r="F6" s="32"/>
      <c r="G6" s="32"/>
      <c r="H6" s="292"/>
      <c r="I6" s="293"/>
      <c r="J6" s="28"/>
      <c r="K6" s="28"/>
      <c r="L6" s="28"/>
      <c r="M6" s="28"/>
      <c r="N6" s="33"/>
      <c r="O6" s="46" t="e">
        <f t="shared" ca="1" si="0"/>
        <v>#VALUE!</v>
      </c>
      <c r="P6" s="87">
        <f>'132'!Q10</f>
        <v>1878.37</v>
      </c>
      <c r="Q6" s="93">
        <f t="shared" si="1"/>
        <v>1878.37</v>
      </c>
    </row>
    <row r="7" spans="1:18" s="21" customFormat="1" ht="12.75" customHeight="1">
      <c r="A7" s="66" t="s">
        <v>58</v>
      </c>
      <c r="B7" s="1">
        <v>1</v>
      </c>
      <c r="C7" s="67" t="s">
        <v>388</v>
      </c>
      <c r="D7" s="277" t="e">
        <f ca="1">VLOOKUP(C7,Assemblies!E:S,2,0)</f>
        <v>#N/A</v>
      </c>
      <c r="E7" s="278"/>
      <c r="F7" s="32"/>
      <c r="G7" s="32"/>
      <c r="H7" s="292"/>
      <c r="I7" s="293"/>
      <c r="J7" s="28"/>
      <c r="K7" s="28"/>
      <c r="L7" s="28"/>
      <c r="M7" s="28"/>
      <c r="N7" s="33"/>
      <c r="O7" s="46" t="e">
        <f t="shared" ca="1" si="0"/>
        <v>#VALUE!</v>
      </c>
      <c r="P7" s="87">
        <f>'133'!Q19</f>
        <v>6733.1970000000001</v>
      </c>
      <c r="Q7" s="93">
        <f t="shared" si="1"/>
        <v>6733.1970000000001</v>
      </c>
    </row>
    <row r="8" spans="1:18" s="21" customFormat="1" ht="12.75" customHeight="1">
      <c r="A8" s="66" t="s">
        <v>60</v>
      </c>
      <c r="B8" s="1">
        <v>1</v>
      </c>
      <c r="C8" s="67" t="s">
        <v>389</v>
      </c>
      <c r="D8" s="182" t="e">
        <f ca="1">VLOOKUP(C8,Assemblies!E:S,2,0)</f>
        <v>#N/A</v>
      </c>
      <c r="E8" s="183"/>
      <c r="F8" s="32"/>
      <c r="G8" s="32"/>
      <c r="H8" s="32"/>
      <c r="I8" s="179"/>
      <c r="J8" s="28"/>
      <c r="K8" s="28"/>
      <c r="L8" s="28"/>
      <c r="M8" s="28"/>
      <c r="N8" s="33"/>
      <c r="O8" s="46" t="e">
        <f t="shared" ref="O8" ca="1" si="2">B8*$L$2</f>
        <v>#VALUE!</v>
      </c>
      <c r="P8" s="87">
        <f>'133'!Q20</f>
        <v>0</v>
      </c>
      <c r="Q8" s="93">
        <f t="shared" ref="Q8" si="3">B8*P8</f>
        <v>0</v>
      </c>
    </row>
    <row r="9" spans="1:18" s="21" customFormat="1" ht="12.75" customHeight="1">
      <c r="A9" s="25"/>
      <c r="B9" s="26"/>
      <c r="C9" s="26"/>
      <c r="D9" s="272"/>
      <c r="E9" s="273"/>
      <c r="F9" s="26"/>
      <c r="G9" s="26"/>
      <c r="H9" s="274"/>
      <c r="I9" s="275"/>
      <c r="J9" s="27"/>
      <c r="K9" s="27"/>
      <c r="L9" s="27"/>
      <c r="M9" s="28"/>
      <c r="N9" s="29"/>
      <c r="O9" s="29"/>
      <c r="P9" s="141"/>
      <c r="Q9" s="142"/>
      <c r="R9" s="20"/>
    </row>
    <row r="10" spans="1:18" s="2" customFormat="1" ht="12.75" customHeight="1">
      <c r="A10" s="127">
        <v>1</v>
      </c>
      <c r="B10" s="21">
        <v>2</v>
      </c>
      <c r="C10" s="108" t="s">
        <v>671</v>
      </c>
      <c r="D10" s="277" t="str">
        <f>VLOOKUP(C10,Machined!C:Q,2,0)</f>
        <v>NIP SIDE PLATE</v>
      </c>
      <c r="E10" s="278"/>
      <c r="F10" s="131" t="str">
        <f>VLOOKUP(C10,Machined!C:R,7,0)</f>
        <v>MIC 6</v>
      </c>
      <c r="G10" s="131" t="str">
        <f>VLOOKUP(C10,Machined!C:R,10,0)</f>
        <v>BEMOX</v>
      </c>
      <c r="H10" s="131" t="str">
        <f>VLOOKUP(C10,Machined!C:R,11,0)</f>
        <v xml:space="preserve">  </v>
      </c>
      <c r="I10" s="131"/>
      <c r="J10" s="42">
        <f>VLOOKUP(C10,Machined!C:R,12,0)</f>
        <v>45142</v>
      </c>
      <c r="K10" s="42">
        <f>VLOOKUP(C10,Machined!C:R,13,0)</f>
        <v>45146</v>
      </c>
      <c r="L10" s="42">
        <f>VLOOKUP(C10,Machined!C:R,14,0)</f>
        <v>45170</v>
      </c>
      <c r="M10" s="42">
        <f>VLOOKUP(C10,Machined!C:R,15,0)</f>
        <v>45170</v>
      </c>
      <c r="N10" s="43">
        <f>VLOOKUP(C10,Machined!C:R,16,0)</f>
        <v>55041</v>
      </c>
      <c r="O10" s="43" t="e">
        <f t="shared" ref="O10:O20" ca="1" si="4">B10*$L$2</f>
        <v>#VALUE!</v>
      </c>
      <c r="P10" s="47">
        <f>IFERROR(VLOOKUP(C10,Machined!C:F,3,0),"")</f>
        <v>356.75</v>
      </c>
      <c r="Q10" s="48">
        <f t="shared" ref="Q10:Q20" si="5">IFERROR(B10*P10,"")</f>
        <v>713.5</v>
      </c>
    </row>
    <row r="11" spans="1:18" s="2" customFormat="1" ht="12.75" customHeight="1">
      <c r="A11" s="127">
        <v>2</v>
      </c>
      <c r="B11" s="21">
        <v>2</v>
      </c>
      <c r="C11" s="108" t="s">
        <v>391</v>
      </c>
      <c r="D11" s="277" t="str">
        <f>VLOOKUP(C11,Machined!C:Q,2,0)</f>
        <v>Nip Support Bar</v>
      </c>
      <c r="E11" s="278"/>
      <c r="F11" s="131" t="str">
        <f>VLOOKUP(C11,Machined!C:R,7,0)</f>
        <v>6061-T6 Alum</v>
      </c>
      <c r="G11" s="131" t="str">
        <f>VLOOKUP(C11,Machined!C:R,10,0)</f>
        <v>BEMOX</v>
      </c>
      <c r="H11" s="131" t="str">
        <f>VLOOKUP(C11,Machined!C:R,11,0)</f>
        <v xml:space="preserve">  </v>
      </c>
      <c r="I11" s="131"/>
      <c r="J11" s="42">
        <f>VLOOKUP(C11,Machined!C:R,12,0)</f>
        <v>45142</v>
      </c>
      <c r="K11" s="42">
        <f>VLOOKUP(C11,Machined!C:R,13,0)</f>
        <v>45146</v>
      </c>
      <c r="L11" s="42">
        <f>VLOOKUP(C11,Machined!C:R,14,0)</f>
        <v>45170</v>
      </c>
      <c r="M11" s="42">
        <f>VLOOKUP(C11,Machined!C:R,15,0)</f>
        <v>45170</v>
      </c>
      <c r="N11" s="43">
        <f>VLOOKUP(C11,Machined!C:R,16,0)</f>
        <v>55041</v>
      </c>
      <c r="O11" s="43" t="e">
        <f t="shared" ca="1" si="4"/>
        <v>#VALUE!</v>
      </c>
      <c r="P11" s="47">
        <f>IFERROR(VLOOKUP(C11,Machined!C:F,3,0),"")</f>
        <v>147.30000000000001</v>
      </c>
      <c r="Q11" s="48">
        <f t="shared" si="5"/>
        <v>294.60000000000002</v>
      </c>
    </row>
    <row r="12" spans="1:18" s="2" customFormat="1" ht="12.75" customHeight="1">
      <c r="A12" s="127">
        <v>3</v>
      </c>
      <c r="B12" s="21">
        <v>2</v>
      </c>
      <c r="C12" s="108" t="s">
        <v>392</v>
      </c>
      <c r="D12" s="277" t="str">
        <f>VLOOKUP(C12,Machined!C:Q,2,0)</f>
        <v>Drive Bearing Base</v>
      </c>
      <c r="E12" s="278"/>
      <c r="F12" s="131" t="str">
        <f>VLOOKUP(C12,Machined!C:R,7,0)</f>
        <v>6061-T6 Alum</v>
      </c>
      <c r="G12" s="131" t="str">
        <f>VLOOKUP(C12,Machined!C:R,10,0)</f>
        <v>FRONTIER</v>
      </c>
      <c r="H12" s="131" t="str">
        <f>VLOOKUP(C12,Machined!C:R,11,0)</f>
        <v xml:space="preserve">  </v>
      </c>
      <c r="I12" s="131"/>
      <c r="J12" s="42">
        <f>VLOOKUP(C12,Machined!C:R,12,0)</f>
        <v>45139</v>
      </c>
      <c r="K12" s="42">
        <f>VLOOKUP(C12,Machined!C:R,13,0)</f>
        <v>45140</v>
      </c>
      <c r="L12" s="42">
        <f>VLOOKUP(C12,Machined!C:R,14,0)</f>
        <v>45170</v>
      </c>
      <c r="M12" s="42">
        <f>VLOOKUP(C12,Machined!C:R,15,0)</f>
        <v>45170</v>
      </c>
      <c r="N12" s="43">
        <f>VLOOKUP(C12,Machined!C:R,16,0)</f>
        <v>55025</v>
      </c>
      <c r="O12" s="43" t="e">
        <f t="shared" ca="1" si="4"/>
        <v>#VALUE!</v>
      </c>
      <c r="P12" s="47">
        <f>IFERROR(VLOOKUP(C12,Machined!C:F,3,0),"")</f>
        <v>0</v>
      </c>
      <c r="Q12" s="48">
        <f t="shared" si="5"/>
        <v>0</v>
      </c>
    </row>
    <row r="13" spans="1:18" s="2" customFormat="1" ht="12.75" customHeight="1">
      <c r="A13" s="127">
        <v>4</v>
      </c>
      <c r="B13" s="21">
        <v>2</v>
      </c>
      <c r="C13" s="108" t="s">
        <v>393</v>
      </c>
      <c r="D13" s="277" t="str">
        <f>VLOOKUP(C13,Machined!C:Q,2,0)</f>
        <v>Drive Bearing Cap</v>
      </c>
      <c r="E13" s="278"/>
      <c r="F13" s="131" t="str">
        <f>VLOOKUP(C13,Machined!C:R,7,0)</f>
        <v>6061-T6 Alum</v>
      </c>
      <c r="G13" s="131" t="str">
        <f>VLOOKUP(C13,Machined!C:R,10,0)</f>
        <v>FRONTIER</v>
      </c>
      <c r="H13" s="131" t="str">
        <f>VLOOKUP(C13,Machined!C:R,11,0)</f>
        <v xml:space="preserve">  </v>
      </c>
      <c r="I13" s="131"/>
      <c r="J13" s="42">
        <f>VLOOKUP(C13,Machined!C:R,12,0)</f>
        <v>45139</v>
      </c>
      <c r="K13" s="42">
        <f>VLOOKUP(C13,Machined!C:R,13,0)</f>
        <v>45140</v>
      </c>
      <c r="L13" s="42">
        <f>VLOOKUP(C13,Machined!C:R,14,0)</f>
        <v>45170</v>
      </c>
      <c r="M13" s="42">
        <f>VLOOKUP(C13,Machined!C:R,15,0)</f>
        <v>45170</v>
      </c>
      <c r="N13" s="43">
        <f>VLOOKUP(C13,Machined!C:R,16,0)</f>
        <v>55025</v>
      </c>
      <c r="O13" s="43" t="e">
        <f t="shared" ca="1" si="4"/>
        <v>#VALUE!</v>
      </c>
      <c r="P13" s="47">
        <f>IFERROR(VLOOKUP(C13,Machined!C:F,3,0),"")</f>
        <v>0</v>
      </c>
      <c r="Q13" s="48">
        <f t="shared" si="5"/>
        <v>0</v>
      </c>
    </row>
    <row r="14" spans="1:18" s="2" customFormat="1" ht="12.75" customHeight="1">
      <c r="A14" s="127">
        <v>5</v>
      </c>
      <c r="B14" s="21">
        <v>2</v>
      </c>
      <c r="C14" s="108" t="s">
        <v>672</v>
      </c>
      <c r="D14" s="277" t="str">
        <f>VLOOKUP(C14,Machined!C:Q,2,0)</f>
        <v>Idler Bearing Mount</v>
      </c>
      <c r="E14" s="278"/>
      <c r="F14" s="131" t="str">
        <f>VLOOKUP(C14,Machined!C:R,7,0)</f>
        <v>1018 CRS</v>
      </c>
      <c r="G14" s="131" t="str">
        <f>VLOOKUP(C14,Machined!C:R,10,0)</f>
        <v>FRONTIER</v>
      </c>
      <c r="H14" s="131" t="str">
        <f>VLOOKUP(C14,Machined!C:R,11,0)</f>
        <v xml:space="preserve">NMODIFIED BY NULINE FROM 130.05.A BY FRONTIER </v>
      </c>
      <c r="I14" s="131"/>
      <c r="J14" s="42" t="str">
        <f>VLOOKUP(C14,Machined!C:R,12,0)</f>
        <v>N/A</v>
      </c>
      <c r="K14" s="42" t="str">
        <f>VLOOKUP(C14,Machined!C:R,13,0)</f>
        <v>N/A</v>
      </c>
      <c r="L14" s="42" t="str">
        <f>VLOOKUP(C14,Machined!C:R,14,0)</f>
        <v>N/A</v>
      </c>
      <c r="M14" s="42" t="str">
        <f>VLOOKUP(C14,Machined!C:R,15,0)</f>
        <v>N/A</v>
      </c>
      <c r="N14" s="43">
        <f>VLOOKUP(C14,Machined!C:R,16,0)</f>
        <v>55025</v>
      </c>
      <c r="O14" s="43" t="e">
        <f t="shared" ca="1" si="4"/>
        <v>#VALUE!</v>
      </c>
      <c r="P14" s="47">
        <f>IFERROR(VLOOKUP(C14,Machined!C:F,3,0),"")</f>
        <v>0</v>
      </c>
      <c r="Q14" s="48">
        <f t="shared" si="5"/>
        <v>0</v>
      </c>
    </row>
    <row r="15" spans="1:18" s="2" customFormat="1" ht="12.75" customHeight="1">
      <c r="A15" s="127">
        <v>6</v>
      </c>
      <c r="B15" s="21">
        <v>2</v>
      </c>
      <c r="C15" s="108" t="s">
        <v>395</v>
      </c>
      <c r="D15" s="277" t="str">
        <f>VLOOKUP(C15,Machined!C:Q,2,0)</f>
        <v>Cylinder Mount Plate</v>
      </c>
      <c r="E15" s="278"/>
      <c r="F15" s="131" t="str">
        <f>VLOOKUP(C15,Machined!C:R,7,0)</f>
        <v>1018 CRS</v>
      </c>
      <c r="G15" s="131" t="str">
        <f>VLOOKUP(C15,Machined!C:R,10,0)</f>
        <v>FRONTIER</v>
      </c>
      <c r="H15" s="131" t="str">
        <f>VLOOKUP(C15,Machined!C:R,11,0)</f>
        <v xml:space="preserve">  </v>
      </c>
      <c r="I15" s="131"/>
      <c r="J15" s="42">
        <f>VLOOKUP(C15,Machined!C:R,12,0)</f>
        <v>45139</v>
      </c>
      <c r="K15" s="42">
        <f>VLOOKUP(C15,Machined!C:R,13,0)</f>
        <v>45140</v>
      </c>
      <c r="L15" s="42">
        <f>VLOOKUP(C15,Machined!C:R,14,0)</f>
        <v>45170</v>
      </c>
      <c r="M15" s="42">
        <f>VLOOKUP(C15,Machined!C:R,15,0)</f>
        <v>45170</v>
      </c>
      <c r="N15" s="43">
        <f>VLOOKUP(C15,Machined!C:R,16,0)</f>
        <v>55025</v>
      </c>
      <c r="O15" s="43" t="e">
        <f t="shared" ca="1" si="4"/>
        <v>#VALUE!</v>
      </c>
      <c r="P15" s="47">
        <f>IFERROR(VLOOKUP(C15,Machined!C:F,3,0),"")</f>
        <v>0</v>
      </c>
      <c r="Q15" s="48">
        <f t="shared" si="5"/>
        <v>0</v>
      </c>
    </row>
    <row r="16" spans="1:18" s="2" customFormat="1" ht="12.75" customHeight="1">
      <c r="A16" s="127">
        <v>7</v>
      </c>
      <c r="B16" s="21">
        <v>1</v>
      </c>
      <c r="C16" s="108" t="s">
        <v>396</v>
      </c>
      <c r="D16" s="277" t="str">
        <f>VLOOKUP(C16,Machined!C:Q,2,0)</f>
        <v>Lower Nip Support Strut</v>
      </c>
      <c r="E16" s="278"/>
      <c r="F16" s="131" t="str">
        <f>VLOOKUP(C16,Machined!C:R,7,0)</f>
        <v>6061-T6 Alum</v>
      </c>
      <c r="G16" s="131" t="str">
        <f>VLOOKUP(C16,Machined!C:R,10,0)</f>
        <v>BEMOX</v>
      </c>
      <c r="H16" s="131" t="str">
        <f>VLOOKUP(C16,Machined!C:R,11,0)</f>
        <v xml:space="preserve">  </v>
      </c>
      <c r="I16" s="131"/>
      <c r="J16" s="42">
        <f>VLOOKUP(C16,Machined!C:R,12,0)</f>
        <v>45142</v>
      </c>
      <c r="K16" s="42">
        <f>VLOOKUP(C16,Machined!C:R,13,0)</f>
        <v>45146</v>
      </c>
      <c r="L16" s="42">
        <f>VLOOKUP(C16,Machined!C:R,14,0)</f>
        <v>45170</v>
      </c>
      <c r="M16" s="42">
        <f>VLOOKUP(C16,Machined!C:R,15,0)</f>
        <v>45170</v>
      </c>
      <c r="N16" s="43">
        <f>VLOOKUP(C16,Machined!C:R,16,0)</f>
        <v>55041</v>
      </c>
      <c r="O16" s="43" t="e">
        <f t="shared" ca="1" si="4"/>
        <v>#VALUE!</v>
      </c>
      <c r="P16" s="47">
        <f>IFERROR(VLOOKUP(C16,Machined!C:F,3,0),"")</f>
        <v>369.8</v>
      </c>
      <c r="Q16" s="48">
        <f t="shared" si="5"/>
        <v>369.8</v>
      </c>
    </row>
    <row r="17" spans="1:17" s="2" customFormat="1" ht="12.75" customHeight="1">
      <c r="A17" s="127">
        <v>8</v>
      </c>
      <c r="B17" s="21">
        <v>2</v>
      </c>
      <c r="C17" s="108" t="s">
        <v>397</v>
      </c>
      <c r="D17" s="277" t="str">
        <f>VLOOKUP(C17,Machined!C:Q,2,0)</f>
        <v>Nip Adjustment Block</v>
      </c>
      <c r="E17" s="278"/>
      <c r="F17" s="131" t="str">
        <f>VLOOKUP(C17,Machined!C:R,7,0)</f>
        <v>6061-T6 Alum</v>
      </c>
      <c r="G17" s="131" t="str">
        <f>VLOOKUP(C17,Machined!C:R,10,0)</f>
        <v>FRONTIER</v>
      </c>
      <c r="H17" s="131" t="str">
        <f>VLOOKUP(C17,Machined!C:R,11,0)</f>
        <v xml:space="preserve">  </v>
      </c>
      <c r="I17" s="131"/>
      <c r="J17" s="42">
        <f>VLOOKUP(C17,Machined!C:R,12,0)</f>
        <v>45139</v>
      </c>
      <c r="K17" s="42">
        <f>VLOOKUP(C17,Machined!C:R,13,0)</f>
        <v>45140</v>
      </c>
      <c r="L17" s="42">
        <f>VLOOKUP(C17,Machined!C:R,14,0)</f>
        <v>45170</v>
      </c>
      <c r="M17" s="42">
        <f>VLOOKUP(C17,Machined!C:R,15,0)</f>
        <v>45170</v>
      </c>
      <c r="N17" s="43">
        <f>VLOOKUP(C17,Machined!C:R,16,0)</f>
        <v>55025</v>
      </c>
      <c r="O17" s="43" t="e">
        <f t="shared" ca="1" si="4"/>
        <v>#VALUE!</v>
      </c>
      <c r="P17" s="47">
        <f>IFERROR(VLOOKUP(C17,Machined!C:F,3,0),"")</f>
        <v>0</v>
      </c>
      <c r="Q17" s="48">
        <f t="shared" si="5"/>
        <v>0</v>
      </c>
    </row>
    <row r="18" spans="1:17" s="2" customFormat="1" ht="12.75" customHeight="1">
      <c r="A18" s="127">
        <v>9</v>
      </c>
      <c r="B18" s="21">
        <v>2</v>
      </c>
      <c r="C18" s="108" t="s">
        <v>398</v>
      </c>
      <c r="D18" s="277" t="str">
        <f>VLOOKUP(C18,Machined!C:Q,2,0)</f>
        <v>Nip Pivot Block</v>
      </c>
      <c r="E18" s="278"/>
      <c r="F18" s="131" t="str">
        <f>VLOOKUP(C18,Machined!C:R,7,0)</f>
        <v>6061-T6 Alum</v>
      </c>
      <c r="G18" s="131" t="str">
        <f>VLOOKUP(C18,Machined!C:R,10,0)</f>
        <v>FRONTIER</v>
      </c>
      <c r="H18" s="131" t="str">
        <f>VLOOKUP(C18,Machined!C:R,11,0)</f>
        <v xml:space="preserve">  </v>
      </c>
      <c r="I18" s="131"/>
      <c r="J18" s="42">
        <f>VLOOKUP(C18,Machined!C:R,12,0)</f>
        <v>45139</v>
      </c>
      <c r="K18" s="42">
        <f>VLOOKUP(C18,Machined!C:R,13,0)</f>
        <v>45140</v>
      </c>
      <c r="L18" s="42">
        <f>VLOOKUP(C18,Machined!C:R,14,0)</f>
        <v>45170</v>
      </c>
      <c r="M18" s="42">
        <f>VLOOKUP(C18,Machined!C:R,15,0)</f>
        <v>45170</v>
      </c>
      <c r="N18" s="43">
        <f>VLOOKUP(C18,Machined!C:R,16,0)</f>
        <v>55025</v>
      </c>
      <c r="O18" s="43" t="e">
        <f t="shared" ca="1" si="4"/>
        <v>#VALUE!</v>
      </c>
      <c r="P18" s="47">
        <f>IFERROR(VLOOKUP(C18,Machined!C:F,3,0),"")</f>
        <v>0</v>
      </c>
      <c r="Q18" s="48">
        <f t="shared" si="5"/>
        <v>0</v>
      </c>
    </row>
    <row r="19" spans="1:17" s="2" customFormat="1" ht="12.75" customHeight="1">
      <c r="A19" s="127">
        <v>10</v>
      </c>
      <c r="B19" s="21">
        <v>2</v>
      </c>
      <c r="C19" s="108" t="s">
        <v>399</v>
      </c>
      <c r="D19" s="277" t="str">
        <f>VLOOKUP(C19,Machined!C:Q,2,0)</f>
        <v>Adj Side Frame Mount</v>
      </c>
      <c r="E19" s="278"/>
      <c r="F19" s="131" t="str">
        <f>VLOOKUP(C19,Machined!C:R,7,0)</f>
        <v>6061-T6 Alum</v>
      </c>
      <c r="G19" s="131" t="str">
        <f>VLOOKUP(C19,Machined!C:R,10,0)</f>
        <v>FRONTIER</v>
      </c>
      <c r="H19" s="131" t="str">
        <f>VLOOKUP(C19,Machined!C:R,11,0)</f>
        <v xml:space="preserve">  </v>
      </c>
      <c r="I19" s="131"/>
      <c r="J19" s="42">
        <f>VLOOKUP(C19,Machined!C:R,12,0)</f>
        <v>45139</v>
      </c>
      <c r="K19" s="42">
        <f>VLOOKUP(C19,Machined!C:R,13,0)</f>
        <v>45140</v>
      </c>
      <c r="L19" s="42">
        <f>VLOOKUP(C19,Machined!C:R,14,0)</f>
        <v>45170</v>
      </c>
      <c r="M19" s="42">
        <f>VLOOKUP(C19,Machined!C:R,15,0)</f>
        <v>45170</v>
      </c>
      <c r="N19" s="43">
        <f>VLOOKUP(C19,Machined!C:R,16,0)</f>
        <v>55025</v>
      </c>
      <c r="O19" s="43" t="e">
        <f t="shared" ca="1" si="4"/>
        <v>#VALUE!</v>
      </c>
      <c r="P19" s="47">
        <f>IFERROR(VLOOKUP(C19,Machined!C:F,3,0),"")</f>
        <v>0</v>
      </c>
      <c r="Q19" s="48">
        <f t="shared" si="5"/>
        <v>0</v>
      </c>
    </row>
    <row r="20" spans="1:17" s="2" customFormat="1" ht="12.75" customHeight="1">
      <c r="A20" s="127">
        <f t="shared" ref="A20" si="6">A19+1</f>
        <v>11</v>
      </c>
      <c r="B20" s="21">
        <v>2</v>
      </c>
      <c r="C20" s="108" t="s">
        <v>400</v>
      </c>
      <c r="D20" s="277" t="str">
        <f>VLOOKUP(C20,Machined!C:Q,2,0)</f>
        <v>Pivot Side Frame Mount</v>
      </c>
      <c r="E20" s="278"/>
      <c r="F20" s="131" t="str">
        <f>VLOOKUP(C20,Machined!C:R,7,0)</f>
        <v>6061-T6 Alum</v>
      </c>
      <c r="G20" s="131" t="str">
        <f>VLOOKUP(C20,Machined!C:R,10,0)</f>
        <v>FRONTIER</v>
      </c>
      <c r="H20" s="131" t="str">
        <f>VLOOKUP(C20,Machined!C:R,11,0)</f>
        <v xml:space="preserve">  </v>
      </c>
      <c r="I20" s="131"/>
      <c r="J20" s="42">
        <f>VLOOKUP(C20,Machined!C:R,12,0)</f>
        <v>45139</v>
      </c>
      <c r="K20" s="42">
        <f>VLOOKUP(C20,Machined!C:R,13,0)</f>
        <v>45140</v>
      </c>
      <c r="L20" s="42">
        <f>VLOOKUP(C20,Machined!C:R,14,0)</f>
        <v>45170</v>
      </c>
      <c r="M20" s="42">
        <f>VLOOKUP(C20,Machined!C:R,15,0)</f>
        <v>45170</v>
      </c>
      <c r="N20" s="43">
        <f>VLOOKUP(C20,Machined!C:R,16,0)</f>
        <v>55025</v>
      </c>
      <c r="O20" s="43" t="e">
        <f t="shared" ca="1" si="4"/>
        <v>#VALUE!</v>
      </c>
      <c r="P20" s="47">
        <f>IFERROR(VLOOKUP(C20,Machined!C:F,3,0),"")</f>
        <v>0</v>
      </c>
      <c r="Q20" s="48">
        <f t="shared" si="5"/>
        <v>0</v>
      </c>
    </row>
    <row r="21" spans="1:17" s="2" customFormat="1" ht="12.75" customHeight="1">
      <c r="A21" s="143"/>
      <c r="B21" s="26"/>
      <c r="C21" s="26"/>
      <c r="D21" s="272"/>
      <c r="E21" s="273"/>
      <c r="F21" s="26"/>
      <c r="G21" s="26"/>
      <c r="H21" s="274"/>
      <c r="I21" s="275"/>
      <c r="J21" s="27"/>
      <c r="K21" s="27"/>
      <c r="L21" s="27"/>
      <c r="M21" s="28"/>
      <c r="N21" s="29"/>
      <c r="O21" s="29"/>
      <c r="P21" s="141"/>
      <c r="Q21" s="142"/>
    </row>
    <row r="22" spans="1:17" s="2" customFormat="1" ht="12.75" customHeight="1">
      <c r="A22" s="4">
        <v>301</v>
      </c>
      <c r="B22" s="2">
        <v>0</v>
      </c>
      <c r="C22" s="114" t="s">
        <v>169</v>
      </c>
      <c r="D22" s="268" t="str">
        <f>VLOOKUP(C22,Purchased!A:B,2,0)</f>
        <v>SMC SS5Y5 D SIDE END PLATE</v>
      </c>
      <c r="E22" s="269"/>
      <c r="F22" s="112" t="str">
        <f>VLOOKUP(C22,Purchased!A:Q,9,0)</f>
        <v>SMC</v>
      </c>
      <c r="G22" s="112" t="str">
        <f>VLOOKUP(C22,Purchased!A:Q,10,0)</f>
        <v>AAP</v>
      </c>
      <c r="H22" s="112" t="str">
        <f>VLOOKUP(C22,Purchased!A:Q,12,0)</f>
        <v xml:space="preserve">  </v>
      </c>
      <c r="I22" s="113"/>
      <c r="J22" s="44" t="str">
        <f>VLOOKUP(C22,Purchased!A:Q,13,0)</f>
        <v>N/A</v>
      </c>
      <c r="K22" s="44">
        <f>VLOOKUP(C22,Purchased!A:Q,14,0)</f>
        <v>45086</v>
      </c>
      <c r="L22" s="44">
        <f>VLOOKUP(C22,Purchased!A:Q,15,0)</f>
        <v>45103</v>
      </c>
      <c r="M22" s="44">
        <f>VLOOKUP(C22,Purchased!A:Q,16,0)</f>
        <v>45103</v>
      </c>
      <c r="N22" s="45">
        <f>VLOOKUP(C22,Purchased!A:Q,17,0)</f>
        <v>54926</v>
      </c>
      <c r="O22" s="45" t="e">
        <f t="shared" ref="O22:O35" ca="1" si="7">B22*$L$2</f>
        <v>#VALUE!</v>
      </c>
      <c r="P22" s="49">
        <f>IFERROR(VLOOKUP(C22,Purchased!A:E,3,FALSE),"")</f>
        <v>49.398800000000001</v>
      </c>
      <c r="Q22" s="50">
        <f t="shared" ref="Q22:Q35" si="8">IFERROR(B22*P22,"")</f>
        <v>0</v>
      </c>
    </row>
    <row r="23" spans="1:17" s="2" customFormat="1" ht="12" customHeight="1">
      <c r="A23" s="4">
        <f t="shared" ref="A23:A46" si="9">A22+1</f>
        <v>302</v>
      </c>
      <c r="B23" s="2">
        <v>0</v>
      </c>
      <c r="C23" s="114" t="s">
        <v>170</v>
      </c>
      <c r="D23" s="268" t="str">
        <f>VLOOKUP(C23,Purchased!A:B,2,0)</f>
        <v>SMC BLOCK ASSY</v>
      </c>
      <c r="E23" s="269"/>
      <c r="F23" s="112" t="str">
        <f>VLOOKUP(C23,Purchased!A:Q,9,0)</f>
        <v>SMC</v>
      </c>
      <c r="G23" s="112" t="str">
        <f>VLOOKUP(C23,Purchased!A:Q,10,0)</f>
        <v>AAP</v>
      </c>
      <c r="H23" s="112" t="str">
        <f>VLOOKUP(C23,Purchased!A:Q,12,0)</f>
        <v xml:space="preserve">  </v>
      </c>
      <c r="I23" s="113"/>
      <c r="J23" s="44" t="str">
        <f>VLOOKUP(C23,Purchased!A:Q,13,0)</f>
        <v>N/A</v>
      </c>
      <c r="K23" s="44">
        <f>VLOOKUP(C23,Purchased!A:Q,14,0)</f>
        <v>45086</v>
      </c>
      <c r="L23" s="44">
        <f>VLOOKUP(C23,Purchased!A:Q,15,0)</f>
        <v>45103</v>
      </c>
      <c r="M23" s="44">
        <f>VLOOKUP(C23,Purchased!A:Q,16,0)</f>
        <v>45103</v>
      </c>
      <c r="N23" s="45">
        <f>VLOOKUP(C23,Purchased!A:Q,17,0)</f>
        <v>54926</v>
      </c>
      <c r="O23" s="45" t="e">
        <f t="shared" ca="1" si="7"/>
        <v>#VALUE!</v>
      </c>
      <c r="P23" s="49">
        <f>IFERROR(VLOOKUP(C23,Purchased!A:E,3,FALSE),"")</f>
        <v>17.9833</v>
      </c>
      <c r="Q23" s="50">
        <f t="shared" si="8"/>
        <v>0</v>
      </c>
    </row>
    <row r="24" spans="1:17" s="2" customFormat="1" ht="12" customHeight="1">
      <c r="A24" s="4">
        <f t="shared" si="9"/>
        <v>303</v>
      </c>
      <c r="B24" s="2">
        <v>0</v>
      </c>
      <c r="C24" s="114" t="s">
        <v>172</v>
      </c>
      <c r="D24" s="268" t="str">
        <f>VLOOKUP(C24,Purchased!A:B,2,0)</f>
        <v>SMC Valve, 5 Port Solenoid</v>
      </c>
      <c r="E24" s="269"/>
      <c r="F24" s="112" t="str">
        <f>VLOOKUP(C24,Purchased!A:Q,9,0)</f>
        <v>SMC</v>
      </c>
      <c r="G24" s="112" t="str">
        <f>VLOOKUP(C24,Purchased!A:Q,10,0)</f>
        <v>AAP</v>
      </c>
      <c r="H24" s="112" t="str">
        <f>VLOOKUP(C24,Purchased!A:Q,12,0)</f>
        <v xml:space="preserve"> </v>
      </c>
      <c r="I24" s="113"/>
      <c r="J24" s="44" t="str">
        <f>VLOOKUP(C24,Purchased!A:Q,13,0)</f>
        <v>N/A</v>
      </c>
      <c r="K24" s="44">
        <f>VLOOKUP(C24,Purchased!A:Q,14,0)</f>
        <v>45086</v>
      </c>
      <c r="L24" s="44">
        <f>VLOOKUP(C24,Purchased!A:Q,15,0)</f>
        <v>45103</v>
      </c>
      <c r="M24" s="44">
        <f>VLOOKUP(C24,Purchased!A:Q,16,0)</f>
        <v>45103</v>
      </c>
      <c r="N24" s="45">
        <f>VLOOKUP(C24,Purchased!A:Q,17,0)</f>
        <v>54926</v>
      </c>
      <c r="O24" s="45" t="e">
        <f t="shared" ca="1" si="7"/>
        <v>#VALUE!</v>
      </c>
      <c r="P24" s="49">
        <f>IFERROR(VLOOKUP(C24,Purchased!A:E,3,FALSE),"")</f>
        <v>83.1798</v>
      </c>
      <c r="Q24" s="50">
        <f t="shared" si="8"/>
        <v>0</v>
      </c>
    </row>
    <row r="25" spans="1:17" s="2" customFormat="1" ht="12" customHeight="1">
      <c r="A25" s="4">
        <f t="shared" si="9"/>
        <v>304</v>
      </c>
      <c r="B25" s="2">
        <v>0</v>
      </c>
      <c r="C25" s="114" t="s">
        <v>402</v>
      </c>
      <c r="D25" s="268" t="str">
        <f>VLOOKUP(C25,Purchased!A:B,2,0)</f>
        <v>SMC BLANKING PLATE ASSY</v>
      </c>
      <c r="E25" s="269"/>
      <c r="F25" s="112" t="str">
        <f>VLOOKUP(C25,Purchased!A:Q,9,0)</f>
        <v>SMC</v>
      </c>
      <c r="G25" s="112" t="str">
        <f>VLOOKUP(C25,Purchased!A:Q,10,0)</f>
        <v>AAP</v>
      </c>
      <c r="H25" s="112" t="str">
        <f>VLOOKUP(C25,Purchased!A:Q,12,0)</f>
        <v xml:space="preserve">  </v>
      </c>
      <c r="I25" s="113"/>
      <c r="J25" s="44" t="str">
        <f>VLOOKUP(C25,Purchased!A:Q,13,0)</f>
        <v>N/A</v>
      </c>
      <c r="K25" s="44">
        <f>VLOOKUP(C25,Purchased!A:Q,14,0)</f>
        <v>45086</v>
      </c>
      <c r="L25" s="44">
        <f>VLOOKUP(C25,Purchased!A:Q,15,0)</f>
        <v>45103</v>
      </c>
      <c r="M25" s="44">
        <f>VLOOKUP(C25,Purchased!A:Q,16,0)</f>
        <v>45103</v>
      </c>
      <c r="N25" s="45">
        <f>VLOOKUP(C25,Purchased!A:Q,17,0)</f>
        <v>54926</v>
      </c>
      <c r="O25" s="45" t="e">
        <f t="shared" ca="1" si="7"/>
        <v>#VALUE!</v>
      </c>
      <c r="P25" s="49">
        <f>IFERROR(VLOOKUP(C25,Purchased!A:E,3,FALSE),"")</f>
        <v>5.6577999999999999</v>
      </c>
      <c r="Q25" s="50">
        <f t="shared" si="8"/>
        <v>0</v>
      </c>
    </row>
    <row r="26" spans="1:17" s="2" customFormat="1" ht="12" customHeight="1">
      <c r="A26" s="4">
        <f t="shared" si="9"/>
        <v>305</v>
      </c>
      <c r="B26" s="2">
        <v>0</v>
      </c>
      <c r="C26" s="114" t="s">
        <v>403</v>
      </c>
      <c r="D26" s="268" t="str">
        <f>VLOOKUP(C26,Purchased!A:B,2,0)</f>
        <v>SMC SS5Y5 U SIDE END PLATE</v>
      </c>
      <c r="E26" s="269"/>
      <c r="F26" s="112" t="str">
        <f>VLOOKUP(C26,Purchased!A:Q,9,0)</f>
        <v>SMC</v>
      </c>
      <c r="G26" s="112" t="str">
        <f>VLOOKUP(C26,Purchased!A:Q,10,0)</f>
        <v>AAP</v>
      </c>
      <c r="H26" s="112" t="str">
        <f>VLOOKUP(C26,Purchased!A:Q,12,0)</f>
        <v xml:space="preserve"> </v>
      </c>
      <c r="I26" s="113"/>
      <c r="J26" s="44" t="str">
        <f>VLOOKUP(C26,Purchased!A:Q,13,0)</f>
        <v>N/A</v>
      </c>
      <c r="K26" s="44">
        <f>VLOOKUP(C26,Purchased!A:Q,14,0)</f>
        <v>45086</v>
      </c>
      <c r="L26" s="44">
        <f>VLOOKUP(C26,Purchased!A:Q,15,0)</f>
        <v>45103</v>
      </c>
      <c r="M26" s="44">
        <f>VLOOKUP(C26,Purchased!A:Q,16,0)</f>
        <v>45103</v>
      </c>
      <c r="N26" s="45">
        <f>VLOOKUP(C26,Purchased!A:Q,17,0)</f>
        <v>54926</v>
      </c>
      <c r="O26" s="45" t="e">
        <f t="shared" ca="1" si="7"/>
        <v>#VALUE!</v>
      </c>
      <c r="P26" s="49">
        <f>IFERROR(VLOOKUP(C26,Purchased!A:E,3,FALSE),"")</f>
        <v>32.0242</v>
      </c>
      <c r="Q26" s="50">
        <f t="shared" si="8"/>
        <v>0</v>
      </c>
    </row>
    <row r="27" spans="1:17" s="2" customFormat="1" ht="12" customHeight="1">
      <c r="A27" s="4">
        <f t="shared" si="9"/>
        <v>306</v>
      </c>
      <c r="B27" s="2">
        <v>0</v>
      </c>
      <c r="C27" s="114" t="s">
        <v>404</v>
      </c>
      <c r="D27" s="268" t="str">
        <f>VLOOKUP(C27,Purchased!A:B,2,0)</f>
        <v>SMC TIE ROD</v>
      </c>
      <c r="E27" s="269"/>
      <c r="F27" s="112" t="str">
        <f>VLOOKUP(C27,Purchased!A:Q,9,0)</f>
        <v>SMC</v>
      </c>
      <c r="G27" s="112" t="str">
        <f>VLOOKUP(C27,Purchased!A:Q,10,0)</f>
        <v>AAP</v>
      </c>
      <c r="H27" s="112" t="str">
        <f>VLOOKUP(C27,Purchased!A:Q,12,0)</f>
        <v xml:space="preserve"> </v>
      </c>
      <c r="I27" s="113"/>
      <c r="J27" s="44" t="str">
        <f>VLOOKUP(C27,Purchased!A:Q,13,0)</f>
        <v>N/A</v>
      </c>
      <c r="K27" s="44">
        <f>VLOOKUP(C27,Purchased!A:Q,14,0)</f>
        <v>45086</v>
      </c>
      <c r="L27" s="44">
        <f>VLOOKUP(C27,Purchased!A:Q,15,0)</f>
        <v>45103</v>
      </c>
      <c r="M27" s="44">
        <f>VLOOKUP(C27,Purchased!A:Q,16,0)</f>
        <v>45103</v>
      </c>
      <c r="N27" s="45">
        <f>VLOOKUP(C27,Purchased!A:Q,17,0)</f>
        <v>54926</v>
      </c>
      <c r="O27" s="45" t="e">
        <f t="shared" ca="1" si="7"/>
        <v>#VALUE!</v>
      </c>
      <c r="P27" s="49">
        <f>IFERROR(VLOOKUP(C27,Purchased!A:E,3,FALSE),"")</f>
        <v>2.9603000000000002</v>
      </c>
      <c r="Q27" s="50">
        <f t="shared" si="8"/>
        <v>0</v>
      </c>
    </row>
    <row r="28" spans="1:17" s="2" customFormat="1" ht="12" customHeight="1">
      <c r="A28" s="4">
        <f t="shared" si="9"/>
        <v>307</v>
      </c>
      <c r="B28" s="2">
        <v>0</v>
      </c>
      <c r="C28" s="114" t="s">
        <v>175</v>
      </c>
      <c r="D28" s="268" t="str">
        <f>VLOOKUP(C28,Purchased!A:B,2,0)</f>
        <v>SMC FITTING ASSY</v>
      </c>
      <c r="E28" s="269"/>
      <c r="F28" s="112" t="str">
        <f>VLOOKUP(C28,Purchased!A:Q,9,0)</f>
        <v>SMC</v>
      </c>
      <c r="G28" s="112" t="str">
        <f>VLOOKUP(C28,Purchased!A:Q,10,0)</f>
        <v>AAP</v>
      </c>
      <c r="H28" s="112" t="str">
        <f>VLOOKUP(C28,Purchased!A:Q,12,0)</f>
        <v xml:space="preserve"> </v>
      </c>
      <c r="I28" s="113"/>
      <c r="J28" s="44" t="str">
        <f>VLOOKUP(C28,Purchased!A:Q,13,0)</f>
        <v>N/A</v>
      </c>
      <c r="K28" s="44">
        <f>VLOOKUP(C28,Purchased!A:Q,14,0)</f>
        <v>45086</v>
      </c>
      <c r="L28" s="44">
        <f>VLOOKUP(C28,Purchased!A:Q,15,0)</f>
        <v>45103</v>
      </c>
      <c r="M28" s="44">
        <f>VLOOKUP(C28,Purchased!A:Q,16,0)</f>
        <v>45103</v>
      </c>
      <c r="N28" s="45">
        <f>VLOOKUP(C28,Purchased!A:Q,17,0)</f>
        <v>54926</v>
      </c>
      <c r="O28" s="45" t="e">
        <f t="shared" ca="1" si="7"/>
        <v>#VALUE!</v>
      </c>
      <c r="P28" s="49">
        <f>IFERROR(VLOOKUP(C28,Purchased!A:E,3,FALSE),"")</f>
        <v>3.3892000000000002</v>
      </c>
      <c r="Q28" s="50">
        <f t="shared" si="8"/>
        <v>0</v>
      </c>
    </row>
    <row r="29" spans="1:17" s="2" customFormat="1" ht="12" customHeight="1">
      <c r="A29" s="4">
        <f t="shared" si="9"/>
        <v>308</v>
      </c>
      <c r="B29" s="2">
        <v>2</v>
      </c>
      <c r="C29" s="114" t="s">
        <v>405</v>
      </c>
      <c r="D29" s="268" t="str">
        <f>VLOOKUP(C29,Purchased!A:B,2,0)</f>
        <v>BRL 25mm Ball Rail, Nips</v>
      </c>
      <c r="E29" s="269"/>
      <c r="F29" s="112" t="str">
        <f>VLOOKUP(C29,Purchased!A:Q,9,0)</f>
        <v>BRL</v>
      </c>
      <c r="G29" s="112" t="str">
        <f>VLOOKUP(C29,Purchased!A:Q,10,0)</f>
        <v>AAP</v>
      </c>
      <c r="H29" s="112" t="str">
        <f>VLOOKUP(C29,Purchased!A:Q,12,0)</f>
        <v xml:space="preserve"> </v>
      </c>
      <c r="I29" s="113"/>
      <c r="J29" s="44">
        <f>VLOOKUP(C29,Purchased!A:Q,13,0)</f>
        <v>45093</v>
      </c>
      <c r="K29" s="44">
        <f>VLOOKUP(C29,Purchased!A:Q,14,0)</f>
        <v>45093</v>
      </c>
      <c r="L29" s="44">
        <f>VLOOKUP(C29,Purchased!A:Q,15,0)</f>
        <v>45184</v>
      </c>
      <c r="M29" s="44">
        <f>VLOOKUP(C29,Purchased!A:Q,16,0)</f>
        <v>45184</v>
      </c>
      <c r="N29" s="45">
        <f>VLOOKUP(C29,Purchased!A:Q,17,0)</f>
        <v>54942</v>
      </c>
      <c r="O29" s="45" t="e">
        <f t="shared" ca="1" si="7"/>
        <v>#VALUE!</v>
      </c>
      <c r="P29" s="49">
        <f>IFERROR(VLOOKUP(C29,Purchased!A:E,3,FALSE),"")</f>
        <v>87.938500000000005</v>
      </c>
      <c r="Q29" s="50">
        <f t="shared" si="8"/>
        <v>175.87700000000001</v>
      </c>
    </row>
    <row r="30" spans="1:17" s="2" customFormat="1" ht="12" customHeight="1">
      <c r="A30" s="4">
        <f t="shared" si="9"/>
        <v>309</v>
      </c>
      <c r="B30" s="2">
        <v>2</v>
      </c>
      <c r="C30" s="114" t="s">
        <v>406</v>
      </c>
      <c r="D30" s="268" t="str">
        <f>VLOOKUP(C30,Purchased!A:B,2,0)</f>
        <v>BRL 25mm runner block, flanged</v>
      </c>
      <c r="E30" s="269"/>
      <c r="F30" s="112" t="str">
        <f>VLOOKUP(C30,Purchased!A:Q,9,0)</f>
        <v>BRL</v>
      </c>
      <c r="G30" s="112" t="str">
        <f>VLOOKUP(C30,Purchased!A:Q,10,0)</f>
        <v>AAP</v>
      </c>
      <c r="H30" s="112" t="str">
        <f>VLOOKUP(C30,Purchased!A:Q,12,0)</f>
        <v xml:space="preserve">  </v>
      </c>
      <c r="I30" s="113"/>
      <c r="J30" s="44">
        <f>VLOOKUP(C30,Purchased!A:Q,13,0)</f>
        <v>45093</v>
      </c>
      <c r="K30" s="44">
        <f>VLOOKUP(C30,Purchased!A:Q,14,0)</f>
        <v>45093</v>
      </c>
      <c r="L30" s="44">
        <f>VLOOKUP(C30,Purchased!A:Q,15,0)</f>
        <v>45184</v>
      </c>
      <c r="M30" s="44">
        <f>VLOOKUP(C30,Purchased!A:Q,16,0)</f>
        <v>45184</v>
      </c>
      <c r="N30" s="45">
        <f>VLOOKUP(C30,Purchased!A:Q,17,0)</f>
        <v>54942</v>
      </c>
      <c r="O30" s="45" t="e">
        <f t="shared" ca="1" si="7"/>
        <v>#VALUE!</v>
      </c>
      <c r="P30" s="49">
        <f>IFERROR(VLOOKUP(C30,Purchased!A:E,3,FALSE),"")</f>
        <v>138.67920000000001</v>
      </c>
      <c r="Q30" s="50">
        <f t="shared" si="8"/>
        <v>277.35840000000002</v>
      </c>
    </row>
    <row r="31" spans="1:17" s="2" customFormat="1" ht="12" customHeight="1">
      <c r="A31" s="4">
        <f t="shared" si="9"/>
        <v>310</v>
      </c>
      <c r="B31" s="2">
        <v>2</v>
      </c>
      <c r="C31" s="114" t="s">
        <v>417</v>
      </c>
      <c r="D31" s="268" t="str">
        <f>VLOOKUP(C31,Purchased!A:B,2,0)</f>
        <v>SMC CYL, COMPACT</v>
      </c>
      <c r="E31" s="269"/>
      <c r="F31" s="112" t="str">
        <f>VLOOKUP(C31,Purchased!A:Q,9,0)</f>
        <v>SMC</v>
      </c>
      <c r="G31" s="112" t="str">
        <f>VLOOKUP(C31,Purchased!A:Q,10,0)</f>
        <v>AAP</v>
      </c>
      <c r="H31" s="112" t="str">
        <f>VLOOKUP(C31,Purchased!A:Q,12,0)</f>
        <v xml:space="preserve"> </v>
      </c>
      <c r="I31" s="113"/>
      <c r="J31" s="44" t="str">
        <f>VLOOKUP(C31,Purchased!A:Q,13,0)</f>
        <v>N/A</v>
      </c>
      <c r="K31" s="44">
        <f>VLOOKUP(C31,Purchased!A:Q,14,0)</f>
        <v>45042</v>
      </c>
      <c r="L31" s="44">
        <f>VLOOKUP(C31,Purchased!A:Q,15,0)</f>
        <v>45098</v>
      </c>
      <c r="M31" s="44">
        <f>VLOOKUP(C31,Purchased!A:Q,16,0)</f>
        <v>45145</v>
      </c>
      <c r="N31" s="45">
        <f>VLOOKUP(C31,Purchased!A:Q,17,0)</f>
        <v>54862</v>
      </c>
      <c r="O31" s="45" t="e">
        <f t="shared" ca="1" si="7"/>
        <v>#VALUE!</v>
      </c>
      <c r="P31" s="49">
        <f>IFERROR(VLOOKUP(C31,Purchased!A:E,3,FALSE),"")</f>
        <v>75.585300000000004</v>
      </c>
      <c r="Q31" s="50">
        <f t="shared" si="8"/>
        <v>151.17060000000001</v>
      </c>
    </row>
    <row r="32" spans="1:17" s="2" customFormat="1" ht="12" customHeight="1">
      <c r="A32" s="4">
        <f t="shared" si="9"/>
        <v>311</v>
      </c>
      <c r="B32" s="2">
        <v>1</v>
      </c>
      <c r="C32" s="114" t="s">
        <v>673</v>
      </c>
      <c r="D32" s="268" t="str">
        <f>VLOOKUP(C32,Purchased!A:B,2,0)</f>
        <v>BRC RG2-002ABB-NN-015,0 - 15m Encoder Servo cable</v>
      </c>
      <c r="E32" s="269"/>
      <c r="F32" s="112" t="str">
        <f>VLOOKUP(C32,Purchased!A:Q,9,0)</f>
        <v>BRC</v>
      </c>
      <c r="G32" s="112" t="str">
        <f>VLOOKUP(C32,Purchased!A:Q,10,0)</f>
        <v>AAP</v>
      </c>
      <c r="H32" s="112" t="str">
        <f>VLOOKUP(C32,Purchased!A:Q,12,0)</f>
        <v>2x unwind nips</v>
      </c>
      <c r="I32" s="113"/>
      <c r="J32" s="44">
        <f>VLOOKUP(C32,Purchased!A:Q,13,0)</f>
        <v>45089</v>
      </c>
      <c r="K32" s="44">
        <f>VLOOKUP(C32,Purchased!A:Q,14,0)</f>
        <v>45092</v>
      </c>
      <c r="L32" s="44">
        <f>VLOOKUP(C32,Purchased!A:Q,15,0)</f>
        <v>45139</v>
      </c>
      <c r="M32" s="44">
        <f>VLOOKUP(C32,Purchased!A:Q,16,0)</f>
        <v>45155</v>
      </c>
      <c r="N32" s="45">
        <f>VLOOKUP(C32,Purchased!A:Q,17,0)</f>
        <v>54940</v>
      </c>
      <c r="O32" s="45" t="e">
        <f t="shared" ca="1" si="7"/>
        <v>#VALUE!</v>
      </c>
      <c r="P32" s="49">
        <f>IFERROR(VLOOKUP(C32,Purchased!A:E,3,FALSE),"")</f>
        <v>221.66759999999999</v>
      </c>
      <c r="Q32" s="50">
        <f t="shared" si="8"/>
        <v>221.66759999999999</v>
      </c>
    </row>
    <row r="33" spans="1:17" s="2" customFormat="1" ht="12" customHeight="1">
      <c r="A33" s="4">
        <f t="shared" si="9"/>
        <v>312</v>
      </c>
      <c r="B33" s="2">
        <v>1</v>
      </c>
      <c r="C33" s="114" t="s">
        <v>674</v>
      </c>
      <c r="D33" s="268" t="str">
        <f>VLOOKUP(C33,Purchased!A:B,2,0)</f>
        <v>BRC RL2-043DBB-NN-015,0 - 15m Power Servo Cable</v>
      </c>
      <c r="E33" s="269"/>
      <c r="F33" s="112" t="str">
        <f>VLOOKUP(C33,Purchased!A:Q,9,0)</f>
        <v>BRC</v>
      </c>
      <c r="G33" s="112" t="str">
        <f>VLOOKUP(C33,Purchased!A:Q,10,0)</f>
        <v>AAP</v>
      </c>
      <c r="H33" s="112" t="str">
        <f>VLOOKUP(C33,Purchased!A:Q,12,0)</f>
        <v>2x unwind nips</v>
      </c>
      <c r="I33" s="113"/>
      <c r="J33" s="44">
        <f>VLOOKUP(C33,Purchased!A:Q,13,0)</f>
        <v>45089</v>
      </c>
      <c r="K33" s="44">
        <f>VLOOKUP(C33,Purchased!A:Q,14,0)</f>
        <v>45092</v>
      </c>
      <c r="L33" s="44">
        <f>VLOOKUP(C33,Purchased!A:Q,15,0)</f>
        <v>45139</v>
      </c>
      <c r="M33" s="44">
        <f>VLOOKUP(C33,Purchased!A:Q,16,0)</f>
        <v>45155</v>
      </c>
      <c r="N33" s="45">
        <f>VLOOKUP(C33,Purchased!A:Q,17,0)</f>
        <v>54940</v>
      </c>
      <c r="O33" s="45" t="e">
        <f t="shared" ca="1" si="7"/>
        <v>#VALUE!</v>
      </c>
      <c r="P33" s="49">
        <f>IFERROR(VLOOKUP(C33,Purchased!A:E,3,FALSE),"")</f>
        <v>595.0829</v>
      </c>
      <c r="Q33" s="50">
        <f t="shared" si="8"/>
        <v>595.0829</v>
      </c>
    </row>
    <row r="34" spans="1:17" s="2" customFormat="1" ht="12" customHeight="1">
      <c r="A34" s="4">
        <f t="shared" si="9"/>
        <v>313</v>
      </c>
      <c r="B34" s="2">
        <v>8</v>
      </c>
      <c r="C34" s="114" t="s">
        <v>256</v>
      </c>
      <c r="D34" s="268" t="str">
        <f>VLOOKUP(C34,Purchased!A:B,2,0)</f>
        <v>BRX GOTO T-NUT 10 M8</v>
      </c>
      <c r="E34" s="269"/>
      <c r="F34" s="112" t="str">
        <f>VLOOKUP(C34,Purchased!A:Q,9,0)</f>
        <v>BRX</v>
      </c>
      <c r="G34" s="112" t="str">
        <f>VLOOKUP(C34,Purchased!A:Q,10,0)</f>
        <v>AAP</v>
      </c>
      <c r="H34" s="112" t="str">
        <f>VLOOKUP(C34,Purchased!A:Q,12,0)</f>
        <v xml:space="preserve">  </v>
      </c>
      <c r="I34" s="113"/>
      <c r="J34" s="44">
        <f>VLOOKUP(C34,Purchased!A:Q,13,0)</f>
        <v>45104</v>
      </c>
      <c r="K34" s="44">
        <f>VLOOKUP(C34,Purchased!A:Q,14,0)</f>
        <v>45105</v>
      </c>
      <c r="L34" s="44">
        <f>VLOOKUP(C34,Purchased!A:Q,15,0)</f>
        <v>45133</v>
      </c>
      <c r="M34" s="44">
        <f>VLOOKUP(C34,Purchased!A:Q,16,0)</f>
        <v>45133</v>
      </c>
      <c r="N34" s="45" t="str">
        <f>VLOOKUP(C34,Purchased!A:Q,17,0)</f>
        <v>54968, 55147</v>
      </c>
      <c r="O34" s="45" t="e">
        <f t="shared" ca="1" si="7"/>
        <v>#VALUE!</v>
      </c>
      <c r="P34" s="49">
        <f>IFERROR(VLOOKUP(C34,Purchased!A:E,3,FALSE),"")</f>
        <v>0.64290000000000003</v>
      </c>
      <c r="Q34" s="50">
        <f t="shared" si="8"/>
        <v>5.1432000000000002</v>
      </c>
    </row>
    <row r="35" spans="1:17" s="2" customFormat="1" ht="12" customHeight="1">
      <c r="A35" s="4">
        <f t="shared" si="9"/>
        <v>314</v>
      </c>
      <c r="B35" s="2">
        <v>8</v>
      </c>
      <c r="C35" s="114" t="s">
        <v>413</v>
      </c>
      <c r="D35" s="268" t="str">
        <f>VLOOKUP(C35,Purchased!A:B,2,0)</f>
        <v>Dowel Pin 52100 Alloy Steel, 10 mm Diameter, 30 mm Long, 10pk</v>
      </c>
      <c r="E35" s="269"/>
      <c r="F35" s="112" t="str">
        <f>VLOOKUP(C35,Purchased!A:Q,9,0)</f>
        <v>MCM</v>
      </c>
      <c r="G35" s="112" t="str">
        <f>VLOOKUP(C35,Purchased!A:Q,10,0)</f>
        <v>MCM</v>
      </c>
      <c r="H35" s="112" t="str">
        <f>VLOOKUP(C35,Purchased!A:Q,12,0)</f>
        <v>Pack of 10</v>
      </c>
      <c r="I35" s="113"/>
      <c r="J35" s="44" t="str">
        <f>VLOOKUP(C35,Purchased!A:Q,13,0)</f>
        <v>N/A</v>
      </c>
      <c r="K35" s="44">
        <f>VLOOKUP(C35,Purchased!A:Q,14,0)</f>
        <v>45162</v>
      </c>
      <c r="L35" s="44">
        <f>VLOOKUP(C35,Purchased!A:Q,15,0)</f>
        <v>45184</v>
      </c>
      <c r="M35" s="44">
        <f>VLOOKUP(C35,Purchased!A:Q,16,0)</f>
        <v>45163</v>
      </c>
      <c r="N35" s="45">
        <f>VLOOKUP(C35,Purchased!A:Q,17,0)</f>
        <v>55088</v>
      </c>
      <c r="O35" s="45" t="e">
        <f t="shared" ca="1" si="7"/>
        <v>#VALUE!</v>
      </c>
      <c r="P35" s="49">
        <f>IFERROR(VLOOKUP(C35,Purchased!A:E,3,FALSE),"")</f>
        <v>12.91</v>
      </c>
      <c r="Q35" s="50">
        <f t="shared" si="8"/>
        <v>103.28</v>
      </c>
    </row>
    <row r="36" spans="1:17" s="2" customFormat="1" ht="12" customHeight="1">
      <c r="A36" s="4">
        <f t="shared" si="9"/>
        <v>315</v>
      </c>
      <c r="B36" s="2">
        <v>4</v>
      </c>
      <c r="C36" s="114" t="s">
        <v>411</v>
      </c>
      <c r="D36" s="268" t="str">
        <f>VLOOKUP(C36,Purchased!A:B,2,0)</f>
        <v>Alloy Steel Flat-Tip Set Screws M8 x 1.25 mm Thread, 80 mm Long, 5pk</v>
      </c>
      <c r="E36" s="269"/>
      <c r="F36" s="112" t="str">
        <f>VLOOKUP(C36,Purchased!A:Q,9,0)</f>
        <v>MCM</v>
      </c>
      <c r="G36" s="112" t="str">
        <f>VLOOKUP(C36,Purchased!A:Q,10,0)</f>
        <v>MCM</v>
      </c>
      <c r="H36" s="112" t="str">
        <f>VLOOKUP(C36,Purchased!A:Q,12,0)</f>
        <v>Pack of 5</v>
      </c>
      <c r="I36" s="113"/>
      <c r="J36" s="44" t="str">
        <f>VLOOKUP(C36,Purchased!A:Q,13,0)</f>
        <v>N/A</v>
      </c>
      <c r="K36" s="44">
        <f>VLOOKUP(C36,Purchased!A:Q,14,0)</f>
        <v>45162</v>
      </c>
      <c r="L36" s="44">
        <f>VLOOKUP(C36,Purchased!A:Q,15,0)</f>
        <v>45184</v>
      </c>
      <c r="M36" s="44">
        <f>VLOOKUP(C36,Purchased!A:Q,16,0)</f>
        <v>45163</v>
      </c>
      <c r="N36" s="45">
        <f>VLOOKUP(C36,Purchased!A:Q,17,0)</f>
        <v>55089</v>
      </c>
      <c r="O36" s="45" t="e">
        <f t="shared" ref="O36:O45" ca="1" si="10">B36*$L$2</f>
        <v>#VALUE!</v>
      </c>
      <c r="P36" s="49">
        <f>IFERROR(VLOOKUP(C36,Purchased!A:E,3,FALSE),"")</f>
        <v>14.77</v>
      </c>
      <c r="Q36" s="50">
        <f t="shared" ref="Q36:Q45" si="11">IFERROR(B36*P36,"")</f>
        <v>59.08</v>
      </c>
    </row>
    <row r="37" spans="1:17" s="2" customFormat="1" ht="12" customHeight="1">
      <c r="A37" s="4">
        <f t="shared" si="9"/>
        <v>316</v>
      </c>
      <c r="B37" s="2">
        <v>0</v>
      </c>
      <c r="C37" s="114" t="s">
        <v>407</v>
      </c>
      <c r="D37" s="268" t="str">
        <f>VLOOKUP(C37,Purchased!A:B,2,0)</f>
        <v>Gates P35-8MGT-30 Pully</v>
      </c>
      <c r="E37" s="269"/>
      <c r="F37" s="112" t="str">
        <f>VLOOKUP(C37,Purchased!A:Q,9,0)</f>
        <v>Gates</v>
      </c>
      <c r="G37" s="112" t="str">
        <f>VLOOKUP(C37,Purchased!A:Q,10,0)</f>
        <v>MOTION</v>
      </c>
      <c r="H37" s="112">
        <f>VLOOKUP(C37,Purchased!A:Q,12,0)</f>
        <v>3220129</v>
      </c>
      <c r="I37" s="113"/>
      <c r="J37" s="44">
        <f>VLOOKUP(C37,Purchased!A:Q,13,0)</f>
        <v>45125</v>
      </c>
      <c r="K37" s="44">
        <f>VLOOKUP(C37,Purchased!A:Q,14,0)</f>
        <v>45147</v>
      </c>
      <c r="L37" s="44">
        <f>VLOOKUP(C37,Purchased!A:Q,15,0)</f>
        <v>45176</v>
      </c>
      <c r="M37" s="44">
        <f>VLOOKUP(C37,Purchased!A:Q,16,0)</f>
        <v>45176</v>
      </c>
      <c r="N37" s="45">
        <f>VLOOKUP(C37,Purchased!A:Q,17,0)</f>
        <v>55042</v>
      </c>
      <c r="O37" s="45" t="e">
        <f t="shared" ca="1" si="10"/>
        <v>#VALUE!</v>
      </c>
      <c r="P37" s="49">
        <f>IFERROR(VLOOKUP(C37,Purchased!A:E,3,FALSE),"")</f>
        <v>110.48</v>
      </c>
      <c r="Q37" s="50">
        <f t="shared" si="11"/>
        <v>0</v>
      </c>
    </row>
    <row r="38" spans="1:17" s="2" customFormat="1" ht="12" customHeight="1">
      <c r="A38" s="4">
        <f t="shared" si="9"/>
        <v>317</v>
      </c>
      <c r="B38" s="2">
        <v>0</v>
      </c>
      <c r="C38" s="114" t="s">
        <v>408</v>
      </c>
      <c r="D38" s="268" t="str">
        <f>VLOOKUP(C38,Purchased!A:B,2,0)</f>
        <v>XL, Hub, 2 Flanges, 9.5mm Maximum Width, 57mm OD, 12mm Shaft</v>
      </c>
      <c r="E38" s="269"/>
      <c r="F38" s="112" t="str">
        <f>VLOOKUP(C38,Purchased!A:Q,9,0)</f>
        <v>Gates</v>
      </c>
      <c r="G38" s="112" t="str">
        <f>VLOOKUP(C38,Purchased!A:Q,10,0)</f>
        <v>MOTION</v>
      </c>
      <c r="H38" s="112">
        <f>VLOOKUP(C38,Purchased!A:Q,12,0)</f>
        <v>221594</v>
      </c>
      <c r="I38" s="113"/>
      <c r="J38" s="44">
        <f>VLOOKUP(C38,Purchased!A:Q,13,0)</f>
        <v>45125</v>
      </c>
      <c r="K38" s="44">
        <f>VLOOKUP(C38,Purchased!A:Q,14,0)</f>
        <v>45147</v>
      </c>
      <c r="L38" s="44">
        <f>VLOOKUP(C38,Purchased!A:Q,15,0)</f>
        <v>45176</v>
      </c>
      <c r="M38" s="44">
        <f>VLOOKUP(C38,Purchased!A:Q,16,0)</f>
        <v>45176</v>
      </c>
      <c r="N38" s="45">
        <f>VLOOKUP(C38,Purchased!A:Q,17,0)</f>
        <v>55042</v>
      </c>
      <c r="O38" s="45" t="e">
        <f t="shared" ca="1" si="10"/>
        <v>#VALUE!</v>
      </c>
      <c r="P38" s="49">
        <f>IFERROR(VLOOKUP(C38,Purchased!A:E,3,FALSE),"")</f>
        <v>23.22</v>
      </c>
      <c r="Q38" s="50">
        <f t="shared" si="11"/>
        <v>0</v>
      </c>
    </row>
    <row r="39" spans="1:17" s="2" customFormat="1" ht="12" customHeight="1">
      <c r="A39" s="4">
        <f t="shared" si="9"/>
        <v>318</v>
      </c>
      <c r="B39" s="2">
        <v>0</v>
      </c>
      <c r="C39" s="114" t="s">
        <v>409</v>
      </c>
      <c r="D39" s="268" t="str">
        <f>VLOOKUP(C39,Purchased!A:B,2,0)</f>
        <v>Gates 640-8MGT-30 Toothed belt</v>
      </c>
      <c r="E39" s="269"/>
      <c r="F39" s="112" t="str">
        <f>VLOOKUP(C39,Purchased!A:Q,9,0)</f>
        <v>Gates</v>
      </c>
      <c r="G39" s="112" t="str">
        <f>VLOOKUP(C39,Purchased!A:Q,10,0)</f>
        <v>MOTION</v>
      </c>
      <c r="H39" s="112">
        <f>VLOOKUP(C39,Purchased!A:Q,12,0)</f>
        <v>9165546</v>
      </c>
      <c r="I39" s="113"/>
      <c r="J39" s="44">
        <f>VLOOKUP(C39,Purchased!A:Q,13,0)</f>
        <v>45125</v>
      </c>
      <c r="K39" s="44">
        <f>VLOOKUP(C39,Purchased!A:Q,14,0)</f>
        <v>45147</v>
      </c>
      <c r="L39" s="44">
        <f>VLOOKUP(C39,Purchased!A:Q,15,0)</f>
        <v>45176</v>
      </c>
      <c r="M39" s="44">
        <f>VLOOKUP(C39,Purchased!A:Q,16,0)</f>
        <v>45176</v>
      </c>
      <c r="N39" s="45">
        <f>VLOOKUP(C39,Purchased!A:Q,17,0)</f>
        <v>55042</v>
      </c>
      <c r="O39" s="45" t="e">
        <f t="shared" ca="1" si="10"/>
        <v>#VALUE!</v>
      </c>
      <c r="P39" s="49">
        <f>IFERROR(VLOOKUP(C39,Purchased!A:E,3,FALSE),"")</f>
        <v>48.31</v>
      </c>
      <c r="Q39" s="50">
        <f t="shared" si="11"/>
        <v>0</v>
      </c>
    </row>
    <row r="40" spans="1:17" s="2" customFormat="1" ht="12" customHeight="1">
      <c r="A40" s="4">
        <f t="shared" si="9"/>
        <v>319</v>
      </c>
      <c r="B40" s="2">
        <v>2</v>
      </c>
      <c r="C40" s="114" t="s">
        <v>412</v>
      </c>
      <c r="D40" s="268" t="str">
        <f>VLOOKUP(C40,Purchased!A:B,2,0)</f>
        <v>Steel Oversized Washer for M12 Screw Size, 12 mm ID, 25 mm OD, 25pk</v>
      </c>
      <c r="E40" s="269"/>
      <c r="F40" s="112" t="str">
        <f>VLOOKUP(C40,Purchased!A:Q,9,0)</f>
        <v>MCM</v>
      </c>
      <c r="G40" s="112" t="str">
        <f>VLOOKUP(C40,Purchased!A:Q,10,0)</f>
        <v>MCM</v>
      </c>
      <c r="H40" s="112" t="str">
        <f>VLOOKUP(C40,Purchased!A:Q,12,0)</f>
        <v>Pack of 25</v>
      </c>
      <c r="I40" s="113"/>
      <c r="J40" s="44" t="str">
        <f>VLOOKUP(C40,Purchased!A:Q,13,0)</f>
        <v>N/A</v>
      </c>
      <c r="K40" s="44">
        <f>VLOOKUP(C40,Purchased!A:Q,14,0)</f>
        <v>45162</v>
      </c>
      <c r="L40" s="44">
        <f>VLOOKUP(C40,Purchased!A:Q,15,0)</f>
        <v>45184</v>
      </c>
      <c r="M40" s="44">
        <f>VLOOKUP(C40,Purchased!A:Q,16,0)</f>
        <v>45163</v>
      </c>
      <c r="N40" s="45">
        <f>VLOOKUP(C40,Purchased!A:Q,17,0)</f>
        <v>55089</v>
      </c>
      <c r="O40" s="45" t="e">
        <f t="shared" ca="1" si="10"/>
        <v>#VALUE!</v>
      </c>
      <c r="P40" s="49">
        <f>IFERROR(VLOOKUP(C40,Purchased!A:E,3,FALSE),"")</f>
        <v>10</v>
      </c>
      <c r="Q40" s="50">
        <f t="shared" si="11"/>
        <v>20</v>
      </c>
    </row>
    <row r="41" spans="1:17" s="2" customFormat="1" ht="12" customHeight="1">
      <c r="A41" s="4">
        <f t="shared" si="9"/>
        <v>320</v>
      </c>
      <c r="B41" s="2">
        <v>4</v>
      </c>
      <c r="C41" s="114" t="s">
        <v>414</v>
      </c>
      <c r="D41" s="268" t="str">
        <f>VLOOKUP(C41,Purchased!A:B,2,0)</f>
        <v>Alloy Steel Shoulder Screws 12 mm Shoulder Diameter, 30 mm Shoulder Length, M10 x 1.5 mm Thread</v>
      </c>
      <c r="E41" s="269"/>
      <c r="F41" s="112" t="str">
        <f>VLOOKUP(C41,Purchased!A:Q,9,0)</f>
        <v>MCM</v>
      </c>
      <c r="G41" s="112" t="str">
        <f>VLOOKUP(C41,Purchased!A:Q,10,0)</f>
        <v>MCM</v>
      </c>
      <c r="H41" s="112" t="str">
        <f>VLOOKUP(C41,Purchased!A:Q,12,0)</f>
        <v xml:space="preserve"> </v>
      </c>
      <c r="I41" s="113"/>
      <c r="J41" s="44" t="str">
        <f>VLOOKUP(C41,Purchased!A:Q,13,0)</f>
        <v>N/A</v>
      </c>
      <c r="K41" s="44">
        <f>VLOOKUP(C41,Purchased!A:Q,14,0)</f>
        <v>45162</v>
      </c>
      <c r="L41" s="44">
        <f>VLOOKUP(C41,Purchased!A:Q,15,0)</f>
        <v>45184</v>
      </c>
      <c r="M41" s="44">
        <f>VLOOKUP(C41,Purchased!A:Q,16,0)</f>
        <v>45163</v>
      </c>
      <c r="N41" s="45">
        <f>VLOOKUP(C41,Purchased!A:Q,17,0)</f>
        <v>55089</v>
      </c>
      <c r="O41" s="45" t="e">
        <f t="shared" ca="1" si="10"/>
        <v>#VALUE!</v>
      </c>
      <c r="P41" s="49">
        <f>IFERROR(VLOOKUP(C41,Purchased!A:E,3,FALSE),"")</f>
        <v>4.71</v>
      </c>
      <c r="Q41" s="50">
        <f t="shared" si="11"/>
        <v>18.84</v>
      </c>
    </row>
    <row r="42" spans="1:17" s="2" customFormat="1" ht="12" customHeight="1">
      <c r="A42" s="4">
        <f t="shared" si="9"/>
        <v>321</v>
      </c>
      <c r="B42" s="2">
        <v>4</v>
      </c>
      <c r="C42" s="114" t="s">
        <v>416</v>
      </c>
      <c r="D42" s="268" t="str">
        <f>VLOOKUP(C42,Purchased!A:B,2,0)</f>
        <v>EMERSON ER24 Insert Bearing</v>
      </c>
      <c r="E42" s="269"/>
      <c r="F42" s="112" t="str">
        <f>VLOOKUP(C42,Purchased!A:Q,9,0)</f>
        <v>EMERSON</v>
      </c>
      <c r="G42" s="112" t="str">
        <f>VLOOKUP(C42,Purchased!A:Q,10,0)</f>
        <v>MOTION</v>
      </c>
      <c r="H42" s="112">
        <f>VLOOKUP(C42,Purchased!A:Q,12,0)</f>
        <v>585257</v>
      </c>
      <c r="I42" s="113"/>
      <c r="J42" s="44">
        <f>VLOOKUP(C42,Purchased!A:Q,13,0)</f>
        <v>45125</v>
      </c>
      <c r="K42" s="44">
        <f>VLOOKUP(C42,Purchased!A:Q,14,0)</f>
        <v>45147</v>
      </c>
      <c r="L42" s="44">
        <f>VLOOKUP(C42,Purchased!A:Q,15,0)</f>
        <v>45176</v>
      </c>
      <c r="M42" s="44">
        <f>VLOOKUP(C42,Purchased!A:Q,16,0)</f>
        <v>45176</v>
      </c>
      <c r="N42" s="45">
        <f>VLOOKUP(C42,Purchased!A:Q,17,0)</f>
        <v>55042</v>
      </c>
      <c r="O42" s="45" t="e">
        <f t="shared" ca="1" si="10"/>
        <v>#VALUE!</v>
      </c>
      <c r="P42" s="49">
        <f>IFERROR(VLOOKUP(C42,Purchased!A:E,3,FALSE),"")</f>
        <v>99.48</v>
      </c>
      <c r="Q42" s="50">
        <f t="shared" si="11"/>
        <v>397.92</v>
      </c>
    </row>
    <row r="43" spans="1:17" s="2" customFormat="1" ht="12" customHeight="1">
      <c r="A43" s="4">
        <f t="shared" si="9"/>
        <v>322</v>
      </c>
      <c r="B43" s="2">
        <v>2</v>
      </c>
      <c r="C43" s="114" t="s">
        <v>422</v>
      </c>
      <c r="D43" s="268" t="str">
        <f>VLOOKUP(C43,Purchased!A:B,2,0)</f>
        <v>SMC FITTING, UNION TEE</v>
      </c>
      <c r="E43" s="269"/>
      <c r="F43" s="112" t="str">
        <f>VLOOKUP(C43,Purchased!A:Q,9,0)</f>
        <v>SMC</v>
      </c>
      <c r="G43" s="112" t="str">
        <f>VLOOKUP(C43,Purchased!A:Q,10,0)</f>
        <v>AAP</v>
      </c>
      <c r="H43" s="112" t="str">
        <f>VLOOKUP(C43,Purchased!A:Q,12,0)</f>
        <v xml:space="preserve"> </v>
      </c>
      <c r="I43" s="113"/>
      <c r="J43" s="44" t="str">
        <f>VLOOKUP(C43,Purchased!A:Q,13,0)</f>
        <v>N/A</v>
      </c>
      <c r="K43" s="44">
        <f>VLOOKUP(C43,Purchased!A:Q,14,0)</f>
        <v>45162</v>
      </c>
      <c r="L43" s="44">
        <f>VLOOKUP(C43,Purchased!A:Q,15,0)</f>
        <v>45184</v>
      </c>
      <c r="M43" s="44">
        <f>VLOOKUP(C43,Purchased!A:Q,16,0)</f>
        <v>45180</v>
      </c>
      <c r="N43" s="45">
        <f>VLOOKUP(C43,Purchased!A:Q,17,0)</f>
        <v>55037</v>
      </c>
      <c r="O43" s="45" t="e">
        <f ca="1">B43*$L$2</f>
        <v>#VALUE!</v>
      </c>
      <c r="P43" s="49">
        <f>IFERROR(VLOOKUP(C43,Purchased!A:E,3,FALSE),"")</f>
        <v>2.4346999999999999</v>
      </c>
      <c r="Q43" s="50">
        <f>IFERROR(B43*P43,"")</f>
        <v>4.8693999999999997</v>
      </c>
    </row>
    <row r="44" spans="1:17" s="2" customFormat="1" ht="12" customHeight="1">
      <c r="A44" s="4">
        <f t="shared" si="9"/>
        <v>323</v>
      </c>
      <c r="B44" s="2">
        <v>2</v>
      </c>
      <c r="C44" s="114" t="s">
        <v>446</v>
      </c>
      <c r="D44" s="268" t="str">
        <f>VLOOKUP(C44,Purchased!A:B,2,0)</f>
        <v>SMC FITTING, MALE ELBOW</v>
      </c>
      <c r="E44" s="269"/>
      <c r="F44" s="112" t="str">
        <f>VLOOKUP(C44,Purchased!A:Q,9,0)</f>
        <v>SMC</v>
      </c>
      <c r="G44" s="112" t="str">
        <f>VLOOKUP(C44,Purchased!A:Q,10,0)</f>
        <v>AAP</v>
      </c>
      <c r="H44" s="112" t="str">
        <f>VLOOKUP(C44,Purchased!A:Q,12,0)</f>
        <v xml:space="preserve">  </v>
      </c>
      <c r="I44" s="113"/>
      <c r="J44" s="44" t="str">
        <f>VLOOKUP(C44,Purchased!A:Q,13,0)</f>
        <v>N/A</v>
      </c>
      <c r="K44" s="44">
        <f>VLOOKUP(C44,Purchased!A:Q,14,0)</f>
        <v>45162</v>
      </c>
      <c r="L44" s="44">
        <f>VLOOKUP(C44,Purchased!A:Q,15,0)</f>
        <v>45184</v>
      </c>
      <c r="M44" s="44">
        <f>VLOOKUP(C44,Purchased!A:Q,16,0)</f>
        <v>45180</v>
      </c>
      <c r="N44" s="45">
        <f>VLOOKUP(C44,Purchased!A:Q,17,0)</f>
        <v>55037</v>
      </c>
      <c r="O44" s="45" t="e">
        <f t="shared" ref="O44" ca="1" si="12">B44*$L$2</f>
        <v>#VALUE!</v>
      </c>
      <c r="P44" s="49">
        <f>IFERROR(VLOOKUP(C44,Purchased!A:E,3,FALSE),"")</f>
        <v>1.8674999999999999</v>
      </c>
      <c r="Q44" s="50">
        <f t="shared" ref="Q44" si="13">IFERROR(B44*P44,"")</f>
        <v>3.7349999999999999</v>
      </c>
    </row>
    <row r="45" spans="1:17" s="2" customFormat="1" ht="12" customHeight="1">
      <c r="A45" s="4">
        <f t="shared" si="9"/>
        <v>324</v>
      </c>
      <c r="B45" s="2">
        <v>4</v>
      </c>
      <c r="C45" s="114" t="s">
        <v>602</v>
      </c>
      <c r="D45" s="268" t="str">
        <f>VLOOKUP(C45,Purchased!A:B,2,0)</f>
        <v>SMC FITTING, EXT MALE ELBOW</v>
      </c>
      <c r="E45" s="269"/>
      <c r="F45" s="112" t="str">
        <f>VLOOKUP(C45,Purchased!A:Q,9,0)</f>
        <v>SMC</v>
      </c>
      <c r="G45" s="112" t="str">
        <f>VLOOKUP(C45,Purchased!A:Q,10,0)</f>
        <v>AAP</v>
      </c>
      <c r="H45" s="112" t="str">
        <f>VLOOKUP(C45,Purchased!A:Q,12,0)</f>
        <v xml:space="preserve">  </v>
      </c>
      <c r="I45" s="113"/>
      <c r="J45" s="44" t="str">
        <f>VLOOKUP(C45,Purchased!A:Q,13,0)</f>
        <v>N/A</v>
      </c>
      <c r="K45" s="44">
        <f>VLOOKUP(C45,Purchased!A:Q,14,0)</f>
        <v>45162</v>
      </c>
      <c r="L45" s="44">
        <f>VLOOKUP(C45,Purchased!A:Q,15,0)</f>
        <v>45184</v>
      </c>
      <c r="M45" s="44">
        <f>VLOOKUP(C45,Purchased!A:Q,16,0)</f>
        <v>45197</v>
      </c>
      <c r="N45" s="45">
        <f>VLOOKUP(C45,Purchased!A:Q,17,0)</f>
        <v>55073</v>
      </c>
      <c r="O45" s="45" t="e">
        <f t="shared" ca="1" si="10"/>
        <v>#VALUE!</v>
      </c>
      <c r="P45" s="49">
        <f>IFERROR(VLOOKUP(C45,Purchased!A:E,3,FALSE),"")</f>
        <v>4.3437000000000001</v>
      </c>
      <c r="Q45" s="50">
        <f t="shared" si="11"/>
        <v>17.3748</v>
      </c>
    </row>
    <row r="46" spans="1:17" s="2" customFormat="1" ht="12" customHeight="1">
      <c r="A46" s="4">
        <f t="shared" si="9"/>
        <v>325</v>
      </c>
      <c r="B46" s="2">
        <v>4</v>
      </c>
      <c r="C46" s="114" t="s">
        <v>423</v>
      </c>
      <c r="D46" s="268" t="str">
        <f>VLOOKUP(C46,Purchased!A:B,2,0)</f>
        <v>1095K23_Zinc-Plated Steel Grease Fitting 1/8 NPT</v>
      </c>
      <c r="E46" s="269"/>
      <c r="F46" s="112" t="str">
        <f>VLOOKUP(C46,Purchased!A:Q,9,0)</f>
        <v>MCM</v>
      </c>
      <c r="G46" s="112" t="str">
        <f>VLOOKUP(C46,Purchased!A:Q,10,0)</f>
        <v>MCM</v>
      </c>
      <c r="H46" s="112" t="str">
        <f>VLOOKUP(C46,Purchased!A:Q,12,0)</f>
        <v xml:space="preserve"> </v>
      </c>
      <c r="I46" s="113"/>
      <c r="J46" s="44" t="str">
        <f>VLOOKUP(C46,Purchased!A:Q,13,0)</f>
        <v>N/A</v>
      </c>
      <c r="K46" s="44">
        <f>VLOOKUP(C46,Purchased!A:Q,14,0)</f>
        <v>45162</v>
      </c>
      <c r="L46" s="44">
        <f>VLOOKUP(C46,Purchased!A:Q,15,0)</f>
        <v>45184</v>
      </c>
      <c r="M46" s="44">
        <f>VLOOKUP(C46,Purchased!A:Q,16,0)</f>
        <v>45166</v>
      </c>
      <c r="N46" s="45">
        <f>VLOOKUP(C46,Purchased!A:Q,17,0)</f>
        <v>55087</v>
      </c>
      <c r="O46" s="45" t="e">
        <f t="shared" ref="O46" ca="1" si="14">B46*$L$2</f>
        <v>#VALUE!</v>
      </c>
      <c r="P46" s="49">
        <f>IFERROR(VLOOKUP(C46,Purchased!A:E,3,FALSE),"")</f>
        <v>8.85</v>
      </c>
      <c r="Q46" s="50">
        <f t="shared" ref="Q46" si="15">IFERROR(B46*P46,"")</f>
        <v>35.4</v>
      </c>
    </row>
    <row r="47" spans="1:17" s="2" customFormat="1" ht="12.75" customHeight="1">
      <c r="A47" s="25"/>
      <c r="B47" s="26"/>
      <c r="C47" s="26"/>
      <c r="D47" s="272"/>
      <c r="E47" s="273"/>
      <c r="F47" s="26"/>
      <c r="G47" s="26"/>
      <c r="H47" s="274"/>
      <c r="I47" s="275"/>
      <c r="J47" s="27"/>
      <c r="K47" s="27"/>
      <c r="L47" s="27"/>
      <c r="M47" s="28"/>
      <c r="N47" s="29"/>
      <c r="O47" s="29" t="e">
        <f t="shared" ref="O47:O57" ca="1" si="16">B47*$L$2</f>
        <v>#VALUE!</v>
      </c>
      <c r="P47" s="141"/>
      <c r="Q47" s="142"/>
    </row>
    <row r="48" spans="1:17" s="2" customFormat="1" ht="12.75" customHeight="1">
      <c r="A48" s="4">
        <v>501</v>
      </c>
      <c r="B48" s="2">
        <v>8</v>
      </c>
      <c r="C48" s="110" t="s">
        <v>267</v>
      </c>
      <c r="D48" s="268"/>
      <c r="E48" s="276"/>
      <c r="F48" s="112" t="str">
        <f>VLOOKUP(C48,Bolts!A:L,5,0)</f>
        <v xml:space="preserve">  </v>
      </c>
      <c r="G48" s="112" t="str">
        <f>VLOOKUP(C48,Bolts!A:L,6,0)</f>
        <v>Monroe Fasteners</v>
      </c>
      <c r="H48" s="112" t="str">
        <f>VLOOKUP(C48,Bolts!A:L,7,0)</f>
        <v xml:space="preserve">  </v>
      </c>
      <c r="I48" s="112"/>
      <c r="J48" s="44" t="str">
        <f>VLOOKUP(C48,Bolts!A:L,8,0)</f>
        <v xml:space="preserve"> </v>
      </c>
      <c r="K48" s="44" t="str">
        <f>VLOOKUP(C48,Bolts!A:L,9,0)</f>
        <v xml:space="preserve"> </v>
      </c>
      <c r="L48" s="44" t="str">
        <f>VLOOKUP(C48,Bolts!A:L,10,0)</f>
        <v xml:space="preserve"> </v>
      </c>
      <c r="M48" s="44" t="str">
        <f>VLOOKUP(C48,Bolts!A:L,11,0)</f>
        <v xml:space="preserve"> </v>
      </c>
      <c r="N48" s="45" t="str">
        <f>VLOOKUP(C48,Bolts!A:L,12,0)</f>
        <v xml:space="preserve"> </v>
      </c>
      <c r="O48" s="45" t="e">
        <f t="shared" ca="1" si="16"/>
        <v>#VALUE!</v>
      </c>
      <c r="P48" s="49" t="str">
        <f>IFERROR(VLOOKUP(C48,Bolts!A:B,2,FALSE),"")</f>
        <v xml:space="preserve"> </v>
      </c>
      <c r="Q48" s="50" t="str">
        <f t="shared" ref="Q48:Q57" si="17">IFERROR(B48*P48,"")</f>
        <v/>
      </c>
    </row>
    <row r="49" spans="1:17" s="2" customFormat="1" ht="12.75" customHeight="1">
      <c r="A49" s="4">
        <f t="shared" ref="A49:A59" si="18">A48+1</f>
        <v>502</v>
      </c>
      <c r="B49" s="2">
        <v>20</v>
      </c>
      <c r="C49" s="110" t="s">
        <v>425</v>
      </c>
      <c r="D49" s="268"/>
      <c r="E49" s="276"/>
      <c r="F49" s="112" t="str">
        <f>VLOOKUP(C49,Bolts!A:L,5,0)</f>
        <v xml:space="preserve">  </v>
      </c>
      <c r="G49" s="112" t="str">
        <f>VLOOKUP(C49,Bolts!A:L,6,0)</f>
        <v>Monroe Fasteners</v>
      </c>
      <c r="H49" s="112" t="str">
        <f>VLOOKUP(C49,Bolts!A:L,7,0)</f>
        <v xml:space="preserve">  </v>
      </c>
      <c r="I49" s="112"/>
      <c r="J49" s="44" t="str">
        <f>VLOOKUP(C49,Bolts!A:L,8,0)</f>
        <v xml:space="preserve"> </v>
      </c>
      <c r="K49" s="44" t="str">
        <f>VLOOKUP(C49,Bolts!A:L,9,0)</f>
        <v xml:space="preserve"> </v>
      </c>
      <c r="L49" s="44" t="str">
        <f>VLOOKUP(C49,Bolts!A:L,10,0)</f>
        <v xml:space="preserve"> </v>
      </c>
      <c r="M49" s="44" t="str">
        <f>VLOOKUP(C49,Bolts!A:L,11,0)</f>
        <v xml:space="preserve"> </v>
      </c>
      <c r="N49" s="45" t="str">
        <f>VLOOKUP(C49,Bolts!A:L,12,0)</f>
        <v xml:space="preserve"> </v>
      </c>
      <c r="O49" s="45" t="e">
        <f t="shared" ca="1" si="16"/>
        <v>#VALUE!</v>
      </c>
      <c r="P49" s="49" t="str">
        <f>IFERROR(VLOOKUP(C49,Bolts!A:B,2,FALSE),"")</f>
        <v xml:space="preserve"> </v>
      </c>
      <c r="Q49" s="50" t="str">
        <f t="shared" si="17"/>
        <v/>
      </c>
    </row>
    <row r="50" spans="1:17" s="2" customFormat="1" ht="12" customHeight="1">
      <c r="A50" s="4">
        <f t="shared" si="18"/>
        <v>503</v>
      </c>
      <c r="B50" s="2">
        <v>16</v>
      </c>
      <c r="C50" s="110" t="s">
        <v>426</v>
      </c>
      <c r="D50" s="268"/>
      <c r="E50" s="276"/>
      <c r="F50" s="112" t="str">
        <f>VLOOKUP(C50,Bolts!A:L,5,0)</f>
        <v xml:space="preserve">  </v>
      </c>
      <c r="G50" s="112" t="str">
        <f>VLOOKUP(C50,Bolts!A:L,6,0)</f>
        <v>Monroe Fasteners</v>
      </c>
      <c r="H50" s="112" t="str">
        <f>VLOOKUP(C50,Bolts!A:L,7,0)</f>
        <v xml:space="preserve">  </v>
      </c>
      <c r="I50" s="112"/>
      <c r="J50" s="44" t="str">
        <f>VLOOKUP(C50,Bolts!A:L,8,0)</f>
        <v xml:space="preserve"> </v>
      </c>
      <c r="K50" s="44" t="str">
        <f>VLOOKUP(C50,Bolts!A:L,9,0)</f>
        <v xml:space="preserve"> </v>
      </c>
      <c r="L50" s="44" t="str">
        <f>VLOOKUP(C50,Bolts!A:L,10,0)</f>
        <v xml:space="preserve"> </v>
      </c>
      <c r="M50" s="44" t="str">
        <f>VLOOKUP(C50,Bolts!A:L,11,0)</f>
        <v xml:space="preserve"> </v>
      </c>
      <c r="N50" s="45" t="str">
        <f>VLOOKUP(C50,Bolts!A:L,12,0)</f>
        <v xml:space="preserve"> </v>
      </c>
      <c r="O50" s="45" t="e">
        <f t="shared" ca="1" si="16"/>
        <v>#VALUE!</v>
      </c>
      <c r="P50" s="49" t="str">
        <f>IFERROR(VLOOKUP(C50,Bolts!A:B,2,FALSE),"")</f>
        <v xml:space="preserve"> </v>
      </c>
      <c r="Q50" s="50" t="str">
        <f t="shared" si="17"/>
        <v/>
      </c>
    </row>
    <row r="51" spans="1:17" s="2" customFormat="1" ht="12" customHeight="1">
      <c r="A51" s="4">
        <f t="shared" si="18"/>
        <v>504</v>
      </c>
      <c r="B51" s="2">
        <v>8</v>
      </c>
      <c r="C51" s="110" t="s">
        <v>362</v>
      </c>
      <c r="D51" s="268"/>
      <c r="E51" s="276"/>
      <c r="F51" s="112" t="str">
        <f>VLOOKUP(C51,Bolts!A:L,5,0)</f>
        <v xml:space="preserve">  </v>
      </c>
      <c r="G51" s="112" t="str">
        <f>VLOOKUP(C51,Bolts!A:L,6,0)</f>
        <v>Monroe Fasteners</v>
      </c>
      <c r="H51" s="112" t="str">
        <f>VLOOKUP(C51,Bolts!A:L,7,0)</f>
        <v xml:space="preserve">  </v>
      </c>
      <c r="I51" s="112"/>
      <c r="J51" s="44" t="str">
        <f>VLOOKUP(C51,Bolts!A:L,8,0)</f>
        <v xml:space="preserve"> </v>
      </c>
      <c r="K51" s="44" t="str">
        <f>VLOOKUP(C51,Bolts!A:L,9,0)</f>
        <v xml:space="preserve"> </v>
      </c>
      <c r="L51" s="44" t="str">
        <f>VLOOKUP(C51,Bolts!A:L,10,0)</f>
        <v xml:space="preserve"> </v>
      </c>
      <c r="M51" s="44" t="str">
        <f>VLOOKUP(C51,Bolts!A:L,11,0)</f>
        <v xml:space="preserve"> </v>
      </c>
      <c r="N51" s="45" t="str">
        <f>VLOOKUP(C51,Bolts!A:L,12,0)</f>
        <v xml:space="preserve"> </v>
      </c>
      <c r="O51" s="45" t="e">
        <f t="shared" ca="1" si="16"/>
        <v>#VALUE!</v>
      </c>
      <c r="P51" s="49" t="str">
        <f>IFERROR(VLOOKUP(C51,Bolts!A:B,2,FALSE),"")</f>
        <v xml:space="preserve"> </v>
      </c>
      <c r="Q51" s="50" t="str">
        <f t="shared" si="17"/>
        <v/>
      </c>
    </row>
    <row r="52" spans="1:17" s="2" customFormat="1" ht="12" customHeight="1">
      <c r="A52" s="4">
        <f t="shared" si="18"/>
        <v>505</v>
      </c>
      <c r="B52" s="2">
        <v>0</v>
      </c>
      <c r="C52" s="110" t="s">
        <v>427</v>
      </c>
      <c r="D52" s="268"/>
      <c r="E52" s="276"/>
      <c r="F52" s="112" t="str">
        <f>VLOOKUP(C52,Bolts!A:L,5,0)</f>
        <v xml:space="preserve">  </v>
      </c>
      <c r="G52" s="112" t="str">
        <f>VLOOKUP(C52,Bolts!A:L,6,0)</f>
        <v>Monroe Fasteners</v>
      </c>
      <c r="H52" s="112" t="str">
        <f>VLOOKUP(C52,Bolts!A:L,7,0)</f>
        <v xml:space="preserve">  </v>
      </c>
      <c r="I52" s="112"/>
      <c r="J52" s="44" t="str">
        <f>VLOOKUP(C52,Bolts!A:L,8,0)</f>
        <v xml:space="preserve"> </v>
      </c>
      <c r="K52" s="44" t="str">
        <f>VLOOKUP(C52,Bolts!A:L,9,0)</f>
        <v xml:space="preserve"> </v>
      </c>
      <c r="L52" s="44" t="str">
        <f>VLOOKUP(C52,Bolts!A:L,10,0)</f>
        <v xml:space="preserve"> </v>
      </c>
      <c r="M52" s="44" t="str">
        <f>VLOOKUP(C52,Bolts!A:L,11,0)</f>
        <v xml:space="preserve"> </v>
      </c>
      <c r="N52" s="45" t="str">
        <f>VLOOKUP(C52,Bolts!A:L,12,0)</f>
        <v xml:space="preserve"> </v>
      </c>
      <c r="O52" s="45" t="e">
        <f t="shared" ca="1" si="16"/>
        <v>#VALUE!</v>
      </c>
      <c r="P52" s="49" t="str">
        <f>IFERROR(VLOOKUP(C52,Bolts!A:B,2,FALSE),"")</f>
        <v xml:space="preserve"> </v>
      </c>
      <c r="Q52" s="50" t="str">
        <f t="shared" si="17"/>
        <v/>
      </c>
    </row>
    <row r="53" spans="1:17" s="2" customFormat="1" ht="12" customHeight="1">
      <c r="A53" s="4">
        <f t="shared" si="18"/>
        <v>506</v>
      </c>
      <c r="B53" s="2">
        <v>4</v>
      </c>
      <c r="C53" s="110" t="s">
        <v>428</v>
      </c>
      <c r="D53" s="268"/>
      <c r="E53" s="276"/>
      <c r="F53" s="112" t="str">
        <f>VLOOKUP(C53,Bolts!A:L,5,0)</f>
        <v xml:space="preserve">  </v>
      </c>
      <c r="G53" s="112" t="str">
        <f>VLOOKUP(C53,Bolts!A:L,6,0)</f>
        <v>Monroe Fasteners</v>
      </c>
      <c r="H53" s="112" t="str">
        <f>VLOOKUP(C53,Bolts!A:L,7,0)</f>
        <v xml:space="preserve">  </v>
      </c>
      <c r="I53" s="112"/>
      <c r="J53" s="44" t="str">
        <f>VLOOKUP(C53,Bolts!A:L,8,0)</f>
        <v xml:space="preserve"> </v>
      </c>
      <c r="K53" s="44" t="str">
        <f>VLOOKUP(C53,Bolts!A:L,9,0)</f>
        <v xml:space="preserve"> </v>
      </c>
      <c r="L53" s="44" t="str">
        <f>VLOOKUP(C53,Bolts!A:L,10,0)</f>
        <v xml:space="preserve"> </v>
      </c>
      <c r="M53" s="44" t="str">
        <f>VLOOKUP(C53,Bolts!A:L,11,0)</f>
        <v xml:space="preserve"> </v>
      </c>
      <c r="N53" s="45" t="str">
        <f>VLOOKUP(C53,Bolts!A:L,12,0)</f>
        <v xml:space="preserve"> </v>
      </c>
      <c r="O53" s="45" t="e">
        <f ca="1">B53*$L$2</f>
        <v>#VALUE!</v>
      </c>
      <c r="P53" s="49" t="str">
        <f>IFERROR(VLOOKUP(C53,Bolts!A:B,2,FALSE),"")</f>
        <v xml:space="preserve"> </v>
      </c>
      <c r="Q53" s="50" t="str">
        <f>IFERROR(B53*P53,"")</f>
        <v/>
      </c>
    </row>
    <row r="54" spans="1:17" s="2" customFormat="1" ht="12" customHeight="1">
      <c r="A54" s="4">
        <f t="shared" si="18"/>
        <v>507</v>
      </c>
      <c r="B54" s="2">
        <v>4</v>
      </c>
      <c r="C54" s="110" t="s">
        <v>429</v>
      </c>
      <c r="D54" s="268"/>
      <c r="E54" s="276"/>
      <c r="F54" s="112" t="str">
        <f>VLOOKUP(C54,Bolts!A:L,5,0)</f>
        <v xml:space="preserve">  </v>
      </c>
      <c r="G54" s="112" t="str">
        <f>VLOOKUP(C54,Bolts!A:L,6,0)</f>
        <v>Monroe Fasteners</v>
      </c>
      <c r="H54" s="112" t="str">
        <f>VLOOKUP(C54,Bolts!A:L,7,0)</f>
        <v xml:space="preserve">  </v>
      </c>
      <c r="I54" s="112"/>
      <c r="J54" s="44" t="str">
        <f>VLOOKUP(C54,Bolts!A:L,8,0)</f>
        <v xml:space="preserve"> </v>
      </c>
      <c r="K54" s="44" t="str">
        <f>VLOOKUP(C54,Bolts!A:L,9,0)</f>
        <v xml:space="preserve"> </v>
      </c>
      <c r="L54" s="44" t="str">
        <f>VLOOKUP(C54,Bolts!A:L,10,0)</f>
        <v xml:space="preserve"> </v>
      </c>
      <c r="M54" s="44" t="str">
        <f>VLOOKUP(C54,Bolts!A:L,11,0)</f>
        <v xml:space="preserve"> </v>
      </c>
      <c r="N54" s="45" t="str">
        <f>VLOOKUP(C54,Bolts!A:L,12,0)</f>
        <v xml:space="preserve"> </v>
      </c>
      <c r="O54" s="45" t="e">
        <f ca="1">B54*$L$2</f>
        <v>#VALUE!</v>
      </c>
      <c r="P54" s="49" t="str">
        <f>IFERROR(VLOOKUP(C54,Bolts!A:B,2,FALSE),"")</f>
        <v xml:space="preserve"> </v>
      </c>
      <c r="Q54" s="50" t="str">
        <f>IFERROR(B54*P54,"")</f>
        <v/>
      </c>
    </row>
    <row r="55" spans="1:17" s="2" customFormat="1" ht="12" customHeight="1">
      <c r="A55" s="4">
        <f t="shared" si="18"/>
        <v>508</v>
      </c>
      <c r="B55" s="2">
        <v>8</v>
      </c>
      <c r="C55" s="110" t="s">
        <v>430</v>
      </c>
      <c r="D55" s="268"/>
      <c r="E55" s="276"/>
      <c r="F55" s="112">
        <f>VLOOKUP(C55,Bolts!A:L,5,0)</f>
        <v>0</v>
      </c>
      <c r="G55" s="112">
        <f>VLOOKUP(C55,Bolts!A:L,6,0)</f>
        <v>0</v>
      </c>
      <c r="H55" s="112">
        <f>VLOOKUP(C55,Bolts!A:L,7,0)</f>
        <v>0</v>
      </c>
      <c r="I55" s="112"/>
      <c r="J55" s="44">
        <f>VLOOKUP(C55,Bolts!A:L,8,0)</f>
        <v>0</v>
      </c>
      <c r="K55" s="44">
        <f>VLOOKUP(C55,Bolts!A:L,9,0)</f>
        <v>0</v>
      </c>
      <c r="L55" s="44">
        <f>VLOOKUP(C55,Bolts!A:L,10,0)</f>
        <v>0</v>
      </c>
      <c r="M55" s="44">
        <f>VLOOKUP(C55,Bolts!A:L,11,0)</f>
        <v>0</v>
      </c>
      <c r="N55" s="45">
        <f>VLOOKUP(C55,Bolts!A:L,12,0)</f>
        <v>0</v>
      </c>
      <c r="O55" s="45" t="e">
        <f ca="1">B55*$L$2</f>
        <v>#VALUE!</v>
      </c>
      <c r="P55" s="49">
        <f>IFERROR(VLOOKUP(C55,Bolts!A:B,2,FALSE),"")</f>
        <v>0</v>
      </c>
      <c r="Q55" s="50">
        <f>IFERROR(B55*P55,"")</f>
        <v>0</v>
      </c>
    </row>
    <row r="56" spans="1:17" s="2" customFormat="1" ht="12" customHeight="1">
      <c r="A56" s="4">
        <f t="shared" si="18"/>
        <v>509</v>
      </c>
      <c r="B56" s="2">
        <v>4</v>
      </c>
      <c r="C56" s="110" t="s">
        <v>431</v>
      </c>
      <c r="D56" s="268"/>
      <c r="E56" s="276"/>
      <c r="F56" s="112" t="str">
        <f>VLOOKUP(C56,Bolts!A:L,5,0)</f>
        <v xml:space="preserve">  </v>
      </c>
      <c r="G56" s="112" t="str">
        <f>VLOOKUP(C56,Bolts!A:L,6,0)</f>
        <v>Monroe Fasteners</v>
      </c>
      <c r="H56" s="112" t="str">
        <f>VLOOKUP(C56,Bolts!A:L,7,0)</f>
        <v xml:space="preserve">  </v>
      </c>
      <c r="I56" s="112"/>
      <c r="J56" s="44" t="str">
        <f>VLOOKUP(C56,Bolts!A:L,8,0)</f>
        <v xml:space="preserve"> </v>
      </c>
      <c r="K56" s="44" t="str">
        <f>VLOOKUP(C56,Bolts!A:L,9,0)</f>
        <v xml:space="preserve"> </v>
      </c>
      <c r="L56" s="44" t="str">
        <f>VLOOKUP(C56,Bolts!A:L,10,0)</f>
        <v xml:space="preserve"> </v>
      </c>
      <c r="M56" s="44" t="str">
        <f>VLOOKUP(C56,Bolts!A:L,11,0)</f>
        <v xml:space="preserve"> </v>
      </c>
      <c r="N56" s="45" t="str">
        <f>VLOOKUP(C56,Bolts!A:L,12,0)</f>
        <v xml:space="preserve"> </v>
      </c>
      <c r="O56" s="45" t="e">
        <f t="shared" ca="1" si="16"/>
        <v>#VALUE!</v>
      </c>
      <c r="P56" s="49" t="str">
        <f>IFERROR(VLOOKUP(C56,Bolts!A:B,2,FALSE),"")</f>
        <v xml:space="preserve"> </v>
      </c>
      <c r="Q56" s="50" t="str">
        <f t="shared" si="17"/>
        <v/>
      </c>
    </row>
    <row r="57" spans="1:17" s="2" customFormat="1" ht="12" customHeight="1">
      <c r="A57" s="4">
        <f t="shared" si="18"/>
        <v>510</v>
      </c>
      <c r="B57" s="2">
        <v>4</v>
      </c>
      <c r="C57" s="110" t="s">
        <v>432</v>
      </c>
      <c r="D57" s="268"/>
      <c r="E57" s="276"/>
      <c r="F57" s="112" t="str">
        <f>VLOOKUP(C57,Bolts!A:L,5,0)</f>
        <v xml:space="preserve">  </v>
      </c>
      <c r="G57" s="112" t="str">
        <f>VLOOKUP(C57,Bolts!A:L,6,0)</f>
        <v>Monroe Fasteners</v>
      </c>
      <c r="H57" s="112" t="str">
        <f>VLOOKUP(C57,Bolts!A:L,7,0)</f>
        <v xml:space="preserve">  </v>
      </c>
      <c r="I57" s="112"/>
      <c r="J57" s="44" t="str">
        <f>VLOOKUP(C57,Bolts!A:L,8,0)</f>
        <v xml:space="preserve"> </v>
      </c>
      <c r="K57" s="44" t="str">
        <f>VLOOKUP(C57,Bolts!A:L,9,0)</f>
        <v xml:space="preserve"> </v>
      </c>
      <c r="L57" s="44" t="str">
        <f>VLOOKUP(C57,Bolts!A:L,10,0)</f>
        <v xml:space="preserve"> </v>
      </c>
      <c r="M57" s="44" t="str">
        <f>VLOOKUP(C57,Bolts!A:L,11,0)</f>
        <v xml:space="preserve"> </v>
      </c>
      <c r="N57" s="45" t="str">
        <f>VLOOKUP(C57,Bolts!A:L,12,0)</f>
        <v xml:space="preserve"> </v>
      </c>
      <c r="O57" s="45" t="e">
        <f t="shared" ca="1" si="16"/>
        <v>#VALUE!</v>
      </c>
      <c r="P57" s="49" t="str">
        <f>IFERROR(VLOOKUP(C57,Bolts!A:B,2,FALSE),"")</f>
        <v xml:space="preserve"> </v>
      </c>
      <c r="Q57" s="50" t="str">
        <f t="shared" si="17"/>
        <v/>
      </c>
    </row>
    <row r="58" spans="1:17" s="2" customFormat="1" ht="12" customHeight="1">
      <c r="A58" s="4">
        <f t="shared" si="18"/>
        <v>511</v>
      </c>
      <c r="B58" s="2">
        <v>2</v>
      </c>
      <c r="C58" s="110" t="s">
        <v>675</v>
      </c>
      <c r="D58" s="268"/>
      <c r="E58" s="276"/>
      <c r="F58" s="112">
        <f>VLOOKUP(C58,Bolts!A:L,5,0)</f>
        <v>0</v>
      </c>
      <c r="G58" s="112">
        <f>VLOOKUP(C58,Bolts!A:L,6,0)</f>
        <v>0</v>
      </c>
      <c r="H58" s="112">
        <f>VLOOKUP(C58,Bolts!A:L,7,0)</f>
        <v>0</v>
      </c>
      <c r="I58" s="112"/>
      <c r="J58" s="44">
        <f>VLOOKUP(C58,Bolts!A:L,8,0)</f>
        <v>0</v>
      </c>
      <c r="K58" s="44">
        <f>VLOOKUP(C58,Bolts!A:L,9,0)</f>
        <v>0</v>
      </c>
      <c r="L58" s="44">
        <f>VLOOKUP(C58,Bolts!A:L,10,0)</f>
        <v>0</v>
      </c>
      <c r="M58" s="44">
        <f>VLOOKUP(C58,Bolts!A:L,11,0)</f>
        <v>0</v>
      </c>
      <c r="N58" s="45">
        <f>VLOOKUP(C58,Bolts!A:L,12,0)</f>
        <v>0</v>
      </c>
      <c r="O58" s="45" t="e">
        <f t="shared" ref="O58" ca="1" si="19">B58*$L$2</f>
        <v>#VALUE!</v>
      </c>
      <c r="P58" s="49">
        <f>IFERROR(VLOOKUP(C58,Bolts!A:B,2,FALSE),"")</f>
        <v>0</v>
      </c>
      <c r="Q58" s="50">
        <f t="shared" ref="Q58" si="20">IFERROR(B58*P58,"")</f>
        <v>0</v>
      </c>
    </row>
    <row r="59" spans="1:17" s="2" customFormat="1" ht="12" customHeight="1" thickBot="1">
      <c r="A59" s="4">
        <f t="shared" si="18"/>
        <v>512</v>
      </c>
      <c r="B59" s="2">
        <v>8</v>
      </c>
      <c r="C59" s="110" t="s">
        <v>434</v>
      </c>
      <c r="D59" s="164"/>
      <c r="E59" s="165"/>
      <c r="F59" s="112" t="str">
        <f>VLOOKUP(C59,Bolts!A:L,5,0)</f>
        <v xml:space="preserve">  </v>
      </c>
      <c r="G59" s="112" t="str">
        <f>VLOOKUP(C59,Bolts!A:L,6,0)</f>
        <v>Monroe Fasteners</v>
      </c>
      <c r="H59" s="112" t="str">
        <f>VLOOKUP(C59,Bolts!A:L,7,0)</f>
        <v xml:space="preserve">  </v>
      </c>
      <c r="I59" s="112"/>
      <c r="J59" s="44" t="str">
        <f>VLOOKUP(C59,Bolts!A:L,8,0)</f>
        <v xml:space="preserve"> </v>
      </c>
      <c r="K59" s="44" t="str">
        <f>VLOOKUP(C59,Bolts!A:L,9,0)</f>
        <v xml:space="preserve"> </v>
      </c>
      <c r="L59" s="44" t="str">
        <f>VLOOKUP(C59,Bolts!A:L,10,0)</f>
        <v xml:space="preserve"> </v>
      </c>
      <c r="M59" s="44" t="str">
        <f>VLOOKUP(C59,Bolts!A:L,11,0)</f>
        <v xml:space="preserve"> </v>
      </c>
      <c r="N59" s="45" t="str">
        <f>VLOOKUP(C59,Bolts!A:L,12,0)</f>
        <v xml:space="preserve"> </v>
      </c>
      <c r="O59" s="45" t="e">
        <f ca="1">B59*$L$2</f>
        <v>#VALUE!</v>
      </c>
      <c r="P59" s="49" t="str">
        <f>IFERROR(VLOOKUP(C59,Bolts!A:B,2,FALSE),"")</f>
        <v xml:space="preserve"> </v>
      </c>
      <c r="Q59" s="50" t="str">
        <f>IFERROR(B59*P59,"")</f>
        <v/>
      </c>
    </row>
    <row r="60" spans="1:17" s="2" customFormat="1" ht="12.75" customHeight="1" thickBot="1">
      <c r="A60" s="34"/>
      <c r="B60" s="35"/>
      <c r="C60" s="35"/>
      <c r="D60" s="256"/>
      <c r="E60" s="257"/>
      <c r="F60" s="35"/>
      <c r="G60" s="35"/>
      <c r="H60" s="294"/>
      <c r="I60" s="295"/>
      <c r="J60" s="36"/>
      <c r="K60" s="36"/>
      <c r="L60" s="36"/>
      <c r="M60" s="37"/>
      <c r="N60" s="38"/>
      <c r="O60" s="38"/>
      <c r="P60" s="89" t="s">
        <v>43</v>
      </c>
      <c r="Q60" s="94">
        <f>SUM(Q5:Q58)</f>
        <v>14053.4959</v>
      </c>
    </row>
    <row r="61" spans="1:17" s="2" customFormat="1" ht="12" customHeight="1">
      <c r="D61" s="22"/>
      <c r="E61" s="22"/>
      <c r="J61" s="8"/>
      <c r="K61" s="8"/>
      <c r="L61" s="8"/>
      <c r="M61" s="8"/>
      <c r="N61" s="5"/>
      <c r="O61" s="5"/>
      <c r="P61" s="88"/>
      <c r="Q61" s="95"/>
    </row>
    <row r="62" spans="1:17" s="2" customFormat="1" ht="12" customHeight="1">
      <c r="D62" s="22"/>
      <c r="E62" s="22"/>
      <c r="J62" s="5"/>
      <c r="K62" s="5"/>
      <c r="L62" s="5"/>
      <c r="M62" s="5"/>
      <c r="N62" s="5"/>
      <c r="O62" s="5"/>
      <c r="P62" s="88"/>
      <c r="Q62" s="95"/>
    </row>
    <row r="63" spans="1:17" s="2" customFormat="1" ht="12" customHeight="1">
      <c r="D63" s="22"/>
      <c r="E63" s="22"/>
      <c r="J63" s="5"/>
      <c r="K63" s="5"/>
      <c r="L63" s="5"/>
      <c r="M63" s="5"/>
      <c r="N63" s="5"/>
      <c r="O63" s="5"/>
      <c r="P63" s="88"/>
      <c r="Q63" s="95"/>
    </row>
    <row r="64" spans="1:17" s="2" customFormat="1" ht="12" customHeight="1">
      <c r="D64" s="22"/>
      <c r="E64" s="22"/>
      <c r="J64" s="5"/>
      <c r="K64" s="5"/>
      <c r="L64" s="5"/>
      <c r="M64" s="5"/>
      <c r="N64" s="5"/>
      <c r="O64" s="5"/>
      <c r="P64" s="88"/>
      <c r="Q64" s="95"/>
    </row>
    <row r="65" spans="4:17" s="2" customFormat="1" ht="12" customHeight="1">
      <c r="D65" s="22"/>
      <c r="E65" s="22"/>
      <c r="J65" s="5"/>
      <c r="K65" s="5"/>
      <c r="L65" s="5"/>
      <c r="M65" s="5"/>
      <c r="N65" s="5"/>
      <c r="O65" s="5"/>
      <c r="P65" s="88"/>
      <c r="Q65" s="95"/>
    </row>
    <row r="66" spans="4:17" s="2" customFormat="1" ht="12" customHeight="1">
      <c r="D66" s="22"/>
      <c r="E66" s="22"/>
      <c r="J66" s="5"/>
      <c r="K66" s="5"/>
      <c r="L66" s="5"/>
      <c r="M66" s="5"/>
      <c r="N66" s="5"/>
      <c r="O66" s="5"/>
      <c r="P66" s="88"/>
      <c r="Q66" s="95"/>
    </row>
    <row r="67" spans="4:17" s="2" customFormat="1" ht="12" customHeight="1">
      <c r="D67" s="22"/>
      <c r="E67" s="22"/>
      <c r="J67" s="5"/>
      <c r="K67" s="5"/>
      <c r="L67" s="5"/>
      <c r="M67" s="5"/>
      <c r="N67" s="5"/>
      <c r="O67" s="5"/>
      <c r="P67" s="88"/>
      <c r="Q67" s="95"/>
    </row>
    <row r="68" spans="4:17" s="2" customFormat="1" ht="12" customHeight="1">
      <c r="D68" s="22"/>
      <c r="E68" s="22"/>
      <c r="J68" s="5"/>
      <c r="K68" s="5"/>
      <c r="L68" s="5"/>
      <c r="M68" s="5"/>
      <c r="N68" s="5"/>
      <c r="O68" s="5"/>
      <c r="P68" s="88"/>
      <c r="Q68" s="95"/>
    </row>
    <row r="69" spans="4:17" s="2" customFormat="1" ht="12" customHeight="1">
      <c r="D69" s="22"/>
      <c r="E69" s="22"/>
      <c r="J69" s="5"/>
      <c r="K69" s="5"/>
      <c r="L69" s="5"/>
      <c r="M69" s="5"/>
      <c r="N69" s="5"/>
      <c r="O69" s="5"/>
      <c r="P69" s="88"/>
      <c r="Q69" s="95"/>
    </row>
    <row r="70" spans="4:17" s="2" customFormat="1" ht="12" customHeight="1">
      <c r="D70" s="22"/>
      <c r="E70" s="22"/>
      <c r="J70" s="5"/>
      <c r="K70" s="5"/>
      <c r="L70" s="5"/>
      <c r="M70" s="5"/>
      <c r="N70" s="5"/>
      <c r="O70" s="5"/>
      <c r="P70" s="88"/>
      <c r="Q70" s="95"/>
    </row>
    <row r="71" spans="4:17" s="2" customFormat="1" ht="12" customHeight="1">
      <c r="D71" s="22"/>
      <c r="E71" s="22"/>
      <c r="J71" s="5"/>
      <c r="K71" s="5"/>
      <c r="L71" s="5"/>
      <c r="M71" s="5"/>
      <c r="N71" s="5"/>
      <c r="O71" s="5"/>
      <c r="P71" s="88"/>
      <c r="Q71" s="95"/>
    </row>
    <row r="72" spans="4:17" s="2" customFormat="1" ht="12" customHeight="1">
      <c r="D72" s="22"/>
      <c r="E72" s="22"/>
      <c r="J72" s="5"/>
      <c r="K72" s="5"/>
      <c r="L72" s="5"/>
      <c r="M72" s="5"/>
      <c r="N72" s="5"/>
      <c r="O72" s="5"/>
      <c r="P72" s="88"/>
      <c r="Q72" s="95"/>
    </row>
    <row r="73" spans="4:17" s="2" customFormat="1" ht="12" customHeight="1">
      <c r="D73" s="22"/>
      <c r="E73" s="22"/>
      <c r="J73" s="5"/>
      <c r="K73" s="5"/>
      <c r="L73" s="5"/>
      <c r="M73" s="5"/>
      <c r="N73" s="5"/>
      <c r="O73" s="5"/>
      <c r="P73" s="88"/>
      <c r="Q73" s="95"/>
    </row>
    <row r="74" spans="4:17" s="2" customFormat="1" ht="12" customHeight="1">
      <c r="D74" s="22"/>
      <c r="E74" s="22"/>
      <c r="J74" s="5"/>
      <c r="K74" s="5"/>
      <c r="L74" s="5"/>
      <c r="M74" s="5"/>
      <c r="N74" s="5"/>
      <c r="O74" s="5"/>
      <c r="P74" s="88"/>
      <c r="Q74" s="95"/>
    </row>
    <row r="75" spans="4:17" s="2" customFormat="1" ht="12" customHeight="1">
      <c r="D75" s="22"/>
      <c r="E75" s="22"/>
      <c r="J75" s="5"/>
      <c r="K75" s="5"/>
      <c r="L75" s="5"/>
      <c r="M75" s="5"/>
      <c r="N75" s="5"/>
      <c r="O75" s="5"/>
      <c r="P75" s="88"/>
      <c r="Q75" s="95"/>
    </row>
    <row r="76" spans="4:17" s="2" customFormat="1" ht="12" customHeight="1">
      <c r="D76" s="22"/>
      <c r="E76" s="22"/>
      <c r="J76" s="5"/>
      <c r="K76" s="5"/>
      <c r="L76" s="5"/>
      <c r="M76" s="5"/>
      <c r="N76" s="5"/>
      <c r="O76" s="5"/>
      <c r="P76" s="88"/>
      <c r="Q76" s="95"/>
    </row>
    <row r="77" spans="4:17" s="2" customFormat="1" ht="12" customHeight="1">
      <c r="D77" s="22"/>
      <c r="E77" s="22"/>
      <c r="J77" s="5"/>
      <c r="K77" s="5"/>
      <c r="L77" s="5"/>
      <c r="M77" s="5"/>
      <c r="N77" s="5"/>
      <c r="O77" s="5"/>
      <c r="P77" s="88"/>
      <c r="Q77" s="95"/>
    </row>
    <row r="78" spans="4:17" s="2" customFormat="1" ht="12" customHeight="1">
      <c r="D78" s="22"/>
      <c r="E78" s="22"/>
      <c r="J78" s="5"/>
      <c r="K78" s="5"/>
      <c r="L78" s="5"/>
      <c r="M78" s="5"/>
      <c r="N78" s="5"/>
      <c r="O78" s="5"/>
      <c r="P78" s="88"/>
      <c r="Q78" s="95"/>
    </row>
    <row r="79" spans="4:17" s="2" customFormat="1" ht="12" customHeight="1">
      <c r="D79" s="22"/>
      <c r="E79" s="22"/>
      <c r="J79" s="5"/>
      <c r="K79" s="5"/>
      <c r="L79" s="5"/>
      <c r="M79" s="5"/>
      <c r="N79" s="5"/>
      <c r="O79" s="5"/>
      <c r="P79" s="88"/>
      <c r="Q79" s="95"/>
    </row>
    <row r="80" spans="4:17" s="2" customFormat="1" ht="12" customHeight="1">
      <c r="D80" s="22"/>
      <c r="E80" s="22"/>
      <c r="J80" s="5"/>
      <c r="K80" s="5"/>
      <c r="L80" s="5"/>
      <c r="M80" s="5"/>
      <c r="N80" s="5"/>
      <c r="O80" s="5"/>
      <c r="P80" s="88"/>
      <c r="Q80" s="95"/>
    </row>
    <row r="81" spans="4:17" s="2" customFormat="1" ht="12" customHeight="1">
      <c r="D81" s="22"/>
      <c r="E81" s="22"/>
      <c r="J81" s="5"/>
      <c r="K81" s="5"/>
      <c r="L81" s="5"/>
      <c r="M81" s="5"/>
      <c r="N81" s="5"/>
      <c r="O81" s="5"/>
      <c r="P81" s="88"/>
      <c r="Q81" s="95"/>
    </row>
    <row r="82" spans="4:17" s="2" customFormat="1" ht="12" customHeight="1">
      <c r="D82" s="22"/>
      <c r="E82" s="22"/>
      <c r="J82" s="5"/>
      <c r="K82" s="5"/>
      <c r="L82" s="5"/>
      <c r="M82" s="5"/>
      <c r="N82" s="5"/>
      <c r="O82" s="5"/>
      <c r="P82" s="88"/>
      <c r="Q82" s="95"/>
    </row>
    <row r="83" spans="4:17" s="2" customFormat="1" ht="12" customHeight="1">
      <c r="D83" s="22"/>
      <c r="E83" s="22"/>
      <c r="J83" s="5"/>
      <c r="K83" s="5"/>
      <c r="L83" s="5"/>
      <c r="M83" s="5"/>
      <c r="N83" s="5"/>
      <c r="O83" s="5"/>
      <c r="P83" s="88"/>
      <c r="Q83" s="95"/>
    </row>
    <row r="84" spans="4:17" s="2" customFormat="1" ht="12" customHeight="1">
      <c r="D84" s="22"/>
      <c r="E84" s="22"/>
      <c r="J84" s="5"/>
      <c r="K84" s="5"/>
      <c r="L84" s="5"/>
      <c r="M84" s="5"/>
      <c r="N84" s="5"/>
      <c r="O84" s="5"/>
      <c r="P84" s="88"/>
      <c r="Q84" s="95"/>
    </row>
    <row r="85" spans="4:17" s="2" customFormat="1" ht="12" customHeight="1">
      <c r="D85" s="22"/>
      <c r="E85" s="22"/>
      <c r="J85" s="5"/>
      <c r="K85" s="5"/>
      <c r="L85" s="5"/>
      <c r="M85" s="5"/>
      <c r="N85" s="5"/>
      <c r="O85" s="5"/>
      <c r="P85" s="88"/>
      <c r="Q85" s="95"/>
    </row>
    <row r="86" spans="4:17" s="2" customFormat="1" ht="12" customHeight="1">
      <c r="D86" s="22"/>
      <c r="E86" s="22"/>
      <c r="J86" s="5"/>
      <c r="K86" s="5"/>
      <c r="L86" s="5"/>
      <c r="M86" s="5"/>
      <c r="N86" s="5"/>
      <c r="O86" s="5"/>
      <c r="P86" s="88"/>
      <c r="Q86" s="95"/>
    </row>
    <row r="87" spans="4:17" s="2" customFormat="1" ht="12" customHeight="1">
      <c r="D87" s="22"/>
      <c r="E87" s="22"/>
      <c r="J87" s="5"/>
      <c r="K87" s="5"/>
      <c r="L87" s="5"/>
      <c r="M87" s="5"/>
      <c r="N87" s="5"/>
      <c r="O87" s="5"/>
      <c r="P87" s="88"/>
      <c r="Q87" s="95"/>
    </row>
    <row r="88" spans="4:17" s="2" customFormat="1" ht="12" customHeight="1">
      <c r="D88" s="22"/>
      <c r="E88" s="22"/>
      <c r="J88" s="5"/>
      <c r="K88" s="5"/>
      <c r="L88" s="5"/>
      <c r="M88" s="5"/>
      <c r="N88" s="5"/>
      <c r="O88" s="5"/>
      <c r="P88" s="88"/>
      <c r="Q88" s="95"/>
    </row>
    <row r="89" spans="4:17" s="2" customFormat="1" ht="12" customHeight="1">
      <c r="D89" s="22"/>
      <c r="E89" s="22"/>
      <c r="J89" s="5"/>
      <c r="K89" s="5"/>
      <c r="L89" s="5"/>
      <c r="M89" s="5"/>
      <c r="N89" s="5"/>
      <c r="O89" s="5"/>
      <c r="P89" s="88"/>
      <c r="Q89" s="95"/>
    </row>
    <row r="90" spans="4:17" s="2" customFormat="1" ht="12" customHeight="1">
      <c r="D90" s="22"/>
      <c r="E90" s="22"/>
      <c r="J90" s="5"/>
      <c r="K90" s="5"/>
      <c r="L90" s="5"/>
      <c r="M90" s="5"/>
      <c r="N90" s="5"/>
      <c r="O90" s="5"/>
      <c r="P90" s="88"/>
      <c r="Q90" s="95"/>
    </row>
    <row r="91" spans="4:17" s="2" customFormat="1" ht="12" customHeight="1">
      <c r="D91" s="22"/>
      <c r="E91" s="22"/>
      <c r="J91" s="5"/>
      <c r="K91" s="5"/>
      <c r="L91" s="5"/>
      <c r="M91" s="5"/>
      <c r="N91" s="5"/>
      <c r="O91" s="5"/>
      <c r="P91" s="88"/>
      <c r="Q91" s="95"/>
    </row>
    <row r="92" spans="4:17" s="2" customFormat="1" ht="12" customHeight="1">
      <c r="D92" s="22"/>
      <c r="E92" s="22"/>
      <c r="J92" s="5"/>
      <c r="K92" s="5"/>
      <c r="L92" s="5"/>
      <c r="M92" s="5"/>
      <c r="N92" s="5"/>
      <c r="O92" s="5"/>
      <c r="P92" s="88"/>
      <c r="Q92" s="95"/>
    </row>
    <row r="93" spans="4:17" s="2" customFormat="1" ht="12" customHeight="1">
      <c r="D93" s="22"/>
      <c r="E93" s="22"/>
      <c r="J93" s="5"/>
      <c r="K93" s="5"/>
      <c r="L93" s="5"/>
      <c r="M93" s="5"/>
      <c r="N93" s="5"/>
      <c r="O93" s="5"/>
      <c r="P93" s="88"/>
      <c r="Q93" s="95"/>
    </row>
    <row r="94" spans="4:17" s="2" customFormat="1" ht="12" customHeight="1">
      <c r="D94" s="22"/>
      <c r="E94" s="22"/>
      <c r="J94" s="5"/>
      <c r="K94" s="5"/>
      <c r="L94" s="5"/>
      <c r="M94" s="5"/>
      <c r="N94" s="5"/>
      <c r="O94" s="5"/>
      <c r="P94" s="88"/>
      <c r="Q94" s="95"/>
    </row>
    <row r="95" spans="4:17" s="2" customFormat="1" ht="12" customHeight="1">
      <c r="D95" s="22"/>
      <c r="E95" s="22"/>
      <c r="J95" s="5"/>
      <c r="K95" s="5"/>
      <c r="L95" s="5"/>
      <c r="M95" s="5"/>
      <c r="N95" s="5"/>
      <c r="O95" s="5"/>
      <c r="P95" s="88"/>
      <c r="Q95" s="95"/>
    </row>
    <row r="96" spans="4:17" s="2" customFormat="1" ht="12" customHeight="1">
      <c r="D96" s="22"/>
      <c r="E96" s="22"/>
      <c r="J96" s="5"/>
      <c r="K96" s="5"/>
      <c r="L96" s="5"/>
      <c r="M96" s="5"/>
      <c r="N96" s="5"/>
      <c r="O96" s="5"/>
      <c r="P96" s="88"/>
      <c r="Q96" s="95"/>
    </row>
    <row r="97" spans="1:17" s="2" customFormat="1" ht="12" customHeight="1">
      <c r="D97" s="22"/>
      <c r="E97" s="22"/>
      <c r="J97" s="5"/>
      <c r="K97" s="5"/>
      <c r="L97" s="5"/>
      <c r="M97" s="5"/>
      <c r="N97" s="5"/>
      <c r="O97" s="5"/>
      <c r="P97" s="88"/>
      <c r="Q97" s="95"/>
    </row>
    <row r="98" spans="1:17" s="2" customFormat="1" ht="12" customHeight="1">
      <c r="D98" s="22"/>
      <c r="E98" s="22"/>
      <c r="J98" s="5"/>
      <c r="K98" s="5"/>
      <c r="L98" s="5"/>
      <c r="M98" s="5"/>
      <c r="N98" s="5"/>
      <c r="O98" s="5"/>
      <c r="P98" s="88"/>
      <c r="Q98" s="95"/>
    </row>
    <row r="99" spans="1:17" s="2" customFormat="1" ht="12" customHeight="1">
      <c r="D99" s="22"/>
      <c r="E99" s="22"/>
      <c r="J99" s="5"/>
      <c r="K99" s="5"/>
      <c r="L99" s="5"/>
      <c r="M99" s="5"/>
      <c r="N99" s="5"/>
      <c r="O99" s="5"/>
      <c r="P99" s="88"/>
      <c r="Q99" s="96"/>
    </row>
    <row r="100" spans="1:17" s="2" customFormat="1" ht="12" customHeight="1">
      <c r="D100" s="22"/>
      <c r="E100" s="22"/>
      <c r="J100" s="5"/>
      <c r="K100" s="5"/>
      <c r="L100" s="5"/>
      <c r="M100" s="5"/>
      <c r="N100" s="5"/>
      <c r="O100" s="5"/>
      <c r="P100" s="88"/>
      <c r="Q100" s="96"/>
    </row>
    <row r="101" spans="1:17" s="2" customFormat="1" ht="12" customHeight="1">
      <c r="D101" s="22"/>
      <c r="E101" s="22"/>
      <c r="J101" s="5"/>
      <c r="K101" s="5"/>
      <c r="L101" s="5"/>
      <c r="M101" s="5"/>
      <c r="N101" s="5"/>
      <c r="O101" s="5"/>
      <c r="P101" s="88"/>
      <c r="Q101" s="96"/>
    </row>
    <row r="102" spans="1:17" s="2" customFormat="1" ht="12" customHeight="1">
      <c r="D102" s="22"/>
      <c r="E102" s="22"/>
      <c r="J102" s="5"/>
      <c r="K102" s="5"/>
      <c r="L102" s="5"/>
      <c r="M102" s="5"/>
      <c r="N102" s="5"/>
      <c r="O102" s="5"/>
      <c r="P102" s="88"/>
      <c r="Q102" s="96"/>
    </row>
    <row r="103" spans="1:17" s="2" customFormat="1" ht="12" customHeight="1">
      <c r="A103"/>
      <c r="B103"/>
      <c r="C103"/>
      <c r="D103" s="23"/>
      <c r="E103" s="23"/>
      <c r="F103"/>
      <c r="G103"/>
      <c r="H103"/>
      <c r="I103"/>
      <c r="J103" s="19"/>
      <c r="K103" s="19"/>
      <c r="L103" s="19"/>
      <c r="M103" s="19"/>
      <c r="N103" s="19"/>
      <c r="O103" s="19"/>
      <c r="P103" s="90"/>
      <c r="Q103" s="96"/>
    </row>
    <row r="104" spans="1:17" s="2" customFormat="1" ht="12" customHeight="1">
      <c r="A104"/>
      <c r="B104"/>
      <c r="C104"/>
      <c r="D104" s="23"/>
      <c r="E104" s="23"/>
      <c r="F104"/>
      <c r="G104"/>
      <c r="H104"/>
      <c r="I104"/>
      <c r="J104" s="19"/>
      <c r="K104" s="19"/>
      <c r="L104" s="19"/>
      <c r="M104" s="19"/>
      <c r="N104" s="19"/>
      <c r="O104" s="19"/>
      <c r="P104" s="90"/>
      <c r="Q104" s="96"/>
    </row>
    <row r="105" spans="1:17" s="2" customFormat="1" ht="12" customHeight="1">
      <c r="A105"/>
      <c r="B105"/>
      <c r="C105"/>
      <c r="D105" s="23"/>
      <c r="E105" s="23"/>
      <c r="F105"/>
      <c r="G105"/>
      <c r="H105"/>
      <c r="I105"/>
      <c r="J105" s="19"/>
      <c r="K105" s="19"/>
      <c r="L105" s="19"/>
      <c r="M105" s="19"/>
      <c r="N105" s="19"/>
      <c r="O105" s="19"/>
      <c r="P105" s="90"/>
      <c r="Q105" s="96"/>
    </row>
    <row r="106" spans="1:17" s="2" customFormat="1" ht="12" customHeight="1">
      <c r="A106"/>
      <c r="B106"/>
      <c r="C106"/>
      <c r="D106" s="23"/>
      <c r="E106" s="23"/>
      <c r="F106"/>
      <c r="G106"/>
      <c r="H106"/>
      <c r="I106"/>
      <c r="J106" s="19"/>
      <c r="K106" s="19"/>
      <c r="L106" s="19"/>
      <c r="M106" s="19"/>
      <c r="N106" s="19"/>
      <c r="O106" s="19"/>
      <c r="P106" s="90"/>
      <c r="Q106" s="96"/>
    </row>
    <row r="107" spans="1:17" s="2" customFormat="1" ht="12" customHeight="1">
      <c r="A107"/>
      <c r="B107"/>
      <c r="C107"/>
      <c r="D107" s="23"/>
      <c r="E107" s="23"/>
      <c r="F107"/>
      <c r="G107"/>
      <c r="H107"/>
      <c r="I107"/>
      <c r="J107" s="19"/>
      <c r="K107" s="19"/>
      <c r="L107" s="19"/>
      <c r="M107" s="19"/>
      <c r="N107" s="19"/>
      <c r="O107" s="19"/>
      <c r="P107" s="90"/>
      <c r="Q107" s="96"/>
    </row>
    <row r="108" spans="1:17">
      <c r="Q108" s="96"/>
    </row>
    <row r="109" spans="1:17">
      <c r="Q109" s="96"/>
    </row>
    <row r="110" spans="1:17">
      <c r="Q110" s="96"/>
    </row>
    <row r="111" spans="1:17">
      <c r="Q111" s="96"/>
    </row>
    <row r="112" spans="1:17">
      <c r="Q112" s="96"/>
    </row>
    <row r="113" spans="17:17">
      <c r="Q113" s="96"/>
    </row>
    <row r="114" spans="17:17">
      <c r="Q114" s="96"/>
    </row>
    <row r="115" spans="17:17">
      <c r="Q115" s="96"/>
    </row>
    <row r="116" spans="17:17">
      <c r="Q116" s="96"/>
    </row>
    <row r="117" spans="17:17">
      <c r="Q117" s="96"/>
    </row>
    <row r="118" spans="17:17">
      <c r="Q118" s="96"/>
    </row>
    <row r="119" spans="17:17">
      <c r="Q119" s="96"/>
    </row>
    <row r="120" spans="17:17">
      <c r="Q120" s="96"/>
    </row>
    <row r="121" spans="17:17">
      <c r="Q121" s="96"/>
    </row>
    <row r="122" spans="17:17">
      <c r="Q122" s="96"/>
    </row>
    <row r="123" spans="17:17">
      <c r="Q123" s="96"/>
    </row>
    <row r="124" spans="17:17">
      <c r="Q124" s="96"/>
    </row>
    <row r="125" spans="17:17">
      <c r="Q125" s="96"/>
    </row>
    <row r="126" spans="17:17">
      <c r="Q126" s="96"/>
    </row>
    <row r="127" spans="17:17">
      <c r="Q127" s="96"/>
    </row>
    <row r="164" ht="12" customHeight="1"/>
    <row r="165" ht="12" customHeight="1"/>
    <row r="166" ht="12" customHeight="1"/>
    <row r="167" ht="12" customHeight="1"/>
    <row r="168" ht="12" customHeight="1"/>
    <row r="169" ht="12" customHeight="1"/>
    <row r="170" ht="12" customHeight="1"/>
    <row r="171" ht="12" customHeight="1"/>
    <row r="172" ht="12" customHeight="1"/>
    <row r="173" ht="12" customHeight="1"/>
    <row r="174" ht="12" customHeight="1"/>
    <row r="175" ht="12" customHeight="1"/>
    <row r="176" ht="12" customHeight="1"/>
    <row r="177" ht="12" customHeight="1"/>
    <row r="178" ht="12" customHeight="1"/>
    <row r="179" ht="12" customHeight="1"/>
    <row r="180" ht="12" customHeight="1"/>
    <row r="181" ht="12" customHeight="1"/>
    <row r="182" ht="12" customHeight="1"/>
    <row r="183" ht="12" customHeight="1"/>
    <row r="184" ht="12" customHeight="1"/>
    <row r="185" ht="12" customHeight="1"/>
    <row r="186" ht="12" customHeight="1"/>
    <row r="187" ht="12" customHeight="1"/>
    <row r="188" ht="12" customHeight="1"/>
    <row r="189" ht="12" customHeight="1"/>
    <row r="190" ht="12" customHeight="1"/>
    <row r="191" ht="12" customHeight="1"/>
    <row r="192" ht="12" customHeight="1"/>
    <row r="193" ht="12" customHeight="1"/>
    <row r="194" ht="12" customHeight="1"/>
    <row r="195" ht="12" customHeight="1"/>
    <row r="196" ht="12" customHeight="1"/>
    <row r="197" ht="12" customHeight="1"/>
    <row r="198" ht="12" customHeight="1"/>
    <row r="199" ht="12" customHeight="1"/>
    <row r="200" ht="12" customHeight="1"/>
    <row r="201" ht="12" customHeight="1"/>
    <row r="202" ht="12" customHeight="1"/>
    <row r="203" ht="12" customHeight="1"/>
    <row r="204" ht="12" customHeight="1"/>
    <row r="205" ht="12" customHeight="1"/>
    <row r="206" ht="12" customHeight="1"/>
    <row r="207" ht="12" customHeight="1"/>
    <row r="208" ht="12" customHeight="1"/>
    <row r="209" ht="12" customHeight="1"/>
    <row r="210" ht="12" customHeight="1"/>
    <row r="211" ht="12" customHeight="1"/>
    <row r="212" ht="12" customHeight="1"/>
    <row r="213" ht="12" customHeight="1"/>
  </sheetData>
  <mergeCells count="64">
    <mergeCell ref="D43:E43"/>
    <mergeCell ref="D44:E44"/>
    <mergeCell ref="D46:E46"/>
    <mergeCell ref="H47:I47"/>
    <mergeCell ref="D36:E36"/>
    <mergeCell ref="D45:E45"/>
    <mergeCell ref="D47:E47"/>
    <mergeCell ref="D42:E42"/>
    <mergeCell ref="D39:E39"/>
    <mergeCell ref="D37:E37"/>
    <mergeCell ref="D38:E38"/>
    <mergeCell ref="D40:E40"/>
    <mergeCell ref="D41:E41"/>
    <mergeCell ref="D60:E60"/>
    <mergeCell ref="H60:I60"/>
    <mergeCell ref="D57:E57"/>
    <mergeCell ref="D58:E58"/>
    <mergeCell ref="D48:E48"/>
    <mergeCell ref="D49:E49"/>
    <mergeCell ref="D50:E50"/>
    <mergeCell ref="D51:E51"/>
    <mergeCell ref="D52:E52"/>
    <mergeCell ref="D56:E56"/>
    <mergeCell ref="D53:E53"/>
    <mergeCell ref="D54:E54"/>
    <mergeCell ref="D55:E55"/>
    <mergeCell ref="D35:E35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10:E10"/>
    <mergeCell ref="D11:E11"/>
    <mergeCell ref="D12:E12"/>
    <mergeCell ref="D13:E13"/>
    <mergeCell ref="D20:E20"/>
    <mergeCell ref="D15:E15"/>
    <mergeCell ref="D16:E16"/>
    <mergeCell ref="D17:E17"/>
    <mergeCell ref="D18:E18"/>
    <mergeCell ref="D19:E19"/>
    <mergeCell ref="D9:E9"/>
    <mergeCell ref="D22:E22"/>
    <mergeCell ref="D23:E23"/>
    <mergeCell ref="H6:I6"/>
    <mergeCell ref="D1:E1"/>
    <mergeCell ref="D4:E4"/>
    <mergeCell ref="H4:I4"/>
    <mergeCell ref="D5:E5"/>
    <mergeCell ref="H5:I5"/>
    <mergeCell ref="D6:E6"/>
    <mergeCell ref="H9:I9"/>
    <mergeCell ref="D7:E7"/>
    <mergeCell ref="H7:I7"/>
    <mergeCell ref="D14:E14"/>
    <mergeCell ref="D21:E21"/>
    <mergeCell ref="H21:I21"/>
  </mergeCells>
  <conditionalFormatting sqref="M10:M20 M22:M46 M48:M59">
    <cfRule type="cellIs" dxfId="444" priority="1" stopIfTrue="1" operator="lessThanOrEqual">
      <formula>$L10</formula>
    </cfRule>
    <cfRule type="cellIs" dxfId="443" priority="2" operator="greaterThan">
      <formula>L10</formula>
    </cfRule>
  </conditionalFormatting>
  <pageMargins left="0.7" right="0.7" top="0.75" bottom="0.75" header="0.3" footer="0.3"/>
  <pageSetup paperSize="3" fitToHeight="0" orientation="landscape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5092ECB-3AED-4AE6-9A6B-E29398E3ABB1}">
          <x14:formula1>
            <xm:f>Assemblies!$E:$E</xm:f>
          </x14:formula1>
          <xm:sqref>C5:C8</xm:sqref>
        </x14:dataValidation>
        <x14:dataValidation type="list" allowBlank="1" showInputMessage="1" showErrorMessage="1" xr:uid="{9D6A2912-79AF-4DC6-AB37-03B34E084CD7}">
          <x14:formula1>
            <xm:f>Purchased!$A:$A</xm:f>
          </x14:formula1>
          <xm:sqref>C22:C46</xm:sqref>
        </x14:dataValidation>
        <x14:dataValidation type="list" allowBlank="1" showInputMessage="1" showErrorMessage="1" xr:uid="{66EEDC88-D417-499B-BA6B-A77274A32640}">
          <x14:formula1>
            <xm:f>Machined!$C:$C</xm:f>
          </x14:formula1>
          <xm:sqref>C10:C20</xm:sqref>
        </x14:dataValidation>
      </x14:dataValidation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C2A831-6068-43AA-88A8-C3F8C52B1CEC}">
  <sheetPr codeName="Sheet54">
    <tabColor theme="3" tint="0.79998168889431442"/>
    <pageSetUpPr fitToPage="1"/>
  </sheetPr>
  <dimension ref="A1:Q159"/>
  <sheetViews>
    <sheetView zoomScaleNormal="100" workbookViewId="0">
      <selection activeCell="C43" sqref="C43"/>
    </sheetView>
  </sheetViews>
  <sheetFormatPr defaultColWidth="9.140625" defaultRowHeight="15"/>
  <cols>
    <col min="1" max="1" width="5.7109375" customWidth="1"/>
    <col min="2" max="2" width="5.42578125" bestFit="1" customWidth="1"/>
    <col min="3" max="3" width="30.7109375" customWidth="1"/>
    <col min="4" max="5" width="20.7109375" style="23" customWidth="1"/>
    <col min="6" max="6" width="16.85546875" bestFit="1" customWidth="1"/>
    <col min="7" max="7" width="9.7109375" customWidth="1"/>
    <col min="8" max="8" width="8.7109375" customWidth="1"/>
    <col min="9" max="9" width="20.7109375" customWidth="1"/>
    <col min="10" max="13" width="11.7109375" style="19" customWidth="1"/>
    <col min="14" max="14" width="11.85546875" style="19" bestFit="1" customWidth="1"/>
    <col min="15" max="15" width="7.7109375" style="19" customWidth="1"/>
    <col min="16" max="16" width="10.7109375" style="90" customWidth="1"/>
    <col min="17" max="17" width="10.7109375" style="97" customWidth="1"/>
  </cols>
  <sheetData>
    <row r="1" spans="1:17" s="55" customFormat="1" ht="12" customHeight="1">
      <c r="A1" s="68" t="s">
        <v>0</v>
      </c>
      <c r="B1" s="69"/>
      <c r="C1" s="69"/>
      <c r="D1" s="262" t="s">
        <v>1</v>
      </c>
      <c r="E1" s="263"/>
      <c r="F1" s="70"/>
      <c r="G1" s="69"/>
      <c r="H1" s="70"/>
      <c r="I1" s="71"/>
      <c r="J1" s="72"/>
      <c r="K1" s="72"/>
      <c r="L1" s="72"/>
      <c r="M1" s="72"/>
      <c r="N1" s="72"/>
      <c r="O1" s="72"/>
      <c r="P1" s="85"/>
      <c r="Q1" s="91"/>
    </row>
    <row r="2" spans="1:17" s="55" customFormat="1" ht="12" customHeight="1">
      <c r="A2" s="74" t="s">
        <v>48</v>
      </c>
      <c r="B2" s="58"/>
      <c r="C2" s="57" t="e">
        <f ca="1">VLOOKUP(E3,Assemblies!B:F,4,0)</f>
        <v>#VALUE!</v>
      </c>
      <c r="D2" s="75" t="s">
        <v>3</v>
      </c>
      <c r="E2" s="76" t="e">
        <f ca="1">'GF12'!E2</f>
        <v>#VALUE!</v>
      </c>
      <c r="F2" s="77" t="s">
        <v>4</v>
      </c>
      <c r="G2" s="58" t="str">
        <f>'GF12'!G2</f>
        <v>GH</v>
      </c>
      <c r="H2" s="77" t="s">
        <v>6</v>
      </c>
      <c r="I2" s="59">
        <f>'GF12'!I2</f>
        <v>44775</v>
      </c>
      <c r="J2" s="39"/>
      <c r="K2" s="40" t="s">
        <v>49</v>
      </c>
      <c r="L2" s="41" t="e">
        <f ca="1">VLOOKUP(C2,Assemblies!E:G,3,0)</f>
        <v>#VALUE!</v>
      </c>
      <c r="M2" s="78"/>
      <c r="N2" s="78"/>
      <c r="O2" s="78"/>
      <c r="P2" s="86"/>
      <c r="Q2" s="92"/>
    </row>
    <row r="3" spans="1:17" s="55" customFormat="1" ht="12" customHeight="1" thickBot="1">
      <c r="A3" s="74" t="s">
        <v>7</v>
      </c>
      <c r="B3" s="58"/>
      <c r="C3" s="57" t="e">
        <f ca="1">VLOOKUP(E3,Assemblies!B:F,5,0)</f>
        <v>#VALUE!</v>
      </c>
      <c r="D3" s="75" t="s">
        <v>50</v>
      </c>
      <c r="E3" s="76" t="e">
        <f ca="1">MID(CELL("filename",A1),FIND("]",CELL("filename",A1))+1,256)</f>
        <v>#VALUE!</v>
      </c>
      <c r="F3" s="77" t="s">
        <v>11</v>
      </c>
      <c r="G3" s="58" t="str">
        <f>'GF12'!G3</f>
        <v>GH</v>
      </c>
      <c r="H3" s="77" t="s">
        <v>6</v>
      </c>
      <c r="I3" s="59">
        <f>'GF12'!I3</f>
        <v>44775</v>
      </c>
      <c r="J3" s="78"/>
      <c r="K3" s="78"/>
      <c r="L3" s="78"/>
      <c r="M3" s="78"/>
      <c r="N3" s="78"/>
      <c r="O3" s="78"/>
      <c r="P3" s="86"/>
      <c r="Q3" s="92"/>
    </row>
    <row r="4" spans="1:17" s="56" customFormat="1" ht="12.75" customHeight="1" thickBot="1">
      <c r="A4" s="80" t="s">
        <v>12</v>
      </c>
      <c r="B4" s="81" t="s">
        <v>13</v>
      </c>
      <c r="C4" s="81" t="s">
        <v>14</v>
      </c>
      <c r="D4" s="270" t="s">
        <v>15</v>
      </c>
      <c r="E4" s="271"/>
      <c r="F4" s="104" t="s">
        <v>16</v>
      </c>
      <c r="G4" s="81" t="s">
        <v>17</v>
      </c>
      <c r="H4" s="260" t="s">
        <v>18</v>
      </c>
      <c r="I4" s="261"/>
      <c r="J4" s="81" t="s">
        <v>51</v>
      </c>
      <c r="K4" s="81" t="s">
        <v>20</v>
      </c>
      <c r="L4" s="81" t="s">
        <v>21</v>
      </c>
      <c r="M4" s="81" t="s">
        <v>52</v>
      </c>
      <c r="N4" s="81" t="s">
        <v>22</v>
      </c>
      <c r="O4" s="81" t="s">
        <v>53</v>
      </c>
      <c r="P4" s="107" t="s">
        <v>26</v>
      </c>
      <c r="Q4" s="82" t="s">
        <v>27</v>
      </c>
    </row>
    <row r="5" spans="1:17" s="2" customFormat="1" ht="12.75" customHeight="1" thickBot="1">
      <c r="A5" s="127">
        <v>1</v>
      </c>
      <c r="B5" s="21">
        <v>1</v>
      </c>
      <c r="C5" s="108" t="s">
        <v>676</v>
      </c>
      <c r="D5" s="277" t="str">
        <f>VLOOKUP(C5,Machined!C:Q,2,0)</f>
        <v>Solid Idler Nip Roller</v>
      </c>
      <c r="E5" s="278"/>
      <c r="F5" s="131" t="str">
        <f>VLOOKUP(C5,Machined!C:R,7,0)</f>
        <v>1026 DOM Tube</v>
      </c>
      <c r="G5" s="131" t="str">
        <f>VLOOKUP(C5,Machined!C:R,10,0)</f>
        <v>XOMETRY</v>
      </c>
      <c r="H5" s="131" t="str">
        <f>VLOOKUP(C5,Machined!C:R,11,0)</f>
        <v>Drawing and step files are under 231.00</v>
      </c>
      <c r="I5" s="131"/>
      <c r="J5" s="42" t="str">
        <f>VLOOKUP(C5,Machined!C:R,12,0)</f>
        <v>N/A</v>
      </c>
      <c r="K5" s="42">
        <f>VLOOKUP(C5,Machined!C:R,13,0)</f>
        <v>45124</v>
      </c>
      <c r="L5" s="42">
        <f>VLOOKUP(C5,Machined!C:R,14,0)</f>
        <v>45147</v>
      </c>
      <c r="M5" s="42">
        <f>VLOOKUP(C5,Machined!C:R,15,0)</f>
        <v>45147</v>
      </c>
      <c r="N5" s="43">
        <f>VLOOKUP(C5,Machined!C:R,16,0)</f>
        <v>54996</v>
      </c>
      <c r="O5" s="43" t="e">
        <f t="shared" ref="O5" ca="1" si="0">B5*$L$2</f>
        <v>#VALUE!</v>
      </c>
      <c r="P5" s="47">
        <f>IFERROR(VLOOKUP(C5,Machined!C:F,3,0),"")</f>
        <v>1977.23</v>
      </c>
      <c r="Q5" s="48">
        <f t="shared" ref="Q5" si="1">IFERROR(B5*P5,"")</f>
        <v>1977.23</v>
      </c>
    </row>
    <row r="6" spans="1:17" s="2" customFormat="1" ht="12.75" customHeight="1" thickBot="1">
      <c r="A6" s="34"/>
      <c r="B6" s="35"/>
      <c r="C6" s="35"/>
      <c r="D6" s="256"/>
      <c r="E6" s="257"/>
      <c r="F6" s="35"/>
      <c r="G6" s="35"/>
      <c r="H6" s="294"/>
      <c r="I6" s="295"/>
      <c r="J6" s="36"/>
      <c r="K6" s="36"/>
      <c r="L6" s="36"/>
      <c r="M6" s="37"/>
      <c r="N6" s="38"/>
      <c r="O6" s="38"/>
      <c r="P6" s="89" t="s">
        <v>43</v>
      </c>
      <c r="Q6" s="94">
        <f>SUM(Q5:Q5)</f>
        <v>1977.23</v>
      </c>
    </row>
    <row r="7" spans="1:17" s="2" customFormat="1" ht="12" customHeight="1">
      <c r="D7" s="22"/>
      <c r="E7" s="22"/>
      <c r="J7" s="8"/>
      <c r="K7" s="8"/>
      <c r="L7" s="8"/>
      <c r="M7" s="8"/>
      <c r="N7" s="5"/>
      <c r="O7" s="5"/>
      <c r="P7" s="88"/>
      <c r="Q7" s="95"/>
    </row>
    <row r="8" spans="1:17" s="2" customFormat="1" ht="12" customHeight="1">
      <c r="D8" s="22"/>
      <c r="E8" s="22"/>
      <c r="J8" s="5"/>
      <c r="K8" s="5"/>
      <c r="L8" s="5"/>
      <c r="M8" s="5"/>
      <c r="N8" s="5"/>
      <c r="O8" s="5"/>
      <c r="P8" s="88"/>
      <c r="Q8" s="95"/>
    </row>
    <row r="9" spans="1:17" s="2" customFormat="1" ht="12" customHeight="1">
      <c r="D9" s="22"/>
      <c r="E9" s="22"/>
      <c r="J9" s="5"/>
      <c r="K9" s="5"/>
      <c r="L9" s="5"/>
      <c r="M9" s="5"/>
      <c r="N9" s="5"/>
      <c r="O9" s="5"/>
      <c r="P9" s="88"/>
      <c r="Q9" s="95"/>
    </row>
    <row r="10" spans="1:17" s="2" customFormat="1" ht="12" customHeight="1">
      <c r="D10" s="22"/>
      <c r="E10" s="22"/>
      <c r="J10" s="5"/>
      <c r="K10" s="5"/>
      <c r="L10" s="5"/>
      <c r="M10" s="5"/>
      <c r="N10" s="5"/>
      <c r="O10" s="5"/>
      <c r="P10" s="88"/>
      <c r="Q10" s="95"/>
    </row>
    <row r="11" spans="1:17" s="2" customFormat="1" ht="12" customHeight="1">
      <c r="D11" s="22"/>
      <c r="E11" s="22"/>
      <c r="J11" s="5"/>
      <c r="K11" s="5"/>
      <c r="L11" s="5"/>
      <c r="M11" s="5"/>
      <c r="N11" s="5"/>
      <c r="O11" s="5"/>
      <c r="P11" s="88"/>
      <c r="Q11" s="95"/>
    </row>
    <row r="12" spans="1:17" s="2" customFormat="1" ht="12" customHeight="1">
      <c r="D12" s="22"/>
      <c r="E12" s="22"/>
      <c r="J12" s="5"/>
      <c r="K12" s="5"/>
      <c r="L12" s="5"/>
      <c r="M12" s="5"/>
      <c r="N12" s="5"/>
      <c r="O12" s="5"/>
      <c r="P12" s="88"/>
      <c r="Q12" s="95"/>
    </row>
    <row r="13" spans="1:17" s="2" customFormat="1" ht="12" customHeight="1">
      <c r="D13" s="22"/>
      <c r="E13" s="22"/>
      <c r="J13" s="5"/>
      <c r="K13" s="5"/>
      <c r="L13" s="5"/>
      <c r="M13" s="5"/>
      <c r="N13" s="5"/>
      <c r="O13" s="5"/>
      <c r="P13" s="88"/>
      <c r="Q13" s="95"/>
    </row>
    <row r="14" spans="1:17" s="2" customFormat="1" ht="12" customHeight="1">
      <c r="D14" s="22"/>
      <c r="E14" s="22"/>
      <c r="J14" s="5"/>
      <c r="K14" s="5"/>
      <c r="L14" s="5"/>
      <c r="M14" s="5"/>
      <c r="N14" s="5"/>
      <c r="O14" s="5"/>
      <c r="P14" s="88"/>
      <c r="Q14" s="95"/>
    </row>
    <row r="15" spans="1:17" s="2" customFormat="1" ht="12" customHeight="1">
      <c r="D15" s="22"/>
      <c r="E15" s="22"/>
      <c r="J15" s="5"/>
      <c r="K15" s="5"/>
      <c r="L15" s="5"/>
      <c r="M15" s="5"/>
      <c r="N15" s="5"/>
      <c r="O15" s="5"/>
      <c r="P15" s="88"/>
      <c r="Q15" s="95"/>
    </row>
    <row r="16" spans="1:17" s="2" customFormat="1" ht="12" customHeight="1">
      <c r="D16" s="22"/>
      <c r="E16" s="22"/>
      <c r="J16" s="5"/>
      <c r="K16" s="5"/>
      <c r="L16" s="5"/>
      <c r="M16" s="5"/>
      <c r="N16" s="5"/>
      <c r="O16" s="5"/>
      <c r="P16" s="88"/>
      <c r="Q16" s="95"/>
    </row>
    <row r="17" spans="4:17" s="2" customFormat="1" ht="12" customHeight="1">
      <c r="D17" s="22"/>
      <c r="E17" s="22"/>
      <c r="J17" s="5"/>
      <c r="K17" s="5"/>
      <c r="L17" s="5"/>
      <c r="M17" s="5"/>
      <c r="N17" s="5"/>
      <c r="O17" s="5"/>
      <c r="P17" s="88"/>
      <c r="Q17" s="95"/>
    </row>
    <row r="18" spans="4:17" s="2" customFormat="1" ht="12" customHeight="1">
      <c r="D18" s="22"/>
      <c r="E18" s="22"/>
      <c r="J18" s="5"/>
      <c r="K18" s="5"/>
      <c r="L18" s="5"/>
      <c r="M18" s="5"/>
      <c r="N18" s="5"/>
      <c r="O18" s="5"/>
      <c r="P18" s="88"/>
      <c r="Q18" s="95"/>
    </row>
    <row r="19" spans="4:17" s="2" customFormat="1" ht="12" customHeight="1">
      <c r="D19" s="22"/>
      <c r="E19" s="22"/>
      <c r="J19" s="5"/>
      <c r="K19" s="5"/>
      <c r="L19" s="5"/>
      <c r="M19" s="5"/>
      <c r="N19" s="5"/>
      <c r="O19" s="5"/>
      <c r="P19" s="88"/>
      <c r="Q19" s="95"/>
    </row>
    <row r="20" spans="4:17" s="2" customFormat="1" ht="12" customHeight="1">
      <c r="D20" s="22"/>
      <c r="E20" s="22"/>
      <c r="J20" s="5"/>
      <c r="K20" s="5"/>
      <c r="L20" s="5"/>
      <c r="M20" s="5"/>
      <c r="N20" s="5"/>
      <c r="O20" s="5"/>
      <c r="P20" s="88"/>
      <c r="Q20" s="95"/>
    </row>
    <row r="21" spans="4:17" s="2" customFormat="1" ht="12" customHeight="1">
      <c r="D21" s="22"/>
      <c r="E21" s="22"/>
      <c r="J21" s="5"/>
      <c r="K21" s="5"/>
      <c r="L21" s="5"/>
      <c r="M21" s="5"/>
      <c r="N21" s="5"/>
      <c r="O21" s="5"/>
      <c r="P21" s="88"/>
      <c r="Q21" s="95"/>
    </row>
    <row r="22" spans="4:17" s="2" customFormat="1" ht="12" customHeight="1">
      <c r="D22" s="22"/>
      <c r="E22" s="22"/>
      <c r="J22" s="5"/>
      <c r="K22" s="5"/>
      <c r="L22" s="5"/>
      <c r="M22" s="5"/>
      <c r="N22" s="5"/>
      <c r="O22" s="5"/>
      <c r="P22" s="88"/>
      <c r="Q22" s="95"/>
    </row>
    <row r="23" spans="4:17" s="2" customFormat="1" ht="12" customHeight="1">
      <c r="D23" s="22"/>
      <c r="E23" s="22"/>
      <c r="J23" s="5"/>
      <c r="K23" s="5"/>
      <c r="L23" s="5"/>
      <c r="M23" s="5"/>
      <c r="N23" s="5"/>
      <c r="O23" s="5"/>
      <c r="P23" s="88"/>
      <c r="Q23" s="95"/>
    </row>
    <row r="24" spans="4:17" s="2" customFormat="1" ht="12" customHeight="1">
      <c r="D24" s="22"/>
      <c r="E24" s="22"/>
      <c r="J24" s="5"/>
      <c r="K24" s="5"/>
      <c r="L24" s="5"/>
      <c r="M24" s="5"/>
      <c r="N24" s="5"/>
      <c r="O24" s="5"/>
      <c r="P24" s="88"/>
      <c r="Q24" s="95"/>
    </row>
    <row r="25" spans="4:17" s="2" customFormat="1" ht="12" customHeight="1">
      <c r="D25" s="22"/>
      <c r="E25" s="22"/>
      <c r="J25" s="5"/>
      <c r="K25" s="5"/>
      <c r="L25" s="5"/>
      <c r="M25" s="5"/>
      <c r="N25" s="5"/>
      <c r="O25" s="5"/>
      <c r="P25" s="88"/>
      <c r="Q25" s="95"/>
    </row>
    <row r="26" spans="4:17" s="2" customFormat="1" ht="12" customHeight="1">
      <c r="D26" s="22"/>
      <c r="E26" s="22"/>
      <c r="J26" s="5"/>
      <c r="K26" s="5"/>
      <c r="L26" s="5"/>
      <c r="M26" s="5"/>
      <c r="N26" s="5"/>
      <c r="O26" s="5"/>
      <c r="P26" s="88"/>
      <c r="Q26" s="95"/>
    </row>
    <row r="27" spans="4:17" s="2" customFormat="1" ht="12" customHeight="1">
      <c r="D27" s="22"/>
      <c r="E27" s="22"/>
      <c r="J27" s="5"/>
      <c r="K27" s="5"/>
      <c r="L27" s="5"/>
      <c r="M27" s="5"/>
      <c r="N27" s="5"/>
      <c r="O27" s="5"/>
      <c r="P27" s="88"/>
      <c r="Q27" s="95"/>
    </row>
    <row r="28" spans="4:17" s="2" customFormat="1" ht="12" customHeight="1">
      <c r="D28" s="22"/>
      <c r="E28" s="22"/>
      <c r="J28" s="5"/>
      <c r="K28" s="5"/>
      <c r="L28" s="5"/>
      <c r="M28" s="5"/>
      <c r="N28" s="5"/>
      <c r="O28" s="5"/>
      <c r="P28" s="88"/>
      <c r="Q28" s="95"/>
    </row>
    <row r="29" spans="4:17" s="2" customFormat="1" ht="12" customHeight="1">
      <c r="D29" s="22"/>
      <c r="E29" s="22"/>
      <c r="J29" s="5"/>
      <c r="K29" s="5"/>
      <c r="L29" s="5"/>
      <c r="M29" s="5"/>
      <c r="N29" s="5"/>
      <c r="O29" s="5"/>
      <c r="P29" s="88"/>
      <c r="Q29" s="95"/>
    </row>
    <row r="30" spans="4:17" s="2" customFormat="1" ht="12" customHeight="1">
      <c r="D30" s="22"/>
      <c r="E30" s="22"/>
      <c r="J30" s="5"/>
      <c r="K30" s="5"/>
      <c r="L30" s="5"/>
      <c r="M30" s="5"/>
      <c r="N30" s="5"/>
      <c r="O30" s="5"/>
      <c r="P30" s="88"/>
      <c r="Q30" s="95"/>
    </row>
    <row r="31" spans="4:17" s="2" customFormat="1" ht="12" customHeight="1">
      <c r="D31" s="22"/>
      <c r="E31" s="22"/>
      <c r="J31" s="5"/>
      <c r="K31" s="5"/>
      <c r="L31" s="5"/>
      <c r="M31" s="5"/>
      <c r="N31" s="5"/>
      <c r="O31" s="5"/>
      <c r="P31" s="88"/>
      <c r="Q31" s="95"/>
    </row>
    <row r="32" spans="4:17" s="2" customFormat="1" ht="12" customHeight="1">
      <c r="D32" s="22"/>
      <c r="E32" s="22"/>
      <c r="J32" s="5"/>
      <c r="K32" s="5"/>
      <c r="L32" s="5"/>
      <c r="M32" s="5"/>
      <c r="N32" s="5"/>
      <c r="O32" s="5"/>
      <c r="P32" s="88"/>
      <c r="Q32" s="95"/>
    </row>
    <row r="33" spans="4:17" s="2" customFormat="1" ht="12" customHeight="1">
      <c r="D33" s="22"/>
      <c r="E33" s="22"/>
      <c r="J33" s="5"/>
      <c r="K33" s="5"/>
      <c r="L33" s="5"/>
      <c r="M33" s="5"/>
      <c r="N33" s="5"/>
      <c r="O33" s="5"/>
      <c r="P33" s="88"/>
      <c r="Q33" s="95"/>
    </row>
    <row r="34" spans="4:17" s="2" customFormat="1" ht="12" customHeight="1">
      <c r="D34" s="22"/>
      <c r="E34" s="22"/>
      <c r="J34" s="5"/>
      <c r="K34" s="5"/>
      <c r="L34" s="5"/>
      <c r="M34" s="5"/>
      <c r="N34" s="5"/>
      <c r="O34" s="5"/>
      <c r="P34" s="88"/>
      <c r="Q34" s="95"/>
    </row>
    <row r="35" spans="4:17" s="2" customFormat="1" ht="12" customHeight="1">
      <c r="D35" s="22"/>
      <c r="E35" s="22"/>
      <c r="J35" s="5"/>
      <c r="K35" s="5"/>
      <c r="L35" s="5"/>
      <c r="M35" s="5"/>
      <c r="N35" s="5"/>
      <c r="O35" s="5"/>
      <c r="P35" s="88"/>
      <c r="Q35" s="95"/>
    </row>
    <row r="36" spans="4:17" s="2" customFormat="1" ht="12" customHeight="1">
      <c r="D36" s="22"/>
      <c r="E36" s="22"/>
      <c r="J36" s="5"/>
      <c r="K36" s="5"/>
      <c r="L36" s="5"/>
      <c r="M36" s="5"/>
      <c r="N36" s="5"/>
      <c r="O36" s="5"/>
      <c r="P36" s="88"/>
      <c r="Q36" s="95"/>
    </row>
    <row r="37" spans="4:17" s="2" customFormat="1" ht="12" customHeight="1">
      <c r="D37" s="22"/>
      <c r="E37" s="22"/>
      <c r="J37" s="5"/>
      <c r="K37" s="5"/>
      <c r="L37" s="5"/>
      <c r="M37" s="5"/>
      <c r="N37" s="5"/>
      <c r="O37" s="5"/>
      <c r="P37" s="88"/>
      <c r="Q37" s="95"/>
    </row>
    <row r="38" spans="4:17" s="2" customFormat="1" ht="12" customHeight="1">
      <c r="D38" s="22"/>
      <c r="E38" s="22"/>
      <c r="J38" s="5"/>
      <c r="K38" s="5"/>
      <c r="L38" s="5"/>
      <c r="M38" s="5"/>
      <c r="N38" s="5"/>
      <c r="O38" s="5"/>
      <c r="P38" s="88"/>
      <c r="Q38" s="95"/>
    </row>
    <row r="39" spans="4:17" s="2" customFormat="1" ht="12" customHeight="1">
      <c r="D39" s="22"/>
      <c r="E39" s="22"/>
      <c r="J39" s="5"/>
      <c r="K39" s="5"/>
      <c r="L39" s="5"/>
      <c r="M39" s="5"/>
      <c r="N39" s="5"/>
      <c r="O39" s="5"/>
      <c r="P39" s="88"/>
      <c r="Q39" s="95"/>
    </row>
    <row r="40" spans="4:17" s="2" customFormat="1" ht="12" customHeight="1">
      <c r="D40" s="22"/>
      <c r="E40" s="22"/>
      <c r="J40" s="5"/>
      <c r="K40" s="5"/>
      <c r="L40" s="5"/>
      <c r="M40" s="5"/>
      <c r="N40" s="5"/>
      <c r="O40" s="5"/>
      <c r="P40" s="88"/>
      <c r="Q40" s="95"/>
    </row>
    <row r="41" spans="4:17" s="2" customFormat="1" ht="12" customHeight="1">
      <c r="D41" s="22"/>
      <c r="E41" s="22"/>
      <c r="J41" s="5"/>
      <c r="K41" s="5"/>
      <c r="L41" s="5"/>
      <c r="M41" s="5"/>
      <c r="N41" s="5"/>
      <c r="O41" s="5"/>
      <c r="P41" s="88"/>
      <c r="Q41" s="95"/>
    </row>
    <row r="42" spans="4:17" s="2" customFormat="1" ht="12" customHeight="1">
      <c r="D42" s="22"/>
      <c r="E42" s="22"/>
      <c r="J42" s="5"/>
      <c r="K42" s="5"/>
      <c r="L42" s="5"/>
      <c r="M42" s="5"/>
      <c r="N42" s="5"/>
      <c r="O42" s="5"/>
      <c r="P42" s="88"/>
      <c r="Q42" s="95"/>
    </row>
    <row r="43" spans="4:17" s="2" customFormat="1" ht="12" customHeight="1">
      <c r="D43" s="22"/>
      <c r="E43" s="22"/>
      <c r="J43" s="5"/>
      <c r="K43" s="5"/>
      <c r="L43" s="5"/>
      <c r="M43" s="5"/>
      <c r="N43" s="5"/>
      <c r="O43" s="5"/>
      <c r="P43" s="88"/>
      <c r="Q43" s="95"/>
    </row>
    <row r="44" spans="4:17" s="2" customFormat="1" ht="12" customHeight="1">
      <c r="D44" s="22"/>
      <c r="E44" s="22"/>
      <c r="J44" s="5"/>
      <c r="K44" s="5"/>
      <c r="L44" s="5"/>
      <c r="M44" s="5"/>
      <c r="N44" s="5"/>
      <c r="O44" s="5"/>
      <c r="P44" s="88"/>
      <c r="Q44" s="95"/>
    </row>
    <row r="45" spans="4:17" s="2" customFormat="1" ht="12" customHeight="1">
      <c r="D45" s="22"/>
      <c r="E45" s="22"/>
      <c r="J45" s="5"/>
      <c r="K45" s="5"/>
      <c r="L45" s="5"/>
      <c r="M45" s="5"/>
      <c r="N45" s="5"/>
      <c r="O45" s="5"/>
      <c r="P45" s="88"/>
      <c r="Q45" s="96"/>
    </row>
    <row r="46" spans="4:17" s="2" customFormat="1" ht="12" customHeight="1">
      <c r="D46" s="22"/>
      <c r="E46" s="22"/>
      <c r="J46" s="5"/>
      <c r="K46" s="5"/>
      <c r="L46" s="5"/>
      <c r="M46" s="5"/>
      <c r="N46" s="5"/>
      <c r="O46" s="5"/>
      <c r="P46" s="88"/>
      <c r="Q46" s="96"/>
    </row>
    <row r="47" spans="4:17" s="2" customFormat="1" ht="12" customHeight="1">
      <c r="D47" s="22"/>
      <c r="E47" s="22"/>
      <c r="J47" s="5"/>
      <c r="K47" s="5"/>
      <c r="L47" s="5"/>
      <c r="M47" s="5"/>
      <c r="N47" s="5"/>
      <c r="O47" s="5"/>
      <c r="P47" s="88"/>
      <c r="Q47" s="96"/>
    </row>
    <row r="48" spans="4:17" s="2" customFormat="1" ht="12" customHeight="1">
      <c r="D48" s="22"/>
      <c r="E48" s="22"/>
      <c r="J48" s="5"/>
      <c r="K48" s="5"/>
      <c r="L48" s="5"/>
      <c r="M48" s="5"/>
      <c r="N48" s="5"/>
      <c r="O48" s="5"/>
      <c r="P48" s="88"/>
      <c r="Q48" s="96"/>
    </row>
    <row r="49" spans="1:17" s="2" customFormat="1" ht="12" customHeight="1">
      <c r="A49"/>
      <c r="B49"/>
      <c r="C49"/>
      <c r="D49" s="23"/>
      <c r="E49" s="23"/>
      <c r="F49"/>
      <c r="G49"/>
      <c r="H49"/>
      <c r="I49"/>
      <c r="J49" s="19"/>
      <c r="K49" s="19"/>
      <c r="L49" s="19"/>
      <c r="M49" s="19"/>
      <c r="N49" s="19"/>
      <c r="O49" s="19"/>
      <c r="P49" s="90"/>
      <c r="Q49" s="96"/>
    </row>
    <row r="50" spans="1:17" s="2" customFormat="1" ht="12" customHeight="1">
      <c r="A50"/>
      <c r="B50"/>
      <c r="C50"/>
      <c r="D50" s="23"/>
      <c r="E50" s="23"/>
      <c r="F50"/>
      <c r="G50"/>
      <c r="H50"/>
      <c r="I50"/>
      <c r="J50" s="19"/>
      <c r="K50" s="19"/>
      <c r="L50" s="19"/>
      <c r="M50" s="19"/>
      <c r="N50" s="19"/>
      <c r="O50" s="19"/>
      <c r="P50" s="90"/>
      <c r="Q50" s="96"/>
    </row>
    <row r="51" spans="1:17" s="2" customFormat="1" ht="12" customHeight="1">
      <c r="A51"/>
      <c r="B51"/>
      <c r="C51"/>
      <c r="D51" s="23"/>
      <c r="E51" s="23"/>
      <c r="F51"/>
      <c r="G51"/>
      <c r="H51"/>
      <c r="I51"/>
      <c r="J51" s="19"/>
      <c r="K51" s="19"/>
      <c r="L51" s="19"/>
      <c r="M51" s="19"/>
      <c r="N51" s="19"/>
      <c r="O51" s="19"/>
      <c r="P51" s="90"/>
      <c r="Q51" s="96"/>
    </row>
    <row r="52" spans="1:17" s="2" customFormat="1" ht="12" customHeight="1">
      <c r="A52"/>
      <c r="B52"/>
      <c r="C52"/>
      <c r="D52" s="23"/>
      <c r="E52" s="23"/>
      <c r="F52"/>
      <c r="G52"/>
      <c r="H52"/>
      <c r="I52"/>
      <c r="J52" s="19"/>
      <c r="K52" s="19"/>
      <c r="L52" s="19"/>
      <c r="M52" s="19"/>
      <c r="N52" s="19"/>
      <c r="O52" s="19"/>
      <c r="P52" s="90"/>
      <c r="Q52" s="96"/>
    </row>
    <row r="53" spans="1:17" s="2" customFormat="1" ht="12" customHeight="1">
      <c r="A53"/>
      <c r="B53"/>
      <c r="C53"/>
      <c r="D53" s="23"/>
      <c r="E53" s="23"/>
      <c r="F53"/>
      <c r="G53"/>
      <c r="H53"/>
      <c r="I53"/>
      <c r="J53" s="19"/>
      <c r="K53" s="19"/>
      <c r="L53" s="19"/>
      <c r="M53" s="19"/>
      <c r="N53" s="19"/>
      <c r="O53" s="19"/>
      <c r="P53" s="90"/>
      <c r="Q53" s="96"/>
    </row>
    <row r="54" spans="1:17">
      <c r="Q54" s="96"/>
    </row>
    <row r="55" spans="1:17">
      <c r="Q55" s="96"/>
    </row>
    <row r="56" spans="1:17">
      <c r="Q56" s="96"/>
    </row>
    <row r="57" spans="1:17">
      <c r="Q57" s="96"/>
    </row>
    <row r="58" spans="1:17">
      <c r="Q58" s="96"/>
    </row>
    <row r="59" spans="1:17">
      <c r="Q59" s="96"/>
    </row>
    <row r="60" spans="1:17">
      <c r="Q60" s="96"/>
    </row>
    <row r="61" spans="1:17">
      <c r="Q61" s="96"/>
    </row>
    <row r="62" spans="1:17">
      <c r="Q62" s="96"/>
    </row>
    <row r="63" spans="1:17">
      <c r="Q63" s="96"/>
    </row>
    <row r="64" spans="1:17">
      <c r="Q64" s="96"/>
    </row>
    <row r="65" spans="17:17">
      <c r="Q65" s="96"/>
    </row>
    <row r="66" spans="17:17">
      <c r="Q66" s="96"/>
    </row>
    <row r="67" spans="17:17">
      <c r="Q67" s="96"/>
    </row>
    <row r="68" spans="17:17">
      <c r="Q68" s="96"/>
    </row>
    <row r="69" spans="17:17">
      <c r="Q69" s="96"/>
    </row>
    <row r="70" spans="17:17">
      <c r="Q70" s="96"/>
    </row>
    <row r="71" spans="17:17">
      <c r="Q71" s="96"/>
    </row>
    <row r="72" spans="17:17">
      <c r="Q72" s="96"/>
    </row>
    <row r="73" spans="17:17">
      <c r="Q73" s="96"/>
    </row>
    <row r="110" ht="12" customHeight="1"/>
    <row r="111" ht="12" customHeight="1"/>
    <row r="112" ht="12" customHeight="1"/>
    <row r="113" ht="12" customHeight="1"/>
    <row r="114" ht="12" customHeight="1"/>
    <row r="115" ht="12" customHeight="1"/>
    <row r="116" ht="12" customHeight="1"/>
    <row r="117" ht="12" customHeight="1"/>
    <row r="118" ht="12" customHeight="1"/>
    <row r="119" ht="12" customHeight="1"/>
    <row r="120" ht="12" customHeight="1"/>
    <row r="121" ht="12" customHeight="1"/>
    <row r="122" ht="12" customHeight="1"/>
    <row r="123" ht="12" customHeight="1"/>
    <row r="124" ht="12" customHeight="1"/>
    <row r="125" ht="12" customHeight="1"/>
    <row r="126" ht="12" customHeight="1"/>
    <row r="127" ht="12" customHeight="1"/>
    <row r="128" ht="12" customHeight="1"/>
    <row r="129" ht="12" customHeight="1"/>
    <row r="130" ht="12" customHeight="1"/>
    <row r="131" ht="12" customHeight="1"/>
    <row r="132" ht="12" customHeight="1"/>
    <row r="133" ht="12" customHeight="1"/>
    <row r="134" ht="12" customHeight="1"/>
    <row r="135" ht="12" customHeight="1"/>
    <row r="136" ht="12" customHeight="1"/>
    <row r="137" ht="12" customHeight="1"/>
    <row r="138" ht="12" customHeight="1"/>
    <row r="139" ht="12" customHeight="1"/>
    <row r="140" ht="12" customHeight="1"/>
    <row r="141" ht="12" customHeight="1"/>
    <row r="142" ht="12" customHeight="1"/>
    <row r="143" ht="12" customHeight="1"/>
    <row r="144" ht="12" customHeight="1"/>
    <row r="145" ht="12" customHeight="1"/>
    <row r="146" ht="12" customHeight="1"/>
    <row r="147" ht="12" customHeight="1"/>
    <row r="148" ht="12" customHeight="1"/>
    <row r="149" ht="12" customHeight="1"/>
    <row r="150" ht="12" customHeight="1"/>
    <row r="151" ht="12" customHeight="1"/>
    <row r="152" ht="12" customHeight="1"/>
    <row r="153" ht="12" customHeight="1"/>
    <row r="154" ht="12" customHeight="1"/>
    <row r="155" ht="12" customHeight="1"/>
    <row r="156" ht="12" customHeight="1"/>
    <row r="157" ht="12" customHeight="1"/>
    <row r="158" ht="12" customHeight="1"/>
    <row r="159" ht="12" customHeight="1"/>
  </sheetData>
  <mergeCells count="6">
    <mergeCell ref="H6:I6"/>
    <mergeCell ref="D5:E5"/>
    <mergeCell ref="D6:E6"/>
    <mergeCell ref="D1:E1"/>
    <mergeCell ref="D4:E4"/>
    <mergeCell ref="H4:I4"/>
  </mergeCells>
  <conditionalFormatting sqref="M5">
    <cfRule type="cellIs" dxfId="442" priority="1" stopIfTrue="1" operator="lessThanOrEqual">
      <formula>$L5</formula>
    </cfRule>
    <cfRule type="cellIs" dxfId="441" priority="2" operator="greaterThan">
      <formula>L5</formula>
    </cfRule>
  </conditionalFormatting>
  <pageMargins left="0.7" right="0.7" top="0.75" bottom="0.75" header="0.3" footer="0.3"/>
  <pageSetup paperSize="3" fitToHeight="0" orientation="landscape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E886754-AB84-4977-93D9-DEF8ACA6CB8F}">
          <x14:formula1>
            <xm:f>Machined!$C:$C</xm:f>
          </x14:formula1>
          <xm:sqref>C5</xm:sqref>
        </x14:dataValidation>
      </x14:dataValidation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871AF8-2270-4E91-9144-A8A069BB9711}">
  <sheetPr codeName="Sheet55">
    <tabColor theme="3" tint="0.59999389629810485"/>
    <pageSetUpPr fitToPage="1"/>
  </sheetPr>
  <dimension ref="A1:Q164"/>
  <sheetViews>
    <sheetView zoomScaleNormal="100" workbookViewId="0">
      <selection activeCell="C43" sqref="C43"/>
    </sheetView>
  </sheetViews>
  <sheetFormatPr defaultColWidth="9.140625" defaultRowHeight="15"/>
  <cols>
    <col min="1" max="1" width="5.7109375" customWidth="1"/>
    <col min="2" max="2" width="5.42578125" bestFit="1" customWidth="1"/>
    <col min="3" max="3" width="30.7109375" customWidth="1"/>
    <col min="4" max="5" width="20.7109375" style="23" customWidth="1"/>
    <col min="6" max="6" width="16.85546875" bestFit="1" customWidth="1"/>
    <col min="7" max="7" width="9.7109375" customWidth="1"/>
    <col min="8" max="8" width="8.7109375" customWidth="1"/>
    <col min="9" max="9" width="20.7109375" customWidth="1"/>
    <col min="10" max="13" width="11.7109375" style="19" customWidth="1"/>
    <col min="14" max="14" width="11.85546875" style="19" bestFit="1" customWidth="1"/>
    <col min="15" max="15" width="7.7109375" style="19" customWidth="1"/>
    <col min="16" max="16" width="10.7109375" style="90" customWidth="1"/>
    <col min="17" max="17" width="10.7109375" style="97" customWidth="1"/>
  </cols>
  <sheetData>
    <row r="1" spans="1:17" s="55" customFormat="1" ht="12" customHeight="1">
      <c r="A1" s="68" t="s">
        <v>0</v>
      </c>
      <c r="B1" s="69"/>
      <c r="C1" s="69"/>
      <c r="D1" s="262" t="s">
        <v>1</v>
      </c>
      <c r="E1" s="263"/>
      <c r="F1" s="70"/>
      <c r="G1" s="69"/>
      <c r="H1" s="70"/>
      <c r="I1" s="71"/>
      <c r="J1" s="72"/>
      <c r="K1" s="72"/>
      <c r="L1" s="72"/>
      <c r="M1" s="72"/>
      <c r="N1" s="72"/>
      <c r="O1" s="72"/>
      <c r="P1" s="85"/>
      <c r="Q1" s="91"/>
    </row>
    <row r="2" spans="1:17" s="55" customFormat="1" ht="12" customHeight="1">
      <c r="A2" s="74" t="s">
        <v>48</v>
      </c>
      <c r="B2" s="58"/>
      <c r="C2" s="57" t="e">
        <f ca="1">VLOOKUP(E3,Assemblies!B:F,4,0)</f>
        <v>#VALUE!</v>
      </c>
      <c r="D2" s="75" t="s">
        <v>3</v>
      </c>
      <c r="E2" s="76" t="e">
        <f ca="1">'GF12'!E2</f>
        <v>#VALUE!</v>
      </c>
      <c r="F2" s="77" t="s">
        <v>4</v>
      </c>
      <c r="G2" s="58" t="str">
        <f>'GF12'!G2</f>
        <v>GH</v>
      </c>
      <c r="H2" s="77" t="s">
        <v>6</v>
      </c>
      <c r="I2" s="59">
        <f>'GF12'!I2</f>
        <v>44775</v>
      </c>
      <c r="J2" s="39"/>
      <c r="K2" s="40" t="s">
        <v>49</v>
      </c>
      <c r="L2" s="41" t="e">
        <f ca="1">VLOOKUP(C2,Assemblies!E:G,3,0)</f>
        <v>#VALUE!</v>
      </c>
      <c r="M2" s="78"/>
      <c r="N2" s="78"/>
      <c r="O2" s="78"/>
      <c r="P2" s="86"/>
      <c r="Q2" s="92"/>
    </row>
    <row r="3" spans="1:17" s="55" customFormat="1" ht="12" customHeight="1" thickBot="1">
      <c r="A3" s="74" t="s">
        <v>7</v>
      </c>
      <c r="B3" s="58"/>
      <c r="C3" s="57" t="e">
        <f ca="1">VLOOKUP(E3,Assemblies!B:F,5,0)</f>
        <v>#VALUE!</v>
      </c>
      <c r="D3" s="75" t="s">
        <v>50</v>
      </c>
      <c r="E3" s="76" t="e">
        <f ca="1">MID(CELL("filename",A1),FIND("]",CELL("filename",A1))+1,256)</f>
        <v>#VALUE!</v>
      </c>
      <c r="F3" s="77" t="s">
        <v>11</v>
      </c>
      <c r="G3" s="58" t="str">
        <f>'GF12'!G3</f>
        <v>GH</v>
      </c>
      <c r="H3" s="77" t="s">
        <v>6</v>
      </c>
      <c r="I3" s="59">
        <f>'GF12'!I3</f>
        <v>44775</v>
      </c>
      <c r="J3" s="78"/>
      <c r="K3" s="78"/>
      <c r="L3" s="78"/>
      <c r="M3" s="78"/>
      <c r="N3" s="78"/>
      <c r="O3" s="78"/>
      <c r="P3" s="86"/>
      <c r="Q3" s="92"/>
    </row>
    <row r="4" spans="1:17" s="56" customFormat="1" ht="12.75" customHeight="1" thickBot="1">
      <c r="A4" s="80" t="s">
        <v>12</v>
      </c>
      <c r="B4" s="81" t="s">
        <v>13</v>
      </c>
      <c r="C4" s="81" t="s">
        <v>14</v>
      </c>
      <c r="D4" s="270" t="s">
        <v>15</v>
      </c>
      <c r="E4" s="271"/>
      <c r="F4" s="104" t="s">
        <v>16</v>
      </c>
      <c r="G4" s="81" t="s">
        <v>17</v>
      </c>
      <c r="H4" s="260" t="s">
        <v>18</v>
      </c>
      <c r="I4" s="261"/>
      <c r="J4" s="81" t="s">
        <v>51</v>
      </c>
      <c r="K4" s="81" t="s">
        <v>20</v>
      </c>
      <c r="L4" s="81" t="s">
        <v>21</v>
      </c>
      <c r="M4" s="81" t="s">
        <v>52</v>
      </c>
      <c r="N4" s="81" t="s">
        <v>22</v>
      </c>
      <c r="O4" s="81" t="s">
        <v>53</v>
      </c>
      <c r="P4" s="107" t="s">
        <v>26</v>
      </c>
      <c r="Q4" s="82" t="s">
        <v>27</v>
      </c>
    </row>
    <row r="5" spans="1:17" s="21" customFormat="1" ht="12.75" customHeight="1">
      <c r="A5" s="66" t="s">
        <v>54</v>
      </c>
      <c r="B5" s="1">
        <v>1</v>
      </c>
      <c r="C5" s="67" t="s">
        <v>677</v>
      </c>
      <c r="D5" s="277" t="e">
        <f ca="1">VLOOKUP(C5,Assemblies!E:S,2,0)</f>
        <v>#N/A</v>
      </c>
      <c r="E5" s="278"/>
      <c r="F5" s="32"/>
      <c r="G5" s="32"/>
      <c r="H5" s="292"/>
      <c r="I5" s="293"/>
      <c r="J5" s="28"/>
      <c r="K5" s="28"/>
      <c r="L5" s="28"/>
      <c r="M5" s="28"/>
      <c r="N5" s="33"/>
      <c r="O5" s="46" t="e">
        <f t="shared" ref="O5:O10" ca="1" si="0">B5*$L$2</f>
        <v>#VALUE!</v>
      </c>
      <c r="P5" s="87">
        <f>'241'!Q39</f>
        <v>4732.7948420999983</v>
      </c>
      <c r="Q5" s="93">
        <f t="shared" ref="Q5:Q10" si="1">B5*P5</f>
        <v>4732.7948420999983</v>
      </c>
    </row>
    <row r="6" spans="1:17" s="21" customFormat="1" ht="12.75" customHeight="1">
      <c r="A6" s="66" t="s">
        <v>56</v>
      </c>
      <c r="B6" s="1">
        <v>1</v>
      </c>
      <c r="C6" s="67" t="s">
        <v>678</v>
      </c>
      <c r="D6" s="277" t="e">
        <f ca="1">VLOOKUP(C6,Assemblies!E:S,2,0)</f>
        <v>#N/A</v>
      </c>
      <c r="E6" s="278"/>
      <c r="F6" s="32"/>
      <c r="G6" s="32"/>
      <c r="H6" s="292"/>
      <c r="I6" s="293"/>
      <c r="J6" s="28"/>
      <c r="K6" s="28"/>
      <c r="L6" s="28"/>
      <c r="M6" s="28"/>
      <c r="N6" s="33"/>
      <c r="O6" s="46" t="e">
        <f t="shared" ca="1" si="0"/>
        <v>#VALUE!</v>
      </c>
      <c r="P6" s="87">
        <f>'242'!Q20</f>
        <v>693.67000000000007</v>
      </c>
      <c r="Q6" s="93">
        <f t="shared" si="1"/>
        <v>693.67000000000007</v>
      </c>
    </row>
    <row r="7" spans="1:17" s="21" customFormat="1" ht="12.75" customHeight="1">
      <c r="A7" s="66" t="s">
        <v>58</v>
      </c>
      <c r="B7" s="1">
        <v>2</v>
      </c>
      <c r="C7" s="67" t="s">
        <v>679</v>
      </c>
      <c r="D7" s="277" t="e">
        <f ca="1">VLOOKUP(C7,Assemblies!E:S,2,0)</f>
        <v>#N/A</v>
      </c>
      <c r="E7" s="278"/>
      <c r="F7" s="32"/>
      <c r="G7" s="32"/>
      <c r="H7" s="292"/>
      <c r="I7" s="293"/>
      <c r="J7" s="28"/>
      <c r="K7" s="28"/>
      <c r="L7" s="28"/>
      <c r="M7" s="28"/>
      <c r="N7" s="33"/>
      <c r="O7" s="46" t="e">
        <f t="shared" ca="1" si="0"/>
        <v>#VALUE!</v>
      </c>
      <c r="P7" s="87">
        <f>'243'!Q42</f>
        <v>1992.5181000000005</v>
      </c>
      <c r="Q7" s="93">
        <f t="shared" si="1"/>
        <v>3985.0362000000009</v>
      </c>
    </row>
    <row r="8" spans="1:17" s="21" customFormat="1" ht="12.75" customHeight="1">
      <c r="A8" s="66" t="s">
        <v>60</v>
      </c>
      <c r="B8" s="1">
        <v>2</v>
      </c>
      <c r="C8" s="67" t="s">
        <v>680</v>
      </c>
      <c r="D8" s="277" t="e">
        <f ca="1">VLOOKUP(C8,Assemblies!E:S,2,0)</f>
        <v>#N/A</v>
      </c>
      <c r="E8" s="278"/>
      <c r="F8" s="32"/>
      <c r="G8" s="32"/>
      <c r="H8" s="292"/>
      <c r="I8" s="293"/>
      <c r="J8" s="28"/>
      <c r="K8" s="28"/>
      <c r="L8" s="28"/>
      <c r="M8" s="28"/>
      <c r="N8" s="33"/>
      <c r="O8" s="46" t="e">
        <f t="shared" ca="1" si="0"/>
        <v>#VALUE!</v>
      </c>
      <c r="P8" s="87">
        <f>'244'!Q23</f>
        <v>949.14610000000005</v>
      </c>
      <c r="Q8" s="93">
        <f t="shared" si="1"/>
        <v>1898.2922000000001</v>
      </c>
    </row>
    <row r="9" spans="1:17" s="21" customFormat="1" ht="12.75" customHeight="1">
      <c r="A9" s="66" t="s">
        <v>62</v>
      </c>
      <c r="B9" s="1">
        <v>2</v>
      </c>
      <c r="C9" s="67" t="s">
        <v>681</v>
      </c>
      <c r="D9" s="277" t="e">
        <f ca="1">VLOOKUP(C9,Assemblies!E:S,2,0)</f>
        <v>#N/A</v>
      </c>
      <c r="E9" s="278"/>
      <c r="F9" s="32"/>
      <c r="G9" s="32"/>
      <c r="H9" s="292"/>
      <c r="I9" s="293"/>
      <c r="J9" s="28"/>
      <c r="K9" s="28"/>
      <c r="L9" s="28"/>
      <c r="M9" s="28"/>
      <c r="N9" s="33"/>
      <c r="O9" s="46" t="e">
        <f t="shared" ca="1" si="0"/>
        <v>#VALUE!</v>
      </c>
      <c r="P9" s="87">
        <f>'245'!Q13</f>
        <v>261.73</v>
      </c>
      <c r="Q9" s="93">
        <f t="shared" si="1"/>
        <v>523.46</v>
      </c>
    </row>
    <row r="10" spans="1:17" s="21" customFormat="1" ht="12.75" customHeight="1" thickBot="1">
      <c r="A10" s="66" t="s">
        <v>64</v>
      </c>
      <c r="B10" s="1">
        <v>2</v>
      </c>
      <c r="C10" s="67" t="s">
        <v>232</v>
      </c>
      <c r="D10" s="277" t="e">
        <f ca="1">VLOOKUP(C10,Assemblies!E:S,2,0)</f>
        <v>#N/A</v>
      </c>
      <c r="E10" s="278"/>
      <c r="F10" s="32"/>
      <c r="G10" s="32"/>
      <c r="H10" s="292"/>
      <c r="I10" s="293"/>
      <c r="J10" s="28"/>
      <c r="K10" s="28"/>
      <c r="L10" s="28"/>
      <c r="M10" s="28"/>
      <c r="N10" s="33"/>
      <c r="O10" s="46" t="e">
        <f t="shared" ca="1" si="0"/>
        <v>#VALUE!</v>
      </c>
      <c r="P10" s="87">
        <f>'117'!Q10</f>
        <v>26.688399999999998</v>
      </c>
      <c r="Q10" s="93">
        <f t="shared" si="1"/>
        <v>53.376799999999996</v>
      </c>
    </row>
    <row r="11" spans="1:17" s="2" customFormat="1" ht="12.75" customHeight="1" thickBot="1">
      <c r="A11" s="34"/>
      <c r="B11" s="35"/>
      <c r="C11" s="35"/>
      <c r="D11" s="256"/>
      <c r="E11" s="257"/>
      <c r="F11" s="35"/>
      <c r="G11" s="35"/>
      <c r="H11" s="294"/>
      <c r="I11" s="295"/>
      <c r="J11" s="36"/>
      <c r="K11" s="36"/>
      <c r="L11" s="36"/>
      <c r="M11" s="37"/>
      <c r="N11" s="38"/>
      <c r="O11" s="38"/>
      <c r="P11" s="89" t="s">
        <v>43</v>
      </c>
      <c r="Q11" s="94">
        <f>SUM(Q5:Q10)</f>
        <v>11886.6300421</v>
      </c>
    </row>
    <row r="12" spans="1:17" s="2" customFormat="1" ht="12" customHeight="1">
      <c r="D12" s="22"/>
      <c r="E12" s="22"/>
      <c r="J12" s="8"/>
      <c r="K12" s="8"/>
      <c r="L12" s="8"/>
      <c r="M12" s="8"/>
      <c r="N12" s="5"/>
      <c r="O12" s="5"/>
      <c r="P12" s="88"/>
      <c r="Q12" s="95"/>
    </row>
    <row r="13" spans="1:17" s="2" customFormat="1" ht="12" customHeight="1">
      <c r="D13" s="22"/>
      <c r="E13" s="22"/>
      <c r="J13" s="5"/>
      <c r="K13" s="5"/>
      <c r="L13" s="5"/>
      <c r="M13" s="5"/>
      <c r="N13" s="5"/>
      <c r="O13" s="5"/>
      <c r="P13" s="88"/>
      <c r="Q13" s="95"/>
    </row>
    <row r="14" spans="1:17" s="2" customFormat="1" ht="12" customHeight="1">
      <c r="D14" s="22"/>
      <c r="E14" s="22"/>
      <c r="J14" s="5"/>
      <c r="K14" s="5"/>
      <c r="L14" s="5"/>
      <c r="M14" s="5"/>
      <c r="N14" s="5"/>
      <c r="O14" s="5"/>
      <c r="P14" s="88"/>
      <c r="Q14" s="95"/>
    </row>
    <row r="15" spans="1:17" s="2" customFormat="1" ht="12" customHeight="1">
      <c r="D15" s="22"/>
      <c r="E15" s="22"/>
      <c r="J15" s="5"/>
      <c r="K15" s="5"/>
      <c r="L15" s="5"/>
      <c r="M15" s="5"/>
      <c r="N15" s="5"/>
      <c r="O15" s="5"/>
      <c r="P15" s="88"/>
      <c r="Q15" s="95"/>
    </row>
    <row r="16" spans="1:17" s="2" customFormat="1" ht="12" customHeight="1">
      <c r="D16" s="22"/>
      <c r="E16" s="22"/>
      <c r="J16" s="5"/>
      <c r="K16" s="5"/>
      <c r="L16" s="5"/>
      <c r="M16" s="5"/>
      <c r="N16" s="5"/>
      <c r="O16" s="5"/>
      <c r="P16" s="88"/>
      <c r="Q16" s="95"/>
    </row>
    <row r="17" spans="4:17" s="2" customFormat="1" ht="12" customHeight="1">
      <c r="D17" s="22"/>
      <c r="E17" s="22"/>
      <c r="J17" s="5"/>
      <c r="K17" s="5"/>
      <c r="L17" s="5"/>
      <c r="M17" s="5"/>
      <c r="N17" s="5"/>
      <c r="O17" s="5"/>
      <c r="P17" s="88"/>
      <c r="Q17" s="95"/>
    </row>
    <row r="18" spans="4:17" s="2" customFormat="1" ht="12" customHeight="1">
      <c r="D18" s="22"/>
      <c r="E18" s="22"/>
      <c r="J18" s="5"/>
      <c r="K18" s="5"/>
      <c r="L18" s="5"/>
      <c r="M18" s="5"/>
      <c r="N18" s="5"/>
      <c r="O18" s="5"/>
      <c r="P18" s="88"/>
      <c r="Q18" s="95"/>
    </row>
    <row r="19" spans="4:17" s="2" customFormat="1" ht="12" customHeight="1">
      <c r="D19" s="22"/>
      <c r="E19" s="22"/>
      <c r="J19" s="5"/>
      <c r="K19" s="5"/>
      <c r="L19" s="5"/>
      <c r="M19" s="5"/>
      <c r="N19" s="5"/>
      <c r="O19" s="5"/>
      <c r="P19" s="88"/>
      <c r="Q19" s="95"/>
    </row>
    <row r="20" spans="4:17" s="2" customFormat="1" ht="12" customHeight="1">
      <c r="D20" s="22"/>
      <c r="E20" s="22"/>
      <c r="J20" s="5"/>
      <c r="K20" s="5"/>
      <c r="L20" s="5"/>
      <c r="M20" s="5"/>
      <c r="N20" s="5"/>
      <c r="O20" s="5"/>
      <c r="P20" s="88"/>
      <c r="Q20" s="95"/>
    </row>
    <row r="21" spans="4:17" s="2" customFormat="1" ht="12" customHeight="1">
      <c r="D21" s="22"/>
      <c r="E21" s="22"/>
      <c r="J21" s="5"/>
      <c r="K21" s="5"/>
      <c r="L21" s="5"/>
      <c r="M21" s="5"/>
      <c r="N21" s="5"/>
      <c r="O21" s="5"/>
      <c r="P21" s="88"/>
      <c r="Q21" s="95"/>
    </row>
    <row r="22" spans="4:17" s="2" customFormat="1" ht="12" customHeight="1">
      <c r="D22" s="22"/>
      <c r="E22" s="22"/>
      <c r="J22" s="5"/>
      <c r="K22" s="5"/>
      <c r="L22" s="5"/>
      <c r="M22" s="5"/>
      <c r="N22" s="5"/>
      <c r="O22" s="5"/>
      <c r="P22" s="88"/>
      <c r="Q22" s="95"/>
    </row>
    <row r="23" spans="4:17" s="2" customFormat="1" ht="12" customHeight="1">
      <c r="D23" s="22"/>
      <c r="E23" s="22"/>
      <c r="J23" s="5"/>
      <c r="K23" s="5"/>
      <c r="L23" s="5"/>
      <c r="M23" s="5"/>
      <c r="N23" s="5"/>
      <c r="O23" s="5"/>
      <c r="P23" s="88"/>
      <c r="Q23" s="95"/>
    </row>
    <row r="24" spans="4:17" s="2" customFormat="1" ht="12" customHeight="1">
      <c r="D24" s="22"/>
      <c r="E24" s="22"/>
      <c r="J24" s="5"/>
      <c r="K24" s="5"/>
      <c r="L24" s="5"/>
      <c r="M24" s="5"/>
      <c r="N24" s="5"/>
      <c r="O24" s="5"/>
      <c r="P24" s="88"/>
      <c r="Q24" s="95"/>
    </row>
    <row r="25" spans="4:17" s="2" customFormat="1" ht="12" customHeight="1">
      <c r="D25" s="22"/>
      <c r="E25" s="22"/>
      <c r="J25" s="5"/>
      <c r="K25" s="5"/>
      <c r="L25" s="5"/>
      <c r="M25" s="5"/>
      <c r="N25" s="5"/>
      <c r="O25" s="5"/>
      <c r="P25" s="88"/>
      <c r="Q25" s="95"/>
    </row>
    <row r="26" spans="4:17" s="2" customFormat="1" ht="12" customHeight="1">
      <c r="D26" s="22"/>
      <c r="E26" s="22"/>
      <c r="J26" s="5"/>
      <c r="K26" s="5"/>
      <c r="L26" s="5"/>
      <c r="M26" s="5"/>
      <c r="N26" s="5"/>
      <c r="O26" s="5"/>
      <c r="P26" s="88"/>
      <c r="Q26" s="95"/>
    </row>
    <row r="27" spans="4:17" s="2" customFormat="1" ht="12" customHeight="1">
      <c r="D27" s="22"/>
      <c r="E27" s="22"/>
      <c r="J27" s="5"/>
      <c r="K27" s="5"/>
      <c r="L27" s="5"/>
      <c r="M27" s="5"/>
      <c r="N27" s="5"/>
      <c r="O27" s="5"/>
      <c r="P27" s="88"/>
      <c r="Q27" s="95"/>
    </row>
    <row r="28" spans="4:17" s="2" customFormat="1" ht="12" customHeight="1">
      <c r="D28" s="22"/>
      <c r="E28" s="22"/>
      <c r="J28" s="5"/>
      <c r="K28" s="5"/>
      <c r="L28" s="5"/>
      <c r="M28" s="5"/>
      <c r="N28" s="5"/>
      <c r="O28" s="5"/>
      <c r="P28" s="88"/>
      <c r="Q28" s="95"/>
    </row>
    <row r="29" spans="4:17" s="2" customFormat="1" ht="12" customHeight="1">
      <c r="D29" s="22"/>
      <c r="E29" s="22"/>
      <c r="J29" s="5"/>
      <c r="K29" s="5"/>
      <c r="L29" s="5"/>
      <c r="M29" s="5"/>
      <c r="N29" s="5"/>
      <c r="O29" s="5"/>
      <c r="P29" s="88"/>
      <c r="Q29" s="95"/>
    </row>
    <row r="30" spans="4:17" s="2" customFormat="1" ht="12" customHeight="1">
      <c r="D30" s="22"/>
      <c r="E30" s="22"/>
      <c r="J30" s="5"/>
      <c r="K30" s="5"/>
      <c r="L30" s="5"/>
      <c r="M30" s="5"/>
      <c r="N30" s="5"/>
      <c r="O30" s="5"/>
      <c r="P30" s="88"/>
      <c r="Q30" s="95"/>
    </row>
    <row r="31" spans="4:17" s="2" customFormat="1" ht="12" customHeight="1">
      <c r="D31" s="22"/>
      <c r="E31" s="22"/>
      <c r="J31" s="5"/>
      <c r="K31" s="5"/>
      <c r="L31" s="5"/>
      <c r="M31" s="5"/>
      <c r="N31" s="5"/>
      <c r="O31" s="5"/>
      <c r="P31" s="88"/>
      <c r="Q31" s="95"/>
    </row>
    <row r="32" spans="4:17" s="2" customFormat="1" ht="12" customHeight="1">
      <c r="D32" s="22"/>
      <c r="E32" s="22"/>
      <c r="J32" s="5"/>
      <c r="K32" s="5"/>
      <c r="L32" s="5"/>
      <c r="M32" s="5"/>
      <c r="N32" s="5"/>
      <c r="O32" s="5"/>
      <c r="P32" s="88"/>
      <c r="Q32" s="95"/>
    </row>
    <row r="33" spans="4:17" s="2" customFormat="1" ht="12" customHeight="1">
      <c r="D33" s="22"/>
      <c r="E33" s="22"/>
      <c r="J33" s="5"/>
      <c r="K33" s="5"/>
      <c r="L33" s="5"/>
      <c r="M33" s="5"/>
      <c r="N33" s="5"/>
      <c r="O33" s="5"/>
      <c r="P33" s="88"/>
      <c r="Q33" s="95"/>
    </row>
    <row r="34" spans="4:17" s="2" customFormat="1" ht="12" customHeight="1">
      <c r="D34" s="22"/>
      <c r="E34" s="22"/>
      <c r="J34" s="5"/>
      <c r="K34" s="5"/>
      <c r="L34" s="5"/>
      <c r="M34" s="5"/>
      <c r="N34" s="5"/>
      <c r="O34" s="5"/>
      <c r="P34" s="88"/>
      <c r="Q34" s="95"/>
    </row>
    <row r="35" spans="4:17" s="2" customFormat="1" ht="12" customHeight="1">
      <c r="D35" s="22"/>
      <c r="E35" s="22"/>
      <c r="J35" s="5"/>
      <c r="K35" s="5"/>
      <c r="L35" s="5"/>
      <c r="M35" s="5"/>
      <c r="N35" s="5"/>
      <c r="O35" s="5"/>
      <c r="P35" s="88"/>
      <c r="Q35" s="95"/>
    </row>
    <row r="36" spans="4:17" s="2" customFormat="1" ht="12" customHeight="1">
      <c r="D36" s="22"/>
      <c r="E36" s="22"/>
      <c r="J36" s="5"/>
      <c r="K36" s="5"/>
      <c r="L36" s="5"/>
      <c r="M36" s="5"/>
      <c r="N36" s="5"/>
      <c r="O36" s="5"/>
      <c r="P36" s="88"/>
      <c r="Q36" s="95"/>
    </row>
    <row r="37" spans="4:17" s="2" customFormat="1" ht="12" customHeight="1">
      <c r="D37" s="22"/>
      <c r="E37" s="22"/>
      <c r="J37" s="5"/>
      <c r="K37" s="5"/>
      <c r="L37" s="5"/>
      <c r="M37" s="5"/>
      <c r="N37" s="5"/>
      <c r="O37" s="5"/>
      <c r="P37" s="88"/>
      <c r="Q37" s="95"/>
    </row>
    <row r="38" spans="4:17" s="2" customFormat="1" ht="12" customHeight="1">
      <c r="D38" s="22"/>
      <c r="E38" s="22"/>
      <c r="J38" s="5"/>
      <c r="K38" s="5"/>
      <c r="L38" s="5"/>
      <c r="M38" s="5"/>
      <c r="N38" s="5"/>
      <c r="O38" s="5"/>
      <c r="P38" s="88"/>
      <c r="Q38" s="95"/>
    </row>
    <row r="39" spans="4:17" s="2" customFormat="1" ht="12" customHeight="1">
      <c r="D39" s="22"/>
      <c r="E39" s="22"/>
      <c r="J39" s="5"/>
      <c r="K39" s="5"/>
      <c r="L39" s="5"/>
      <c r="M39" s="5"/>
      <c r="N39" s="5"/>
      <c r="O39" s="5"/>
      <c r="P39" s="88"/>
      <c r="Q39" s="95"/>
    </row>
    <row r="40" spans="4:17" s="2" customFormat="1" ht="12" customHeight="1">
      <c r="D40" s="22"/>
      <c r="E40" s="22"/>
      <c r="J40" s="5"/>
      <c r="K40" s="5"/>
      <c r="L40" s="5"/>
      <c r="M40" s="5"/>
      <c r="N40" s="5"/>
      <c r="O40" s="5"/>
      <c r="P40" s="88"/>
      <c r="Q40" s="95"/>
    </row>
    <row r="41" spans="4:17" s="2" customFormat="1" ht="12" customHeight="1">
      <c r="D41" s="22"/>
      <c r="E41" s="22"/>
      <c r="J41" s="5"/>
      <c r="K41" s="5"/>
      <c r="L41" s="5"/>
      <c r="M41" s="5"/>
      <c r="N41" s="5"/>
      <c r="O41" s="5"/>
      <c r="P41" s="88"/>
      <c r="Q41" s="95"/>
    </row>
    <row r="42" spans="4:17" s="2" customFormat="1" ht="12" customHeight="1">
      <c r="D42" s="22"/>
      <c r="E42" s="22"/>
      <c r="J42" s="5"/>
      <c r="K42" s="5"/>
      <c r="L42" s="5"/>
      <c r="M42" s="5"/>
      <c r="N42" s="5"/>
      <c r="O42" s="5"/>
      <c r="P42" s="88"/>
      <c r="Q42" s="95"/>
    </row>
    <row r="43" spans="4:17" s="2" customFormat="1" ht="12" customHeight="1">
      <c r="D43" s="22"/>
      <c r="E43" s="22"/>
      <c r="J43" s="5"/>
      <c r="K43" s="5"/>
      <c r="L43" s="5"/>
      <c r="M43" s="5"/>
      <c r="N43" s="5"/>
      <c r="O43" s="5"/>
      <c r="P43" s="88"/>
      <c r="Q43" s="95"/>
    </row>
    <row r="44" spans="4:17" s="2" customFormat="1" ht="12" customHeight="1">
      <c r="D44" s="22"/>
      <c r="E44" s="22"/>
      <c r="J44" s="5"/>
      <c r="K44" s="5"/>
      <c r="L44" s="5"/>
      <c r="M44" s="5"/>
      <c r="N44" s="5"/>
      <c r="O44" s="5"/>
      <c r="P44" s="88"/>
      <c r="Q44" s="95"/>
    </row>
    <row r="45" spans="4:17" s="2" customFormat="1" ht="12" customHeight="1">
      <c r="D45" s="22"/>
      <c r="E45" s="22"/>
      <c r="J45" s="5"/>
      <c r="K45" s="5"/>
      <c r="L45" s="5"/>
      <c r="M45" s="5"/>
      <c r="N45" s="5"/>
      <c r="O45" s="5"/>
      <c r="P45" s="88"/>
      <c r="Q45" s="95"/>
    </row>
    <row r="46" spans="4:17" s="2" customFormat="1" ht="12" customHeight="1">
      <c r="D46" s="22"/>
      <c r="E46" s="22"/>
      <c r="J46" s="5"/>
      <c r="K46" s="5"/>
      <c r="L46" s="5"/>
      <c r="M46" s="5"/>
      <c r="N46" s="5"/>
      <c r="O46" s="5"/>
      <c r="P46" s="88"/>
      <c r="Q46" s="95"/>
    </row>
    <row r="47" spans="4:17" s="2" customFormat="1" ht="12" customHeight="1">
      <c r="D47" s="22"/>
      <c r="E47" s="22"/>
      <c r="J47" s="5"/>
      <c r="K47" s="5"/>
      <c r="L47" s="5"/>
      <c r="M47" s="5"/>
      <c r="N47" s="5"/>
      <c r="O47" s="5"/>
      <c r="P47" s="88"/>
      <c r="Q47" s="95"/>
    </row>
    <row r="48" spans="4:17" s="2" customFormat="1" ht="12" customHeight="1">
      <c r="D48" s="22"/>
      <c r="E48" s="22"/>
      <c r="J48" s="5"/>
      <c r="K48" s="5"/>
      <c r="L48" s="5"/>
      <c r="M48" s="5"/>
      <c r="N48" s="5"/>
      <c r="O48" s="5"/>
      <c r="P48" s="88"/>
      <c r="Q48" s="95"/>
    </row>
    <row r="49" spans="1:17" s="2" customFormat="1" ht="12" customHeight="1">
      <c r="D49" s="22"/>
      <c r="E49" s="22"/>
      <c r="J49" s="5"/>
      <c r="K49" s="5"/>
      <c r="L49" s="5"/>
      <c r="M49" s="5"/>
      <c r="N49" s="5"/>
      <c r="O49" s="5"/>
      <c r="P49" s="88"/>
      <c r="Q49" s="95"/>
    </row>
    <row r="50" spans="1:17" s="2" customFormat="1" ht="12" customHeight="1">
      <c r="D50" s="22"/>
      <c r="E50" s="22"/>
      <c r="J50" s="5"/>
      <c r="K50" s="5"/>
      <c r="L50" s="5"/>
      <c r="M50" s="5"/>
      <c r="N50" s="5"/>
      <c r="O50" s="5"/>
      <c r="P50" s="88"/>
      <c r="Q50" s="96"/>
    </row>
    <row r="51" spans="1:17" s="2" customFormat="1" ht="12" customHeight="1">
      <c r="D51" s="22"/>
      <c r="E51" s="22"/>
      <c r="J51" s="5"/>
      <c r="K51" s="5"/>
      <c r="L51" s="5"/>
      <c r="M51" s="5"/>
      <c r="N51" s="5"/>
      <c r="O51" s="5"/>
      <c r="P51" s="88"/>
      <c r="Q51" s="96"/>
    </row>
    <row r="52" spans="1:17" s="2" customFormat="1" ht="12" customHeight="1">
      <c r="D52" s="22"/>
      <c r="E52" s="22"/>
      <c r="J52" s="5"/>
      <c r="K52" s="5"/>
      <c r="L52" s="5"/>
      <c r="M52" s="5"/>
      <c r="N52" s="5"/>
      <c r="O52" s="5"/>
      <c r="P52" s="88"/>
      <c r="Q52" s="96"/>
    </row>
    <row r="53" spans="1:17" s="2" customFormat="1" ht="12" customHeight="1">
      <c r="D53" s="22"/>
      <c r="E53" s="22"/>
      <c r="J53" s="5"/>
      <c r="K53" s="5"/>
      <c r="L53" s="5"/>
      <c r="M53" s="5"/>
      <c r="N53" s="5"/>
      <c r="O53" s="5"/>
      <c r="P53" s="88"/>
      <c r="Q53" s="96"/>
    </row>
    <row r="54" spans="1:17" s="2" customFormat="1" ht="12" customHeight="1">
      <c r="A54"/>
      <c r="B54"/>
      <c r="C54"/>
      <c r="D54" s="23"/>
      <c r="E54" s="23"/>
      <c r="F54"/>
      <c r="G54"/>
      <c r="H54"/>
      <c r="I54"/>
      <c r="J54" s="19"/>
      <c r="K54" s="19"/>
      <c r="L54" s="19"/>
      <c r="M54" s="19"/>
      <c r="N54" s="19"/>
      <c r="O54" s="19"/>
      <c r="P54" s="90"/>
      <c r="Q54" s="96"/>
    </row>
    <row r="55" spans="1:17" s="2" customFormat="1" ht="12" customHeight="1">
      <c r="A55"/>
      <c r="B55"/>
      <c r="C55"/>
      <c r="D55" s="23"/>
      <c r="E55" s="23"/>
      <c r="F55"/>
      <c r="G55"/>
      <c r="H55"/>
      <c r="I55"/>
      <c r="J55" s="19"/>
      <c r="K55" s="19"/>
      <c r="L55" s="19"/>
      <c r="M55" s="19"/>
      <c r="N55" s="19"/>
      <c r="O55" s="19"/>
      <c r="P55" s="90"/>
      <c r="Q55" s="96"/>
    </row>
    <row r="56" spans="1:17" s="2" customFormat="1" ht="12" customHeight="1">
      <c r="A56"/>
      <c r="B56"/>
      <c r="C56"/>
      <c r="D56" s="23"/>
      <c r="E56" s="23"/>
      <c r="F56"/>
      <c r="G56"/>
      <c r="H56"/>
      <c r="I56"/>
      <c r="J56" s="19"/>
      <c r="K56" s="19"/>
      <c r="L56" s="19"/>
      <c r="M56" s="19"/>
      <c r="N56" s="19"/>
      <c r="O56" s="19"/>
      <c r="P56" s="90"/>
      <c r="Q56" s="96"/>
    </row>
    <row r="57" spans="1:17" s="2" customFormat="1" ht="12" customHeight="1">
      <c r="A57"/>
      <c r="B57"/>
      <c r="C57"/>
      <c r="D57" s="23"/>
      <c r="E57" s="23"/>
      <c r="F57"/>
      <c r="G57"/>
      <c r="H57"/>
      <c r="I57"/>
      <c r="J57" s="19"/>
      <c r="K57" s="19"/>
      <c r="L57" s="19"/>
      <c r="M57" s="19"/>
      <c r="N57" s="19"/>
      <c r="O57" s="19"/>
      <c r="P57" s="90"/>
      <c r="Q57" s="96"/>
    </row>
    <row r="58" spans="1:17" s="2" customFormat="1" ht="12" customHeight="1">
      <c r="A58"/>
      <c r="B58"/>
      <c r="C58"/>
      <c r="D58" s="23"/>
      <c r="E58" s="23"/>
      <c r="F58"/>
      <c r="G58"/>
      <c r="H58"/>
      <c r="I58"/>
      <c r="J58" s="19"/>
      <c r="K58" s="19"/>
      <c r="L58" s="19"/>
      <c r="M58" s="19"/>
      <c r="N58" s="19"/>
      <c r="O58" s="19"/>
      <c r="P58" s="90"/>
      <c r="Q58" s="96"/>
    </row>
    <row r="59" spans="1:17">
      <c r="Q59" s="96"/>
    </row>
    <row r="60" spans="1:17">
      <c r="Q60" s="96"/>
    </row>
    <row r="61" spans="1:17">
      <c r="Q61" s="96"/>
    </row>
    <row r="62" spans="1:17">
      <c r="Q62" s="96"/>
    </row>
    <row r="63" spans="1:17">
      <c r="Q63" s="96"/>
    </row>
    <row r="64" spans="1:17">
      <c r="Q64" s="96"/>
    </row>
    <row r="65" spans="17:17">
      <c r="Q65" s="96"/>
    </row>
    <row r="66" spans="17:17">
      <c r="Q66" s="96"/>
    </row>
    <row r="67" spans="17:17">
      <c r="Q67" s="96"/>
    </row>
    <row r="68" spans="17:17">
      <c r="Q68" s="96"/>
    </row>
    <row r="69" spans="17:17">
      <c r="Q69" s="96"/>
    </row>
    <row r="70" spans="17:17">
      <c r="Q70" s="96"/>
    </row>
    <row r="71" spans="17:17">
      <c r="Q71" s="96"/>
    </row>
    <row r="72" spans="17:17">
      <c r="Q72" s="96"/>
    </row>
    <row r="73" spans="17:17">
      <c r="Q73" s="96"/>
    </row>
    <row r="74" spans="17:17">
      <c r="Q74" s="96"/>
    </row>
    <row r="75" spans="17:17">
      <c r="Q75" s="96"/>
    </row>
    <row r="76" spans="17:17">
      <c r="Q76" s="96"/>
    </row>
    <row r="77" spans="17:17">
      <c r="Q77" s="96"/>
    </row>
    <row r="78" spans="17:17">
      <c r="Q78" s="96"/>
    </row>
    <row r="115" ht="12" customHeight="1"/>
    <row r="116" ht="12" customHeight="1"/>
    <row r="117" ht="12" customHeight="1"/>
    <row r="118" ht="12" customHeight="1"/>
    <row r="119" ht="12" customHeight="1"/>
    <row r="120" ht="12" customHeight="1"/>
    <row r="121" ht="12" customHeight="1"/>
    <row r="122" ht="12" customHeight="1"/>
    <row r="123" ht="12" customHeight="1"/>
    <row r="124" ht="12" customHeight="1"/>
    <row r="125" ht="12" customHeight="1"/>
    <row r="126" ht="12" customHeight="1"/>
    <row r="127" ht="12" customHeight="1"/>
    <row r="128" ht="12" customHeight="1"/>
    <row r="129" ht="12" customHeight="1"/>
    <row r="130" ht="12" customHeight="1"/>
    <row r="131" ht="12" customHeight="1"/>
    <row r="132" ht="12" customHeight="1"/>
    <row r="133" ht="12" customHeight="1"/>
    <row r="134" ht="12" customHeight="1"/>
    <row r="135" ht="12" customHeight="1"/>
    <row r="136" ht="12" customHeight="1"/>
    <row r="137" ht="12" customHeight="1"/>
    <row r="138" ht="12" customHeight="1"/>
    <row r="139" ht="12" customHeight="1"/>
    <row r="140" ht="12" customHeight="1"/>
    <row r="141" ht="12" customHeight="1"/>
    <row r="142" ht="12" customHeight="1"/>
    <row r="143" ht="12" customHeight="1"/>
    <row r="144" ht="12" customHeight="1"/>
    <row r="145" ht="12" customHeight="1"/>
    <row r="146" ht="12" customHeight="1"/>
    <row r="147" ht="12" customHeight="1"/>
    <row r="148" ht="12" customHeight="1"/>
    <row r="149" ht="12" customHeight="1"/>
    <row r="150" ht="12" customHeight="1"/>
    <row r="151" ht="12" customHeight="1"/>
    <row r="152" ht="12" customHeight="1"/>
    <row r="153" ht="12" customHeight="1"/>
    <row r="154" ht="12" customHeight="1"/>
    <row r="155" ht="12" customHeight="1"/>
    <row r="156" ht="12" customHeight="1"/>
    <row r="157" ht="12" customHeight="1"/>
    <row r="158" ht="12" customHeight="1"/>
    <row r="159" ht="12" customHeight="1"/>
    <row r="160" ht="12" customHeight="1"/>
    <row r="161" ht="12" customHeight="1"/>
    <row r="162" ht="12" customHeight="1"/>
    <row r="163" ht="12" customHeight="1"/>
    <row r="164" ht="12" customHeight="1"/>
  </sheetData>
  <mergeCells count="17">
    <mergeCell ref="D11:E11"/>
    <mergeCell ref="H11:I11"/>
    <mergeCell ref="D10:E10"/>
    <mergeCell ref="H10:I10"/>
    <mergeCell ref="D7:E7"/>
    <mergeCell ref="H7:I7"/>
    <mergeCell ref="D8:E8"/>
    <mergeCell ref="H8:I8"/>
    <mergeCell ref="D9:E9"/>
    <mergeCell ref="H9:I9"/>
    <mergeCell ref="D6:E6"/>
    <mergeCell ref="H6:I6"/>
    <mergeCell ref="D1:E1"/>
    <mergeCell ref="D4:E4"/>
    <mergeCell ref="H4:I4"/>
    <mergeCell ref="D5:E5"/>
    <mergeCell ref="H5:I5"/>
  </mergeCells>
  <pageMargins left="0.7" right="0.7" top="0.75" bottom="0.75" header="0.3" footer="0.3"/>
  <pageSetup paperSize="3" fitToHeight="0" orientation="landscape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43D5E9B-22B5-4B0E-A7C9-4C4030052C0D}">
          <x14:formula1>
            <xm:f>Assemblies!$E:$E</xm:f>
          </x14:formula1>
          <xm:sqref>C5:C10</xm:sqref>
        </x14:dataValidation>
      </x14:dataValidation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15E760-7828-488D-9F55-EEA19306C9A2}">
  <sheetPr codeName="Sheet56">
    <tabColor theme="3" tint="0.79998168889431442"/>
    <pageSetUpPr fitToPage="1"/>
  </sheetPr>
  <dimension ref="A1:Q192"/>
  <sheetViews>
    <sheetView zoomScaleNormal="100" workbookViewId="0">
      <selection activeCell="D22" sqref="D22:E22"/>
    </sheetView>
  </sheetViews>
  <sheetFormatPr defaultColWidth="9.140625" defaultRowHeight="15"/>
  <cols>
    <col min="1" max="1" width="5.7109375" customWidth="1"/>
    <col min="2" max="2" width="5.42578125" bestFit="1" customWidth="1"/>
    <col min="3" max="3" width="30.7109375" customWidth="1"/>
    <col min="4" max="5" width="20.7109375" style="23" customWidth="1"/>
    <col min="6" max="6" width="16.85546875" bestFit="1" customWidth="1"/>
    <col min="7" max="7" width="9.7109375" customWidth="1"/>
    <col min="8" max="8" width="8.7109375" customWidth="1"/>
    <col min="9" max="9" width="20.7109375" customWidth="1"/>
    <col min="10" max="13" width="11.7109375" style="19" customWidth="1"/>
    <col min="14" max="14" width="11.85546875" style="19" bestFit="1" customWidth="1"/>
    <col min="15" max="15" width="7.7109375" style="19" customWidth="1"/>
    <col min="16" max="16" width="10.7109375" style="90" customWidth="1"/>
    <col min="17" max="17" width="10.7109375" style="97" customWidth="1"/>
  </cols>
  <sheetData>
    <row r="1" spans="1:17" s="55" customFormat="1" ht="12" customHeight="1">
      <c r="A1" s="68" t="s">
        <v>0</v>
      </c>
      <c r="B1" s="69"/>
      <c r="C1" s="69"/>
      <c r="D1" s="262" t="s">
        <v>1</v>
      </c>
      <c r="E1" s="263"/>
      <c r="F1" s="70"/>
      <c r="G1" s="69"/>
      <c r="H1" s="70"/>
      <c r="I1" s="71"/>
      <c r="J1" s="72"/>
      <c r="K1" s="72"/>
      <c r="L1" s="72"/>
      <c r="M1" s="72"/>
      <c r="N1" s="72"/>
      <c r="O1" s="72"/>
      <c r="P1" s="85"/>
      <c r="Q1" s="91"/>
    </row>
    <row r="2" spans="1:17" s="55" customFormat="1" ht="12" customHeight="1">
      <c r="A2" s="74" t="s">
        <v>48</v>
      </c>
      <c r="B2" s="58"/>
      <c r="C2" s="57" t="e">
        <f ca="1">VLOOKUP(E3,Assemblies!B:F,4,0)</f>
        <v>#VALUE!</v>
      </c>
      <c r="D2" s="75" t="s">
        <v>3</v>
      </c>
      <c r="E2" s="76" t="e">
        <f ca="1">'GF12'!E2</f>
        <v>#VALUE!</v>
      </c>
      <c r="F2" s="77" t="s">
        <v>4</v>
      </c>
      <c r="G2" s="58" t="str">
        <f>'GF12'!G2</f>
        <v>GH</v>
      </c>
      <c r="H2" s="77" t="s">
        <v>6</v>
      </c>
      <c r="I2" s="59">
        <f>'GF12'!I2</f>
        <v>44775</v>
      </c>
      <c r="J2" s="39"/>
      <c r="K2" s="40" t="s">
        <v>49</v>
      </c>
      <c r="L2" s="41" t="e">
        <f ca="1">VLOOKUP(C2,Assemblies!E:G,3,0)</f>
        <v>#VALUE!</v>
      </c>
      <c r="M2" s="78"/>
      <c r="N2" s="78"/>
      <c r="O2" s="78"/>
      <c r="P2" s="86"/>
      <c r="Q2" s="92"/>
    </row>
    <row r="3" spans="1:17" s="55" customFormat="1" ht="12" customHeight="1" thickBot="1">
      <c r="A3" s="74" t="s">
        <v>7</v>
      </c>
      <c r="B3" s="58"/>
      <c r="C3" s="57" t="e">
        <f ca="1">VLOOKUP(E3,Assemblies!B:F,5,0)</f>
        <v>#VALUE!</v>
      </c>
      <c r="D3" s="75" t="s">
        <v>50</v>
      </c>
      <c r="E3" s="76" t="e">
        <f ca="1">MID(CELL("filename",A1),FIND("]",CELL("filename",A1))+1,256)</f>
        <v>#VALUE!</v>
      </c>
      <c r="F3" s="77" t="s">
        <v>11</v>
      </c>
      <c r="G3" s="58" t="str">
        <f>'GF12'!G3</f>
        <v>GH</v>
      </c>
      <c r="H3" s="77" t="s">
        <v>6</v>
      </c>
      <c r="I3" s="59">
        <f>'GF12'!I3</f>
        <v>44775</v>
      </c>
      <c r="J3" s="78"/>
      <c r="K3" s="78"/>
      <c r="L3" s="78"/>
      <c r="M3" s="78"/>
      <c r="N3" s="78"/>
      <c r="O3" s="78"/>
      <c r="P3" s="86"/>
      <c r="Q3" s="92"/>
    </row>
    <row r="4" spans="1:17" s="56" customFormat="1" ht="12.75" customHeight="1" thickBot="1">
      <c r="A4" s="80" t="s">
        <v>12</v>
      </c>
      <c r="B4" s="81" t="s">
        <v>13</v>
      </c>
      <c r="C4" s="81" t="s">
        <v>14</v>
      </c>
      <c r="D4" s="270" t="s">
        <v>15</v>
      </c>
      <c r="E4" s="271"/>
      <c r="F4" s="104" t="s">
        <v>16</v>
      </c>
      <c r="G4" s="81" t="s">
        <v>17</v>
      </c>
      <c r="H4" s="260" t="s">
        <v>18</v>
      </c>
      <c r="I4" s="261"/>
      <c r="J4" s="81" t="s">
        <v>51</v>
      </c>
      <c r="K4" s="81" t="s">
        <v>20</v>
      </c>
      <c r="L4" s="81" t="s">
        <v>21</v>
      </c>
      <c r="M4" s="81" t="s">
        <v>52</v>
      </c>
      <c r="N4" s="81" t="s">
        <v>22</v>
      </c>
      <c r="O4" s="81" t="s">
        <v>53</v>
      </c>
      <c r="P4" s="107" t="s">
        <v>26</v>
      </c>
      <c r="Q4" s="82" t="s">
        <v>27</v>
      </c>
    </row>
    <row r="5" spans="1:17" s="2" customFormat="1" ht="12.75" customHeight="1">
      <c r="A5" s="127">
        <v>1</v>
      </c>
      <c r="B5" s="21">
        <v>3</v>
      </c>
      <c r="C5" s="108" t="s">
        <v>682</v>
      </c>
      <c r="D5" s="277" t="str">
        <f>VLOOKUP(C5,Machined!C:Q,2,0)</f>
        <v>Mounting Plate</v>
      </c>
      <c r="E5" s="278"/>
      <c r="F5" s="131" t="str">
        <f>VLOOKUP(C5,Machined!C:R,7,0)</f>
        <v>6061-T6 Alum</v>
      </c>
      <c r="G5" s="131" t="str">
        <f>VLOOKUP(C5,Machined!C:R,10,0)</f>
        <v>FRONTIER</v>
      </c>
      <c r="H5" s="131" t="str">
        <f>VLOOKUP(C5,Machined!C:R,11,0)</f>
        <v xml:space="preserve">  </v>
      </c>
      <c r="I5" s="131"/>
      <c r="J5" s="42">
        <f>VLOOKUP(C5,Machined!C:R,12,0)</f>
        <v>45105</v>
      </c>
      <c r="K5" s="42">
        <f>VLOOKUP(C5,Machined!C:R,13,0)</f>
        <v>45133</v>
      </c>
      <c r="L5" s="42">
        <f>VLOOKUP(C5,Machined!C:R,14,0)</f>
        <v>45163</v>
      </c>
      <c r="M5" s="42">
        <f>VLOOKUP(C5,Machined!C:R,15,0)</f>
        <v>45163</v>
      </c>
      <c r="N5" s="43">
        <f>VLOOKUP(C5,Machined!C:R,16,0)</f>
        <v>55015</v>
      </c>
      <c r="O5" s="43" t="e">
        <f t="shared" ref="O5:O11" ca="1" si="0">B5*$L$2</f>
        <v>#VALUE!</v>
      </c>
      <c r="P5" s="47">
        <f>IFERROR(VLOOKUP(C5,Machined!C:F,3,0),"")</f>
        <v>79.599999999999994</v>
      </c>
      <c r="Q5" s="48">
        <f t="shared" ref="Q5:Q11" si="1">IFERROR(B5*P5,"")</f>
        <v>238.79999999999998</v>
      </c>
    </row>
    <row r="6" spans="1:17" s="2" customFormat="1" ht="12.75" customHeight="1">
      <c r="A6" s="127">
        <v>2</v>
      </c>
      <c r="B6" s="21">
        <v>2</v>
      </c>
      <c r="C6" s="108" t="s">
        <v>683</v>
      </c>
      <c r="D6" s="277" t="str">
        <f>VLOOKUP(C6,Machined!C:Q,2,0)</f>
        <v>Dual Lead Screw Mount</v>
      </c>
      <c r="E6" s="278"/>
      <c r="F6" s="131" t="str">
        <f>VLOOKUP(C6,Machined!C:R,7,0)</f>
        <v>6061-T6 Alum</v>
      </c>
      <c r="G6" s="131" t="str">
        <f>VLOOKUP(C6,Machined!C:R,10,0)</f>
        <v>FRONTIER</v>
      </c>
      <c r="H6" s="131" t="str">
        <f>VLOOKUP(C6,Machined!C:R,11,0)</f>
        <v xml:space="preserve">  </v>
      </c>
      <c r="I6" s="131"/>
      <c r="J6" s="42">
        <f>VLOOKUP(C6,Machined!C:R,12,0)</f>
        <v>45105</v>
      </c>
      <c r="K6" s="42">
        <f>VLOOKUP(C6,Machined!C:R,13,0)</f>
        <v>45133</v>
      </c>
      <c r="L6" s="42">
        <f>VLOOKUP(C6,Machined!C:R,14,0)</f>
        <v>45163</v>
      </c>
      <c r="M6" s="42">
        <f>VLOOKUP(C6,Machined!C:R,15,0)</f>
        <v>45163</v>
      </c>
      <c r="N6" s="43">
        <f>VLOOKUP(C6,Machined!C:R,16,0)</f>
        <v>55015</v>
      </c>
      <c r="O6" s="43" t="e">
        <f t="shared" ca="1" si="0"/>
        <v>#VALUE!</v>
      </c>
      <c r="P6" s="47">
        <f>IFERROR(VLOOKUP(C6,Machined!C:F,3,0),"")</f>
        <v>161.05000000000001</v>
      </c>
      <c r="Q6" s="48">
        <f t="shared" si="1"/>
        <v>322.10000000000002</v>
      </c>
    </row>
    <row r="7" spans="1:17" s="2" customFormat="1" ht="12.75" customHeight="1">
      <c r="A7" s="127">
        <v>3</v>
      </c>
      <c r="B7" s="21">
        <v>6</v>
      </c>
      <c r="C7" s="108" t="s">
        <v>684</v>
      </c>
      <c r="D7" s="277" t="str">
        <f>VLOOKUP(C7,Machined!C:Q,2,0)</f>
        <v>Bearing End Plate</v>
      </c>
      <c r="E7" s="278"/>
      <c r="F7" s="131" t="str">
        <f>VLOOKUP(C7,Machined!C:R,7,0)</f>
        <v>6061-T6 Alum</v>
      </c>
      <c r="G7" s="131" t="str">
        <f>VLOOKUP(C7,Machined!C:R,10,0)</f>
        <v>FRONTIER</v>
      </c>
      <c r="H7" s="131" t="str">
        <f>VLOOKUP(C7,Machined!C:R,11,0)</f>
        <v xml:space="preserve">  </v>
      </c>
      <c r="I7" s="131"/>
      <c r="J7" s="42">
        <f>VLOOKUP(C7,Machined!C:R,12,0)</f>
        <v>45105</v>
      </c>
      <c r="K7" s="42">
        <f>VLOOKUP(C7,Machined!C:R,13,0)</f>
        <v>45133</v>
      </c>
      <c r="L7" s="42">
        <f>VLOOKUP(C7,Machined!C:R,14,0)</f>
        <v>45163</v>
      </c>
      <c r="M7" s="42">
        <f>VLOOKUP(C7,Machined!C:R,15,0)</f>
        <v>45163</v>
      </c>
      <c r="N7" s="43">
        <f>VLOOKUP(C7,Machined!C:R,16,0)</f>
        <v>55015</v>
      </c>
      <c r="O7" s="43" t="e">
        <f t="shared" ca="1" si="0"/>
        <v>#VALUE!</v>
      </c>
      <c r="P7" s="47">
        <f>IFERROR(VLOOKUP(C7,Machined!C:F,3,0),"")</f>
        <v>55.2</v>
      </c>
      <c r="Q7" s="48">
        <f t="shared" si="1"/>
        <v>331.20000000000005</v>
      </c>
    </row>
    <row r="8" spans="1:17" s="2" customFormat="1" ht="12.75" customHeight="1">
      <c r="A8" s="127">
        <v>4</v>
      </c>
      <c r="B8" s="21">
        <v>4</v>
      </c>
      <c r="C8" s="108" t="s">
        <v>685</v>
      </c>
      <c r="D8" s="277" t="str">
        <f>VLOOKUP(C8,Machined!C:Q,2,0)</f>
        <v>Cam Mount</v>
      </c>
      <c r="E8" s="278"/>
      <c r="F8" s="131" t="str">
        <f>VLOOKUP(C8,Machined!C:R,7,0)</f>
        <v>6061-T6 Alum</v>
      </c>
      <c r="G8" s="131" t="str">
        <f>VLOOKUP(C8,Machined!C:R,10,0)</f>
        <v>FRONTIER</v>
      </c>
      <c r="H8" s="131" t="str">
        <f>VLOOKUP(C8,Machined!C:R,11,0)</f>
        <v xml:space="preserve">  </v>
      </c>
      <c r="I8" s="131"/>
      <c r="J8" s="42">
        <f>VLOOKUP(C8,Machined!C:R,12,0)</f>
        <v>45105</v>
      </c>
      <c r="K8" s="42">
        <f>VLOOKUP(C8,Machined!C:R,13,0)</f>
        <v>45133</v>
      </c>
      <c r="L8" s="42">
        <f>VLOOKUP(C8,Machined!C:R,14,0)</f>
        <v>45163</v>
      </c>
      <c r="M8" s="42">
        <f>VLOOKUP(C8,Machined!C:R,15,0)</f>
        <v>45163</v>
      </c>
      <c r="N8" s="43">
        <f>VLOOKUP(C8,Machined!C:R,16,0)</f>
        <v>55015</v>
      </c>
      <c r="O8" s="43" t="e">
        <f t="shared" ca="1" si="0"/>
        <v>#VALUE!</v>
      </c>
      <c r="P8" s="47">
        <f>IFERROR(VLOOKUP(C8,Machined!C:F,3,0),"")</f>
        <v>61.05</v>
      </c>
      <c r="Q8" s="48">
        <f t="shared" si="1"/>
        <v>244.2</v>
      </c>
    </row>
    <row r="9" spans="1:17" s="2" customFormat="1" ht="12.75" customHeight="1">
      <c r="A9" s="127">
        <v>5</v>
      </c>
      <c r="B9" s="21">
        <v>2</v>
      </c>
      <c r="C9" s="108" t="s">
        <v>686</v>
      </c>
      <c r="D9" s="277" t="str">
        <f>VLOOKUP(C9,Machined!C:Q,2,0)</f>
        <v>Linear Rail Mount</v>
      </c>
      <c r="E9" s="278"/>
      <c r="F9" s="131" t="str">
        <f>VLOOKUP(C9,Machined!C:R,7,0)</f>
        <v>6061-T6 Alum</v>
      </c>
      <c r="G9" s="131" t="str">
        <f>VLOOKUP(C9,Machined!C:R,10,0)</f>
        <v>BEMOX</v>
      </c>
      <c r="H9" s="131" t="str">
        <f>VLOOKUP(C9,Machined!C:R,11,0)</f>
        <v xml:space="preserve">  </v>
      </c>
      <c r="I9" s="131"/>
      <c r="J9" s="42">
        <f>VLOOKUP(C9,Machined!C:R,12,0)</f>
        <v>45141</v>
      </c>
      <c r="K9" s="42">
        <f>VLOOKUP(C9,Machined!C:R,13,0)</f>
        <v>45141</v>
      </c>
      <c r="L9" s="42">
        <f>VLOOKUP(C9,Machined!C:R,14,0)</f>
        <v>45171</v>
      </c>
      <c r="M9" s="42">
        <f>VLOOKUP(C9,Machined!C:R,15,0)</f>
        <v>45171</v>
      </c>
      <c r="N9" s="43">
        <f>VLOOKUP(C9,Machined!C:R,16,0)</f>
        <v>55029</v>
      </c>
      <c r="O9" s="43" t="e">
        <f t="shared" ca="1" si="0"/>
        <v>#VALUE!</v>
      </c>
      <c r="P9" s="47">
        <f>IFERROR(VLOOKUP(C9,Machined!C:F,3,0),"")</f>
        <v>365.5</v>
      </c>
      <c r="Q9" s="48">
        <f t="shared" si="1"/>
        <v>731</v>
      </c>
    </row>
    <row r="10" spans="1:17" s="2" customFormat="1" ht="12.75" customHeight="1">
      <c r="A10" s="127">
        <v>6</v>
      </c>
      <c r="B10" s="21">
        <v>2</v>
      </c>
      <c r="C10" s="108" t="s">
        <v>687</v>
      </c>
      <c r="D10" s="277" t="str">
        <f>VLOOKUP(C10,Machined!C:Q,2,0)</f>
        <v>Handwheel Bearing End Plate</v>
      </c>
      <c r="E10" s="278"/>
      <c r="F10" s="131" t="str">
        <f>VLOOKUP(C10,Machined!C:R,7,0)</f>
        <v>6061-T6 Alum</v>
      </c>
      <c r="G10" s="131" t="str">
        <f>VLOOKUP(C10,Machined!C:R,10,0)</f>
        <v>FRONTIER</v>
      </c>
      <c r="H10" s="131" t="str">
        <f>VLOOKUP(C10,Machined!C:R,11,0)</f>
        <v xml:space="preserve">  </v>
      </c>
      <c r="I10" s="131"/>
      <c r="J10" s="42">
        <f>VLOOKUP(C10,Machined!C:R,12,0)</f>
        <v>45105</v>
      </c>
      <c r="K10" s="42">
        <f>VLOOKUP(C10,Machined!C:R,13,0)</f>
        <v>45133</v>
      </c>
      <c r="L10" s="42">
        <f>VLOOKUP(C10,Machined!C:R,14,0)</f>
        <v>45163</v>
      </c>
      <c r="M10" s="42">
        <f>VLOOKUP(C10,Machined!C:R,15,0)</f>
        <v>45163</v>
      </c>
      <c r="N10" s="43">
        <f>VLOOKUP(C10,Machined!C:R,16,0)</f>
        <v>55015</v>
      </c>
      <c r="O10" s="43" t="e">
        <f t="shared" ca="1" si="0"/>
        <v>#VALUE!</v>
      </c>
      <c r="P10" s="47">
        <f>IFERROR(VLOOKUP(C10,Machined!C:F,3,0),"")</f>
        <v>80.900000000000006</v>
      </c>
      <c r="Q10" s="48">
        <f t="shared" si="1"/>
        <v>161.80000000000001</v>
      </c>
    </row>
    <row r="11" spans="1:17" s="2" customFormat="1" ht="12.75" customHeight="1">
      <c r="A11" s="127">
        <v>7</v>
      </c>
      <c r="B11" s="21">
        <v>2</v>
      </c>
      <c r="C11" s="108" t="s">
        <v>688</v>
      </c>
      <c r="D11" s="277" t="str">
        <f>VLOOKUP(C11,Machined!C:Q,2,0)</f>
        <v>Connecting Shaft Upper</v>
      </c>
      <c r="E11" s="278"/>
      <c r="F11" s="131" t="str">
        <f>VLOOKUP(C11,Machined!C:R,7,0)</f>
        <v>303 SS - TG&amp;P</v>
      </c>
      <c r="G11" s="131" t="str">
        <f>VLOOKUP(C11,Machined!C:R,10,0)</f>
        <v>ALEXANDRIA, Nuline</v>
      </c>
      <c r="H11" s="131" t="str">
        <f>VLOOKUP(C11,Machined!C:R,11,0)</f>
        <v xml:space="preserve">  </v>
      </c>
      <c r="I11" s="131"/>
      <c r="J11" s="42" t="str">
        <f>VLOOKUP(C11,Machined!C:R,12,0)</f>
        <v>N/A</v>
      </c>
      <c r="K11" s="42" t="str">
        <f>VLOOKUP(C11,Machined!C:R,13,0)</f>
        <v>N/A</v>
      </c>
      <c r="L11" s="42" t="str">
        <f>VLOOKUP(C11,Machined!C:R,14,0)</f>
        <v>N/A</v>
      </c>
      <c r="M11" s="42" t="str">
        <f>VLOOKUP(C11,Machined!C:R,15,0)</f>
        <v>N/A</v>
      </c>
      <c r="N11" s="43">
        <f>VLOOKUP(C11,Machined!C:R,16,0)</f>
        <v>55018</v>
      </c>
      <c r="O11" s="43" t="e">
        <f t="shared" ca="1" si="0"/>
        <v>#VALUE!</v>
      </c>
      <c r="P11" s="47">
        <f>IFERROR(VLOOKUP(C11,Machined!C:F,3,0),"")</f>
        <v>14.25</v>
      </c>
      <c r="Q11" s="48">
        <f t="shared" si="1"/>
        <v>28.5</v>
      </c>
    </row>
    <row r="12" spans="1:17" s="2" customFormat="1" ht="12.75" customHeight="1">
      <c r="A12" s="143"/>
      <c r="B12" s="26"/>
      <c r="C12" s="26"/>
      <c r="D12" s="272"/>
      <c r="E12" s="273"/>
      <c r="F12" s="26"/>
      <c r="G12" s="26"/>
      <c r="H12" s="274"/>
      <c r="I12" s="275"/>
      <c r="J12" s="27"/>
      <c r="K12" s="27"/>
      <c r="L12" s="27"/>
      <c r="M12" s="28"/>
      <c r="N12" s="29"/>
      <c r="O12" s="29"/>
      <c r="P12" s="141"/>
      <c r="Q12" s="142"/>
    </row>
    <row r="13" spans="1:17" s="2" customFormat="1" ht="12.75" customHeight="1">
      <c r="A13" s="4">
        <v>301</v>
      </c>
      <c r="B13" s="2">
        <v>4</v>
      </c>
      <c r="C13" s="114" t="s">
        <v>689</v>
      </c>
      <c r="D13" s="268" t="str">
        <f>VLOOKUP(C13,Purchased!A:B,2,0)</f>
        <v>BRL 15mm Ball Rail, hole punch frame</v>
      </c>
      <c r="E13" s="269"/>
      <c r="F13" s="112" t="str">
        <f>VLOOKUP(C13,Purchased!A:Q,9,0)</f>
        <v>BRL</v>
      </c>
      <c r="G13" s="112" t="str">
        <f>VLOOKUP(C13,Purchased!A:Q,10,0)</f>
        <v>AAP</v>
      </c>
      <c r="H13" s="112" t="str">
        <f>VLOOKUP(C13,Purchased!A:Q,12,0)</f>
        <v xml:space="preserve"> </v>
      </c>
      <c r="I13" s="113"/>
      <c r="J13" s="44">
        <f>VLOOKUP(C13,Purchased!A:Q,13,0)</f>
        <v>45093</v>
      </c>
      <c r="K13" s="44">
        <f>VLOOKUP(C13,Purchased!A:Q,14,0)</f>
        <v>45093</v>
      </c>
      <c r="L13" s="44">
        <f>VLOOKUP(C13,Purchased!A:Q,15,0)</f>
        <v>45184</v>
      </c>
      <c r="M13" s="44">
        <f>VLOOKUP(C13,Purchased!A:Q,16,0)</f>
        <v>45184</v>
      </c>
      <c r="N13" s="45">
        <f>VLOOKUP(C13,Purchased!A:Q,17,0)</f>
        <v>54942</v>
      </c>
      <c r="O13" s="45" t="e">
        <f t="shared" ref="O13:O25" ca="1" si="2">B13*$L$2</f>
        <v>#VALUE!</v>
      </c>
      <c r="P13" s="49">
        <f>IFERROR(VLOOKUP(C13,Purchased!A:E,3,FALSE),"")</f>
        <v>365.86399999999998</v>
      </c>
      <c r="Q13" s="50">
        <f t="shared" ref="Q13:Q25" si="3">IFERROR(B13*P13,"")</f>
        <v>1463.4559999999999</v>
      </c>
    </row>
    <row r="14" spans="1:17" s="2" customFormat="1" ht="12" customHeight="1">
      <c r="A14" s="4">
        <f t="shared" ref="A14:A28" si="4">A13+1</f>
        <v>302</v>
      </c>
      <c r="B14" s="2">
        <v>12</v>
      </c>
      <c r="C14" s="114" t="s">
        <v>256</v>
      </c>
      <c r="D14" s="268" t="str">
        <f>VLOOKUP(C14,Purchased!A:B,2,0)</f>
        <v>BRX GOTO T-NUT 10 M8</v>
      </c>
      <c r="E14" s="269"/>
      <c r="F14" s="112" t="str">
        <f>VLOOKUP(C14,Purchased!A:Q,9,0)</f>
        <v>BRX</v>
      </c>
      <c r="G14" s="112" t="str">
        <f>VLOOKUP(C14,Purchased!A:Q,10,0)</f>
        <v>AAP</v>
      </c>
      <c r="H14" s="112" t="str">
        <f>VLOOKUP(C14,Purchased!A:Q,12,0)</f>
        <v xml:space="preserve">  </v>
      </c>
      <c r="I14" s="113"/>
      <c r="J14" s="44">
        <f>VLOOKUP(C14,Purchased!A:Q,13,0)</f>
        <v>45104</v>
      </c>
      <c r="K14" s="44">
        <f>VLOOKUP(C14,Purchased!A:Q,14,0)</f>
        <v>45105</v>
      </c>
      <c r="L14" s="44">
        <f>VLOOKUP(C14,Purchased!A:Q,15,0)</f>
        <v>45133</v>
      </c>
      <c r="M14" s="44">
        <f>VLOOKUP(C14,Purchased!A:Q,16,0)</f>
        <v>45133</v>
      </c>
      <c r="N14" s="45" t="str">
        <f>VLOOKUP(C14,Purchased!A:Q,17,0)</f>
        <v>54968, 55147</v>
      </c>
      <c r="O14" s="45" t="e">
        <f t="shared" ca="1" si="2"/>
        <v>#VALUE!</v>
      </c>
      <c r="P14" s="49">
        <f>IFERROR(VLOOKUP(C14,Purchased!A:E,3,FALSE),"")</f>
        <v>0.64290000000000003</v>
      </c>
      <c r="Q14" s="50">
        <f t="shared" si="3"/>
        <v>7.7148000000000003</v>
      </c>
    </row>
    <row r="15" spans="1:17" s="2" customFormat="1" ht="12" customHeight="1">
      <c r="A15" s="4">
        <f t="shared" si="4"/>
        <v>303</v>
      </c>
      <c r="B15" s="2">
        <v>2</v>
      </c>
      <c r="C15" s="114" t="s">
        <v>690</v>
      </c>
      <c r="D15" s="268" t="str">
        <f>VLOOKUP(C15,Purchased!A:B,2,0)</f>
        <v>BRX GOTO T-SLOT STONE 10 M8</v>
      </c>
      <c r="E15" s="269"/>
      <c r="F15" s="112" t="str">
        <f>VLOOKUP(C15,Purchased!A:Q,9,0)</f>
        <v>BRX</v>
      </c>
      <c r="G15" s="112" t="str">
        <f>VLOOKUP(C15,Purchased!A:Q,10,0)</f>
        <v>AAP</v>
      </c>
      <c r="H15" s="112" t="str">
        <f>VLOOKUP(C15,Purchased!A:Q,12,0)</f>
        <v xml:space="preserve">  </v>
      </c>
      <c r="I15" s="113"/>
      <c r="J15" s="44">
        <f>VLOOKUP(C15,Purchased!A:Q,13,0)</f>
        <v>45104</v>
      </c>
      <c r="K15" s="44">
        <f>VLOOKUP(C15,Purchased!A:Q,14,0)</f>
        <v>45105</v>
      </c>
      <c r="L15" s="44">
        <f>VLOOKUP(C15,Purchased!A:Q,15,0)</f>
        <v>45133</v>
      </c>
      <c r="M15" s="44">
        <f>VLOOKUP(C15,Purchased!A:Q,16,0)</f>
        <v>45133</v>
      </c>
      <c r="N15" s="45">
        <f>VLOOKUP(C15,Purchased!A:Q,17,0)</f>
        <v>54968</v>
      </c>
      <c r="O15" s="45" t="e">
        <f t="shared" ref="O15" ca="1" si="5">B15*$L$2</f>
        <v>#VALUE!</v>
      </c>
      <c r="P15" s="49">
        <f>IFERROR(VLOOKUP(C15,Purchased!A:E,3,FALSE),"")</f>
        <v>0.98570000000000002</v>
      </c>
      <c r="Q15" s="50">
        <f t="shared" ref="Q15" si="6">IFERROR(B15*P15,"")</f>
        <v>1.9714</v>
      </c>
    </row>
    <row r="16" spans="1:17" s="2" customFormat="1" ht="12" customHeight="1">
      <c r="A16" s="4">
        <f t="shared" si="4"/>
        <v>304</v>
      </c>
      <c r="B16" s="2">
        <v>4</v>
      </c>
      <c r="C16" s="114" t="s">
        <v>691</v>
      </c>
      <c r="D16" s="268" t="str">
        <f>VLOOKUP(C16,Purchased!A:B,2,0)</f>
        <v>BRX GOTO GUSSET 90X90 SET</v>
      </c>
      <c r="E16" s="269"/>
      <c r="F16" s="112" t="str">
        <f>VLOOKUP(C16,Purchased!A:Q,9,0)</f>
        <v>BRX</v>
      </c>
      <c r="G16" s="112" t="str">
        <f>VLOOKUP(C16,Purchased!A:Q,10,0)</f>
        <v>AAP</v>
      </c>
      <c r="H16" s="112" t="str">
        <f>VLOOKUP(C16,Purchased!A:Q,12,0)</f>
        <v xml:space="preserve"> </v>
      </c>
      <c r="I16" s="113"/>
      <c r="J16" s="44" t="str">
        <f>VLOOKUP(C16,Purchased!A:Q,13,0)</f>
        <v>N/A</v>
      </c>
      <c r="K16" s="44">
        <f>VLOOKUP(C16,Purchased!A:Q,14,0)</f>
        <v>45162</v>
      </c>
      <c r="L16" s="44">
        <f>VLOOKUP(C16,Purchased!A:Q,15,0)</f>
        <v>45184</v>
      </c>
      <c r="M16" s="44">
        <f>VLOOKUP(C16,Purchased!A:Q,16,0)</f>
        <v>45197</v>
      </c>
      <c r="N16" s="45" t="str">
        <f>VLOOKUP(C16,Purchased!A:Q,17,0)</f>
        <v>4x55073, 3x55169</v>
      </c>
      <c r="O16" s="45" t="e">
        <f t="shared" ca="1" si="2"/>
        <v>#VALUE!</v>
      </c>
      <c r="P16" s="49">
        <f>IFERROR(VLOOKUP(C16,Purchased!A:E,3,FALSE),"")</f>
        <v>19.057099999999998</v>
      </c>
      <c r="Q16" s="50">
        <f t="shared" si="3"/>
        <v>76.228399999999993</v>
      </c>
    </row>
    <row r="17" spans="1:17" s="2" customFormat="1" ht="12" customHeight="1">
      <c r="A17" s="4">
        <f t="shared" si="4"/>
        <v>305</v>
      </c>
      <c r="B17" s="2">
        <v>4</v>
      </c>
      <c r="C17" s="114" t="s">
        <v>692</v>
      </c>
      <c r="D17" s="268" t="str">
        <f>VLOOKUP(C17,Purchased!A:B,2,0)</f>
        <v>IGUS Custom Machined Lead Screw</v>
      </c>
      <c r="E17" s="269"/>
      <c r="F17" s="112" t="str">
        <f>VLOOKUP(C17,Purchased!A:Q,9,0)</f>
        <v>IGUS</v>
      </c>
      <c r="G17" s="112" t="str">
        <f>VLOOKUP(C17,Purchased!A:Q,10,0)</f>
        <v>IGUS</v>
      </c>
      <c r="H17" s="112" t="str">
        <f>VLOOKUP(C17,Purchased!A:Q,12,0)</f>
        <v xml:space="preserve"> </v>
      </c>
      <c r="I17" s="113"/>
      <c r="J17" s="44">
        <f>VLOOKUP(C17,Purchased!A:Q,13,0)</f>
        <v>45125</v>
      </c>
      <c r="K17" s="44">
        <f>VLOOKUP(C17,Purchased!A:Q,14,0)</f>
        <v>45161</v>
      </c>
      <c r="L17" s="44">
        <f>VLOOKUP(C17,Purchased!A:Q,15,0)</f>
        <v>45191</v>
      </c>
      <c r="M17" s="44">
        <f>VLOOKUP(C17,Purchased!A:Q,16,0)</f>
        <v>45208</v>
      </c>
      <c r="N17" s="45">
        <f>VLOOKUP(C17,Purchased!A:Q,17,0)</f>
        <v>55076</v>
      </c>
      <c r="O17" s="45" t="e">
        <f t="shared" ca="1" si="2"/>
        <v>#VALUE!</v>
      </c>
      <c r="P17" s="49">
        <f>IFERROR(VLOOKUP(C17,Purchased!A:E,3,FALSE),"")</f>
        <v>86.55</v>
      </c>
      <c r="Q17" s="50">
        <f t="shared" si="3"/>
        <v>346.2</v>
      </c>
    </row>
    <row r="18" spans="1:17" s="2" customFormat="1" ht="12" customHeight="1">
      <c r="A18" s="4">
        <f t="shared" si="4"/>
        <v>306</v>
      </c>
      <c r="B18" s="2">
        <v>2</v>
      </c>
      <c r="C18" s="114" t="s">
        <v>693</v>
      </c>
      <c r="D18" s="268" t="str">
        <f>VLOOKUP(C18,Purchased!A:B,2,0)</f>
        <v>XL Series Timing Belt Trade No. 100xL037</v>
      </c>
      <c r="E18" s="269"/>
      <c r="F18" s="112" t="str">
        <f>VLOOKUP(C18,Purchased!A:Q,9,0)</f>
        <v>MOTION</v>
      </c>
      <c r="G18" s="112" t="str">
        <f>VLOOKUP(C18,Purchased!A:Q,10,0)</f>
        <v>MOTION</v>
      </c>
      <c r="H18" s="112" t="str">
        <f>VLOOKUP(C18,Purchased!A:Q,12,0)</f>
        <v>MCM=6484K22</v>
      </c>
      <c r="I18" s="113"/>
      <c r="J18" s="44" t="str">
        <f>VLOOKUP(C18,Purchased!A:Q,13,0)</f>
        <v>N/A</v>
      </c>
      <c r="K18" s="44">
        <f>VLOOKUP(C18,Purchased!A:Q,14,0)</f>
        <v>45161</v>
      </c>
      <c r="L18" s="44">
        <f>VLOOKUP(C18,Purchased!A:Q,15,0)</f>
        <v>45191</v>
      </c>
      <c r="M18" s="44">
        <f>VLOOKUP(C18,Purchased!A:Q,16,0)</f>
        <v>45191</v>
      </c>
      <c r="N18" s="45">
        <f>VLOOKUP(C18,Purchased!A:Q,17,0)</f>
        <v>55079</v>
      </c>
      <c r="O18" s="45" t="e">
        <f t="shared" ca="1" si="2"/>
        <v>#VALUE!</v>
      </c>
      <c r="P18" s="49">
        <f>IFERROR(VLOOKUP(C18,Purchased!A:E,3,FALSE),"")</f>
        <v>4.83</v>
      </c>
      <c r="Q18" s="50">
        <f t="shared" si="3"/>
        <v>9.66</v>
      </c>
    </row>
    <row r="19" spans="1:17" s="2" customFormat="1" ht="12" customHeight="1">
      <c r="A19" s="4">
        <f t="shared" si="4"/>
        <v>307</v>
      </c>
      <c r="B19" s="2">
        <v>2</v>
      </c>
      <c r="C19" s="114" t="s">
        <v>694</v>
      </c>
      <c r="D19" s="268" t="str">
        <f>VLOOKUP(C19,Purchased!A:B,2,0)</f>
        <v>XL Series Timing Belt Trade No. 180xL037</v>
      </c>
      <c r="E19" s="269"/>
      <c r="F19" s="112" t="str">
        <f>VLOOKUP(C19,Purchased!A:Q,9,0)</f>
        <v>MOTION</v>
      </c>
      <c r="G19" s="112" t="str">
        <f>VLOOKUP(C19,Purchased!A:Q,10,0)</f>
        <v>MOTION</v>
      </c>
      <c r="H19" s="112" t="str">
        <f>VLOOKUP(C19,Purchased!A:Q,12,0)</f>
        <v>MCM=6484K228</v>
      </c>
      <c r="I19" s="113"/>
      <c r="J19" s="44" t="str">
        <f>VLOOKUP(C19,Purchased!A:Q,13,0)</f>
        <v>N/A</v>
      </c>
      <c r="K19" s="44">
        <f>VLOOKUP(C19,Purchased!A:Q,14,0)</f>
        <v>45161</v>
      </c>
      <c r="L19" s="44">
        <f>VLOOKUP(C19,Purchased!A:Q,15,0)</f>
        <v>45191</v>
      </c>
      <c r="M19" s="44">
        <f>VLOOKUP(C19,Purchased!A:Q,16,0)</f>
        <v>45191</v>
      </c>
      <c r="N19" s="45">
        <f>VLOOKUP(C19,Purchased!A:Q,17,0)</f>
        <v>55079</v>
      </c>
      <c r="O19" s="45" t="e">
        <f t="shared" ca="1" si="2"/>
        <v>#VALUE!</v>
      </c>
      <c r="P19" s="49">
        <f>IFERROR(VLOOKUP(C19,Purchased!A:E,3,FALSE),"")</f>
        <v>5.97</v>
      </c>
      <c r="Q19" s="50">
        <f t="shared" si="3"/>
        <v>11.94</v>
      </c>
    </row>
    <row r="20" spans="1:17" s="2" customFormat="1" ht="12" customHeight="1">
      <c r="A20" s="4">
        <f t="shared" si="4"/>
        <v>308</v>
      </c>
      <c r="B20" s="2">
        <v>3</v>
      </c>
      <c r="C20" s="114" t="s">
        <v>695</v>
      </c>
      <c r="D20" s="268" t="str">
        <f>VLOOKUP(C20,Purchased!A:B,2,0)</f>
        <v>Clamping Two-Piece Shaft Collar for 10mm Diameter, Chrome Plated 1215 Carbon Steel</v>
      </c>
      <c r="E20" s="269"/>
      <c r="F20" s="112" t="str">
        <f>VLOOKUP(C20,Purchased!A:Q,9,0)</f>
        <v>MCM</v>
      </c>
      <c r="G20" s="112" t="str">
        <f>VLOOKUP(C20,Purchased!A:Q,10,0)</f>
        <v>MCM</v>
      </c>
      <c r="H20" s="112">
        <f>VLOOKUP(C20,Purchased!A:Q,12,0)</f>
        <v>0</v>
      </c>
      <c r="I20" s="113"/>
      <c r="J20" s="44" t="str">
        <f>VLOOKUP(C20,Purchased!A:Q,13,0)</f>
        <v>N/A</v>
      </c>
      <c r="K20" s="44">
        <f>VLOOKUP(C20,Purchased!A:Q,14,0)</f>
        <v>45229</v>
      </c>
      <c r="L20" s="44">
        <f>VLOOKUP(C20,Purchased!A:Q,15,0)</f>
        <v>45230</v>
      </c>
      <c r="M20" s="44">
        <f>VLOOKUP(C20,Purchased!A:Q,16,0)</f>
        <v>45230</v>
      </c>
      <c r="N20" s="45">
        <f>VLOOKUP(C20,Purchased!A:Q,17,0)</f>
        <v>55262</v>
      </c>
      <c r="O20" s="45" t="e">
        <f t="shared" ref="O20" ca="1" si="7">B20*$L$2</f>
        <v>#VALUE!</v>
      </c>
      <c r="P20" s="49">
        <f>IFERROR(VLOOKUP(C20,Purchased!A:E,3,FALSE),"")</f>
        <v>14.83</v>
      </c>
      <c r="Q20" s="50">
        <f t="shared" ref="Q20" si="8">IFERROR(B20*P20,"")</f>
        <v>44.49</v>
      </c>
    </row>
    <row r="21" spans="1:17" s="2" customFormat="1" ht="12" customHeight="1">
      <c r="A21" s="4">
        <f t="shared" si="4"/>
        <v>309</v>
      </c>
      <c r="B21" s="2">
        <v>8</v>
      </c>
      <c r="C21" s="114" t="s">
        <v>696</v>
      </c>
      <c r="D21" s="268" t="str">
        <f>VLOOKUP(C21,Purchased!A:B,2,0)</f>
        <v>Corrosion-Resistant Timing Belt Pulley XL Series, Hub, 2 Flanges, 9.5mm Maximum Belt Width, 28mm OD</v>
      </c>
      <c r="E21" s="269"/>
      <c r="F21" s="112" t="str">
        <f>VLOOKUP(C21,Purchased!A:Q,9,0)</f>
        <v>MCM</v>
      </c>
      <c r="G21" s="112" t="str">
        <f>VLOOKUP(C21,Purchased!A:Q,10,0)</f>
        <v>MCM</v>
      </c>
      <c r="H21" s="112" t="str">
        <f>VLOOKUP(C21,Purchased!A:Q,12,0)</f>
        <v xml:space="preserve"> </v>
      </c>
      <c r="I21" s="113"/>
      <c r="J21" s="44" t="str">
        <f>VLOOKUP(C21,Purchased!A:Q,13,0)</f>
        <v>N/A</v>
      </c>
      <c r="K21" s="44">
        <f>VLOOKUP(C21,Purchased!A:Q,14,0)</f>
        <v>45162</v>
      </c>
      <c r="L21" s="44">
        <f>VLOOKUP(C21,Purchased!A:Q,15,0)</f>
        <v>45184</v>
      </c>
      <c r="M21" s="44">
        <f>VLOOKUP(C21,Purchased!A:Q,16,0)</f>
        <v>45166</v>
      </c>
      <c r="N21" s="45">
        <f>VLOOKUP(C21,Purchased!A:Q,17,0)</f>
        <v>55087</v>
      </c>
      <c r="O21" s="45" t="e">
        <f t="shared" ca="1" si="2"/>
        <v>#VALUE!</v>
      </c>
      <c r="P21" s="49">
        <f>IFERROR(VLOOKUP(C21,Purchased!A:E,3,FALSE),"")</f>
        <v>13.29</v>
      </c>
      <c r="Q21" s="50">
        <f t="shared" si="3"/>
        <v>106.32</v>
      </c>
    </row>
    <row r="22" spans="1:17" s="2" customFormat="1" ht="12" customHeight="1">
      <c r="A22" s="4">
        <f t="shared" si="4"/>
        <v>310</v>
      </c>
      <c r="B22" s="2">
        <v>4</v>
      </c>
      <c r="C22" s="114" t="s">
        <v>697</v>
      </c>
      <c r="D22" s="268" t="str">
        <f>VLOOKUP(C22,Purchased!A:B,2,0)</f>
        <v>Threaded Steel Track Roller, Flat without Seal, 26mm Roller Diameter, 12mm Roller Width</v>
      </c>
      <c r="E22" s="269"/>
      <c r="F22" s="112" t="str">
        <f>VLOOKUP(C22,Purchased!A:Q,9,0)</f>
        <v>MOTION</v>
      </c>
      <c r="G22" s="112" t="str">
        <f>VLOOKUP(C22,Purchased!A:Q,10,0)</f>
        <v>MOTION</v>
      </c>
      <c r="H22" s="112" t="str">
        <f>VLOOKUP(C22,Purchased!A:Q,12,0)</f>
        <v>MCM=6314K320</v>
      </c>
      <c r="I22" s="113"/>
      <c r="J22" s="44" t="str">
        <f>VLOOKUP(C22,Purchased!A:Q,13,0)</f>
        <v>N/A</v>
      </c>
      <c r="K22" s="44">
        <f>VLOOKUP(C22,Purchased!A:Q,14,0)</f>
        <v>45162</v>
      </c>
      <c r="L22" s="44">
        <f>VLOOKUP(C22,Purchased!A:Q,15,0)</f>
        <v>45184</v>
      </c>
      <c r="M22" s="44">
        <f>VLOOKUP(C22,Purchased!A:Q,16,0)</f>
        <v>45169</v>
      </c>
      <c r="N22" s="45">
        <f>VLOOKUP(C22,Purchased!A:Q,17,0)</f>
        <v>55097</v>
      </c>
      <c r="O22" s="45" t="e">
        <f t="shared" ca="1" si="2"/>
        <v>#VALUE!</v>
      </c>
      <c r="P22" s="49">
        <f>IFERROR(VLOOKUP(C22,Purchased!A:E,3,FALSE),"")</f>
        <v>26.09</v>
      </c>
      <c r="Q22" s="50">
        <f t="shared" si="3"/>
        <v>104.36</v>
      </c>
    </row>
    <row r="23" spans="1:17" s="2" customFormat="1" ht="12" customHeight="1">
      <c r="A23" s="4">
        <f t="shared" si="4"/>
        <v>311</v>
      </c>
      <c r="B23" s="2">
        <v>8</v>
      </c>
      <c r="C23" s="114" t="s">
        <v>470</v>
      </c>
      <c r="D23" s="268" t="str">
        <f>VLOOKUP(C23,Purchased!A:B,2,0)</f>
        <v>Set Screw Shaft Collarfor 8 mm Diameter, Black-Oxide 1215 Carbon Steel</v>
      </c>
      <c r="E23" s="269"/>
      <c r="F23" s="112" t="str">
        <f>VLOOKUP(C23,Purchased!A:Q,9,0)</f>
        <v>MOTION</v>
      </c>
      <c r="G23" s="112" t="str">
        <f>VLOOKUP(C23,Purchased!A:Q,10,0)</f>
        <v>MOTION</v>
      </c>
      <c r="H23" s="112" t="str">
        <f>VLOOKUP(C23,Purchased!A:Q,12,0)</f>
        <v>MCM=57485K67</v>
      </c>
      <c r="I23" s="113"/>
      <c r="J23" s="44" t="str">
        <f>VLOOKUP(C23,Purchased!A:Q,13,0)</f>
        <v>N/A</v>
      </c>
      <c r="K23" s="44">
        <f>VLOOKUP(C23,Purchased!A:Q,14,0)</f>
        <v>45161</v>
      </c>
      <c r="L23" s="44">
        <f>VLOOKUP(C23,Purchased!A:Q,15,0)</f>
        <v>45191</v>
      </c>
      <c r="M23" s="44">
        <f>VLOOKUP(C23,Purchased!A:Q,16,0)</f>
        <v>45191</v>
      </c>
      <c r="N23" s="45">
        <f>VLOOKUP(C23,Purchased!A:Q,17,0)</f>
        <v>55079</v>
      </c>
      <c r="O23" s="45" t="e">
        <f t="shared" ca="1" si="2"/>
        <v>#VALUE!</v>
      </c>
      <c r="P23" s="49">
        <f>IFERROR(VLOOKUP(C23,Purchased!A:E,3,FALSE),"")</f>
        <v>2.17</v>
      </c>
      <c r="Q23" s="50">
        <f t="shared" si="3"/>
        <v>17.36</v>
      </c>
    </row>
    <row r="24" spans="1:17" s="2" customFormat="1" ht="12" customHeight="1">
      <c r="A24" s="4">
        <f t="shared" si="4"/>
        <v>312</v>
      </c>
      <c r="B24" s="2">
        <v>16</v>
      </c>
      <c r="C24" s="114" t="s">
        <v>474</v>
      </c>
      <c r="D24" s="268" t="str">
        <f>VLOOKUP(C24,Purchased!A:B,2,0)</f>
        <v>Ball Bearing Open, Trade Number 608, for 8 mm Shaft Diameter</v>
      </c>
      <c r="E24" s="269"/>
      <c r="F24" s="112" t="str">
        <f>VLOOKUP(C24,Purchased!A:Q,9,0)</f>
        <v>MCM</v>
      </c>
      <c r="G24" s="112" t="str">
        <f>VLOOKUP(C24,Purchased!A:Q,10,0)</f>
        <v>MCM</v>
      </c>
      <c r="H24" s="112" t="str">
        <f>VLOOKUP(C24,Purchased!A:Q,12,0)</f>
        <v xml:space="preserve"> </v>
      </c>
      <c r="I24" s="113"/>
      <c r="J24" s="44" t="str">
        <f>VLOOKUP(C24,Purchased!A:Q,13,0)</f>
        <v>N/A</v>
      </c>
      <c r="K24" s="44">
        <f>VLOOKUP(C24,Purchased!A:Q,14,0)</f>
        <v>45162</v>
      </c>
      <c r="L24" s="44">
        <f>VLOOKUP(C24,Purchased!A:Q,15,0)</f>
        <v>45189</v>
      </c>
      <c r="M24" s="44">
        <f>VLOOKUP(C24,Purchased!A:Q,16,0)</f>
        <v>45189</v>
      </c>
      <c r="N24" s="45" t="str">
        <f>VLOOKUP(C24,Purchased!A:Q,17,0)</f>
        <v>55087, 55152</v>
      </c>
      <c r="O24" s="45" t="e">
        <f t="shared" ca="1" si="2"/>
        <v>#VALUE!</v>
      </c>
      <c r="P24" s="49">
        <f>IFERROR(VLOOKUP(C24,Purchased!A:E,3,FALSE),"")</f>
        <v>4.82</v>
      </c>
      <c r="Q24" s="50">
        <f t="shared" si="3"/>
        <v>77.12</v>
      </c>
    </row>
    <row r="25" spans="1:17" s="2" customFormat="1" ht="12" customHeight="1">
      <c r="A25" s="4">
        <f t="shared" si="4"/>
        <v>313</v>
      </c>
      <c r="B25" s="2">
        <v>2</v>
      </c>
      <c r="C25" s="114" t="s">
        <v>467</v>
      </c>
      <c r="D25" s="268" t="str">
        <f>VLOOKUP(C25,Purchased!A:B,2,0)</f>
        <v>Two-Piece Shaft Coupling Steel, for 8 mm x 8 mm Diameter Round Shaft</v>
      </c>
      <c r="E25" s="269"/>
      <c r="F25" s="112" t="str">
        <f>VLOOKUP(C25,Purchased!A:Q,9,0)</f>
        <v>MOTION</v>
      </c>
      <c r="G25" s="112" t="str">
        <f>VLOOKUP(C25,Purchased!A:Q,10,0)</f>
        <v>MOTION</v>
      </c>
      <c r="H25" s="112" t="str">
        <f>VLOOKUP(C25,Purchased!A:Q,12,0)</f>
        <v>MCM=6508T52</v>
      </c>
      <c r="I25" s="113"/>
      <c r="J25" s="44" t="str">
        <f>VLOOKUP(C25,Purchased!A:Q,13,0)</f>
        <v>N/A</v>
      </c>
      <c r="K25" s="44">
        <f>VLOOKUP(C25,Purchased!A:Q,14,0)</f>
        <v>45161</v>
      </c>
      <c r="L25" s="44">
        <f>VLOOKUP(C25,Purchased!A:Q,15,0)</f>
        <v>45191</v>
      </c>
      <c r="M25" s="44">
        <f>VLOOKUP(C25,Purchased!A:Q,16,0)</f>
        <v>45191</v>
      </c>
      <c r="N25" s="45">
        <f>VLOOKUP(C25,Purchased!A:Q,17,0)</f>
        <v>55079</v>
      </c>
      <c r="O25" s="45" t="e">
        <f t="shared" ca="1" si="2"/>
        <v>#VALUE!</v>
      </c>
      <c r="P25" s="49">
        <f>IFERROR(VLOOKUP(C25,Purchased!A:E,3,FALSE),"")</f>
        <v>57.43</v>
      </c>
      <c r="Q25" s="50">
        <f t="shared" si="3"/>
        <v>114.86</v>
      </c>
    </row>
    <row r="26" spans="1:17" s="2" customFormat="1" ht="12" customHeight="1">
      <c r="A26" s="4">
        <f t="shared" si="4"/>
        <v>314</v>
      </c>
      <c r="B26" s="2">
        <v>4</v>
      </c>
      <c r="C26" s="114" t="s">
        <v>263</v>
      </c>
      <c r="D26" s="268" t="str">
        <f>VLOOKUP(C26,Purchased!A:B,2,0)</f>
        <v>Dowel Pin 52100 Alloy Steel, 10 mm Diameter, 20 mm Long, 10pk</v>
      </c>
      <c r="E26" s="269"/>
      <c r="F26" s="112" t="str">
        <f>VLOOKUP(C26,Purchased!A:Q,9,0)</f>
        <v>MCM</v>
      </c>
      <c r="G26" s="112" t="str">
        <f>VLOOKUP(C26,Purchased!A:Q,10,0)</f>
        <v>MCM</v>
      </c>
      <c r="H26" s="112" t="str">
        <f>VLOOKUP(C26,Purchased!A:Q,12,0)</f>
        <v>Pack of 10</v>
      </c>
      <c r="I26" s="113"/>
      <c r="J26" s="44" t="str">
        <f>VLOOKUP(C26,Purchased!A:Q,13,0)</f>
        <v>N/A</v>
      </c>
      <c r="K26" s="44">
        <f>VLOOKUP(C26,Purchased!A:Q,14,0)</f>
        <v>45162</v>
      </c>
      <c r="L26" s="44">
        <f>VLOOKUP(C26,Purchased!A:Q,15,0)</f>
        <v>45184</v>
      </c>
      <c r="M26" s="44">
        <f>VLOOKUP(C26,Purchased!A:Q,16,0)</f>
        <v>45163</v>
      </c>
      <c r="N26" s="45">
        <f>VLOOKUP(C26,Purchased!A:Q,17,0)</f>
        <v>55088</v>
      </c>
      <c r="O26" s="45" t="e">
        <f t="shared" ref="O26" ca="1" si="9">B26*$L$2</f>
        <v>#VALUE!</v>
      </c>
      <c r="P26" s="49">
        <f>IFERROR(VLOOKUP(C26,Purchased!A:E,3,FALSE),"")</f>
        <v>10.57</v>
      </c>
      <c r="Q26" s="50">
        <f t="shared" ref="Q26" si="10">IFERROR(B26*P26,"")</f>
        <v>42.28</v>
      </c>
    </row>
    <row r="27" spans="1:17" s="2" customFormat="1" ht="12" customHeight="1">
      <c r="A27" s="4">
        <f t="shared" si="4"/>
        <v>315</v>
      </c>
      <c r="B27" s="2">
        <v>28</v>
      </c>
      <c r="C27" s="114" t="s">
        <v>262</v>
      </c>
      <c r="D27" s="268" t="str">
        <f>VLOOKUP(C27,Purchased!A:B,2,0)</f>
        <v>BRX GOTO T-NUT 10 M6</v>
      </c>
      <c r="E27" s="269"/>
      <c r="F27" s="112" t="str">
        <f>VLOOKUP(C27,Purchased!A:Q,9,0)</f>
        <v>BRX</v>
      </c>
      <c r="G27" s="112" t="str">
        <f>VLOOKUP(C27,Purchased!A:Q,10,0)</f>
        <v>AAP</v>
      </c>
      <c r="H27" s="112" t="str">
        <f>VLOOKUP(C27,Purchased!A:Q,12,0)</f>
        <v xml:space="preserve">  </v>
      </c>
      <c r="I27" s="113"/>
      <c r="J27" s="44">
        <f>VLOOKUP(C27,Purchased!A:Q,13,0)</f>
        <v>45104</v>
      </c>
      <c r="K27" s="44">
        <f>VLOOKUP(C27,Purchased!A:Q,14,0)</f>
        <v>45105</v>
      </c>
      <c r="L27" s="44">
        <f>VLOOKUP(C27,Purchased!A:Q,15,0)</f>
        <v>45133</v>
      </c>
      <c r="M27" s="44">
        <f>VLOOKUP(C27,Purchased!A:Q,16,0)</f>
        <v>45133</v>
      </c>
      <c r="N27" s="45" t="str">
        <f>VLOOKUP(C27,Purchased!A:Q,17,0)</f>
        <v>54968, 55147, 55270</v>
      </c>
      <c r="O27" s="45" t="e">
        <f ca="1">B27*$L$2</f>
        <v>#VALUE!</v>
      </c>
      <c r="P27" s="49">
        <f>IFERROR(VLOOKUP(C27,Purchased!A:E,3,FALSE),"")</f>
        <v>0.64290000000000003</v>
      </c>
      <c r="Q27" s="50">
        <f>IFERROR(B27*P27,"")</f>
        <v>18.001200000000001</v>
      </c>
    </row>
    <row r="28" spans="1:17" s="2" customFormat="1" ht="12" customHeight="1">
      <c r="A28" s="4">
        <f t="shared" si="4"/>
        <v>316</v>
      </c>
      <c r="B28" s="2">
        <v>4</v>
      </c>
      <c r="C28" s="114" t="s">
        <v>698</v>
      </c>
      <c r="D28" s="268" t="str">
        <f>VLOOKUP(C28,Purchased!A:B,2,0)</f>
        <v>Zinc-Plated Class 10.9 Steel Washer, M10 Screw Size, 50pk</v>
      </c>
      <c r="E28" s="269"/>
      <c r="F28" s="112" t="str">
        <f>VLOOKUP(C28,Purchased!A:Q,9,0)</f>
        <v>MCM</v>
      </c>
      <c r="G28" s="112" t="str">
        <f>VLOOKUP(C28,Purchased!A:Q,10,0)</f>
        <v>MCM</v>
      </c>
      <c r="H28" s="112" t="str">
        <f>VLOOKUP(C28,Purchased!A:Q,12,0)</f>
        <v xml:space="preserve"> </v>
      </c>
      <c r="I28" s="113"/>
      <c r="J28" s="44" t="str">
        <f>VLOOKUP(C28,Purchased!A:Q,13,0)</f>
        <v>N/A</v>
      </c>
      <c r="K28" s="44">
        <f>VLOOKUP(C28,Purchased!A:Q,14,0)</f>
        <v>45162</v>
      </c>
      <c r="L28" s="44">
        <f>VLOOKUP(C28,Purchased!A:Q,15,0)</f>
        <v>45184</v>
      </c>
      <c r="M28" s="44">
        <f>VLOOKUP(C28,Purchased!A:Q,16,0)</f>
        <v>45163</v>
      </c>
      <c r="N28" s="45">
        <f>VLOOKUP(C28,Purchased!A:Q,17,0)</f>
        <v>55088</v>
      </c>
      <c r="O28" s="45" t="e">
        <f ca="1">B28*$L$2</f>
        <v>#VALUE!</v>
      </c>
      <c r="P28" s="49">
        <f>IFERROR(VLOOKUP(C28,Purchased!A:E,3,FALSE),"")</f>
        <v>12.41</v>
      </c>
      <c r="Q28" s="50">
        <f>IFERROR(B28*P28,"")</f>
        <v>49.64</v>
      </c>
    </row>
    <row r="29" spans="1:17" s="2" customFormat="1" ht="12.75" customHeight="1">
      <c r="A29" s="25"/>
      <c r="B29" s="26"/>
      <c r="C29" s="26"/>
      <c r="D29" s="272"/>
      <c r="E29" s="273"/>
      <c r="F29" s="26"/>
      <c r="G29" s="26"/>
      <c r="H29" s="274"/>
      <c r="I29" s="275"/>
      <c r="J29" s="27"/>
      <c r="K29" s="27"/>
      <c r="L29" s="27"/>
      <c r="M29" s="28"/>
      <c r="N29" s="29"/>
      <c r="O29" s="29" t="e">
        <f t="shared" ref="O29:O32" ca="1" si="11">B29*$L$2</f>
        <v>#VALUE!</v>
      </c>
      <c r="P29" s="141"/>
      <c r="Q29" s="142"/>
    </row>
    <row r="30" spans="1:17" s="2" customFormat="1" ht="12.75" customHeight="1">
      <c r="A30" s="4">
        <v>501</v>
      </c>
      <c r="B30" s="2">
        <v>44</v>
      </c>
      <c r="C30" s="110" t="s">
        <v>265</v>
      </c>
      <c r="D30" s="268"/>
      <c r="E30" s="276"/>
      <c r="F30" s="112" t="str">
        <f>VLOOKUP(C30,Bolts!A:L,5,0)</f>
        <v xml:space="preserve">  </v>
      </c>
      <c r="G30" s="112" t="str">
        <f>VLOOKUP(C30,Bolts!A:L,6,0)</f>
        <v>Monroe Fasteners</v>
      </c>
      <c r="H30" s="112" t="str">
        <f>VLOOKUP(C30,Bolts!A:L,7,0)</f>
        <v xml:space="preserve">  </v>
      </c>
      <c r="I30" s="112"/>
      <c r="J30" s="44" t="str">
        <f>VLOOKUP(C30,Bolts!A:L,8,0)</f>
        <v xml:space="preserve"> </v>
      </c>
      <c r="K30" s="44" t="str">
        <f>VLOOKUP(C30,Bolts!A:L,9,0)</f>
        <v xml:space="preserve"> </v>
      </c>
      <c r="L30" s="44" t="str">
        <f>VLOOKUP(C30,Bolts!A:L,10,0)</f>
        <v xml:space="preserve"> </v>
      </c>
      <c r="M30" s="44" t="str">
        <f>VLOOKUP(C30,Bolts!A:L,11,0)</f>
        <v xml:space="preserve"> </v>
      </c>
      <c r="N30" s="45" t="str">
        <f>VLOOKUP(C30,Bolts!A:L,12,0)</f>
        <v xml:space="preserve"> </v>
      </c>
      <c r="O30" s="45" t="e">
        <f t="shared" ca="1" si="11"/>
        <v>#VALUE!</v>
      </c>
      <c r="P30" s="49" t="str">
        <f>IFERROR(VLOOKUP(C30,Bolts!A:B,2,FALSE),"")</f>
        <v xml:space="preserve"> </v>
      </c>
      <c r="Q30" s="50" t="str">
        <f t="shared" ref="Q30:Q32" si="12">IFERROR(B30*P30,"")</f>
        <v/>
      </c>
    </row>
    <row r="31" spans="1:17" s="2" customFormat="1" ht="12.75" customHeight="1">
      <c r="A31" s="4">
        <f t="shared" ref="A31:A36" si="13">A30+1</f>
        <v>502</v>
      </c>
      <c r="B31" s="2">
        <v>16</v>
      </c>
      <c r="C31" s="110" t="s">
        <v>342</v>
      </c>
      <c r="D31" s="268"/>
      <c r="E31" s="276"/>
      <c r="F31" s="112" t="str">
        <f>VLOOKUP(C31,Bolts!A:L,5,0)</f>
        <v xml:space="preserve">  </v>
      </c>
      <c r="G31" s="112" t="str">
        <f>VLOOKUP(C31,Bolts!A:L,6,0)</f>
        <v>Monroe Fasteners</v>
      </c>
      <c r="H31" s="112" t="str">
        <f>VLOOKUP(C31,Bolts!A:L,7,0)</f>
        <v xml:space="preserve">  </v>
      </c>
      <c r="I31" s="112"/>
      <c r="J31" s="44" t="str">
        <f>VLOOKUP(C31,Bolts!A:L,8,0)</f>
        <v xml:space="preserve"> </v>
      </c>
      <c r="K31" s="44" t="str">
        <f>VLOOKUP(C31,Bolts!A:L,9,0)</f>
        <v xml:space="preserve"> </v>
      </c>
      <c r="L31" s="44" t="str">
        <f>VLOOKUP(C31,Bolts!A:L,10,0)</f>
        <v xml:space="preserve"> </v>
      </c>
      <c r="M31" s="44" t="str">
        <f>VLOOKUP(C31,Bolts!A:L,11,0)</f>
        <v xml:space="preserve"> </v>
      </c>
      <c r="N31" s="45" t="str">
        <f>VLOOKUP(C31,Bolts!A:L,12,0)</f>
        <v xml:space="preserve"> </v>
      </c>
      <c r="O31" s="45" t="e">
        <f t="shared" ca="1" si="11"/>
        <v>#VALUE!</v>
      </c>
      <c r="P31" s="49" t="str">
        <f>IFERROR(VLOOKUP(C31,Bolts!A:B,2,FALSE),"")</f>
        <v xml:space="preserve"> </v>
      </c>
      <c r="Q31" s="50" t="str">
        <f t="shared" si="12"/>
        <v/>
      </c>
    </row>
    <row r="32" spans="1:17" s="2" customFormat="1" ht="12" customHeight="1">
      <c r="A32" s="4">
        <f t="shared" si="13"/>
        <v>503</v>
      </c>
      <c r="B32" s="2">
        <v>8</v>
      </c>
      <c r="C32" s="110" t="s">
        <v>699</v>
      </c>
      <c r="D32" s="268"/>
      <c r="E32" s="276"/>
      <c r="F32" s="112" t="str">
        <f>VLOOKUP(C32,Bolts!A:L,5,0)</f>
        <v xml:space="preserve">  </v>
      </c>
      <c r="G32" s="112" t="str">
        <f>VLOOKUP(C32,Bolts!A:L,6,0)</f>
        <v>Monroe Fasteners</v>
      </c>
      <c r="H32" s="112" t="str">
        <f>VLOOKUP(C32,Bolts!A:L,7,0)</f>
        <v xml:space="preserve">  </v>
      </c>
      <c r="I32" s="112"/>
      <c r="J32" s="44" t="str">
        <f>VLOOKUP(C32,Bolts!A:L,8,0)</f>
        <v xml:space="preserve"> </v>
      </c>
      <c r="K32" s="44" t="str">
        <f>VLOOKUP(C32,Bolts!A:L,9,0)</f>
        <v xml:space="preserve"> </v>
      </c>
      <c r="L32" s="44" t="str">
        <f>VLOOKUP(C32,Bolts!A:L,10,0)</f>
        <v xml:space="preserve"> </v>
      </c>
      <c r="M32" s="44" t="str">
        <f>VLOOKUP(C32,Bolts!A:L,11,0)</f>
        <v xml:space="preserve"> </v>
      </c>
      <c r="N32" s="45" t="str">
        <f>VLOOKUP(C32,Bolts!A:L,12,0)</f>
        <v xml:space="preserve"> </v>
      </c>
      <c r="O32" s="45" t="e">
        <f t="shared" ca="1" si="11"/>
        <v>#VALUE!</v>
      </c>
      <c r="P32" s="49" t="str">
        <f>IFERROR(VLOOKUP(C32,Bolts!A:B,2,FALSE),"")</f>
        <v xml:space="preserve"> </v>
      </c>
      <c r="Q32" s="50" t="str">
        <f t="shared" si="12"/>
        <v/>
      </c>
    </row>
    <row r="33" spans="1:17" s="2" customFormat="1" ht="12" customHeight="1">
      <c r="A33" s="4">
        <f t="shared" si="13"/>
        <v>504</v>
      </c>
      <c r="B33" s="2">
        <v>28</v>
      </c>
      <c r="C33" s="110" t="s">
        <v>278</v>
      </c>
      <c r="D33" s="268"/>
      <c r="E33" s="276"/>
      <c r="F33" s="112" t="str">
        <f>VLOOKUP(C33,Bolts!A:L,5,0)</f>
        <v xml:space="preserve">  </v>
      </c>
      <c r="G33" s="112" t="str">
        <f>VLOOKUP(C33,Bolts!A:L,6,0)</f>
        <v>Monroe Fasteners</v>
      </c>
      <c r="H33" s="112" t="str">
        <f>VLOOKUP(C33,Bolts!A:L,7,0)</f>
        <v xml:space="preserve">  </v>
      </c>
      <c r="I33" s="112"/>
      <c r="J33" s="44" t="str">
        <f>VLOOKUP(C33,Bolts!A:L,8,0)</f>
        <v xml:space="preserve"> </v>
      </c>
      <c r="K33" s="44" t="str">
        <f>VLOOKUP(C33,Bolts!A:L,9,0)</f>
        <v xml:space="preserve"> </v>
      </c>
      <c r="L33" s="44" t="str">
        <f>VLOOKUP(C33,Bolts!A:L,10,0)</f>
        <v xml:space="preserve"> </v>
      </c>
      <c r="M33" s="44" t="str">
        <f>VLOOKUP(C33,Bolts!A:L,11,0)</f>
        <v xml:space="preserve"> </v>
      </c>
      <c r="N33" s="45" t="str">
        <f>VLOOKUP(C33,Bolts!A:L,12,0)</f>
        <v xml:space="preserve"> </v>
      </c>
      <c r="O33" s="45" t="e">
        <f t="shared" ref="O33:O35" ca="1" si="14">B33*$L$2</f>
        <v>#VALUE!</v>
      </c>
      <c r="P33" s="49" t="str">
        <f>IFERROR(VLOOKUP(C33,Bolts!A:B,2,FALSE),"")</f>
        <v xml:space="preserve"> </v>
      </c>
      <c r="Q33" s="50" t="str">
        <f t="shared" ref="Q33:Q35" si="15">IFERROR(B33*P33,"")</f>
        <v/>
      </c>
    </row>
    <row r="34" spans="1:17" s="2" customFormat="1" ht="12" customHeight="1">
      <c r="A34" s="4">
        <f t="shared" si="13"/>
        <v>505</v>
      </c>
      <c r="B34" s="2">
        <v>12</v>
      </c>
      <c r="C34" s="110" t="s">
        <v>513</v>
      </c>
      <c r="D34" s="268"/>
      <c r="E34" s="276"/>
      <c r="F34" s="112" t="str">
        <f>VLOOKUP(C34,Bolts!A:L,5,0)</f>
        <v xml:space="preserve">  </v>
      </c>
      <c r="G34" s="112" t="str">
        <f>VLOOKUP(C34,Bolts!A:L,6,0)</f>
        <v>Monroe Fasteners</v>
      </c>
      <c r="H34" s="112" t="str">
        <f>VLOOKUP(C34,Bolts!A:L,7,0)</f>
        <v xml:space="preserve">  </v>
      </c>
      <c r="I34" s="112"/>
      <c r="J34" s="44" t="str">
        <f>VLOOKUP(C34,Bolts!A:L,8,0)</f>
        <v xml:space="preserve"> </v>
      </c>
      <c r="K34" s="44" t="str">
        <f>VLOOKUP(C34,Bolts!A:L,9,0)</f>
        <v xml:space="preserve"> </v>
      </c>
      <c r="L34" s="44" t="str">
        <f>VLOOKUP(C34,Bolts!A:L,10,0)</f>
        <v xml:space="preserve"> </v>
      </c>
      <c r="M34" s="44" t="str">
        <f>VLOOKUP(C34,Bolts!A:L,11,0)</f>
        <v xml:space="preserve"> </v>
      </c>
      <c r="N34" s="45" t="str">
        <f>VLOOKUP(C34,Bolts!A:L,12,0)</f>
        <v xml:space="preserve"> </v>
      </c>
      <c r="O34" s="45" t="e">
        <f t="shared" ca="1" si="14"/>
        <v>#VALUE!</v>
      </c>
      <c r="P34" s="49" t="str">
        <f>IFERROR(VLOOKUP(C34,Bolts!A:B,2,FALSE),"")</f>
        <v xml:space="preserve"> </v>
      </c>
      <c r="Q34" s="50" t="str">
        <f t="shared" si="15"/>
        <v/>
      </c>
    </row>
    <row r="35" spans="1:17" s="2" customFormat="1" ht="12" customHeight="1">
      <c r="A35" s="4">
        <f t="shared" si="13"/>
        <v>506</v>
      </c>
      <c r="B35" s="2">
        <v>2</v>
      </c>
      <c r="C35" s="110" t="s">
        <v>362</v>
      </c>
      <c r="D35" s="268"/>
      <c r="E35" s="276"/>
      <c r="F35" s="112" t="str">
        <f>VLOOKUP(C35,Bolts!A:L,5,0)</f>
        <v xml:space="preserve">  </v>
      </c>
      <c r="G35" s="112" t="str">
        <f>VLOOKUP(C35,Bolts!A:L,6,0)</f>
        <v>Monroe Fasteners</v>
      </c>
      <c r="H35" s="112" t="str">
        <f>VLOOKUP(C35,Bolts!A:L,7,0)</f>
        <v xml:space="preserve">  </v>
      </c>
      <c r="I35" s="112"/>
      <c r="J35" s="44" t="str">
        <f>VLOOKUP(C35,Bolts!A:L,8,0)</f>
        <v xml:space="preserve"> </v>
      </c>
      <c r="K35" s="44" t="str">
        <f>VLOOKUP(C35,Bolts!A:L,9,0)</f>
        <v xml:space="preserve"> </v>
      </c>
      <c r="L35" s="44" t="str">
        <f>VLOOKUP(C35,Bolts!A:L,10,0)</f>
        <v xml:space="preserve"> </v>
      </c>
      <c r="M35" s="44" t="str">
        <f>VLOOKUP(C35,Bolts!A:L,11,0)</f>
        <v xml:space="preserve"> </v>
      </c>
      <c r="N35" s="45" t="str">
        <f>VLOOKUP(C35,Bolts!A:L,12,0)</f>
        <v xml:space="preserve"> </v>
      </c>
      <c r="O35" s="45" t="e">
        <f t="shared" ca="1" si="14"/>
        <v>#VALUE!</v>
      </c>
      <c r="P35" s="49" t="str">
        <f>IFERROR(VLOOKUP(C35,Bolts!A:B,2,FALSE),"")</f>
        <v xml:space="preserve"> </v>
      </c>
      <c r="Q35" s="50" t="str">
        <f t="shared" si="15"/>
        <v/>
      </c>
    </row>
    <row r="36" spans="1:17" s="2" customFormat="1" ht="12" customHeight="1">
      <c r="A36" s="4">
        <f t="shared" si="13"/>
        <v>507</v>
      </c>
      <c r="B36" s="2">
        <v>4</v>
      </c>
      <c r="C36" s="110" t="s">
        <v>700</v>
      </c>
      <c r="D36" s="268"/>
      <c r="E36" s="276"/>
      <c r="F36" s="112" t="str">
        <f>VLOOKUP(C36,Bolts!A:L,5,0)</f>
        <v xml:space="preserve">  </v>
      </c>
      <c r="G36" s="112" t="str">
        <f>VLOOKUP(C36,Bolts!A:L,6,0)</f>
        <v>Monroe Fasteners</v>
      </c>
      <c r="H36" s="112" t="str">
        <f>VLOOKUP(C36,Bolts!A:L,7,0)</f>
        <v xml:space="preserve">  </v>
      </c>
      <c r="I36" s="112"/>
      <c r="J36" s="44" t="str">
        <f>VLOOKUP(C36,Bolts!A:L,8,0)</f>
        <v xml:space="preserve"> </v>
      </c>
      <c r="K36" s="44" t="str">
        <f>VLOOKUP(C36,Bolts!A:L,9,0)</f>
        <v xml:space="preserve"> </v>
      </c>
      <c r="L36" s="44" t="str">
        <f>VLOOKUP(C36,Bolts!A:L,10,0)</f>
        <v xml:space="preserve"> </v>
      </c>
      <c r="M36" s="44" t="str">
        <f>VLOOKUP(C36,Bolts!A:L,11,0)</f>
        <v xml:space="preserve"> </v>
      </c>
      <c r="N36" s="45" t="str">
        <f>VLOOKUP(C36,Bolts!A:L,12,0)</f>
        <v xml:space="preserve"> </v>
      </c>
      <c r="O36" s="45" t="e">
        <f t="shared" ref="O36" ca="1" si="16">B36*$L$2</f>
        <v>#VALUE!</v>
      </c>
      <c r="P36" s="49" t="str">
        <f>IFERROR(VLOOKUP(C36,Bolts!A:B,2,FALSE),"")</f>
        <v xml:space="preserve"> </v>
      </c>
      <c r="Q36" s="50" t="str">
        <f t="shared" ref="Q36" si="17">IFERROR(B36*P36,"")</f>
        <v/>
      </c>
    </row>
    <row r="37" spans="1:17" s="2" customFormat="1" ht="12.75" customHeight="1">
      <c r="A37" s="25"/>
      <c r="B37" s="26"/>
      <c r="C37" s="26"/>
      <c r="D37" s="272"/>
      <c r="E37" s="273"/>
      <c r="F37" s="26"/>
      <c r="G37" s="26"/>
      <c r="H37" s="274"/>
      <c r="I37" s="275"/>
      <c r="J37" s="27"/>
      <c r="K37" s="27"/>
      <c r="L37" s="27"/>
      <c r="M37" s="28"/>
      <c r="N37" s="29"/>
      <c r="O37" s="29"/>
      <c r="P37" s="141"/>
      <c r="Q37" s="142"/>
    </row>
    <row r="38" spans="1:17" s="2" customFormat="1" ht="12.75" customHeight="1" thickBot="1">
      <c r="A38" s="4">
        <v>701</v>
      </c>
      <c r="B38" s="2">
        <v>2</v>
      </c>
      <c r="C38" s="111" t="s">
        <v>701</v>
      </c>
      <c r="D38" s="268" t="str">
        <f>VLOOKUP(C38,Extrusion!B:C,2,0)</f>
        <v>Assy .210</v>
      </c>
      <c r="E38" s="269"/>
      <c r="F38" s="112" t="str">
        <f>VLOOKUP(C38,Extrusion!B:M,6,0)</f>
        <v>BOSCH</v>
      </c>
      <c r="G38" s="112" t="str">
        <f>VLOOKUP(C38,Extrusion!B:M,7,0)</f>
        <v>NULINE</v>
      </c>
      <c r="H38" s="112" t="str">
        <f>VLOOKUP(C38,Extrusion!B:M,8,0)</f>
        <v xml:space="preserve"> </v>
      </c>
      <c r="I38" s="113"/>
      <c r="J38" s="44" t="str">
        <f>VLOOKUP(C38,Extrusion!B:M,9,0)</f>
        <v>N/A</v>
      </c>
      <c r="K38" s="44">
        <f>VLOOKUP(C38,Extrusion!B:M,10,0)</f>
        <v>44894</v>
      </c>
      <c r="L38" s="44">
        <f>VLOOKUP(C38,Extrusion!B:M,11,0)</f>
        <v>44970</v>
      </c>
      <c r="M38" s="44">
        <f>VLOOKUP(C38,Extrusion!B:M,12,0)</f>
        <v>44970</v>
      </c>
      <c r="N38" s="45">
        <f>VLOOKUP(C38,Extrusion!B:N,13,0)</f>
        <v>54598</v>
      </c>
      <c r="O38" s="45" t="e">
        <f t="shared" ref="O38" ca="1" si="18">B38*$L$2</f>
        <v>#VALUE!</v>
      </c>
      <c r="P38" s="49">
        <f>IFERROR(VLOOKUP(C38,Extrusion!B:F,5,0),"")</f>
        <v>91.796521049999996</v>
      </c>
      <c r="Q38" s="50">
        <f t="shared" ref="Q38" si="19">IFERROR(B38*P38,"")</f>
        <v>183.59304209999999</v>
      </c>
    </row>
    <row r="39" spans="1:17" s="2" customFormat="1" ht="12.75" customHeight="1" thickBot="1">
      <c r="A39" s="34"/>
      <c r="B39" s="35"/>
      <c r="C39" s="35"/>
      <c r="D39" s="256"/>
      <c r="E39" s="257"/>
      <c r="F39" s="35"/>
      <c r="G39" s="35"/>
      <c r="H39" s="294"/>
      <c r="I39" s="295"/>
      <c r="J39" s="36"/>
      <c r="K39" s="36"/>
      <c r="L39" s="36"/>
      <c r="M39" s="37"/>
      <c r="N39" s="38"/>
      <c r="O39" s="38"/>
      <c r="P39" s="89" t="s">
        <v>43</v>
      </c>
      <c r="Q39" s="94">
        <f>SUM(Q5:Q38)</f>
        <v>4732.7948420999983</v>
      </c>
    </row>
    <row r="40" spans="1:17" s="2" customFormat="1" ht="12" customHeight="1">
      <c r="D40" s="22"/>
      <c r="E40" s="22"/>
      <c r="J40" s="8"/>
      <c r="K40" s="8"/>
      <c r="L40" s="8"/>
      <c r="M40" s="8"/>
      <c r="N40" s="5"/>
      <c r="O40" s="5"/>
      <c r="P40" s="88"/>
      <c r="Q40" s="95"/>
    </row>
    <row r="41" spans="1:17" s="2" customFormat="1" ht="12" customHeight="1">
      <c r="D41" s="22"/>
      <c r="E41" s="22"/>
      <c r="J41" s="5"/>
      <c r="K41" s="5"/>
      <c r="L41" s="5"/>
      <c r="M41" s="5"/>
      <c r="N41" s="5"/>
      <c r="O41" s="5"/>
      <c r="P41" s="88"/>
      <c r="Q41" s="95"/>
    </row>
    <row r="42" spans="1:17" s="2" customFormat="1" ht="12" customHeight="1">
      <c r="D42" s="22"/>
      <c r="E42" s="22"/>
      <c r="J42" s="5"/>
      <c r="K42" s="5"/>
      <c r="L42" s="5"/>
      <c r="M42" s="5"/>
      <c r="N42" s="5"/>
      <c r="O42" s="5"/>
      <c r="P42" s="88"/>
      <c r="Q42" s="95"/>
    </row>
    <row r="43" spans="1:17" s="2" customFormat="1" ht="12" customHeight="1">
      <c r="D43" s="22"/>
      <c r="E43" s="22"/>
      <c r="J43" s="5"/>
      <c r="K43" s="5"/>
      <c r="L43" s="5"/>
      <c r="M43" s="5"/>
      <c r="N43" s="5"/>
      <c r="O43" s="5"/>
      <c r="P43" s="88"/>
      <c r="Q43" s="95"/>
    </row>
    <row r="44" spans="1:17" s="2" customFormat="1" ht="12" customHeight="1">
      <c r="D44" s="22"/>
      <c r="E44" s="22"/>
      <c r="J44" s="5"/>
      <c r="K44" s="5"/>
      <c r="L44" s="5"/>
      <c r="M44" s="5"/>
      <c r="N44" s="5"/>
      <c r="O44" s="5"/>
      <c r="P44" s="88"/>
      <c r="Q44" s="95"/>
    </row>
    <row r="45" spans="1:17" s="2" customFormat="1" ht="12" customHeight="1">
      <c r="D45" s="22"/>
      <c r="E45" s="22"/>
      <c r="J45" s="5"/>
      <c r="K45" s="5"/>
      <c r="L45" s="5"/>
      <c r="M45" s="5"/>
      <c r="N45" s="5"/>
      <c r="O45" s="5"/>
      <c r="P45" s="88"/>
      <c r="Q45" s="95"/>
    </row>
    <row r="46" spans="1:17" s="2" customFormat="1" ht="12" customHeight="1">
      <c r="D46" s="22"/>
      <c r="E46" s="22"/>
      <c r="J46" s="5"/>
      <c r="K46" s="5"/>
      <c r="L46" s="5"/>
      <c r="M46" s="5"/>
      <c r="N46" s="5"/>
      <c r="O46" s="5"/>
      <c r="P46" s="88"/>
      <c r="Q46" s="95"/>
    </row>
    <row r="47" spans="1:17" s="2" customFormat="1" ht="12" customHeight="1">
      <c r="D47" s="22"/>
      <c r="E47" s="22"/>
      <c r="J47" s="5"/>
      <c r="K47" s="5"/>
      <c r="L47" s="5"/>
      <c r="M47" s="5"/>
      <c r="N47" s="5"/>
      <c r="O47" s="5"/>
      <c r="P47" s="88"/>
      <c r="Q47" s="95"/>
    </row>
    <row r="48" spans="1:17" s="2" customFormat="1" ht="12" customHeight="1">
      <c r="D48" s="22"/>
      <c r="E48" s="22"/>
      <c r="J48" s="5"/>
      <c r="K48" s="5"/>
      <c r="L48" s="5"/>
      <c r="M48" s="5"/>
      <c r="N48" s="5"/>
      <c r="O48" s="5"/>
      <c r="P48" s="88"/>
      <c r="Q48" s="95"/>
    </row>
    <row r="49" spans="4:17" s="2" customFormat="1" ht="12" customHeight="1">
      <c r="D49" s="22"/>
      <c r="E49" s="22"/>
      <c r="J49" s="5"/>
      <c r="K49" s="5"/>
      <c r="L49" s="5"/>
      <c r="M49" s="5"/>
      <c r="N49" s="5"/>
      <c r="O49" s="5"/>
      <c r="P49" s="88"/>
      <c r="Q49" s="95"/>
    </row>
    <row r="50" spans="4:17" s="2" customFormat="1" ht="12" customHeight="1">
      <c r="D50" s="22"/>
      <c r="E50" s="22"/>
      <c r="J50" s="5"/>
      <c r="K50" s="5"/>
      <c r="L50" s="5"/>
      <c r="M50" s="5"/>
      <c r="N50" s="5"/>
      <c r="O50" s="5"/>
      <c r="P50" s="88"/>
      <c r="Q50" s="95"/>
    </row>
    <row r="51" spans="4:17" s="2" customFormat="1" ht="12" customHeight="1">
      <c r="D51" s="22"/>
      <c r="E51" s="22"/>
      <c r="J51" s="5"/>
      <c r="K51" s="5"/>
      <c r="L51" s="5"/>
      <c r="M51" s="5"/>
      <c r="N51" s="5"/>
      <c r="O51" s="5"/>
      <c r="P51" s="88"/>
      <c r="Q51" s="95"/>
    </row>
    <row r="52" spans="4:17" s="2" customFormat="1" ht="12" customHeight="1">
      <c r="D52" s="22"/>
      <c r="E52" s="22"/>
      <c r="J52" s="5"/>
      <c r="K52" s="5"/>
      <c r="L52" s="5"/>
      <c r="M52" s="5"/>
      <c r="N52" s="5"/>
      <c r="O52" s="5"/>
      <c r="P52" s="88"/>
      <c r="Q52" s="95"/>
    </row>
    <row r="53" spans="4:17" s="2" customFormat="1" ht="12" customHeight="1">
      <c r="D53" s="22"/>
      <c r="E53" s="22"/>
      <c r="J53" s="5"/>
      <c r="K53" s="5"/>
      <c r="L53" s="5"/>
      <c r="M53" s="5"/>
      <c r="N53" s="5"/>
      <c r="O53" s="5"/>
      <c r="P53" s="88"/>
      <c r="Q53" s="95"/>
    </row>
    <row r="54" spans="4:17" s="2" customFormat="1" ht="12" customHeight="1">
      <c r="D54" s="22"/>
      <c r="E54" s="22"/>
      <c r="J54" s="5"/>
      <c r="K54" s="5"/>
      <c r="L54" s="5"/>
      <c r="M54" s="5"/>
      <c r="N54" s="5"/>
      <c r="O54" s="5"/>
      <c r="P54" s="88"/>
      <c r="Q54" s="95"/>
    </row>
    <row r="55" spans="4:17" s="2" customFormat="1" ht="12" customHeight="1">
      <c r="D55" s="22"/>
      <c r="E55" s="22"/>
      <c r="J55" s="5"/>
      <c r="K55" s="5"/>
      <c r="L55" s="5"/>
      <c r="M55" s="5"/>
      <c r="N55" s="5"/>
      <c r="O55" s="5"/>
      <c r="P55" s="88"/>
      <c r="Q55" s="95"/>
    </row>
    <row r="56" spans="4:17" s="2" customFormat="1" ht="12" customHeight="1">
      <c r="D56" s="22"/>
      <c r="E56" s="22"/>
      <c r="J56" s="5"/>
      <c r="K56" s="5"/>
      <c r="L56" s="5"/>
      <c r="M56" s="5"/>
      <c r="N56" s="5"/>
      <c r="O56" s="5"/>
      <c r="P56" s="88"/>
      <c r="Q56" s="95"/>
    </row>
    <row r="57" spans="4:17" s="2" customFormat="1" ht="12" customHeight="1">
      <c r="D57" s="22"/>
      <c r="E57" s="22"/>
      <c r="J57" s="5"/>
      <c r="K57" s="5"/>
      <c r="L57" s="5"/>
      <c r="M57" s="5"/>
      <c r="N57" s="5"/>
      <c r="O57" s="5"/>
      <c r="P57" s="88"/>
      <c r="Q57" s="95"/>
    </row>
    <row r="58" spans="4:17" s="2" customFormat="1" ht="12" customHeight="1">
      <c r="D58" s="22"/>
      <c r="E58" s="22"/>
      <c r="J58" s="5"/>
      <c r="K58" s="5"/>
      <c r="L58" s="5"/>
      <c r="M58" s="5"/>
      <c r="N58" s="5"/>
      <c r="O58" s="5"/>
      <c r="P58" s="88"/>
      <c r="Q58" s="95"/>
    </row>
    <row r="59" spans="4:17" s="2" customFormat="1" ht="12" customHeight="1">
      <c r="D59" s="22"/>
      <c r="E59" s="22"/>
      <c r="J59" s="5"/>
      <c r="K59" s="5"/>
      <c r="L59" s="5"/>
      <c r="M59" s="5"/>
      <c r="N59" s="5"/>
      <c r="O59" s="5"/>
      <c r="P59" s="88"/>
      <c r="Q59" s="95"/>
    </row>
    <row r="60" spans="4:17" s="2" customFormat="1" ht="12" customHeight="1">
      <c r="D60" s="22"/>
      <c r="E60" s="22"/>
      <c r="J60" s="5"/>
      <c r="K60" s="5"/>
      <c r="L60" s="5"/>
      <c r="M60" s="5"/>
      <c r="N60" s="5"/>
      <c r="O60" s="5"/>
      <c r="P60" s="88"/>
      <c r="Q60" s="95"/>
    </row>
    <row r="61" spans="4:17" s="2" customFormat="1" ht="12" customHeight="1">
      <c r="D61" s="22"/>
      <c r="E61" s="22"/>
      <c r="J61" s="5"/>
      <c r="K61" s="5"/>
      <c r="L61" s="5"/>
      <c r="M61" s="5"/>
      <c r="N61" s="5"/>
      <c r="O61" s="5"/>
      <c r="P61" s="88"/>
      <c r="Q61" s="95"/>
    </row>
    <row r="62" spans="4:17" s="2" customFormat="1" ht="12" customHeight="1">
      <c r="D62" s="22"/>
      <c r="E62" s="22"/>
      <c r="J62" s="5"/>
      <c r="K62" s="5"/>
      <c r="L62" s="5"/>
      <c r="M62" s="5"/>
      <c r="N62" s="5"/>
      <c r="O62" s="5"/>
      <c r="P62" s="88"/>
      <c r="Q62" s="95"/>
    </row>
    <row r="63" spans="4:17" s="2" customFormat="1" ht="12" customHeight="1">
      <c r="D63" s="22"/>
      <c r="E63" s="22"/>
      <c r="J63" s="5"/>
      <c r="K63" s="5"/>
      <c r="L63" s="5"/>
      <c r="M63" s="5"/>
      <c r="N63" s="5"/>
      <c r="O63" s="5"/>
      <c r="P63" s="88"/>
      <c r="Q63" s="95"/>
    </row>
    <row r="64" spans="4:17" s="2" customFormat="1" ht="12" customHeight="1">
      <c r="D64" s="22"/>
      <c r="E64" s="22"/>
      <c r="J64" s="5"/>
      <c r="K64" s="5"/>
      <c r="L64" s="5"/>
      <c r="M64" s="5"/>
      <c r="N64" s="5"/>
      <c r="O64" s="5"/>
      <c r="P64" s="88"/>
      <c r="Q64" s="95"/>
    </row>
    <row r="65" spans="4:17" s="2" customFormat="1" ht="12" customHeight="1">
      <c r="D65" s="22"/>
      <c r="E65" s="22"/>
      <c r="J65" s="5"/>
      <c r="K65" s="5"/>
      <c r="L65" s="5"/>
      <c r="M65" s="5"/>
      <c r="N65" s="5"/>
      <c r="O65" s="5"/>
      <c r="P65" s="88"/>
      <c r="Q65" s="95"/>
    </row>
    <row r="66" spans="4:17" s="2" customFormat="1" ht="12" customHeight="1">
      <c r="D66" s="22"/>
      <c r="E66" s="22"/>
      <c r="J66" s="5"/>
      <c r="K66" s="5"/>
      <c r="L66" s="5"/>
      <c r="M66" s="5"/>
      <c r="N66" s="5"/>
      <c r="O66" s="5"/>
      <c r="P66" s="88"/>
      <c r="Q66" s="95"/>
    </row>
    <row r="67" spans="4:17" s="2" customFormat="1" ht="12" customHeight="1">
      <c r="D67" s="22"/>
      <c r="E67" s="22"/>
      <c r="J67" s="5"/>
      <c r="K67" s="5"/>
      <c r="L67" s="5"/>
      <c r="M67" s="5"/>
      <c r="N67" s="5"/>
      <c r="O67" s="5"/>
      <c r="P67" s="88"/>
      <c r="Q67" s="95"/>
    </row>
    <row r="68" spans="4:17" s="2" customFormat="1" ht="12" customHeight="1">
      <c r="D68" s="22"/>
      <c r="E68" s="22"/>
      <c r="J68" s="5"/>
      <c r="K68" s="5"/>
      <c r="L68" s="5"/>
      <c r="M68" s="5"/>
      <c r="N68" s="5"/>
      <c r="O68" s="5"/>
      <c r="P68" s="88"/>
      <c r="Q68" s="95"/>
    </row>
    <row r="69" spans="4:17" s="2" customFormat="1" ht="12" customHeight="1">
      <c r="D69" s="22"/>
      <c r="E69" s="22"/>
      <c r="J69" s="5"/>
      <c r="K69" s="5"/>
      <c r="L69" s="5"/>
      <c r="M69" s="5"/>
      <c r="N69" s="5"/>
      <c r="O69" s="5"/>
      <c r="P69" s="88"/>
      <c r="Q69" s="95"/>
    </row>
    <row r="70" spans="4:17" s="2" customFormat="1" ht="12" customHeight="1">
      <c r="D70" s="22"/>
      <c r="E70" s="22"/>
      <c r="J70" s="5"/>
      <c r="K70" s="5"/>
      <c r="L70" s="5"/>
      <c r="M70" s="5"/>
      <c r="N70" s="5"/>
      <c r="O70" s="5"/>
      <c r="P70" s="88"/>
      <c r="Q70" s="95"/>
    </row>
    <row r="71" spans="4:17" s="2" customFormat="1" ht="12" customHeight="1">
      <c r="D71" s="22"/>
      <c r="E71" s="22"/>
      <c r="J71" s="5"/>
      <c r="K71" s="5"/>
      <c r="L71" s="5"/>
      <c r="M71" s="5"/>
      <c r="N71" s="5"/>
      <c r="O71" s="5"/>
      <c r="P71" s="88"/>
      <c r="Q71" s="95"/>
    </row>
    <row r="72" spans="4:17" s="2" customFormat="1" ht="12" customHeight="1">
      <c r="D72" s="22"/>
      <c r="E72" s="22"/>
      <c r="J72" s="5"/>
      <c r="K72" s="5"/>
      <c r="L72" s="5"/>
      <c r="M72" s="5"/>
      <c r="N72" s="5"/>
      <c r="O72" s="5"/>
      <c r="P72" s="88"/>
      <c r="Q72" s="95"/>
    </row>
    <row r="73" spans="4:17" s="2" customFormat="1" ht="12" customHeight="1">
      <c r="D73" s="22"/>
      <c r="E73" s="22"/>
      <c r="J73" s="5"/>
      <c r="K73" s="5"/>
      <c r="L73" s="5"/>
      <c r="M73" s="5"/>
      <c r="N73" s="5"/>
      <c r="O73" s="5"/>
      <c r="P73" s="88"/>
      <c r="Q73" s="95"/>
    </row>
    <row r="74" spans="4:17" s="2" customFormat="1" ht="12" customHeight="1">
      <c r="D74" s="22"/>
      <c r="E74" s="22"/>
      <c r="J74" s="5"/>
      <c r="K74" s="5"/>
      <c r="L74" s="5"/>
      <c r="M74" s="5"/>
      <c r="N74" s="5"/>
      <c r="O74" s="5"/>
      <c r="P74" s="88"/>
      <c r="Q74" s="95"/>
    </row>
    <row r="75" spans="4:17" s="2" customFormat="1" ht="12" customHeight="1">
      <c r="D75" s="22"/>
      <c r="E75" s="22"/>
      <c r="J75" s="5"/>
      <c r="K75" s="5"/>
      <c r="L75" s="5"/>
      <c r="M75" s="5"/>
      <c r="N75" s="5"/>
      <c r="O75" s="5"/>
      <c r="P75" s="88"/>
      <c r="Q75" s="95"/>
    </row>
    <row r="76" spans="4:17" s="2" customFormat="1" ht="12" customHeight="1">
      <c r="D76" s="22"/>
      <c r="E76" s="22"/>
      <c r="J76" s="5"/>
      <c r="K76" s="5"/>
      <c r="L76" s="5"/>
      <c r="M76" s="5"/>
      <c r="N76" s="5"/>
      <c r="O76" s="5"/>
      <c r="P76" s="88"/>
      <c r="Q76" s="95"/>
    </row>
    <row r="77" spans="4:17" s="2" customFormat="1" ht="12" customHeight="1">
      <c r="D77" s="22"/>
      <c r="E77" s="22"/>
      <c r="J77" s="5"/>
      <c r="K77" s="5"/>
      <c r="L77" s="5"/>
      <c r="M77" s="5"/>
      <c r="N77" s="5"/>
      <c r="O77" s="5"/>
      <c r="P77" s="88"/>
      <c r="Q77" s="95"/>
    </row>
    <row r="78" spans="4:17" s="2" customFormat="1" ht="12" customHeight="1">
      <c r="D78" s="22"/>
      <c r="E78" s="22"/>
      <c r="J78" s="5"/>
      <c r="K78" s="5"/>
      <c r="L78" s="5"/>
      <c r="M78" s="5"/>
      <c r="N78" s="5"/>
      <c r="O78" s="5"/>
      <c r="P78" s="88"/>
      <c r="Q78" s="96"/>
    </row>
    <row r="79" spans="4:17" s="2" customFormat="1" ht="12" customHeight="1">
      <c r="D79" s="22"/>
      <c r="E79" s="22"/>
      <c r="J79" s="5"/>
      <c r="K79" s="5"/>
      <c r="L79" s="5"/>
      <c r="M79" s="5"/>
      <c r="N79" s="5"/>
      <c r="O79" s="5"/>
      <c r="P79" s="88"/>
      <c r="Q79" s="96"/>
    </row>
    <row r="80" spans="4:17" s="2" customFormat="1" ht="12" customHeight="1">
      <c r="D80" s="22"/>
      <c r="E80" s="22"/>
      <c r="J80" s="5"/>
      <c r="K80" s="5"/>
      <c r="L80" s="5"/>
      <c r="M80" s="5"/>
      <c r="N80" s="5"/>
      <c r="O80" s="5"/>
      <c r="P80" s="88"/>
      <c r="Q80" s="96"/>
    </row>
    <row r="81" spans="1:17" s="2" customFormat="1" ht="12" customHeight="1">
      <c r="D81" s="22"/>
      <c r="E81" s="22"/>
      <c r="J81" s="5"/>
      <c r="K81" s="5"/>
      <c r="L81" s="5"/>
      <c r="M81" s="5"/>
      <c r="N81" s="5"/>
      <c r="O81" s="5"/>
      <c r="P81" s="88"/>
      <c r="Q81" s="96"/>
    </row>
    <row r="82" spans="1:17" s="2" customFormat="1" ht="12" customHeight="1">
      <c r="A82"/>
      <c r="B82"/>
      <c r="C82"/>
      <c r="D82" s="23"/>
      <c r="E82" s="23"/>
      <c r="F82"/>
      <c r="G82"/>
      <c r="H82"/>
      <c r="I82"/>
      <c r="J82" s="19"/>
      <c r="K82" s="19"/>
      <c r="L82" s="19"/>
      <c r="M82" s="19"/>
      <c r="N82" s="19"/>
      <c r="O82" s="19"/>
      <c r="P82" s="90"/>
      <c r="Q82" s="96"/>
    </row>
    <row r="83" spans="1:17" s="2" customFormat="1" ht="12" customHeight="1">
      <c r="A83"/>
      <c r="B83"/>
      <c r="C83"/>
      <c r="D83" s="23"/>
      <c r="E83" s="23"/>
      <c r="F83"/>
      <c r="G83"/>
      <c r="H83"/>
      <c r="I83"/>
      <c r="J83" s="19"/>
      <c r="K83" s="19"/>
      <c r="L83" s="19"/>
      <c r="M83" s="19"/>
      <c r="N83" s="19"/>
      <c r="O83" s="19"/>
      <c r="P83" s="90"/>
      <c r="Q83" s="96"/>
    </row>
    <row r="84" spans="1:17" s="2" customFormat="1" ht="12" customHeight="1">
      <c r="A84"/>
      <c r="B84"/>
      <c r="C84"/>
      <c r="D84" s="23"/>
      <c r="E84" s="23"/>
      <c r="F84"/>
      <c r="G84"/>
      <c r="H84"/>
      <c r="I84"/>
      <c r="J84" s="19"/>
      <c r="K84" s="19"/>
      <c r="L84" s="19"/>
      <c r="M84" s="19"/>
      <c r="N84" s="19"/>
      <c r="O84" s="19"/>
      <c r="P84" s="90"/>
      <c r="Q84" s="96"/>
    </row>
    <row r="85" spans="1:17" s="2" customFormat="1" ht="12" customHeight="1">
      <c r="A85"/>
      <c r="B85"/>
      <c r="C85"/>
      <c r="D85" s="23"/>
      <c r="E85" s="23"/>
      <c r="F85"/>
      <c r="G85"/>
      <c r="H85"/>
      <c r="I85"/>
      <c r="J85" s="19"/>
      <c r="K85" s="19"/>
      <c r="L85" s="19"/>
      <c r="M85" s="19"/>
      <c r="N85" s="19"/>
      <c r="O85" s="19"/>
      <c r="P85" s="90"/>
      <c r="Q85" s="96"/>
    </row>
    <row r="86" spans="1:17" s="2" customFormat="1" ht="12" customHeight="1">
      <c r="A86"/>
      <c r="B86"/>
      <c r="C86"/>
      <c r="D86" s="23"/>
      <c r="E86" s="23"/>
      <c r="F86"/>
      <c r="G86"/>
      <c r="H86"/>
      <c r="I86"/>
      <c r="J86" s="19"/>
      <c r="K86" s="19"/>
      <c r="L86" s="19"/>
      <c r="M86" s="19"/>
      <c r="N86" s="19"/>
      <c r="O86" s="19"/>
      <c r="P86" s="90"/>
      <c r="Q86" s="96"/>
    </row>
    <row r="87" spans="1:17">
      <c r="Q87" s="96"/>
    </row>
    <row r="88" spans="1:17">
      <c r="Q88" s="96"/>
    </row>
    <row r="89" spans="1:17">
      <c r="Q89" s="96"/>
    </row>
    <row r="90" spans="1:17">
      <c r="Q90" s="96"/>
    </row>
    <row r="91" spans="1:17">
      <c r="Q91" s="96"/>
    </row>
    <row r="92" spans="1:17">
      <c r="Q92" s="96"/>
    </row>
    <row r="93" spans="1:17">
      <c r="Q93" s="96"/>
    </row>
    <row r="94" spans="1:17">
      <c r="Q94" s="96"/>
    </row>
    <row r="95" spans="1:17">
      <c r="Q95" s="96"/>
    </row>
    <row r="96" spans="1:17">
      <c r="Q96" s="96"/>
    </row>
    <row r="97" spans="17:17">
      <c r="Q97" s="96"/>
    </row>
    <row r="98" spans="17:17">
      <c r="Q98" s="96"/>
    </row>
    <row r="99" spans="17:17">
      <c r="Q99" s="96"/>
    </row>
    <row r="100" spans="17:17">
      <c r="Q100" s="96"/>
    </row>
    <row r="101" spans="17:17">
      <c r="Q101" s="96"/>
    </row>
    <row r="102" spans="17:17">
      <c r="Q102" s="96"/>
    </row>
    <row r="103" spans="17:17">
      <c r="Q103" s="96"/>
    </row>
    <row r="104" spans="17:17">
      <c r="Q104" s="96"/>
    </row>
    <row r="105" spans="17:17">
      <c r="Q105" s="96"/>
    </row>
    <row r="106" spans="17:17">
      <c r="Q106" s="96"/>
    </row>
    <row r="143" ht="12" customHeight="1"/>
    <row r="144" ht="12" customHeight="1"/>
    <row r="145" ht="12" customHeight="1"/>
    <row r="146" ht="12" customHeight="1"/>
    <row r="147" ht="12" customHeight="1"/>
    <row r="148" ht="12" customHeight="1"/>
    <row r="149" ht="12" customHeight="1"/>
    <row r="150" ht="12" customHeight="1"/>
    <row r="151" ht="12" customHeight="1"/>
    <row r="152" ht="12" customHeight="1"/>
    <row r="153" ht="12" customHeight="1"/>
    <row r="154" ht="12" customHeight="1"/>
    <row r="155" ht="12" customHeight="1"/>
    <row r="156" ht="12" customHeight="1"/>
    <row r="157" ht="12" customHeight="1"/>
    <row r="158" ht="12" customHeight="1"/>
    <row r="159" ht="12" customHeight="1"/>
    <row r="160" ht="12" customHeight="1"/>
    <row r="161" ht="12" customHeight="1"/>
    <row r="162" ht="12" customHeight="1"/>
    <row r="163" ht="12" customHeight="1"/>
    <row r="164" ht="12" customHeight="1"/>
    <row r="165" ht="12" customHeight="1"/>
    <row r="166" ht="12" customHeight="1"/>
    <row r="167" ht="12" customHeight="1"/>
    <row r="168" ht="12" customHeight="1"/>
    <row r="169" ht="12" customHeight="1"/>
    <row r="170" ht="12" customHeight="1"/>
    <row r="171" ht="12" customHeight="1"/>
    <row r="172" ht="12" customHeight="1"/>
    <row r="173" ht="12" customHeight="1"/>
    <row r="174" ht="12" customHeight="1"/>
    <row r="175" ht="12" customHeight="1"/>
    <row r="176" ht="12" customHeight="1"/>
    <row r="177" ht="12" customHeight="1"/>
    <row r="178" ht="12" customHeight="1"/>
    <row r="179" ht="12" customHeight="1"/>
    <row r="180" ht="12" customHeight="1"/>
    <row r="181" ht="12" customHeight="1"/>
    <row r="182" ht="12" customHeight="1"/>
    <row r="183" ht="12" customHeight="1"/>
    <row r="184" ht="12" customHeight="1"/>
    <row r="185" ht="12" customHeight="1"/>
    <row r="186" ht="12" customHeight="1"/>
    <row r="187" ht="12" customHeight="1"/>
    <row r="188" ht="12" customHeight="1"/>
    <row r="189" ht="12" customHeight="1"/>
    <row r="190" ht="12" customHeight="1"/>
    <row r="191" ht="12" customHeight="1"/>
    <row r="192" ht="12" customHeight="1"/>
  </sheetData>
  <mergeCells count="42">
    <mergeCell ref="D34:E34"/>
    <mergeCell ref="D14:E14"/>
    <mergeCell ref="D39:E39"/>
    <mergeCell ref="H39:I39"/>
    <mergeCell ref="D37:E37"/>
    <mergeCell ref="H37:I37"/>
    <mergeCell ref="D38:E38"/>
    <mergeCell ref="D36:E36"/>
    <mergeCell ref="D27:E27"/>
    <mergeCell ref="D21:E21"/>
    <mergeCell ref="D23:E23"/>
    <mergeCell ref="D30:E30"/>
    <mergeCell ref="D31:E31"/>
    <mergeCell ref="D32:E32"/>
    <mergeCell ref="D24:E24"/>
    <mergeCell ref="D29:E29"/>
    <mergeCell ref="H29:I29"/>
    <mergeCell ref="D22:E22"/>
    <mergeCell ref="D15:E15"/>
    <mergeCell ref="D25:E25"/>
    <mergeCell ref="D16:E16"/>
    <mergeCell ref="D17:E17"/>
    <mergeCell ref="D18:E18"/>
    <mergeCell ref="D19:E19"/>
    <mergeCell ref="D20:E20"/>
    <mergeCell ref="D28:E28"/>
    <mergeCell ref="D1:E1"/>
    <mergeCell ref="D4:E4"/>
    <mergeCell ref="H4:I4"/>
    <mergeCell ref="D35:E35"/>
    <mergeCell ref="D11:E11"/>
    <mergeCell ref="D26:E26"/>
    <mergeCell ref="D5:E5"/>
    <mergeCell ref="D6:E6"/>
    <mergeCell ref="D7:E7"/>
    <mergeCell ref="D8:E8"/>
    <mergeCell ref="D9:E9"/>
    <mergeCell ref="D10:E10"/>
    <mergeCell ref="D12:E12"/>
    <mergeCell ref="H12:I12"/>
    <mergeCell ref="D13:E13"/>
    <mergeCell ref="D33:E33"/>
  </mergeCells>
  <conditionalFormatting sqref="M5:M11 M30:M36">
    <cfRule type="cellIs" dxfId="440" priority="1" stopIfTrue="1" operator="lessThanOrEqual">
      <formula>$L5</formula>
    </cfRule>
    <cfRule type="cellIs" dxfId="439" priority="2" operator="greaterThan">
      <formula>L5</formula>
    </cfRule>
  </conditionalFormatting>
  <conditionalFormatting sqref="M38 M13:M28">
    <cfRule type="cellIs" dxfId="438" priority="3" stopIfTrue="1" operator="lessThanOrEqual">
      <formula>$L13</formula>
    </cfRule>
    <cfRule type="cellIs" dxfId="437" priority="4" operator="greaterThan">
      <formula>L13</formula>
    </cfRule>
  </conditionalFormatting>
  <pageMargins left="0.7" right="0.7" top="0.75" bottom="0.75" header="0.3" footer="0.3"/>
  <pageSetup paperSize="3" fitToHeight="0" orientation="landscape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61D40F7-F213-4615-BCF9-F376DE49DA50}">
          <x14:formula1>
            <xm:f>Purchased!$A:$A</xm:f>
          </x14:formula1>
          <xm:sqref>C13:C28</xm:sqref>
        </x14:dataValidation>
        <x14:dataValidation type="list" allowBlank="1" showInputMessage="1" showErrorMessage="1" xr:uid="{BCB305A4-573B-47B9-B4AE-317844E210C7}">
          <x14:formula1>
            <xm:f>Extrusion!$B:$B</xm:f>
          </x14:formula1>
          <xm:sqref>C38</xm:sqref>
        </x14:dataValidation>
        <x14:dataValidation type="list" allowBlank="1" showInputMessage="1" showErrorMessage="1" xr:uid="{40E0FC54-FB1D-412F-A8C7-AAC1EE8C293D}">
          <x14:formula1>
            <xm:f>Machined!$C:$C</xm:f>
          </x14:formula1>
          <xm:sqref>C5:C11</xm:sqref>
        </x14:dataValidation>
      </x14:dataValidation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4AF7F-1C21-4DAD-9005-42C941C668D2}">
  <sheetPr codeName="Sheet57">
    <tabColor theme="3" tint="0.79998168889431442"/>
    <pageSetUpPr fitToPage="1"/>
  </sheetPr>
  <dimension ref="A1:Q173"/>
  <sheetViews>
    <sheetView zoomScaleNormal="100" workbookViewId="0">
      <selection activeCell="E28" sqref="E28"/>
    </sheetView>
  </sheetViews>
  <sheetFormatPr defaultColWidth="9.140625" defaultRowHeight="15"/>
  <cols>
    <col min="1" max="1" width="5.7109375" customWidth="1"/>
    <col min="2" max="2" width="5.42578125" bestFit="1" customWidth="1"/>
    <col min="3" max="3" width="30.7109375" customWidth="1"/>
    <col min="4" max="5" width="20.7109375" style="23" customWidth="1"/>
    <col min="6" max="6" width="16.85546875" bestFit="1" customWidth="1"/>
    <col min="7" max="7" width="9.7109375" customWidth="1"/>
    <col min="8" max="8" width="8.7109375" customWidth="1"/>
    <col min="9" max="9" width="20.7109375" customWidth="1"/>
    <col min="10" max="13" width="11.7109375" style="19" customWidth="1"/>
    <col min="14" max="14" width="11.85546875" style="19" bestFit="1" customWidth="1"/>
    <col min="15" max="15" width="7.7109375" style="19" customWidth="1"/>
    <col min="16" max="16" width="10.7109375" style="90" customWidth="1"/>
    <col min="17" max="17" width="10.7109375" style="97" customWidth="1"/>
  </cols>
  <sheetData>
    <row r="1" spans="1:17" s="55" customFormat="1" ht="12" customHeight="1">
      <c r="A1" s="68" t="s">
        <v>0</v>
      </c>
      <c r="B1" s="69"/>
      <c r="C1" s="69"/>
      <c r="D1" s="262" t="s">
        <v>1</v>
      </c>
      <c r="E1" s="263"/>
      <c r="F1" s="70"/>
      <c r="G1" s="69"/>
      <c r="H1" s="70"/>
      <c r="I1" s="71"/>
      <c r="J1" s="72"/>
      <c r="K1" s="72"/>
      <c r="L1" s="72"/>
      <c r="M1" s="72"/>
      <c r="N1" s="72"/>
      <c r="O1" s="72"/>
      <c r="P1" s="85"/>
      <c r="Q1" s="91"/>
    </row>
    <row r="2" spans="1:17" s="55" customFormat="1" ht="12" customHeight="1">
      <c r="A2" s="74" t="s">
        <v>48</v>
      </c>
      <c r="B2" s="58"/>
      <c r="C2" s="57" t="e">
        <f ca="1">VLOOKUP(E3,Assemblies!B:F,4,0)</f>
        <v>#VALUE!</v>
      </c>
      <c r="D2" s="75" t="s">
        <v>3</v>
      </c>
      <c r="E2" s="76" t="e">
        <f ca="1">'GF12'!E2</f>
        <v>#VALUE!</v>
      </c>
      <c r="F2" s="77" t="s">
        <v>4</v>
      </c>
      <c r="G2" s="58" t="str">
        <f>'GF12'!G2</f>
        <v>GH</v>
      </c>
      <c r="H2" s="77" t="s">
        <v>6</v>
      </c>
      <c r="I2" s="59">
        <f>'GF12'!I2</f>
        <v>44775</v>
      </c>
      <c r="J2" s="39"/>
      <c r="K2" s="40" t="s">
        <v>49</v>
      </c>
      <c r="L2" s="41" t="e">
        <f ca="1">VLOOKUP(C2,Assemblies!E:G,3,0)</f>
        <v>#VALUE!</v>
      </c>
      <c r="M2" s="78"/>
      <c r="N2" s="78"/>
      <c r="O2" s="78"/>
      <c r="P2" s="86"/>
      <c r="Q2" s="92"/>
    </row>
    <row r="3" spans="1:17" s="55" customFormat="1" ht="12" customHeight="1" thickBot="1">
      <c r="A3" s="74" t="s">
        <v>7</v>
      </c>
      <c r="B3" s="58"/>
      <c r="C3" s="57" t="e">
        <f ca="1">VLOOKUP(E3,Assemblies!B:F,5,0)</f>
        <v>#VALUE!</v>
      </c>
      <c r="D3" s="75" t="s">
        <v>50</v>
      </c>
      <c r="E3" s="76" t="e">
        <f ca="1">MID(CELL("filename",A1),FIND("]",CELL("filename",A1))+1,256)</f>
        <v>#VALUE!</v>
      </c>
      <c r="F3" s="77" t="s">
        <v>11</v>
      </c>
      <c r="G3" s="58" t="str">
        <f>'GF12'!G3</f>
        <v>GH</v>
      </c>
      <c r="H3" s="77" t="s">
        <v>6</v>
      </c>
      <c r="I3" s="59">
        <f>'GF12'!I3</f>
        <v>44775</v>
      </c>
      <c r="J3" s="78"/>
      <c r="K3" s="78"/>
      <c r="L3" s="78"/>
      <c r="M3" s="78"/>
      <c r="N3" s="78"/>
      <c r="O3" s="78"/>
      <c r="P3" s="86"/>
      <c r="Q3" s="92"/>
    </row>
    <row r="4" spans="1:17" s="56" customFormat="1" ht="12.75" customHeight="1" thickBot="1">
      <c r="A4" s="80" t="s">
        <v>12</v>
      </c>
      <c r="B4" s="81" t="s">
        <v>13</v>
      </c>
      <c r="C4" s="81" t="s">
        <v>14</v>
      </c>
      <c r="D4" s="270" t="s">
        <v>15</v>
      </c>
      <c r="E4" s="271"/>
      <c r="F4" s="104" t="s">
        <v>16</v>
      </c>
      <c r="G4" s="81" t="s">
        <v>17</v>
      </c>
      <c r="H4" s="260" t="s">
        <v>18</v>
      </c>
      <c r="I4" s="261"/>
      <c r="J4" s="81" t="s">
        <v>51</v>
      </c>
      <c r="K4" s="81" t="s">
        <v>20</v>
      </c>
      <c r="L4" s="81" t="s">
        <v>21</v>
      </c>
      <c r="M4" s="81" t="s">
        <v>52</v>
      </c>
      <c r="N4" s="81" t="s">
        <v>22</v>
      </c>
      <c r="O4" s="81" t="s">
        <v>53</v>
      </c>
      <c r="P4" s="107" t="s">
        <v>26</v>
      </c>
      <c r="Q4" s="82" t="s">
        <v>27</v>
      </c>
    </row>
    <row r="5" spans="1:17" s="2" customFormat="1" ht="12.75" customHeight="1">
      <c r="A5" s="127">
        <v>1</v>
      </c>
      <c r="B5" s="21">
        <v>2</v>
      </c>
      <c r="C5" s="108" t="s">
        <v>702</v>
      </c>
      <c r="D5" s="277" t="str">
        <f>VLOOKUP(C5,Machined!C:Q,2,0)</f>
        <v>Punch Handwheel Shaft</v>
      </c>
      <c r="E5" s="278"/>
      <c r="F5" s="131" t="str">
        <f>VLOOKUP(C5,Machined!C:R,7,0)</f>
        <v>303 SS - TG&amp;P</v>
      </c>
      <c r="G5" s="131" t="str">
        <f>VLOOKUP(C5,Machined!C:R,10,0)</f>
        <v>ALEXANDRIA, Big Sky</v>
      </c>
      <c r="H5" s="131" t="str">
        <f>VLOOKUP(C5,Machined!C:R,11,0)</f>
        <v xml:space="preserve">  </v>
      </c>
      <c r="I5" s="131"/>
      <c r="J5" s="42" t="str">
        <f>VLOOKUP(C5,Machined!C:R,12,0)</f>
        <v xml:space="preserve"> </v>
      </c>
      <c r="K5" s="42">
        <f>VLOOKUP(C5,Machined!C:R,13,0)</f>
        <v>45161</v>
      </c>
      <c r="L5" s="42">
        <f>VLOOKUP(C5,Machined!C:R,14,0)</f>
        <v>45180</v>
      </c>
      <c r="M5" s="42">
        <f>VLOOKUP(C5,Machined!C:R,15,0)</f>
        <v>45180</v>
      </c>
      <c r="N5" s="43" t="str">
        <f>VLOOKUP(C5,Machined!C:R,16,0)</f>
        <v>55018, 55091</v>
      </c>
      <c r="O5" s="43" t="e">
        <f t="shared" ref="O5:O9" ca="1" si="0">B5*$L$2</f>
        <v>#VALUE!</v>
      </c>
      <c r="P5" s="47">
        <f>IFERROR(VLOOKUP(C5,Machined!C:F,3,0),"")</f>
        <v>66.2</v>
      </c>
      <c r="Q5" s="48">
        <f t="shared" ref="Q5:Q9" si="1">IFERROR(B5*P5,"")</f>
        <v>132.4</v>
      </c>
    </row>
    <row r="6" spans="1:17" s="2" customFormat="1" ht="12.75" customHeight="1">
      <c r="A6" s="127">
        <v>2</v>
      </c>
      <c r="B6" s="21">
        <v>1</v>
      </c>
      <c r="C6" s="108" t="s">
        <v>703</v>
      </c>
      <c r="D6" s="277" t="str">
        <f>VLOOKUP(C6,Machined!C:Q,2,0)</f>
        <v>Punch Handwheel Plate</v>
      </c>
      <c r="E6" s="278"/>
      <c r="F6" s="131" t="str">
        <f>VLOOKUP(C6,Machined!C:R,7,0)</f>
        <v>6061-T6 Alum</v>
      </c>
      <c r="G6" s="131" t="str">
        <f>VLOOKUP(C6,Machined!C:R,10,0)</f>
        <v>FRONTIER</v>
      </c>
      <c r="H6" s="131" t="str">
        <f>VLOOKUP(C6,Machined!C:R,11,0)</f>
        <v xml:space="preserve">  </v>
      </c>
      <c r="I6" s="131"/>
      <c r="J6" s="42">
        <f>VLOOKUP(C6,Machined!C:R,12,0)</f>
        <v>45105</v>
      </c>
      <c r="K6" s="42">
        <f>VLOOKUP(C6,Machined!C:R,13,0)</f>
        <v>45133</v>
      </c>
      <c r="L6" s="42">
        <f>VLOOKUP(C6,Machined!C:R,14,0)</f>
        <v>45163</v>
      </c>
      <c r="M6" s="42">
        <f>VLOOKUP(C6,Machined!C:R,15,0)</f>
        <v>45163</v>
      </c>
      <c r="N6" s="43">
        <f>VLOOKUP(C6,Machined!C:R,16,0)</f>
        <v>55015</v>
      </c>
      <c r="O6" s="43" t="e">
        <f t="shared" ca="1" si="0"/>
        <v>#VALUE!</v>
      </c>
      <c r="P6" s="47">
        <f>IFERROR(VLOOKUP(C6,Machined!C:F,3,0),"")</f>
        <v>188.95</v>
      </c>
      <c r="Q6" s="48">
        <f t="shared" si="1"/>
        <v>188.95</v>
      </c>
    </row>
    <row r="7" spans="1:17" s="2" customFormat="1" ht="12.75" customHeight="1">
      <c r="A7" s="127">
        <v>3</v>
      </c>
      <c r="B7" s="21">
        <v>0</v>
      </c>
      <c r="C7" s="108" t="s">
        <v>704</v>
      </c>
      <c r="D7" s="277" t="str">
        <f>VLOOKUP(C7,Machined!C:Q,2,0)</f>
        <v>Guard Slide</v>
      </c>
      <c r="E7" s="278"/>
      <c r="F7" s="131" t="str">
        <f>VLOOKUP(C7,Machined!C:R,7,0)</f>
        <v>White Delrin</v>
      </c>
      <c r="G7" s="131" t="str">
        <f>VLOOKUP(C7,Machined!C:R,10,0)</f>
        <v>BIG SKY</v>
      </c>
      <c r="H7" s="131" t="str">
        <f>VLOOKUP(C7,Machined!C:R,11,0)</f>
        <v xml:space="preserve">  </v>
      </c>
      <c r="I7" s="131"/>
      <c r="J7" s="42">
        <f>VLOOKUP(C7,Machined!C:R,12,0)</f>
        <v>45142</v>
      </c>
      <c r="K7" s="42">
        <f>VLOOKUP(C7,Machined!C:R,13,0)</f>
        <v>45146</v>
      </c>
      <c r="L7" s="42">
        <f>VLOOKUP(C7,Machined!C:R,14,0)</f>
        <v>45176</v>
      </c>
      <c r="M7" s="42">
        <f>VLOOKUP(C7,Machined!C:R,15,0)</f>
        <v>45176</v>
      </c>
      <c r="N7" s="43">
        <f>VLOOKUP(C7,Machined!C:R,16,0)</f>
        <v>55032</v>
      </c>
      <c r="O7" s="43" t="e">
        <f t="shared" ca="1" si="0"/>
        <v>#VALUE!</v>
      </c>
      <c r="P7" s="47">
        <f>IFERROR(VLOOKUP(C7,Machined!C:F,3,0),"")</f>
        <v>48</v>
      </c>
      <c r="Q7" s="48">
        <f t="shared" si="1"/>
        <v>0</v>
      </c>
    </row>
    <row r="8" spans="1:17" s="2" customFormat="1" ht="12.75" customHeight="1">
      <c r="A8" s="127">
        <v>4</v>
      </c>
      <c r="B8" s="21">
        <v>2</v>
      </c>
      <c r="C8" s="108" t="s">
        <v>486</v>
      </c>
      <c r="D8" s="277" t="str">
        <f>VLOOKUP(C8,Machined!C:Q,2,0)</f>
        <v>Friction Pad</v>
      </c>
      <c r="E8" s="278"/>
      <c r="F8" s="131" t="str">
        <f>VLOOKUP(C8,Machined!C:R,7,0)</f>
        <v>White Delrin</v>
      </c>
      <c r="G8" s="131" t="str">
        <f>VLOOKUP(C8,Machined!C:R,10,0)</f>
        <v>BIG SKY</v>
      </c>
      <c r="H8" s="131" t="str">
        <f>VLOOKUP(C8,Machined!C:R,11,0)</f>
        <v xml:space="preserve">  </v>
      </c>
      <c r="I8" s="131"/>
      <c r="J8" s="42">
        <f>VLOOKUP(C8,Machined!C:R,12,0)</f>
        <v>45142</v>
      </c>
      <c r="K8" s="42">
        <f>VLOOKUP(C8,Machined!C:R,13,0)</f>
        <v>45146</v>
      </c>
      <c r="L8" s="42">
        <f>VLOOKUP(C8,Machined!C:R,14,0)</f>
        <v>45176</v>
      </c>
      <c r="M8" s="42">
        <f>VLOOKUP(C8,Machined!C:R,15,0)</f>
        <v>45176</v>
      </c>
      <c r="N8" s="43">
        <f>VLOOKUP(C8,Machined!C:R,16,0)</f>
        <v>55032</v>
      </c>
      <c r="O8" s="43" t="e">
        <f t="shared" ca="1" si="0"/>
        <v>#VALUE!</v>
      </c>
      <c r="P8" s="47">
        <f>IFERROR(VLOOKUP(C8,Machined!C:F,3,0),"")</f>
        <v>45</v>
      </c>
      <c r="Q8" s="48">
        <f t="shared" si="1"/>
        <v>90</v>
      </c>
    </row>
    <row r="9" spans="1:17" s="2" customFormat="1" ht="12.75" customHeight="1">
      <c r="A9" s="127">
        <v>5</v>
      </c>
      <c r="B9" s="21">
        <v>2</v>
      </c>
      <c r="C9" s="108" t="s">
        <v>487</v>
      </c>
      <c r="D9" s="277" t="str">
        <f>VLOOKUP(C9,Machined!C:Q,2,0)</f>
        <v>Unguided Guard Slide</v>
      </c>
      <c r="E9" s="278"/>
      <c r="F9" s="131" t="str">
        <f>VLOOKUP(C9,Machined!C:R,7,0)</f>
        <v>White Delrin</v>
      </c>
      <c r="G9" s="131" t="str">
        <f>VLOOKUP(C9,Machined!C:R,10,0)</f>
        <v>BIG SKY</v>
      </c>
      <c r="H9" s="131" t="str">
        <f>VLOOKUP(C9,Machined!C:R,11,0)</f>
        <v xml:space="preserve">  </v>
      </c>
      <c r="I9" s="131"/>
      <c r="J9" s="42">
        <f>VLOOKUP(C9,Machined!C:R,12,0)</f>
        <v>45142</v>
      </c>
      <c r="K9" s="42">
        <f>VLOOKUP(C9,Machined!C:R,13,0)</f>
        <v>45146</v>
      </c>
      <c r="L9" s="42">
        <f>VLOOKUP(C9,Machined!C:R,14,0)</f>
        <v>45176</v>
      </c>
      <c r="M9" s="42">
        <f>VLOOKUP(C9,Machined!C:R,15,0)</f>
        <v>45176</v>
      </c>
      <c r="N9" s="43">
        <f>VLOOKUP(C9,Machined!C:R,16,0)</f>
        <v>55032</v>
      </c>
      <c r="O9" s="43" t="e">
        <f t="shared" ca="1" si="0"/>
        <v>#VALUE!</v>
      </c>
      <c r="P9" s="47">
        <f>IFERROR(VLOOKUP(C9,Machined!C:F,3,0),"")</f>
        <v>45</v>
      </c>
      <c r="Q9" s="48">
        <f t="shared" si="1"/>
        <v>90</v>
      </c>
    </row>
    <row r="10" spans="1:17" s="2" customFormat="1" ht="12.75" customHeight="1">
      <c r="A10" s="143"/>
      <c r="B10" s="26"/>
      <c r="C10" s="26"/>
      <c r="D10" s="272"/>
      <c r="E10" s="280"/>
      <c r="F10" s="26"/>
      <c r="G10" s="26"/>
      <c r="H10" s="274"/>
      <c r="I10" s="274"/>
      <c r="J10" s="27"/>
      <c r="K10" s="27"/>
      <c r="L10" s="27"/>
      <c r="M10" s="28"/>
      <c r="N10" s="29"/>
      <c r="O10" s="29"/>
      <c r="P10" s="141"/>
      <c r="Q10" s="142"/>
    </row>
    <row r="11" spans="1:17" s="2" customFormat="1" ht="12.75" customHeight="1">
      <c r="A11" s="4">
        <v>301</v>
      </c>
      <c r="B11" s="2">
        <v>2</v>
      </c>
      <c r="C11" s="114" t="s">
        <v>492</v>
      </c>
      <c r="D11" s="268" t="str">
        <f>VLOOKUP(C11,Purchased!A:B,2,0)</f>
        <v>Ball Bearing Shielded, Trade No. 6901-2Z, for 12 mm Shaft Diameter</v>
      </c>
      <c r="E11" s="269"/>
      <c r="F11" s="112" t="str">
        <f>VLOOKUP(C11,Purchased!A:Q,9,0)</f>
        <v>MCM</v>
      </c>
      <c r="G11" s="112" t="str">
        <f>VLOOKUP(C11,Purchased!A:Q,10,0)</f>
        <v>MCM</v>
      </c>
      <c r="H11" s="112">
        <f>VLOOKUP(C11,Purchased!A:Q,12,0)</f>
        <v>0</v>
      </c>
      <c r="I11" s="113"/>
      <c r="J11" s="44" t="str">
        <f>VLOOKUP(C11,Purchased!A:Q,13,0)</f>
        <v>N/A</v>
      </c>
      <c r="K11" s="44">
        <f>VLOOKUP(C11,Purchased!A:Q,14,0)</f>
        <v>45162</v>
      </c>
      <c r="L11" s="44">
        <f>VLOOKUP(C11,Purchased!A:Q,15,0)</f>
        <v>45184</v>
      </c>
      <c r="M11" s="44">
        <f>VLOOKUP(C11,Purchased!A:Q,16,0)</f>
        <v>45166</v>
      </c>
      <c r="N11" s="45">
        <f>VLOOKUP(C11,Purchased!A:Q,17,0)</f>
        <v>55087</v>
      </c>
      <c r="O11" s="45" t="e">
        <f t="shared" ref="O11:O14" ca="1" si="2">B11*$L$2</f>
        <v>#VALUE!</v>
      </c>
      <c r="P11" s="49">
        <f>IFERROR(VLOOKUP(C11,Purchased!A:E,3,FALSE),"")</f>
        <v>14.29</v>
      </c>
      <c r="Q11" s="50">
        <f t="shared" ref="Q11:Q14" si="3">IFERROR(B11*P11,"")</f>
        <v>28.58</v>
      </c>
    </row>
    <row r="12" spans="1:17" s="2" customFormat="1" ht="12" customHeight="1">
      <c r="A12" s="4">
        <f t="shared" ref="A12:A15" si="4">A11+1</f>
        <v>302</v>
      </c>
      <c r="B12" s="2">
        <v>2</v>
      </c>
      <c r="C12" s="114" t="s">
        <v>488</v>
      </c>
      <c r="D12" s="268" t="str">
        <f>VLOOKUP(C12,Purchased!A:B,2,0)</f>
        <v>ELESA DD51-AN-002.0-D-C1 Digital Position Indicator</v>
      </c>
      <c r="E12" s="269"/>
      <c r="F12" s="112" t="str">
        <f>VLOOKUP(C12,Purchased!A:Q,9,0)</f>
        <v>ELESA</v>
      </c>
      <c r="G12" s="112" t="str">
        <f>VLOOKUP(C12,Purchased!A:Q,10,0)</f>
        <v>ELESA</v>
      </c>
      <c r="H12" s="112">
        <f>VLOOKUP(C12,Purchased!A:Q,12,0)</f>
        <v>0</v>
      </c>
      <c r="I12" s="113"/>
      <c r="J12" s="44">
        <f>VLOOKUP(C12,Purchased!A:Q,13,0)</f>
        <v>45205</v>
      </c>
      <c r="K12" s="44">
        <f>VLOOKUP(C12,Purchased!A:Q,14,0)</f>
        <v>45205</v>
      </c>
      <c r="L12" s="44">
        <f>VLOOKUP(C12,Purchased!A:Q,15,0)</f>
        <v>45219</v>
      </c>
      <c r="M12" s="44">
        <f>VLOOKUP(C12,Purchased!A:Q,16,0)</f>
        <v>45225</v>
      </c>
      <c r="N12" s="45">
        <f>VLOOKUP(C12,Purchased!A:Q,17,0)</f>
        <v>55195</v>
      </c>
      <c r="O12" s="45" t="e">
        <f t="shared" ca="1" si="2"/>
        <v>#VALUE!</v>
      </c>
      <c r="P12" s="49">
        <f>IFERROR(VLOOKUP(C12,Purchased!A:E,3,FALSE),"")</f>
        <v>0</v>
      </c>
      <c r="Q12" s="50">
        <f t="shared" si="3"/>
        <v>0</v>
      </c>
    </row>
    <row r="13" spans="1:17" s="2" customFormat="1" ht="12" customHeight="1">
      <c r="A13" s="4">
        <f t="shared" si="4"/>
        <v>303</v>
      </c>
      <c r="B13" s="2">
        <v>2</v>
      </c>
      <c r="C13" s="114" t="s">
        <v>489</v>
      </c>
      <c r="D13" s="268" t="str">
        <f>VLOOKUP(C13,Purchased!A:B,2,0)</f>
        <v>ELESA CE.85919 Base for Spindle Locking BSA-N51-12</v>
      </c>
      <c r="E13" s="269"/>
      <c r="F13" s="112" t="str">
        <f>VLOOKUP(C13,Purchased!A:Q,9,0)</f>
        <v>ELESA</v>
      </c>
      <c r="G13" s="112" t="str">
        <f>VLOOKUP(C13,Purchased!A:Q,10,0)</f>
        <v>ELESA</v>
      </c>
      <c r="H13" s="112" t="str">
        <f>VLOOKUP(C13,Purchased!A:Q,12,0)</f>
        <v xml:space="preserve"> </v>
      </c>
      <c r="I13" s="113"/>
      <c r="J13" s="44">
        <f>VLOOKUP(C13,Purchased!A:Q,13,0)</f>
        <v>45125</v>
      </c>
      <c r="K13" s="44">
        <f>VLOOKUP(C13,Purchased!A:Q,14,0)</f>
        <v>45162</v>
      </c>
      <c r="L13" s="44">
        <f>VLOOKUP(C13,Purchased!A:Q,15,0)</f>
        <v>45184</v>
      </c>
      <c r="M13" s="44">
        <f>VLOOKUP(C13,Purchased!A:Q,16,0)</f>
        <v>45184</v>
      </c>
      <c r="N13" s="45">
        <f>VLOOKUP(C13,Purchased!A:Q,17,0)</f>
        <v>55036</v>
      </c>
      <c r="O13" s="45" t="e">
        <f t="shared" ca="1" si="2"/>
        <v>#VALUE!</v>
      </c>
      <c r="P13" s="49">
        <f>IFERROR(VLOOKUP(C13,Purchased!A:E,3,FALSE),"")</f>
        <v>24.93</v>
      </c>
      <c r="Q13" s="50">
        <f t="shared" si="3"/>
        <v>49.86</v>
      </c>
    </row>
    <row r="14" spans="1:17" s="2" customFormat="1" ht="12" customHeight="1">
      <c r="A14" s="4">
        <f t="shared" si="4"/>
        <v>304</v>
      </c>
      <c r="B14" s="2">
        <v>2</v>
      </c>
      <c r="C14" s="114" t="s">
        <v>490</v>
      </c>
      <c r="D14" s="268" t="str">
        <f>VLOOKUP(C14,Purchased!A:B,2,0)</f>
        <v>ELESA GN 322.3-125-B12-R Foldaway Aluminum Handwheel</v>
      </c>
      <c r="E14" s="269"/>
      <c r="F14" s="112" t="str">
        <f>VLOOKUP(C14,Purchased!A:Q,9,0)</f>
        <v>ELESA</v>
      </c>
      <c r="G14" s="112" t="str">
        <f>VLOOKUP(C14,Purchased!A:Q,10,0)</f>
        <v>ELESA</v>
      </c>
      <c r="H14" s="112" t="str">
        <f>VLOOKUP(C14,Purchased!A:Q,12,0)</f>
        <v xml:space="preserve"> </v>
      </c>
      <c r="I14" s="113"/>
      <c r="J14" s="44">
        <f>VLOOKUP(C14,Purchased!A:Q,13,0)</f>
        <v>45125</v>
      </c>
      <c r="K14" s="44">
        <f>VLOOKUP(C14,Purchased!A:Q,14,0)</f>
        <v>45162</v>
      </c>
      <c r="L14" s="44">
        <f>VLOOKUP(C14,Purchased!A:Q,15,0)</f>
        <v>45184</v>
      </c>
      <c r="M14" s="44">
        <f>VLOOKUP(C14,Purchased!A:Q,16,0)</f>
        <v>45184</v>
      </c>
      <c r="N14" s="45">
        <f>VLOOKUP(C14,Purchased!A:Q,17,0)</f>
        <v>55036</v>
      </c>
      <c r="O14" s="45" t="e">
        <f t="shared" ca="1" si="2"/>
        <v>#VALUE!</v>
      </c>
      <c r="P14" s="49">
        <f>IFERROR(VLOOKUP(C14,Purchased!A:E,3,FALSE),"")</f>
        <v>51.89</v>
      </c>
      <c r="Q14" s="50">
        <f t="shared" si="3"/>
        <v>103.78</v>
      </c>
    </row>
    <row r="15" spans="1:17" s="2" customFormat="1" ht="12" customHeight="1">
      <c r="A15" s="4">
        <f t="shared" si="4"/>
        <v>305</v>
      </c>
      <c r="B15" s="2">
        <v>2</v>
      </c>
      <c r="C15" s="114" t="s">
        <v>491</v>
      </c>
      <c r="D15" s="268" t="str">
        <f>VLOOKUP(C15,Purchased!A:B,2,0)</f>
        <v>ELESA Reduction sleeves RB51-12</v>
      </c>
      <c r="E15" s="269"/>
      <c r="F15" s="112" t="str">
        <f>VLOOKUP(C15,Purchased!A:Q,9,0)</f>
        <v>ELESA</v>
      </c>
      <c r="G15" s="112" t="str">
        <f>VLOOKUP(C15,Purchased!A:Q,10,0)</f>
        <v>ELESA</v>
      </c>
      <c r="H15" s="112" t="str">
        <f>VLOOKUP(C15,Purchased!A:Q,12,0)</f>
        <v xml:space="preserve"> </v>
      </c>
      <c r="I15" s="113"/>
      <c r="J15" s="44">
        <f>VLOOKUP(C15,Purchased!A:Q,13,0)</f>
        <v>45125</v>
      </c>
      <c r="K15" s="44">
        <f>VLOOKUP(C15,Purchased!A:Q,14,0)</f>
        <v>45162</v>
      </c>
      <c r="L15" s="44">
        <f>VLOOKUP(C15,Purchased!A:Q,15,0)</f>
        <v>45184</v>
      </c>
      <c r="M15" s="44">
        <f>VLOOKUP(C15,Purchased!A:Q,16,0)</f>
        <v>45184</v>
      </c>
      <c r="N15" s="45">
        <f>VLOOKUP(C15,Purchased!A:Q,17,0)</f>
        <v>55036</v>
      </c>
      <c r="O15" s="45" t="e">
        <f ca="1">B15*$L$2</f>
        <v>#VALUE!</v>
      </c>
      <c r="P15" s="49">
        <f>IFERROR(VLOOKUP(C15,Purchased!A:E,3,FALSE),"")</f>
        <v>5.05</v>
      </c>
      <c r="Q15" s="50">
        <f>IFERROR(B15*P15,"")</f>
        <v>10.1</v>
      </c>
    </row>
    <row r="16" spans="1:17" s="2" customFormat="1" ht="12.75" customHeight="1">
      <c r="A16" s="25"/>
      <c r="B16" s="26"/>
      <c r="C16" s="26"/>
      <c r="D16" s="272"/>
      <c r="E16" s="273"/>
      <c r="F16" s="26"/>
      <c r="G16" s="26"/>
      <c r="H16" s="274"/>
      <c r="I16" s="275"/>
      <c r="J16" s="27"/>
      <c r="K16" s="27"/>
      <c r="L16" s="27"/>
      <c r="M16" s="28"/>
      <c r="N16" s="29"/>
      <c r="O16" s="29" t="e">
        <f t="shared" ref="O16:O19" ca="1" si="5">B16*$L$2</f>
        <v>#VALUE!</v>
      </c>
      <c r="P16" s="141"/>
      <c r="Q16" s="142"/>
    </row>
    <row r="17" spans="1:17" s="2" customFormat="1" ht="12.75" customHeight="1">
      <c r="A17" s="4">
        <v>501</v>
      </c>
      <c r="B17" s="2">
        <v>4</v>
      </c>
      <c r="C17" s="110" t="s">
        <v>493</v>
      </c>
      <c r="D17" s="268"/>
      <c r="E17" s="276"/>
      <c r="F17" s="112" t="str">
        <f>VLOOKUP(C17,Bolts!A:L,5,0)</f>
        <v xml:space="preserve">  </v>
      </c>
      <c r="G17" s="112" t="str">
        <f>VLOOKUP(C17,Bolts!A:L,6,0)</f>
        <v>Monroe Fasteners</v>
      </c>
      <c r="H17" s="112" t="str">
        <f>VLOOKUP(C17,Bolts!A:L,7,0)</f>
        <v xml:space="preserve">  </v>
      </c>
      <c r="I17" s="112"/>
      <c r="J17" s="44" t="str">
        <f>VLOOKUP(C17,Bolts!A:L,8,0)</f>
        <v xml:space="preserve"> </v>
      </c>
      <c r="K17" s="44" t="str">
        <f>VLOOKUP(C17,Bolts!A:L,9,0)</f>
        <v xml:space="preserve"> </v>
      </c>
      <c r="L17" s="44" t="str">
        <f>VLOOKUP(C17,Bolts!A:L,10,0)</f>
        <v xml:space="preserve"> </v>
      </c>
      <c r="M17" s="44" t="str">
        <f>VLOOKUP(C17,Bolts!A:L,11,0)</f>
        <v xml:space="preserve"> </v>
      </c>
      <c r="N17" s="45" t="str">
        <f>VLOOKUP(C17,Bolts!A:L,12,0)</f>
        <v xml:space="preserve"> </v>
      </c>
      <c r="O17" s="45" t="e">
        <f t="shared" ref="O17" ca="1" si="6">B17*$L$2</f>
        <v>#VALUE!</v>
      </c>
      <c r="P17" s="49" t="str">
        <f>IFERROR(VLOOKUP(C17,Bolts!A:B,2,FALSE),"")</f>
        <v xml:space="preserve"> </v>
      </c>
      <c r="Q17" s="50" t="str">
        <f t="shared" ref="Q17" si="7">IFERROR(B17*P17,"")</f>
        <v/>
      </c>
    </row>
    <row r="18" spans="1:17" s="2" customFormat="1" ht="12.75" customHeight="1">
      <c r="A18" s="4">
        <v>502</v>
      </c>
      <c r="B18" s="2">
        <v>4</v>
      </c>
      <c r="C18" s="110" t="s">
        <v>267</v>
      </c>
      <c r="D18" s="268"/>
      <c r="E18" s="276"/>
      <c r="F18" s="112" t="str">
        <f>VLOOKUP(C18,Bolts!A:L,5,0)</f>
        <v xml:space="preserve">  </v>
      </c>
      <c r="G18" s="112" t="str">
        <f>VLOOKUP(C18,Bolts!A:L,6,0)</f>
        <v>Monroe Fasteners</v>
      </c>
      <c r="H18" s="112" t="str">
        <f>VLOOKUP(C18,Bolts!A:L,7,0)</f>
        <v xml:space="preserve">  </v>
      </c>
      <c r="I18" s="112"/>
      <c r="J18" s="44" t="str">
        <f>VLOOKUP(C18,Bolts!A:L,8,0)</f>
        <v xml:space="preserve"> </v>
      </c>
      <c r="K18" s="44" t="str">
        <f>VLOOKUP(C18,Bolts!A:L,9,0)</f>
        <v xml:space="preserve"> </v>
      </c>
      <c r="L18" s="44" t="str">
        <f>VLOOKUP(C18,Bolts!A:L,10,0)</f>
        <v xml:space="preserve"> </v>
      </c>
      <c r="M18" s="44" t="str">
        <f>VLOOKUP(C18,Bolts!A:L,11,0)</f>
        <v xml:space="preserve"> </v>
      </c>
      <c r="N18" s="45" t="str">
        <f>VLOOKUP(C18,Bolts!A:L,12,0)</f>
        <v xml:space="preserve"> </v>
      </c>
      <c r="O18" s="45" t="e">
        <f t="shared" ca="1" si="5"/>
        <v>#VALUE!</v>
      </c>
      <c r="P18" s="49" t="str">
        <f>IFERROR(VLOOKUP(C18,Bolts!A:B,2,FALSE),"")</f>
        <v xml:space="preserve"> </v>
      </c>
      <c r="Q18" s="50" t="str">
        <f t="shared" ref="Q18:Q19" si="8">IFERROR(B18*P18,"")</f>
        <v/>
      </c>
    </row>
    <row r="19" spans="1:17" s="2" customFormat="1" ht="12.75" customHeight="1" thickBot="1">
      <c r="A19" s="4">
        <v>503</v>
      </c>
      <c r="B19" s="2">
        <v>4</v>
      </c>
      <c r="C19" s="110" t="s">
        <v>479</v>
      </c>
      <c r="D19" s="268"/>
      <c r="E19" s="276"/>
      <c r="F19" s="112" t="str">
        <f>VLOOKUP(C19,Bolts!A:L,5,0)</f>
        <v xml:space="preserve">  </v>
      </c>
      <c r="G19" s="112" t="str">
        <f>VLOOKUP(C19,Bolts!A:L,6,0)</f>
        <v>Monroe Fasteners</v>
      </c>
      <c r="H19" s="112" t="str">
        <f>VLOOKUP(C19,Bolts!A:L,7,0)</f>
        <v xml:space="preserve">  </v>
      </c>
      <c r="I19" s="112"/>
      <c r="J19" s="44" t="str">
        <f>VLOOKUP(C19,Bolts!A:L,8,0)</f>
        <v xml:space="preserve"> </v>
      </c>
      <c r="K19" s="44" t="str">
        <f>VLOOKUP(C19,Bolts!A:L,9,0)</f>
        <v xml:space="preserve"> </v>
      </c>
      <c r="L19" s="44" t="str">
        <f>VLOOKUP(C19,Bolts!A:L,10,0)</f>
        <v xml:space="preserve"> </v>
      </c>
      <c r="M19" s="44" t="str">
        <f>VLOOKUP(C19,Bolts!A:L,11,0)</f>
        <v xml:space="preserve"> </v>
      </c>
      <c r="N19" s="45" t="str">
        <f>VLOOKUP(C19,Bolts!A:L,12,0)</f>
        <v xml:space="preserve"> </v>
      </c>
      <c r="O19" s="45" t="e">
        <f t="shared" ca="1" si="5"/>
        <v>#VALUE!</v>
      </c>
      <c r="P19" s="49" t="str">
        <f>IFERROR(VLOOKUP(C19,Bolts!A:B,2,FALSE),"")</f>
        <v xml:space="preserve"> </v>
      </c>
      <c r="Q19" s="50" t="str">
        <f t="shared" si="8"/>
        <v/>
      </c>
    </row>
    <row r="20" spans="1:17" s="2" customFormat="1" ht="12.75" customHeight="1" thickBot="1">
      <c r="A20" s="34"/>
      <c r="B20" s="35"/>
      <c r="C20" s="35"/>
      <c r="D20" s="256"/>
      <c r="E20" s="257"/>
      <c r="F20" s="35"/>
      <c r="G20" s="35"/>
      <c r="H20" s="294"/>
      <c r="I20" s="295"/>
      <c r="J20" s="36"/>
      <c r="K20" s="36"/>
      <c r="L20" s="36"/>
      <c r="M20" s="37"/>
      <c r="N20" s="38"/>
      <c r="O20" s="38"/>
      <c r="P20" s="89" t="s">
        <v>43</v>
      </c>
      <c r="Q20" s="94">
        <f>SUM(Q5:Q19)</f>
        <v>693.67000000000007</v>
      </c>
    </row>
    <row r="21" spans="1:17" s="2" customFormat="1" ht="12" customHeight="1">
      <c r="D21" s="22"/>
      <c r="E21" s="22"/>
      <c r="J21" s="8"/>
      <c r="K21" s="8"/>
      <c r="L21" s="8"/>
      <c r="M21" s="8"/>
      <c r="N21" s="5"/>
      <c r="O21" s="5"/>
      <c r="P21" s="88"/>
      <c r="Q21" s="95"/>
    </row>
    <row r="22" spans="1:17" s="2" customFormat="1" ht="12" customHeight="1">
      <c r="D22" s="22"/>
      <c r="E22" s="22"/>
      <c r="J22" s="5"/>
      <c r="K22" s="5"/>
      <c r="L22" s="5"/>
      <c r="M22" s="5"/>
      <c r="N22" s="5"/>
      <c r="O22" s="5"/>
      <c r="P22" s="88"/>
      <c r="Q22" s="95"/>
    </row>
    <row r="23" spans="1:17" s="2" customFormat="1" ht="12" customHeight="1">
      <c r="D23" s="22"/>
      <c r="E23" s="22"/>
      <c r="J23" s="5"/>
      <c r="K23" s="5"/>
      <c r="L23" s="5"/>
      <c r="M23" s="5"/>
      <c r="N23" s="5"/>
      <c r="O23" s="5"/>
      <c r="P23" s="88"/>
      <c r="Q23" s="95"/>
    </row>
    <row r="24" spans="1:17" s="2" customFormat="1" ht="12" customHeight="1">
      <c r="D24" s="22"/>
      <c r="E24" s="22"/>
      <c r="J24" s="5"/>
      <c r="K24" s="5"/>
      <c r="L24" s="5"/>
      <c r="M24" s="5"/>
      <c r="N24" s="5"/>
      <c r="O24" s="5"/>
      <c r="P24" s="88"/>
      <c r="Q24" s="95"/>
    </row>
    <row r="25" spans="1:17" s="2" customFormat="1" ht="12" customHeight="1">
      <c r="D25" s="22"/>
      <c r="E25" s="22"/>
      <c r="J25" s="5"/>
      <c r="K25" s="5"/>
      <c r="L25" s="5"/>
      <c r="M25" s="5"/>
      <c r="N25" s="5"/>
      <c r="O25" s="5"/>
      <c r="P25" s="88"/>
      <c r="Q25" s="95"/>
    </row>
    <row r="26" spans="1:17" s="2" customFormat="1" ht="12" customHeight="1">
      <c r="D26" s="22"/>
      <c r="E26" s="22"/>
      <c r="J26" s="5"/>
      <c r="K26" s="5"/>
      <c r="L26" s="5"/>
      <c r="M26" s="5"/>
      <c r="N26" s="5"/>
      <c r="O26" s="5"/>
      <c r="P26" s="88"/>
      <c r="Q26" s="95"/>
    </row>
    <row r="27" spans="1:17" s="2" customFormat="1" ht="12" customHeight="1">
      <c r="D27" s="22"/>
      <c r="E27" s="22"/>
      <c r="J27" s="5"/>
      <c r="K27" s="5"/>
      <c r="L27" s="5"/>
      <c r="M27" s="5"/>
      <c r="N27" s="5"/>
      <c r="O27" s="5"/>
      <c r="P27" s="88"/>
      <c r="Q27" s="95"/>
    </row>
    <row r="28" spans="1:17" s="2" customFormat="1" ht="12" customHeight="1">
      <c r="D28" s="22"/>
      <c r="E28" s="22"/>
      <c r="J28" s="5"/>
      <c r="K28" s="5"/>
      <c r="L28" s="5"/>
      <c r="M28" s="5"/>
      <c r="N28" s="5"/>
      <c r="O28" s="5"/>
      <c r="P28" s="88"/>
      <c r="Q28" s="95"/>
    </row>
    <row r="29" spans="1:17" s="2" customFormat="1" ht="12" customHeight="1">
      <c r="D29" s="22"/>
      <c r="E29" s="22"/>
      <c r="J29" s="5"/>
      <c r="K29" s="5"/>
      <c r="L29" s="5"/>
      <c r="M29" s="5"/>
      <c r="N29" s="5"/>
      <c r="O29" s="5"/>
      <c r="P29" s="88"/>
      <c r="Q29" s="95"/>
    </row>
    <row r="30" spans="1:17" s="2" customFormat="1" ht="12" customHeight="1">
      <c r="D30" s="22"/>
      <c r="E30" s="22"/>
      <c r="J30" s="5"/>
      <c r="K30" s="5"/>
      <c r="L30" s="5"/>
      <c r="M30" s="5"/>
      <c r="N30" s="5"/>
      <c r="O30" s="5"/>
      <c r="P30" s="88"/>
      <c r="Q30" s="95"/>
    </row>
    <row r="31" spans="1:17" s="2" customFormat="1" ht="12" customHeight="1">
      <c r="D31" s="22"/>
      <c r="E31" s="22"/>
      <c r="J31" s="5"/>
      <c r="K31" s="5"/>
      <c r="L31" s="5"/>
      <c r="M31" s="5"/>
      <c r="N31" s="5"/>
      <c r="O31" s="5"/>
      <c r="P31" s="88"/>
      <c r="Q31" s="95"/>
    </row>
    <row r="32" spans="1:17" s="2" customFormat="1" ht="12" customHeight="1">
      <c r="D32" s="22"/>
      <c r="E32" s="22"/>
      <c r="J32" s="5"/>
      <c r="K32" s="5"/>
      <c r="L32" s="5"/>
      <c r="M32" s="5"/>
      <c r="N32" s="5"/>
      <c r="O32" s="5"/>
      <c r="P32" s="88"/>
      <c r="Q32" s="95"/>
    </row>
    <row r="33" spans="4:17" s="2" customFormat="1" ht="12" customHeight="1">
      <c r="D33" s="22"/>
      <c r="E33" s="22"/>
      <c r="J33" s="5"/>
      <c r="K33" s="5"/>
      <c r="L33" s="5"/>
      <c r="M33" s="5"/>
      <c r="N33" s="5"/>
      <c r="O33" s="5"/>
      <c r="P33" s="88"/>
      <c r="Q33" s="95"/>
    </row>
    <row r="34" spans="4:17" s="2" customFormat="1" ht="12" customHeight="1">
      <c r="D34" s="22"/>
      <c r="E34" s="22"/>
      <c r="J34" s="5"/>
      <c r="K34" s="5"/>
      <c r="L34" s="5"/>
      <c r="M34" s="5"/>
      <c r="N34" s="5"/>
      <c r="O34" s="5"/>
      <c r="P34" s="88"/>
      <c r="Q34" s="95"/>
    </row>
    <row r="35" spans="4:17" s="2" customFormat="1" ht="12" customHeight="1">
      <c r="D35" s="22"/>
      <c r="E35" s="22"/>
      <c r="J35" s="5"/>
      <c r="K35" s="5"/>
      <c r="L35" s="5"/>
      <c r="M35" s="5"/>
      <c r="N35" s="5"/>
      <c r="O35" s="5"/>
      <c r="P35" s="88"/>
      <c r="Q35" s="95"/>
    </row>
    <row r="36" spans="4:17" s="2" customFormat="1" ht="12" customHeight="1">
      <c r="D36" s="22"/>
      <c r="E36" s="22"/>
      <c r="J36" s="5"/>
      <c r="K36" s="5"/>
      <c r="L36" s="5"/>
      <c r="M36" s="5"/>
      <c r="N36" s="5"/>
      <c r="O36" s="5"/>
      <c r="P36" s="88"/>
      <c r="Q36" s="95"/>
    </row>
    <row r="37" spans="4:17" s="2" customFormat="1" ht="12" customHeight="1">
      <c r="D37" s="22"/>
      <c r="E37" s="22"/>
      <c r="J37" s="5"/>
      <c r="K37" s="5"/>
      <c r="L37" s="5"/>
      <c r="M37" s="5"/>
      <c r="N37" s="5"/>
      <c r="O37" s="5"/>
      <c r="P37" s="88"/>
      <c r="Q37" s="95"/>
    </row>
    <row r="38" spans="4:17" s="2" customFormat="1" ht="12" customHeight="1">
      <c r="D38" s="22"/>
      <c r="E38" s="22"/>
      <c r="J38" s="5"/>
      <c r="K38" s="5"/>
      <c r="L38" s="5"/>
      <c r="M38" s="5"/>
      <c r="N38" s="5"/>
      <c r="O38" s="5"/>
      <c r="P38" s="88"/>
      <c r="Q38" s="95"/>
    </row>
    <row r="39" spans="4:17" s="2" customFormat="1" ht="12" customHeight="1">
      <c r="D39" s="22"/>
      <c r="E39" s="22"/>
      <c r="J39" s="5"/>
      <c r="K39" s="5"/>
      <c r="L39" s="5"/>
      <c r="M39" s="5"/>
      <c r="N39" s="5"/>
      <c r="O39" s="5"/>
      <c r="P39" s="88"/>
      <c r="Q39" s="95"/>
    </row>
    <row r="40" spans="4:17" s="2" customFormat="1" ht="12" customHeight="1">
      <c r="D40" s="22"/>
      <c r="E40" s="22"/>
      <c r="J40" s="5"/>
      <c r="K40" s="5"/>
      <c r="L40" s="5"/>
      <c r="M40" s="5"/>
      <c r="N40" s="5"/>
      <c r="O40" s="5"/>
      <c r="P40" s="88"/>
      <c r="Q40" s="95"/>
    </row>
    <row r="41" spans="4:17" s="2" customFormat="1" ht="12" customHeight="1">
      <c r="D41" s="22"/>
      <c r="E41" s="22"/>
      <c r="J41" s="5"/>
      <c r="K41" s="5"/>
      <c r="L41" s="5"/>
      <c r="M41" s="5"/>
      <c r="N41" s="5"/>
      <c r="O41" s="5"/>
      <c r="P41" s="88"/>
      <c r="Q41" s="95"/>
    </row>
    <row r="42" spans="4:17" s="2" customFormat="1" ht="12" customHeight="1">
      <c r="D42" s="22"/>
      <c r="E42" s="22"/>
      <c r="J42" s="5"/>
      <c r="K42" s="5"/>
      <c r="L42" s="5"/>
      <c r="M42" s="5"/>
      <c r="N42" s="5"/>
      <c r="O42" s="5"/>
      <c r="P42" s="88"/>
      <c r="Q42" s="95"/>
    </row>
    <row r="43" spans="4:17" s="2" customFormat="1" ht="12" customHeight="1">
      <c r="D43" s="22"/>
      <c r="E43" s="22"/>
      <c r="J43" s="5"/>
      <c r="K43" s="5"/>
      <c r="L43" s="5"/>
      <c r="M43" s="5"/>
      <c r="N43" s="5"/>
      <c r="O43" s="5"/>
      <c r="P43" s="88"/>
      <c r="Q43" s="95"/>
    </row>
    <row r="44" spans="4:17" s="2" customFormat="1" ht="12" customHeight="1">
      <c r="D44" s="22"/>
      <c r="E44" s="22"/>
      <c r="J44" s="5"/>
      <c r="K44" s="5"/>
      <c r="L44" s="5"/>
      <c r="M44" s="5"/>
      <c r="N44" s="5"/>
      <c r="O44" s="5"/>
      <c r="P44" s="88"/>
      <c r="Q44" s="95"/>
    </row>
    <row r="45" spans="4:17" s="2" customFormat="1" ht="12" customHeight="1">
      <c r="D45" s="22"/>
      <c r="E45" s="22"/>
      <c r="J45" s="5"/>
      <c r="K45" s="5"/>
      <c r="L45" s="5"/>
      <c r="M45" s="5"/>
      <c r="N45" s="5"/>
      <c r="O45" s="5"/>
      <c r="P45" s="88"/>
      <c r="Q45" s="95"/>
    </row>
    <row r="46" spans="4:17" s="2" customFormat="1" ht="12" customHeight="1">
      <c r="D46" s="22"/>
      <c r="E46" s="22"/>
      <c r="J46" s="5"/>
      <c r="K46" s="5"/>
      <c r="L46" s="5"/>
      <c r="M46" s="5"/>
      <c r="N46" s="5"/>
      <c r="O46" s="5"/>
      <c r="P46" s="88"/>
      <c r="Q46" s="95"/>
    </row>
    <row r="47" spans="4:17" s="2" customFormat="1" ht="12" customHeight="1">
      <c r="D47" s="22"/>
      <c r="E47" s="22"/>
      <c r="J47" s="5"/>
      <c r="K47" s="5"/>
      <c r="L47" s="5"/>
      <c r="M47" s="5"/>
      <c r="N47" s="5"/>
      <c r="O47" s="5"/>
      <c r="P47" s="88"/>
      <c r="Q47" s="95"/>
    </row>
    <row r="48" spans="4:17" s="2" customFormat="1" ht="12" customHeight="1">
      <c r="D48" s="22"/>
      <c r="E48" s="22"/>
      <c r="J48" s="5"/>
      <c r="K48" s="5"/>
      <c r="L48" s="5"/>
      <c r="M48" s="5"/>
      <c r="N48" s="5"/>
      <c r="O48" s="5"/>
      <c r="P48" s="88"/>
      <c r="Q48" s="95"/>
    </row>
    <row r="49" spans="1:17" s="2" customFormat="1" ht="12" customHeight="1">
      <c r="D49" s="22"/>
      <c r="E49" s="22"/>
      <c r="J49" s="5"/>
      <c r="K49" s="5"/>
      <c r="L49" s="5"/>
      <c r="M49" s="5"/>
      <c r="N49" s="5"/>
      <c r="O49" s="5"/>
      <c r="P49" s="88"/>
      <c r="Q49" s="95"/>
    </row>
    <row r="50" spans="1:17" s="2" customFormat="1" ht="12" customHeight="1">
      <c r="D50" s="22"/>
      <c r="E50" s="22"/>
      <c r="J50" s="5"/>
      <c r="K50" s="5"/>
      <c r="L50" s="5"/>
      <c r="M50" s="5"/>
      <c r="N50" s="5"/>
      <c r="O50" s="5"/>
      <c r="P50" s="88"/>
      <c r="Q50" s="95"/>
    </row>
    <row r="51" spans="1:17" s="2" customFormat="1" ht="12" customHeight="1">
      <c r="D51" s="22"/>
      <c r="E51" s="22"/>
      <c r="J51" s="5"/>
      <c r="K51" s="5"/>
      <c r="L51" s="5"/>
      <c r="M51" s="5"/>
      <c r="N51" s="5"/>
      <c r="O51" s="5"/>
      <c r="P51" s="88"/>
      <c r="Q51" s="95"/>
    </row>
    <row r="52" spans="1:17" s="2" customFormat="1" ht="12" customHeight="1">
      <c r="D52" s="22"/>
      <c r="E52" s="22"/>
      <c r="J52" s="5"/>
      <c r="K52" s="5"/>
      <c r="L52" s="5"/>
      <c r="M52" s="5"/>
      <c r="N52" s="5"/>
      <c r="O52" s="5"/>
      <c r="P52" s="88"/>
      <c r="Q52" s="95"/>
    </row>
    <row r="53" spans="1:17" s="2" customFormat="1" ht="12" customHeight="1">
      <c r="D53" s="22"/>
      <c r="E53" s="22"/>
      <c r="J53" s="5"/>
      <c r="K53" s="5"/>
      <c r="L53" s="5"/>
      <c r="M53" s="5"/>
      <c r="N53" s="5"/>
      <c r="O53" s="5"/>
      <c r="P53" s="88"/>
      <c r="Q53" s="95"/>
    </row>
    <row r="54" spans="1:17" s="2" customFormat="1" ht="12" customHeight="1">
      <c r="D54" s="22"/>
      <c r="E54" s="22"/>
      <c r="J54" s="5"/>
      <c r="K54" s="5"/>
      <c r="L54" s="5"/>
      <c r="M54" s="5"/>
      <c r="N54" s="5"/>
      <c r="O54" s="5"/>
      <c r="P54" s="88"/>
      <c r="Q54" s="95"/>
    </row>
    <row r="55" spans="1:17" s="2" customFormat="1" ht="12" customHeight="1">
      <c r="D55" s="22"/>
      <c r="E55" s="22"/>
      <c r="J55" s="5"/>
      <c r="K55" s="5"/>
      <c r="L55" s="5"/>
      <c r="M55" s="5"/>
      <c r="N55" s="5"/>
      <c r="O55" s="5"/>
      <c r="P55" s="88"/>
      <c r="Q55" s="95"/>
    </row>
    <row r="56" spans="1:17" s="2" customFormat="1" ht="12" customHeight="1">
      <c r="D56" s="22"/>
      <c r="E56" s="22"/>
      <c r="J56" s="5"/>
      <c r="K56" s="5"/>
      <c r="L56" s="5"/>
      <c r="M56" s="5"/>
      <c r="N56" s="5"/>
      <c r="O56" s="5"/>
      <c r="P56" s="88"/>
      <c r="Q56" s="95"/>
    </row>
    <row r="57" spans="1:17" s="2" customFormat="1" ht="12" customHeight="1">
      <c r="D57" s="22"/>
      <c r="E57" s="22"/>
      <c r="J57" s="5"/>
      <c r="K57" s="5"/>
      <c r="L57" s="5"/>
      <c r="M57" s="5"/>
      <c r="N57" s="5"/>
      <c r="O57" s="5"/>
      <c r="P57" s="88"/>
      <c r="Q57" s="95"/>
    </row>
    <row r="58" spans="1:17" s="2" customFormat="1" ht="12" customHeight="1">
      <c r="D58" s="22"/>
      <c r="E58" s="22"/>
      <c r="J58" s="5"/>
      <c r="K58" s="5"/>
      <c r="L58" s="5"/>
      <c r="M58" s="5"/>
      <c r="N58" s="5"/>
      <c r="O58" s="5"/>
      <c r="P58" s="88"/>
      <c r="Q58" s="95"/>
    </row>
    <row r="59" spans="1:17" s="2" customFormat="1" ht="12" customHeight="1">
      <c r="D59" s="22"/>
      <c r="E59" s="22"/>
      <c r="J59" s="5"/>
      <c r="K59" s="5"/>
      <c r="L59" s="5"/>
      <c r="M59" s="5"/>
      <c r="N59" s="5"/>
      <c r="O59" s="5"/>
      <c r="P59" s="88"/>
      <c r="Q59" s="96"/>
    </row>
    <row r="60" spans="1:17" s="2" customFormat="1" ht="12" customHeight="1">
      <c r="D60" s="22"/>
      <c r="E60" s="22"/>
      <c r="J60" s="5"/>
      <c r="K60" s="5"/>
      <c r="L60" s="5"/>
      <c r="M60" s="5"/>
      <c r="N60" s="5"/>
      <c r="O60" s="5"/>
      <c r="P60" s="88"/>
      <c r="Q60" s="96"/>
    </row>
    <row r="61" spans="1:17" s="2" customFormat="1" ht="12" customHeight="1">
      <c r="D61" s="22"/>
      <c r="E61" s="22"/>
      <c r="J61" s="5"/>
      <c r="K61" s="5"/>
      <c r="L61" s="5"/>
      <c r="M61" s="5"/>
      <c r="N61" s="5"/>
      <c r="O61" s="5"/>
      <c r="P61" s="88"/>
      <c r="Q61" s="96"/>
    </row>
    <row r="62" spans="1:17" s="2" customFormat="1" ht="12" customHeight="1">
      <c r="D62" s="22"/>
      <c r="E62" s="22"/>
      <c r="J62" s="5"/>
      <c r="K62" s="5"/>
      <c r="L62" s="5"/>
      <c r="M62" s="5"/>
      <c r="N62" s="5"/>
      <c r="O62" s="5"/>
      <c r="P62" s="88"/>
      <c r="Q62" s="96"/>
    </row>
    <row r="63" spans="1:17" s="2" customFormat="1" ht="12" customHeight="1">
      <c r="A63"/>
      <c r="B63"/>
      <c r="C63"/>
      <c r="D63" s="23"/>
      <c r="E63" s="23"/>
      <c r="F63"/>
      <c r="G63"/>
      <c r="H63"/>
      <c r="I63"/>
      <c r="J63" s="19"/>
      <c r="K63" s="19"/>
      <c r="L63" s="19"/>
      <c r="M63" s="19"/>
      <c r="N63" s="19"/>
      <c r="O63" s="19"/>
      <c r="P63" s="90"/>
      <c r="Q63" s="96"/>
    </row>
    <row r="64" spans="1:17" s="2" customFormat="1" ht="12" customHeight="1">
      <c r="A64"/>
      <c r="B64"/>
      <c r="C64"/>
      <c r="D64" s="23"/>
      <c r="E64" s="23"/>
      <c r="F64"/>
      <c r="G64"/>
      <c r="H64"/>
      <c r="I64"/>
      <c r="J64" s="19"/>
      <c r="K64" s="19"/>
      <c r="L64" s="19"/>
      <c r="M64" s="19"/>
      <c r="N64" s="19"/>
      <c r="O64" s="19"/>
      <c r="P64" s="90"/>
      <c r="Q64" s="96"/>
    </row>
    <row r="65" spans="1:17" s="2" customFormat="1" ht="12" customHeight="1">
      <c r="A65"/>
      <c r="B65"/>
      <c r="C65"/>
      <c r="D65" s="23"/>
      <c r="E65" s="23"/>
      <c r="F65"/>
      <c r="G65"/>
      <c r="H65"/>
      <c r="I65"/>
      <c r="J65" s="19"/>
      <c r="K65" s="19"/>
      <c r="L65" s="19"/>
      <c r="M65" s="19"/>
      <c r="N65" s="19"/>
      <c r="O65" s="19"/>
      <c r="P65" s="90"/>
      <c r="Q65" s="96"/>
    </row>
    <row r="66" spans="1:17" s="2" customFormat="1" ht="12" customHeight="1">
      <c r="A66"/>
      <c r="B66"/>
      <c r="C66"/>
      <c r="D66" s="23"/>
      <c r="E66" s="23"/>
      <c r="F66"/>
      <c r="G66"/>
      <c r="H66"/>
      <c r="I66"/>
      <c r="J66" s="19"/>
      <c r="K66" s="19"/>
      <c r="L66" s="19"/>
      <c r="M66" s="19"/>
      <c r="N66" s="19"/>
      <c r="O66" s="19"/>
      <c r="P66" s="90"/>
      <c r="Q66" s="96"/>
    </row>
    <row r="67" spans="1:17" s="2" customFormat="1" ht="12" customHeight="1">
      <c r="A67"/>
      <c r="B67"/>
      <c r="C67"/>
      <c r="D67" s="23"/>
      <c r="E67" s="23"/>
      <c r="F67"/>
      <c r="G67"/>
      <c r="H67"/>
      <c r="I67"/>
      <c r="J67" s="19"/>
      <c r="K67" s="19"/>
      <c r="L67" s="19"/>
      <c r="M67" s="19"/>
      <c r="N67" s="19"/>
      <c r="O67" s="19"/>
      <c r="P67" s="90"/>
      <c r="Q67" s="96"/>
    </row>
    <row r="68" spans="1:17">
      <c r="Q68" s="96"/>
    </row>
    <row r="69" spans="1:17">
      <c r="Q69" s="96"/>
    </row>
    <row r="70" spans="1:17">
      <c r="Q70" s="96"/>
    </row>
    <row r="71" spans="1:17">
      <c r="Q71" s="96"/>
    </row>
    <row r="72" spans="1:17">
      <c r="Q72" s="96"/>
    </row>
    <row r="73" spans="1:17">
      <c r="Q73" s="96"/>
    </row>
    <row r="74" spans="1:17">
      <c r="Q74" s="96"/>
    </row>
    <row r="75" spans="1:17">
      <c r="Q75" s="96"/>
    </row>
    <row r="76" spans="1:17">
      <c r="Q76" s="96"/>
    </row>
    <row r="77" spans="1:17">
      <c r="Q77" s="96"/>
    </row>
    <row r="78" spans="1:17">
      <c r="Q78" s="96"/>
    </row>
    <row r="79" spans="1:17">
      <c r="Q79" s="96"/>
    </row>
    <row r="80" spans="1:17">
      <c r="Q80" s="96"/>
    </row>
    <row r="81" spans="17:17">
      <c r="Q81" s="96"/>
    </row>
    <row r="82" spans="17:17">
      <c r="Q82" s="96"/>
    </row>
    <row r="83" spans="17:17">
      <c r="Q83" s="96"/>
    </row>
    <row r="84" spans="17:17">
      <c r="Q84" s="96"/>
    </row>
    <row r="85" spans="17:17">
      <c r="Q85" s="96"/>
    </row>
    <row r="86" spans="17:17">
      <c r="Q86" s="96"/>
    </row>
    <row r="87" spans="17:17">
      <c r="Q87" s="96"/>
    </row>
    <row r="124" ht="12" customHeight="1"/>
    <row r="125" ht="12" customHeight="1"/>
    <row r="126" ht="12" customHeight="1"/>
    <row r="127" ht="12" customHeight="1"/>
    <row r="128" ht="12" customHeight="1"/>
    <row r="129" ht="12" customHeight="1"/>
    <row r="130" ht="12" customHeight="1"/>
    <row r="131" ht="12" customHeight="1"/>
    <row r="132" ht="12" customHeight="1"/>
    <row r="133" ht="12" customHeight="1"/>
    <row r="134" ht="12" customHeight="1"/>
    <row r="135" ht="12" customHeight="1"/>
    <row r="136" ht="12" customHeight="1"/>
    <row r="137" ht="12" customHeight="1"/>
    <row r="138" ht="12" customHeight="1"/>
    <row r="139" ht="12" customHeight="1"/>
    <row r="140" ht="12" customHeight="1"/>
    <row r="141" ht="12" customHeight="1"/>
    <row r="142" ht="12" customHeight="1"/>
    <row r="143" ht="12" customHeight="1"/>
    <row r="144" ht="12" customHeight="1"/>
    <row r="145" ht="12" customHeight="1"/>
    <row r="146" ht="12" customHeight="1"/>
    <row r="147" ht="12" customHeight="1"/>
    <row r="148" ht="12" customHeight="1"/>
    <row r="149" ht="12" customHeight="1"/>
    <row r="150" ht="12" customHeight="1"/>
    <row r="151" ht="12" customHeight="1"/>
    <row r="152" ht="12" customHeight="1"/>
    <row r="153" ht="12" customHeight="1"/>
    <row r="154" ht="12" customHeight="1"/>
    <row r="155" ht="12" customHeight="1"/>
    <row r="156" ht="12" customHeight="1"/>
    <row r="157" ht="12" customHeight="1"/>
    <row r="158" ht="12" customHeight="1"/>
    <row r="159" ht="12" customHeight="1"/>
    <row r="160" ht="12" customHeight="1"/>
    <row r="161" ht="12" customHeight="1"/>
    <row r="162" ht="12" customHeight="1"/>
    <row r="163" ht="12" customHeight="1"/>
    <row r="164" ht="12" customHeight="1"/>
    <row r="165" ht="12" customHeight="1"/>
    <row r="166" ht="12" customHeight="1"/>
    <row r="167" ht="12" customHeight="1"/>
    <row r="168" ht="12" customHeight="1"/>
    <row r="169" ht="12" customHeight="1"/>
    <row r="170" ht="12" customHeight="1"/>
    <row r="171" ht="12" customHeight="1"/>
    <row r="172" ht="12" customHeight="1"/>
    <row r="173" ht="12" customHeight="1"/>
  </sheetData>
  <mergeCells count="22">
    <mergeCell ref="D20:E20"/>
    <mergeCell ref="H20:I20"/>
    <mergeCell ref="D18:E18"/>
    <mergeCell ref="D19:E19"/>
    <mergeCell ref="D16:E16"/>
    <mergeCell ref="H16:I16"/>
    <mergeCell ref="D17:E17"/>
    <mergeCell ref="D13:E13"/>
    <mergeCell ref="D14:E14"/>
    <mergeCell ref="D15:E15"/>
    <mergeCell ref="D11:E11"/>
    <mergeCell ref="D12:E12"/>
    <mergeCell ref="D1:E1"/>
    <mergeCell ref="D4:E4"/>
    <mergeCell ref="H4:I4"/>
    <mergeCell ref="D10:E10"/>
    <mergeCell ref="H10:I10"/>
    <mergeCell ref="D5:E5"/>
    <mergeCell ref="D6:E6"/>
    <mergeCell ref="D7:E7"/>
    <mergeCell ref="D8:E8"/>
    <mergeCell ref="D9:E9"/>
  </mergeCells>
  <conditionalFormatting sqref="M5:M9 M11:M15">
    <cfRule type="cellIs" dxfId="436" priority="1" stopIfTrue="1" operator="lessThanOrEqual">
      <formula>$L5</formula>
    </cfRule>
    <cfRule type="cellIs" dxfId="435" priority="2" operator="greaterThan">
      <formula>L5</formula>
    </cfRule>
  </conditionalFormatting>
  <conditionalFormatting sqref="M17:M19">
    <cfRule type="cellIs" dxfId="434" priority="3" stopIfTrue="1" operator="lessThanOrEqual">
      <formula>$L17</formula>
    </cfRule>
    <cfRule type="cellIs" dxfId="433" priority="4" operator="greaterThan">
      <formula>L17</formula>
    </cfRule>
  </conditionalFormatting>
  <pageMargins left="0.7" right="0.7" top="0.75" bottom="0.75" header="0.3" footer="0.3"/>
  <pageSetup paperSize="3" fitToHeight="0" orientation="landscape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EB9143C-1655-40A9-A509-3D13C25B1E38}">
          <x14:formula1>
            <xm:f>Bolts!$A:$A</xm:f>
          </x14:formula1>
          <xm:sqref>C17:C19</xm:sqref>
        </x14:dataValidation>
        <x14:dataValidation type="list" allowBlank="1" showInputMessage="1" showErrorMessage="1" xr:uid="{BAA8BB2C-2508-4254-9CA9-8ABDE6010E7C}">
          <x14:formula1>
            <xm:f>Purchased!$A:$A</xm:f>
          </x14:formula1>
          <xm:sqref>C11:C15</xm:sqref>
        </x14:dataValidation>
        <x14:dataValidation type="list" allowBlank="1" showInputMessage="1" showErrorMessage="1" xr:uid="{6C176D02-C4FF-4E15-8377-6BF18306630A}">
          <x14:formula1>
            <xm:f>Machined!$C:$C</xm:f>
          </x14:formula1>
          <xm:sqref>C5:C9</xm:sqref>
        </x14:dataValidation>
      </x14:dataValidation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47E957-BAAD-42E3-9A90-B7C7ADF8BFF4}">
  <sheetPr codeName="Sheet58">
    <tabColor theme="3" tint="0.79998168889431442"/>
    <pageSetUpPr fitToPage="1"/>
  </sheetPr>
  <dimension ref="A1:Q195"/>
  <sheetViews>
    <sheetView zoomScaleNormal="100" workbookViewId="0">
      <selection activeCell="C20" sqref="C20"/>
    </sheetView>
  </sheetViews>
  <sheetFormatPr defaultColWidth="9.140625" defaultRowHeight="15"/>
  <cols>
    <col min="1" max="1" width="5.7109375" customWidth="1"/>
    <col min="2" max="2" width="5.42578125" bestFit="1" customWidth="1"/>
    <col min="3" max="3" width="30.7109375" customWidth="1"/>
    <col min="4" max="5" width="20.7109375" style="23" customWidth="1"/>
    <col min="6" max="6" width="16.85546875" bestFit="1" customWidth="1"/>
    <col min="7" max="7" width="9.7109375" customWidth="1"/>
    <col min="8" max="8" width="8.7109375" customWidth="1"/>
    <col min="9" max="9" width="20.7109375" customWidth="1"/>
    <col min="10" max="13" width="11.7109375" style="19" customWidth="1"/>
    <col min="14" max="14" width="11.85546875" style="19" bestFit="1" customWidth="1"/>
    <col min="15" max="15" width="7.7109375" style="19" customWidth="1"/>
    <col min="16" max="16" width="10.7109375" style="90" customWidth="1"/>
    <col min="17" max="17" width="10.7109375" style="97" customWidth="1"/>
  </cols>
  <sheetData>
    <row r="1" spans="1:17" s="55" customFormat="1" ht="12" customHeight="1">
      <c r="A1" s="68" t="s">
        <v>0</v>
      </c>
      <c r="B1" s="69"/>
      <c r="C1" s="69"/>
      <c r="D1" s="262" t="s">
        <v>1</v>
      </c>
      <c r="E1" s="263"/>
      <c r="F1" s="70"/>
      <c r="G1" s="69"/>
      <c r="H1" s="70"/>
      <c r="I1" s="71"/>
      <c r="J1" s="72"/>
      <c r="K1" s="72"/>
      <c r="L1" s="72"/>
      <c r="M1" s="72"/>
      <c r="N1" s="72"/>
      <c r="O1" s="72"/>
      <c r="P1" s="85"/>
      <c r="Q1" s="91"/>
    </row>
    <row r="2" spans="1:17" s="55" customFormat="1" ht="12" customHeight="1">
      <c r="A2" s="74" t="s">
        <v>48</v>
      </c>
      <c r="B2" s="58"/>
      <c r="C2" s="57" t="e">
        <f ca="1">VLOOKUP(E3,Assemblies!B:F,4,0)</f>
        <v>#VALUE!</v>
      </c>
      <c r="D2" s="75" t="s">
        <v>3</v>
      </c>
      <c r="E2" s="76" t="e">
        <f ca="1">'GF12'!E2</f>
        <v>#VALUE!</v>
      </c>
      <c r="F2" s="77" t="s">
        <v>4</v>
      </c>
      <c r="G2" s="58" t="str">
        <f>'GF12'!G2</f>
        <v>GH</v>
      </c>
      <c r="H2" s="77" t="s">
        <v>6</v>
      </c>
      <c r="I2" s="59">
        <f>'GF12'!I2</f>
        <v>44775</v>
      </c>
      <c r="J2" s="39"/>
      <c r="K2" s="40" t="s">
        <v>49</v>
      </c>
      <c r="L2" s="41" t="e">
        <f ca="1">VLOOKUP(C2,Assemblies!E:G,3,0)</f>
        <v>#VALUE!</v>
      </c>
      <c r="M2" s="78"/>
      <c r="N2" s="78"/>
      <c r="O2" s="78"/>
      <c r="P2" s="86"/>
      <c r="Q2" s="92"/>
    </row>
    <row r="3" spans="1:17" s="55" customFormat="1" ht="12" customHeight="1" thickBot="1">
      <c r="A3" s="74" t="s">
        <v>7</v>
      </c>
      <c r="B3" s="58"/>
      <c r="C3" s="57" t="e">
        <f ca="1">VLOOKUP(E3,Assemblies!B:F,5,0)</f>
        <v>#VALUE!</v>
      </c>
      <c r="D3" s="75" t="s">
        <v>50</v>
      </c>
      <c r="E3" s="76" t="e">
        <f ca="1">MID(CELL("filename",A1),FIND("]",CELL("filename",A1))+1,256)</f>
        <v>#VALUE!</v>
      </c>
      <c r="F3" s="77" t="s">
        <v>11</v>
      </c>
      <c r="G3" s="58" t="str">
        <f>'GF12'!G3</f>
        <v>GH</v>
      </c>
      <c r="H3" s="77" t="s">
        <v>6</v>
      </c>
      <c r="I3" s="59">
        <f>'GF12'!I3</f>
        <v>44775</v>
      </c>
      <c r="J3" s="78"/>
      <c r="K3" s="78"/>
      <c r="L3" s="78"/>
      <c r="M3" s="78"/>
      <c r="N3" s="78"/>
      <c r="O3" s="78"/>
      <c r="P3" s="86"/>
      <c r="Q3" s="92"/>
    </row>
    <row r="4" spans="1:17" s="56" customFormat="1" ht="12.75" customHeight="1" thickBot="1">
      <c r="A4" s="80" t="s">
        <v>12</v>
      </c>
      <c r="B4" s="81" t="s">
        <v>13</v>
      </c>
      <c r="C4" s="81" t="s">
        <v>14</v>
      </c>
      <c r="D4" s="270" t="s">
        <v>15</v>
      </c>
      <c r="E4" s="271"/>
      <c r="F4" s="104" t="s">
        <v>16</v>
      </c>
      <c r="G4" s="81" t="s">
        <v>17</v>
      </c>
      <c r="H4" s="260" t="s">
        <v>18</v>
      </c>
      <c r="I4" s="261"/>
      <c r="J4" s="81" t="s">
        <v>51</v>
      </c>
      <c r="K4" s="81" t="s">
        <v>20</v>
      </c>
      <c r="L4" s="81" t="s">
        <v>21</v>
      </c>
      <c r="M4" s="81" t="s">
        <v>52</v>
      </c>
      <c r="N4" s="81" t="s">
        <v>22</v>
      </c>
      <c r="O4" s="81" t="s">
        <v>53</v>
      </c>
      <c r="P4" s="107" t="s">
        <v>26</v>
      </c>
      <c r="Q4" s="82" t="s">
        <v>27</v>
      </c>
    </row>
    <row r="5" spans="1:17" s="2" customFormat="1" ht="12.75" customHeight="1">
      <c r="A5" s="127">
        <v>1</v>
      </c>
      <c r="B5" s="21">
        <v>1</v>
      </c>
      <c r="C5" s="108" t="s">
        <v>705</v>
      </c>
      <c r="D5" s="277" t="str">
        <f>VLOOKUP(C5,Machined!C:Q,2,0)</f>
        <v>Bearing Plate Punch</v>
      </c>
      <c r="E5" s="278"/>
      <c r="F5" s="131" t="str">
        <f>VLOOKUP(C5,Machined!C:R,7,0)</f>
        <v>6061-T6 Alum</v>
      </c>
      <c r="G5" s="131" t="str">
        <f>VLOOKUP(C5,Machined!C:R,10,0)</f>
        <v>FRONTIER</v>
      </c>
      <c r="H5" s="131" t="str">
        <f>VLOOKUP(C5,Machined!C:R,11,0)</f>
        <v xml:space="preserve">  </v>
      </c>
      <c r="I5" s="131"/>
      <c r="J5" s="42">
        <f>VLOOKUP(C5,Machined!C:R,12,0)</f>
        <v>45105</v>
      </c>
      <c r="K5" s="42">
        <f>VLOOKUP(C5,Machined!C:R,13,0)</f>
        <v>45133</v>
      </c>
      <c r="L5" s="42">
        <f>VLOOKUP(C5,Machined!C:R,14,0)</f>
        <v>45163</v>
      </c>
      <c r="M5" s="42">
        <f>VLOOKUP(C5,Machined!C:R,15,0)</f>
        <v>45163</v>
      </c>
      <c r="N5" s="43">
        <f>VLOOKUP(C5,Machined!C:R,16,0)</f>
        <v>55015</v>
      </c>
      <c r="O5" s="43" t="e">
        <f t="shared" ref="O5:O14" ca="1" si="0">B5*$L$2</f>
        <v>#VALUE!</v>
      </c>
      <c r="P5" s="47">
        <f>IFERROR(VLOOKUP(C5,Machined!C:F,3,0),"")</f>
        <v>150.5</v>
      </c>
      <c r="Q5" s="48">
        <f t="shared" ref="Q5:Q14" si="1">IFERROR(B5*P5,"")</f>
        <v>150.5</v>
      </c>
    </row>
    <row r="6" spans="1:17" s="2" customFormat="1" ht="12.75" customHeight="1">
      <c r="A6" s="127">
        <v>2</v>
      </c>
      <c r="B6" s="21">
        <v>1</v>
      </c>
      <c r="C6" s="108" t="s">
        <v>706</v>
      </c>
      <c r="D6" s="277" t="str">
        <f>VLOOKUP(C6,Machined!C:Q,2,0)</f>
        <v>Cylinder Mount</v>
      </c>
      <c r="E6" s="278"/>
      <c r="F6" s="131" t="str">
        <f>VLOOKUP(C6,Machined!C:R,7,0)</f>
        <v>6061-T6 Alum</v>
      </c>
      <c r="G6" s="131" t="str">
        <f>VLOOKUP(C6,Machined!C:R,10,0)</f>
        <v>FRONTIER</v>
      </c>
      <c r="H6" s="131" t="str">
        <f>VLOOKUP(C6,Machined!C:R,11,0)</f>
        <v xml:space="preserve">  </v>
      </c>
      <c r="I6" s="131"/>
      <c r="J6" s="42">
        <f>VLOOKUP(C6,Machined!C:R,12,0)</f>
        <v>45105</v>
      </c>
      <c r="K6" s="42">
        <f>VLOOKUP(C6,Machined!C:R,13,0)</f>
        <v>45133</v>
      </c>
      <c r="L6" s="42">
        <f>VLOOKUP(C6,Machined!C:R,14,0)</f>
        <v>45163</v>
      </c>
      <c r="M6" s="42">
        <f>VLOOKUP(C6,Machined!C:R,15,0)</f>
        <v>45163</v>
      </c>
      <c r="N6" s="43">
        <f>VLOOKUP(C6,Machined!C:R,16,0)</f>
        <v>55015</v>
      </c>
      <c r="O6" s="43" t="e">
        <f t="shared" ca="1" si="0"/>
        <v>#VALUE!</v>
      </c>
      <c r="P6" s="47">
        <f>IFERROR(VLOOKUP(C6,Machined!C:F,3,0),"")</f>
        <v>269.60000000000002</v>
      </c>
      <c r="Q6" s="48">
        <f t="shared" si="1"/>
        <v>269.60000000000002</v>
      </c>
    </row>
    <row r="7" spans="1:17" s="2" customFormat="1" ht="12.75" customHeight="1">
      <c r="A7" s="127">
        <v>4</v>
      </c>
      <c r="B7" s="21">
        <v>2</v>
      </c>
      <c r="C7" s="108" t="s">
        <v>707</v>
      </c>
      <c r="D7" s="277" t="str">
        <f>VLOOKUP(C7,Machined!C:Q,2,0)</f>
        <v>Punch Support Gusset</v>
      </c>
      <c r="E7" s="278"/>
      <c r="F7" s="131" t="str">
        <f>VLOOKUP(C7,Machined!C:R,7,0)</f>
        <v>304 SS</v>
      </c>
      <c r="G7" s="131" t="str">
        <f>VLOOKUP(C7,Machined!C:R,10,0)</f>
        <v>XOMETRY</v>
      </c>
      <c r="H7" s="131" t="str">
        <f>VLOOKUP(C7,Machined!C:R,11,0)</f>
        <v xml:space="preserve">  </v>
      </c>
      <c r="I7" s="131"/>
      <c r="J7" s="42" t="str">
        <f>VLOOKUP(C7,Machined!C:R,12,0)</f>
        <v>N/A</v>
      </c>
      <c r="K7" s="42">
        <f>VLOOKUP(C7,Machined!C:R,13,0)</f>
        <v>45141</v>
      </c>
      <c r="L7" s="42">
        <f>VLOOKUP(C7,Machined!C:R,14,0)</f>
        <v>45161</v>
      </c>
      <c r="M7" s="42">
        <f>VLOOKUP(C7,Machined!C:R,15,0)</f>
        <v>45161</v>
      </c>
      <c r="N7" s="43">
        <f>VLOOKUP(C7,Machined!C:R,16,0)</f>
        <v>55030</v>
      </c>
      <c r="O7" s="43" t="e">
        <f t="shared" ca="1" si="0"/>
        <v>#VALUE!</v>
      </c>
      <c r="P7" s="47">
        <f>IFERROR(VLOOKUP(C7,Machined!C:F,3,0),"")</f>
        <v>77.760000000000005</v>
      </c>
      <c r="Q7" s="48">
        <f t="shared" si="1"/>
        <v>155.52000000000001</v>
      </c>
    </row>
    <row r="8" spans="1:17" s="2" customFormat="1" ht="12.75" customHeight="1">
      <c r="A8" s="127">
        <v>5</v>
      </c>
      <c r="B8" s="21">
        <v>1</v>
      </c>
      <c r="C8" s="108" t="s">
        <v>708</v>
      </c>
      <c r="D8" s="277" t="str">
        <f>VLOOKUP(C8,Machined!C:Q,2,0)</f>
        <v>Thread Adaptor</v>
      </c>
      <c r="E8" s="278"/>
      <c r="F8" s="131" t="str">
        <f>VLOOKUP(C8,Machined!C:R,7,0)</f>
        <v>1018 CRS</v>
      </c>
      <c r="G8" s="131" t="str">
        <f>VLOOKUP(C8,Machined!C:R,10,0)</f>
        <v>FRONTIER</v>
      </c>
      <c r="H8" s="131" t="str">
        <f>VLOOKUP(C8,Machined!C:R,11,0)</f>
        <v xml:space="preserve">  </v>
      </c>
      <c r="I8" s="131"/>
      <c r="J8" s="42">
        <f>VLOOKUP(C8,Machined!C:R,12,0)</f>
        <v>45105</v>
      </c>
      <c r="K8" s="42">
        <f>VLOOKUP(C8,Machined!C:R,13,0)</f>
        <v>45133</v>
      </c>
      <c r="L8" s="42">
        <f>VLOOKUP(C8,Machined!C:R,14,0)</f>
        <v>45163</v>
      </c>
      <c r="M8" s="42">
        <f>VLOOKUP(C8,Machined!C:R,15,0)</f>
        <v>45163</v>
      </c>
      <c r="N8" s="43">
        <f>VLOOKUP(C8,Machined!C:R,16,0)</f>
        <v>55015</v>
      </c>
      <c r="O8" s="43" t="e">
        <f t="shared" ca="1" si="0"/>
        <v>#VALUE!</v>
      </c>
      <c r="P8" s="47">
        <f>IFERROR(VLOOKUP(C8,Machined!C:F,3,0),"")</f>
        <v>85.3</v>
      </c>
      <c r="Q8" s="48">
        <f t="shared" si="1"/>
        <v>85.3</v>
      </c>
    </row>
    <row r="9" spans="1:17" s="2" customFormat="1" ht="12.75" customHeight="1">
      <c r="A9" s="127">
        <v>6</v>
      </c>
      <c r="B9" s="21">
        <v>2</v>
      </c>
      <c r="C9" s="108" t="s">
        <v>709</v>
      </c>
      <c r="D9" s="277" t="str">
        <f>VLOOKUP(C9,Machined!C:Q,2,0)</f>
        <v>Punch Clamp Thread Adaptor</v>
      </c>
      <c r="E9" s="278"/>
      <c r="F9" s="131" t="str">
        <f>VLOOKUP(C9,Machined!C:R,7,0)</f>
        <v>1018 CRS</v>
      </c>
      <c r="G9" s="131" t="str">
        <f>VLOOKUP(C9,Machined!C:R,10,0)</f>
        <v>FRONTIER</v>
      </c>
      <c r="H9" s="131" t="str">
        <f>VLOOKUP(C9,Machined!C:R,11,0)</f>
        <v xml:space="preserve">  </v>
      </c>
      <c r="I9" s="131"/>
      <c r="J9" s="42">
        <f>VLOOKUP(C9,Machined!C:R,12,0)</f>
        <v>45105</v>
      </c>
      <c r="K9" s="42">
        <f>VLOOKUP(C9,Machined!C:R,13,0)</f>
        <v>45133</v>
      </c>
      <c r="L9" s="42">
        <f>VLOOKUP(C9,Machined!C:R,14,0)</f>
        <v>45163</v>
      </c>
      <c r="M9" s="42">
        <f>VLOOKUP(C9,Machined!C:R,15,0)</f>
        <v>45163</v>
      </c>
      <c r="N9" s="43">
        <f>VLOOKUP(C9,Machined!C:R,16,0)</f>
        <v>55015</v>
      </c>
      <c r="O9" s="43" t="e">
        <f t="shared" ca="1" si="0"/>
        <v>#VALUE!</v>
      </c>
      <c r="P9" s="47">
        <f>IFERROR(VLOOKUP(C9,Machined!C:F,3,0),"")</f>
        <v>84.85</v>
      </c>
      <c r="Q9" s="48">
        <f t="shared" si="1"/>
        <v>169.7</v>
      </c>
    </row>
    <row r="10" spans="1:17" s="2" customFormat="1" ht="12.75" customHeight="1">
      <c r="A10" s="127">
        <v>7</v>
      </c>
      <c r="B10" s="21">
        <v>1</v>
      </c>
      <c r="C10" s="108" t="s">
        <v>710</v>
      </c>
      <c r="D10" s="277" t="str">
        <f>VLOOKUP(C10,Machined!C:Q,2,0)</f>
        <v>Hold Down Plate</v>
      </c>
      <c r="E10" s="278"/>
      <c r="F10" s="131" t="str">
        <f>VLOOKUP(C10,Machined!C:R,7,0)</f>
        <v>6061-T6 Alum</v>
      </c>
      <c r="G10" s="131" t="str">
        <f>VLOOKUP(C10,Machined!C:R,10,0)</f>
        <v>FRONTIER</v>
      </c>
      <c r="H10" s="131" t="str">
        <f>VLOOKUP(C10,Machined!C:R,11,0)</f>
        <v xml:space="preserve">  </v>
      </c>
      <c r="I10" s="131"/>
      <c r="J10" s="42">
        <f>VLOOKUP(C10,Machined!C:R,12,0)</f>
        <v>45105</v>
      </c>
      <c r="K10" s="42">
        <f>VLOOKUP(C10,Machined!C:R,13,0)</f>
        <v>45133</v>
      </c>
      <c r="L10" s="42">
        <f>VLOOKUP(C10,Machined!C:R,14,0)</f>
        <v>45163</v>
      </c>
      <c r="M10" s="42">
        <f>VLOOKUP(C10,Machined!C:R,15,0)</f>
        <v>45163</v>
      </c>
      <c r="N10" s="43">
        <f>VLOOKUP(C10,Machined!C:R,16,0)</f>
        <v>55015</v>
      </c>
      <c r="O10" s="43" t="e">
        <f t="shared" ca="1" si="0"/>
        <v>#VALUE!</v>
      </c>
      <c r="P10" s="47">
        <f>IFERROR(VLOOKUP(C10,Machined!C:F,3,0),"")</f>
        <v>68.150000000000006</v>
      </c>
      <c r="Q10" s="48">
        <f t="shared" si="1"/>
        <v>68.150000000000006</v>
      </c>
    </row>
    <row r="11" spans="1:17" s="2" customFormat="1" ht="12.75" customHeight="1">
      <c r="A11" s="127">
        <v>8</v>
      </c>
      <c r="B11" s="21">
        <v>2</v>
      </c>
      <c r="C11" s="108" t="s">
        <v>711</v>
      </c>
      <c r="D11" s="277" t="str">
        <f>VLOOKUP(C11,Machined!C:Q,2,0)</f>
        <v>Hold Down Plate Mount</v>
      </c>
      <c r="E11" s="278"/>
      <c r="F11" s="131" t="str">
        <f>VLOOKUP(C11,Machined!C:R,7,0)</f>
        <v>6061-T6 Alum</v>
      </c>
      <c r="G11" s="131" t="str">
        <f>VLOOKUP(C11,Machined!C:R,10,0)</f>
        <v>FRONTIER</v>
      </c>
      <c r="H11" s="131" t="str">
        <f>VLOOKUP(C11,Machined!C:R,11,0)</f>
        <v xml:space="preserve">  </v>
      </c>
      <c r="I11" s="131"/>
      <c r="J11" s="42">
        <f>VLOOKUP(C11,Machined!C:R,12,0)</f>
        <v>45105</v>
      </c>
      <c r="K11" s="42">
        <f>VLOOKUP(C11,Machined!C:R,13,0)</f>
        <v>45133</v>
      </c>
      <c r="L11" s="42">
        <f>VLOOKUP(C11,Machined!C:R,14,0)</f>
        <v>45163</v>
      </c>
      <c r="M11" s="42">
        <f>VLOOKUP(C11,Machined!C:R,15,0)</f>
        <v>45163</v>
      </c>
      <c r="N11" s="43">
        <f>VLOOKUP(C11,Machined!C:R,16,0)</f>
        <v>55015</v>
      </c>
      <c r="O11" s="43" t="e">
        <f t="shared" ca="1" si="0"/>
        <v>#VALUE!</v>
      </c>
      <c r="P11" s="47">
        <f>IFERROR(VLOOKUP(C11,Machined!C:F,3,0),"")</f>
        <v>67</v>
      </c>
      <c r="Q11" s="48">
        <f t="shared" si="1"/>
        <v>134</v>
      </c>
    </row>
    <row r="12" spans="1:17" s="2" customFormat="1" ht="12.75" customHeight="1">
      <c r="A12" s="127">
        <v>9</v>
      </c>
      <c r="B12" s="21">
        <v>0.5</v>
      </c>
      <c r="C12" s="108" t="s">
        <v>712</v>
      </c>
      <c r="D12" s="277" t="str">
        <f>VLOOKUP(C12,Machined!C:Q,2,0)</f>
        <v>Bearing Plate Lead Screw Mount</v>
      </c>
      <c r="E12" s="278"/>
      <c r="F12" s="131" t="str">
        <f>VLOOKUP(C12,Machined!C:R,7,0)</f>
        <v>1018 CRS</v>
      </c>
      <c r="G12" s="131" t="str">
        <f>VLOOKUP(C12,Machined!C:R,10,0)</f>
        <v>FRONTIER</v>
      </c>
      <c r="H12" s="131" t="str">
        <f>VLOOKUP(C12,Machined!C:R,11,0)</f>
        <v xml:space="preserve">  </v>
      </c>
      <c r="I12" s="131"/>
      <c r="J12" s="42">
        <f>VLOOKUP(C12,Machined!C:R,12,0)</f>
        <v>45105</v>
      </c>
      <c r="K12" s="42">
        <f>VLOOKUP(C12,Machined!C:R,13,0)</f>
        <v>45133</v>
      </c>
      <c r="L12" s="42">
        <f>VLOOKUP(C12,Machined!C:R,14,0)</f>
        <v>45163</v>
      </c>
      <c r="M12" s="42">
        <f>VLOOKUP(C12,Machined!C:R,15,0)</f>
        <v>45163</v>
      </c>
      <c r="N12" s="43">
        <f>VLOOKUP(C12,Machined!C:R,16,0)</f>
        <v>55015</v>
      </c>
      <c r="O12" s="43" t="e">
        <f t="shared" ca="1" si="0"/>
        <v>#VALUE!</v>
      </c>
      <c r="P12" s="47">
        <f>IFERROR(VLOOKUP(C12,Machined!C:F,3,0),"")</f>
        <v>68.400000000000006</v>
      </c>
      <c r="Q12" s="48">
        <f t="shared" si="1"/>
        <v>34.200000000000003</v>
      </c>
    </row>
    <row r="13" spans="1:17" s="2" customFormat="1" ht="12.75" customHeight="1">
      <c r="A13" s="127">
        <v>10</v>
      </c>
      <c r="B13" s="21">
        <v>1</v>
      </c>
      <c r="C13" s="108" t="s">
        <v>713</v>
      </c>
      <c r="D13" s="277" t="str">
        <f>VLOOKUP(C13,Machined!C:Q,2,0)</f>
        <v>PUNCH CLAMP RUBBER</v>
      </c>
      <c r="E13" s="278"/>
      <c r="F13" s="131" t="str">
        <f>VLOOKUP(C13,Machined!C:R,7,0)</f>
        <v>Silicone</v>
      </c>
      <c r="G13" s="131" t="str">
        <f>VLOOKUP(C13,Machined!C:R,10,0)</f>
        <v>NULINE</v>
      </c>
      <c r="H13" s="131" t="str">
        <f>VLOOKUP(C13,Machined!C:R,11,0)</f>
        <v xml:space="preserve">  </v>
      </c>
      <c r="I13" s="131"/>
      <c r="J13" s="42" t="str">
        <f>VLOOKUP(C13,Machined!C:R,12,0)</f>
        <v>N/A</v>
      </c>
      <c r="K13" s="42" t="str">
        <f>VLOOKUP(C13,Machined!C:R,13,0)</f>
        <v>N/A</v>
      </c>
      <c r="L13" s="42" t="str">
        <f>VLOOKUP(C13,Machined!C:R,14,0)</f>
        <v>N/A</v>
      </c>
      <c r="M13" s="42" t="str">
        <f>VLOOKUP(C13,Machined!C:R,15,0)</f>
        <v>N/A</v>
      </c>
      <c r="N13" s="43" t="str">
        <f>VLOOKUP(C13,Machined!C:R,16,0)</f>
        <v>N/A</v>
      </c>
      <c r="O13" s="43" t="e">
        <f t="shared" ca="1" si="0"/>
        <v>#VALUE!</v>
      </c>
      <c r="P13" s="47">
        <f>IFERROR(VLOOKUP(C13,Machined!C:F,3,0),"")</f>
        <v>0</v>
      </c>
      <c r="Q13" s="48">
        <f t="shared" si="1"/>
        <v>0</v>
      </c>
    </row>
    <row r="14" spans="1:17" s="2" customFormat="1" ht="12.75" customHeight="1">
      <c r="A14" s="127">
        <f t="shared" ref="A14" si="2">A13+1</f>
        <v>11</v>
      </c>
      <c r="B14" s="21">
        <v>1</v>
      </c>
      <c r="C14" s="108" t="s">
        <v>714</v>
      </c>
      <c r="D14" s="277" t="str">
        <f>VLOOKUP(C14,Machined!C:Q,2,0)</f>
        <v>MODIFIED MCM 92240A399 7/16 - 20 Hex Head w/ Thru Hole</v>
      </c>
      <c r="E14" s="278"/>
      <c r="F14" s="131" t="str">
        <f>VLOOKUP(C14,Machined!C:R,7,0)</f>
        <v>PURCHASED</v>
      </c>
      <c r="G14" s="131" t="str">
        <f>VLOOKUP(C14,Machined!C:R,10,0)</f>
        <v>MCM, NULINE</v>
      </c>
      <c r="H14" s="131" t="str">
        <f>VLOOKUP(C14,Machined!C:R,11,0)</f>
        <v>NuLine Add center hole</v>
      </c>
      <c r="I14" s="131"/>
      <c r="J14" s="42">
        <f>VLOOKUP(C14,Machined!C:R,12,0)</f>
        <v>45160</v>
      </c>
      <c r="K14" s="42">
        <f>VLOOKUP(C14,Machined!C:R,13,0)</f>
        <v>45160</v>
      </c>
      <c r="L14" s="42">
        <f>VLOOKUP(C14,Machined!C:R,14,0)</f>
        <v>45161</v>
      </c>
      <c r="M14" s="42">
        <f>VLOOKUP(C14,Machined!C:R,15,0)</f>
        <v>45161</v>
      </c>
      <c r="N14" s="43">
        <f>VLOOKUP(C14,Machined!C:R,16,0)</f>
        <v>55086</v>
      </c>
      <c r="O14" s="43" t="e">
        <f t="shared" ca="1" si="0"/>
        <v>#VALUE!</v>
      </c>
      <c r="P14" s="47">
        <f>IFERROR(VLOOKUP(C14,Machined!C:F,3,0),"")</f>
        <v>0.78500000000000003</v>
      </c>
      <c r="Q14" s="48">
        <f t="shared" si="1"/>
        <v>0.78500000000000003</v>
      </c>
    </row>
    <row r="15" spans="1:17" s="2" customFormat="1" ht="12.75" customHeight="1">
      <c r="A15" s="143"/>
      <c r="B15" s="26"/>
      <c r="C15" s="26"/>
      <c r="D15" s="272"/>
      <c r="E15" s="273"/>
      <c r="F15" s="26"/>
      <c r="G15" s="26"/>
      <c r="H15" s="274"/>
      <c r="I15" s="275"/>
      <c r="J15" s="27"/>
      <c r="K15" s="27"/>
      <c r="L15" s="27"/>
      <c r="M15" s="28"/>
      <c r="N15" s="29"/>
      <c r="O15" s="29"/>
      <c r="P15" s="141"/>
      <c r="Q15" s="142"/>
    </row>
    <row r="16" spans="1:17" s="2" customFormat="1" ht="12.75" customHeight="1">
      <c r="A16" s="4">
        <v>301</v>
      </c>
      <c r="B16" s="2">
        <v>3</v>
      </c>
      <c r="C16" s="114" t="s">
        <v>715</v>
      </c>
      <c r="D16" s="268" t="str">
        <f>VLOOKUP(C16,Purchased!A:B,2,0)</f>
        <v>BRL 15mm runner block, short</v>
      </c>
      <c r="E16" s="269"/>
      <c r="F16" s="112" t="str">
        <f>VLOOKUP(C16,Purchased!A:Q,9,0)</f>
        <v>BRL</v>
      </c>
      <c r="G16" s="112" t="str">
        <f>VLOOKUP(C16,Purchased!A:Q,10,0)</f>
        <v>AAP</v>
      </c>
      <c r="H16" s="112" t="str">
        <f>VLOOKUP(C16,Purchased!A:Q,12,0)</f>
        <v xml:space="preserve"> </v>
      </c>
      <c r="I16" s="113"/>
      <c r="J16" s="44">
        <f>VLOOKUP(C16,Purchased!A:Q,13,0)</f>
        <v>45093</v>
      </c>
      <c r="K16" s="44">
        <f>VLOOKUP(C16,Purchased!A:Q,14,0)</f>
        <v>45093</v>
      </c>
      <c r="L16" s="44">
        <f>VLOOKUP(C16,Purchased!A:Q,15,0)</f>
        <v>45184</v>
      </c>
      <c r="M16" s="44">
        <f>VLOOKUP(C16,Purchased!A:Q,16,0)</f>
        <v>45184</v>
      </c>
      <c r="N16" s="45">
        <f>VLOOKUP(C16,Purchased!A:Q,17,0)</f>
        <v>54942</v>
      </c>
      <c r="O16" s="45" t="e">
        <f t="shared" ref="O16:O24" ca="1" si="3">B16*$L$2</f>
        <v>#VALUE!</v>
      </c>
      <c r="P16" s="49">
        <f>IFERROR(VLOOKUP(C16,Purchased!A:E,3,FALSE),"")</f>
        <v>79.043700000000001</v>
      </c>
      <c r="Q16" s="50">
        <f t="shared" ref="Q16:Q24" si="4">IFERROR(B16*P16,"")</f>
        <v>237.1311</v>
      </c>
    </row>
    <row r="17" spans="1:17" s="2" customFormat="1" ht="12" customHeight="1">
      <c r="A17" s="4">
        <f t="shared" ref="A17:A29" si="5">A16+1</f>
        <v>302</v>
      </c>
      <c r="B17" s="2">
        <v>1</v>
      </c>
      <c r="C17" s="114" t="s">
        <v>716</v>
      </c>
      <c r="D17" s="268" t="str">
        <f>VLOOKUP(C17,Purchased!A:B,2,0)</f>
        <v>SMC Air Cylinder</v>
      </c>
      <c r="E17" s="269"/>
      <c r="F17" s="112" t="str">
        <f>VLOOKUP(C17,Purchased!A:Q,9,0)</f>
        <v>SMC</v>
      </c>
      <c r="G17" s="112" t="str">
        <f>VLOOKUP(C17,Purchased!A:Q,10,0)</f>
        <v>AAP</v>
      </c>
      <c r="H17" s="112" t="str">
        <f>VLOOKUP(C17,Purchased!A:Q,12,0)</f>
        <v xml:space="preserve"> </v>
      </c>
      <c r="I17" s="113"/>
      <c r="J17" s="44" t="str">
        <f>VLOOKUP(C17,Purchased!A:Q,13,0)</f>
        <v>N/A</v>
      </c>
      <c r="K17" s="44">
        <f>VLOOKUP(C17,Purchased!A:Q,14,0)</f>
        <v>45042</v>
      </c>
      <c r="L17" s="44">
        <f>VLOOKUP(C17,Purchased!A:Q,15,0)</f>
        <v>45098</v>
      </c>
      <c r="M17" s="44">
        <f>VLOOKUP(C17,Purchased!A:Q,16,0)</f>
        <v>45134</v>
      </c>
      <c r="N17" s="45">
        <f>VLOOKUP(C17,Purchased!A:Q,17,0)</f>
        <v>54862</v>
      </c>
      <c r="O17" s="45" t="e">
        <f t="shared" ca="1" si="3"/>
        <v>#VALUE!</v>
      </c>
      <c r="P17" s="49">
        <f>IFERROR(VLOOKUP(C17,Purchased!A:E,3,FALSE),"")</f>
        <v>92.13</v>
      </c>
      <c r="Q17" s="50">
        <f t="shared" si="4"/>
        <v>92.13</v>
      </c>
    </row>
    <row r="18" spans="1:17" s="2" customFormat="1" ht="12" customHeight="1">
      <c r="A18" s="4">
        <f t="shared" si="5"/>
        <v>303</v>
      </c>
      <c r="B18" s="2">
        <v>2</v>
      </c>
      <c r="C18" s="114" t="s">
        <v>717</v>
      </c>
      <c r="D18" s="268" t="str">
        <f>VLOOKUP(C18,Purchased!A:B,2,0)</f>
        <v>SMC Compact Cylinder, CQ2-Z</v>
      </c>
      <c r="E18" s="269"/>
      <c r="F18" s="112" t="str">
        <f>VLOOKUP(C18,Purchased!A:Q,9,0)</f>
        <v>SMC</v>
      </c>
      <c r="G18" s="112" t="str">
        <f>VLOOKUP(C18,Purchased!A:Q,10,0)</f>
        <v>AAP</v>
      </c>
      <c r="H18" s="112" t="str">
        <f>VLOOKUP(C18,Purchased!A:Q,12,0)</f>
        <v xml:space="preserve"> </v>
      </c>
      <c r="I18" s="113"/>
      <c r="J18" s="44" t="str">
        <f>VLOOKUP(C18,Purchased!A:Q,13,0)</f>
        <v>N/A</v>
      </c>
      <c r="K18" s="44">
        <f>VLOOKUP(C18,Purchased!A:Q,14,0)</f>
        <v>45042</v>
      </c>
      <c r="L18" s="44">
        <f>VLOOKUP(C18,Purchased!A:Q,15,0)</f>
        <v>45098</v>
      </c>
      <c r="M18" s="44">
        <f>VLOOKUP(C18,Purchased!A:Q,16,0)</f>
        <v>45136</v>
      </c>
      <c r="N18" s="45">
        <f>VLOOKUP(C18,Purchased!A:Q,17,0)</f>
        <v>54862</v>
      </c>
      <c r="O18" s="45" t="e">
        <f t="shared" ca="1" si="3"/>
        <v>#VALUE!</v>
      </c>
      <c r="P18" s="49">
        <f>IFERROR(VLOOKUP(C18,Purchased!A:E,3,FALSE),"")</f>
        <v>24.955300000000001</v>
      </c>
      <c r="Q18" s="50">
        <f t="shared" si="4"/>
        <v>49.910600000000002</v>
      </c>
    </row>
    <row r="19" spans="1:17" s="2" customFormat="1" ht="12" customHeight="1">
      <c r="A19" s="4">
        <f t="shared" si="5"/>
        <v>304</v>
      </c>
      <c r="B19" s="2">
        <v>2</v>
      </c>
      <c r="C19" s="114" t="s">
        <v>718</v>
      </c>
      <c r="D19" s="268" t="str">
        <f>VLOOKUP(C19,Purchased!A:B,2,0)</f>
        <v>SMC FLOATING JOINT (M8 X 1.25)</v>
      </c>
      <c r="E19" s="269"/>
      <c r="F19" s="112" t="str">
        <f>VLOOKUP(C19,Purchased!A:Q,9,0)</f>
        <v>SMC</v>
      </c>
      <c r="G19" s="112" t="str">
        <f>VLOOKUP(C19,Purchased!A:Q,10,0)</f>
        <v>AAP</v>
      </c>
      <c r="H19" s="112" t="str">
        <f>VLOOKUP(C19,Purchased!A:Q,12,0)</f>
        <v xml:space="preserve"> </v>
      </c>
      <c r="I19" s="113"/>
      <c r="J19" s="44" t="str">
        <f>VLOOKUP(C19,Purchased!A:Q,13,0)</f>
        <v>N/A</v>
      </c>
      <c r="K19" s="44">
        <f>VLOOKUP(C19,Purchased!A:Q,14,0)</f>
        <v>45042</v>
      </c>
      <c r="L19" s="44">
        <f>VLOOKUP(C19,Purchased!A:Q,15,0)</f>
        <v>45098</v>
      </c>
      <c r="M19" s="44">
        <f>VLOOKUP(C19,Purchased!A:Q,16,0)</f>
        <v>45140</v>
      </c>
      <c r="N19" s="45">
        <f>VLOOKUP(C19,Purchased!A:Q,17,0)</f>
        <v>54862</v>
      </c>
      <c r="O19" s="45" t="e">
        <f t="shared" ca="1" si="3"/>
        <v>#VALUE!</v>
      </c>
      <c r="P19" s="49">
        <f>IFERROR(VLOOKUP(C19,Purchased!A:E,3,FALSE),"")</f>
        <v>24.941500000000001</v>
      </c>
      <c r="Q19" s="50">
        <f t="shared" si="4"/>
        <v>49.883000000000003</v>
      </c>
    </row>
    <row r="20" spans="1:17" s="2" customFormat="1" ht="12" customHeight="1">
      <c r="A20" s="4">
        <f t="shared" si="5"/>
        <v>305</v>
      </c>
      <c r="B20" s="2">
        <v>0.5</v>
      </c>
      <c r="C20" s="114" t="s">
        <v>465</v>
      </c>
      <c r="D20" s="268" t="str">
        <f>VLOOKUP(C20,Purchased!A:B,2,0)</f>
        <v>IGUS Drylin Lead Screw Nut</v>
      </c>
      <c r="E20" s="269"/>
      <c r="F20" s="112" t="str">
        <f>VLOOKUP(C20,Purchased!A:Q,9,0)</f>
        <v>IGUS</v>
      </c>
      <c r="G20" s="112" t="str">
        <f>VLOOKUP(C20,Purchased!A:Q,10,0)</f>
        <v>IGUS</v>
      </c>
      <c r="H20" s="112" t="str">
        <f>VLOOKUP(C20,Purchased!A:Q,12,0)</f>
        <v xml:space="preserve"> </v>
      </c>
      <c r="I20" s="113"/>
      <c r="J20" s="44">
        <f>VLOOKUP(C20,Purchased!A:Q,13,0)</f>
        <v>45125</v>
      </c>
      <c r="K20" s="44">
        <f>VLOOKUP(C20,Purchased!A:Q,14,0)</f>
        <v>45161</v>
      </c>
      <c r="L20" s="44">
        <f>VLOOKUP(C20,Purchased!A:Q,15,0)</f>
        <v>45191</v>
      </c>
      <c r="M20" s="44">
        <f>VLOOKUP(C20,Purchased!A:Q,16,0)</f>
        <v>45208</v>
      </c>
      <c r="N20" s="45">
        <f>VLOOKUP(C20,Purchased!A:Q,17,0)</f>
        <v>55076</v>
      </c>
      <c r="O20" s="45" t="e">
        <f t="shared" ca="1" si="3"/>
        <v>#VALUE!</v>
      </c>
      <c r="P20" s="49">
        <f>IFERROR(VLOOKUP(C20,Purchased!A:E,3,FALSE),"")</f>
        <v>20.03</v>
      </c>
      <c r="Q20" s="50">
        <f t="shared" si="4"/>
        <v>10.015000000000001</v>
      </c>
    </row>
    <row r="21" spans="1:17" s="2" customFormat="1" ht="12" customHeight="1">
      <c r="A21" s="4">
        <f t="shared" si="5"/>
        <v>306</v>
      </c>
      <c r="B21" s="2">
        <v>2</v>
      </c>
      <c r="C21" s="114" t="s">
        <v>641</v>
      </c>
      <c r="D21" s="268" t="str">
        <f>VLOOKUP(C21,Purchased!A:B,2,0)</f>
        <v>SMC FITTING ,DIFF DIA UNION TEE</v>
      </c>
      <c r="E21" s="269"/>
      <c r="F21" s="112" t="str">
        <f>VLOOKUP(C21,Purchased!A:Q,9,0)</f>
        <v>SMC</v>
      </c>
      <c r="G21" s="112" t="str">
        <f>VLOOKUP(C21,Purchased!A:Q,10,0)</f>
        <v>AAP</v>
      </c>
      <c r="H21" s="112" t="str">
        <f>VLOOKUP(C21,Purchased!A:Q,12,0)</f>
        <v xml:space="preserve"> </v>
      </c>
      <c r="I21" s="113"/>
      <c r="J21" s="44" t="str">
        <f>VLOOKUP(C21,Purchased!A:Q,13,0)</f>
        <v>N/A</v>
      </c>
      <c r="K21" s="44">
        <f>VLOOKUP(C21,Purchased!A:Q,14,0)</f>
        <v>45162</v>
      </c>
      <c r="L21" s="44">
        <f>VLOOKUP(C21,Purchased!A:Q,15,0)</f>
        <v>45184</v>
      </c>
      <c r="M21" s="44">
        <f>VLOOKUP(C21,Purchased!A:Q,16,0)</f>
        <v>45180</v>
      </c>
      <c r="N21" s="45">
        <f>VLOOKUP(C21,Purchased!A:Q,17,0)</f>
        <v>55037</v>
      </c>
      <c r="O21" s="45" t="e">
        <f t="shared" ca="1" si="3"/>
        <v>#VALUE!</v>
      </c>
      <c r="P21" s="49">
        <f>IFERROR(VLOOKUP(C21,Purchased!A:E,3,FALSE),"")</f>
        <v>2.3932000000000002</v>
      </c>
      <c r="Q21" s="50">
        <f t="shared" si="4"/>
        <v>4.7864000000000004</v>
      </c>
    </row>
    <row r="22" spans="1:17" s="2" customFormat="1" ht="12" customHeight="1">
      <c r="A22" s="4">
        <f t="shared" si="5"/>
        <v>307</v>
      </c>
      <c r="B22" s="2">
        <v>4</v>
      </c>
      <c r="C22" s="114" t="s">
        <v>719</v>
      </c>
      <c r="D22" s="284" t="str">
        <f>VLOOKUP(C22,Purchased!A:B,2,0)</f>
        <v>SMC FITTING, LOW PROFILE MALE ELBOW</v>
      </c>
      <c r="E22" s="285"/>
      <c r="F22" s="112" t="str">
        <f>VLOOKUP(C22,Purchased!A:Q,9,0)</f>
        <v>SMC</v>
      </c>
      <c r="G22" s="112" t="str">
        <f>VLOOKUP(C22,Purchased!A:Q,10,0)</f>
        <v>AAP</v>
      </c>
      <c r="H22" s="112">
        <f>VLOOKUP(C22,Purchased!A:Q,12,0)</f>
        <v>0</v>
      </c>
      <c r="I22" s="113"/>
      <c r="J22" s="44">
        <f>VLOOKUP(C22,Purchased!A:Q,13,0)</f>
        <v>45231</v>
      </c>
      <c r="K22" s="44">
        <f>VLOOKUP(C22,Purchased!A:Q,14,0)</f>
        <v>45231</v>
      </c>
      <c r="L22" s="44">
        <f>VLOOKUP(C22,Purchased!A:Q,15,0)</f>
        <v>45237</v>
      </c>
      <c r="M22" s="44">
        <f>VLOOKUP(C22,Purchased!A:Q,16,0)</f>
        <v>45237</v>
      </c>
      <c r="N22" s="45">
        <f>VLOOKUP(C22,Purchased!A:Q,17,0)</f>
        <v>55265</v>
      </c>
      <c r="O22" s="45" t="e">
        <f t="shared" ref="O22:O23" ca="1" si="6">B22*$L$2</f>
        <v>#VALUE!</v>
      </c>
      <c r="P22" s="49">
        <f>IFERROR(VLOOKUP(C22,Purchased!A:E,3,FALSE),"")</f>
        <v>3.7181999999999999</v>
      </c>
      <c r="Q22" s="50">
        <f t="shared" ref="Q22:Q23" si="7">IFERROR(B22*P22,"")</f>
        <v>14.8728</v>
      </c>
    </row>
    <row r="23" spans="1:17" s="2" customFormat="1" ht="12" customHeight="1">
      <c r="A23" s="4">
        <f t="shared" si="5"/>
        <v>308</v>
      </c>
      <c r="B23" s="2">
        <v>1</v>
      </c>
      <c r="C23" s="114" t="s">
        <v>720</v>
      </c>
      <c r="D23" s="284" t="str">
        <f>VLOOKUP(C23,Purchased!A:B,2,0)</f>
        <v>SMC FITTING, MALE ELBOW</v>
      </c>
      <c r="E23" s="285"/>
      <c r="F23" s="112" t="str">
        <f>VLOOKUP(C23,Purchased!A:Q,9,0)</f>
        <v>SMC</v>
      </c>
      <c r="G23" s="112" t="str">
        <f>VLOOKUP(C23,Purchased!A:Q,10,0)</f>
        <v>AAP</v>
      </c>
      <c r="H23" s="112" t="str">
        <f>VLOOKUP(C23,Purchased!A:Q,12,0)</f>
        <v xml:space="preserve"> </v>
      </c>
      <c r="I23" s="113"/>
      <c r="J23" s="44" t="str">
        <f>VLOOKUP(C23,Purchased!A:Q,13,0)</f>
        <v>N/A</v>
      </c>
      <c r="K23" s="44">
        <f>VLOOKUP(C23,Purchased!A:Q,14,0)</f>
        <v>45162</v>
      </c>
      <c r="L23" s="44">
        <f>VLOOKUP(C23,Purchased!A:Q,15,0)</f>
        <v>45184</v>
      </c>
      <c r="M23" s="44">
        <f>VLOOKUP(C23,Purchased!A:Q,16,0)</f>
        <v>45180</v>
      </c>
      <c r="N23" s="45">
        <f>VLOOKUP(C23,Purchased!A:Q,17,0)</f>
        <v>55037</v>
      </c>
      <c r="O23" s="45" t="e">
        <f t="shared" ca="1" si="6"/>
        <v>#VALUE!</v>
      </c>
      <c r="P23" s="49">
        <f>IFERROR(VLOOKUP(C23,Purchased!A:E,3,FALSE),"")</f>
        <v>2.1857000000000002</v>
      </c>
      <c r="Q23" s="50">
        <f t="shared" si="7"/>
        <v>2.1857000000000002</v>
      </c>
    </row>
    <row r="24" spans="1:17" s="2" customFormat="1" ht="12" customHeight="1">
      <c r="A24" s="4">
        <f t="shared" si="5"/>
        <v>309</v>
      </c>
      <c r="B24" s="2">
        <v>1</v>
      </c>
      <c r="C24" s="114" t="s">
        <v>600</v>
      </c>
      <c r="D24" s="268" t="str">
        <f>VLOOKUP(C24,Purchased!A:B,2,0)</f>
        <v>SMC FITTING, MALE CONNECTOR</v>
      </c>
      <c r="E24" s="269"/>
      <c r="F24" s="112" t="str">
        <f>VLOOKUP(C24,Purchased!A:Q,9,0)</f>
        <v>SMC</v>
      </c>
      <c r="G24" s="112" t="str">
        <f>VLOOKUP(C24,Purchased!A:Q,10,0)</f>
        <v>AAP</v>
      </c>
      <c r="H24" s="112" t="str">
        <f>VLOOKUP(C24,Purchased!A:Q,12,0)</f>
        <v xml:space="preserve"> </v>
      </c>
      <c r="I24" s="113"/>
      <c r="J24" s="44" t="str">
        <f>VLOOKUP(C24,Purchased!A:Q,13,0)</f>
        <v>N/A</v>
      </c>
      <c r="K24" s="44">
        <f>VLOOKUP(C24,Purchased!A:Q,14,0)</f>
        <v>45162</v>
      </c>
      <c r="L24" s="44">
        <f>VLOOKUP(C24,Purchased!A:Q,15,0)</f>
        <v>45184</v>
      </c>
      <c r="M24" s="44">
        <f>VLOOKUP(C24,Purchased!A:Q,16,0)</f>
        <v>45180</v>
      </c>
      <c r="N24" s="45">
        <f>VLOOKUP(C24,Purchased!A:Q,17,0)</f>
        <v>55037</v>
      </c>
      <c r="O24" s="45" t="e">
        <f t="shared" ca="1" si="3"/>
        <v>#VALUE!</v>
      </c>
      <c r="P24" s="49">
        <f>IFERROR(VLOOKUP(C24,Purchased!A:E,3,FALSE),"")</f>
        <v>1.3280000000000001</v>
      </c>
      <c r="Q24" s="50">
        <f t="shared" si="4"/>
        <v>1.3280000000000001</v>
      </c>
    </row>
    <row r="25" spans="1:17" s="2" customFormat="1" ht="12" customHeight="1">
      <c r="A25" s="4">
        <f t="shared" si="5"/>
        <v>310</v>
      </c>
      <c r="B25" s="2">
        <v>1</v>
      </c>
      <c r="C25" s="114" t="s">
        <v>721</v>
      </c>
      <c r="D25" s="268" t="str">
        <f>VLOOKUP(C25,Purchased!A:B,2,0)</f>
        <v>Custom Punch, Round, 1.65" OD Max, Piranha, 1" OAL 7/16-20 Mount Thread with (4) .250" Vent Holes</v>
      </c>
      <c r="E25" s="269"/>
      <c r="F25" s="112" t="str">
        <f>VLOOKUP(C25,Purchased!A:Q,9,0)</f>
        <v>Pearl</v>
      </c>
      <c r="G25" s="112" t="str">
        <f>VLOOKUP(C25,Purchased!A:Q,10,0)</f>
        <v>Pearl</v>
      </c>
      <c r="H25" s="112" t="str">
        <f>VLOOKUP(C25,Purchased!A:Q,12,0)</f>
        <v xml:space="preserve"> </v>
      </c>
      <c r="I25" s="113"/>
      <c r="J25" s="44" t="str">
        <f>VLOOKUP(C25,Purchased!A:Q,13,0)</f>
        <v>N/A</v>
      </c>
      <c r="K25" s="44">
        <f>VLOOKUP(C25,Purchased!A:Q,14,0)</f>
        <v>45021</v>
      </c>
      <c r="L25" s="44">
        <f>VLOOKUP(C25,Purchased!A:Q,15,0)</f>
        <v>45113</v>
      </c>
      <c r="M25" s="44">
        <f>VLOOKUP(C25,Purchased!A:Q,16,0)</f>
        <v>45113</v>
      </c>
      <c r="N25" s="45">
        <f>VLOOKUP(C25,Purchased!A:Q,17,0)</f>
        <v>54841</v>
      </c>
      <c r="O25" s="45" t="e">
        <f t="shared" ref="O25:O26" ca="1" si="8">B25*$L$2</f>
        <v>#VALUE!</v>
      </c>
      <c r="P25" s="49">
        <f>IFERROR(VLOOKUP(C25,Purchased!A:E,3,FALSE),"")</f>
        <v>280</v>
      </c>
      <c r="Q25" s="50">
        <f t="shared" ref="Q25:Q26" si="9">IFERROR(B25*P25,"")</f>
        <v>280</v>
      </c>
    </row>
    <row r="26" spans="1:17" s="2" customFormat="1" ht="12" customHeight="1">
      <c r="A26" s="4">
        <f t="shared" si="5"/>
        <v>311</v>
      </c>
      <c r="B26" s="2">
        <v>1</v>
      </c>
      <c r="C26" s="114" t="s">
        <v>722</v>
      </c>
      <c r="D26" s="268" t="str">
        <f>VLOOKUP(C26,Purchased!A:B,2,0)</f>
        <v>SMC FITTING, MALE ELBOW</v>
      </c>
      <c r="E26" s="269"/>
      <c r="F26" s="112" t="str">
        <f>VLOOKUP(C26,Purchased!A:Q,9,0)</f>
        <v>SMC</v>
      </c>
      <c r="G26" s="112" t="str">
        <f>VLOOKUP(C26,Purchased!A:Q,10,0)</f>
        <v>AAP</v>
      </c>
      <c r="H26" s="112" t="str">
        <f>VLOOKUP(C26,Purchased!A:Q,12,0)</f>
        <v xml:space="preserve"> </v>
      </c>
      <c r="I26" s="113"/>
      <c r="J26" s="44" t="str">
        <f>VLOOKUP(C26,Purchased!A:Q,13,0)</f>
        <v>N/A</v>
      </c>
      <c r="K26" s="44">
        <f>VLOOKUP(C26,Purchased!A:Q,14,0)</f>
        <v>45162</v>
      </c>
      <c r="L26" s="44">
        <f>VLOOKUP(C26,Purchased!A:Q,15,0)</f>
        <v>45184</v>
      </c>
      <c r="M26" s="44">
        <f>VLOOKUP(C26,Purchased!A:Q,16,0)</f>
        <v>45180</v>
      </c>
      <c r="N26" s="45">
        <f>VLOOKUP(C26,Purchased!A:Q,17,0)</f>
        <v>55037</v>
      </c>
      <c r="O26" s="45" t="e">
        <f t="shared" ca="1" si="8"/>
        <v>#VALUE!</v>
      </c>
      <c r="P26" s="49">
        <f>IFERROR(VLOOKUP(C26,Purchased!A:E,3,FALSE),"")</f>
        <v>1.7292000000000001</v>
      </c>
      <c r="Q26" s="50">
        <f t="shared" si="9"/>
        <v>1.7292000000000001</v>
      </c>
    </row>
    <row r="27" spans="1:17" s="2" customFormat="1" ht="12" customHeight="1">
      <c r="A27" s="4">
        <f t="shared" si="5"/>
        <v>312</v>
      </c>
      <c r="B27" s="2">
        <v>3</v>
      </c>
      <c r="C27" s="114" t="s">
        <v>476</v>
      </c>
      <c r="D27" s="268" t="str">
        <f>VLOOKUP(C27,Purchased!A:B,2,0)</f>
        <v>SMC Inline Solid PNP Direct</v>
      </c>
      <c r="E27" s="269"/>
      <c r="F27" s="112" t="str">
        <f>VLOOKUP(C27,Purchased!A:Q,9,0)</f>
        <v>SMC</v>
      </c>
      <c r="G27" s="112" t="str">
        <f>VLOOKUP(C27,Purchased!A:Q,10,0)</f>
        <v>AAP</v>
      </c>
      <c r="H27" s="112" t="str">
        <f>VLOOKUP(C27,Purchased!A:Q,12,0)</f>
        <v xml:space="preserve"> </v>
      </c>
      <c r="I27" s="113"/>
      <c r="J27" s="44" t="str">
        <f>VLOOKUP(C27,Purchased!A:Q,13,0)</f>
        <v>N/A</v>
      </c>
      <c r="K27" s="44">
        <f>VLOOKUP(C27,Purchased!A:Q,14,0)</f>
        <v>45162</v>
      </c>
      <c r="L27" s="44">
        <f>VLOOKUP(C27,Purchased!A:Q,15,0)</f>
        <v>45184</v>
      </c>
      <c r="M27" s="44">
        <f>VLOOKUP(C27,Purchased!A:Q,16,0)</f>
        <v>45180</v>
      </c>
      <c r="N27" s="45">
        <f>VLOOKUP(C27,Purchased!A:Q,17,0)</f>
        <v>55037</v>
      </c>
      <c r="O27" s="45" t="e">
        <f t="shared" ref="O27:O29" ca="1" si="10">B27*$L$2</f>
        <v>#VALUE!</v>
      </c>
      <c r="P27" s="49">
        <f>IFERROR(VLOOKUP(C27,Purchased!A:E,3,FALSE),"")</f>
        <v>37.226700000000001</v>
      </c>
      <c r="Q27" s="50">
        <f t="shared" ref="Q27:Q29" si="11">IFERROR(B27*P27,"")</f>
        <v>111.68010000000001</v>
      </c>
    </row>
    <row r="28" spans="1:17" s="2" customFormat="1" ht="12" customHeight="1">
      <c r="A28" s="4">
        <f t="shared" si="5"/>
        <v>313</v>
      </c>
      <c r="B28" s="2">
        <v>1</v>
      </c>
      <c r="C28" s="114" t="s">
        <v>723</v>
      </c>
      <c r="D28" s="268" t="str">
        <f>VLOOKUP(C28,Purchased!A:B,2,0)</f>
        <v>SMC SWITCH MOUNTING BAND</v>
      </c>
      <c r="E28" s="269"/>
      <c r="F28" s="112" t="str">
        <f>VLOOKUP(C28,Purchased!A:Q,9,0)</f>
        <v>SMC</v>
      </c>
      <c r="G28" s="112" t="str">
        <f>VLOOKUP(C28,Purchased!A:Q,10,0)</f>
        <v>AAP, OC PNEUMATICS</v>
      </c>
      <c r="H28" s="112" t="str">
        <f>VLOOKUP(C28,Purchased!A:Q,12,0)</f>
        <v xml:space="preserve"> </v>
      </c>
      <c r="I28" s="113"/>
      <c r="J28" s="44" t="str">
        <f>VLOOKUP(C28,Purchased!A:Q,13,0)</f>
        <v>N/A</v>
      </c>
      <c r="K28" s="44">
        <f>VLOOKUP(C28,Purchased!A:Q,14,0)</f>
        <v>45162</v>
      </c>
      <c r="L28" s="44">
        <f>VLOOKUP(C28,Purchased!A:Q,15,0)</f>
        <v>45184</v>
      </c>
      <c r="M28" s="44">
        <f>VLOOKUP(C28,Purchased!A:Q,16,0)</f>
        <v>45197</v>
      </c>
      <c r="N28" s="45" t="str">
        <f>VLOOKUP(C28,Purchased!A:Q,17,0)</f>
        <v>2x55073, 2x55223</v>
      </c>
      <c r="O28" s="45" t="e">
        <f t="shared" ca="1" si="10"/>
        <v>#VALUE!</v>
      </c>
      <c r="P28" s="49">
        <f>IFERROR(VLOOKUP(C28,Purchased!A:E,3,FALSE),"")</f>
        <v>4.5511999999999997</v>
      </c>
      <c r="Q28" s="50">
        <f t="shared" si="11"/>
        <v>4.5511999999999997</v>
      </c>
    </row>
    <row r="29" spans="1:17" s="2" customFormat="1" ht="12" customHeight="1">
      <c r="A29" s="4">
        <f t="shared" si="5"/>
        <v>314</v>
      </c>
      <c r="B29" s="2">
        <v>3</v>
      </c>
      <c r="C29" s="114" t="s">
        <v>477</v>
      </c>
      <c r="D29" s="268" t="str">
        <f>VLOOKUP(C29,Purchased!A:B,2,0)</f>
        <v>MURR M8 Female, 0deg A-Coded, 3-Pin, w/ Cable</v>
      </c>
      <c r="E29" s="269"/>
      <c r="F29" s="112" t="str">
        <f>VLOOKUP(C29,Purchased!A:Q,9,0)</f>
        <v>MURR</v>
      </c>
      <c r="G29" s="112" t="str">
        <f>VLOOKUP(C29,Purchased!A:Q,10,0)</f>
        <v>MURR</v>
      </c>
      <c r="H29" s="112" t="str">
        <f>VLOOKUP(C29,Purchased!A:Q,12,0)</f>
        <v xml:space="preserve">  </v>
      </c>
      <c r="I29" s="113"/>
      <c r="J29" s="44">
        <f>VLOOKUP(C29,Purchased!A:Q,13,0)</f>
        <v>45161</v>
      </c>
      <c r="K29" s="44">
        <f>VLOOKUP(C29,Purchased!A:Q,14,0)</f>
        <v>45162</v>
      </c>
      <c r="L29" s="44">
        <f>VLOOKUP(C29,Purchased!A:Q,15,0)</f>
        <v>45184</v>
      </c>
      <c r="M29" s="44">
        <f>VLOOKUP(C29,Purchased!A:Q,16,0)</f>
        <v>45184</v>
      </c>
      <c r="N29" s="45">
        <f>VLOOKUP(C29,Purchased!A:Q,17,0)</f>
        <v>55080</v>
      </c>
      <c r="O29" s="45" t="e">
        <f t="shared" ca="1" si="10"/>
        <v>#VALUE!</v>
      </c>
      <c r="P29" s="49">
        <f>IFERROR(VLOOKUP(C29,Purchased!A:E,3,FALSE),"")</f>
        <v>21.52</v>
      </c>
      <c r="Q29" s="50">
        <f t="shared" si="11"/>
        <v>64.56</v>
      </c>
    </row>
    <row r="30" spans="1:17" s="2" customFormat="1" ht="12.75" customHeight="1">
      <c r="A30" s="25"/>
      <c r="B30" s="26"/>
      <c r="C30" s="26"/>
      <c r="D30" s="272"/>
      <c r="E30" s="273"/>
      <c r="F30" s="26"/>
      <c r="G30" s="26"/>
      <c r="H30" s="274"/>
      <c r="I30" s="275"/>
      <c r="J30" s="27"/>
      <c r="K30" s="27"/>
      <c r="L30" s="27"/>
      <c r="M30" s="28"/>
      <c r="N30" s="29"/>
      <c r="O30" s="29" t="e">
        <f t="shared" ref="O30:O38" ca="1" si="12">B30*$L$2</f>
        <v>#VALUE!</v>
      </c>
      <c r="P30" s="141"/>
      <c r="Q30" s="142"/>
    </row>
    <row r="31" spans="1:17" s="2" customFormat="1" ht="12.75" customHeight="1">
      <c r="A31" s="4">
        <v>501</v>
      </c>
      <c r="B31" s="2">
        <v>4</v>
      </c>
      <c r="C31" s="110" t="s">
        <v>480</v>
      </c>
      <c r="D31" s="268"/>
      <c r="E31" s="276"/>
      <c r="F31" s="112" t="str">
        <f>VLOOKUP(C31,Bolts!A:L,5,0)</f>
        <v xml:space="preserve">  </v>
      </c>
      <c r="G31" s="112" t="str">
        <f>VLOOKUP(C31,Bolts!A:L,6,0)</f>
        <v>Monroe Fasteners</v>
      </c>
      <c r="H31" s="112" t="str">
        <f>VLOOKUP(C31,Bolts!A:L,7,0)</f>
        <v xml:space="preserve">  </v>
      </c>
      <c r="I31" s="112"/>
      <c r="J31" s="44" t="str">
        <f>VLOOKUP(C31,Bolts!A:L,8,0)</f>
        <v xml:space="preserve"> </v>
      </c>
      <c r="K31" s="44" t="str">
        <f>VLOOKUP(C31,Bolts!A:L,9,0)</f>
        <v xml:space="preserve"> </v>
      </c>
      <c r="L31" s="44" t="str">
        <f>VLOOKUP(C31,Bolts!A:L,10,0)</f>
        <v xml:space="preserve"> </v>
      </c>
      <c r="M31" s="44" t="str">
        <f>VLOOKUP(C31,Bolts!A:L,11,0)</f>
        <v xml:space="preserve"> </v>
      </c>
      <c r="N31" s="45" t="str">
        <f>VLOOKUP(C31,Bolts!A:L,12,0)</f>
        <v xml:space="preserve"> </v>
      </c>
      <c r="O31" s="45" t="e">
        <f t="shared" ca="1" si="12"/>
        <v>#VALUE!</v>
      </c>
      <c r="P31" s="49" t="str">
        <f>IFERROR(VLOOKUP(C31,Bolts!A:B,2,FALSE),"")</f>
        <v xml:space="preserve"> </v>
      </c>
      <c r="Q31" s="50" t="str">
        <f t="shared" ref="Q31:Q38" si="13">IFERROR(B31*P31,"")</f>
        <v/>
      </c>
    </row>
    <row r="32" spans="1:17" s="2" customFormat="1" ht="12.75" customHeight="1">
      <c r="A32" s="4">
        <f t="shared" ref="A32:A41" si="14">A31+1</f>
        <v>502</v>
      </c>
      <c r="B32" s="2">
        <v>6</v>
      </c>
      <c r="C32" s="110" t="s">
        <v>636</v>
      </c>
      <c r="D32" s="268"/>
      <c r="E32" s="276"/>
      <c r="F32" s="112" t="str">
        <f>VLOOKUP(C32,Bolts!A:L,5,0)</f>
        <v xml:space="preserve">  </v>
      </c>
      <c r="G32" s="112" t="str">
        <f>VLOOKUP(C32,Bolts!A:L,6,0)</f>
        <v>Monroe Fasteners</v>
      </c>
      <c r="H32" s="112" t="str">
        <f>VLOOKUP(C32,Bolts!A:L,7,0)</f>
        <v xml:space="preserve">  </v>
      </c>
      <c r="I32" s="112"/>
      <c r="J32" s="44" t="str">
        <f>VLOOKUP(C32,Bolts!A:L,8,0)</f>
        <v xml:space="preserve"> </v>
      </c>
      <c r="K32" s="44" t="str">
        <f>VLOOKUP(C32,Bolts!A:L,9,0)</f>
        <v xml:space="preserve"> </v>
      </c>
      <c r="L32" s="44" t="str">
        <f>VLOOKUP(C32,Bolts!A:L,10,0)</f>
        <v xml:space="preserve"> </v>
      </c>
      <c r="M32" s="44" t="str">
        <f>VLOOKUP(C32,Bolts!A:L,11,0)</f>
        <v xml:space="preserve"> </v>
      </c>
      <c r="N32" s="45" t="str">
        <f>VLOOKUP(C32,Bolts!A:L,12,0)</f>
        <v xml:space="preserve"> </v>
      </c>
      <c r="O32" s="45" t="e">
        <f t="shared" ca="1" si="12"/>
        <v>#VALUE!</v>
      </c>
      <c r="P32" s="49" t="str">
        <f>IFERROR(VLOOKUP(C32,Bolts!A:B,2,FALSE),"")</f>
        <v xml:space="preserve"> </v>
      </c>
      <c r="Q32" s="50" t="str">
        <f t="shared" si="13"/>
        <v/>
      </c>
    </row>
    <row r="33" spans="1:17" s="2" customFormat="1" ht="12" customHeight="1">
      <c r="A33" s="4">
        <f t="shared" si="14"/>
        <v>503</v>
      </c>
      <c r="B33" s="2">
        <v>2</v>
      </c>
      <c r="C33" s="110" t="s">
        <v>336</v>
      </c>
      <c r="D33" s="268"/>
      <c r="E33" s="276"/>
      <c r="F33" s="112" t="str">
        <f>VLOOKUP(C33,Bolts!A:L,5,0)</f>
        <v xml:space="preserve">  </v>
      </c>
      <c r="G33" s="112" t="str">
        <f>VLOOKUP(C33,Bolts!A:L,6,0)</f>
        <v>Monroe Fasteners</v>
      </c>
      <c r="H33" s="112" t="str">
        <f>VLOOKUP(C33,Bolts!A:L,7,0)</f>
        <v xml:space="preserve">  </v>
      </c>
      <c r="I33" s="112"/>
      <c r="J33" s="44" t="str">
        <f>VLOOKUP(C33,Bolts!A:L,8,0)</f>
        <v xml:space="preserve"> </v>
      </c>
      <c r="K33" s="44" t="str">
        <f>VLOOKUP(C33,Bolts!A:L,9,0)</f>
        <v xml:space="preserve"> </v>
      </c>
      <c r="L33" s="44" t="str">
        <f>VLOOKUP(C33,Bolts!A:L,10,0)</f>
        <v xml:space="preserve"> </v>
      </c>
      <c r="M33" s="44" t="str">
        <f>VLOOKUP(C33,Bolts!A:L,11,0)</f>
        <v xml:space="preserve"> </v>
      </c>
      <c r="N33" s="45" t="str">
        <f>VLOOKUP(C33,Bolts!A:L,12,0)</f>
        <v xml:space="preserve"> </v>
      </c>
      <c r="O33" s="45" t="e">
        <f t="shared" ca="1" si="12"/>
        <v>#VALUE!</v>
      </c>
      <c r="P33" s="49" t="str">
        <f>IFERROR(VLOOKUP(C33,Bolts!A:B,2,FALSE),"")</f>
        <v xml:space="preserve"> </v>
      </c>
      <c r="Q33" s="50" t="str">
        <f t="shared" si="13"/>
        <v/>
      </c>
    </row>
    <row r="34" spans="1:17" s="2" customFormat="1" ht="12" customHeight="1">
      <c r="A34" s="4">
        <f t="shared" si="14"/>
        <v>504</v>
      </c>
      <c r="B34" s="2">
        <v>2</v>
      </c>
      <c r="C34" s="110" t="s">
        <v>724</v>
      </c>
      <c r="D34" s="268"/>
      <c r="E34" s="276"/>
      <c r="F34" s="112" t="str">
        <f>VLOOKUP(C34,Bolts!A:L,5,0)</f>
        <v xml:space="preserve">  </v>
      </c>
      <c r="G34" s="112" t="str">
        <f>VLOOKUP(C34,Bolts!A:L,6,0)</f>
        <v>Monroe Fasteners</v>
      </c>
      <c r="H34" s="112" t="str">
        <f>VLOOKUP(C34,Bolts!A:L,7,0)</f>
        <v xml:space="preserve">  </v>
      </c>
      <c r="I34" s="112"/>
      <c r="J34" s="44" t="str">
        <f>VLOOKUP(C34,Bolts!A:L,8,0)</f>
        <v xml:space="preserve"> </v>
      </c>
      <c r="K34" s="44" t="str">
        <f>VLOOKUP(C34,Bolts!A:L,9,0)</f>
        <v xml:space="preserve"> </v>
      </c>
      <c r="L34" s="44" t="str">
        <f>VLOOKUP(C34,Bolts!A:L,10,0)</f>
        <v xml:space="preserve"> </v>
      </c>
      <c r="M34" s="44" t="str">
        <f>VLOOKUP(C34,Bolts!A:L,11,0)</f>
        <v xml:space="preserve"> </v>
      </c>
      <c r="N34" s="45" t="str">
        <f>VLOOKUP(C34,Bolts!A:L,12,0)</f>
        <v xml:space="preserve"> </v>
      </c>
      <c r="O34" s="45" t="e">
        <f t="shared" ca="1" si="12"/>
        <v>#VALUE!</v>
      </c>
      <c r="P34" s="49" t="str">
        <f>IFERROR(VLOOKUP(C34,Bolts!A:B,2,FALSE),"")</f>
        <v xml:space="preserve"> </v>
      </c>
      <c r="Q34" s="50" t="str">
        <f t="shared" si="13"/>
        <v/>
      </c>
    </row>
    <row r="35" spans="1:17" s="2" customFormat="1" ht="12" customHeight="1">
      <c r="A35" s="4">
        <f t="shared" si="14"/>
        <v>505</v>
      </c>
      <c r="B35" s="2">
        <v>8</v>
      </c>
      <c r="C35" s="110" t="s">
        <v>725</v>
      </c>
      <c r="D35" s="268"/>
      <c r="E35" s="276"/>
      <c r="F35" s="112">
        <f>VLOOKUP(C35,Bolts!A:L,5,0)</f>
        <v>0</v>
      </c>
      <c r="G35" s="112">
        <f>VLOOKUP(C35,Bolts!A:L,6,0)</f>
        <v>0</v>
      </c>
      <c r="H35" s="112">
        <f>VLOOKUP(C35,Bolts!A:L,7,0)</f>
        <v>0</v>
      </c>
      <c r="I35" s="112"/>
      <c r="J35" s="44">
        <f>VLOOKUP(C35,Bolts!A:L,8,0)</f>
        <v>0</v>
      </c>
      <c r="K35" s="44">
        <f>VLOOKUP(C35,Bolts!A:L,9,0)</f>
        <v>0</v>
      </c>
      <c r="L35" s="44">
        <f>VLOOKUP(C35,Bolts!A:L,10,0)</f>
        <v>0</v>
      </c>
      <c r="M35" s="44">
        <f>VLOOKUP(C35,Bolts!A:L,11,0)</f>
        <v>0</v>
      </c>
      <c r="N35" s="45">
        <f>VLOOKUP(C35,Bolts!A:L,12,0)</f>
        <v>0</v>
      </c>
      <c r="O35" s="45" t="e">
        <f t="shared" ca="1" si="12"/>
        <v>#VALUE!</v>
      </c>
      <c r="P35" s="49">
        <f>IFERROR(VLOOKUP(C35,Bolts!A:B,2,FALSE),"")</f>
        <v>0</v>
      </c>
      <c r="Q35" s="50">
        <f t="shared" si="13"/>
        <v>0</v>
      </c>
    </row>
    <row r="36" spans="1:17" s="2" customFormat="1" ht="12" customHeight="1">
      <c r="A36" s="4">
        <f t="shared" si="14"/>
        <v>506</v>
      </c>
      <c r="B36" s="2">
        <v>2</v>
      </c>
      <c r="C36" s="110" t="s">
        <v>453</v>
      </c>
      <c r="D36" s="268"/>
      <c r="E36" s="276"/>
      <c r="F36" s="112" t="str">
        <f>VLOOKUP(C36,Bolts!A:L,5,0)</f>
        <v xml:space="preserve">  </v>
      </c>
      <c r="G36" s="112" t="str">
        <f>VLOOKUP(C36,Bolts!A:L,6,0)</f>
        <v>Monroe Fasteners</v>
      </c>
      <c r="H36" s="112" t="str">
        <f>VLOOKUP(C36,Bolts!A:L,7,0)</f>
        <v xml:space="preserve">  </v>
      </c>
      <c r="I36" s="112"/>
      <c r="J36" s="44" t="str">
        <f>VLOOKUP(C36,Bolts!A:L,8,0)</f>
        <v xml:space="preserve"> </v>
      </c>
      <c r="K36" s="44" t="str">
        <f>VLOOKUP(C36,Bolts!A:L,9,0)</f>
        <v xml:space="preserve"> </v>
      </c>
      <c r="L36" s="44" t="str">
        <f>VLOOKUP(C36,Bolts!A:L,10,0)</f>
        <v xml:space="preserve"> </v>
      </c>
      <c r="M36" s="44" t="str">
        <f>VLOOKUP(C36,Bolts!A:L,11,0)</f>
        <v xml:space="preserve"> </v>
      </c>
      <c r="N36" s="45" t="str">
        <f>VLOOKUP(C36,Bolts!A:L,12,0)</f>
        <v xml:space="preserve"> </v>
      </c>
      <c r="O36" s="45" t="e">
        <f t="shared" ca="1" si="12"/>
        <v>#VALUE!</v>
      </c>
      <c r="P36" s="49" t="str">
        <f>IFERROR(VLOOKUP(C36,Bolts!A:B,2,FALSE),"")</f>
        <v xml:space="preserve"> </v>
      </c>
      <c r="Q36" s="50" t="str">
        <f t="shared" si="13"/>
        <v/>
      </c>
    </row>
    <row r="37" spans="1:17" s="2" customFormat="1" ht="12" customHeight="1">
      <c r="A37" s="4">
        <f t="shared" si="14"/>
        <v>507</v>
      </c>
      <c r="B37" s="2">
        <v>2</v>
      </c>
      <c r="C37" s="110" t="s">
        <v>726</v>
      </c>
      <c r="D37" s="268"/>
      <c r="E37" s="276"/>
      <c r="F37" s="112" t="str">
        <f>VLOOKUP(C37,Bolts!A:L,5,0)</f>
        <v xml:space="preserve">  </v>
      </c>
      <c r="G37" s="112" t="str">
        <f>VLOOKUP(C37,Bolts!A:L,6,0)</f>
        <v>Monroe Fasteners</v>
      </c>
      <c r="H37" s="112" t="str">
        <f>VLOOKUP(C37,Bolts!A:L,7,0)</f>
        <v xml:space="preserve">  </v>
      </c>
      <c r="I37" s="112"/>
      <c r="J37" s="44" t="str">
        <f>VLOOKUP(C37,Bolts!A:L,8,0)</f>
        <v xml:space="preserve"> </v>
      </c>
      <c r="K37" s="44" t="str">
        <f>VLOOKUP(C37,Bolts!A:L,9,0)</f>
        <v xml:space="preserve"> </v>
      </c>
      <c r="L37" s="44" t="str">
        <f>VLOOKUP(C37,Bolts!A:L,10,0)</f>
        <v xml:space="preserve"> </v>
      </c>
      <c r="M37" s="44" t="str">
        <f>VLOOKUP(C37,Bolts!A:L,11,0)</f>
        <v xml:space="preserve"> </v>
      </c>
      <c r="N37" s="45" t="str">
        <f>VLOOKUP(C37,Bolts!A:L,12,0)</f>
        <v xml:space="preserve"> </v>
      </c>
      <c r="O37" s="45" t="e">
        <f t="shared" ca="1" si="12"/>
        <v>#VALUE!</v>
      </c>
      <c r="P37" s="49" t="str">
        <f>IFERROR(VLOOKUP(C37,Bolts!A:B,2,FALSE),"")</f>
        <v xml:space="preserve"> </v>
      </c>
      <c r="Q37" s="50" t="str">
        <f t="shared" si="13"/>
        <v/>
      </c>
    </row>
    <row r="38" spans="1:17" s="2" customFormat="1" ht="12" customHeight="1">
      <c r="A38" s="4">
        <f t="shared" si="14"/>
        <v>508</v>
      </c>
      <c r="B38" s="2">
        <v>4</v>
      </c>
      <c r="C38" s="110" t="s">
        <v>278</v>
      </c>
      <c r="D38" s="268"/>
      <c r="E38" s="276"/>
      <c r="F38" s="112" t="str">
        <f>VLOOKUP(C38,Bolts!A:L,5,0)</f>
        <v xml:space="preserve">  </v>
      </c>
      <c r="G38" s="112" t="str">
        <f>VLOOKUP(C38,Bolts!A:L,6,0)</f>
        <v>Monroe Fasteners</v>
      </c>
      <c r="H38" s="112" t="str">
        <f>VLOOKUP(C38,Bolts!A:L,7,0)</f>
        <v xml:space="preserve">  </v>
      </c>
      <c r="I38" s="112"/>
      <c r="J38" s="44" t="str">
        <f>VLOOKUP(C38,Bolts!A:L,8,0)</f>
        <v xml:space="preserve"> </v>
      </c>
      <c r="K38" s="44" t="str">
        <f>VLOOKUP(C38,Bolts!A:L,9,0)</f>
        <v xml:space="preserve"> </v>
      </c>
      <c r="L38" s="44" t="str">
        <f>VLOOKUP(C38,Bolts!A:L,10,0)</f>
        <v xml:space="preserve"> </v>
      </c>
      <c r="M38" s="44" t="str">
        <f>VLOOKUP(C38,Bolts!A:L,11,0)</f>
        <v xml:space="preserve"> </v>
      </c>
      <c r="N38" s="45" t="str">
        <f>VLOOKUP(C38,Bolts!A:L,12,0)</f>
        <v xml:space="preserve"> </v>
      </c>
      <c r="O38" s="45" t="e">
        <f t="shared" ca="1" si="12"/>
        <v>#VALUE!</v>
      </c>
      <c r="P38" s="49" t="str">
        <f>IFERROR(VLOOKUP(C38,Bolts!A:B,2,FALSE),"")</f>
        <v xml:space="preserve"> </v>
      </c>
      <c r="Q38" s="50" t="str">
        <f t="shared" si="13"/>
        <v/>
      </c>
    </row>
    <row r="39" spans="1:17" s="2" customFormat="1" ht="12" customHeight="1">
      <c r="A39" s="4">
        <f t="shared" si="14"/>
        <v>509</v>
      </c>
      <c r="B39" s="2">
        <v>3</v>
      </c>
      <c r="C39" s="110" t="s">
        <v>351</v>
      </c>
      <c r="D39" s="164"/>
      <c r="E39" s="165"/>
      <c r="F39" s="112" t="str">
        <f>VLOOKUP(C39,Bolts!A:L,5,0)</f>
        <v xml:space="preserve">  </v>
      </c>
      <c r="G39" s="112" t="str">
        <f>VLOOKUP(C39,Bolts!A:L,6,0)</f>
        <v>Monroe Fasteners</v>
      </c>
      <c r="H39" s="112" t="str">
        <f>VLOOKUP(C39,Bolts!A:L,7,0)</f>
        <v xml:space="preserve">  </v>
      </c>
      <c r="I39" s="112"/>
      <c r="J39" s="44" t="str">
        <f>VLOOKUP(C39,Bolts!A:L,8,0)</f>
        <v xml:space="preserve"> </v>
      </c>
      <c r="K39" s="44" t="str">
        <f>VLOOKUP(C39,Bolts!A:L,9,0)</f>
        <v xml:space="preserve"> </v>
      </c>
      <c r="L39" s="44" t="str">
        <f>VLOOKUP(C39,Bolts!A:L,10,0)</f>
        <v xml:space="preserve"> </v>
      </c>
      <c r="M39" s="44" t="str">
        <f>VLOOKUP(C39,Bolts!A:L,11,0)</f>
        <v xml:space="preserve"> </v>
      </c>
      <c r="N39" s="45" t="str">
        <f>VLOOKUP(C39,Bolts!A:L,12,0)</f>
        <v xml:space="preserve"> </v>
      </c>
      <c r="O39" s="45" t="e">
        <f t="shared" ref="O39:O41" ca="1" si="15">B39*$L$2</f>
        <v>#VALUE!</v>
      </c>
      <c r="P39" s="49" t="str">
        <f>IFERROR(VLOOKUP(C39,Bolts!A:B,2,FALSE),"")</f>
        <v xml:space="preserve"> </v>
      </c>
      <c r="Q39" s="50" t="str">
        <f t="shared" ref="Q39:Q41" si="16">IFERROR(B39*P39,"")</f>
        <v/>
      </c>
    </row>
    <row r="40" spans="1:17" s="2" customFormat="1" ht="12" customHeight="1">
      <c r="A40" s="4">
        <f t="shared" si="14"/>
        <v>510</v>
      </c>
      <c r="B40" s="2">
        <v>2</v>
      </c>
      <c r="C40" s="110" t="s">
        <v>289</v>
      </c>
      <c r="D40" s="164"/>
      <c r="E40" s="165"/>
      <c r="F40" s="112" t="str">
        <f>VLOOKUP(C40,Bolts!A:L,5,0)</f>
        <v xml:space="preserve">  </v>
      </c>
      <c r="G40" s="112" t="str">
        <f>VLOOKUP(C40,Bolts!A:L,6,0)</f>
        <v>Monroe Fasteners</v>
      </c>
      <c r="H40" s="112" t="str">
        <f>VLOOKUP(C40,Bolts!A:L,7,0)</f>
        <v xml:space="preserve">  </v>
      </c>
      <c r="I40" s="112"/>
      <c r="J40" s="44" t="str">
        <f>VLOOKUP(C40,Bolts!A:L,8,0)</f>
        <v xml:space="preserve"> </v>
      </c>
      <c r="K40" s="44" t="str">
        <f>VLOOKUP(C40,Bolts!A:L,9,0)</f>
        <v xml:space="preserve"> </v>
      </c>
      <c r="L40" s="44" t="str">
        <f>VLOOKUP(C40,Bolts!A:L,10,0)</f>
        <v xml:space="preserve"> </v>
      </c>
      <c r="M40" s="44" t="str">
        <f>VLOOKUP(C40,Bolts!A:L,11,0)</f>
        <v xml:space="preserve"> </v>
      </c>
      <c r="N40" s="45" t="str">
        <f>VLOOKUP(C40,Bolts!A:L,12,0)</f>
        <v xml:space="preserve"> </v>
      </c>
      <c r="O40" s="45" t="e">
        <f t="shared" ca="1" si="15"/>
        <v>#VALUE!</v>
      </c>
      <c r="P40" s="49" t="str">
        <f>IFERROR(VLOOKUP(C40,Bolts!A:B,2,FALSE),"")</f>
        <v xml:space="preserve"> </v>
      </c>
      <c r="Q40" s="50" t="str">
        <f t="shared" si="16"/>
        <v/>
      </c>
    </row>
    <row r="41" spans="1:17" s="2" customFormat="1" ht="12" customHeight="1" thickBot="1">
      <c r="A41" s="4">
        <f t="shared" si="14"/>
        <v>511</v>
      </c>
      <c r="B41" s="2">
        <v>2</v>
      </c>
      <c r="C41" s="110" t="s">
        <v>595</v>
      </c>
      <c r="D41" s="164"/>
      <c r="E41" s="165"/>
      <c r="F41" s="112" t="str">
        <f>VLOOKUP(C41,Bolts!A:L,5,0)</f>
        <v xml:space="preserve">  </v>
      </c>
      <c r="G41" s="112" t="str">
        <f>VLOOKUP(C41,Bolts!A:L,6,0)</f>
        <v>Monroe Fasteners</v>
      </c>
      <c r="H41" s="112" t="str">
        <f>VLOOKUP(C41,Bolts!A:L,7,0)</f>
        <v xml:space="preserve">  </v>
      </c>
      <c r="I41" s="112"/>
      <c r="J41" s="44" t="str">
        <f>VLOOKUP(C41,Bolts!A:L,8,0)</f>
        <v xml:space="preserve"> </v>
      </c>
      <c r="K41" s="44" t="str">
        <f>VLOOKUP(C41,Bolts!A:L,9,0)</f>
        <v xml:space="preserve"> </v>
      </c>
      <c r="L41" s="44" t="str">
        <f>VLOOKUP(C41,Bolts!A:L,10,0)</f>
        <v xml:space="preserve"> </v>
      </c>
      <c r="M41" s="44" t="str">
        <f>VLOOKUP(C41,Bolts!A:L,11,0)</f>
        <v xml:space="preserve"> </v>
      </c>
      <c r="N41" s="45" t="str">
        <f>VLOOKUP(C41,Bolts!A:L,12,0)</f>
        <v xml:space="preserve"> </v>
      </c>
      <c r="O41" s="45" t="e">
        <f t="shared" ca="1" si="15"/>
        <v>#VALUE!</v>
      </c>
      <c r="P41" s="49" t="str">
        <f>IFERROR(VLOOKUP(C41,Bolts!A:B,2,FALSE),"")</f>
        <v xml:space="preserve"> </v>
      </c>
      <c r="Q41" s="50" t="str">
        <f t="shared" si="16"/>
        <v/>
      </c>
    </row>
    <row r="42" spans="1:17" s="2" customFormat="1" ht="12.75" customHeight="1" thickBot="1">
      <c r="A42" s="34"/>
      <c r="B42" s="35"/>
      <c r="C42" s="35"/>
      <c r="D42" s="256"/>
      <c r="E42" s="257"/>
      <c r="F42" s="35"/>
      <c r="G42" s="35"/>
      <c r="H42" s="294"/>
      <c r="I42" s="295"/>
      <c r="J42" s="36"/>
      <c r="K42" s="36"/>
      <c r="L42" s="36"/>
      <c r="M42" s="37"/>
      <c r="N42" s="38"/>
      <c r="O42" s="38"/>
      <c r="P42" s="89" t="s">
        <v>43</v>
      </c>
      <c r="Q42" s="94">
        <f>SUM(Q5:Q38)</f>
        <v>1992.5181000000005</v>
      </c>
    </row>
    <row r="43" spans="1:17" s="2" customFormat="1" ht="12" customHeight="1">
      <c r="D43" s="22"/>
      <c r="E43" s="22"/>
      <c r="J43" s="8"/>
      <c r="K43" s="8"/>
      <c r="L43" s="8"/>
      <c r="M43" s="8"/>
      <c r="N43" s="5"/>
      <c r="O43" s="5"/>
      <c r="P43" s="88"/>
      <c r="Q43" s="95"/>
    </row>
    <row r="44" spans="1:17" s="2" customFormat="1" ht="12" customHeight="1">
      <c r="C44" s="22"/>
      <c r="D44" s="22"/>
      <c r="I44" s="5"/>
      <c r="J44" s="5"/>
      <c r="K44" s="5"/>
      <c r="L44" s="5"/>
      <c r="M44" s="5"/>
      <c r="N44" s="5"/>
      <c r="O44" s="88"/>
      <c r="P44" s="95"/>
    </row>
    <row r="45" spans="1:17" s="2" customFormat="1" ht="12" customHeight="1">
      <c r="C45" s="22"/>
      <c r="D45" s="22"/>
      <c r="I45" s="5"/>
      <c r="J45" s="5"/>
      <c r="K45" s="5"/>
      <c r="L45" s="5"/>
      <c r="M45" s="5"/>
      <c r="N45" s="5"/>
      <c r="O45" s="88"/>
      <c r="P45" s="95"/>
    </row>
    <row r="46" spans="1:17" s="2" customFormat="1" ht="12" customHeight="1">
      <c r="C46" s="22"/>
      <c r="D46" s="22"/>
      <c r="I46" s="5"/>
      <c r="J46" s="5"/>
      <c r="K46" s="5"/>
      <c r="L46" s="5"/>
      <c r="M46" s="5"/>
      <c r="N46" s="5"/>
      <c r="O46" s="88"/>
      <c r="P46" s="95"/>
    </row>
    <row r="47" spans="1:17" s="2" customFormat="1" ht="12" customHeight="1">
      <c r="D47" s="22"/>
      <c r="E47" s="22"/>
      <c r="J47" s="5"/>
      <c r="K47" s="5"/>
      <c r="L47" s="5"/>
      <c r="M47" s="5"/>
      <c r="N47" s="5"/>
      <c r="O47" s="5"/>
      <c r="P47" s="88"/>
      <c r="Q47" s="95"/>
    </row>
    <row r="48" spans="1:17" s="2" customFormat="1" ht="12" customHeight="1">
      <c r="D48" s="22"/>
      <c r="E48" s="22"/>
      <c r="J48" s="5"/>
      <c r="K48" s="5"/>
      <c r="L48" s="5"/>
      <c r="M48" s="5"/>
      <c r="N48" s="5"/>
      <c r="O48" s="5"/>
      <c r="P48" s="88"/>
      <c r="Q48" s="95"/>
    </row>
    <row r="49" spans="4:17" s="2" customFormat="1" ht="12" customHeight="1">
      <c r="D49" s="22"/>
      <c r="E49" s="22"/>
      <c r="J49" s="5"/>
      <c r="K49" s="5"/>
      <c r="L49" s="5"/>
      <c r="M49" s="5"/>
      <c r="N49" s="5"/>
      <c r="O49" s="5"/>
      <c r="P49" s="88"/>
      <c r="Q49" s="95"/>
    </row>
    <row r="50" spans="4:17" s="2" customFormat="1" ht="12" customHeight="1">
      <c r="D50" s="22"/>
      <c r="E50" s="22"/>
      <c r="J50" s="5"/>
      <c r="K50" s="5"/>
      <c r="L50" s="5"/>
      <c r="M50" s="5"/>
      <c r="N50" s="5"/>
      <c r="O50" s="5"/>
      <c r="P50" s="88"/>
      <c r="Q50" s="95"/>
    </row>
    <row r="51" spans="4:17" s="2" customFormat="1" ht="12" customHeight="1">
      <c r="D51" s="22"/>
      <c r="E51" s="22"/>
      <c r="J51" s="5"/>
      <c r="K51" s="5"/>
      <c r="L51" s="5"/>
      <c r="M51" s="5"/>
      <c r="N51" s="5"/>
      <c r="O51" s="5"/>
      <c r="P51" s="88"/>
      <c r="Q51" s="95"/>
    </row>
    <row r="52" spans="4:17" s="2" customFormat="1" ht="12" customHeight="1">
      <c r="D52" s="22"/>
      <c r="E52" s="22"/>
      <c r="J52" s="5"/>
      <c r="K52" s="5"/>
      <c r="L52" s="5"/>
      <c r="M52" s="5"/>
      <c r="N52" s="5"/>
      <c r="O52" s="5"/>
      <c r="P52" s="88"/>
      <c r="Q52" s="95"/>
    </row>
    <row r="53" spans="4:17" s="2" customFormat="1" ht="12" customHeight="1">
      <c r="D53" s="22"/>
      <c r="E53" s="22"/>
      <c r="J53" s="5"/>
      <c r="K53" s="5"/>
      <c r="L53" s="5"/>
      <c r="M53" s="5"/>
      <c r="N53" s="5"/>
      <c r="O53" s="5"/>
      <c r="P53" s="88"/>
      <c r="Q53" s="95"/>
    </row>
    <row r="54" spans="4:17" s="2" customFormat="1" ht="12" customHeight="1">
      <c r="D54" s="22"/>
      <c r="E54" s="22"/>
      <c r="J54" s="5"/>
      <c r="K54" s="5"/>
      <c r="L54" s="5"/>
      <c r="M54" s="5"/>
      <c r="N54" s="5"/>
      <c r="O54" s="5"/>
      <c r="P54" s="88"/>
      <c r="Q54" s="95"/>
    </row>
    <row r="55" spans="4:17" s="2" customFormat="1" ht="12" customHeight="1">
      <c r="D55" s="22"/>
      <c r="E55" s="22"/>
      <c r="J55" s="5"/>
      <c r="K55" s="5"/>
      <c r="L55" s="5"/>
      <c r="M55" s="5"/>
      <c r="N55" s="5"/>
      <c r="O55" s="5"/>
      <c r="P55" s="88"/>
      <c r="Q55" s="95"/>
    </row>
    <row r="56" spans="4:17" s="2" customFormat="1" ht="12" customHeight="1">
      <c r="D56" s="22"/>
      <c r="E56" s="22"/>
      <c r="J56" s="5"/>
      <c r="K56" s="5"/>
      <c r="L56" s="5"/>
      <c r="M56" s="5"/>
      <c r="N56" s="5"/>
      <c r="O56" s="5"/>
      <c r="P56" s="88"/>
      <c r="Q56" s="95"/>
    </row>
    <row r="57" spans="4:17" s="2" customFormat="1" ht="12" customHeight="1">
      <c r="D57" s="22"/>
      <c r="E57" s="22"/>
      <c r="J57" s="5"/>
      <c r="K57" s="5"/>
      <c r="L57" s="5"/>
      <c r="M57" s="5"/>
      <c r="N57" s="5"/>
      <c r="O57" s="5"/>
      <c r="P57" s="88"/>
      <c r="Q57" s="95"/>
    </row>
    <row r="58" spans="4:17" s="2" customFormat="1" ht="12" customHeight="1">
      <c r="D58" s="22"/>
      <c r="E58" s="22"/>
      <c r="J58" s="5"/>
      <c r="K58" s="5"/>
      <c r="L58" s="5"/>
      <c r="M58" s="5"/>
      <c r="N58" s="5"/>
      <c r="O58" s="5"/>
      <c r="P58" s="88"/>
      <c r="Q58" s="95"/>
    </row>
    <row r="59" spans="4:17" s="2" customFormat="1" ht="12" customHeight="1">
      <c r="D59" s="22"/>
      <c r="E59" s="22"/>
      <c r="J59" s="5"/>
      <c r="K59" s="5"/>
      <c r="L59" s="5"/>
      <c r="M59" s="5"/>
      <c r="N59" s="5"/>
      <c r="O59" s="5"/>
      <c r="P59" s="88"/>
      <c r="Q59" s="95"/>
    </row>
    <row r="60" spans="4:17" s="2" customFormat="1" ht="12" customHeight="1">
      <c r="D60" s="22"/>
      <c r="E60" s="22"/>
      <c r="J60" s="5"/>
      <c r="K60" s="5"/>
      <c r="L60" s="5"/>
      <c r="M60" s="5"/>
      <c r="N60" s="5"/>
      <c r="O60" s="5"/>
      <c r="P60" s="88"/>
      <c r="Q60" s="95"/>
    </row>
    <row r="61" spans="4:17" s="2" customFormat="1" ht="12" customHeight="1">
      <c r="D61" s="22"/>
      <c r="E61" s="22"/>
      <c r="J61" s="5"/>
      <c r="K61" s="5"/>
      <c r="L61" s="5"/>
      <c r="M61" s="5"/>
      <c r="N61" s="5"/>
      <c r="O61" s="5"/>
      <c r="P61" s="88"/>
      <c r="Q61" s="95"/>
    </row>
    <row r="62" spans="4:17" s="2" customFormat="1" ht="12" customHeight="1">
      <c r="D62" s="22"/>
      <c r="E62" s="22"/>
      <c r="J62" s="5"/>
      <c r="K62" s="5"/>
      <c r="L62" s="5"/>
      <c r="M62" s="5"/>
      <c r="N62" s="5"/>
      <c r="O62" s="5"/>
      <c r="P62" s="88"/>
      <c r="Q62" s="95"/>
    </row>
    <row r="63" spans="4:17" s="2" customFormat="1" ht="12" customHeight="1">
      <c r="D63" s="22"/>
      <c r="E63" s="22"/>
      <c r="J63" s="5"/>
      <c r="K63" s="5"/>
      <c r="L63" s="5"/>
      <c r="M63" s="5"/>
      <c r="N63" s="5"/>
      <c r="O63" s="5"/>
      <c r="P63" s="88"/>
      <c r="Q63" s="95"/>
    </row>
    <row r="64" spans="4:17" s="2" customFormat="1" ht="12" customHeight="1">
      <c r="D64" s="22"/>
      <c r="E64" s="22"/>
      <c r="J64" s="5"/>
      <c r="K64" s="5"/>
      <c r="L64" s="5"/>
      <c r="M64" s="5"/>
      <c r="N64" s="5"/>
      <c r="O64" s="5"/>
      <c r="P64" s="88"/>
      <c r="Q64" s="95"/>
    </row>
    <row r="65" spans="4:17" s="2" customFormat="1" ht="12" customHeight="1">
      <c r="D65" s="22"/>
      <c r="E65" s="22"/>
      <c r="J65" s="5"/>
      <c r="K65" s="5"/>
      <c r="L65" s="5"/>
      <c r="M65" s="5"/>
      <c r="N65" s="5"/>
      <c r="O65" s="5"/>
      <c r="P65" s="88"/>
      <c r="Q65" s="95"/>
    </row>
    <row r="66" spans="4:17" s="2" customFormat="1" ht="12" customHeight="1">
      <c r="D66" s="22"/>
      <c r="E66" s="22"/>
      <c r="J66" s="5"/>
      <c r="K66" s="5"/>
      <c r="L66" s="5"/>
      <c r="M66" s="5"/>
      <c r="N66" s="5"/>
      <c r="O66" s="5"/>
      <c r="P66" s="88"/>
      <c r="Q66" s="95"/>
    </row>
    <row r="67" spans="4:17" s="2" customFormat="1" ht="12" customHeight="1">
      <c r="D67" s="22"/>
      <c r="E67" s="22"/>
      <c r="J67" s="5"/>
      <c r="K67" s="5"/>
      <c r="L67" s="5"/>
      <c r="M67" s="5"/>
      <c r="N67" s="5"/>
      <c r="O67" s="5"/>
      <c r="P67" s="88"/>
      <c r="Q67" s="95"/>
    </row>
    <row r="68" spans="4:17" s="2" customFormat="1" ht="12" customHeight="1">
      <c r="D68" s="22"/>
      <c r="E68" s="22"/>
      <c r="J68" s="5"/>
      <c r="K68" s="5"/>
      <c r="L68" s="5"/>
      <c r="M68" s="5"/>
      <c r="N68" s="5"/>
      <c r="O68" s="5"/>
      <c r="P68" s="88"/>
      <c r="Q68" s="95"/>
    </row>
    <row r="69" spans="4:17" s="2" customFormat="1" ht="12" customHeight="1">
      <c r="D69" s="22"/>
      <c r="E69" s="22"/>
      <c r="J69" s="5"/>
      <c r="K69" s="5"/>
      <c r="L69" s="5"/>
      <c r="M69" s="5"/>
      <c r="N69" s="5"/>
      <c r="O69" s="5"/>
      <c r="P69" s="88"/>
      <c r="Q69" s="95"/>
    </row>
    <row r="70" spans="4:17" s="2" customFormat="1" ht="12" customHeight="1">
      <c r="D70" s="22"/>
      <c r="E70" s="22"/>
      <c r="J70" s="5"/>
      <c r="K70" s="5"/>
      <c r="L70" s="5"/>
      <c r="M70" s="5"/>
      <c r="N70" s="5"/>
      <c r="O70" s="5"/>
      <c r="P70" s="88"/>
      <c r="Q70" s="95"/>
    </row>
    <row r="71" spans="4:17" s="2" customFormat="1" ht="12" customHeight="1">
      <c r="D71" s="22"/>
      <c r="E71" s="22"/>
      <c r="J71" s="5"/>
      <c r="K71" s="5"/>
      <c r="L71" s="5"/>
      <c r="M71" s="5"/>
      <c r="N71" s="5"/>
      <c r="O71" s="5"/>
      <c r="P71" s="88"/>
      <c r="Q71" s="95"/>
    </row>
    <row r="72" spans="4:17" s="2" customFormat="1" ht="12" customHeight="1">
      <c r="D72" s="22"/>
      <c r="E72" s="22"/>
      <c r="J72" s="5"/>
      <c r="K72" s="5"/>
      <c r="L72" s="5"/>
      <c r="M72" s="5"/>
      <c r="N72" s="5"/>
      <c r="O72" s="5"/>
      <c r="P72" s="88"/>
      <c r="Q72" s="95"/>
    </row>
    <row r="73" spans="4:17" s="2" customFormat="1" ht="12" customHeight="1">
      <c r="D73" s="22"/>
      <c r="E73" s="22"/>
      <c r="J73" s="5"/>
      <c r="K73" s="5"/>
      <c r="L73" s="5"/>
      <c r="M73" s="5"/>
      <c r="N73" s="5"/>
      <c r="O73" s="5"/>
      <c r="P73" s="88"/>
      <c r="Q73" s="95"/>
    </row>
    <row r="74" spans="4:17" s="2" customFormat="1" ht="12" customHeight="1">
      <c r="D74" s="22"/>
      <c r="E74" s="22"/>
      <c r="J74" s="5"/>
      <c r="K74" s="5"/>
      <c r="L74" s="5"/>
      <c r="M74" s="5"/>
      <c r="N74" s="5"/>
      <c r="O74" s="5"/>
      <c r="P74" s="88"/>
      <c r="Q74" s="95"/>
    </row>
    <row r="75" spans="4:17" s="2" customFormat="1" ht="12" customHeight="1">
      <c r="D75" s="22"/>
      <c r="E75" s="22"/>
      <c r="J75" s="5"/>
      <c r="K75" s="5"/>
      <c r="L75" s="5"/>
      <c r="M75" s="5"/>
      <c r="N75" s="5"/>
      <c r="O75" s="5"/>
      <c r="P75" s="88"/>
      <c r="Q75" s="95"/>
    </row>
    <row r="76" spans="4:17" s="2" customFormat="1" ht="12" customHeight="1">
      <c r="D76" s="22"/>
      <c r="E76" s="22"/>
      <c r="J76" s="5"/>
      <c r="K76" s="5"/>
      <c r="L76" s="5"/>
      <c r="M76" s="5"/>
      <c r="N76" s="5"/>
      <c r="O76" s="5"/>
      <c r="P76" s="88"/>
      <c r="Q76" s="95"/>
    </row>
    <row r="77" spans="4:17" s="2" customFormat="1" ht="12" customHeight="1">
      <c r="D77" s="22"/>
      <c r="E77" s="22"/>
      <c r="J77" s="5"/>
      <c r="K77" s="5"/>
      <c r="L77" s="5"/>
      <c r="M77" s="5"/>
      <c r="N77" s="5"/>
      <c r="O77" s="5"/>
      <c r="P77" s="88"/>
      <c r="Q77" s="95"/>
    </row>
    <row r="78" spans="4:17" s="2" customFormat="1" ht="12" customHeight="1">
      <c r="D78" s="22"/>
      <c r="E78" s="22"/>
      <c r="J78" s="5"/>
      <c r="K78" s="5"/>
      <c r="L78" s="5"/>
      <c r="M78" s="5"/>
      <c r="N78" s="5"/>
      <c r="O78" s="5"/>
      <c r="P78" s="88"/>
      <c r="Q78" s="95"/>
    </row>
    <row r="79" spans="4:17" s="2" customFormat="1" ht="12" customHeight="1">
      <c r="D79" s="22"/>
      <c r="E79" s="22"/>
      <c r="J79" s="5"/>
      <c r="K79" s="5"/>
      <c r="L79" s="5"/>
      <c r="M79" s="5"/>
      <c r="N79" s="5"/>
      <c r="O79" s="5"/>
      <c r="P79" s="88"/>
      <c r="Q79" s="95"/>
    </row>
    <row r="80" spans="4:17" s="2" customFormat="1" ht="12" customHeight="1">
      <c r="D80" s="22"/>
      <c r="E80" s="22"/>
      <c r="J80" s="5"/>
      <c r="K80" s="5"/>
      <c r="L80" s="5"/>
      <c r="M80" s="5"/>
      <c r="N80" s="5"/>
      <c r="O80" s="5"/>
      <c r="P80" s="88"/>
      <c r="Q80" s="95"/>
    </row>
    <row r="81" spans="1:17" s="2" customFormat="1" ht="12" customHeight="1">
      <c r="D81" s="22"/>
      <c r="E81" s="22"/>
      <c r="J81" s="5"/>
      <c r="K81" s="5"/>
      <c r="L81" s="5"/>
      <c r="M81" s="5"/>
      <c r="N81" s="5"/>
      <c r="O81" s="5"/>
      <c r="P81" s="88"/>
      <c r="Q81" s="96"/>
    </row>
    <row r="82" spans="1:17" s="2" customFormat="1" ht="12" customHeight="1">
      <c r="D82" s="22"/>
      <c r="E82" s="22"/>
      <c r="J82" s="5"/>
      <c r="K82" s="5"/>
      <c r="L82" s="5"/>
      <c r="M82" s="5"/>
      <c r="N82" s="5"/>
      <c r="O82" s="5"/>
      <c r="P82" s="88"/>
      <c r="Q82" s="96"/>
    </row>
    <row r="83" spans="1:17" s="2" customFormat="1" ht="12" customHeight="1">
      <c r="D83" s="22"/>
      <c r="E83" s="22"/>
      <c r="J83" s="5"/>
      <c r="K83" s="5"/>
      <c r="L83" s="5"/>
      <c r="M83" s="5"/>
      <c r="N83" s="5"/>
      <c r="O83" s="5"/>
      <c r="P83" s="88"/>
      <c r="Q83" s="96"/>
    </row>
    <row r="84" spans="1:17" s="2" customFormat="1" ht="12" customHeight="1">
      <c r="D84" s="22"/>
      <c r="E84" s="22"/>
      <c r="J84" s="5"/>
      <c r="K84" s="5"/>
      <c r="L84" s="5"/>
      <c r="M84" s="5"/>
      <c r="N84" s="5"/>
      <c r="O84" s="5"/>
      <c r="P84" s="88"/>
      <c r="Q84" s="96"/>
    </row>
    <row r="85" spans="1:17" s="2" customFormat="1" ht="12" customHeight="1">
      <c r="A85"/>
      <c r="B85"/>
      <c r="C85"/>
      <c r="D85" s="23"/>
      <c r="E85" s="23"/>
      <c r="F85"/>
      <c r="G85"/>
      <c r="H85"/>
      <c r="I85"/>
      <c r="J85" s="19"/>
      <c r="K85" s="19"/>
      <c r="L85" s="19"/>
      <c r="M85" s="19"/>
      <c r="N85" s="19"/>
      <c r="O85" s="19"/>
      <c r="P85" s="90"/>
      <c r="Q85" s="96"/>
    </row>
    <row r="86" spans="1:17" s="2" customFormat="1" ht="12" customHeight="1">
      <c r="A86"/>
      <c r="B86"/>
      <c r="C86"/>
      <c r="D86" s="23"/>
      <c r="E86" s="23"/>
      <c r="F86"/>
      <c r="G86"/>
      <c r="H86"/>
      <c r="I86"/>
      <c r="J86" s="19"/>
      <c r="K86" s="19"/>
      <c r="L86" s="19"/>
      <c r="M86" s="19"/>
      <c r="N86" s="19"/>
      <c r="O86" s="19"/>
      <c r="P86" s="90"/>
      <c r="Q86" s="96"/>
    </row>
    <row r="87" spans="1:17" s="2" customFormat="1" ht="12" customHeight="1">
      <c r="A87"/>
      <c r="B87"/>
      <c r="C87"/>
      <c r="D87" s="23"/>
      <c r="E87" s="23"/>
      <c r="F87"/>
      <c r="G87"/>
      <c r="H87"/>
      <c r="I87"/>
      <c r="J87" s="19"/>
      <c r="K87" s="19"/>
      <c r="L87" s="19"/>
      <c r="M87" s="19"/>
      <c r="N87" s="19"/>
      <c r="O87" s="19"/>
      <c r="P87" s="90"/>
      <c r="Q87" s="96"/>
    </row>
    <row r="88" spans="1:17" s="2" customFormat="1" ht="12" customHeight="1">
      <c r="A88"/>
      <c r="B88"/>
      <c r="C88"/>
      <c r="D88" s="23"/>
      <c r="E88" s="23"/>
      <c r="F88"/>
      <c r="G88"/>
      <c r="H88"/>
      <c r="I88"/>
      <c r="J88" s="19"/>
      <c r="K88" s="19"/>
      <c r="L88" s="19"/>
      <c r="M88" s="19"/>
      <c r="N88" s="19"/>
      <c r="O88" s="19"/>
      <c r="P88" s="90"/>
      <c r="Q88" s="96"/>
    </row>
    <row r="89" spans="1:17" s="2" customFormat="1" ht="12" customHeight="1">
      <c r="A89"/>
      <c r="B89"/>
      <c r="C89"/>
      <c r="D89" s="23"/>
      <c r="E89" s="23"/>
      <c r="F89"/>
      <c r="G89"/>
      <c r="H89"/>
      <c r="I89"/>
      <c r="J89" s="19"/>
      <c r="K89" s="19"/>
      <c r="L89" s="19"/>
      <c r="M89" s="19"/>
      <c r="N89" s="19"/>
      <c r="O89" s="19"/>
      <c r="P89" s="90"/>
      <c r="Q89" s="96"/>
    </row>
    <row r="90" spans="1:17">
      <c r="Q90" s="96"/>
    </row>
    <row r="91" spans="1:17">
      <c r="Q91" s="96"/>
    </row>
    <row r="92" spans="1:17">
      <c r="Q92" s="96"/>
    </row>
    <row r="93" spans="1:17">
      <c r="Q93" s="96"/>
    </row>
    <row r="94" spans="1:17">
      <c r="Q94" s="96"/>
    </row>
    <row r="95" spans="1:17">
      <c r="Q95" s="96"/>
    </row>
    <row r="96" spans="1:17">
      <c r="Q96" s="96"/>
    </row>
    <row r="97" spans="17:17">
      <c r="Q97" s="96"/>
    </row>
    <row r="98" spans="17:17">
      <c r="Q98" s="96"/>
    </row>
    <row r="99" spans="17:17">
      <c r="Q99" s="96"/>
    </row>
    <row r="100" spans="17:17">
      <c r="Q100" s="96"/>
    </row>
    <row r="101" spans="17:17">
      <c r="Q101" s="96"/>
    </row>
    <row r="102" spans="17:17">
      <c r="Q102" s="96"/>
    </row>
    <row r="103" spans="17:17">
      <c r="Q103" s="96"/>
    </row>
    <row r="104" spans="17:17">
      <c r="Q104" s="96"/>
    </row>
    <row r="105" spans="17:17">
      <c r="Q105" s="96"/>
    </row>
    <row r="106" spans="17:17">
      <c r="Q106" s="96"/>
    </row>
    <row r="107" spans="17:17">
      <c r="Q107" s="96"/>
    </row>
    <row r="108" spans="17:17">
      <c r="Q108" s="96"/>
    </row>
    <row r="109" spans="17:17">
      <c r="Q109" s="96"/>
    </row>
    <row r="146" ht="12" customHeight="1"/>
    <row r="147" ht="12" customHeight="1"/>
    <row r="148" ht="12" customHeight="1"/>
    <row r="149" ht="12" customHeight="1"/>
    <row r="150" ht="12" customHeight="1"/>
    <row r="151" ht="12" customHeight="1"/>
    <row r="152" ht="12" customHeight="1"/>
    <row r="153" ht="12" customHeight="1"/>
    <row r="154" ht="12" customHeight="1"/>
    <row r="155" ht="12" customHeight="1"/>
    <row r="156" ht="12" customHeight="1"/>
    <row r="157" ht="12" customHeight="1"/>
    <row r="158" ht="12" customHeight="1"/>
    <row r="159" ht="12" customHeight="1"/>
    <row r="160" ht="12" customHeight="1"/>
    <row r="161" ht="12" customHeight="1"/>
    <row r="162" ht="12" customHeight="1"/>
    <row r="163" ht="12" customHeight="1"/>
    <row r="164" ht="12" customHeight="1"/>
    <row r="165" ht="12" customHeight="1"/>
    <row r="166" ht="12" customHeight="1"/>
    <row r="167" ht="12" customHeight="1"/>
    <row r="168" ht="12" customHeight="1"/>
    <row r="169" ht="12" customHeight="1"/>
    <row r="170" ht="12" customHeight="1"/>
    <row r="171" ht="12" customHeight="1"/>
    <row r="172" ht="12" customHeight="1"/>
    <row r="173" ht="12" customHeight="1"/>
    <row r="174" ht="12" customHeight="1"/>
    <row r="175" ht="12" customHeight="1"/>
    <row r="176" ht="12" customHeight="1"/>
    <row r="177" ht="12" customHeight="1"/>
    <row r="178" ht="12" customHeight="1"/>
    <row r="179" ht="12" customHeight="1"/>
    <row r="180" ht="12" customHeight="1"/>
    <row r="181" ht="12" customHeight="1"/>
    <row r="182" ht="12" customHeight="1"/>
    <row r="183" ht="12" customHeight="1"/>
    <row r="184" ht="12" customHeight="1"/>
    <row r="185" ht="12" customHeight="1"/>
    <row r="186" ht="12" customHeight="1"/>
    <row r="187" ht="12" customHeight="1"/>
    <row r="188" ht="12" customHeight="1"/>
    <row r="189" ht="12" customHeight="1"/>
    <row r="190" ht="12" customHeight="1"/>
    <row r="191" ht="12" customHeight="1"/>
    <row r="192" ht="12" customHeight="1"/>
    <row r="193" ht="12" customHeight="1"/>
    <row r="194" ht="12" customHeight="1"/>
    <row r="195" ht="12" customHeight="1"/>
  </sheetData>
  <mergeCells count="41">
    <mergeCell ref="D26:E26"/>
    <mergeCell ref="D42:E42"/>
    <mergeCell ref="H42:I42"/>
    <mergeCell ref="D37:E37"/>
    <mergeCell ref="D38:E38"/>
    <mergeCell ref="D36:E36"/>
    <mergeCell ref="D30:E30"/>
    <mergeCell ref="H30:I30"/>
    <mergeCell ref="D31:E31"/>
    <mergeCell ref="D32:E32"/>
    <mergeCell ref="D33:E33"/>
    <mergeCell ref="D34:E34"/>
    <mergeCell ref="D35:E35"/>
    <mergeCell ref="D27:E27"/>
    <mergeCell ref="D28:E28"/>
    <mergeCell ref="D29:E29"/>
    <mergeCell ref="D25:E25"/>
    <mergeCell ref="D16:E16"/>
    <mergeCell ref="D17:E17"/>
    <mergeCell ref="D10:E10"/>
    <mergeCell ref="D11:E11"/>
    <mergeCell ref="D12:E12"/>
    <mergeCell ref="D13:E13"/>
    <mergeCell ref="D14:E14"/>
    <mergeCell ref="D18:E18"/>
    <mergeCell ref="D19:E19"/>
    <mergeCell ref="D20:E20"/>
    <mergeCell ref="D21:E21"/>
    <mergeCell ref="D24:E24"/>
    <mergeCell ref="D22:E22"/>
    <mergeCell ref="D23:E23"/>
    <mergeCell ref="D7:E7"/>
    <mergeCell ref="D8:E8"/>
    <mergeCell ref="D9:E9"/>
    <mergeCell ref="D15:E15"/>
    <mergeCell ref="H15:I15"/>
    <mergeCell ref="D1:E1"/>
    <mergeCell ref="D4:E4"/>
    <mergeCell ref="H4:I4"/>
    <mergeCell ref="D5:E5"/>
    <mergeCell ref="D6:E6"/>
  </mergeCells>
  <conditionalFormatting sqref="M5:M14 M16:M29">
    <cfRule type="cellIs" dxfId="432" priority="1" stopIfTrue="1" operator="lessThanOrEqual">
      <formula>$L5</formula>
    </cfRule>
    <cfRule type="cellIs" dxfId="431" priority="2" operator="greaterThan">
      <formula>L5</formula>
    </cfRule>
  </conditionalFormatting>
  <conditionalFormatting sqref="M31:M41">
    <cfRule type="cellIs" dxfId="430" priority="3" stopIfTrue="1" operator="lessThanOrEqual">
      <formula>$L31</formula>
    </cfRule>
    <cfRule type="cellIs" dxfId="429" priority="4" operator="greaterThan">
      <formula>L31</formula>
    </cfRule>
  </conditionalFormatting>
  <pageMargins left="0.7" right="0.7" top="0.75" bottom="0.75" header="0.3" footer="0.3"/>
  <pageSetup paperSize="3" fitToHeight="0" orientation="landscape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F4404A9-7D8E-45FD-9B1C-07854D9EB2D7}">
          <x14:formula1>
            <xm:f>Purchased!$A:$A</xm:f>
          </x14:formula1>
          <xm:sqref>C16:C29</xm:sqref>
        </x14:dataValidation>
        <x14:dataValidation type="list" allowBlank="1" showInputMessage="1" showErrorMessage="1" xr:uid="{98489166-C40D-44D8-91AE-C6FC67F4F37F}">
          <x14:formula1>
            <xm:f>Machined!$C:$C</xm:f>
          </x14:formula1>
          <xm:sqref>C5:C14</xm:sqref>
        </x14:dataValidation>
      </x14:dataValidation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836E29-F264-4D9B-8FD9-3180136A6FEF}">
  <sheetPr codeName="Sheet59">
    <tabColor theme="3" tint="0.79998168889431442"/>
    <pageSetUpPr fitToPage="1"/>
  </sheetPr>
  <dimension ref="A1:Q176"/>
  <sheetViews>
    <sheetView zoomScaleNormal="100" workbookViewId="0">
      <selection activeCell="C43" sqref="C43"/>
    </sheetView>
  </sheetViews>
  <sheetFormatPr defaultColWidth="9.140625" defaultRowHeight="15"/>
  <cols>
    <col min="1" max="1" width="5.7109375" customWidth="1"/>
    <col min="2" max="2" width="5.42578125" bestFit="1" customWidth="1"/>
    <col min="3" max="3" width="30.7109375" customWidth="1"/>
    <col min="4" max="5" width="20.7109375" style="23" customWidth="1"/>
    <col min="6" max="6" width="16.85546875" bestFit="1" customWidth="1"/>
    <col min="7" max="7" width="9.7109375" customWidth="1"/>
    <col min="8" max="8" width="8.7109375" customWidth="1"/>
    <col min="9" max="9" width="20.7109375" customWidth="1"/>
    <col min="10" max="13" width="11.7109375" style="19" customWidth="1"/>
    <col min="14" max="14" width="11.85546875" style="19" bestFit="1" customWidth="1"/>
    <col min="15" max="15" width="7.7109375" style="19" customWidth="1"/>
    <col min="16" max="16" width="10.7109375" style="90" customWidth="1"/>
    <col min="17" max="17" width="10.7109375" style="97" customWidth="1"/>
  </cols>
  <sheetData>
    <row r="1" spans="1:17" s="55" customFormat="1" ht="12" customHeight="1">
      <c r="A1" s="68" t="s">
        <v>0</v>
      </c>
      <c r="B1" s="69"/>
      <c r="C1" s="69"/>
      <c r="D1" s="262" t="s">
        <v>1</v>
      </c>
      <c r="E1" s="263"/>
      <c r="F1" s="70"/>
      <c r="G1" s="69"/>
      <c r="H1" s="70"/>
      <c r="I1" s="71"/>
      <c r="J1" s="72"/>
      <c r="K1" s="72"/>
      <c r="L1" s="72"/>
      <c r="M1" s="72"/>
      <c r="N1" s="72"/>
      <c r="O1" s="72"/>
      <c r="P1" s="85"/>
      <c r="Q1" s="91"/>
    </row>
    <row r="2" spans="1:17" s="55" customFormat="1" ht="12" customHeight="1">
      <c r="A2" s="74" t="s">
        <v>48</v>
      </c>
      <c r="B2" s="58"/>
      <c r="C2" s="57" t="e">
        <f ca="1">VLOOKUP(E3,Assemblies!B:F,4,0)</f>
        <v>#VALUE!</v>
      </c>
      <c r="D2" s="75" t="s">
        <v>3</v>
      </c>
      <c r="E2" s="76" t="e">
        <f ca="1">'GF12'!E2</f>
        <v>#VALUE!</v>
      </c>
      <c r="F2" s="77" t="s">
        <v>4</v>
      </c>
      <c r="G2" s="58" t="str">
        <f>'GF12'!G2</f>
        <v>GH</v>
      </c>
      <c r="H2" s="77" t="s">
        <v>6</v>
      </c>
      <c r="I2" s="59">
        <f>'GF12'!I2</f>
        <v>44775</v>
      </c>
      <c r="J2" s="39"/>
      <c r="K2" s="40" t="s">
        <v>49</v>
      </c>
      <c r="L2" s="41" t="e">
        <f ca="1">VLOOKUP(C2,Assemblies!E:G,3,0)</f>
        <v>#VALUE!</v>
      </c>
      <c r="M2" s="78"/>
      <c r="N2" s="78"/>
      <c r="O2" s="78"/>
      <c r="P2" s="86"/>
      <c r="Q2" s="92"/>
    </row>
    <row r="3" spans="1:17" s="55" customFormat="1" ht="12" customHeight="1" thickBot="1">
      <c r="A3" s="74" t="s">
        <v>7</v>
      </c>
      <c r="B3" s="58"/>
      <c r="C3" s="57" t="e">
        <f ca="1">VLOOKUP(E3,Assemblies!B:F,5,0)</f>
        <v>#VALUE!</v>
      </c>
      <c r="D3" s="75" t="s">
        <v>50</v>
      </c>
      <c r="E3" s="76" t="e">
        <f ca="1">MID(CELL("filename",A1),FIND("]",CELL("filename",A1))+1,256)</f>
        <v>#VALUE!</v>
      </c>
      <c r="F3" s="77" t="s">
        <v>11</v>
      </c>
      <c r="G3" s="58" t="str">
        <f>'GF12'!G3</f>
        <v>GH</v>
      </c>
      <c r="H3" s="77" t="s">
        <v>6</v>
      </c>
      <c r="I3" s="59">
        <f>'GF12'!I3</f>
        <v>44775</v>
      </c>
      <c r="J3" s="78"/>
      <c r="K3" s="78"/>
      <c r="L3" s="78"/>
      <c r="M3" s="78"/>
      <c r="N3" s="78"/>
      <c r="O3" s="78"/>
      <c r="P3" s="86"/>
      <c r="Q3" s="92"/>
    </row>
    <row r="4" spans="1:17" s="56" customFormat="1" ht="12.75" customHeight="1" thickBot="1">
      <c r="A4" s="80" t="s">
        <v>12</v>
      </c>
      <c r="B4" s="81" t="s">
        <v>13</v>
      </c>
      <c r="C4" s="81" t="s">
        <v>14</v>
      </c>
      <c r="D4" s="270" t="s">
        <v>15</v>
      </c>
      <c r="E4" s="271"/>
      <c r="F4" s="104" t="s">
        <v>16</v>
      </c>
      <c r="G4" s="81" t="s">
        <v>17</v>
      </c>
      <c r="H4" s="260" t="s">
        <v>18</v>
      </c>
      <c r="I4" s="261"/>
      <c r="J4" s="81" t="s">
        <v>51</v>
      </c>
      <c r="K4" s="81" t="s">
        <v>20</v>
      </c>
      <c r="L4" s="81" t="s">
        <v>21</v>
      </c>
      <c r="M4" s="81" t="s">
        <v>52</v>
      </c>
      <c r="N4" s="81" t="s">
        <v>22</v>
      </c>
      <c r="O4" s="81" t="s">
        <v>53</v>
      </c>
      <c r="P4" s="107" t="s">
        <v>26</v>
      </c>
      <c r="Q4" s="82" t="s">
        <v>27</v>
      </c>
    </row>
    <row r="5" spans="1:17" s="2" customFormat="1" ht="12.75" customHeight="1">
      <c r="A5" s="127">
        <v>1</v>
      </c>
      <c r="B5" s="21">
        <v>1</v>
      </c>
      <c r="C5" s="108" t="s">
        <v>727</v>
      </c>
      <c r="D5" s="277" t="str">
        <f>VLOOKUP(C5,Machined!C:Q,2,0)</f>
        <v>Bearing Plate-Anvil</v>
      </c>
      <c r="E5" s="278"/>
      <c r="F5" s="131" t="str">
        <f>VLOOKUP(C5,Machined!C:R,7,0)</f>
        <v>6061-T6 Alum</v>
      </c>
      <c r="G5" s="131" t="str">
        <f>VLOOKUP(C5,Machined!C:R,10,0)</f>
        <v>FRONTIER</v>
      </c>
      <c r="H5" s="131" t="str">
        <f>VLOOKUP(C5,Machined!C:R,11,0)</f>
        <v xml:space="preserve">  </v>
      </c>
      <c r="I5" s="131"/>
      <c r="J5" s="42">
        <f>VLOOKUP(C5,Machined!C:R,12,0)</f>
        <v>45105</v>
      </c>
      <c r="K5" s="42">
        <f>VLOOKUP(C5,Machined!C:R,13,0)</f>
        <v>45133</v>
      </c>
      <c r="L5" s="42">
        <f>VLOOKUP(C5,Machined!C:R,14,0)</f>
        <v>45163</v>
      </c>
      <c r="M5" s="42">
        <f>VLOOKUP(C5,Machined!C:R,15,0)</f>
        <v>45163</v>
      </c>
      <c r="N5" s="43">
        <f>VLOOKUP(C5,Machined!C:R,16,0)</f>
        <v>55015</v>
      </c>
      <c r="O5" s="43" t="e">
        <f t="shared" ref="O5:O9" ca="1" si="0">B5*$L$2</f>
        <v>#VALUE!</v>
      </c>
      <c r="P5" s="47">
        <f>IFERROR(VLOOKUP(C5,Machined!C:F,3,0),"")</f>
        <v>150.15</v>
      </c>
      <c r="Q5" s="48">
        <f t="shared" ref="Q5:Q9" si="1">IFERROR(B5*P5,"")</f>
        <v>150.15</v>
      </c>
    </row>
    <row r="6" spans="1:17" s="2" customFormat="1" ht="12.75" customHeight="1">
      <c r="A6" s="127">
        <v>2</v>
      </c>
      <c r="B6" s="21">
        <v>1</v>
      </c>
      <c r="C6" s="108" t="s">
        <v>728</v>
      </c>
      <c r="D6" s="277" t="str">
        <f>VLOOKUP(C6,Machined!C:Q,2,0)</f>
        <v>Anvil Base</v>
      </c>
      <c r="E6" s="278"/>
      <c r="F6" s="131" t="str">
        <f>VLOOKUP(C6,Machined!C:R,7,0)</f>
        <v>6061-T6 Alum</v>
      </c>
      <c r="G6" s="131" t="str">
        <f>VLOOKUP(C6,Machined!C:R,10,0)</f>
        <v>FRONTIER</v>
      </c>
      <c r="H6" s="131" t="str">
        <f>VLOOKUP(C6,Machined!C:R,11,0)</f>
        <v xml:space="preserve">  </v>
      </c>
      <c r="I6" s="131"/>
      <c r="J6" s="42">
        <f>VLOOKUP(C6,Machined!C:R,12,0)</f>
        <v>45105</v>
      </c>
      <c r="K6" s="42">
        <f>VLOOKUP(C6,Machined!C:R,13,0)</f>
        <v>45133</v>
      </c>
      <c r="L6" s="42">
        <f>VLOOKUP(C6,Machined!C:R,14,0)</f>
        <v>45163</v>
      </c>
      <c r="M6" s="42">
        <f>VLOOKUP(C6,Machined!C:R,15,0)</f>
        <v>45163</v>
      </c>
      <c r="N6" s="43">
        <f>VLOOKUP(C6,Machined!C:R,16,0)</f>
        <v>55015</v>
      </c>
      <c r="O6" s="43" t="e">
        <f t="shared" ca="1" si="0"/>
        <v>#VALUE!</v>
      </c>
      <c r="P6" s="47">
        <f>IFERROR(VLOOKUP(C6,Machined!C:F,3,0),"")</f>
        <v>268.95</v>
      </c>
      <c r="Q6" s="48">
        <f t="shared" si="1"/>
        <v>268.95</v>
      </c>
    </row>
    <row r="7" spans="1:17" s="2" customFormat="1" ht="12.75" customHeight="1">
      <c r="A7" s="127">
        <v>3</v>
      </c>
      <c r="B7" s="21">
        <v>1</v>
      </c>
      <c r="C7" s="108" t="s">
        <v>729</v>
      </c>
      <c r="D7" s="277" t="str">
        <f>VLOOKUP(C7,Machined!C:Q,2,0)</f>
        <v>Insert - 1.65 Inch</v>
      </c>
      <c r="E7" s="278"/>
      <c r="F7" s="131" t="str">
        <f>VLOOKUP(C7,Machined!C:R,7,0)</f>
        <v>6061-T6 Alum</v>
      </c>
      <c r="G7" s="131" t="str">
        <f>VLOOKUP(C7,Machined!C:R,10,0)</f>
        <v>FRONTIER</v>
      </c>
      <c r="H7" s="131" t="str">
        <f>VLOOKUP(C7,Machined!C:R,11,0)</f>
        <v xml:space="preserve">  </v>
      </c>
      <c r="I7" s="131"/>
      <c r="J7" s="42">
        <f>VLOOKUP(C7,Machined!C:R,12,0)</f>
        <v>45105</v>
      </c>
      <c r="K7" s="42">
        <f>VLOOKUP(C7,Machined!C:R,13,0)</f>
        <v>45133</v>
      </c>
      <c r="L7" s="42">
        <f>VLOOKUP(C7,Machined!C:R,14,0)</f>
        <v>45163</v>
      </c>
      <c r="M7" s="42">
        <f>VLOOKUP(C7,Machined!C:R,15,0)</f>
        <v>45163</v>
      </c>
      <c r="N7" s="43">
        <f>VLOOKUP(C7,Machined!C:R,16,0)</f>
        <v>55015</v>
      </c>
      <c r="O7" s="43" t="e">
        <f t="shared" ca="1" si="0"/>
        <v>#VALUE!</v>
      </c>
      <c r="P7" s="47">
        <f>IFERROR(VLOOKUP(C7,Machined!C:F,3,0),"")</f>
        <v>63.55</v>
      </c>
      <c r="Q7" s="48">
        <f t="shared" si="1"/>
        <v>63.55</v>
      </c>
    </row>
    <row r="8" spans="1:17" s="2" customFormat="1" ht="12.75" customHeight="1">
      <c r="A8" s="127">
        <v>4</v>
      </c>
      <c r="B8" s="21">
        <v>2</v>
      </c>
      <c r="C8" s="108" t="s">
        <v>730</v>
      </c>
      <c r="D8" s="277" t="str">
        <f>VLOOKUP(C8,Machined!C:Q,2,0)</f>
        <v>Anvil Suport Gusset</v>
      </c>
      <c r="E8" s="278"/>
      <c r="F8" s="131" t="str">
        <f>VLOOKUP(C8,Machined!C:R,7,0)</f>
        <v>304 SS</v>
      </c>
      <c r="G8" s="131" t="str">
        <f>VLOOKUP(C8,Machined!C:R,10,0)</f>
        <v>XOMETRY</v>
      </c>
      <c r="H8" s="131" t="str">
        <f>VLOOKUP(C8,Machined!C:R,11,0)</f>
        <v xml:space="preserve">  </v>
      </c>
      <c r="I8" s="131"/>
      <c r="J8" s="42" t="str">
        <f>VLOOKUP(C8,Machined!C:R,12,0)</f>
        <v>N/A</v>
      </c>
      <c r="K8" s="42">
        <f>VLOOKUP(C8,Machined!C:R,13,0)</f>
        <v>45141</v>
      </c>
      <c r="L8" s="42">
        <f>VLOOKUP(C8,Machined!C:R,14,0)</f>
        <v>45161</v>
      </c>
      <c r="M8" s="42">
        <f>VLOOKUP(C8,Machined!C:R,15,0)</f>
        <v>45161</v>
      </c>
      <c r="N8" s="43">
        <f>VLOOKUP(C8,Machined!C:R,16,0)</f>
        <v>55030</v>
      </c>
      <c r="O8" s="43" t="e">
        <f t="shared" ca="1" si="0"/>
        <v>#VALUE!</v>
      </c>
      <c r="P8" s="47">
        <f>IFERROR(VLOOKUP(C8,Machined!C:F,3,0),"")</f>
        <v>78.97</v>
      </c>
      <c r="Q8" s="48">
        <f t="shared" si="1"/>
        <v>157.94</v>
      </c>
    </row>
    <row r="9" spans="1:17" s="2" customFormat="1" ht="12.75" customHeight="1">
      <c r="A9" s="127">
        <v>5</v>
      </c>
      <c r="B9" s="21">
        <v>0.5</v>
      </c>
      <c r="C9" s="108" t="s">
        <v>712</v>
      </c>
      <c r="D9" s="277" t="str">
        <f>VLOOKUP(C9,Machined!C:Q,2,0)</f>
        <v>Bearing Plate Lead Screw Mount</v>
      </c>
      <c r="E9" s="278"/>
      <c r="F9" s="131" t="str">
        <f>VLOOKUP(C9,Machined!C:R,7,0)</f>
        <v>1018 CRS</v>
      </c>
      <c r="G9" s="131" t="str">
        <f>VLOOKUP(C9,Machined!C:R,10,0)</f>
        <v>FRONTIER</v>
      </c>
      <c r="H9" s="131" t="str">
        <f>VLOOKUP(C9,Machined!C:R,11,0)</f>
        <v xml:space="preserve">  </v>
      </c>
      <c r="I9" s="131"/>
      <c r="J9" s="42">
        <f>VLOOKUP(C9,Machined!C:R,12,0)</f>
        <v>45105</v>
      </c>
      <c r="K9" s="42">
        <f>VLOOKUP(C9,Machined!C:R,13,0)</f>
        <v>45133</v>
      </c>
      <c r="L9" s="42">
        <f>VLOOKUP(C9,Machined!C:R,14,0)</f>
        <v>45163</v>
      </c>
      <c r="M9" s="42">
        <f>VLOOKUP(C9,Machined!C:R,15,0)</f>
        <v>45163</v>
      </c>
      <c r="N9" s="43">
        <f>VLOOKUP(C9,Machined!C:R,16,0)</f>
        <v>55015</v>
      </c>
      <c r="O9" s="43" t="e">
        <f t="shared" ca="1" si="0"/>
        <v>#VALUE!</v>
      </c>
      <c r="P9" s="47">
        <f>IFERROR(VLOOKUP(C9,Machined!C:F,3,0),"")</f>
        <v>68.400000000000006</v>
      </c>
      <c r="Q9" s="48">
        <f t="shared" si="1"/>
        <v>34.200000000000003</v>
      </c>
    </row>
    <row r="10" spans="1:17" s="2" customFormat="1" ht="12.75" customHeight="1">
      <c r="A10" s="143"/>
      <c r="B10" s="26"/>
      <c r="C10" s="26"/>
      <c r="D10" s="272"/>
      <c r="E10" s="273"/>
      <c r="F10" s="26"/>
      <c r="G10" s="26"/>
      <c r="H10" s="274"/>
      <c r="I10" s="275"/>
      <c r="J10" s="27"/>
      <c r="K10" s="27"/>
      <c r="L10" s="27"/>
      <c r="M10" s="28"/>
      <c r="N10" s="29"/>
      <c r="O10" s="29"/>
      <c r="P10" s="141"/>
      <c r="Q10" s="142"/>
    </row>
    <row r="11" spans="1:17" s="2" customFormat="1" ht="12.75" customHeight="1">
      <c r="A11" s="4">
        <v>301</v>
      </c>
      <c r="B11" s="2">
        <v>3</v>
      </c>
      <c r="C11" s="114" t="s">
        <v>715</v>
      </c>
      <c r="D11" s="268" t="str">
        <f>VLOOKUP(C11,Purchased!A:B,2,0)</f>
        <v>BRL 15mm runner block, short</v>
      </c>
      <c r="E11" s="269"/>
      <c r="F11" s="112" t="str">
        <f>VLOOKUP(C11,Purchased!A:Q,9,0)</f>
        <v>BRL</v>
      </c>
      <c r="G11" s="112" t="str">
        <f>VLOOKUP(C11,Purchased!A:Q,10,0)</f>
        <v>AAP</v>
      </c>
      <c r="H11" s="112" t="str">
        <f>VLOOKUP(C11,Purchased!A:Q,12,0)</f>
        <v xml:space="preserve"> </v>
      </c>
      <c r="I11" s="113"/>
      <c r="J11" s="44">
        <f>VLOOKUP(C11,Purchased!A:Q,13,0)</f>
        <v>45093</v>
      </c>
      <c r="K11" s="44">
        <f>VLOOKUP(C11,Purchased!A:Q,14,0)</f>
        <v>45093</v>
      </c>
      <c r="L11" s="44">
        <f>VLOOKUP(C11,Purchased!A:Q,15,0)</f>
        <v>45184</v>
      </c>
      <c r="M11" s="44">
        <f>VLOOKUP(C11,Purchased!A:Q,16,0)</f>
        <v>45184</v>
      </c>
      <c r="N11" s="45">
        <f>VLOOKUP(C11,Purchased!A:Q,17,0)</f>
        <v>54942</v>
      </c>
      <c r="O11" s="45" t="e">
        <f t="shared" ref="O11:O13" ca="1" si="2">B11*$L$2</f>
        <v>#VALUE!</v>
      </c>
      <c r="P11" s="49">
        <f>IFERROR(VLOOKUP(C11,Purchased!A:E,3,FALSE),"")</f>
        <v>79.043700000000001</v>
      </c>
      <c r="Q11" s="50">
        <f t="shared" ref="Q11:Q13" si="3">IFERROR(B11*P11,"")</f>
        <v>237.1311</v>
      </c>
    </row>
    <row r="12" spans="1:17" s="2" customFormat="1" ht="12" customHeight="1">
      <c r="A12" s="4">
        <f t="shared" ref="A12:A13" si="4">A11+1</f>
        <v>302</v>
      </c>
      <c r="B12" s="2">
        <v>1</v>
      </c>
      <c r="C12" s="114" t="s">
        <v>731</v>
      </c>
      <c r="D12" s="268" t="str">
        <f>VLOOKUP(C12,Purchased!A:B,2,0)</f>
        <v>Multipurpose 6061 Aluminum Round Tube 0.065" Wall Thickness, 3" OD x 6"</v>
      </c>
      <c r="E12" s="269"/>
      <c r="F12" s="112" t="str">
        <f>VLOOKUP(C12,Purchased!A:Q,9,0)</f>
        <v>MCM</v>
      </c>
      <c r="G12" s="112" t="str">
        <f>VLOOKUP(C12,Purchased!A:Q,10,0)</f>
        <v>MCM</v>
      </c>
      <c r="H12" s="112" t="str">
        <f>VLOOKUP(C12,Purchased!A:Q,12,0)</f>
        <v>6" Length</v>
      </c>
      <c r="I12" s="113"/>
      <c r="J12" s="44" t="str">
        <f>VLOOKUP(C12,Purchased!A:Q,13,0)</f>
        <v>N/A</v>
      </c>
      <c r="K12" s="44">
        <f>VLOOKUP(C12,Purchased!A:Q,14,0)</f>
        <v>45162</v>
      </c>
      <c r="L12" s="44">
        <f>VLOOKUP(C12,Purchased!A:Q,15,0)</f>
        <v>45184</v>
      </c>
      <c r="M12" s="44">
        <f>VLOOKUP(C12,Purchased!A:Q,16,0)</f>
        <v>45163</v>
      </c>
      <c r="N12" s="45">
        <f>VLOOKUP(C12,Purchased!A:Q,17,0)</f>
        <v>55088</v>
      </c>
      <c r="O12" s="45" t="e">
        <f t="shared" ca="1" si="2"/>
        <v>#VALUE!</v>
      </c>
      <c r="P12" s="49">
        <f>IFERROR(VLOOKUP(C12,Purchased!A:E,3,FALSE),"")</f>
        <v>27.21</v>
      </c>
      <c r="Q12" s="50">
        <f t="shared" si="3"/>
        <v>27.21</v>
      </c>
    </row>
    <row r="13" spans="1:17" s="2" customFormat="1" ht="12" customHeight="1">
      <c r="A13" s="4">
        <f t="shared" si="4"/>
        <v>303</v>
      </c>
      <c r="B13" s="2">
        <v>0.5</v>
      </c>
      <c r="C13" s="114" t="s">
        <v>465</v>
      </c>
      <c r="D13" s="268" t="str">
        <f>VLOOKUP(C13,Purchased!A:B,2,0)</f>
        <v>IGUS Drylin Lead Screw Nut</v>
      </c>
      <c r="E13" s="269"/>
      <c r="F13" s="112" t="str">
        <f>VLOOKUP(C13,Purchased!A:Q,9,0)</f>
        <v>IGUS</v>
      </c>
      <c r="G13" s="112" t="str">
        <f>VLOOKUP(C13,Purchased!A:Q,10,0)</f>
        <v>IGUS</v>
      </c>
      <c r="H13" s="112" t="str">
        <f>VLOOKUP(C13,Purchased!A:Q,12,0)</f>
        <v xml:space="preserve"> </v>
      </c>
      <c r="I13" s="113"/>
      <c r="J13" s="44">
        <f>VLOOKUP(C13,Purchased!A:Q,13,0)</f>
        <v>45125</v>
      </c>
      <c r="K13" s="44">
        <f>VLOOKUP(C13,Purchased!A:Q,14,0)</f>
        <v>45161</v>
      </c>
      <c r="L13" s="44">
        <f>VLOOKUP(C13,Purchased!A:Q,15,0)</f>
        <v>45191</v>
      </c>
      <c r="M13" s="44">
        <f>VLOOKUP(C13,Purchased!A:Q,16,0)</f>
        <v>45208</v>
      </c>
      <c r="N13" s="45">
        <f>VLOOKUP(C13,Purchased!A:Q,17,0)</f>
        <v>55076</v>
      </c>
      <c r="O13" s="45" t="e">
        <f t="shared" ca="1" si="2"/>
        <v>#VALUE!</v>
      </c>
      <c r="P13" s="49">
        <f>IFERROR(VLOOKUP(C13,Purchased!A:E,3,FALSE),"")</f>
        <v>20.03</v>
      </c>
      <c r="Q13" s="50">
        <f t="shared" si="3"/>
        <v>10.015000000000001</v>
      </c>
    </row>
    <row r="14" spans="1:17" s="2" customFormat="1" ht="12.75" customHeight="1">
      <c r="A14" s="25"/>
      <c r="B14" s="26"/>
      <c r="C14" s="26"/>
      <c r="D14" s="272"/>
      <c r="E14" s="273"/>
      <c r="F14" s="26"/>
      <c r="G14" s="26"/>
      <c r="H14" s="274"/>
      <c r="I14" s="275"/>
      <c r="J14" s="27"/>
      <c r="K14" s="27"/>
      <c r="L14" s="27"/>
      <c r="M14" s="28"/>
      <c r="N14" s="29"/>
      <c r="O14" s="29" t="e">
        <f t="shared" ref="O14:O20" ca="1" si="5">B14*$L$2</f>
        <v>#VALUE!</v>
      </c>
      <c r="P14" s="141"/>
      <c r="Q14" s="142"/>
    </row>
    <row r="15" spans="1:17" s="2" customFormat="1" ht="12.75" customHeight="1">
      <c r="A15" s="4">
        <v>501</v>
      </c>
      <c r="B15" s="2">
        <v>2</v>
      </c>
      <c r="C15" s="110" t="s">
        <v>732</v>
      </c>
      <c r="D15" s="268"/>
      <c r="E15" s="276"/>
      <c r="F15" s="112">
        <f>VLOOKUP(C15,Bolts!A:L,5,0)</f>
        <v>0</v>
      </c>
      <c r="G15" s="112">
        <f>VLOOKUP(C15,Bolts!A:L,6,0)</f>
        <v>0</v>
      </c>
      <c r="H15" s="112">
        <f>VLOOKUP(C15,Bolts!A:L,7,0)</f>
        <v>0</v>
      </c>
      <c r="I15" s="112"/>
      <c r="J15" s="44">
        <f>VLOOKUP(C15,Bolts!A:L,8,0)</f>
        <v>0</v>
      </c>
      <c r="K15" s="44">
        <f>VLOOKUP(C15,Bolts!A:L,9,0)</f>
        <v>0</v>
      </c>
      <c r="L15" s="44">
        <f>VLOOKUP(C15,Bolts!A:L,10,0)</f>
        <v>0</v>
      </c>
      <c r="M15" s="44">
        <f>VLOOKUP(C15,Bolts!A:L,11,0)</f>
        <v>0</v>
      </c>
      <c r="N15" s="45">
        <f>VLOOKUP(C15,Bolts!A:L,12,0)</f>
        <v>0</v>
      </c>
      <c r="O15" s="45" t="e">
        <f t="shared" ca="1" si="5"/>
        <v>#VALUE!</v>
      </c>
      <c r="P15" s="49">
        <f>IFERROR(VLOOKUP(C15,Bolts!A:B,2,FALSE),"")</f>
        <v>0</v>
      </c>
      <c r="Q15" s="50">
        <f t="shared" ref="Q15:Q20" si="6">IFERROR(B15*P15,"")</f>
        <v>0</v>
      </c>
    </row>
    <row r="16" spans="1:17" s="2" customFormat="1" ht="12.75" customHeight="1">
      <c r="A16" s="4">
        <f t="shared" ref="A16:A22" si="7">A15+1</f>
        <v>502</v>
      </c>
      <c r="B16" s="2">
        <v>6</v>
      </c>
      <c r="C16" s="110" t="s">
        <v>636</v>
      </c>
      <c r="D16" s="268"/>
      <c r="E16" s="276"/>
      <c r="F16" s="112" t="str">
        <f>VLOOKUP(C16,Bolts!A:L,5,0)</f>
        <v xml:space="preserve">  </v>
      </c>
      <c r="G16" s="112" t="str">
        <f>VLOOKUP(C16,Bolts!A:L,6,0)</f>
        <v>Monroe Fasteners</v>
      </c>
      <c r="H16" s="112" t="str">
        <f>VLOOKUP(C16,Bolts!A:L,7,0)</f>
        <v xml:space="preserve">  </v>
      </c>
      <c r="I16" s="112"/>
      <c r="J16" s="44" t="str">
        <f>VLOOKUP(C16,Bolts!A:L,8,0)</f>
        <v xml:space="preserve"> </v>
      </c>
      <c r="K16" s="44" t="str">
        <f>VLOOKUP(C16,Bolts!A:L,9,0)</f>
        <v xml:space="preserve"> </v>
      </c>
      <c r="L16" s="44" t="str">
        <f>VLOOKUP(C16,Bolts!A:L,10,0)</f>
        <v xml:space="preserve"> </v>
      </c>
      <c r="M16" s="44" t="str">
        <f>VLOOKUP(C16,Bolts!A:L,11,0)</f>
        <v xml:space="preserve"> </v>
      </c>
      <c r="N16" s="45" t="str">
        <f>VLOOKUP(C16,Bolts!A:L,12,0)</f>
        <v xml:space="preserve"> </v>
      </c>
      <c r="O16" s="45" t="e">
        <f t="shared" ca="1" si="5"/>
        <v>#VALUE!</v>
      </c>
      <c r="P16" s="49" t="str">
        <f>IFERROR(VLOOKUP(C16,Bolts!A:B,2,FALSE),"")</f>
        <v xml:space="preserve"> </v>
      </c>
      <c r="Q16" s="50" t="str">
        <f t="shared" si="6"/>
        <v/>
      </c>
    </row>
    <row r="17" spans="1:17" s="2" customFormat="1" ht="12" customHeight="1">
      <c r="A17" s="4">
        <f t="shared" si="7"/>
        <v>503</v>
      </c>
      <c r="B17" s="2">
        <v>2</v>
      </c>
      <c r="C17" s="110" t="s">
        <v>336</v>
      </c>
      <c r="D17" s="268"/>
      <c r="E17" s="276"/>
      <c r="F17" s="112" t="str">
        <f>VLOOKUP(C17,Bolts!A:L,5,0)</f>
        <v xml:space="preserve">  </v>
      </c>
      <c r="G17" s="112" t="str">
        <f>VLOOKUP(C17,Bolts!A:L,6,0)</f>
        <v>Monroe Fasteners</v>
      </c>
      <c r="H17" s="112" t="str">
        <f>VLOOKUP(C17,Bolts!A:L,7,0)</f>
        <v xml:space="preserve">  </v>
      </c>
      <c r="I17" s="112"/>
      <c r="J17" s="44" t="str">
        <f>VLOOKUP(C17,Bolts!A:L,8,0)</f>
        <v xml:space="preserve"> </v>
      </c>
      <c r="K17" s="44" t="str">
        <f>VLOOKUP(C17,Bolts!A:L,9,0)</f>
        <v xml:space="preserve"> </v>
      </c>
      <c r="L17" s="44" t="str">
        <f>VLOOKUP(C17,Bolts!A:L,10,0)</f>
        <v xml:space="preserve"> </v>
      </c>
      <c r="M17" s="44" t="str">
        <f>VLOOKUP(C17,Bolts!A:L,11,0)</f>
        <v xml:space="preserve"> </v>
      </c>
      <c r="N17" s="45" t="str">
        <f>VLOOKUP(C17,Bolts!A:L,12,0)</f>
        <v xml:space="preserve"> </v>
      </c>
      <c r="O17" s="45" t="e">
        <f t="shared" ca="1" si="5"/>
        <v>#VALUE!</v>
      </c>
      <c r="P17" s="49" t="str">
        <f>IFERROR(VLOOKUP(C17,Bolts!A:B,2,FALSE),"")</f>
        <v xml:space="preserve"> </v>
      </c>
      <c r="Q17" s="50" t="str">
        <f t="shared" si="6"/>
        <v/>
      </c>
    </row>
    <row r="18" spans="1:17" s="2" customFormat="1" ht="12" customHeight="1">
      <c r="A18" s="4">
        <f t="shared" si="7"/>
        <v>504</v>
      </c>
      <c r="B18" s="2">
        <v>3</v>
      </c>
      <c r="C18" s="110" t="s">
        <v>733</v>
      </c>
      <c r="D18" s="268"/>
      <c r="E18" s="276"/>
      <c r="F18" s="112" t="str">
        <f>VLOOKUP(C18,Bolts!A:L,5,0)</f>
        <v xml:space="preserve">  </v>
      </c>
      <c r="G18" s="112" t="str">
        <f>VLOOKUP(C18,Bolts!A:L,6,0)</f>
        <v>Monroe Fasteners</v>
      </c>
      <c r="H18" s="112" t="str">
        <f>VLOOKUP(C18,Bolts!A:L,7,0)</f>
        <v xml:space="preserve">  </v>
      </c>
      <c r="I18" s="112"/>
      <c r="J18" s="44" t="str">
        <f>VLOOKUP(C18,Bolts!A:L,8,0)</f>
        <v xml:space="preserve"> </v>
      </c>
      <c r="K18" s="44" t="str">
        <f>VLOOKUP(C18,Bolts!A:L,9,0)</f>
        <v xml:space="preserve"> </v>
      </c>
      <c r="L18" s="44" t="str">
        <f>VLOOKUP(C18,Bolts!A:L,10,0)</f>
        <v xml:space="preserve"> </v>
      </c>
      <c r="M18" s="44" t="str">
        <f>VLOOKUP(C18,Bolts!A:L,11,0)</f>
        <v xml:space="preserve"> </v>
      </c>
      <c r="N18" s="45" t="str">
        <f>VLOOKUP(C18,Bolts!A:L,12,0)</f>
        <v xml:space="preserve"> </v>
      </c>
      <c r="O18" s="45" t="e">
        <f t="shared" ca="1" si="5"/>
        <v>#VALUE!</v>
      </c>
      <c r="P18" s="49" t="str">
        <f>IFERROR(VLOOKUP(C18,Bolts!A:B,2,FALSE),"")</f>
        <v xml:space="preserve"> </v>
      </c>
      <c r="Q18" s="50" t="str">
        <f t="shared" si="6"/>
        <v/>
      </c>
    </row>
    <row r="19" spans="1:17" s="2" customFormat="1" ht="12" customHeight="1">
      <c r="A19" s="4">
        <f t="shared" si="7"/>
        <v>505</v>
      </c>
      <c r="B19" s="2">
        <v>8</v>
      </c>
      <c r="C19" s="110" t="s">
        <v>734</v>
      </c>
      <c r="D19" s="268"/>
      <c r="E19" s="276"/>
      <c r="F19" s="112" t="e">
        <f>VLOOKUP(C19,Bolts!A:L,5,0)</f>
        <v>#N/A</v>
      </c>
      <c r="G19" s="112" t="e">
        <f>VLOOKUP(C19,Bolts!A:L,6,0)</f>
        <v>#N/A</v>
      </c>
      <c r="H19" s="112" t="e">
        <f>VLOOKUP(C19,Bolts!A:L,7,0)</f>
        <v>#N/A</v>
      </c>
      <c r="I19" s="112"/>
      <c r="J19" s="44" t="e">
        <f>VLOOKUP(C19,Bolts!A:L,8,0)</f>
        <v>#N/A</v>
      </c>
      <c r="K19" s="44" t="e">
        <f>VLOOKUP(C19,Bolts!A:L,9,0)</f>
        <v>#N/A</v>
      </c>
      <c r="L19" s="44" t="e">
        <f>VLOOKUP(C19,Bolts!A:L,10,0)</f>
        <v>#N/A</v>
      </c>
      <c r="M19" s="44" t="e">
        <f>VLOOKUP(C19,Bolts!A:L,11,0)</f>
        <v>#N/A</v>
      </c>
      <c r="N19" s="45" t="e">
        <f>VLOOKUP(C19,Bolts!A:L,12,0)</f>
        <v>#N/A</v>
      </c>
      <c r="O19" s="45" t="e">
        <f t="shared" ca="1" si="5"/>
        <v>#VALUE!</v>
      </c>
      <c r="P19" s="49" t="str">
        <f>IFERROR(VLOOKUP(C19,Bolts!A:B,2,FALSE),"")</f>
        <v/>
      </c>
      <c r="Q19" s="50" t="str">
        <f t="shared" si="6"/>
        <v/>
      </c>
    </row>
    <row r="20" spans="1:17" s="2" customFormat="1" ht="12" customHeight="1">
      <c r="A20" s="4">
        <f t="shared" si="7"/>
        <v>506</v>
      </c>
      <c r="B20" s="2">
        <v>2</v>
      </c>
      <c r="C20" s="110" t="s">
        <v>453</v>
      </c>
      <c r="D20" s="268"/>
      <c r="E20" s="276"/>
      <c r="F20" s="112" t="str">
        <f>VLOOKUP(C20,Bolts!A:L,5,0)</f>
        <v xml:space="preserve">  </v>
      </c>
      <c r="G20" s="112" t="str">
        <f>VLOOKUP(C20,Bolts!A:L,6,0)</f>
        <v>Monroe Fasteners</v>
      </c>
      <c r="H20" s="112" t="str">
        <f>VLOOKUP(C20,Bolts!A:L,7,0)</f>
        <v xml:space="preserve">  </v>
      </c>
      <c r="I20" s="112"/>
      <c r="J20" s="44" t="str">
        <f>VLOOKUP(C20,Bolts!A:L,8,0)</f>
        <v xml:space="preserve"> </v>
      </c>
      <c r="K20" s="44" t="str">
        <f>VLOOKUP(C20,Bolts!A:L,9,0)</f>
        <v xml:space="preserve"> </v>
      </c>
      <c r="L20" s="44" t="str">
        <f>VLOOKUP(C20,Bolts!A:L,10,0)</f>
        <v xml:space="preserve"> </v>
      </c>
      <c r="M20" s="44" t="str">
        <f>VLOOKUP(C20,Bolts!A:L,11,0)</f>
        <v xml:space="preserve"> </v>
      </c>
      <c r="N20" s="45" t="str">
        <f>VLOOKUP(C20,Bolts!A:L,12,0)</f>
        <v xml:space="preserve"> </v>
      </c>
      <c r="O20" s="45" t="e">
        <f t="shared" ca="1" si="5"/>
        <v>#VALUE!</v>
      </c>
      <c r="P20" s="49" t="str">
        <f>IFERROR(VLOOKUP(C20,Bolts!A:B,2,FALSE),"")</f>
        <v xml:space="preserve"> </v>
      </c>
      <c r="Q20" s="50" t="str">
        <f t="shared" si="6"/>
        <v/>
      </c>
    </row>
    <row r="21" spans="1:17" s="2" customFormat="1" ht="12" customHeight="1">
      <c r="A21" s="4">
        <f t="shared" si="7"/>
        <v>507</v>
      </c>
      <c r="B21" s="2">
        <v>3</v>
      </c>
      <c r="C21" s="110" t="s">
        <v>351</v>
      </c>
      <c r="D21" s="164"/>
      <c r="E21" s="165"/>
      <c r="F21" s="112" t="str">
        <f>VLOOKUP(C21,Bolts!A:L,5,0)</f>
        <v xml:space="preserve">  </v>
      </c>
      <c r="G21" s="112" t="str">
        <f>VLOOKUP(C21,Bolts!A:L,6,0)</f>
        <v>Monroe Fasteners</v>
      </c>
      <c r="H21" s="112" t="str">
        <f>VLOOKUP(C21,Bolts!A:L,7,0)</f>
        <v xml:space="preserve">  </v>
      </c>
      <c r="I21" s="112"/>
      <c r="J21" s="44" t="str">
        <f>VLOOKUP(C21,Bolts!A:L,8,0)</f>
        <v xml:space="preserve"> </v>
      </c>
      <c r="K21" s="44" t="str">
        <f>VLOOKUP(C21,Bolts!A:L,9,0)</f>
        <v xml:space="preserve"> </v>
      </c>
      <c r="L21" s="44" t="str">
        <f>VLOOKUP(C21,Bolts!A:L,10,0)</f>
        <v xml:space="preserve"> </v>
      </c>
      <c r="M21" s="44" t="str">
        <f>VLOOKUP(C21,Bolts!A:L,11,0)</f>
        <v xml:space="preserve"> </v>
      </c>
      <c r="N21" s="45" t="str">
        <f>VLOOKUP(C21,Bolts!A:L,12,0)</f>
        <v xml:space="preserve"> </v>
      </c>
      <c r="O21" s="45" t="e">
        <f t="shared" ref="O21:O22" ca="1" si="8">B21*$L$2</f>
        <v>#VALUE!</v>
      </c>
      <c r="P21" s="49" t="str">
        <f>IFERROR(VLOOKUP(C21,Bolts!A:B,2,FALSE),"")</f>
        <v xml:space="preserve"> </v>
      </c>
      <c r="Q21" s="50" t="str">
        <f t="shared" ref="Q21:Q22" si="9">IFERROR(B21*P21,"")</f>
        <v/>
      </c>
    </row>
    <row r="22" spans="1:17" s="2" customFormat="1" ht="12" customHeight="1" thickBot="1">
      <c r="A22" s="4">
        <f t="shared" si="7"/>
        <v>508</v>
      </c>
      <c r="B22" s="2">
        <v>2</v>
      </c>
      <c r="C22" s="110" t="s">
        <v>289</v>
      </c>
      <c r="D22" s="164"/>
      <c r="E22" s="165"/>
      <c r="F22" s="112" t="str">
        <f>VLOOKUP(C22,Bolts!A:L,5,0)</f>
        <v xml:space="preserve">  </v>
      </c>
      <c r="G22" s="112" t="str">
        <f>VLOOKUP(C22,Bolts!A:L,6,0)</f>
        <v>Monroe Fasteners</v>
      </c>
      <c r="H22" s="112" t="str">
        <f>VLOOKUP(C22,Bolts!A:L,7,0)</f>
        <v xml:space="preserve">  </v>
      </c>
      <c r="I22" s="112"/>
      <c r="J22" s="44" t="str">
        <f>VLOOKUP(C22,Bolts!A:L,8,0)</f>
        <v xml:space="preserve"> </v>
      </c>
      <c r="K22" s="44" t="str">
        <f>VLOOKUP(C22,Bolts!A:L,9,0)</f>
        <v xml:space="preserve"> </v>
      </c>
      <c r="L22" s="44" t="str">
        <f>VLOOKUP(C22,Bolts!A:L,10,0)</f>
        <v xml:space="preserve"> </v>
      </c>
      <c r="M22" s="44" t="str">
        <f>VLOOKUP(C22,Bolts!A:L,11,0)</f>
        <v xml:space="preserve"> </v>
      </c>
      <c r="N22" s="45" t="str">
        <f>VLOOKUP(C22,Bolts!A:L,12,0)</f>
        <v xml:space="preserve"> </v>
      </c>
      <c r="O22" s="45" t="e">
        <f t="shared" ca="1" si="8"/>
        <v>#VALUE!</v>
      </c>
      <c r="P22" s="49" t="str">
        <f>IFERROR(VLOOKUP(C22,Bolts!A:B,2,FALSE),"")</f>
        <v xml:space="preserve"> </v>
      </c>
      <c r="Q22" s="50" t="str">
        <f t="shared" si="9"/>
        <v/>
      </c>
    </row>
    <row r="23" spans="1:17" s="2" customFormat="1" ht="12.75" customHeight="1" thickBot="1">
      <c r="A23" s="34"/>
      <c r="B23" s="35"/>
      <c r="C23" s="35"/>
      <c r="D23" s="256"/>
      <c r="E23" s="257"/>
      <c r="F23" s="35"/>
      <c r="G23" s="35"/>
      <c r="H23" s="294"/>
      <c r="I23" s="295"/>
      <c r="J23" s="36"/>
      <c r="K23" s="36"/>
      <c r="L23" s="36"/>
      <c r="M23" s="37"/>
      <c r="N23" s="38"/>
      <c r="O23" s="38"/>
      <c r="P23" s="89" t="s">
        <v>43</v>
      </c>
      <c r="Q23" s="94">
        <f>SUM(Q5:Q20)</f>
        <v>949.14610000000005</v>
      </c>
    </row>
    <row r="24" spans="1:17" s="2" customFormat="1" ht="12" customHeight="1">
      <c r="D24" s="22"/>
      <c r="E24" s="22"/>
      <c r="J24" s="8"/>
      <c r="K24" s="8"/>
      <c r="L24" s="8"/>
      <c r="M24" s="8"/>
      <c r="N24" s="5"/>
      <c r="O24" s="5"/>
      <c r="P24" s="88"/>
      <c r="Q24" s="95"/>
    </row>
    <row r="25" spans="1:17" s="2" customFormat="1" ht="12" customHeight="1">
      <c r="D25" s="22"/>
      <c r="E25" s="22"/>
      <c r="J25" s="5"/>
      <c r="K25" s="5"/>
      <c r="L25" s="5"/>
      <c r="M25" s="5"/>
      <c r="N25" s="5"/>
      <c r="O25" s="5"/>
      <c r="P25" s="88"/>
      <c r="Q25" s="95"/>
    </row>
    <row r="26" spans="1:17" s="2" customFormat="1" ht="12" customHeight="1">
      <c r="D26" s="22"/>
      <c r="E26" s="22"/>
      <c r="J26" s="5"/>
      <c r="K26" s="5"/>
      <c r="L26" s="5"/>
      <c r="M26" s="5"/>
      <c r="N26" s="5"/>
      <c r="O26" s="5"/>
      <c r="P26" s="88"/>
      <c r="Q26" s="95"/>
    </row>
    <row r="27" spans="1:17" s="2" customFormat="1" ht="12" customHeight="1">
      <c r="D27" s="22"/>
      <c r="E27" s="22"/>
      <c r="J27" s="5"/>
      <c r="K27" s="5"/>
      <c r="L27" s="5"/>
      <c r="M27" s="5"/>
      <c r="N27" s="5"/>
      <c r="O27" s="5"/>
      <c r="P27" s="88"/>
      <c r="Q27" s="95"/>
    </row>
    <row r="28" spans="1:17" s="2" customFormat="1" ht="12" customHeight="1">
      <c r="D28" s="22"/>
      <c r="E28" s="22"/>
      <c r="J28" s="5"/>
      <c r="K28" s="5"/>
      <c r="L28" s="5"/>
      <c r="M28" s="5"/>
      <c r="N28" s="5"/>
      <c r="O28" s="5"/>
      <c r="P28" s="88"/>
      <c r="Q28" s="95"/>
    </row>
    <row r="29" spans="1:17" s="2" customFormat="1" ht="12" customHeight="1">
      <c r="D29" s="22"/>
      <c r="E29" s="22"/>
      <c r="J29" s="5"/>
      <c r="K29" s="5"/>
      <c r="L29" s="5"/>
      <c r="M29" s="5"/>
      <c r="N29" s="5"/>
      <c r="O29" s="5"/>
      <c r="P29" s="88"/>
      <c r="Q29" s="95"/>
    </row>
    <row r="30" spans="1:17" s="2" customFormat="1" ht="12" customHeight="1">
      <c r="D30" s="22"/>
      <c r="E30" s="22"/>
      <c r="J30" s="5"/>
      <c r="K30" s="5"/>
      <c r="L30" s="5"/>
      <c r="M30" s="5"/>
      <c r="N30" s="5"/>
      <c r="O30" s="5"/>
      <c r="P30" s="88"/>
      <c r="Q30" s="95"/>
    </row>
    <row r="31" spans="1:17" s="2" customFormat="1" ht="12" customHeight="1">
      <c r="D31" s="22"/>
      <c r="E31" s="22"/>
      <c r="J31" s="5"/>
      <c r="K31" s="5"/>
      <c r="L31" s="5"/>
      <c r="M31" s="5"/>
      <c r="N31" s="5"/>
      <c r="O31" s="5"/>
      <c r="P31" s="88"/>
      <c r="Q31" s="95"/>
    </row>
    <row r="32" spans="1:17" s="2" customFormat="1" ht="12" customHeight="1">
      <c r="D32" s="22"/>
      <c r="E32" s="22"/>
      <c r="J32" s="5"/>
      <c r="K32" s="5"/>
      <c r="L32" s="5"/>
      <c r="M32" s="5"/>
      <c r="N32" s="5"/>
      <c r="O32" s="5"/>
      <c r="P32" s="88"/>
      <c r="Q32" s="95"/>
    </row>
    <row r="33" spans="4:17" s="2" customFormat="1" ht="12" customHeight="1">
      <c r="D33" s="22"/>
      <c r="E33" s="22"/>
      <c r="J33" s="5"/>
      <c r="K33" s="5"/>
      <c r="L33" s="5"/>
      <c r="M33" s="5"/>
      <c r="N33" s="5"/>
      <c r="O33" s="5"/>
      <c r="P33" s="88"/>
      <c r="Q33" s="95"/>
    </row>
    <row r="34" spans="4:17" s="2" customFormat="1" ht="12" customHeight="1">
      <c r="D34" s="22"/>
      <c r="E34" s="22"/>
      <c r="J34" s="5"/>
      <c r="K34" s="5"/>
      <c r="L34" s="5"/>
      <c r="M34" s="5"/>
      <c r="N34" s="5"/>
      <c r="O34" s="5"/>
      <c r="P34" s="88"/>
      <c r="Q34" s="95"/>
    </row>
    <row r="35" spans="4:17" s="2" customFormat="1" ht="12" customHeight="1">
      <c r="D35" s="22"/>
      <c r="E35" s="22"/>
      <c r="J35" s="5"/>
      <c r="K35" s="5"/>
      <c r="L35" s="5"/>
      <c r="M35" s="5"/>
      <c r="N35" s="5"/>
      <c r="O35" s="5"/>
      <c r="P35" s="88"/>
      <c r="Q35" s="95"/>
    </row>
    <row r="36" spans="4:17" s="2" customFormat="1" ht="12" customHeight="1">
      <c r="D36" s="22"/>
      <c r="E36" s="22"/>
      <c r="J36" s="5"/>
      <c r="K36" s="5"/>
      <c r="L36" s="5"/>
      <c r="M36" s="5"/>
      <c r="N36" s="5"/>
      <c r="O36" s="5"/>
      <c r="P36" s="88"/>
      <c r="Q36" s="95"/>
    </row>
    <row r="37" spans="4:17" s="2" customFormat="1" ht="12" customHeight="1">
      <c r="D37" s="22"/>
      <c r="E37" s="22"/>
      <c r="J37" s="5"/>
      <c r="K37" s="5"/>
      <c r="L37" s="5"/>
      <c r="M37" s="5"/>
      <c r="N37" s="5"/>
      <c r="O37" s="5"/>
      <c r="P37" s="88"/>
      <c r="Q37" s="95"/>
    </row>
    <row r="38" spans="4:17" s="2" customFormat="1" ht="12" customHeight="1">
      <c r="D38" s="22"/>
      <c r="E38" s="22"/>
      <c r="J38" s="5"/>
      <c r="K38" s="5"/>
      <c r="L38" s="5"/>
      <c r="M38" s="5"/>
      <c r="N38" s="5"/>
      <c r="O38" s="5"/>
      <c r="P38" s="88"/>
      <c r="Q38" s="95"/>
    </row>
    <row r="39" spans="4:17" s="2" customFormat="1" ht="12" customHeight="1">
      <c r="D39" s="22"/>
      <c r="E39" s="22"/>
      <c r="J39" s="5"/>
      <c r="K39" s="5"/>
      <c r="L39" s="5"/>
      <c r="M39" s="5"/>
      <c r="N39" s="5"/>
      <c r="O39" s="5"/>
      <c r="P39" s="88"/>
      <c r="Q39" s="95"/>
    </row>
    <row r="40" spans="4:17" s="2" customFormat="1" ht="12" customHeight="1">
      <c r="D40" s="22"/>
      <c r="E40" s="22"/>
      <c r="J40" s="5"/>
      <c r="K40" s="5"/>
      <c r="L40" s="5"/>
      <c r="M40" s="5"/>
      <c r="N40" s="5"/>
      <c r="O40" s="5"/>
      <c r="P40" s="88"/>
      <c r="Q40" s="95"/>
    </row>
    <row r="41" spans="4:17" s="2" customFormat="1" ht="12" customHeight="1">
      <c r="D41" s="22"/>
      <c r="E41" s="22"/>
      <c r="J41" s="5"/>
      <c r="K41" s="5"/>
      <c r="L41" s="5"/>
      <c r="M41" s="5"/>
      <c r="N41" s="5"/>
      <c r="O41" s="5"/>
      <c r="P41" s="88"/>
      <c r="Q41" s="95"/>
    </row>
    <row r="42" spans="4:17" s="2" customFormat="1" ht="12" customHeight="1">
      <c r="D42" s="22"/>
      <c r="E42" s="22"/>
      <c r="J42" s="5"/>
      <c r="K42" s="5"/>
      <c r="L42" s="5"/>
      <c r="M42" s="5"/>
      <c r="N42" s="5"/>
      <c r="O42" s="5"/>
      <c r="P42" s="88"/>
      <c r="Q42" s="95"/>
    </row>
    <row r="43" spans="4:17" s="2" customFormat="1" ht="12" customHeight="1">
      <c r="D43" s="22"/>
      <c r="E43" s="22"/>
      <c r="J43" s="5"/>
      <c r="K43" s="5"/>
      <c r="L43" s="5"/>
      <c r="M43" s="5"/>
      <c r="N43" s="5"/>
      <c r="O43" s="5"/>
      <c r="P43" s="88"/>
      <c r="Q43" s="95"/>
    </row>
    <row r="44" spans="4:17" s="2" customFormat="1" ht="12" customHeight="1">
      <c r="D44" s="22"/>
      <c r="E44" s="22"/>
      <c r="J44" s="5"/>
      <c r="K44" s="5"/>
      <c r="L44" s="5"/>
      <c r="M44" s="5"/>
      <c r="N44" s="5"/>
      <c r="O44" s="5"/>
      <c r="P44" s="88"/>
      <c r="Q44" s="95"/>
    </row>
    <row r="45" spans="4:17" s="2" customFormat="1" ht="12" customHeight="1">
      <c r="D45" s="22"/>
      <c r="E45" s="22"/>
      <c r="J45" s="5"/>
      <c r="K45" s="5"/>
      <c r="L45" s="5"/>
      <c r="M45" s="5"/>
      <c r="N45" s="5"/>
      <c r="O45" s="5"/>
      <c r="P45" s="88"/>
      <c r="Q45" s="95"/>
    </row>
    <row r="46" spans="4:17" s="2" customFormat="1" ht="12" customHeight="1">
      <c r="D46" s="22"/>
      <c r="E46" s="22"/>
      <c r="J46" s="5"/>
      <c r="K46" s="5"/>
      <c r="L46" s="5"/>
      <c r="M46" s="5"/>
      <c r="N46" s="5"/>
      <c r="O46" s="5"/>
      <c r="P46" s="88"/>
      <c r="Q46" s="95"/>
    </row>
    <row r="47" spans="4:17" s="2" customFormat="1" ht="12" customHeight="1">
      <c r="D47" s="22"/>
      <c r="E47" s="22"/>
      <c r="J47" s="5"/>
      <c r="K47" s="5"/>
      <c r="L47" s="5"/>
      <c r="M47" s="5"/>
      <c r="N47" s="5"/>
      <c r="O47" s="5"/>
      <c r="P47" s="88"/>
      <c r="Q47" s="95"/>
    </row>
    <row r="48" spans="4:17" s="2" customFormat="1" ht="12" customHeight="1">
      <c r="D48" s="22"/>
      <c r="E48" s="22"/>
      <c r="J48" s="5"/>
      <c r="K48" s="5"/>
      <c r="L48" s="5"/>
      <c r="M48" s="5"/>
      <c r="N48" s="5"/>
      <c r="O48" s="5"/>
      <c r="P48" s="88"/>
      <c r="Q48" s="95"/>
    </row>
    <row r="49" spans="4:17" s="2" customFormat="1" ht="12" customHeight="1">
      <c r="D49" s="22"/>
      <c r="E49" s="22"/>
      <c r="J49" s="5"/>
      <c r="K49" s="5"/>
      <c r="L49" s="5"/>
      <c r="M49" s="5"/>
      <c r="N49" s="5"/>
      <c r="O49" s="5"/>
      <c r="P49" s="88"/>
      <c r="Q49" s="95"/>
    </row>
    <row r="50" spans="4:17" s="2" customFormat="1" ht="12" customHeight="1">
      <c r="D50" s="22"/>
      <c r="E50" s="22"/>
      <c r="J50" s="5"/>
      <c r="K50" s="5"/>
      <c r="L50" s="5"/>
      <c r="M50" s="5"/>
      <c r="N50" s="5"/>
      <c r="O50" s="5"/>
      <c r="P50" s="88"/>
      <c r="Q50" s="95"/>
    </row>
    <row r="51" spans="4:17" s="2" customFormat="1" ht="12" customHeight="1">
      <c r="D51" s="22"/>
      <c r="E51" s="22"/>
      <c r="J51" s="5"/>
      <c r="K51" s="5"/>
      <c r="L51" s="5"/>
      <c r="M51" s="5"/>
      <c r="N51" s="5"/>
      <c r="O51" s="5"/>
      <c r="P51" s="88"/>
      <c r="Q51" s="95"/>
    </row>
    <row r="52" spans="4:17" s="2" customFormat="1" ht="12" customHeight="1">
      <c r="D52" s="22"/>
      <c r="E52" s="22"/>
      <c r="J52" s="5"/>
      <c r="K52" s="5"/>
      <c r="L52" s="5"/>
      <c r="M52" s="5"/>
      <c r="N52" s="5"/>
      <c r="O52" s="5"/>
      <c r="P52" s="88"/>
      <c r="Q52" s="95"/>
    </row>
    <row r="53" spans="4:17" s="2" customFormat="1" ht="12" customHeight="1">
      <c r="D53" s="22"/>
      <c r="E53" s="22"/>
      <c r="J53" s="5"/>
      <c r="K53" s="5"/>
      <c r="L53" s="5"/>
      <c r="M53" s="5"/>
      <c r="N53" s="5"/>
      <c r="O53" s="5"/>
      <c r="P53" s="88"/>
      <c r="Q53" s="95"/>
    </row>
    <row r="54" spans="4:17" s="2" customFormat="1" ht="12" customHeight="1">
      <c r="D54" s="22"/>
      <c r="E54" s="22"/>
      <c r="J54" s="5"/>
      <c r="K54" s="5"/>
      <c r="L54" s="5"/>
      <c r="M54" s="5"/>
      <c r="N54" s="5"/>
      <c r="O54" s="5"/>
      <c r="P54" s="88"/>
      <c r="Q54" s="95"/>
    </row>
    <row r="55" spans="4:17" s="2" customFormat="1" ht="12" customHeight="1">
      <c r="D55" s="22"/>
      <c r="E55" s="22"/>
      <c r="J55" s="5"/>
      <c r="K55" s="5"/>
      <c r="L55" s="5"/>
      <c r="M55" s="5"/>
      <c r="N55" s="5"/>
      <c r="O55" s="5"/>
      <c r="P55" s="88"/>
      <c r="Q55" s="95"/>
    </row>
    <row r="56" spans="4:17" s="2" customFormat="1" ht="12" customHeight="1">
      <c r="D56" s="22"/>
      <c r="E56" s="22"/>
      <c r="J56" s="5"/>
      <c r="K56" s="5"/>
      <c r="L56" s="5"/>
      <c r="M56" s="5"/>
      <c r="N56" s="5"/>
      <c r="O56" s="5"/>
      <c r="P56" s="88"/>
      <c r="Q56" s="95"/>
    </row>
    <row r="57" spans="4:17" s="2" customFormat="1" ht="12" customHeight="1">
      <c r="D57" s="22"/>
      <c r="E57" s="22"/>
      <c r="J57" s="5"/>
      <c r="K57" s="5"/>
      <c r="L57" s="5"/>
      <c r="M57" s="5"/>
      <c r="N57" s="5"/>
      <c r="O57" s="5"/>
      <c r="P57" s="88"/>
      <c r="Q57" s="95"/>
    </row>
    <row r="58" spans="4:17" s="2" customFormat="1" ht="12" customHeight="1">
      <c r="D58" s="22"/>
      <c r="E58" s="22"/>
      <c r="J58" s="5"/>
      <c r="K58" s="5"/>
      <c r="L58" s="5"/>
      <c r="M58" s="5"/>
      <c r="N58" s="5"/>
      <c r="O58" s="5"/>
      <c r="P58" s="88"/>
      <c r="Q58" s="95"/>
    </row>
    <row r="59" spans="4:17" s="2" customFormat="1" ht="12" customHeight="1">
      <c r="D59" s="22"/>
      <c r="E59" s="22"/>
      <c r="J59" s="5"/>
      <c r="K59" s="5"/>
      <c r="L59" s="5"/>
      <c r="M59" s="5"/>
      <c r="N59" s="5"/>
      <c r="O59" s="5"/>
      <c r="P59" s="88"/>
      <c r="Q59" s="95"/>
    </row>
    <row r="60" spans="4:17" s="2" customFormat="1" ht="12" customHeight="1">
      <c r="D60" s="22"/>
      <c r="E60" s="22"/>
      <c r="J60" s="5"/>
      <c r="K60" s="5"/>
      <c r="L60" s="5"/>
      <c r="M60" s="5"/>
      <c r="N60" s="5"/>
      <c r="O60" s="5"/>
      <c r="P60" s="88"/>
      <c r="Q60" s="95"/>
    </row>
    <row r="61" spans="4:17" s="2" customFormat="1" ht="12" customHeight="1">
      <c r="D61" s="22"/>
      <c r="E61" s="22"/>
      <c r="J61" s="5"/>
      <c r="K61" s="5"/>
      <c r="L61" s="5"/>
      <c r="M61" s="5"/>
      <c r="N61" s="5"/>
      <c r="O61" s="5"/>
      <c r="P61" s="88"/>
      <c r="Q61" s="95"/>
    </row>
    <row r="62" spans="4:17" s="2" customFormat="1" ht="12" customHeight="1">
      <c r="D62" s="22"/>
      <c r="E62" s="22"/>
      <c r="J62" s="5"/>
      <c r="K62" s="5"/>
      <c r="L62" s="5"/>
      <c r="M62" s="5"/>
      <c r="N62" s="5"/>
      <c r="O62" s="5"/>
      <c r="P62" s="88"/>
      <c r="Q62" s="96"/>
    </row>
    <row r="63" spans="4:17" s="2" customFormat="1" ht="12" customHeight="1">
      <c r="D63" s="22"/>
      <c r="E63" s="22"/>
      <c r="J63" s="5"/>
      <c r="K63" s="5"/>
      <c r="L63" s="5"/>
      <c r="M63" s="5"/>
      <c r="N63" s="5"/>
      <c r="O63" s="5"/>
      <c r="P63" s="88"/>
      <c r="Q63" s="96"/>
    </row>
    <row r="64" spans="4:17" s="2" customFormat="1" ht="12" customHeight="1">
      <c r="D64" s="22"/>
      <c r="E64" s="22"/>
      <c r="J64" s="5"/>
      <c r="K64" s="5"/>
      <c r="L64" s="5"/>
      <c r="M64" s="5"/>
      <c r="N64" s="5"/>
      <c r="O64" s="5"/>
      <c r="P64" s="88"/>
      <c r="Q64" s="96"/>
    </row>
    <row r="65" spans="1:17" s="2" customFormat="1" ht="12" customHeight="1">
      <c r="D65" s="22"/>
      <c r="E65" s="22"/>
      <c r="J65" s="5"/>
      <c r="K65" s="5"/>
      <c r="L65" s="5"/>
      <c r="M65" s="5"/>
      <c r="N65" s="5"/>
      <c r="O65" s="5"/>
      <c r="P65" s="88"/>
      <c r="Q65" s="96"/>
    </row>
    <row r="66" spans="1:17" s="2" customFormat="1" ht="12" customHeight="1">
      <c r="A66"/>
      <c r="B66"/>
      <c r="C66"/>
      <c r="D66" s="23"/>
      <c r="E66" s="23"/>
      <c r="F66"/>
      <c r="G66"/>
      <c r="H66"/>
      <c r="I66"/>
      <c r="J66" s="19"/>
      <c r="K66" s="19"/>
      <c r="L66" s="19"/>
      <c r="M66" s="19"/>
      <c r="N66" s="19"/>
      <c r="O66" s="19"/>
      <c r="P66" s="90"/>
      <c r="Q66" s="96"/>
    </row>
    <row r="67" spans="1:17" s="2" customFormat="1" ht="12" customHeight="1">
      <c r="A67"/>
      <c r="B67"/>
      <c r="C67"/>
      <c r="D67" s="23"/>
      <c r="E67" s="23"/>
      <c r="F67"/>
      <c r="G67"/>
      <c r="H67"/>
      <c r="I67"/>
      <c r="J67" s="19"/>
      <c r="K67" s="19"/>
      <c r="L67" s="19"/>
      <c r="M67" s="19"/>
      <c r="N67" s="19"/>
      <c r="O67" s="19"/>
      <c r="P67" s="90"/>
      <c r="Q67" s="96"/>
    </row>
    <row r="68" spans="1:17" s="2" customFormat="1" ht="12" customHeight="1">
      <c r="A68"/>
      <c r="B68"/>
      <c r="C68"/>
      <c r="D68" s="23"/>
      <c r="E68" s="23"/>
      <c r="F68"/>
      <c r="G68"/>
      <c r="H68"/>
      <c r="I68"/>
      <c r="J68" s="19"/>
      <c r="K68" s="19"/>
      <c r="L68" s="19"/>
      <c r="M68" s="19"/>
      <c r="N68" s="19"/>
      <c r="O68" s="19"/>
      <c r="P68" s="90"/>
      <c r="Q68" s="96"/>
    </row>
    <row r="69" spans="1:17" s="2" customFormat="1" ht="12" customHeight="1">
      <c r="A69"/>
      <c r="B69"/>
      <c r="C69"/>
      <c r="D69" s="23"/>
      <c r="E69" s="23"/>
      <c r="F69"/>
      <c r="G69"/>
      <c r="H69"/>
      <c r="I69"/>
      <c r="J69" s="19"/>
      <c r="K69" s="19"/>
      <c r="L69" s="19"/>
      <c r="M69" s="19"/>
      <c r="N69" s="19"/>
      <c r="O69" s="19"/>
      <c r="P69" s="90"/>
      <c r="Q69" s="96"/>
    </row>
    <row r="70" spans="1:17" s="2" customFormat="1" ht="12" customHeight="1">
      <c r="A70"/>
      <c r="B70"/>
      <c r="C70"/>
      <c r="D70" s="23"/>
      <c r="E70" s="23"/>
      <c r="F70"/>
      <c r="G70"/>
      <c r="H70"/>
      <c r="I70"/>
      <c r="J70" s="19"/>
      <c r="K70" s="19"/>
      <c r="L70" s="19"/>
      <c r="M70" s="19"/>
      <c r="N70" s="19"/>
      <c r="O70" s="19"/>
      <c r="P70" s="90"/>
      <c r="Q70" s="96"/>
    </row>
    <row r="71" spans="1:17">
      <c r="Q71" s="96"/>
    </row>
    <row r="72" spans="1:17">
      <c r="Q72" s="96"/>
    </row>
    <row r="73" spans="1:17">
      <c r="Q73" s="96"/>
    </row>
    <row r="74" spans="1:17">
      <c r="Q74" s="96"/>
    </row>
    <row r="75" spans="1:17">
      <c r="Q75" s="96"/>
    </row>
    <row r="76" spans="1:17">
      <c r="Q76" s="96"/>
    </row>
    <row r="77" spans="1:17">
      <c r="Q77" s="96"/>
    </row>
    <row r="78" spans="1:17">
      <c r="Q78" s="96"/>
    </row>
    <row r="79" spans="1:17">
      <c r="Q79" s="96"/>
    </row>
    <row r="80" spans="1:17">
      <c r="Q80" s="96"/>
    </row>
    <row r="81" spans="17:17">
      <c r="Q81" s="96"/>
    </row>
    <row r="82" spans="17:17">
      <c r="Q82" s="96"/>
    </row>
    <row r="83" spans="17:17">
      <c r="Q83" s="96"/>
    </row>
    <row r="84" spans="17:17">
      <c r="Q84" s="96"/>
    </row>
    <row r="85" spans="17:17">
      <c r="Q85" s="96"/>
    </row>
    <row r="86" spans="17:17">
      <c r="Q86" s="96"/>
    </row>
    <row r="87" spans="17:17">
      <c r="Q87" s="96"/>
    </row>
    <row r="88" spans="17:17">
      <c r="Q88" s="96"/>
    </row>
    <row r="89" spans="17:17">
      <c r="Q89" s="96"/>
    </row>
    <row r="90" spans="17:17">
      <c r="Q90" s="96"/>
    </row>
    <row r="127" ht="12" customHeight="1"/>
    <row r="128" ht="12" customHeight="1"/>
    <row r="129" ht="12" customHeight="1"/>
    <row r="130" ht="12" customHeight="1"/>
    <row r="131" ht="12" customHeight="1"/>
    <row r="132" ht="12" customHeight="1"/>
    <row r="133" ht="12" customHeight="1"/>
    <row r="134" ht="12" customHeight="1"/>
    <row r="135" ht="12" customHeight="1"/>
    <row r="136" ht="12" customHeight="1"/>
    <row r="137" ht="12" customHeight="1"/>
    <row r="138" ht="12" customHeight="1"/>
    <row r="139" ht="12" customHeight="1"/>
    <row r="140" ht="12" customHeight="1"/>
    <row r="141" ht="12" customHeight="1"/>
    <row r="142" ht="12" customHeight="1"/>
    <row r="143" ht="12" customHeight="1"/>
    <row r="144" ht="12" customHeight="1"/>
    <row r="145" ht="12" customHeight="1"/>
    <row r="146" ht="12" customHeight="1"/>
    <row r="147" ht="12" customHeight="1"/>
    <row r="148" ht="12" customHeight="1"/>
    <row r="149" ht="12" customHeight="1"/>
    <row r="150" ht="12" customHeight="1"/>
    <row r="151" ht="12" customHeight="1"/>
    <row r="152" ht="12" customHeight="1"/>
    <row r="153" ht="12" customHeight="1"/>
    <row r="154" ht="12" customHeight="1"/>
    <row r="155" ht="12" customHeight="1"/>
    <row r="156" ht="12" customHeight="1"/>
    <row r="157" ht="12" customHeight="1"/>
    <row r="158" ht="12" customHeight="1"/>
    <row r="159" ht="12" customHeight="1"/>
    <row r="160" ht="12" customHeight="1"/>
    <row r="161" ht="12" customHeight="1"/>
    <row r="162" ht="12" customHeight="1"/>
    <row r="163" ht="12" customHeight="1"/>
    <row r="164" ht="12" customHeight="1"/>
    <row r="165" ht="12" customHeight="1"/>
    <row r="166" ht="12" customHeight="1"/>
    <row r="167" ht="12" customHeight="1"/>
    <row r="168" ht="12" customHeight="1"/>
    <row r="169" ht="12" customHeight="1"/>
    <row r="170" ht="12" customHeight="1"/>
    <row r="171" ht="12" customHeight="1"/>
    <row r="172" ht="12" customHeight="1"/>
    <row r="173" ht="12" customHeight="1"/>
    <row r="174" ht="12" customHeight="1"/>
    <row r="175" ht="12" customHeight="1"/>
    <row r="176" ht="12" customHeight="1"/>
  </sheetData>
  <mergeCells count="23">
    <mergeCell ref="D23:E23"/>
    <mergeCell ref="H23:I23"/>
    <mergeCell ref="D15:E15"/>
    <mergeCell ref="D16:E16"/>
    <mergeCell ref="D17:E17"/>
    <mergeCell ref="D18:E18"/>
    <mergeCell ref="D19:E19"/>
    <mergeCell ref="D20:E20"/>
    <mergeCell ref="D1:E1"/>
    <mergeCell ref="D4:E4"/>
    <mergeCell ref="D14:E14"/>
    <mergeCell ref="H14:I14"/>
    <mergeCell ref="D13:E13"/>
    <mergeCell ref="D10:E10"/>
    <mergeCell ref="H10:I10"/>
    <mergeCell ref="D11:E11"/>
    <mergeCell ref="D12:E12"/>
    <mergeCell ref="H4:I4"/>
    <mergeCell ref="D5:E5"/>
    <mergeCell ref="D6:E6"/>
    <mergeCell ref="D7:E7"/>
    <mergeCell ref="D8:E8"/>
    <mergeCell ref="D9:E9"/>
  </mergeCells>
  <conditionalFormatting sqref="M5:M9">
    <cfRule type="cellIs" dxfId="428" priority="1" stopIfTrue="1" operator="lessThanOrEqual">
      <formula>$L5</formula>
    </cfRule>
    <cfRule type="cellIs" dxfId="427" priority="2" operator="greaterThan">
      <formula>L5</formula>
    </cfRule>
  </conditionalFormatting>
  <conditionalFormatting sqref="M11:M13 M15:M22">
    <cfRule type="cellIs" dxfId="426" priority="3" stopIfTrue="1" operator="lessThanOrEqual">
      <formula>$L11</formula>
    </cfRule>
    <cfRule type="cellIs" dxfId="425" priority="4" operator="greaterThan">
      <formula>L11</formula>
    </cfRule>
  </conditionalFormatting>
  <pageMargins left="0.7" right="0.7" top="0.75" bottom="0.75" header="0.3" footer="0.3"/>
  <pageSetup paperSize="3" fitToHeight="0" orientation="landscape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7CD53549-B0D8-42E2-A967-94A6755323CD}">
          <x14:formula1>
            <xm:f>Purchased!$A:$A</xm:f>
          </x14:formula1>
          <xm:sqref>C11:C13</xm:sqref>
        </x14:dataValidation>
        <x14:dataValidation type="list" allowBlank="1" showInputMessage="1" showErrorMessage="1" xr:uid="{D74EE39F-DB8E-4BEB-891F-0FEF936B5658}">
          <x14:formula1>
            <xm:f>Machined!$C:$C</xm:f>
          </x14:formula1>
          <xm:sqref>C5:C9</xm:sqref>
        </x14:dataValidation>
      </x14:dataValidation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557023-2486-4E62-8AA2-8BF1B5D02F3C}">
  <sheetPr codeName="Sheet60">
    <tabColor theme="3" tint="0.79998168889431442"/>
    <pageSetUpPr fitToPage="1"/>
  </sheetPr>
  <dimension ref="A1:Q166"/>
  <sheetViews>
    <sheetView zoomScaleNormal="100" workbookViewId="0">
      <selection activeCell="C43" sqref="C43"/>
    </sheetView>
  </sheetViews>
  <sheetFormatPr defaultColWidth="9.140625" defaultRowHeight="15"/>
  <cols>
    <col min="1" max="1" width="5.7109375" customWidth="1"/>
    <col min="2" max="2" width="5.42578125" bestFit="1" customWidth="1"/>
    <col min="3" max="3" width="30.7109375" customWidth="1"/>
    <col min="4" max="5" width="20.7109375" style="23" customWidth="1"/>
    <col min="6" max="6" width="16.85546875" bestFit="1" customWidth="1"/>
    <col min="7" max="7" width="9.7109375" customWidth="1"/>
    <col min="8" max="8" width="8.7109375" customWidth="1"/>
    <col min="9" max="9" width="20.7109375" customWidth="1"/>
    <col min="10" max="13" width="11.7109375" style="19" customWidth="1"/>
    <col min="14" max="14" width="11.85546875" style="19" bestFit="1" customWidth="1"/>
    <col min="15" max="15" width="7.7109375" style="19" customWidth="1"/>
    <col min="16" max="16" width="10.7109375" style="90" customWidth="1"/>
    <col min="17" max="17" width="10.7109375" style="97" customWidth="1"/>
  </cols>
  <sheetData>
    <row r="1" spans="1:17" s="55" customFormat="1" ht="12" customHeight="1">
      <c r="A1" s="68" t="s">
        <v>0</v>
      </c>
      <c r="B1" s="69"/>
      <c r="C1" s="69"/>
      <c r="D1" s="262" t="s">
        <v>1</v>
      </c>
      <c r="E1" s="263"/>
      <c r="F1" s="70"/>
      <c r="G1" s="69"/>
      <c r="H1" s="70"/>
      <c r="I1" s="71"/>
      <c r="J1" s="72"/>
      <c r="K1" s="72"/>
      <c r="L1" s="72"/>
      <c r="M1" s="72"/>
      <c r="N1" s="72"/>
      <c r="O1" s="72"/>
      <c r="P1" s="85"/>
      <c r="Q1" s="91"/>
    </row>
    <row r="2" spans="1:17" s="55" customFormat="1" ht="12" customHeight="1">
      <c r="A2" s="74" t="s">
        <v>48</v>
      </c>
      <c r="B2" s="58"/>
      <c r="C2" s="57" t="e">
        <f ca="1">VLOOKUP(E3,Assemblies!B:F,4,0)</f>
        <v>#VALUE!</v>
      </c>
      <c r="D2" s="75" t="s">
        <v>3</v>
      </c>
      <c r="E2" s="76" t="e">
        <f ca="1">'GF12'!E2</f>
        <v>#VALUE!</v>
      </c>
      <c r="F2" s="77" t="s">
        <v>4</v>
      </c>
      <c r="G2" s="58" t="str">
        <f>'GF12'!G2</f>
        <v>GH</v>
      </c>
      <c r="H2" s="77" t="s">
        <v>6</v>
      </c>
      <c r="I2" s="59">
        <f>'GF12'!I2</f>
        <v>44775</v>
      </c>
      <c r="J2" s="39"/>
      <c r="K2" s="40" t="s">
        <v>49</v>
      </c>
      <c r="L2" s="41" t="e">
        <f ca="1">VLOOKUP(C2,Assemblies!E:G,3,0)</f>
        <v>#VALUE!</v>
      </c>
      <c r="M2" s="78"/>
      <c r="N2" s="78"/>
      <c r="O2" s="78"/>
      <c r="P2" s="86"/>
      <c r="Q2" s="92"/>
    </row>
    <row r="3" spans="1:17" s="55" customFormat="1" ht="12" customHeight="1" thickBot="1">
      <c r="A3" s="74" t="s">
        <v>7</v>
      </c>
      <c r="B3" s="58"/>
      <c r="C3" s="57" t="e">
        <f ca="1">VLOOKUP(E3,Assemblies!B:F,5,0)</f>
        <v>#VALUE!</v>
      </c>
      <c r="D3" s="75" t="s">
        <v>50</v>
      </c>
      <c r="E3" s="76" t="e">
        <f ca="1">MID(CELL("filename",A1),FIND("]",CELL("filename",A1))+1,256)</f>
        <v>#VALUE!</v>
      </c>
      <c r="F3" s="77" t="s">
        <v>11</v>
      </c>
      <c r="G3" s="58" t="str">
        <f>'GF12'!G3</f>
        <v>GH</v>
      </c>
      <c r="H3" s="77" t="s">
        <v>6</v>
      </c>
      <c r="I3" s="59">
        <f>'GF12'!I3</f>
        <v>44775</v>
      </c>
      <c r="J3" s="78"/>
      <c r="K3" s="78"/>
      <c r="L3" s="78"/>
      <c r="M3" s="78"/>
      <c r="N3" s="78"/>
      <c r="O3" s="78"/>
      <c r="P3" s="86"/>
      <c r="Q3" s="92"/>
    </row>
    <row r="4" spans="1:17" s="56" customFormat="1" ht="12.75" customHeight="1" thickBot="1">
      <c r="A4" s="80" t="s">
        <v>12</v>
      </c>
      <c r="B4" s="81" t="s">
        <v>13</v>
      </c>
      <c r="C4" s="81" t="s">
        <v>14</v>
      </c>
      <c r="D4" s="270" t="s">
        <v>15</v>
      </c>
      <c r="E4" s="271"/>
      <c r="F4" s="104" t="s">
        <v>16</v>
      </c>
      <c r="G4" s="81" t="s">
        <v>17</v>
      </c>
      <c r="H4" s="260" t="s">
        <v>18</v>
      </c>
      <c r="I4" s="261"/>
      <c r="J4" s="81" t="s">
        <v>51</v>
      </c>
      <c r="K4" s="81" t="s">
        <v>20</v>
      </c>
      <c r="L4" s="81" t="s">
        <v>21</v>
      </c>
      <c r="M4" s="81" t="s">
        <v>52</v>
      </c>
      <c r="N4" s="81" t="s">
        <v>22</v>
      </c>
      <c r="O4" s="81" t="s">
        <v>53</v>
      </c>
      <c r="P4" s="107" t="s">
        <v>26</v>
      </c>
      <c r="Q4" s="82" t="s">
        <v>27</v>
      </c>
    </row>
    <row r="5" spans="1:17" s="2" customFormat="1" ht="12.75" customHeight="1">
      <c r="A5" s="127">
        <v>1</v>
      </c>
      <c r="B5" s="21">
        <v>1</v>
      </c>
      <c r="C5" s="108" t="s">
        <v>735</v>
      </c>
      <c r="D5" s="277" t="str">
        <f>VLOOKUP(C5,Machined!C:Q,2,0)</f>
        <v>Offset Plate</v>
      </c>
      <c r="E5" s="278"/>
      <c r="F5" s="131" t="str">
        <f>VLOOKUP(C5,Machined!C:R,7,0)</f>
        <v>6061-T6 Alum</v>
      </c>
      <c r="G5" s="131" t="str">
        <f>VLOOKUP(C5,Machined!C:R,10,0)</f>
        <v>FRONTIER</v>
      </c>
      <c r="H5" s="131" t="str">
        <f>VLOOKUP(C5,Machined!C:R,11,0)</f>
        <v xml:space="preserve">  </v>
      </c>
      <c r="I5" s="131"/>
      <c r="J5" s="42">
        <f>VLOOKUP(C5,Machined!C:R,12,0)</f>
        <v>45105</v>
      </c>
      <c r="K5" s="42">
        <f>VLOOKUP(C5,Machined!C:R,13,0)</f>
        <v>45133</v>
      </c>
      <c r="L5" s="42">
        <f>VLOOKUP(C5,Machined!C:R,14,0)</f>
        <v>45163</v>
      </c>
      <c r="M5" s="42">
        <f>VLOOKUP(C5,Machined!C:R,15,0)</f>
        <v>45163</v>
      </c>
      <c r="N5" s="43">
        <f>VLOOKUP(C5,Machined!C:R,16,0)</f>
        <v>55015</v>
      </c>
      <c r="O5" s="43" t="e">
        <f t="shared" ref="O5:O7" ca="1" si="0">B5*$L$2</f>
        <v>#VALUE!</v>
      </c>
      <c r="P5" s="47">
        <f>IFERROR(VLOOKUP(C5,Machined!C:F,3,0),"")</f>
        <v>76.349999999999994</v>
      </c>
      <c r="Q5" s="48">
        <f t="shared" ref="Q5:Q7" si="1">IFERROR(B5*P5,"")</f>
        <v>76.349999999999994</v>
      </c>
    </row>
    <row r="6" spans="1:17" s="2" customFormat="1" ht="12.75" customHeight="1">
      <c r="A6" s="127">
        <v>2</v>
      </c>
      <c r="B6" s="21">
        <v>1</v>
      </c>
      <c r="C6" s="108" t="s">
        <v>736</v>
      </c>
      <c r="D6" s="277" t="str">
        <f>VLOOKUP(C6,Machined!C:Q,2,0)</f>
        <v>Offset Lead Screw Bearing Plate</v>
      </c>
      <c r="E6" s="278"/>
      <c r="F6" s="131" t="str">
        <f>VLOOKUP(C6,Machined!C:R,7,0)</f>
        <v>6061-T6 Alum</v>
      </c>
      <c r="G6" s="131" t="str">
        <f>VLOOKUP(C6,Machined!C:R,10,0)</f>
        <v>FRONTIER</v>
      </c>
      <c r="H6" s="131" t="str">
        <f>VLOOKUP(C6,Machined!C:R,11,0)</f>
        <v xml:space="preserve">  </v>
      </c>
      <c r="I6" s="131"/>
      <c r="J6" s="42">
        <f>VLOOKUP(C6,Machined!C:R,12,0)</f>
        <v>45105</v>
      </c>
      <c r="K6" s="42">
        <f>VLOOKUP(C6,Machined!C:R,13,0)</f>
        <v>45133</v>
      </c>
      <c r="L6" s="42">
        <f>VLOOKUP(C6,Machined!C:R,14,0)</f>
        <v>45163</v>
      </c>
      <c r="M6" s="42">
        <f>VLOOKUP(C6,Machined!C:R,15,0)</f>
        <v>45163</v>
      </c>
      <c r="N6" s="43">
        <f>VLOOKUP(C6,Machined!C:R,16,0)</f>
        <v>55015</v>
      </c>
      <c r="O6" s="43" t="e">
        <f t="shared" ca="1" si="0"/>
        <v>#VALUE!</v>
      </c>
      <c r="P6" s="47">
        <f>IFERROR(VLOOKUP(C6,Machined!C:F,3,0),"")</f>
        <v>65.349999999999994</v>
      </c>
      <c r="Q6" s="48">
        <f t="shared" si="1"/>
        <v>65.349999999999994</v>
      </c>
    </row>
    <row r="7" spans="1:17" s="2" customFormat="1" ht="12.75" customHeight="1">
      <c r="A7" s="127">
        <v>3</v>
      </c>
      <c r="B7" s="21">
        <v>1</v>
      </c>
      <c r="C7" s="108" t="s">
        <v>737</v>
      </c>
      <c r="D7" s="277" t="str">
        <f>VLOOKUP(C7,Machined!C:Q,2,0)</f>
        <v>Punch Slider</v>
      </c>
      <c r="E7" s="278"/>
      <c r="F7" s="131" t="str">
        <f>VLOOKUP(C7,Machined!C:R,7,0)</f>
        <v>White Delrin</v>
      </c>
      <c r="G7" s="131" t="str">
        <f>VLOOKUP(C7,Machined!C:R,10,0)</f>
        <v>BIG SKY</v>
      </c>
      <c r="H7" s="131" t="str">
        <f>VLOOKUP(C7,Machined!C:R,11,0)</f>
        <v xml:space="preserve">  </v>
      </c>
      <c r="I7" s="131"/>
      <c r="J7" s="42">
        <f>VLOOKUP(C7,Machined!C:R,12,0)</f>
        <v>45142</v>
      </c>
      <c r="K7" s="42">
        <f>VLOOKUP(C7,Machined!C:R,13,0)</f>
        <v>45146</v>
      </c>
      <c r="L7" s="42">
        <f>VLOOKUP(C7,Machined!C:R,14,0)</f>
        <v>45176</v>
      </c>
      <c r="M7" s="42">
        <f>VLOOKUP(C7,Machined!C:R,15,0)</f>
        <v>45176</v>
      </c>
      <c r="N7" s="43">
        <f>VLOOKUP(C7,Machined!C:R,16,0)</f>
        <v>55032</v>
      </c>
      <c r="O7" s="43" t="e">
        <f t="shared" ca="1" si="0"/>
        <v>#VALUE!</v>
      </c>
      <c r="P7" s="47">
        <f>IFERROR(VLOOKUP(C7,Machined!C:F,3,0),"")</f>
        <v>100</v>
      </c>
      <c r="Q7" s="48">
        <f t="shared" si="1"/>
        <v>100</v>
      </c>
    </row>
    <row r="8" spans="1:17" s="2" customFormat="1" ht="12.75" customHeight="1">
      <c r="A8" s="143"/>
      <c r="B8" s="26"/>
      <c r="C8" s="26"/>
      <c r="D8" s="272"/>
      <c r="E8" s="273"/>
      <c r="F8" s="26"/>
      <c r="G8" s="26"/>
      <c r="H8" s="274"/>
      <c r="I8" s="275"/>
      <c r="J8" s="27"/>
      <c r="K8" s="27"/>
      <c r="L8" s="27"/>
      <c r="M8" s="28"/>
      <c r="N8" s="29"/>
      <c r="O8" s="29"/>
      <c r="P8" s="141"/>
      <c r="Q8" s="142"/>
    </row>
    <row r="9" spans="1:17" s="2" customFormat="1" ht="12.75" customHeight="1">
      <c r="A9" s="4">
        <v>301</v>
      </c>
      <c r="B9" s="2">
        <v>1</v>
      </c>
      <c r="C9" s="114" t="s">
        <v>465</v>
      </c>
      <c r="D9" s="268" t="str">
        <f>VLOOKUP(C9,Purchased!A:B,2,0)</f>
        <v>IGUS Drylin Lead Screw Nut</v>
      </c>
      <c r="E9" s="269"/>
      <c r="F9" s="112" t="str">
        <f>VLOOKUP(C9,Purchased!A:Q,9,0)</f>
        <v>IGUS</v>
      </c>
      <c r="G9" s="112" t="str">
        <f>VLOOKUP(C9,Purchased!A:Q,10,0)</f>
        <v>IGUS</v>
      </c>
      <c r="H9" s="112" t="str">
        <f>VLOOKUP(C9,Purchased!A:Q,12,0)</f>
        <v xml:space="preserve"> </v>
      </c>
      <c r="I9" s="113"/>
      <c r="J9" s="44">
        <f>VLOOKUP(C9,Purchased!A:Q,13,0)</f>
        <v>45125</v>
      </c>
      <c r="K9" s="44">
        <f>VLOOKUP(C9,Purchased!A:Q,14,0)</f>
        <v>45161</v>
      </c>
      <c r="L9" s="44">
        <f>VLOOKUP(C9,Purchased!A:Q,15,0)</f>
        <v>45191</v>
      </c>
      <c r="M9" s="44">
        <f>VLOOKUP(C9,Purchased!A:Q,16,0)</f>
        <v>45208</v>
      </c>
      <c r="N9" s="45">
        <f>VLOOKUP(C9,Purchased!A:Q,17,0)</f>
        <v>55076</v>
      </c>
      <c r="O9" s="45" t="e">
        <f t="shared" ref="O9" ca="1" si="2">B9*$L$2</f>
        <v>#VALUE!</v>
      </c>
      <c r="P9" s="49">
        <f>IFERROR(VLOOKUP(C9,Purchased!A:E,3,FALSE),"")</f>
        <v>20.03</v>
      </c>
      <c r="Q9" s="50">
        <f t="shared" ref="Q9" si="3">IFERROR(B9*P9,"")</f>
        <v>20.03</v>
      </c>
    </row>
    <row r="10" spans="1:17" s="2" customFormat="1" ht="12.75" customHeight="1">
      <c r="A10" s="25"/>
      <c r="B10" s="26"/>
      <c r="C10" s="26"/>
      <c r="D10" s="272"/>
      <c r="E10" s="273"/>
      <c r="F10" s="26"/>
      <c r="G10" s="26"/>
      <c r="H10" s="274"/>
      <c r="I10" s="275"/>
      <c r="J10" s="27"/>
      <c r="K10" s="27"/>
      <c r="L10" s="27"/>
      <c r="M10" s="28"/>
      <c r="N10" s="29"/>
      <c r="O10" s="29" t="e">
        <f t="shared" ref="O10:O12" ca="1" si="4">B10*$L$2</f>
        <v>#VALUE!</v>
      </c>
      <c r="P10" s="141"/>
      <c r="Q10" s="142"/>
    </row>
    <row r="11" spans="1:17" s="2" customFormat="1" ht="12.75" customHeight="1">
      <c r="A11" s="4">
        <v>501</v>
      </c>
      <c r="B11" s="2">
        <v>6</v>
      </c>
      <c r="C11" s="110" t="s">
        <v>738</v>
      </c>
      <c r="D11" s="268"/>
      <c r="E11" s="276"/>
      <c r="F11" s="112" t="str">
        <f>VLOOKUP(C11,Bolts!A:L,5,0)</f>
        <v xml:space="preserve">  </v>
      </c>
      <c r="G11" s="112" t="str">
        <f>VLOOKUP(C11,Bolts!A:L,6,0)</f>
        <v>Monroe Fasteners</v>
      </c>
      <c r="H11" s="112" t="str">
        <f>VLOOKUP(C11,Bolts!A:L,7,0)</f>
        <v xml:space="preserve">  </v>
      </c>
      <c r="I11" s="112"/>
      <c r="J11" s="44" t="str">
        <f>VLOOKUP(C11,Bolts!A:L,8,0)</f>
        <v xml:space="preserve"> </v>
      </c>
      <c r="K11" s="44" t="str">
        <f>VLOOKUP(C11,Bolts!A:L,9,0)</f>
        <v xml:space="preserve"> </v>
      </c>
      <c r="L11" s="44" t="str">
        <f>VLOOKUP(C11,Bolts!A:L,10,0)</f>
        <v xml:space="preserve"> </v>
      </c>
      <c r="M11" s="44" t="str">
        <f>VLOOKUP(C11,Bolts!A:L,11,0)</f>
        <v xml:space="preserve"> </v>
      </c>
      <c r="N11" s="45" t="str">
        <f>VLOOKUP(C11,Bolts!A:L,12,0)</f>
        <v xml:space="preserve"> </v>
      </c>
      <c r="O11" s="45" t="e">
        <f t="shared" ca="1" si="4"/>
        <v>#VALUE!</v>
      </c>
      <c r="P11" s="49" t="str">
        <f>IFERROR(VLOOKUP(C11,Bolts!A:B,2,FALSE),"")</f>
        <v xml:space="preserve"> </v>
      </c>
      <c r="Q11" s="50" t="str">
        <f t="shared" ref="Q11:Q12" si="5">IFERROR(B11*P11,"")</f>
        <v/>
      </c>
    </row>
    <row r="12" spans="1:17" s="2" customFormat="1" ht="12.75" customHeight="1" thickBot="1">
      <c r="A12" s="4">
        <f t="shared" ref="A12" si="6">A11+1</f>
        <v>502</v>
      </c>
      <c r="B12" s="2">
        <v>2</v>
      </c>
      <c r="C12" s="110" t="s">
        <v>311</v>
      </c>
      <c r="D12" s="268"/>
      <c r="E12" s="276"/>
      <c r="F12" s="112" t="str">
        <f>VLOOKUP(C12,Bolts!A:L,5,0)</f>
        <v xml:space="preserve">  </v>
      </c>
      <c r="G12" s="112" t="str">
        <f>VLOOKUP(C12,Bolts!A:L,6,0)</f>
        <v>Monroe Fasteners</v>
      </c>
      <c r="H12" s="112" t="str">
        <f>VLOOKUP(C12,Bolts!A:L,7,0)</f>
        <v xml:space="preserve">  </v>
      </c>
      <c r="I12" s="112"/>
      <c r="J12" s="44" t="str">
        <f>VLOOKUP(C12,Bolts!A:L,8,0)</f>
        <v xml:space="preserve"> </v>
      </c>
      <c r="K12" s="44" t="str">
        <f>VLOOKUP(C12,Bolts!A:L,9,0)</f>
        <v xml:space="preserve"> </v>
      </c>
      <c r="L12" s="44" t="str">
        <f>VLOOKUP(C12,Bolts!A:L,10,0)</f>
        <v xml:space="preserve"> </v>
      </c>
      <c r="M12" s="44" t="str">
        <f>VLOOKUP(C12,Bolts!A:L,11,0)</f>
        <v xml:space="preserve"> </v>
      </c>
      <c r="N12" s="45" t="str">
        <f>VLOOKUP(C12,Bolts!A:L,12,0)</f>
        <v xml:space="preserve"> </v>
      </c>
      <c r="O12" s="45" t="e">
        <f t="shared" ca="1" si="4"/>
        <v>#VALUE!</v>
      </c>
      <c r="P12" s="49" t="str">
        <f>IFERROR(VLOOKUP(C12,Bolts!A:B,2,FALSE),"")</f>
        <v xml:space="preserve"> </v>
      </c>
      <c r="Q12" s="50" t="str">
        <f t="shared" si="5"/>
        <v/>
      </c>
    </row>
    <row r="13" spans="1:17" s="2" customFormat="1" ht="12.75" customHeight="1" thickBot="1">
      <c r="A13" s="34"/>
      <c r="B13" s="35"/>
      <c r="C13" s="35"/>
      <c r="D13" s="256"/>
      <c r="E13" s="257"/>
      <c r="F13" s="35"/>
      <c r="G13" s="35"/>
      <c r="H13" s="294"/>
      <c r="I13" s="295"/>
      <c r="J13" s="36"/>
      <c r="K13" s="36"/>
      <c r="L13" s="36"/>
      <c r="M13" s="37"/>
      <c r="N13" s="38"/>
      <c r="O13" s="38"/>
      <c r="P13" s="89" t="s">
        <v>43</v>
      </c>
      <c r="Q13" s="94">
        <f>SUM(Q5:Q12)</f>
        <v>261.73</v>
      </c>
    </row>
    <row r="14" spans="1:17" s="2" customFormat="1" ht="12" customHeight="1">
      <c r="D14" s="22"/>
      <c r="E14" s="22"/>
      <c r="J14" s="8"/>
      <c r="K14" s="8"/>
      <c r="L14" s="8"/>
      <c r="M14" s="8"/>
      <c r="N14" s="5"/>
      <c r="O14" s="5"/>
      <c r="P14" s="88"/>
      <c r="Q14" s="95"/>
    </row>
    <row r="15" spans="1:17" s="2" customFormat="1" ht="12" customHeight="1">
      <c r="D15" s="22"/>
      <c r="E15" s="22"/>
      <c r="J15" s="5"/>
      <c r="K15" s="5"/>
      <c r="L15" s="5"/>
      <c r="M15" s="5"/>
      <c r="N15" s="5"/>
      <c r="O15" s="5"/>
      <c r="P15" s="88"/>
      <c r="Q15" s="95"/>
    </row>
    <row r="16" spans="1:17" s="2" customFormat="1" ht="12" customHeight="1">
      <c r="D16" s="22"/>
      <c r="E16" s="22"/>
      <c r="J16" s="5"/>
      <c r="K16" s="5"/>
      <c r="L16" s="5"/>
      <c r="M16" s="5"/>
      <c r="N16" s="5"/>
      <c r="O16" s="5"/>
      <c r="P16" s="88"/>
      <c r="Q16" s="95"/>
    </row>
    <row r="17" spans="4:17" s="2" customFormat="1" ht="12" customHeight="1">
      <c r="D17" s="22"/>
      <c r="E17" s="22"/>
      <c r="J17" s="5"/>
      <c r="K17" s="5"/>
      <c r="L17" s="5"/>
      <c r="M17" s="5"/>
      <c r="N17" s="5"/>
      <c r="O17" s="5"/>
      <c r="P17" s="88"/>
      <c r="Q17" s="95"/>
    </row>
    <row r="18" spans="4:17" s="2" customFormat="1" ht="12" customHeight="1">
      <c r="D18" s="22"/>
      <c r="E18" s="22"/>
      <c r="J18" s="5"/>
      <c r="K18" s="5"/>
      <c r="L18" s="5"/>
      <c r="M18" s="5"/>
      <c r="N18" s="5"/>
      <c r="O18" s="5"/>
      <c r="P18" s="88"/>
      <c r="Q18" s="95"/>
    </row>
    <row r="19" spans="4:17" s="2" customFormat="1" ht="12" customHeight="1">
      <c r="D19" s="22"/>
      <c r="E19" s="22"/>
      <c r="J19" s="5"/>
      <c r="K19" s="5"/>
      <c r="L19" s="5"/>
      <c r="M19" s="5"/>
      <c r="N19" s="5"/>
      <c r="O19" s="5"/>
      <c r="P19" s="88"/>
      <c r="Q19" s="95"/>
    </row>
    <row r="20" spans="4:17" s="2" customFormat="1" ht="12" customHeight="1">
      <c r="D20" s="22"/>
      <c r="E20" s="22"/>
      <c r="J20" s="5"/>
      <c r="K20" s="5"/>
      <c r="L20" s="5"/>
      <c r="M20" s="5"/>
      <c r="N20" s="5"/>
      <c r="O20" s="5"/>
      <c r="P20" s="88"/>
      <c r="Q20" s="95"/>
    </row>
    <row r="21" spans="4:17" s="2" customFormat="1" ht="12" customHeight="1">
      <c r="D21" s="22"/>
      <c r="E21" s="22"/>
      <c r="J21" s="5"/>
      <c r="K21" s="5"/>
      <c r="L21" s="5"/>
      <c r="M21" s="5"/>
      <c r="N21" s="5"/>
      <c r="O21" s="5"/>
      <c r="P21" s="88"/>
      <c r="Q21" s="95"/>
    </row>
    <row r="22" spans="4:17" s="2" customFormat="1" ht="12" customHeight="1">
      <c r="D22" s="22"/>
      <c r="E22" s="22"/>
      <c r="J22" s="5"/>
      <c r="K22" s="5"/>
      <c r="L22" s="5"/>
      <c r="M22" s="5"/>
      <c r="N22" s="5"/>
      <c r="O22" s="5"/>
      <c r="P22" s="88"/>
      <c r="Q22" s="95"/>
    </row>
    <row r="23" spans="4:17" s="2" customFormat="1" ht="12" customHeight="1">
      <c r="D23" s="22"/>
      <c r="E23" s="22"/>
      <c r="J23" s="5"/>
      <c r="K23" s="5"/>
      <c r="L23" s="5"/>
      <c r="M23" s="5"/>
      <c r="N23" s="5"/>
      <c r="O23" s="5"/>
      <c r="P23" s="88"/>
      <c r="Q23" s="95"/>
    </row>
    <row r="24" spans="4:17" s="2" customFormat="1" ht="12" customHeight="1">
      <c r="D24" s="22"/>
      <c r="E24" s="22"/>
      <c r="J24" s="5"/>
      <c r="K24" s="5"/>
      <c r="L24" s="5"/>
      <c r="M24" s="5"/>
      <c r="N24" s="5"/>
      <c r="O24" s="5"/>
      <c r="P24" s="88"/>
      <c r="Q24" s="95"/>
    </row>
    <row r="25" spans="4:17" s="2" customFormat="1" ht="12" customHeight="1">
      <c r="D25" s="22"/>
      <c r="E25" s="22"/>
      <c r="J25" s="5"/>
      <c r="K25" s="5"/>
      <c r="L25" s="5"/>
      <c r="M25" s="5"/>
      <c r="N25" s="5"/>
      <c r="O25" s="5"/>
      <c r="P25" s="88"/>
      <c r="Q25" s="95"/>
    </row>
    <row r="26" spans="4:17" s="2" customFormat="1" ht="12" customHeight="1">
      <c r="D26" s="22"/>
      <c r="E26" s="22"/>
      <c r="J26" s="5"/>
      <c r="K26" s="5"/>
      <c r="L26" s="5"/>
      <c r="M26" s="5"/>
      <c r="N26" s="5"/>
      <c r="O26" s="5"/>
      <c r="P26" s="88"/>
      <c r="Q26" s="95"/>
    </row>
    <row r="27" spans="4:17" s="2" customFormat="1" ht="12" customHeight="1">
      <c r="D27" s="22"/>
      <c r="E27" s="22"/>
      <c r="J27" s="5"/>
      <c r="K27" s="5"/>
      <c r="L27" s="5"/>
      <c r="M27" s="5"/>
      <c r="N27" s="5"/>
      <c r="O27" s="5"/>
      <c r="P27" s="88"/>
      <c r="Q27" s="95"/>
    </row>
    <row r="28" spans="4:17" s="2" customFormat="1" ht="12" customHeight="1">
      <c r="D28" s="22"/>
      <c r="E28" s="22"/>
      <c r="J28" s="5"/>
      <c r="K28" s="5"/>
      <c r="L28" s="5"/>
      <c r="M28" s="5"/>
      <c r="N28" s="5"/>
      <c r="O28" s="5"/>
      <c r="P28" s="88"/>
      <c r="Q28" s="95"/>
    </row>
    <row r="29" spans="4:17" s="2" customFormat="1" ht="12" customHeight="1">
      <c r="D29" s="22"/>
      <c r="E29" s="22"/>
      <c r="J29" s="5"/>
      <c r="K29" s="5"/>
      <c r="L29" s="5"/>
      <c r="M29" s="5"/>
      <c r="N29" s="5"/>
      <c r="O29" s="5"/>
      <c r="P29" s="88"/>
      <c r="Q29" s="95"/>
    </row>
    <row r="30" spans="4:17" s="2" customFormat="1" ht="12" customHeight="1">
      <c r="D30" s="22"/>
      <c r="E30" s="22"/>
      <c r="J30" s="5"/>
      <c r="K30" s="5"/>
      <c r="L30" s="5"/>
      <c r="M30" s="5"/>
      <c r="N30" s="5"/>
      <c r="O30" s="5"/>
      <c r="P30" s="88"/>
      <c r="Q30" s="95"/>
    </row>
    <row r="31" spans="4:17" s="2" customFormat="1" ht="12" customHeight="1">
      <c r="D31" s="22"/>
      <c r="E31" s="22"/>
      <c r="J31" s="5"/>
      <c r="K31" s="5"/>
      <c r="L31" s="5"/>
      <c r="M31" s="5"/>
      <c r="N31" s="5"/>
      <c r="O31" s="5"/>
      <c r="P31" s="88"/>
      <c r="Q31" s="95"/>
    </row>
    <row r="32" spans="4:17" s="2" customFormat="1" ht="12" customHeight="1">
      <c r="D32" s="22"/>
      <c r="E32" s="22"/>
      <c r="J32" s="5"/>
      <c r="K32" s="5"/>
      <c r="L32" s="5"/>
      <c r="M32" s="5"/>
      <c r="N32" s="5"/>
      <c r="O32" s="5"/>
      <c r="P32" s="88"/>
      <c r="Q32" s="95"/>
    </row>
    <row r="33" spans="4:17" s="2" customFormat="1" ht="12" customHeight="1">
      <c r="D33" s="22"/>
      <c r="E33" s="22"/>
      <c r="J33" s="5"/>
      <c r="K33" s="5"/>
      <c r="L33" s="5"/>
      <c r="M33" s="5"/>
      <c r="N33" s="5"/>
      <c r="O33" s="5"/>
      <c r="P33" s="88"/>
      <c r="Q33" s="95"/>
    </row>
    <row r="34" spans="4:17" s="2" customFormat="1" ht="12" customHeight="1">
      <c r="D34" s="22"/>
      <c r="E34" s="22"/>
      <c r="J34" s="5"/>
      <c r="K34" s="5"/>
      <c r="L34" s="5"/>
      <c r="M34" s="5"/>
      <c r="N34" s="5"/>
      <c r="O34" s="5"/>
      <c r="P34" s="88"/>
      <c r="Q34" s="95"/>
    </row>
    <row r="35" spans="4:17" s="2" customFormat="1" ht="12" customHeight="1">
      <c r="D35" s="22"/>
      <c r="E35" s="22"/>
      <c r="J35" s="5"/>
      <c r="K35" s="5"/>
      <c r="L35" s="5"/>
      <c r="M35" s="5"/>
      <c r="N35" s="5"/>
      <c r="O35" s="5"/>
      <c r="P35" s="88"/>
      <c r="Q35" s="95"/>
    </row>
    <row r="36" spans="4:17" s="2" customFormat="1" ht="12" customHeight="1">
      <c r="D36" s="22"/>
      <c r="E36" s="22"/>
      <c r="J36" s="5"/>
      <c r="K36" s="5"/>
      <c r="L36" s="5"/>
      <c r="M36" s="5"/>
      <c r="N36" s="5"/>
      <c r="O36" s="5"/>
      <c r="P36" s="88"/>
      <c r="Q36" s="95"/>
    </row>
    <row r="37" spans="4:17" s="2" customFormat="1" ht="12" customHeight="1">
      <c r="D37" s="22"/>
      <c r="E37" s="22"/>
      <c r="J37" s="5"/>
      <c r="K37" s="5"/>
      <c r="L37" s="5"/>
      <c r="M37" s="5"/>
      <c r="N37" s="5"/>
      <c r="O37" s="5"/>
      <c r="P37" s="88"/>
      <c r="Q37" s="95"/>
    </row>
    <row r="38" spans="4:17" s="2" customFormat="1" ht="12" customHeight="1">
      <c r="D38" s="22"/>
      <c r="E38" s="22"/>
      <c r="J38" s="5"/>
      <c r="K38" s="5"/>
      <c r="L38" s="5"/>
      <c r="M38" s="5"/>
      <c r="N38" s="5"/>
      <c r="O38" s="5"/>
      <c r="P38" s="88"/>
      <c r="Q38" s="95"/>
    </row>
    <row r="39" spans="4:17" s="2" customFormat="1" ht="12" customHeight="1">
      <c r="D39" s="22"/>
      <c r="E39" s="22"/>
      <c r="J39" s="5"/>
      <c r="K39" s="5"/>
      <c r="L39" s="5"/>
      <c r="M39" s="5"/>
      <c r="N39" s="5"/>
      <c r="O39" s="5"/>
      <c r="P39" s="88"/>
      <c r="Q39" s="95"/>
    </row>
    <row r="40" spans="4:17" s="2" customFormat="1" ht="12" customHeight="1">
      <c r="D40" s="22"/>
      <c r="E40" s="22"/>
      <c r="J40" s="5"/>
      <c r="K40" s="5"/>
      <c r="L40" s="5"/>
      <c r="M40" s="5"/>
      <c r="N40" s="5"/>
      <c r="O40" s="5"/>
      <c r="P40" s="88"/>
      <c r="Q40" s="95"/>
    </row>
    <row r="41" spans="4:17" s="2" customFormat="1" ht="12" customHeight="1">
      <c r="D41" s="22"/>
      <c r="E41" s="22"/>
      <c r="J41" s="5"/>
      <c r="K41" s="5"/>
      <c r="L41" s="5"/>
      <c r="M41" s="5"/>
      <c r="N41" s="5"/>
      <c r="O41" s="5"/>
      <c r="P41" s="88"/>
      <c r="Q41" s="95"/>
    </row>
    <row r="42" spans="4:17" s="2" customFormat="1" ht="12" customHeight="1">
      <c r="D42" s="22"/>
      <c r="E42" s="22"/>
      <c r="J42" s="5"/>
      <c r="K42" s="5"/>
      <c r="L42" s="5"/>
      <c r="M42" s="5"/>
      <c r="N42" s="5"/>
      <c r="O42" s="5"/>
      <c r="P42" s="88"/>
      <c r="Q42" s="95"/>
    </row>
    <row r="43" spans="4:17" s="2" customFormat="1" ht="12" customHeight="1">
      <c r="D43" s="22"/>
      <c r="E43" s="22"/>
      <c r="J43" s="5"/>
      <c r="K43" s="5"/>
      <c r="L43" s="5"/>
      <c r="M43" s="5"/>
      <c r="N43" s="5"/>
      <c r="O43" s="5"/>
      <c r="P43" s="88"/>
      <c r="Q43" s="95"/>
    </row>
    <row r="44" spans="4:17" s="2" customFormat="1" ht="12" customHeight="1">
      <c r="D44" s="22"/>
      <c r="E44" s="22"/>
      <c r="J44" s="5"/>
      <c r="K44" s="5"/>
      <c r="L44" s="5"/>
      <c r="M44" s="5"/>
      <c r="N44" s="5"/>
      <c r="O44" s="5"/>
      <c r="P44" s="88"/>
      <c r="Q44" s="95"/>
    </row>
    <row r="45" spans="4:17" s="2" customFormat="1" ht="12" customHeight="1">
      <c r="D45" s="22"/>
      <c r="E45" s="22"/>
      <c r="J45" s="5"/>
      <c r="K45" s="5"/>
      <c r="L45" s="5"/>
      <c r="M45" s="5"/>
      <c r="N45" s="5"/>
      <c r="O45" s="5"/>
      <c r="P45" s="88"/>
      <c r="Q45" s="95"/>
    </row>
    <row r="46" spans="4:17" s="2" customFormat="1" ht="12" customHeight="1">
      <c r="D46" s="22"/>
      <c r="E46" s="22"/>
      <c r="J46" s="5"/>
      <c r="K46" s="5"/>
      <c r="L46" s="5"/>
      <c r="M46" s="5"/>
      <c r="N46" s="5"/>
      <c r="O46" s="5"/>
      <c r="P46" s="88"/>
      <c r="Q46" s="95"/>
    </row>
    <row r="47" spans="4:17" s="2" customFormat="1" ht="12" customHeight="1">
      <c r="D47" s="22"/>
      <c r="E47" s="22"/>
      <c r="J47" s="5"/>
      <c r="K47" s="5"/>
      <c r="L47" s="5"/>
      <c r="M47" s="5"/>
      <c r="N47" s="5"/>
      <c r="O47" s="5"/>
      <c r="P47" s="88"/>
      <c r="Q47" s="95"/>
    </row>
    <row r="48" spans="4:17" s="2" customFormat="1" ht="12" customHeight="1">
      <c r="D48" s="22"/>
      <c r="E48" s="22"/>
      <c r="J48" s="5"/>
      <c r="K48" s="5"/>
      <c r="L48" s="5"/>
      <c r="M48" s="5"/>
      <c r="N48" s="5"/>
      <c r="O48" s="5"/>
      <c r="P48" s="88"/>
      <c r="Q48" s="95"/>
    </row>
    <row r="49" spans="1:17" s="2" customFormat="1" ht="12" customHeight="1">
      <c r="D49" s="22"/>
      <c r="E49" s="22"/>
      <c r="J49" s="5"/>
      <c r="K49" s="5"/>
      <c r="L49" s="5"/>
      <c r="M49" s="5"/>
      <c r="N49" s="5"/>
      <c r="O49" s="5"/>
      <c r="P49" s="88"/>
      <c r="Q49" s="95"/>
    </row>
    <row r="50" spans="1:17" s="2" customFormat="1" ht="12" customHeight="1">
      <c r="D50" s="22"/>
      <c r="E50" s="22"/>
      <c r="J50" s="5"/>
      <c r="K50" s="5"/>
      <c r="L50" s="5"/>
      <c r="M50" s="5"/>
      <c r="N50" s="5"/>
      <c r="O50" s="5"/>
      <c r="P50" s="88"/>
      <c r="Q50" s="95"/>
    </row>
    <row r="51" spans="1:17" s="2" customFormat="1" ht="12" customHeight="1">
      <c r="D51" s="22"/>
      <c r="E51" s="22"/>
      <c r="J51" s="5"/>
      <c r="K51" s="5"/>
      <c r="L51" s="5"/>
      <c r="M51" s="5"/>
      <c r="N51" s="5"/>
      <c r="O51" s="5"/>
      <c r="P51" s="88"/>
      <c r="Q51" s="95"/>
    </row>
    <row r="52" spans="1:17" s="2" customFormat="1" ht="12" customHeight="1">
      <c r="D52" s="22"/>
      <c r="E52" s="22"/>
      <c r="J52" s="5"/>
      <c r="K52" s="5"/>
      <c r="L52" s="5"/>
      <c r="M52" s="5"/>
      <c r="N52" s="5"/>
      <c r="O52" s="5"/>
      <c r="P52" s="88"/>
      <c r="Q52" s="96"/>
    </row>
    <row r="53" spans="1:17" s="2" customFormat="1" ht="12" customHeight="1">
      <c r="D53" s="22"/>
      <c r="E53" s="22"/>
      <c r="J53" s="5"/>
      <c r="K53" s="5"/>
      <c r="L53" s="5"/>
      <c r="M53" s="5"/>
      <c r="N53" s="5"/>
      <c r="O53" s="5"/>
      <c r="P53" s="88"/>
      <c r="Q53" s="96"/>
    </row>
    <row r="54" spans="1:17" s="2" customFormat="1" ht="12" customHeight="1">
      <c r="D54" s="22"/>
      <c r="E54" s="22"/>
      <c r="J54" s="5"/>
      <c r="K54" s="5"/>
      <c r="L54" s="5"/>
      <c r="M54" s="5"/>
      <c r="N54" s="5"/>
      <c r="O54" s="5"/>
      <c r="P54" s="88"/>
      <c r="Q54" s="96"/>
    </row>
    <row r="55" spans="1:17" s="2" customFormat="1" ht="12" customHeight="1">
      <c r="D55" s="22"/>
      <c r="E55" s="22"/>
      <c r="J55" s="5"/>
      <c r="K55" s="5"/>
      <c r="L55" s="5"/>
      <c r="M55" s="5"/>
      <c r="N55" s="5"/>
      <c r="O55" s="5"/>
      <c r="P55" s="88"/>
      <c r="Q55" s="96"/>
    </row>
    <row r="56" spans="1:17" s="2" customFormat="1" ht="12" customHeight="1">
      <c r="A56"/>
      <c r="B56"/>
      <c r="C56"/>
      <c r="D56" s="23"/>
      <c r="E56" s="23"/>
      <c r="F56"/>
      <c r="G56"/>
      <c r="H56"/>
      <c r="I56"/>
      <c r="J56" s="19"/>
      <c r="K56" s="19"/>
      <c r="L56" s="19"/>
      <c r="M56" s="19"/>
      <c r="N56" s="19"/>
      <c r="O56" s="19"/>
      <c r="P56" s="90"/>
      <c r="Q56" s="96"/>
    </row>
    <row r="57" spans="1:17" s="2" customFormat="1" ht="12" customHeight="1">
      <c r="A57"/>
      <c r="B57"/>
      <c r="C57"/>
      <c r="D57" s="23"/>
      <c r="E57" s="23"/>
      <c r="F57"/>
      <c r="G57"/>
      <c r="H57"/>
      <c r="I57"/>
      <c r="J57" s="19"/>
      <c r="K57" s="19"/>
      <c r="L57" s="19"/>
      <c r="M57" s="19"/>
      <c r="N57" s="19"/>
      <c r="O57" s="19"/>
      <c r="P57" s="90"/>
      <c r="Q57" s="96"/>
    </row>
    <row r="58" spans="1:17" s="2" customFormat="1" ht="12" customHeight="1">
      <c r="A58"/>
      <c r="B58"/>
      <c r="C58"/>
      <c r="D58" s="23"/>
      <c r="E58" s="23"/>
      <c r="F58"/>
      <c r="G58"/>
      <c r="H58"/>
      <c r="I58"/>
      <c r="J58" s="19"/>
      <c r="K58" s="19"/>
      <c r="L58" s="19"/>
      <c r="M58" s="19"/>
      <c r="N58" s="19"/>
      <c r="O58" s="19"/>
      <c r="P58" s="90"/>
      <c r="Q58" s="96"/>
    </row>
    <row r="59" spans="1:17" s="2" customFormat="1" ht="12" customHeight="1">
      <c r="A59"/>
      <c r="B59"/>
      <c r="C59"/>
      <c r="D59" s="23"/>
      <c r="E59" s="23"/>
      <c r="F59"/>
      <c r="G59"/>
      <c r="H59"/>
      <c r="I59"/>
      <c r="J59" s="19"/>
      <c r="K59" s="19"/>
      <c r="L59" s="19"/>
      <c r="M59" s="19"/>
      <c r="N59" s="19"/>
      <c r="O59" s="19"/>
      <c r="P59" s="90"/>
      <c r="Q59" s="96"/>
    </row>
    <row r="60" spans="1:17" s="2" customFormat="1" ht="12" customHeight="1">
      <c r="A60"/>
      <c r="B60"/>
      <c r="C60"/>
      <c r="D60" s="23"/>
      <c r="E60" s="23"/>
      <c r="F60"/>
      <c r="G60"/>
      <c r="H60"/>
      <c r="I60"/>
      <c r="J60" s="19"/>
      <c r="K60" s="19"/>
      <c r="L60" s="19"/>
      <c r="M60" s="19"/>
      <c r="N60" s="19"/>
      <c r="O60" s="19"/>
      <c r="P60" s="90"/>
      <c r="Q60" s="96"/>
    </row>
    <row r="61" spans="1:17">
      <c r="Q61" s="96"/>
    </row>
    <row r="62" spans="1:17">
      <c r="Q62" s="96"/>
    </row>
    <row r="63" spans="1:17">
      <c r="Q63" s="96"/>
    </row>
    <row r="64" spans="1:17">
      <c r="Q64" s="96"/>
    </row>
    <row r="65" spans="17:17">
      <c r="Q65" s="96"/>
    </row>
    <row r="66" spans="17:17">
      <c r="Q66" s="96"/>
    </row>
    <row r="67" spans="17:17">
      <c r="Q67" s="96"/>
    </row>
    <row r="68" spans="17:17">
      <c r="Q68" s="96"/>
    </row>
    <row r="69" spans="17:17">
      <c r="Q69" s="96"/>
    </row>
    <row r="70" spans="17:17">
      <c r="Q70" s="96"/>
    </row>
    <row r="71" spans="17:17">
      <c r="Q71" s="96"/>
    </row>
    <row r="72" spans="17:17">
      <c r="Q72" s="96"/>
    </row>
    <row r="73" spans="17:17">
      <c r="Q73" s="96"/>
    </row>
    <row r="74" spans="17:17">
      <c r="Q74" s="96"/>
    </row>
    <row r="75" spans="17:17">
      <c r="Q75" s="96"/>
    </row>
    <row r="76" spans="17:17">
      <c r="Q76" s="96"/>
    </row>
    <row r="77" spans="17:17">
      <c r="Q77" s="96"/>
    </row>
    <row r="78" spans="17:17">
      <c r="Q78" s="96"/>
    </row>
    <row r="79" spans="17:17">
      <c r="Q79" s="96"/>
    </row>
    <row r="80" spans="17:17">
      <c r="Q80" s="96"/>
    </row>
    <row r="117" ht="12" customHeight="1"/>
    <row r="118" ht="12" customHeight="1"/>
    <row r="119" ht="12" customHeight="1"/>
    <row r="120" ht="12" customHeight="1"/>
    <row r="121" ht="12" customHeight="1"/>
    <row r="122" ht="12" customHeight="1"/>
    <row r="123" ht="12" customHeight="1"/>
    <row r="124" ht="12" customHeight="1"/>
    <row r="125" ht="12" customHeight="1"/>
    <row r="126" ht="12" customHeight="1"/>
    <row r="127" ht="12" customHeight="1"/>
    <row r="128" ht="12" customHeight="1"/>
    <row r="129" ht="12" customHeight="1"/>
    <row r="130" ht="12" customHeight="1"/>
    <row r="131" ht="12" customHeight="1"/>
    <row r="132" ht="12" customHeight="1"/>
    <row r="133" ht="12" customHeight="1"/>
    <row r="134" ht="12" customHeight="1"/>
    <row r="135" ht="12" customHeight="1"/>
    <row r="136" ht="12" customHeight="1"/>
    <row r="137" ht="12" customHeight="1"/>
    <row r="138" ht="12" customHeight="1"/>
    <row r="139" ht="12" customHeight="1"/>
    <row r="140" ht="12" customHeight="1"/>
    <row r="141" ht="12" customHeight="1"/>
    <row r="142" ht="12" customHeight="1"/>
    <row r="143" ht="12" customHeight="1"/>
    <row r="144" ht="12" customHeight="1"/>
    <row r="145" ht="12" customHeight="1"/>
    <row r="146" ht="12" customHeight="1"/>
    <row r="147" ht="12" customHeight="1"/>
    <row r="148" ht="12" customHeight="1"/>
    <row r="149" ht="12" customHeight="1"/>
    <row r="150" ht="12" customHeight="1"/>
    <row r="151" ht="12" customHeight="1"/>
    <row r="152" ht="12" customHeight="1"/>
    <row r="153" ht="12" customHeight="1"/>
    <row r="154" ht="12" customHeight="1"/>
    <row r="155" ht="12" customHeight="1"/>
    <row r="156" ht="12" customHeight="1"/>
    <row r="157" ht="12" customHeight="1"/>
    <row r="158" ht="12" customHeight="1"/>
    <row r="159" ht="12" customHeight="1"/>
    <row r="160" ht="12" customHeight="1"/>
    <row r="161" ht="12" customHeight="1"/>
    <row r="162" ht="12" customHeight="1"/>
    <row r="163" ht="12" customHeight="1"/>
    <row r="164" ht="12" customHeight="1"/>
    <row r="165" ht="12" customHeight="1"/>
    <row r="166" ht="12" customHeight="1"/>
  </sheetData>
  <mergeCells count="15">
    <mergeCell ref="D13:E13"/>
    <mergeCell ref="H13:I13"/>
    <mergeCell ref="D11:E11"/>
    <mergeCell ref="D12:E12"/>
    <mergeCell ref="D1:E1"/>
    <mergeCell ref="D4:E4"/>
    <mergeCell ref="D10:E10"/>
    <mergeCell ref="H10:I10"/>
    <mergeCell ref="D8:E8"/>
    <mergeCell ref="H8:I8"/>
    <mergeCell ref="D9:E9"/>
    <mergeCell ref="H4:I4"/>
    <mergeCell ref="D5:E5"/>
    <mergeCell ref="D6:E6"/>
    <mergeCell ref="D7:E7"/>
  </mergeCells>
  <conditionalFormatting sqref="M5:M7">
    <cfRule type="cellIs" dxfId="424" priority="1" stopIfTrue="1" operator="lessThanOrEqual">
      <formula>$L5</formula>
    </cfRule>
    <cfRule type="cellIs" dxfId="423" priority="2" operator="greaterThan">
      <formula>L5</formula>
    </cfRule>
  </conditionalFormatting>
  <conditionalFormatting sqref="M9 M11:M12">
    <cfRule type="cellIs" dxfId="422" priority="3" stopIfTrue="1" operator="lessThanOrEqual">
      <formula>$L9</formula>
    </cfRule>
    <cfRule type="cellIs" dxfId="421" priority="4" operator="greaterThan">
      <formula>L9</formula>
    </cfRule>
  </conditionalFormatting>
  <pageMargins left="0.7" right="0.7" top="0.75" bottom="0.75" header="0.3" footer="0.3"/>
  <pageSetup paperSize="3" fitToHeight="0" orientation="landscape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D7118B9E-01BF-490A-B1A6-BD40F844E60F}">
          <x14:formula1>
            <xm:f>Bolts!$A:$A</xm:f>
          </x14:formula1>
          <xm:sqref>C11:C12</xm:sqref>
        </x14:dataValidation>
        <x14:dataValidation type="list" allowBlank="1" showInputMessage="1" showErrorMessage="1" xr:uid="{FEE6863B-AB46-4760-A832-0214D8EE31D9}">
          <x14:formula1>
            <xm:f>Purchased!$A:$A</xm:f>
          </x14:formula1>
          <xm:sqref>C9</xm:sqref>
        </x14:dataValidation>
        <x14:dataValidation type="list" allowBlank="1" showInputMessage="1" showErrorMessage="1" xr:uid="{6FA067A1-EE7B-4D01-8A23-ECF6FABBF244}">
          <x14:formula1>
            <xm:f>Machined!$C:$C</xm:f>
          </x14:formula1>
          <xm:sqref>C5:C7</xm:sqref>
        </x14:dataValidation>
      </x14:dataValidation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E7372D-014A-418F-9A4A-F8F9585B3737}">
  <sheetPr codeName="Sheet61">
    <tabColor theme="3" tint="0.59999389629810485"/>
    <pageSetUpPr fitToPage="1"/>
  </sheetPr>
  <dimension ref="A1:R187"/>
  <sheetViews>
    <sheetView zoomScaleNormal="100" workbookViewId="0">
      <selection activeCell="C43" sqref="C43"/>
    </sheetView>
  </sheetViews>
  <sheetFormatPr defaultColWidth="9.140625" defaultRowHeight="15"/>
  <cols>
    <col min="1" max="1" width="5.7109375" customWidth="1"/>
    <col min="2" max="2" width="5.42578125" bestFit="1" customWidth="1"/>
    <col min="3" max="3" width="30.7109375" customWidth="1"/>
    <col min="4" max="5" width="20.7109375" style="23" customWidth="1"/>
    <col min="6" max="6" width="16.85546875" bestFit="1" customWidth="1"/>
    <col min="7" max="7" width="9.7109375" customWidth="1"/>
    <col min="8" max="8" width="8.7109375" customWidth="1"/>
    <col min="9" max="9" width="20.7109375" customWidth="1"/>
    <col min="10" max="13" width="11.7109375" style="19" customWidth="1"/>
    <col min="14" max="14" width="11.85546875" style="19" bestFit="1" customWidth="1"/>
    <col min="15" max="15" width="7.7109375" style="19" customWidth="1"/>
    <col min="16" max="16" width="10.7109375" style="90" customWidth="1"/>
    <col min="17" max="17" width="10.7109375" style="97" customWidth="1"/>
  </cols>
  <sheetData>
    <row r="1" spans="1:18" s="55" customFormat="1" ht="12" customHeight="1">
      <c r="A1" s="68" t="s">
        <v>0</v>
      </c>
      <c r="B1" s="69"/>
      <c r="C1" s="69"/>
      <c r="D1" s="262" t="s">
        <v>1</v>
      </c>
      <c r="E1" s="263"/>
      <c r="F1" s="70"/>
      <c r="G1" s="69"/>
      <c r="H1" s="70"/>
      <c r="I1" s="71"/>
      <c r="J1" s="72"/>
      <c r="K1" s="72"/>
      <c r="L1" s="72"/>
      <c r="M1" s="72"/>
      <c r="N1" s="72"/>
      <c r="O1" s="72"/>
      <c r="P1" s="85"/>
      <c r="Q1" s="91"/>
    </row>
    <row r="2" spans="1:18" s="55" customFormat="1" ht="12" customHeight="1">
      <c r="A2" s="74" t="s">
        <v>48</v>
      </c>
      <c r="B2" s="58"/>
      <c r="C2" s="57" t="e">
        <f ca="1">VLOOKUP(E3,Assemblies!B:F,4,0)</f>
        <v>#VALUE!</v>
      </c>
      <c r="D2" s="75" t="s">
        <v>3</v>
      </c>
      <c r="E2" s="76" t="e">
        <f ca="1">'GF12'!E2</f>
        <v>#VALUE!</v>
      </c>
      <c r="F2" s="77" t="s">
        <v>4</v>
      </c>
      <c r="G2" s="58" t="str">
        <f>'GF12'!G2</f>
        <v>GH</v>
      </c>
      <c r="H2" s="77" t="s">
        <v>6</v>
      </c>
      <c r="I2" s="59">
        <f>'GF12'!I2</f>
        <v>44775</v>
      </c>
      <c r="J2" s="39"/>
      <c r="K2" s="40" t="s">
        <v>49</v>
      </c>
      <c r="L2" s="41" t="e">
        <f ca="1">VLOOKUP(C2,Assemblies!E:G,3,0)</f>
        <v>#VALUE!</v>
      </c>
      <c r="M2" s="78"/>
      <c r="N2" s="78"/>
      <c r="O2" s="78"/>
      <c r="P2" s="86"/>
      <c r="Q2" s="92"/>
    </row>
    <row r="3" spans="1:18" s="55" customFormat="1" ht="12" customHeight="1" thickBot="1">
      <c r="A3" s="74" t="s">
        <v>7</v>
      </c>
      <c r="B3" s="58"/>
      <c r="C3" s="57" t="e">
        <f ca="1">VLOOKUP(E3,Assemblies!B:F,5,0)</f>
        <v>#VALUE!</v>
      </c>
      <c r="D3" s="75" t="s">
        <v>50</v>
      </c>
      <c r="E3" s="76" t="e">
        <f ca="1">MID(CELL("filename",A1),FIND("]",CELL("filename",A1))+1,256)</f>
        <v>#VALUE!</v>
      </c>
      <c r="F3" s="77" t="s">
        <v>11</v>
      </c>
      <c r="G3" s="58" t="str">
        <f>'GF12'!G3</f>
        <v>GH</v>
      </c>
      <c r="H3" s="77" t="s">
        <v>6</v>
      </c>
      <c r="I3" s="59">
        <f>'GF12'!I3</f>
        <v>44775</v>
      </c>
      <c r="J3" s="78"/>
      <c r="K3" s="78"/>
      <c r="L3" s="78"/>
      <c r="M3" s="78"/>
      <c r="N3" s="78"/>
      <c r="O3" s="78"/>
      <c r="P3" s="86"/>
      <c r="Q3" s="92"/>
    </row>
    <row r="4" spans="1:18" s="56" customFormat="1" ht="12.75" customHeight="1" thickBot="1">
      <c r="A4" s="80" t="s">
        <v>12</v>
      </c>
      <c r="B4" s="81" t="s">
        <v>13</v>
      </c>
      <c r="C4" s="81" t="s">
        <v>14</v>
      </c>
      <c r="D4" s="270" t="s">
        <v>15</v>
      </c>
      <c r="E4" s="271"/>
      <c r="F4" s="104" t="s">
        <v>16</v>
      </c>
      <c r="G4" s="81" t="s">
        <v>17</v>
      </c>
      <c r="H4" s="260" t="s">
        <v>18</v>
      </c>
      <c r="I4" s="261"/>
      <c r="J4" s="81" t="s">
        <v>51</v>
      </c>
      <c r="K4" s="81" t="s">
        <v>20</v>
      </c>
      <c r="L4" s="81" t="s">
        <v>21</v>
      </c>
      <c r="M4" s="81" t="s">
        <v>52</v>
      </c>
      <c r="N4" s="81" t="s">
        <v>22</v>
      </c>
      <c r="O4" s="81" t="s">
        <v>53</v>
      </c>
      <c r="P4" s="107" t="s">
        <v>26</v>
      </c>
      <c r="Q4" s="82" t="s">
        <v>27</v>
      </c>
    </row>
    <row r="5" spans="1:18" s="21" customFormat="1" ht="12.75" customHeight="1">
      <c r="A5" s="66" t="s">
        <v>54</v>
      </c>
      <c r="B5" s="1">
        <v>1</v>
      </c>
      <c r="C5" s="67" t="s">
        <v>739</v>
      </c>
      <c r="D5" s="277" t="e">
        <f ca="1">VLOOKUP(C5,Assemblies!E:S,2,0)</f>
        <v>#N/A</v>
      </c>
      <c r="E5" s="278"/>
      <c r="F5" s="32"/>
      <c r="G5" s="32"/>
      <c r="H5" s="292"/>
      <c r="I5" s="293"/>
      <c r="J5" s="28"/>
      <c r="K5" s="28"/>
      <c r="L5" s="28"/>
      <c r="M5" s="28"/>
      <c r="N5" s="33"/>
      <c r="O5" s="46" t="e">
        <f t="shared" ref="O5:O7" ca="1" si="0">B5*$L$2</f>
        <v>#VALUE!</v>
      </c>
      <c r="P5" s="87">
        <f>'251'!Q15</f>
        <v>765.02</v>
      </c>
      <c r="Q5" s="93">
        <f t="shared" ref="Q5:Q7" si="1">B5*P5</f>
        <v>765.02</v>
      </c>
    </row>
    <row r="6" spans="1:18" s="21" customFormat="1" ht="12.75" customHeight="1">
      <c r="A6" s="66" t="s">
        <v>56</v>
      </c>
      <c r="B6" s="1">
        <v>1</v>
      </c>
      <c r="C6" s="67" t="s">
        <v>740</v>
      </c>
      <c r="D6" s="277" t="e">
        <f ca="1">VLOOKUP(C6,Assemblies!E:S,2,0)</f>
        <v>#N/A</v>
      </c>
      <c r="E6" s="278"/>
      <c r="F6" s="32"/>
      <c r="G6" s="32"/>
      <c r="H6" s="292"/>
      <c r="I6" s="293"/>
      <c r="J6" s="28"/>
      <c r="K6" s="28"/>
      <c r="L6" s="28"/>
      <c r="M6" s="28"/>
      <c r="N6" s="33"/>
      <c r="O6" s="46" t="e">
        <f t="shared" ca="1" si="0"/>
        <v>#VALUE!</v>
      </c>
      <c r="P6" s="87">
        <f>'252'!Q16</f>
        <v>984.63480000000004</v>
      </c>
      <c r="Q6" s="93">
        <f t="shared" si="1"/>
        <v>984.63480000000004</v>
      </c>
    </row>
    <row r="7" spans="1:18" s="21" customFormat="1" ht="12.75" customHeight="1">
      <c r="A7" s="66" t="s">
        <v>58</v>
      </c>
      <c r="B7" s="1">
        <v>1</v>
      </c>
      <c r="C7" s="67" t="s">
        <v>741</v>
      </c>
      <c r="D7" s="277" t="e">
        <f ca="1">VLOOKUP(C7,Assemblies!E:S,2,0)</f>
        <v>#N/A</v>
      </c>
      <c r="E7" s="278"/>
      <c r="F7" s="32"/>
      <c r="G7" s="32"/>
      <c r="H7" s="292"/>
      <c r="I7" s="293"/>
      <c r="J7" s="28"/>
      <c r="K7" s="28"/>
      <c r="L7" s="28"/>
      <c r="M7" s="28"/>
      <c r="N7" s="33"/>
      <c r="O7" s="46" t="e">
        <f t="shared" ca="1" si="0"/>
        <v>#VALUE!</v>
      </c>
      <c r="P7" s="87">
        <f>'253'!Q20</f>
        <v>286.66000000000003</v>
      </c>
      <c r="Q7" s="93">
        <f t="shared" si="1"/>
        <v>286.66000000000003</v>
      </c>
    </row>
    <row r="8" spans="1:18" s="21" customFormat="1" ht="12.75" customHeight="1">
      <c r="A8" s="25"/>
      <c r="B8" s="26"/>
      <c r="C8" s="26"/>
      <c r="D8" s="272"/>
      <c r="E8" s="273"/>
      <c r="F8" s="26"/>
      <c r="G8" s="26"/>
      <c r="H8" s="274"/>
      <c r="I8" s="275"/>
      <c r="J8" s="27"/>
      <c r="K8" s="27"/>
      <c r="L8" s="27"/>
      <c r="M8" s="28"/>
      <c r="N8" s="29"/>
      <c r="O8" s="29"/>
      <c r="P8" s="141"/>
      <c r="Q8" s="142"/>
      <c r="R8" s="20"/>
    </row>
    <row r="9" spans="1:18" s="2" customFormat="1" ht="12.75" customHeight="1">
      <c r="A9" s="127">
        <v>1</v>
      </c>
      <c r="B9" s="21">
        <v>2</v>
      </c>
      <c r="C9" s="108" t="s">
        <v>742</v>
      </c>
      <c r="D9" s="277" t="str">
        <f>VLOOKUP(C9,Machined!C:Q,2,0)</f>
        <v>Compensator Side Plate</v>
      </c>
      <c r="E9" s="278"/>
      <c r="F9" s="131" t="str">
        <f>VLOOKUP(C9,Machined!C:R,7,0)</f>
        <v xml:space="preserve">MIC 6 </v>
      </c>
      <c r="G9" s="131" t="str">
        <f>VLOOKUP(C9,Machined!C:R,10,0)</f>
        <v>BEMOX</v>
      </c>
      <c r="H9" s="131" t="str">
        <f>VLOOKUP(C9,Machined!C:R,11,0)</f>
        <v xml:space="preserve">  </v>
      </c>
      <c r="I9" s="131"/>
      <c r="J9" s="42">
        <f>VLOOKUP(C9,Machined!C:R,12,0)</f>
        <v>45142</v>
      </c>
      <c r="K9" s="42">
        <f>VLOOKUP(C9,Machined!C:R,13,0)</f>
        <v>45146</v>
      </c>
      <c r="L9" s="42">
        <f>VLOOKUP(C9,Machined!C:R,14,0)</f>
        <v>45170</v>
      </c>
      <c r="M9" s="42">
        <f>VLOOKUP(C9,Machined!C:R,15,0)</f>
        <v>45170</v>
      </c>
      <c r="N9" s="43">
        <f>VLOOKUP(C9,Machined!C:R,16,0)</f>
        <v>55041</v>
      </c>
      <c r="O9" s="43" t="e">
        <f t="shared" ref="O9:O17" ca="1" si="2">B9*$L$2</f>
        <v>#VALUE!</v>
      </c>
      <c r="P9" s="47">
        <f>IFERROR(VLOOKUP(C9,Machined!C:F,3,0),"")</f>
        <v>702.9</v>
      </c>
      <c r="Q9" s="48">
        <f t="shared" ref="Q9:Q17" si="3">IFERROR(B9*P9,"")</f>
        <v>1405.8</v>
      </c>
    </row>
    <row r="10" spans="1:18" s="2" customFormat="1" ht="12.75" customHeight="1">
      <c r="A10" s="127">
        <v>2</v>
      </c>
      <c r="B10" s="21">
        <v>2</v>
      </c>
      <c r="C10" s="108" t="s">
        <v>743</v>
      </c>
      <c r="D10" s="277" t="str">
        <f>VLOOKUP(C10,Machined!C:Q,2,0)</f>
        <v>Ball Screw Nut Mount</v>
      </c>
      <c r="E10" s="278"/>
      <c r="F10" s="131" t="str">
        <f>VLOOKUP(C10,Machined!C:R,7,0)</f>
        <v>1018 CRS</v>
      </c>
      <c r="G10" s="131" t="str">
        <f>VLOOKUP(C10,Machined!C:R,10,0)</f>
        <v>FRONTIER</v>
      </c>
      <c r="H10" s="131" t="str">
        <f>VLOOKUP(C10,Machined!C:R,11,0)</f>
        <v xml:space="preserve">  </v>
      </c>
      <c r="I10" s="131"/>
      <c r="J10" s="42">
        <f>VLOOKUP(C10,Machined!C:R,12,0)</f>
        <v>45105</v>
      </c>
      <c r="K10" s="42">
        <f>VLOOKUP(C10,Machined!C:R,13,0)</f>
        <v>45133</v>
      </c>
      <c r="L10" s="42">
        <f>VLOOKUP(C10,Machined!C:R,14,0)</f>
        <v>45163</v>
      </c>
      <c r="M10" s="42">
        <f>VLOOKUP(C10,Machined!C:R,15,0)</f>
        <v>45163</v>
      </c>
      <c r="N10" s="43">
        <f>VLOOKUP(C10,Machined!C:R,16,0)</f>
        <v>55015</v>
      </c>
      <c r="O10" s="43" t="e">
        <f t="shared" ca="1" si="2"/>
        <v>#VALUE!</v>
      </c>
      <c r="P10" s="47">
        <f>IFERROR(VLOOKUP(C10,Machined!C:F,3,0),"")</f>
        <v>152.80000000000001</v>
      </c>
      <c r="Q10" s="48">
        <f t="shared" si="3"/>
        <v>305.60000000000002</v>
      </c>
    </row>
    <row r="11" spans="1:18" s="2" customFormat="1" ht="12.75" customHeight="1">
      <c r="A11" s="127">
        <v>3</v>
      </c>
      <c r="B11" s="21">
        <v>1</v>
      </c>
      <c r="C11" s="108" t="s">
        <v>744</v>
      </c>
      <c r="D11" s="277" t="str">
        <f>VLOOKUP(C11,Machined!C:Q,2,0)</f>
        <v>Gearbox Mount Plate R</v>
      </c>
      <c r="E11" s="278"/>
      <c r="F11" s="131" t="str">
        <f>VLOOKUP(C11,Machined!C:R,7,0)</f>
        <v>6061-T6 Alum</v>
      </c>
      <c r="G11" s="131" t="str">
        <f>VLOOKUP(C11,Machined!C:R,10,0)</f>
        <v>FRONTIER</v>
      </c>
      <c r="H11" s="131" t="str">
        <f>VLOOKUP(C11,Machined!C:R,11,0)</f>
        <v xml:space="preserve">  </v>
      </c>
      <c r="I11" s="131"/>
      <c r="J11" s="42">
        <f>VLOOKUP(C11,Machined!C:R,12,0)</f>
        <v>45105</v>
      </c>
      <c r="K11" s="42">
        <f>VLOOKUP(C11,Machined!C:R,13,0)</f>
        <v>45133</v>
      </c>
      <c r="L11" s="42">
        <f>VLOOKUP(C11,Machined!C:R,14,0)</f>
        <v>45163</v>
      </c>
      <c r="M11" s="42">
        <f>VLOOKUP(C11,Machined!C:R,15,0)</f>
        <v>45163</v>
      </c>
      <c r="N11" s="43">
        <f>VLOOKUP(C11,Machined!C:R,16,0)</f>
        <v>55015</v>
      </c>
      <c r="O11" s="43" t="e">
        <f t="shared" ca="1" si="2"/>
        <v>#VALUE!</v>
      </c>
      <c r="P11" s="47">
        <f>IFERROR(VLOOKUP(C11,Machined!C:F,3,0),"")</f>
        <v>102.92</v>
      </c>
      <c r="Q11" s="48">
        <f t="shared" si="3"/>
        <v>102.92</v>
      </c>
    </row>
    <row r="12" spans="1:18" s="2" customFormat="1" ht="12.75" customHeight="1">
      <c r="A12" s="127">
        <v>4</v>
      </c>
      <c r="B12" s="21">
        <v>1</v>
      </c>
      <c r="C12" s="108" t="s">
        <v>745</v>
      </c>
      <c r="D12" s="277" t="str">
        <f>VLOOKUP(C12,Machined!C:Q,2,0)</f>
        <v>Gearbox Mount Plate L</v>
      </c>
      <c r="E12" s="278"/>
      <c r="F12" s="131" t="str">
        <f>VLOOKUP(C12,Machined!C:R,7,0)</f>
        <v>6061-T6 Alum</v>
      </c>
      <c r="G12" s="131" t="str">
        <f>VLOOKUP(C12,Machined!C:R,10,0)</f>
        <v>FRONTIER</v>
      </c>
      <c r="H12" s="131" t="str">
        <f>VLOOKUP(C12,Machined!C:R,11,0)</f>
        <v xml:space="preserve">  </v>
      </c>
      <c r="I12" s="131"/>
      <c r="J12" s="42">
        <f>VLOOKUP(C12,Machined!C:R,12,0)</f>
        <v>45105</v>
      </c>
      <c r="K12" s="42">
        <f>VLOOKUP(C12,Machined!C:R,13,0)</f>
        <v>45133</v>
      </c>
      <c r="L12" s="42">
        <f>VLOOKUP(C12,Machined!C:R,14,0)</f>
        <v>45163</v>
      </c>
      <c r="M12" s="42">
        <f>VLOOKUP(C12,Machined!C:R,15,0)</f>
        <v>45163</v>
      </c>
      <c r="N12" s="43">
        <f>VLOOKUP(C12,Machined!C:R,16,0)</f>
        <v>55015</v>
      </c>
      <c r="O12" s="43" t="e">
        <f t="shared" ca="1" si="2"/>
        <v>#VALUE!</v>
      </c>
      <c r="P12" s="47">
        <f>IFERROR(VLOOKUP(C12,Machined!C:F,3,0),"")</f>
        <v>102.9</v>
      </c>
      <c r="Q12" s="48">
        <f t="shared" si="3"/>
        <v>102.9</v>
      </c>
    </row>
    <row r="13" spans="1:18" s="2" customFormat="1" ht="12.75" customHeight="1">
      <c r="A13" s="127">
        <v>5</v>
      </c>
      <c r="B13" s="21">
        <v>2</v>
      </c>
      <c r="C13" s="108" t="s">
        <v>746</v>
      </c>
      <c r="D13" s="277" t="str">
        <f>VLOOKUP(C13,Machined!C:Q,2,0)</f>
        <v>Lower Bearing Mount</v>
      </c>
      <c r="E13" s="278"/>
      <c r="F13" s="131" t="str">
        <f>VLOOKUP(C13,Machined!C:R,7,0)</f>
        <v>6061-T6 Alum</v>
      </c>
      <c r="G13" s="131" t="str">
        <f>VLOOKUP(C13,Machined!C:R,10,0)</f>
        <v>FRONTIER</v>
      </c>
      <c r="H13" s="131" t="str">
        <f>VLOOKUP(C13,Machined!C:R,11,0)</f>
        <v xml:space="preserve">  </v>
      </c>
      <c r="I13" s="131"/>
      <c r="J13" s="42">
        <f>VLOOKUP(C13,Machined!C:R,12,0)</f>
        <v>45105</v>
      </c>
      <c r="K13" s="42">
        <f>VLOOKUP(C13,Machined!C:R,13,0)</f>
        <v>45133</v>
      </c>
      <c r="L13" s="42">
        <f>VLOOKUP(C13,Machined!C:R,14,0)</f>
        <v>45163</v>
      </c>
      <c r="M13" s="42">
        <f>VLOOKUP(C13,Machined!C:R,15,0)</f>
        <v>45163</v>
      </c>
      <c r="N13" s="43">
        <f>VLOOKUP(C13,Machined!C:R,16,0)</f>
        <v>55015</v>
      </c>
      <c r="O13" s="43" t="e">
        <f t="shared" ca="1" si="2"/>
        <v>#VALUE!</v>
      </c>
      <c r="P13" s="47">
        <f>IFERROR(VLOOKUP(C13,Machined!C:F,3,0),"")</f>
        <v>107.8</v>
      </c>
      <c r="Q13" s="48">
        <f t="shared" si="3"/>
        <v>215.6</v>
      </c>
    </row>
    <row r="14" spans="1:18" s="2" customFormat="1" ht="12.75" customHeight="1">
      <c r="A14" s="127">
        <v>6</v>
      </c>
      <c r="B14" s="21">
        <v>2</v>
      </c>
      <c r="C14" s="108" t="s">
        <v>747</v>
      </c>
      <c r="D14" s="277" t="str">
        <f>VLOOKUP(C14,Machined!C:Q,2,0)</f>
        <v>Upper Bearing Mount</v>
      </c>
      <c r="E14" s="278"/>
      <c r="F14" s="131" t="str">
        <f>VLOOKUP(C14,Machined!C:R,7,0)</f>
        <v>6061-T6 Alum</v>
      </c>
      <c r="G14" s="131" t="str">
        <f>VLOOKUP(C14,Machined!C:R,10,0)</f>
        <v>FRONTIER</v>
      </c>
      <c r="H14" s="131" t="str">
        <f>VLOOKUP(C14,Machined!C:R,11,0)</f>
        <v xml:space="preserve">  </v>
      </c>
      <c r="I14" s="131"/>
      <c r="J14" s="42">
        <f>VLOOKUP(C14,Machined!C:R,12,0)</f>
        <v>45105</v>
      </c>
      <c r="K14" s="42">
        <f>VLOOKUP(C14,Machined!C:R,13,0)</f>
        <v>45133</v>
      </c>
      <c r="L14" s="42">
        <f>VLOOKUP(C14,Machined!C:R,14,0)</f>
        <v>45163</v>
      </c>
      <c r="M14" s="42">
        <f>VLOOKUP(C14,Machined!C:R,15,0)</f>
        <v>45163</v>
      </c>
      <c r="N14" s="43">
        <f>VLOOKUP(C14,Machined!C:R,16,0)</f>
        <v>55015</v>
      </c>
      <c r="O14" s="43" t="e">
        <f t="shared" ca="1" si="2"/>
        <v>#VALUE!</v>
      </c>
      <c r="P14" s="47">
        <f>IFERROR(VLOOKUP(C14,Machined!C:F,3,0),"")</f>
        <v>85.9</v>
      </c>
      <c r="Q14" s="48">
        <f t="shared" si="3"/>
        <v>171.8</v>
      </c>
    </row>
    <row r="15" spans="1:18" s="2" customFormat="1" ht="12.75" customHeight="1">
      <c r="A15" s="127">
        <v>7</v>
      </c>
      <c r="B15" s="21">
        <v>1</v>
      </c>
      <c r="C15" s="108" t="s">
        <v>748</v>
      </c>
      <c r="D15" s="277" t="str">
        <f>VLOOKUP(C15,Machined!C:Q,2,0)</f>
        <v>Adjustment Shaft Stub</v>
      </c>
      <c r="E15" s="278"/>
      <c r="F15" s="131" t="str">
        <f>VLOOKUP(C15,Machined!C:R,7,0)</f>
        <v>303 SS - TG&amp;P</v>
      </c>
      <c r="G15" s="131" t="str">
        <f>VLOOKUP(C15,Machined!C:R,10,0)</f>
        <v>ALEXANDRIA, Nuline</v>
      </c>
      <c r="H15" s="131" t="str">
        <f>VLOOKUP(C15,Machined!C:R,11,0)</f>
        <v xml:space="preserve">  </v>
      </c>
      <c r="I15" s="131"/>
      <c r="J15" s="42" t="str">
        <f>VLOOKUP(C15,Machined!C:R,12,0)</f>
        <v>N/A</v>
      </c>
      <c r="K15" s="42" t="str">
        <f>VLOOKUP(C15,Machined!C:R,13,0)</f>
        <v>N/A</v>
      </c>
      <c r="L15" s="42" t="str">
        <f>VLOOKUP(C15,Machined!C:R,14,0)</f>
        <v>N/A</v>
      </c>
      <c r="M15" s="42" t="str">
        <f>VLOOKUP(C15,Machined!C:R,15,0)</f>
        <v>N/A</v>
      </c>
      <c r="N15" s="43">
        <f>VLOOKUP(C15,Machined!C:R,16,0)</f>
        <v>55018</v>
      </c>
      <c r="O15" s="43" t="e">
        <f t="shared" ca="1" si="2"/>
        <v>#VALUE!</v>
      </c>
      <c r="P15" s="47">
        <f>IFERROR(VLOOKUP(C15,Machined!C:F,3,0),"")</f>
        <v>48.52</v>
      </c>
      <c r="Q15" s="48">
        <f t="shared" si="3"/>
        <v>48.52</v>
      </c>
    </row>
    <row r="16" spans="1:18" s="2" customFormat="1" ht="12.75" customHeight="1">
      <c r="A16" s="127">
        <v>8</v>
      </c>
      <c r="B16" s="21">
        <v>1</v>
      </c>
      <c r="C16" s="108" t="s">
        <v>749</v>
      </c>
      <c r="D16" s="277" t="str">
        <f>VLOOKUP(C16,Machined!C:Q,2,0)</f>
        <v>Compensator Upper Bearing Mount Plate L</v>
      </c>
      <c r="E16" s="278"/>
      <c r="F16" s="131" t="str">
        <f>VLOOKUP(C16,Machined!C:R,7,0)</f>
        <v>6061-T6 Alum</v>
      </c>
      <c r="G16" s="131" t="str">
        <f>VLOOKUP(C16,Machined!C:R,10,0)</f>
        <v>FRONTIER</v>
      </c>
      <c r="H16" s="131" t="str">
        <f>VLOOKUP(C16,Machined!C:R,11,0)</f>
        <v xml:space="preserve">  </v>
      </c>
      <c r="I16" s="131"/>
      <c r="J16" s="42">
        <f>VLOOKUP(C16,Machined!C:R,12,0)</f>
        <v>45105</v>
      </c>
      <c r="K16" s="42">
        <f>VLOOKUP(C16,Machined!C:R,13,0)</f>
        <v>45133</v>
      </c>
      <c r="L16" s="42">
        <f>VLOOKUP(C16,Machined!C:R,14,0)</f>
        <v>45163</v>
      </c>
      <c r="M16" s="42">
        <f>VLOOKUP(C16,Machined!C:R,15,0)</f>
        <v>45163</v>
      </c>
      <c r="N16" s="43">
        <f>VLOOKUP(C16,Machined!C:R,16,0)</f>
        <v>55015</v>
      </c>
      <c r="O16" s="43" t="e">
        <f t="shared" ca="1" si="2"/>
        <v>#VALUE!</v>
      </c>
      <c r="P16" s="47">
        <f>IFERROR(VLOOKUP(C16,Machined!C:F,3,0),"")</f>
        <v>99.6</v>
      </c>
      <c r="Q16" s="48">
        <f t="shared" si="3"/>
        <v>99.6</v>
      </c>
    </row>
    <row r="17" spans="1:17" s="2" customFormat="1" ht="12.75" customHeight="1">
      <c r="A17" s="127">
        <v>9</v>
      </c>
      <c r="B17" s="21">
        <v>1</v>
      </c>
      <c r="C17" s="108" t="s">
        <v>750</v>
      </c>
      <c r="D17" s="277" t="str">
        <f>VLOOKUP(C17,Machined!C:Q,2,0)</f>
        <v>Compensator Upper Bearing Mount Plate R</v>
      </c>
      <c r="E17" s="278"/>
      <c r="F17" s="131" t="str">
        <f>VLOOKUP(C17,Machined!C:R,7,0)</f>
        <v>6061-T6 Alum</v>
      </c>
      <c r="G17" s="131" t="str">
        <f>VLOOKUP(C17,Machined!C:R,10,0)</f>
        <v>FRONTIER</v>
      </c>
      <c r="H17" s="131" t="str">
        <f>VLOOKUP(C17,Machined!C:R,11,0)</f>
        <v xml:space="preserve">  </v>
      </c>
      <c r="I17" s="131"/>
      <c r="J17" s="42">
        <f>VLOOKUP(C17,Machined!C:R,12,0)</f>
        <v>45105</v>
      </c>
      <c r="K17" s="42">
        <f>VLOOKUP(C17,Machined!C:R,13,0)</f>
        <v>45133</v>
      </c>
      <c r="L17" s="42">
        <f>VLOOKUP(C17,Machined!C:R,14,0)</f>
        <v>45163</v>
      </c>
      <c r="M17" s="42">
        <f>VLOOKUP(C17,Machined!C:R,15,0)</f>
        <v>45163</v>
      </c>
      <c r="N17" s="43">
        <f>VLOOKUP(C17,Machined!C:R,16,0)</f>
        <v>55015</v>
      </c>
      <c r="O17" s="43" t="e">
        <f t="shared" ca="1" si="2"/>
        <v>#VALUE!</v>
      </c>
      <c r="P17" s="47">
        <f>IFERROR(VLOOKUP(C17,Machined!C:F,3,0),"")</f>
        <v>99.6</v>
      </c>
      <c r="Q17" s="48">
        <f t="shared" si="3"/>
        <v>99.6</v>
      </c>
    </row>
    <row r="18" spans="1:17" s="2" customFormat="1" ht="12.75" customHeight="1">
      <c r="A18" s="143"/>
      <c r="B18" s="26"/>
      <c r="C18" s="26"/>
      <c r="D18" s="272"/>
      <c r="E18" s="273"/>
      <c r="F18" s="26"/>
      <c r="G18" s="26"/>
      <c r="H18" s="274"/>
      <c r="I18" s="275"/>
      <c r="J18" s="27"/>
      <c r="K18" s="27"/>
      <c r="L18" s="27"/>
      <c r="M18" s="28"/>
      <c r="N18" s="29"/>
      <c r="O18" s="29"/>
      <c r="P18" s="141"/>
      <c r="Q18" s="142"/>
    </row>
    <row r="19" spans="1:17" s="2" customFormat="1" ht="12.75" customHeight="1">
      <c r="A19" s="4">
        <v>301</v>
      </c>
      <c r="B19" s="2">
        <v>2</v>
      </c>
      <c r="C19" s="114" t="s">
        <v>751</v>
      </c>
      <c r="D19" s="268" t="str">
        <f>VLOOKUP(C19,Purchased!A:B,2,0)</f>
        <v>IGUS Drylin Trapezoidal Nut w/ Flange</v>
      </c>
      <c r="E19" s="269"/>
      <c r="F19" s="112" t="str">
        <f>VLOOKUP(C19,Purchased!A:Q,9,0)</f>
        <v>IGUS</v>
      </c>
      <c r="G19" s="112" t="str">
        <f>VLOOKUP(C19,Purchased!A:Q,10,0)</f>
        <v>IGUS</v>
      </c>
      <c r="H19" s="112" t="str">
        <f>VLOOKUP(C19,Purchased!A:Q,12,0)</f>
        <v xml:space="preserve"> </v>
      </c>
      <c r="I19" s="113"/>
      <c r="J19" s="44">
        <f>VLOOKUP(C19,Purchased!A:Q,13,0)</f>
        <v>45125</v>
      </c>
      <c r="K19" s="44">
        <f>VLOOKUP(C19,Purchased!A:Q,14,0)</f>
        <v>45161</v>
      </c>
      <c r="L19" s="44">
        <f>VLOOKUP(C19,Purchased!A:Q,15,0)</f>
        <v>45191</v>
      </c>
      <c r="M19" s="44">
        <f>VLOOKUP(C19,Purchased!A:Q,16,0)</f>
        <v>45208</v>
      </c>
      <c r="N19" s="45">
        <f>VLOOKUP(C19,Purchased!A:Q,17,0)</f>
        <v>55076</v>
      </c>
      <c r="O19" s="45" t="e">
        <f ca="1">B19*$L$2</f>
        <v>#VALUE!</v>
      </c>
      <c r="P19" s="49">
        <f>IFERROR(VLOOKUP(C19,Purchased!A:E,3,FALSE),"")</f>
        <v>33.99</v>
      </c>
      <c r="Q19" s="50">
        <f>IFERROR(B19*P19,"")</f>
        <v>67.98</v>
      </c>
    </row>
    <row r="20" spans="1:17" s="2" customFormat="1" ht="12" customHeight="1">
      <c r="A20" s="4">
        <f>A19+1</f>
        <v>302</v>
      </c>
      <c r="B20" s="2">
        <v>2</v>
      </c>
      <c r="C20" s="114" t="s">
        <v>752</v>
      </c>
      <c r="D20" s="268" t="str">
        <f>VLOOKUP(C20,Purchased!A:B,2,0)</f>
        <v>IGUS Custom Machined Lead Screw</v>
      </c>
      <c r="E20" s="269"/>
      <c r="F20" s="112" t="str">
        <f>VLOOKUP(C20,Purchased!A:Q,9,0)</f>
        <v>IGUS</v>
      </c>
      <c r="G20" s="112" t="str">
        <f>VLOOKUP(C20,Purchased!A:Q,10,0)</f>
        <v>IGUS</v>
      </c>
      <c r="H20" s="112" t="str">
        <f>VLOOKUP(C20,Purchased!A:Q,12,0)</f>
        <v xml:space="preserve"> </v>
      </c>
      <c r="I20" s="113"/>
      <c r="J20" s="44">
        <f>VLOOKUP(C20,Purchased!A:Q,13,0)</f>
        <v>45125</v>
      </c>
      <c r="K20" s="44">
        <f>VLOOKUP(C20,Purchased!A:Q,14,0)</f>
        <v>45161</v>
      </c>
      <c r="L20" s="44">
        <f>VLOOKUP(C20,Purchased!A:Q,15,0)</f>
        <v>45191</v>
      </c>
      <c r="M20" s="44">
        <f>VLOOKUP(C20,Purchased!A:Q,16,0)</f>
        <v>45208</v>
      </c>
      <c r="N20" s="45">
        <f>VLOOKUP(C20,Purchased!A:Q,17,0)</f>
        <v>55076</v>
      </c>
      <c r="O20" s="45" t="e">
        <f ca="1">B20*$L$2</f>
        <v>#VALUE!</v>
      </c>
      <c r="P20" s="49">
        <f>IFERROR(VLOOKUP(C20,Purchased!A:E,3,FALSE),"")</f>
        <v>236.85</v>
      </c>
      <c r="Q20" s="50">
        <f>IFERROR(B20*P20,"")</f>
        <v>473.7</v>
      </c>
    </row>
    <row r="21" spans="1:17" s="2" customFormat="1" ht="12" customHeight="1">
      <c r="A21" s="4">
        <f>A20+1</f>
        <v>303</v>
      </c>
      <c r="B21" s="2">
        <v>2</v>
      </c>
      <c r="C21" s="114" t="s">
        <v>753</v>
      </c>
      <c r="D21" s="268" t="str">
        <f>VLOOKUP(C21,Purchased!A:B,2,0)</f>
        <v>External Retaining Ring for 17 mm OD, Zinc-Chromate-Plated Spring Steel, 50pk</v>
      </c>
      <c r="E21" s="269"/>
      <c r="F21" s="112" t="str">
        <f>VLOOKUP(C21,Purchased!A:Q,9,0)</f>
        <v>MCM</v>
      </c>
      <c r="G21" s="112" t="str">
        <f>VLOOKUP(C21,Purchased!A:Q,10,0)</f>
        <v>MCM</v>
      </c>
      <c r="H21" s="112" t="str">
        <f>VLOOKUP(C21,Purchased!A:Q,12,0)</f>
        <v xml:space="preserve"> </v>
      </c>
      <c r="I21" s="113"/>
      <c r="J21" s="44" t="str">
        <f>VLOOKUP(C21,Purchased!A:Q,13,0)</f>
        <v>N/A</v>
      </c>
      <c r="K21" s="44">
        <f>VLOOKUP(C21,Purchased!A:Q,14,0)</f>
        <v>45162</v>
      </c>
      <c r="L21" s="44">
        <f>VLOOKUP(C21,Purchased!A:Q,15,0)</f>
        <v>45184</v>
      </c>
      <c r="M21" s="44">
        <f>VLOOKUP(C21,Purchased!A:Q,16,0)</f>
        <v>45163</v>
      </c>
      <c r="N21" s="45">
        <f>VLOOKUP(C21,Purchased!A:Q,17,0)</f>
        <v>55088</v>
      </c>
      <c r="O21" s="45" t="e">
        <f t="shared" ref="O21:O28" ca="1" si="4">B21*$L$2</f>
        <v>#VALUE!</v>
      </c>
      <c r="P21" s="49">
        <f>IFERROR(VLOOKUP(C21,Purchased!A:E,3,FALSE),"")</f>
        <v>10.6</v>
      </c>
      <c r="Q21" s="50">
        <f t="shared" ref="Q21:Q28" si="5">IFERROR(B21*P21,"")</f>
        <v>21.2</v>
      </c>
    </row>
    <row r="22" spans="1:17" s="2" customFormat="1" ht="12" customHeight="1">
      <c r="A22" s="4">
        <f t="shared" ref="A22:A28" si="6">A21+1</f>
        <v>304</v>
      </c>
      <c r="B22" s="2">
        <v>6</v>
      </c>
      <c r="C22" s="114" t="s">
        <v>754</v>
      </c>
      <c r="D22" s="268" t="str">
        <f>VLOOKUP(C22,Purchased!A:B,2,0)</f>
        <v xml:space="preserve">Ball Bearing Sealed, Trade No. 6003-2RS, for 17 mm Shaft Diameter </v>
      </c>
      <c r="E22" s="269"/>
      <c r="F22" s="112" t="str">
        <f>VLOOKUP(C22,Purchased!A:Q,9,0)</f>
        <v>MCM</v>
      </c>
      <c r="G22" s="112" t="str">
        <f>VLOOKUP(C22,Purchased!A:Q,10,0)</f>
        <v>MCM</v>
      </c>
      <c r="H22" s="112" t="str">
        <f>VLOOKUP(C22,Purchased!A:Q,12,0)</f>
        <v xml:space="preserve"> </v>
      </c>
      <c r="I22" s="113"/>
      <c r="J22" s="44" t="str">
        <f>VLOOKUP(C22,Purchased!A:Q,13,0)</f>
        <v>N/A</v>
      </c>
      <c r="K22" s="44">
        <f>VLOOKUP(C22,Purchased!A:Q,14,0)</f>
        <v>45162</v>
      </c>
      <c r="L22" s="44">
        <f>VLOOKUP(C22,Purchased!A:Q,15,0)</f>
        <v>45184</v>
      </c>
      <c r="M22" s="44">
        <f>VLOOKUP(C22,Purchased!A:Q,16,0)</f>
        <v>45166</v>
      </c>
      <c r="N22" s="45">
        <f>VLOOKUP(C22,Purchased!A:Q,17,0)</f>
        <v>55087</v>
      </c>
      <c r="O22" s="45" t="e">
        <f ca="1">B22*$L$2</f>
        <v>#VALUE!</v>
      </c>
      <c r="P22" s="49">
        <f>IFERROR(VLOOKUP(C22,Purchased!A:E,3,FALSE),"")</f>
        <v>10.72</v>
      </c>
      <c r="Q22" s="50">
        <f>IFERROR(B22*P22,"")</f>
        <v>64.320000000000007</v>
      </c>
    </row>
    <row r="23" spans="1:17" s="2" customFormat="1" ht="12" customHeight="1">
      <c r="A23" s="4">
        <f t="shared" si="6"/>
        <v>305</v>
      </c>
      <c r="B23" s="2">
        <v>1</v>
      </c>
      <c r="C23" s="114" t="s">
        <v>755</v>
      </c>
      <c r="D23" s="268" t="str">
        <f>VLOOKUP(C23,Purchased!A:B,2,0)</f>
        <v>Two-Piece Shaft Coupling Steel, for 12 mm x 12 mm Diameter Round Shaft</v>
      </c>
      <c r="E23" s="269"/>
      <c r="F23" s="112" t="str">
        <f>VLOOKUP(C23,Purchased!A:Q,9,0)</f>
        <v>MOTION</v>
      </c>
      <c r="G23" s="112" t="str">
        <f>VLOOKUP(C23,Purchased!A:Q,10,0)</f>
        <v>MOTION</v>
      </c>
      <c r="H23" s="112" t="str">
        <f>VLOOKUP(C23,Purchased!A:Q,12,0)</f>
        <v>MCM=6508T54</v>
      </c>
      <c r="I23" s="113"/>
      <c r="J23" s="44" t="str">
        <f>VLOOKUP(C23,Purchased!A:Q,13,0)</f>
        <v>N/A</v>
      </c>
      <c r="K23" s="44">
        <f>VLOOKUP(C23,Purchased!A:Q,14,0)</f>
        <v>45161</v>
      </c>
      <c r="L23" s="44">
        <f>VLOOKUP(C23,Purchased!A:Q,15,0)</f>
        <v>45191</v>
      </c>
      <c r="M23" s="44">
        <f>VLOOKUP(C23,Purchased!A:Q,16,0)</f>
        <v>45191</v>
      </c>
      <c r="N23" s="45" t="str">
        <f>VLOOKUP(C23,Purchased!A:Q,17,0)</f>
        <v>7x55079</v>
      </c>
      <c r="O23" s="45" t="e">
        <f t="shared" ca="1" si="4"/>
        <v>#VALUE!</v>
      </c>
      <c r="P23" s="49">
        <f>IFERROR(VLOOKUP(C23,Purchased!A:E,3,FALSE),"")</f>
        <v>44.78</v>
      </c>
      <c r="Q23" s="50">
        <f t="shared" si="5"/>
        <v>44.78</v>
      </c>
    </row>
    <row r="24" spans="1:17" s="2" customFormat="1" ht="12" customHeight="1">
      <c r="A24" s="4">
        <f t="shared" si="6"/>
        <v>306</v>
      </c>
      <c r="B24" s="2">
        <v>2</v>
      </c>
      <c r="C24" s="114" t="s">
        <v>468</v>
      </c>
      <c r="D24" s="268" t="str">
        <f>VLOOKUP(C24,Purchased!A:B,2,0)</f>
        <v>Carbon Steel Set Screw Collar for 12 mm Shaft Diameter, DIN 705</v>
      </c>
      <c r="E24" s="269"/>
      <c r="F24" s="112" t="str">
        <f>VLOOKUP(C24,Purchased!A:Q,9,0)</f>
        <v>MCM</v>
      </c>
      <c r="G24" s="112" t="str">
        <f>VLOOKUP(C24,Purchased!A:Q,10,0)</f>
        <v>MCM</v>
      </c>
      <c r="H24" s="112" t="str">
        <f>VLOOKUP(C24,Purchased!A:Q,12,0)</f>
        <v xml:space="preserve"> </v>
      </c>
      <c r="I24" s="113"/>
      <c r="J24" s="44" t="str">
        <f>VLOOKUP(C24,Purchased!A:Q,13,0)</f>
        <v>N/A</v>
      </c>
      <c r="K24" s="44">
        <f>VLOOKUP(C24,Purchased!A:Q,14,0)</f>
        <v>45162</v>
      </c>
      <c r="L24" s="44">
        <f>VLOOKUP(C24,Purchased!A:Q,15,0)</f>
        <v>45184</v>
      </c>
      <c r="M24" s="44">
        <f>VLOOKUP(C24,Purchased!A:Q,16,0)</f>
        <v>45166</v>
      </c>
      <c r="N24" s="45">
        <f>VLOOKUP(C24,Purchased!A:Q,17,0)</f>
        <v>55087</v>
      </c>
      <c r="O24" s="45" t="e">
        <f t="shared" ca="1" si="4"/>
        <v>#VALUE!</v>
      </c>
      <c r="P24" s="49">
        <f>IFERROR(VLOOKUP(C24,Purchased!A:E,3,FALSE),"")</f>
        <v>3.14</v>
      </c>
      <c r="Q24" s="50">
        <f t="shared" si="5"/>
        <v>6.28</v>
      </c>
    </row>
    <row r="25" spans="1:17" s="2" customFormat="1" ht="12" customHeight="1">
      <c r="A25" s="4">
        <f t="shared" si="6"/>
        <v>307</v>
      </c>
      <c r="B25" s="2">
        <v>2</v>
      </c>
      <c r="C25" s="114" t="s">
        <v>756</v>
      </c>
      <c r="D25" s="268" t="str">
        <f>VLOOKUP(C25,Purchased!A:B,2,0)</f>
        <v>Tolomatic 0120-0410 Gearbox 12mm D Shaft</v>
      </c>
      <c r="E25" s="269"/>
      <c r="F25" s="112" t="str">
        <f>VLOOKUP(C25,Purchased!A:Q,9,0)</f>
        <v>Tolomatic</v>
      </c>
      <c r="G25" s="112" t="str">
        <f>VLOOKUP(C25,Purchased!A:Q,10,0)</f>
        <v>Fiero</v>
      </c>
      <c r="H25" s="112" t="str">
        <f>VLOOKUP(C25,Purchased!A:Q,12,0)</f>
        <v xml:space="preserve"> </v>
      </c>
      <c r="I25" s="113"/>
      <c r="J25" s="44" t="str">
        <f>VLOOKUP(C25,Purchased!A:Q,13,0)</f>
        <v>N/A</v>
      </c>
      <c r="K25" s="44">
        <f>VLOOKUP(C25,Purchased!A:Q,14,0)</f>
        <v>45077</v>
      </c>
      <c r="L25" s="44">
        <f>VLOOKUP(C25,Purchased!A:Q,15,0)</f>
        <v>45133</v>
      </c>
      <c r="M25" s="44">
        <f>VLOOKUP(C25,Purchased!A:Q,16,0)</f>
        <v>45133</v>
      </c>
      <c r="N25" s="45">
        <f>VLOOKUP(C25,Purchased!A:Q,17,0)</f>
        <v>54911</v>
      </c>
      <c r="O25" s="45" t="e">
        <f t="shared" ca="1" si="4"/>
        <v>#VALUE!</v>
      </c>
      <c r="P25" s="49">
        <f>IFERROR(VLOOKUP(C25,Purchased!A:E,3,FALSE),"")</f>
        <v>678.08</v>
      </c>
      <c r="Q25" s="50">
        <f t="shared" si="5"/>
        <v>1356.16</v>
      </c>
    </row>
    <row r="26" spans="1:17" s="2" customFormat="1" ht="12" customHeight="1">
      <c r="A26" s="4">
        <f t="shared" si="6"/>
        <v>308</v>
      </c>
      <c r="B26" s="2">
        <v>4</v>
      </c>
      <c r="C26" s="114" t="s">
        <v>757</v>
      </c>
      <c r="D26" s="268" t="str">
        <f>VLOOKUP(C26,Purchased!A:B,2,0)</f>
        <v>BRL 15mm Ball Rail, assy 250, compensator</v>
      </c>
      <c r="E26" s="269"/>
      <c r="F26" s="112" t="str">
        <f>VLOOKUP(C26,Purchased!A:Q,9,0)</f>
        <v>BRL</v>
      </c>
      <c r="G26" s="112" t="str">
        <f>VLOOKUP(C26,Purchased!A:Q,10,0)</f>
        <v>AAP</v>
      </c>
      <c r="H26" s="112" t="str">
        <f>VLOOKUP(C26,Purchased!A:Q,12,0)</f>
        <v xml:space="preserve"> </v>
      </c>
      <c r="I26" s="113"/>
      <c r="J26" s="44">
        <f>VLOOKUP(C26,Purchased!A:Q,13,0)</f>
        <v>45093</v>
      </c>
      <c r="K26" s="44">
        <f>VLOOKUP(C26,Purchased!A:Q,14,0)</f>
        <v>45093</v>
      </c>
      <c r="L26" s="44">
        <f>VLOOKUP(C26,Purchased!A:Q,15,0)</f>
        <v>45184</v>
      </c>
      <c r="M26" s="44">
        <f>VLOOKUP(C26,Purchased!A:Q,16,0)</f>
        <v>45184</v>
      </c>
      <c r="N26" s="45">
        <f>VLOOKUP(C26,Purchased!A:Q,17,0)</f>
        <v>54942</v>
      </c>
      <c r="O26" s="45" t="e">
        <f t="shared" ca="1" si="4"/>
        <v>#VALUE!</v>
      </c>
      <c r="P26" s="49">
        <f>IFERROR(VLOOKUP(C26,Purchased!A:E,3,FALSE),"")</f>
        <v>261.89269999999999</v>
      </c>
      <c r="Q26" s="50">
        <f t="shared" si="5"/>
        <v>1047.5708</v>
      </c>
    </row>
    <row r="27" spans="1:17" s="2" customFormat="1" ht="12" customHeight="1">
      <c r="A27" s="4">
        <f t="shared" si="6"/>
        <v>309</v>
      </c>
      <c r="B27" s="2">
        <v>0</v>
      </c>
      <c r="C27" s="114" t="s">
        <v>715</v>
      </c>
      <c r="D27" s="268" t="str">
        <f>VLOOKUP(C27,Purchased!A:B,2,0)</f>
        <v>BRL 15mm runner block, short</v>
      </c>
      <c r="E27" s="269"/>
      <c r="F27" s="112" t="str">
        <f>VLOOKUP(C27,Purchased!A:Q,9,0)</f>
        <v>BRL</v>
      </c>
      <c r="G27" s="112" t="str">
        <f>VLOOKUP(C27,Purchased!A:Q,10,0)</f>
        <v>AAP</v>
      </c>
      <c r="H27" s="112" t="str">
        <f>VLOOKUP(C27,Purchased!A:Q,12,0)</f>
        <v xml:space="preserve"> </v>
      </c>
      <c r="I27" s="113"/>
      <c r="J27" s="44">
        <f>VLOOKUP(C27,Purchased!A:Q,13,0)</f>
        <v>45093</v>
      </c>
      <c r="K27" s="44">
        <f>VLOOKUP(C27,Purchased!A:Q,14,0)</f>
        <v>45093</v>
      </c>
      <c r="L27" s="44">
        <f>VLOOKUP(C27,Purchased!A:Q,15,0)</f>
        <v>45184</v>
      </c>
      <c r="M27" s="44">
        <f>VLOOKUP(C27,Purchased!A:Q,16,0)</f>
        <v>45184</v>
      </c>
      <c r="N27" s="45">
        <f>VLOOKUP(C27,Purchased!A:Q,17,0)</f>
        <v>54942</v>
      </c>
      <c r="O27" s="45" t="e">
        <f t="shared" ca="1" si="4"/>
        <v>#VALUE!</v>
      </c>
      <c r="P27" s="49">
        <f>IFERROR(VLOOKUP(C27,Purchased!A:E,3,FALSE),"")</f>
        <v>79.043700000000001</v>
      </c>
      <c r="Q27" s="50">
        <f t="shared" si="5"/>
        <v>0</v>
      </c>
    </row>
    <row r="28" spans="1:17" s="2" customFormat="1" ht="12" customHeight="1">
      <c r="A28" s="4">
        <f t="shared" si="6"/>
        <v>310</v>
      </c>
      <c r="B28" s="2">
        <v>10</v>
      </c>
      <c r="C28" s="114" t="s">
        <v>256</v>
      </c>
      <c r="D28" s="268" t="str">
        <f>VLOOKUP(C28,Purchased!A:B,2,0)</f>
        <v>BRX GOTO T-NUT 10 M8</v>
      </c>
      <c r="E28" s="269"/>
      <c r="F28" s="112" t="str">
        <f>VLOOKUP(C28,Purchased!A:Q,9,0)</f>
        <v>BRX</v>
      </c>
      <c r="G28" s="112" t="str">
        <f>VLOOKUP(C28,Purchased!A:Q,10,0)</f>
        <v>AAP</v>
      </c>
      <c r="H28" s="112" t="str">
        <f>VLOOKUP(C28,Purchased!A:Q,12,0)</f>
        <v xml:space="preserve">  </v>
      </c>
      <c r="I28" s="113"/>
      <c r="J28" s="44">
        <f>VLOOKUP(C28,Purchased!A:Q,13,0)</f>
        <v>45104</v>
      </c>
      <c r="K28" s="44">
        <f>VLOOKUP(C28,Purchased!A:Q,14,0)</f>
        <v>45105</v>
      </c>
      <c r="L28" s="44">
        <f>VLOOKUP(C28,Purchased!A:Q,15,0)</f>
        <v>45133</v>
      </c>
      <c r="M28" s="44">
        <f>VLOOKUP(C28,Purchased!A:Q,16,0)</f>
        <v>45133</v>
      </c>
      <c r="N28" s="45" t="str">
        <f>VLOOKUP(C28,Purchased!A:Q,17,0)</f>
        <v>54968, 55147</v>
      </c>
      <c r="O28" s="45" t="e">
        <f t="shared" ca="1" si="4"/>
        <v>#VALUE!</v>
      </c>
      <c r="P28" s="49">
        <f>IFERROR(VLOOKUP(C28,Purchased!A:E,3,FALSE),"")</f>
        <v>0.64290000000000003</v>
      </c>
      <c r="Q28" s="50">
        <f t="shared" si="5"/>
        <v>6.4290000000000003</v>
      </c>
    </row>
    <row r="29" spans="1:17" s="2" customFormat="1" ht="12.75" customHeight="1">
      <c r="A29" s="25"/>
      <c r="B29" s="26"/>
      <c r="C29" s="26"/>
      <c r="D29" s="272"/>
      <c r="E29" s="273"/>
      <c r="F29" s="26"/>
      <c r="G29" s="26"/>
      <c r="H29" s="274"/>
      <c r="I29" s="275"/>
      <c r="J29" s="27"/>
      <c r="K29" s="27"/>
      <c r="L29" s="27"/>
      <c r="M29" s="28"/>
      <c r="N29" s="29"/>
      <c r="O29" s="29" t="e">
        <f t="shared" ref="O29:O32" ca="1" si="7">B29*$L$2</f>
        <v>#VALUE!</v>
      </c>
      <c r="P29" s="141"/>
      <c r="Q29" s="142"/>
    </row>
    <row r="30" spans="1:17" s="2" customFormat="1" ht="12.75" customHeight="1">
      <c r="A30" s="4">
        <v>501</v>
      </c>
      <c r="B30" s="2">
        <v>24</v>
      </c>
      <c r="C30" s="110" t="s">
        <v>265</v>
      </c>
      <c r="D30" s="268"/>
      <c r="E30" s="276"/>
      <c r="F30" s="112" t="str">
        <f>VLOOKUP(C30,Bolts!A:L,5,0)</f>
        <v xml:space="preserve">  </v>
      </c>
      <c r="G30" s="112" t="str">
        <f>VLOOKUP(C30,Bolts!A:L,6,0)</f>
        <v>Monroe Fasteners</v>
      </c>
      <c r="H30" s="112" t="str">
        <f>VLOOKUP(C30,Bolts!A:L,7,0)</f>
        <v xml:space="preserve">  </v>
      </c>
      <c r="I30" s="112"/>
      <c r="J30" s="44" t="str">
        <f>VLOOKUP(C30,Bolts!A:L,8,0)</f>
        <v xml:space="preserve"> </v>
      </c>
      <c r="K30" s="44" t="str">
        <f>VLOOKUP(C30,Bolts!A:L,9,0)</f>
        <v xml:space="preserve"> </v>
      </c>
      <c r="L30" s="44" t="str">
        <f>VLOOKUP(C30,Bolts!A:L,10,0)</f>
        <v xml:space="preserve"> </v>
      </c>
      <c r="M30" s="44" t="str">
        <f>VLOOKUP(C30,Bolts!A:L,11,0)</f>
        <v xml:space="preserve"> </v>
      </c>
      <c r="N30" s="45" t="str">
        <f>VLOOKUP(C30,Bolts!A:L,12,0)</f>
        <v xml:space="preserve"> </v>
      </c>
      <c r="O30" s="45" t="e">
        <f ca="1">B30*$L$2</f>
        <v>#VALUE!</v>
      </c>
      <c r="P30" s="49" t="str">
        <f>IFERROR(VLOOKUP(C30,Bolts!A:B,2,FALSE),"")</f>
        <v xml:space="preserve"> </v>
      </c>
      <c r="Q30" s="50" t="str">
        <f>IFERROR(B30*P30,"")</f>
        <v/>
      </c>
    </row>
    <row r="31" spans="1:17" s="2" customFormat="1" ht="12.75" customHeight="1">
      <c r="A31" s="4">
        <v>502</v>
      </c>
      <c r="B31" s="2">
        <v>30</v>
      </c>
      <c r="C31" s="110" t="s">
        <v>278</v>
      </c>
      <c r="D31" s="268"/>
      <c r="E31" s="276"/>
      <c r="F31" s="112" t="str">
        <f>VLOOKUP(C31,Bolts!A:L,5,0)</f>
        <v xml:space="preserve">  </v>
      </c>
      <c r="G31" s="112" t="str">
        <f>VLOOKUP(C31,Bolts!A:L,6,0)</f>
        <v>Monroe Fasteners</v>
      </c>
      <c r="H31" s="112" t="str">
        <f>VLOOKUP(C31,Bolts!A:L,7,0)</f>
        <v xml:space="preserve">  </v>
      </c>
      <c r="I31" s="112"/>
      <c r="J31" s="44" t="str">
        <f>VLOOKUP(C31,Bolts!A:L,8,0)</f>
        <v xml:space="preserve"> </v>
      </c>
      <c r="K31" s="44" t="str">
        <f>VLOOKUP(C31,Bolts!A:L,9,0)</f>
        <v xml:space="preserve"> </v>
      </c>
      <c r="L31" s="44" t="str">
        <f>VLOOKUP(C31,Bolts!A:L,10,0)</f>
        <v xml:space="preserve"> </v>
      </c>
      <c r="M31" s="44" t="str">
        <f>VLOOKUP(C31,Bolts!A:L,11,0)</f>
        <v xml:space="preserve"> </v>
      </c>
      <c r="N31" s="45" t="str">
        <f>VLOOKUP(C31,Bolts!A:L,12,0)</f>
        <v xml:space="preserve"> </v>
      </c>
      <c r="O31" s="45" t="e">
        <f ca="1">B31*$L$2</f>
        <v>#VALUE!</v>
      </c>
      <c r="P31" s="49" t="str">
        <f>IFERROR(VLOOKUP(C31,Bolts!A:B,2,FALSE),"")</f>
        <v xml:space="preserve"> </v>
      </c>
      <c r="Q31" s="50" t="str">
        <f>IFERROR(B31*P31,"")</f>
        <v/>
      </c>
    </row>
    <row r="32" spans="1:17" s="2" customFormat="1" ht="12.75" customHeight="1">
      <c r="A32" s="4">
        <v>503</v>
      </c>
      <c r="B32" s="2">
        <v>12</v>
      </c>
      <c r="C32" s="110" t="s">
        <v>267</v>
      </c>
      <c r="D32" s="268"/>
      <c r="E32" s="276"/>
      <c r="F32" s="112" t="str">
        <f>VLOOKUP(C32,Bolts!A:L,5,0)</f>
        <v xml:space="preserve">  </v>
      </c>
      <c r="G32" s="112" t="str">
        <f>VLOOKUP(C32,Bolts!A:L,6,0)</f>
        <v>Monroe Fasteners</v>
      </c>
      <c r="H32" s="112" t="str">
        <f>VLOOKUP(C32,Bolts!A:L,7,0)</f>
        <v xml:space="preserve">  </v>
      </c>
      <c r="I32" s="112"/>
      <c r="J32" s="44" t="str">
        <f>VLOOKUP(C32,Bolts!A:L,8,0)</f>
        <v xml:space="preserve"> </v>
      </c>
      <c r="K32" s="44" t="str">
        <f>VLOOKUP(C32,Bolts!A:L,9,0)</f>
        <v xml:space="preserve"> </v>
      </c>
      <c r="L32" s="44" t="str">
        <f>VLOOKUP(C32,Bolts!A:L,10,0)</f>
        <v xml:space="preserve"> </v>
      </c>
      <c r="M32" s="44" t="str">
        <f>VLOOKUP(C32,Bolts!A:L,11,0)</f>
        <v xml:space="preserve"> </v>
      </c>
      <c r="N32" s="45" t="str">
        <f>VLOOKUP(C32,Bolts!A:L,12,0)</f>
        <v xml:space="preserve"> </v>
      </c>
      <c r="O32" s="45" t="e">
        <f t="shared" ca="1" si="7"/>
        <v>#VALUE!</v>
      </c>
      <c r="P32" s="49" t="str">
        <f>IFERROR(VLOOKUP(C32,Bolts!A:B,2,FALSE),"")</f>
        <v xml:space="preserve"> </v>
      </c>
      <c r="Q32" s="50" t="str">
        <f t="shared" ref="Q32" si="8">IFERROR(B32*P32,"")</f>
        <v/>
      </c>
    </row>
    <row r="33" spans="1:17" s="2" customFormat="1" ht="12.75" customHeight="1" thickBot="1">
      <c r="A33" s="4">
        <v>504</v>
      </c>
      <c r="B33" s="2">
        <v>10</v>
      </c>
      <c r="C33" s="110" t="s">
        <v>758</v>
      </c>
      <c r="D33" s="164"/>
      <c r="E33" s="165"/>
      <c r="F33" s="112" t="str">
        <f>VLOOKUP(C33,Bolts!A:L,5,0)</f>
        <v xml:space="preserve">  </v>
      </c>
      <c r="G33" s="112" t="str">
        <f>VLOOKUP(C33,Bolts!A:L,6,0)</f>
        <v>Monroe Fasteners</v>
      </c>
      <c r="H33" s="112" t="str">
        <f>VLOOKUP(C33,Bolts!A:L,7,0)</f>
        <v xml:space="preserve">  </v>
      </c>
      <c r="I33" s="112"/>
      <c r="J33" s="44" t="str">
        <f>VLOOKUP(C33,Bolts!A:L,8,0)</f>
        <v xml:space="preserve"> </v>
      </c>
      <c r="K33" s="44" t="str">
        <f>VLOOKUP(C33,Bolts!A:L,9,0)</f>
        <v xml:space="preserve"> </v>
      </c>
      <c r="L33" s="44" t="str">
        <f>VLOOKUP(C33,Bolts!A:L,10,0)</f>
        <v xml:space="preserve"> </v>
      </c>
      <c r="M33" s="44" t="str">
        <f>VLOOKUP(C33,Bolts!A:L,11,0)</f>
        <v xml:space="preserve"> </v>
      </c>
      <c r="N33" s="45" t="str">
        <f>VLOOKUP(C33,Bolts!A:L,12,0)</f>
        <v xml:space="preserve"> </v>
      </c>
      <c r="O33" s="45" t="e">
        <f t="shared" ref="O33" ca="1" si="9">B33*$L$2</f>
        <v>#VALUE!</v>
      </c>
      <c r="P33" s="49" t="str">
        <f>IFERROR(VLOOKUP(C33,Bolts!A:B,2,FALSE),"")</f>
        <v xml:space="preserve"> </v>
      </c>
      <c r="Q33" s="50" t="str">
        <f t="shared" ref="Q33" si="10">IFERROR(B33*P33,"")</f>
        <v/>
      </c>
    </row>
    <row r="34" spans="1:17" s="2" customFormat="1" ht="12.75" customHeight="1" thickBot="1">
      <c r="A34" s="34"/>
      <c r="B34" s="35"/>
      <c r="C34" s="35"/>
      <c r="D34" s="256"/>
      <c r="E34" s="257"/>
      <c r="F34" s="35"/>
      <c r="G34" s="35"/>
      <c r="H34" s="294"/>
      <c r="I34" s="295"/>
      <c r="J34" s="36"/>
      <c r="K34" s="36"/>
      <c r="L34" s="36"/>
      <c r="M34" s="37"/>
      <c r="N34" s="38"/>
      <c r="O34" s="38"/>
      <c r="P34" s="89" t="s">
        <v>43</v>
      </c>
      <c r="Q34" s="94">
        <f>SUM(Q5:Q32)</f>
        <v>7677.0745999999999</v>
      </c>
    </row>
    <row r="35" spans="1:17" s="2" customFormat="1" ht="12" customHeight="1">
      <c r="D35" s="22"/>
      <c r="E35" s="22"/>
      <c r="J35" s="8"/>
      <c r="K35" s="8"/>
      <c r="L35" s="8"/>
      <c r="M35" s="8"/>
      <c r="N35" s="5"/>
      <c r="O35" s="5"/>
      <c r="P35" s="88"/>
      <c r="Q35" s="95"/>
    </row>
    <row r="36" spans="1:17" s="2" customFormat="1" ht="12" customHeight="1">
      <c r="D36" s="22"/>
      <c r="E36" s="22"/>
      <c r="J36" s="5"/>
      <c r="K36" s="5"/>
      <c r="L36" s="5"/>
      <c r="M36" s="5"/>
      <c r="N36" s="5"/>
      <c r="O36" s="5"/>
      <c r="P36" s="88"/>
      <c r="Q36" s="95"/>
    </row>
    <row r="37" spans="1:17" s="2" customFormat="1" ht="12" customHeight="1">
      <c r="D37" s="22"/>
      <c r="E37" s="22"/>
      <c r="J37" s="5"/>
      <c r="K37" s="5"/>
      <c r="L37" s="5"/>
      <c r="M37" s="5"/>
      <c r="N37" s="5"/>
      <c r="O37" s="5"/>
      <c r="P37" s="88"/>
      <c r="Q37" s="95"/>
    </row>
    <row r="38" spans="1:17" s="2" customFormat="1" ht="12" customHeight="1">
      <c r="D38" s="22"/>
      <c r="E38" s="22"/>
      <c r="J38" s="5"/>
      <c r="K38" s="5"/>
      <c r="L38" s="5"/>
      <c r="M38" s="5"/>
      <c r="N38" s="5"/>
      <c r="O38" s="5"/>
      <c r="P38" s="88"/>
      <c r="Q38" s="95"/>
    </row>
    <row r="39" spans="1:17" s="2" customFormat="1" ht="12" customHeight="1">
      <c r="D39" s="22"/>
      <c r="E39" s="22"/>
      <c r="J39" s="5"/>
      <c r="K39" s="5"/>
      <c r="L39" s="5"/>
      <c r="M39" s="5"/>
      <c r="N39" s="5"/>
      <c r="O39" s="5"/>
      <c r="P39" s="88"/>
      <c r="Q39" s="95"/>
    </row>
    <row r="40" spans="1:17" s="2" customFormat="1" ht="12" customHeight="1">
      <c r="D40" s="22"/>
      <c r="E40" s="22"/>
      <c r="J40" s="5"/>
      <c r="K40" s="5"/>
      <c r="L40" s="5"/>
      <c r="M40" s="5"/>
      <c r="N40" s="5"/>
      <c r="O40" s="5"/>
      <c r="P40" s="88"/>
      <c r="Q40" s="95"/>
    </row>
    <row r="41" spans="1:17" s="2" customFormat="1" ht="12" customHeight="1">
      <c r="D41" s="22"/>
      <c r="E41" s="22"/>
      <c r="J41" s="5"/>
      <c r="K41" s="5"/>
      <c r="L41" s="5"/>
      <c r="M41" s="5"/>
      <c r="N41" s="5"/>
      <c r="O41" s="5"/>
      <c r="P41" s="88"/>
      <c r="Q41" s="95"/>
    </row>
    <row r="42" spans="1:17" s="2" customFormat="1" ht="12" customHeight="1">
      <c r="D42" s="22"/>
      <c r="E42" s="22"/>
      <c r="J42" s="5"/>
      <c r="K42" s="5"/>
      <c r="L42" s="5"/>
      <c r="M42" s="5"/>
      <c r="N42" s="5"/>
      <c r="O42" s="5"/>
      <c r="P42" s="88"/>
      <c r="Q42" s="95"/>
    </row>
    <row r="43" spans="1:17" s="2" customFormat="1" ht="12" customHeight="1">
      <c r="D43" s="22"/>
      <c r="E43" s="22"/>
      <c r="J43" s="5"/>
      <c r="K43" s="5"/>
      <c r="L43" s="5"/>
      <c r="M43" s="5"/>
      <c r="N43" s="5"/>
      <c r="O43" s="5"/>
      <c r="P43" s="88"/>
      <c r="Q43" s="95"/>
    </row>
    <row r="44" spans="1:17" s="2" customFormat="1" ht="12" customHeight="1">
      <c r="D44" s="22"/>
      <c r="E44" s="22"/>
      <c r="J44" s="5"/>
      <c r="K44" s="5"/>
      <c r="L44" s="5"/>
      <c r="M44" s="5"/>
      <c r="N44" s="5"/>
      <c r="O44" s="5"/>
      <c r="P44" s="88"/>
      <c r="Q44" s="95"/>
    </row>
    <row r="45" spans="1:17" s="2" customFormat="1" ht="12" customHeight="1">
      <c r="D45" s="22"/>
      <c r="E45" s="22"/>
      <c r="J45" s="5"/>
      <c r="K45" s="5"/>
      <c r="L45" s="5"/>
      <c r="M45" s="5"/>
      <c r="N45" s="5"/>
      <c r="O45" s="5"/>
      <c r="P45" s="88"/>
      <c r="Q45" s="95"/>
    </row>
    <row r="46" spans="1:17" s="2" customFormat="1" ht="12" customHeight="1">
      <c r="D46" s="22"/>
      <c r="E46" s="22"/>
      <c r="J46" s="5"/>
      <c r="K46" s="5"/>
      <c r="L46" s="5"/>
      <c r="M46" s="5"/>
      <c r="N46" s="5"/>
      <c r="O46" s="5"/>
      <c r="P46" s="88"/>
      <c r="Q46" s="95"/>
    </row>
    <row r="47" spans="1:17" s="2" customFormat="1" ht="12" customHeight="1">
      <c r="D47" s="22"/>
      <c r="E47" s="22"/>
      <c r="J47" s="5"/>
      <c r="K47" s="5"/>
      <c r="L47" s="5"/>
      <c r="M47" s="5"/>
      <c r="N47" s="5"/>
      <c r="O47" s="5"/>
      <c r="P47" s="88"/>
      <c r="Q47" s="95"/>
    </row>
    <row r="48" spans="1:17" s="2" customFormat="1" ht="12" customHeight="1">
      <c r="D48" s="22"/>
      <c r="E48" s="22"/>
      <c r="J48" s="5"/>
      <c r="K48" s="5"/>
      <c r="L48" s="5"/>
      <c r="M48" s="5"/>
      <c r="N48" s="5"/>
      <c r="O48" s="5"/>
      <c r="P48" s="88"/>
      <c r="Q48" s="95"/>
    </row>
    <row r="49" spans="4:17" s="2" customFormat="1" ht="12" customHeight="1">
      <c r="D49" s="22"/>
      <c r="E49" s="22"/>
      <c r="J49" s="5"/>
      <c r="K49" s="5"/>
      <c r="L49" s="5"/>
      <c r="M49" s="5"/>
      <c r="N49" s="5"/>
      <c r="O49" s="5"/>
      <c r="P49" s="88"/>
      <c r="Q49" s="95"/>
    </row>
    <row r="50" spans="4:17" s="2" customFormat="1" ht="12" customHeight="1">
      <c r="D50" s="22"/>
      <c r="E50" s="22"/>
      <c r="J50" s="5"/>
      <c r="K50" s="5"/>
      <c r="L50" s="5"/>
      <c r="M50" s="5"/>
      <c r="N50" s="5"/>
      <c r="O50" s="5"/>
      <c r="P50" s="88"/>
      <c r="Q50" s="95"/>
    </row>
    <row r="51" spans="4:17" s="2" customFormat="1" ht="12" customHeight="1">
      <c r="D51" s="22"/>
      <c r="E51" s="22"/>
      <c r="J51" s="5"/>
      <c r="K51" s="5"/>
      <c r="L51" s="5"/>
      <c r="M51" s="5"/>
      <c r="N51" s="5"/>
      <c r="O51" s="5"/>
      <c r="P51" s="88"/>
      <c r="Q51" s="95"/>
    </row>
    <row r="52" spans="4:17" s="2" customFormat="1" ht="12" customHeight="1">
      <c r="D52" s="22"/>
      <c r="E52" s="22"/>
      <c r="J52" s="5"/>
      <c r="K52" s="5"/>
      <c r="L52" s="5"/>
      <c r="M52" s="5"/>
      <c r="N52" s="5"/>
      <c r="O52" s="5"/>
      <c r="P52" s="88"/>
      <c r="Q52" s="95"/>
    </row>
    <row r="53" spans="4:17" s="2" customFormat="1" ht="12" customHeight="1">
      <c r="D53" s="22"/>
      <c r="E53" s="22"/>
      <c r="J53" s="5"/>
      <c r="K53" s="5"/>
      <c r="L53" s="5"/>
      <c r="M53" s="5"/>
      <c r="N53" s="5"/>
      <c r="O53" s="5"/>
      <c r="P53" s="88"/>
      <c r="Q53" s="95"/>
    </row>
    <row r="54" spans="4:17" s="2" customFormat="1" ht="12" customHeight="1">
      <c r="D54" s="22"/>
      <c r="E54" s="22"/>
      <c r="J54" s="5"/>
      <c r="K54" s="5"/>
      <c r="L54" s="5"/>
      <c r="M54" s="5"/>
      <c r="N54" s="5"/>
      <c r="O54" s="5"/>
      <c r="P54" s="88"/>
      <c r="Q54" s="95"/>
    </row>
    <row r="55" spans="4:17" s="2" customFormat="1" ht="12" customHeight="1">
      <c r="D55" s="22"/>
      <c r="E55" s="22"/>
      <c r="J55" s="5"/>
      <c r="K55" s="5"/>
      <c r="L55" s="5"/>
      <c r="M55" s="5"/>
      <c r="N55" s="5"/>
      <c r="O55" s="5"/>
      <c r="P55" s="88"/>
      <c r="Q55" s="95"/>
    </row>
    <row r="56" spans="4:17" s="2" customFormat="1" ht="12" customHeight="1">
      <c r="D56" s="22"/>
      <c r="E56" s="22"/>
      <c r="J56" s="5"/>
      <c r="K56" s="5"/>
      <c r="L56" s="5"/>
      <c r="M56" s="5"/>
      <c r="N56" s="5"/>
      <c r="O56" s="5"/>
      <c r="P56" s="88"/>
      <c r="Q56" s="95"/>
    </row>
    <row r="57" spans="4:17" s="2" customFormat="1" ht="12" customHeight="1">
      <c r="D57" s="22"/>
      <c r="E57" s="22"/>
      <c r="J57" s="5"/>
      <c r="K57" s="5"/>
      <c r="L57" s="5"/>
      <c r="M57" s="5"/>
      <c r="N57" s="5"/>
      <c r="O57" s="5"/>
      <c r="P57" s="88"/>
      <c r="Q57" s="95"/>
    </row>
    <row r="58" spans="4:17" s="2" customFormat="1" ht="12" customHeight="1">
      <c r="D58" s="22"/>
      <c r="E58" s="22"/>
      <c r="J58" s="5"/>
      <c r="K58" s="5"/>
      <c r="L58" s="5"/>
      <c r="M58" s="5"/>
      <c r="N58" s="5"/>
      <c r="O58" s="5"/>
      <c r="P58" s="88"/>
      <c r="Q58" s="95"/>
    </row>
    <row r="59" spans="4:17" s="2" customFormat="1" ht="12" customHeight="1">
      <c r="D59" s="22"/>
      <c r="E59" s="22"/>
      <c r="J59" s="5"/>
      <c r="K59" s="5"/>
      <c r="L59" s="5"/>
      <c r="M59" s="5"/>
      <c r="N59" s="5"/>
      <c r="O59" s="5"/>
      <c r="P59" s="88"/>
      <c r="Q59" s="95"/>
    </row>
    <row r="60" spans="4:17" s="2" customFormat="1" ht="12" customHeight="1">
      <c r="D60" s="22"/>
      <c r="E60" s="22"/>
      <c r="J60" s="5"/>
      <c r="K60" s="5"/>
      <c r="L60" s="5"/>
      <c r="M60" s="5"/>
      <c r="N60" s="5"/>
      <c r="O60" s="5"/>
      <c r="P60" s="88"/>
      <c r="Q60" s="95"/>
    </row>
    <row r="61" spans="4:17" s="2" customFormat="1" ht="12" customHeight="1">
      <c r="D61" s="22"/>
      <c r="E61" s="22"/>
      <c r="J61" s="5"/>
      <c r="K61" s="5"/>
      <c r="L61" s="5"/>
      <c r="M61" s="5"/>
      <c r="N61" s="5"/>
      <c r="O61" s="5"/>
      <c r="P61" s="88"/>
      <c r="Q61" s="95"/>
    </row>
    <row r="62" spans="4:17" s="2" customFormat="1" ht="12" customHeight="1">
      <c r="D62" s="22"/>
      <c r="E62" s="22"/>
      <c r="J62" s="5"/>
      <c r="K62" s="5"/>
      <c r="L62" s="5"/>
      <c r="M62" s="5"/>
      <c r="N62" s="5"/>
      <c r="O62" s="5"/>
      <c r="P62" s="88"/>
      <c r="Q62" s="95"/>
    </row>
    <row r="63" spans="4:17" s="2" customFormat="1" ht="12" customHeight="1">
      <c r="D63" s="22"/>
      <c r="E63" s="22"/>
      <c r="J63" s="5"/>
      <c r="K63" s="5"/>
      <c r="L63" s="5"/>
      <c r="M63" s="5"/>
      <c r="N63" s="5"/>
      <c r="O63" s="5"/>
      <c r="P63" s="88"/>
      <c r="Q63" s="95"/>
    </row>
    <row r="64" spans="4:17" s="2" customFormat="1" ht="12" customHeight="1">
      <c r="D64" s="22"/>
      <c r="E64" s="22"/>
      <c r="J64" s="5"/>
      <c r="K64" s="5"/>
      <c r="L64" s="5"/>
      <c r="M64" s="5"/>
      <c r="N64" s="5"/>
      <c r="O64" s="5"/>
      <c r="P64" s="88"/>
      <c r="Q64" s="95"/>
    </row>
    <row r="65" spans="1:17" s="2" customFormat="1" ht="12" customHeight="1">
      <c r="D65" s="22"/>
      <c r="E65" s="22"/>
      <c r="J65" s="5"/>
      <c r="K65" s="5"/>
      <c r="L65" s="5"/>
      <c r="M65" s="5"/>
      <c r="N65" s="5"/>
      <c r="O65" s="5"/>
      <c r="P65" s="88"/>
      <c r="Q65" s="95"/>
    </row>
    <row r="66" spans="1:17" s="2" customFormat="1" ht="12" customHeight="1">
      <c r="D66" s="22"/>
      <c r="E66" s="22"/>
      <c r="J66" s="5"/>
      <c r="K66" s="5"/>
      <c r="L66" s="5"/>
      <c r="M66" s="5"/>
      <c r="N66" s="5"/>
      <c r="O66" s="5"/>
      <c r="P66" s="88"/>
      <c r="Q66" s="95"/>
    </row>
    <row r="67" spans="1:17" s="2" customFormat="1" ht="12" customHeight="1">
      <c r="D67" s="22"/>
      <c r="E67" s="22"/>
      <c r="J67" s="5"/>
      <c r="K67" s="5"/>
      <c r="L67" s="5"/>
      <c r="M67" s="5"/>
      <c r="N67" s="5"/>
      <c r="O67" s="5"/>
      <c r="P67" s="88"/>
      <c r="Q67" s="95"/>
    </row>
    <row r="68" spans="1:17" s="2" customFormat="1" ht="12" customHeight="1">
      <c r="D68" s="22"/>
      <c r="E68" s="22"/>
      <c r="J68" s="5"/>
      <c r="K68" s="5"/>
      <c r="L68" s="5"/>
      <c r="M68" s="5"/>
      <c r="N68" s="5"/>
      <c r="O68" s="5"/>
      <c r="P68" s="88"/>
      <c r="Q68" s="95"/>
    </row>
    <row r="69" spans="1:17" s="2" customFormat="1" ht="12" customHeight="1">
      <c r="D69" s="22"/>
      <c r="E69" s="22"/>
      <c r="J69" s="5"/>
      <c r="K69" s="5"/>
      <c r="L69" s="5"/>
      <c r="M69" s="5"/>
      <c r="N69" s="5"/>
      <c r="O69" s="5"/>
      <c r="P69" s="88"/>
      <c r="Q69" s="95"/>
    </row>
    <row r="70" spans="1:17" s="2" customFormat="1" ht="12" customHeight="1">
      <c r="D70" s="22"/>
      <c r="E70" s="22"/>
      <c r="J70" s="5"/>
      <c r="K70" s="5"/>
      <c r="L70" s="5"/>
      <c r="M70" s="5"/>
      <c r="N70" s="5"/>
      <c r="O70" s="5"/>
      <c r="P70" s="88"/>
      <c r="Q70" s="95"/>
    </row>
    <row r="71" spans="1:17" s="2" customFormat="1" ht="12" customHeight="1">
      <c r="D71" s="22"/>
      <c r="E71" s="22"/>
      <c r="J71" s="5"/>
      <c r="K71" s="5"/>
      <c r="L71" s="5"/>
      <c r="M71" s="5"/>
      <c r="N71" s="5"/>
      <c r="O71" s="5"/>
      <c r="P71" s="88"/>
      <c r="Q71" s="95"/>
    </row>
    <row r="72" spans="1:17" s="2" customFormat="1" ht="12" customHeight="1">
      <c r="D72" s="22"/>
      <c r="E72" s="22"/>
      <c r="J72" s="5"/>
      <c r="K72" s="5"/>
      <c r="L72" s="5"/>
      <c r="M72" s="5"/>
      <c r="N72" s="5"/>
      <c r="O72" s="5"/>
      <c r="P72" s="88"/>
      <c r="Q72" s="95"/>
    </row>
    <row r="73" spans="1:17" s="2" customFormat="1" ht="12" customHeight="1">
      <c r="D73" s="22"/>
      <c r="E73" s="22"/>
      <c r="J73" s="5"/>
      <c r="K73" s="5"/>
      <c r="L73" s="5"/>
      <c r="M73" s="5"/>
      <c r="N73" s="5"/>
      <c r="O73" s="5"/>
      <c r="P73" s="88"/>
      <c r="Q73" s="96"/>
    </row>
    <row r="74" spans="1:17" s="2" customFormat="1" ht="12" customHeight="1">
      <c r="D74" s="22"/>
      <c r="E74" s="22"/>
      <c r="J74" s="5"/>
      <c r="K74" s="5"/>
      <c r="L74" s="5"/>
      <c r="M74" s="5"/>
      <c r="N74" s="5"/>
      <c r="O74" s="5"/>
      <c r="P74" s="88"/>
      <c r="Q74" s="96"/>
    </row>
    <row r="75" spans="1:17" s="2" customFormat="1" ht="12" customHeight="1">
      <c r="D75" s="22"/>
      <c r="E75" s="22"/>
      <c r="J75" s="5"/>
      <c r="K75" s="5"/>
      <c r="L75" s="5"/>
      <c r="M75" s="5"/>
      <c r="N75" s="5"/>
      <c r="O75" s="5"/>
      <c r="P75" s="88"/>
      <c r="Q75" s="96"/>
    </row>
    <row r="76" spans="1:17" s="2" customFormat="1" ht="12" customHeight="1">
      <c r="D76" s="22"/>
      <c r="E76" s="22"/>
      <c r="J76" s="5"/>
      <c r="K76" s="5"/>
      <c r="L76" s="5"/>
      <c r="M76" s="5"/>
      <c r="N76" s="5"/>
      <c r="O76" s="5"/>
      <c r="P76" s="88"/>
      <c r="Q76" s="96"/>
    </row>
    <row r="77" spans="1:17" s="2" customFormat="1" ht="12" customHeight="1">
      <c r="A77"/>
      <c r="B77"/>
      <c r="C77"/>
      <c r="D77" s="23"/>
      <c r="E77" s="23"/>
      <c r="F77"/>
      <c r="G77"/>
      <c r="H77"/>
      <c r="I77"/>
      <c r="J77" s="19"/>
      <c r="K77" s="19"/>
      <c r="L77" s="19"/>
      <c r="M77" s="19"/>
      <c r="N77" s="19"/>
      <c r="O77" s="19"/>
      <c r="P77" s="90"/>
      <c r="Q77" s="96"/>
    </row>
    <row r="78" spans="1:17" s="2" customFormat="1" ht="12" customHeight="1">
      <c r="A78"/>
      <c r="B78"/>
      <c r="C78"/>
      <c r="D78" s="23"/>
      <c r="E78" s="23"/>
      <c r="F78"/>
      <c r="G78"/>
      <c r="H78"/>
      <c r="I78"/>
      <c r="J78" s="19"/>
      <c r="K78" s="19"/>
      <c r="L78" s="19"/>
      <c r="M78" s="19"/>
      <c r="N78" s="19"/>
      <c r="O78" s="19"/>
      <c r="P78" s="90"/>
      <c r="Q78" s="96"/>
    </row>
    <row r="79" spans="1:17" s="2" customFormat="1" ht="12" customHeight="1">
      <c r="A79"/>
      <c r="B79"/>
      <c r="C79"/>
      <c r="D79" s="23"/>
      <c r="E79" s="23"/>
      <c r="F79"/>
      <c r="G79"/>
      <c r="H79"/>
      <c r="I79"/>
      <c r="J79" s="19"/>
      <c r="K79" s="19"/>
      <c r="L79" s="19"/>
      <c r="M79" s="19"/>
      <c r="N79" s="19"/>
      <c r="O79" s="19"/>
      <c r="P79" s="90"/>
      <c r="Q79" s="96"/>
    </row>
    <row r="80" spans="1:17" s="2" customFormat="1" ht="12" customHeight="1">
      <c r="A80"/>
      <c r="B80"/>
      <c r="C80"/>
      <c r="D80" s="23"/>
      <c r="E80" s="23"/>
      <c r="F80"/>
      <c r="G80"/>
      <c r="H80"/>
      <c r="I80"/>
      <c r="J80" s="19"/>
      <c r="K80" s="19"/>
      <c r="L80" s="19"/>
      <c r="M80" s="19"/>
      <c r="N80" s="19"/>
      <c r="O80" s="19"/>
      <c r="P80" s="90"/>
      <c r="Q80" s="96"/>
    </row>
    <row r="81" spans="1:17" s="2" customFormat="1" ht="12" customHeight="1">
      <c r="A81"/>
      <c r="B81"/>
      <c r="C81"/>
      <c r="D81" s="23"/>
      <c r="E81" s="23"/>
      <c r="F81"/>
      <c r="G81"/>
      <c r="H81"/>
      <c r="I81"/>
      <c r="J81" s="19"/>
      <c r="K81" s="19"/>
      <c r="L81" s="19"/>
      <c r="M81" s="19"/>
      <c r="N81" s="19"/>
      <c r="O81" s="19"/>
      <c r="P81" s="90"/>
      <c r="Q81" s="96"/>
    </row>
    <row r="82" spans="1:17">
      <c r="Q82" s="96"/>
    </row>
    <row r="83" spans="1:17">
      <c r="Q83" s="96"/>
    </row>
    <row r="84" spans="1:17">
      <c r="Q84" s="96"/>
    </row>
    <row r="85" spans="1:17">
      <c r="Q85" s="96"/>
    </row>
    <row r="86" spans="1:17">
      <c r="Q86" s="96"/>
    </row>
    <row r="87" spans="1:17">
      <c r="Q87" s="96"/>
    </row>
    <row r="88" spans="1:17">
      <c r="Q88" s="96"/>
    </row>
    <row r="89" spans="1:17">
      <c r="Q89" s="96"/>
    </row>
    <row r="90" spans="1:17">
      <c r="Q90" s="96"/>
    </row>
    <row r="91" spans="1:17">
      <c r="Q91" s="96"/>
    </row>
    <row r="92" spans="1:17">
      <c r="Q92" s="96"/>
    </row>
    <row r="93" spans="1:17">
      <c r="Q93" s="96"/>
    </row>
    <row r="94" spans="1:17">
      <c r="Q94" s="96"/>
    </row>
    <row r="95" spans="1:17">
      <c r="Q95" s="96"/>
    </row>
    <row r="96" spans="1:17">
      <c r="Q96" s="96"/>
    </row>
    <row r="97" spans="17:17">
      <c r="Q97" s="96"/>
    </row>
    <row r="98" spans="17:17">
      <c r="Q98" s="96"/>
    </row>
    <row r="99" spans="17:17">
      <c r="Q99" s="96"/>
    </row>
    <row r="100" spans="17:17">
      <c r="Q100" s="96"/>
    </row>
    <row r="101" spans="17:17">
      <c r="Q101" s="96"/>
    </row>
    <row r="138" ht="12" customHeight="1"/>
    <row r="139" ht="12" customHeight="1"/>
    <row r="140" ht="12" customHeight="1"/>
    <row r="141" ht="12" customHeight="1"/>
    <row r="142" ht="12" customHeight="1"/>
    <row r="143" ht="12" customHeight="1"/>
    <row r="144" ht="12" customHeight="1"/>
    <row r="145" ht="12" customHeight="1"/>
    <row r="146" ht="12" customHeight="1"/>
    <row r="147" ht="12" customHeight="1"/>
    <row r="148" ht="12" customHeight="1"/>
    <row r="149" ht="12" customHeight="1"/>
    <row r="150" ht="12" customHeight="1"/>
    <row r="151" ht="12" customHeight="1"/>
    <row r="152" ht="12" customHeight="1"/>
    <row r="153" ht="12" customHeight="1"/>
    <row r="154" ht="12" customHeight="1"/>
    <row r="155" ht="12" customHeight="1"/>
    <row r="156" ht="12" customHeight="1"/>
    <row r="157" ht="12" customHeight="1"/>
    <row r="158" ht="12" customHeight="1"/>
    <row r="159" ht="12" customHeight="1"/>
    <row r="160" ht="12" customHeight="1"/>
    <row r="161" ht="12" customHeight="1"/>
    <row r="162" ht="12" customHeight="1"/>
    <row r="163" ht="12" customHeight="1"/>
    <row r="164" ht="12" customHeight="1"/>
    <row r="165" ht="12" customHeight="1"/>
    <row r="166" ht="12" customHeight="1"/>
    <row r="167" ht="12" customHeight="1"/>
    <row r="168" ht="12" customHeight="1"/>
    <row r="169" ht="12" customHeight="1"/>
    <row r="170" ht="12" customHeight="1"/>
    <row r="171" ht="12" customHeight="1"/>
    <row r="172" ht="12" customHeight="1"/>
    <row r="173" ht="12" customHeight="1"/>
    <row r="174" ht="12" customHeight="1"/>
    <row r="175" ht="12" customHeight="1"/>
    <row r="176" ht="12" customHeight="1"/>
    <row r="177" ht="12" customHeight="1"/>
    <row r="178" ht="12" customHeight="1"/>
    <row r="179" ht="12" customHeight="1"/>
    <row r="180" ht="12" customHeight="1"/>
    <row r="181" ht="12" customHeight="1"/>
    <row r="182" ht="12" customHeight="1"/>
    <row r="183" ht="12" customHeight="1"/>
    <row r="184" ht="12" customHeight="1"/>
    <row r="185" ht="12" customHeight="1"/>
    <row r="186" ht="12" customHeight="1"/>
    <row r="187" ht="12" customHeight="1"/>
  </sheetData>
  <mergeCells count="39">
    <mergeCell ref="D34:E34"/>
    <mergeCell ref="H34:I34"/>
    <mergeCell ref="D30:E30"/>
    <mergeCell ref="D31:E31"/>
    <mergeCell ref="D28:E28"/>
    <mergeCell ref="D29:E29"/>
    <mergeCell ref="H29:I29"/>
    <mergeCell ref="D32:E32"/>
    <mergeCell ref="D23:E23"/>
    <mergeCell ref="D24:E24"/>
    <mergeCell ref="D25:E25"/>
    <mergeCell ref="D26:E26"/>
    <mergeCell ref="D27:E27"/>
    <mergeCell ref="D18:E18"/>
    <mergeCell ref="H18:I18"/>
    <mergeCell ref="D21:E21"/>
    <mergeCell ref="D22:E22"/>
    <mergeCell ref="D20:E20"/>
    <mergeCell ref="D19:E19"/>
    <mergeCell ref="D13:E13"/>
    <mergeCell ref="D14:E14"/>
    <mergeCell ref="D15:E15"/>
    <mergeCell ref="D16:E16"/>
    <mergeCell ref="D17:E17"/>
    <mergeCell ref="D9:E9"/>
    <mergeCell ref="D10:E10"/>
    <mergeCell ref="D11:E11"/>
    <mergeCell ref="D12:E12"/>
    <mergeCell ref="D7:E7"/>
    <mergeCell ref="H7:I7"/>
    <mergeCell ref="D8:E8"/>
    <mergeCell ref="H8:I8"/>
    <mergeCell ref="D6:E6"/>
    <mergeCell ref="H6:I6"/>
    <mergeCell ref="D1:E1"/>
    <mergeCell ref="D4:E4"/>
    <mergeCell ref="H4:I4"/>
    <mergeCell ref="D5:E5"/>
    <mergeCell ref="H5:I5"/>
  </mergeCells>
  <conditionalFormatting sqref="M9:M17">
    <cfRule type="cellIs" dxfId="420" priority="1" stopIfTrue="1" operator="lessThanOrEqual">
      <formula>$L9</formula>
    </cfRule>
    <cfRule type="cellIs" dxfId="419" priority="2" operator="greaterThan">
      <formula>L9</formula>
    </cfRule>
  </conditionalFormatting>
  <conditionalFormatting sqref="M19:M28 M30:M33">
    <cfRule type="cellIs" dxfId="418" priority="3" stopIfTrue="1" operator="lessThanOrEqual">
      <formula>$L19</formula>
    </cfRule>
    <cfRule type="cellIs" dxfId="417" priority="4" operator="greaterThan">
      <formula>L19</formula>
    </cfRule>
  </conditionalFormatting>
  <pageMargins left="0.7" right="0.7" top="0.75" bottom="0.75" header="0.3" footer="0.3"/>
  <pageSetup paperSize="3" fitToHeight="0" orientation="landscape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655E9B2-56A7-44A9-9058-CB24FF0F5034}">
          <x14:formula1>
            <xm:f>Assemblies!$E:$E</xm:f>
          </x14:formula1>
          <xm:sqref>C5:C7</xm:sqref>
        </x14:dataValidation>
        <x14:dataValidation type="list" allowBlank="1" showInputMessage="1" showErrorMessage="1" xr:uid="{8C854870-466C-4B46-9285-53376E07E996}">
          <x14:formula1>
            <xm:f>Purchased!$A:$A</xm:f>
          </x14:formula1>
          <xm:sqref>C19:C28</xm:sqref>
        </x14:dataValidation>
        <x14:dataValidation type="list" allowBlank="1" showInputMessage="1" showErrorMessage="1" xr:uid="{DF7FB4E9-D688-4948-AF45-4B852B37C09A}">
          <x14:formula1>
            <xm:f>Machined!$C:$C</xm:f>
          </x14:formula1>
          <xm:sqref>C9:C17</xm:sqref>
        </x14:dataValidation>
      </x14:dataValidation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8C48A0-A70B-4D1A-AA40-D20F93CAC2EF}">
  <sheetPr codeName="Sheet62">
    <tabColor theme="3" tint="0.79998168889431442"/>
    <pageSetUpPr fitToPage="1"/>
  </sheetPr>
  <dimension ref="A1:Q168"/>
  <sheetViews>
    <sheetView zoomScaleNormal="100" workbookViewId="0">
      <selection activeCell="C43" sqref="C43"/>
    </sheetView>
  </sheetViews>
  <sheetFormatPr defaultColWidth="9.140625" defaultRowHeight="15"/>
  <cols>
    <col min="1" max="1" width="5.7109375" customWidth="1"/>
    <col min="2" max="2" width="5.42578125" bestFit="1" customWidth="1"/>
    <col min="3" max="3" width="30.7109375" customWidth="1"/>
    <col min="4" max="5" width="20.7109375" style="23" customWidth="1"/>
    <col min="6" max="6" width="16.85546875" bestFit="1" customWidth="1"/>
    <col min="7" max="7" width="9.7109375" customWidth="1"/>
    <col min="8" max="8" width="8.7109375" customWidth="1"/>
    <col min="9" max="9" width="20.7109375" customWidth="1"/>
    <col min="10" max="13" width="11.7109375" style="19" customWidth="1"/>
    <col min="14" max="14" width="11.85546875" style="19" bestFit="1" customWidth="1"/>
    <col min="15" max="15" width="7.7109375" style="19" customWidth="1"/>
    <col min="16" max="16" width="10.7109375" style="90" customWidth="1"/>
    <col min="17" max="17" width="10.7109375" style="97" customWidth="1"/>
  </cols>
  <sheetData>
    <row r="1" spans="1:17" s="55" customFormat="1" ht="12" customHeight="1">
      <c r="A1" s="68" t="s">
        <v>0</v>
      </c>
      <c r="B1" s="69"/>
      <c r="C1" s="69"/>
      <c r="D1" s="262" t="s">
        <v>1</v>
      </c>
      <c r="E1" s="263"/>
      <c r="F1" s="70"/>
      <c r="G1" s="69"/>
      <c r="H1" s="70"/>
      <c r="I1" s="71"/>
      <c r="J1" s="72"/>
      <c r="K1" s="72"/>
      <c r="L1" s="72"/>
      <c r="M1" s="72"/>
      <c r="N1" s="72"/>
      <c r="O1" s="72"/>
      <c r="P1" s="85"/>
      <c r="Q1" s="91"/>
    </row>
    <row r="2" spans="1:17" s="55" customFormat="1" ht="12" customHeight="1">
      <c r="A2" s="74" t="s">
        <v>48</v>
      </c>
      <c r="B2" s="58"/>
      <c r="C2" s="57" t="e">
        <f ca="1">VLOOKUP(E3,Assemblies!B:F,4,0)</f>
        <v>#VALUE!</v>
      </c>
      <c r="D2" s="75" t="s">
        <v>3</v>
      </c>
      <c r="E2" s="76" t="e">
        <f ca="1">'GF12'!E2</f>
        <v>#VALUE!</v>
      </c>
      <c r="F2" s="77" t="s">
        <v>4</v>
      </c>
      <c r="G2" s="58" t="str">
        <f>'GF12'!G2</f>
        <v>GH</v>
      </c>
      <c r="H2" s="77" t="s">
        <v>6</v>
      </c>
      <c r="I2" s="59">
        <f>'GF12'!I2</f>
        <v>44775</v>
      </c>
      <c r="J2" s="39"/>
      <c r="K2" s="40" t="s">
        <v>49</v>
      </c>
      <c r="L2" s="41" t="e">
        <f ca="1">VLOOKUP(C2,Assemblies!E:G,3,0)</f>
        <v>#VALUE!</v>
      </c>
      <c r="M2" s="78"/>
      <c r="N2" s="78"/>
      <c r="O2" s="78"/>
      <c r="P2" s="86"/>
      <c r="Q2" s="92"/>
    </row>
    <row r="3" spans="1:17" s="55" customFormat="1" ht="12" customHeight="1" thickBot="1">
      <c r="A3" s="74" t="s">
        <v>7</v>
      </c>
      <c r="B3" s="58"/>
      <c r="C3" s="57" t="e">
        <f ca="1">VLOOKUP(E3,Assemblies!B:F,5,0)</f>
        <v>#VALUE!</v>
      </c>
      <c r="D3" s="75" t="s">
        <v>50</v>
      </c>
      <c r="E3" s="76" t="e">
        <f ca="1">MID(CELL("filename",A1),FIND("]",CELL("filename",A1))+1,256)</f>
        <v>#VALUE!</v>
      </c>
      <c r="F3" s="77" t="s">
        <v>11</v>
      </c>
      <c r="G3" s="58" t="str">
        <f>'GF12'!G3</f>
        <v>GH</v>
      </c>
      <c r="H3" s="77" t="s">
        <v>6</v>
      </c>
      <c r="I3" s="59">
        <f>'GF12'!I3</f>
        <v>44775</v>
      </c>
      <c r="J3" s="78"/>
      <c r="K3" s="78"/>
      <c r="L3" s="78"/>
      <c r="M3" s="78"/>
      <c r="N3" s="78"/>
      <c r="O3" s="78"/>
      <c r="P3" s="86"/>
      <c r="Q3" s="92"/>
    </row>
    <row r="4" spans="1:17" s="56" customFormat="1" ht="12.75" customHeight="1" thickBot="1">
      <c r="A4" s="80" t="s">
        <v>12</v>
      </c>
      <c r="B4" s="81" t="s">
        <v>13</v>
      </c>
      <c r="C4" s="81" t="s">
        <v>14</v>
      </c>
      <c r="D4" s="270" t="s">
        <v>15</v>
      </c>
      <c r="E4" s="271"/>
      <c r="F4" s="104" t="s">
        <v>16</v>
      </c>
      <c r="G4" s="81" t="s">
        <v>17</v>
      </c>
      <c r="H4" s="260" t="s">
        <v>18</v>
      </c>
      <c r="I4" s="261"/>
      <c r="J4" s="81" t="s">
        <v>51</v>
      </c>
      <c r="K4" s="81" t="s">
        <v>20</v>
      </c>
      <c r="L4" s="81" t="s">
        <v>21</v>
      </c>
      <c r="M4" s="81" t="s">
        <v>52</v>
      </c>
      <c r="N4" s="81" t="s">
        <v>22</v>
      </c>
      <c r="O4" s="81" t="s">
        <v>53</v>
      </c>
      <c r="P4" s="107" t="s">
        <v>26</v>
      </c>
      <c r="Q4" s="82" t="s">
        <v>27</v>
      </c>
    </row>
    <row r="5" spans="1:17" s="2" customFormat="1" ht="12.75" customHeight="1">
      <c r="A5" s="127">
        <v>1</v>
      </c>
      <c r="B5" s="21">
        <v>2</v>
      </c>
      <c r="C5" s="108" t="s">
        <v>272</v>
      </c>
      <c r="D5" s="277" t="str">
        <f>VLOOKUP(C5,Machined!C:Q,2,0)</f>
        <v>EXTRUDED ROLLER</v>
      </c>
      <c r="E5" s="278"/>
      <c r="F5" s="131" t="str">
        <f>VLOOKUP(C5,Machined!C:R,7,0)</f>
        <v>6061-T6 Alum</v>
      </c>
      <c r="G5" s="131" t="str">
        <f>VLOOKUP(C5,Machined!C:R,10,0)</f>
        <v>BONNELL, RON GROB, 3J, Fin. Pros</v>
      </c>
      <c r="H5" s="131" t="str">
        <f>VLOOKUP(C5,Machined!C:R,11,0)</f>
        <v xml:space="preserve"> </v>
      </c>
      <c r="I5" s="131"/>
      <c r="J5" s="42" t="str">
        <f>VLOOKUP(C5,Machined!C:R,12,0)</f>
        <v>N/A</v>
      </c>
      <c r="K5" s="42" t="str">
        <f>VLOOKUP(C5,Machined!C:R,13,0)</f>
        <v>N/A</v>
      </c>
      <c r="L5" s="42" t="str">
        <f>VLOOKUP(C5,Machined!C:R,14,0)</f>
        <v>N/A</v>
      </c>
      <c r="M5" s="42" t="str">
        <f>VLOOKUP(C5,Machined!C:R,15,0)</f>
        <v>N/A</v>
      </c>
      <c r="N5" s="43" t="str">
        <f>VLOOKUP(C5,Machined!C:R,16,0)</f>
        <v xml:space="preserve">54809, 54970, 54989 </v>
      </c>
      <c r="O5" s="43" t="e">
        <f t="shared" ref="O5:O9" ca="1" si="0">B5*$L$2</f>
        <v>#VALUE!</v>
      </c>
      <c r="P5" s="47">
        <f>IFERROR(VLOOKUP(C5,Machined!C:F,3,0),"")</f>
        <v>119.09</v>
      </c>
      <c r="Q5" s="48">
        <f t="shared" ref="Q5:Q9" si="1">IFERROR(B5*P5,"")</f>
        <v>238.18</v>
      </c>
    </row>
    <row r="6" spans="1:17" s="2" customFormat="1" ht="12.75" customHeight="1">
      <c r="A6" s="127">
        <v>2</v>
      </c>
      <c r="B6" s="21">
        <v>4</v>
      </c>
      <c r="C6" s="108" t="s">
        <v>274</v>
      </c>
      <c r="D6" s="277" t="str">
        <f>VLOOKUP(C6,Machined!C:Q,2,0)</f>
        <v>ROLLER CAP</v>
      </c>
      <c r="E6" s="278"/>
      <c r="F6" s="131" t="str">
        <f>VLOOKUP(C6,Machined!C:R,7,0)</f>
        <v>304 SS</v>
      </c>
      <c r="G6" s="131" t="str">
        <f>VLOOKUP(C6,Machined!C:R,10,0)</f>
        <v>XOMETRY</v>
      </c>
      <c r="H6" s="131" t="str">
        <f>VLOOKUP(C6,Machined!C:R,11,0)</f>
        <v xml:space="preserve">  </v>
      </c>
      <c r="I6" s="131"/>
      <c r="J6" s="42" t="str">
        <f>VLOOKUP(C6,Machined!C:R,12,0)</f>
        <v>N/A</v>
      </c>
      <c r="K6" s="42">
        <f>VLOOKUP(C6,Machined!C:R,13,0)</f>
        <v>45141</v>
      </c>
      <c r="L6" s="42">
        <f>VLOOKUP(C6,Machined!C:R,14,0)</f>
        <v>45161</v>
      </c>
      <c r="M6" s="42">
        <f>VLOOKUP(C6,Machined!C:R,15,0)</f>
        <v>45161</v>
      </c>
      <c r="N6" s="43">
        <f>VLOOKUP(C6,Machined!C:R,16,0)</f>
        <v>55030</v>
      </c>
      <c r="O6" s="43" t="e">
        <f t="shared" ca="1" si="0"/>
        <v>#VALUE!</v>
      </c>
      <c r="P6" s="47">
        <f>IFERROR(VLOOKUP(C6,Machined!C:F,3,0),"")</f>
        <v>1.52</v>
      </c>
      <c r="Q6" s="48">
        <f t="shared" si="1"/>
        <v>6.08</v>
      </c>
    </row>
    <row r="7" spans="1:17" s="2" customFormat="1" ht="12.75" customHeight="1">
      <c r="A7" s="127">
        <v>3</v>
      </c>
      <c r="B7" s="21">
        <v>2</v>
      </c>
      <c r="C7" s="108" t="s">
        <v>759</v>
      </c>
      <c r="D7" s="277" t="str">
        <f>VLOOKUP(C7,Machined!C:Q,2,0)</f>
        <v>Unwind Roller Upper Bracket</v>
      </c>
      <c r="E7" s="278"/>
      <c r="F7" s="131" t="str">
        <f>VLOOKUP(C7,Machined!C:R,7,0)</f>
        <v>6061-T6 Alum</v>
      </c>
      <c r="G7" s="131" t="str">
        <f>VLOOKUP(C7,Machined!C:R,10,0)</f>
        <v>FRONTIER</v>
      </c>
      <c r="H7" s="131" t="str">
        <f>VLOOKUP(C7,Machined!C:R,11,0)</f>
        <v xml:space="preserve">  </v>
      </c>
      <c r="I7" s="131"/>
      <c r="J7" s="42">
        <f>VLOOKUP(C7,Machined!C:R,12,0)</f>
        <v>45105</v>
      </c>
      <c r="K7" s="42">
        <f>VLOOKUP(C7,Machined!C:R,13,0)</f>
        <v>45133</v>
      </c>
      <c r="L7" s="42">
        <f>VLOOKUP(C7,Machined!C:R,14,0)</f>
        <v>45163</v>
      </c>
      <c r="M7" s="42">
        <f>VLOOKUP(C7,Machined!C:R,15,0)</f>
        <v>45163</v>
      </c>
      <c r="N7" s="43">
        <f>VLOOKUP(C7,Machined!C:R,16,0)</f>
        <v>55015</v>
      </c>
      <c r="O7" s="43" t="e">
        <f t="shared" ca="1" si="0"/>
        <v>#VALUE!</v>
      </c>
      <c r="P7" s="47">
        <f>IFERROR(VLOOKUP(C7,Machined!C:F,3,0),"")</f>
        <v>98.8</v>
      </c>
      <c r="Q7" s="48">
        <f t="shared" si="1"/>
        <v>197.6</v>
      </c>
    </row>
    <row r="8" spans="1:17" s="2" customFormat="1" ht="12.75" customHeight="1">
      <c r="A8" s="127">
        <v>4</v>
      </c>
      <c r="B8" s="21">
        <v>2</v>
      </c>
      <c r="C8" s="108" t="s">
        <v>760</v>
      </c>
      <c r="D8" s="277" t="str">
        <f>VLOOKUP(C8,Machined!C:Q,2,0)</f>
        <v>Unwind Roller Clamp</v>
      </c>
      <c r="E8" s="278"/>
      <c r="F8" s="131" t="str">
        <f>VLOOKUP(C8,Machined!C:R,7,0)</f>
        <v>6061-T6 Alum</v>
      </c>
      <c r="G8" s="131" t="str">
        <f>VLOOKUP(C8,Machined!C:R,10,0)</f>
        <v>FRONTIER</v>
      </c>
      <c r="H8" s="131" t="str">
        <f>VLOOKUP(C8,Machined!C:R,11,0)</f>
        <v xml:space="preserve">  </v>
      </c>
      <c r="I8" s="131"/>
      <c r="J8" s="42">
        <f>VLOOKUP(C8,Machined!C:R,12,0)</f>
        <v>45105</v>
      </c>
      <c r="K8" s="42">
        <f>VLOOKUP(C8,Machined!C:R,13,0)</f>
        <v>45133</v>
      </c>
      <c r="L8" s="42">
        <f>VLOOKUP(C8,Machined!C:R,14,0)</f>
        <v>45163</v>
      </c>
      <c r="M8" s="42">
        <f>VLOOKUP(C8,Machined!C:R,15,0)</f>
        <v>45163</v>
      </c>
      <c r="N8" s="43">
        <f>VLOOKUP(C8,Machined!C:R,16,0)</f>
        <v>55015</v>
      </c>
      <c r="O8" s="43" t="e">
        <f t="shared" ca="1" si="0"/>
        <v>#VALUE!</v>
      </c>
      <c r="P8" s="47">
        <f>IFERROR(VLOOKUP(C8,Machined!C:F,3,0),"")</f>
        <v>62.95</v>
      </c>
      <c r="Q8" s="48">
        <f t="shared" si="1"/>
        <v>125.9</v>
      </c>
    </row>
    <row r="9" spans="1:17" s="2" customFormat="1" ht="12.75" customHeight="1">
      <c r="A9" s="127">
        <v>5</v>
      </c>
      <c r="B9" s="21">
        <v>2</v>
      </c>
      <c r="C9" s="108" t="s">
        <v>761</v>
      </c>
      <c r="D9" s="277" t="str">
        <f>VLOOKUP(C9,Machined!C:Q,2,0)</f>
        <v>Roller Shaft</v>
      </c>
      <c r="E9" s="278"/>
      <c r="F9" s="131" t="str">
        <f>VLOOKUP(C9,Machined!C:R,7,0)</f>
        <v>303 SS - TG&amp;P</v>
      </c>
      <c r="G9" s="131" t="str">
        <f>VLOOKUP(C9,Machined!C:R,10,0)</f>
        <v>ALEXANDRIA, Nuline</v>
      </c>
      <c r="H9" s="131" t="str">
        <f>VLOOKUP(C9,Machined!C:R,11,0)</f>
        <v xml:space="preserve">  </v>
      </c>
      <c r="I9" s="131"/>
      <c r="J9" s="42" t="str">
        <f>VLOOKUP(C9,Machined!C:R,12,0)</f>
        <v>N/A</v>
      </c>
      <c r="K9" s="42" t="str">
        <f>VLOOKUP(C9,Machined!C:R,13,0)</f>
        <v>N/A</v>
      </c>
      <c r="L9" s="42" t="str">
        <f>VLOOKUP(C9,Machined!C:R,14,0)</f>
        <v>N/A</v>
      </c>
      <c r="M9" s="42" t="str">
        <f>VLOOKUP(C9,Machined!C:R,15,0)</f>
        <v>N/A</v>
      </c>
      <c r="N9" s="43">
        <f>VLOOKUP(C9,Machined!C:R,16,0)</f>
        <v>55018</v>
      </c>
      <c r="O9" s="43" t="e">
        <f t="shared" ca="1" si="0"/>
        <v>#VALUE!</v>
      </c>
      <c r="P9" s="47">
        <f>IFERROR(VLOOKUP(C9,Machined!C:F,3,0),"")</f>
        <v>85.05</v>
      </c>
      <c r="Q9" s="48">
        <f t="shared" si="1"/>
        <v>170.1</v>
      </c>
    </row>
    <row r="10" spans="1:17" s="2" customFormat="1" ht="12.75" customHeight="1">
      <c r="A10" s="143"/>
      <c r="B10" s="26"/>
      <c r="C10" s="26"/>
      <c r="D10" s="272"/>
      <c r="E10" s="273"/>
      <c r="F10" s="26"/>
      <c r="G10" s="26"/>
      <c r="H10" s="274"/>
      <c r="I10" s="275"/>
      <c r="J10" s="27"/>
      <c r="K10" s="27"/>
      <c r="L10" s="27"/>
      <c r="M10" s="28"/>
      <c r="N10" s="29"/>
      <c r="O10" s="29"/>
      <c r="P10" s="141"/>
      <c r="Q10" s="142"/>
    </row>
    <row r="11" spans="1:17" s="2" customFormat="1" ht="12.75" customHeight="1">
      <c r="A11" s="4">
        <v>301</v>
      </c>
      <c r="B11" s="2">
        <v>4</v>
      </c>
      <c r="C11" s="114" t="s">
        <v>277</v>
      </c>
      <c r="D11" s="268" t="str">
        <f>VLOOKUP(C11,Purchased!A:B,2,0)</f>
        <v>7612 DLG Deep groove ball bearing, 3/4" Bore, 1-3/4" O.D - Outside seal, no inner, with light oil lube- no grease.</v>
      </c>
      <c r="E11" s="269"/>
      <c r="F11" s="112" t="str">
        <f>VLOOKUP(C11,Purchased!A:Q,9,0)</f>
        <v>QualBear</v>
      </c>
      <c r="G11" s="112" t="str">
        <f>VLOOKUP(C11,Purchased!A:Q,10,0)</f>
        <v>QualBear</v>
      </c>
      <c r="H11" s="112" t="str">
        <f>VLOOKUP(C11,Purchased!A:Q,12,0)</f>
        <v>MCM part 4768K6</v>
      </c>
      <c r="I11" s="113"/>
      <c r="J11" s="44" t="str">
        <f>VLOOKUP(C11,Purchased!A:Q,13,0)</f>
        <v>N/A</v>
      </c>
      <c r="K11" s="44">
        <f>VLOOKUP(C11,Purchased!A:Q,14,0)</f>
        <v>45124</v>
      </c>
      <c r="L11" s="44">
        <f>VLOOKUP(C11,Purchased!A:Q,15,0)</f>
        <v>45145</v>
      </c>
      <c r="M11" s="44">
        <f>VLOOKUP(C11,Purchased!A:Q,16,0)</f>
        <v>45148</v>
      </c>
      <c r="N11" s="45">
        <f>VLOOKUP(C11,Purchased!A:Q,17,0)</f>
        <v>54997</v>
      </c>
      <c r="O11" s="45" t="e">
        <f t="shared" ref="O11:O14" ca="1" si="2">B11*$L$2</f>
        <v>#VALUE!</v>
      </c>
      <c r="P11" s="49">
        <f>IFERROR(VLOOKUP(C11,Purchased!A:E,3,FALSE),"")</f>
        <v>6.79</v>
      </c>
      <c r="Q11" s="50">
        <f t="shared" ref="Q11" si="3">IFERROR(B11*P11,"")</f>
        <v>27.16</v>
      </c>
    </row>
    <row r="12" spans="1:17" s="2" customFormat="1" ht="12.75" customHeight="1">
      <c r="A12" s="25"/>
      <c r="B12" s="26"/>
      <c r="C12" s="26"/>
      <c r="D12" s="272"/>
      <c r="E12" s="273"/>
      <c r="F12" s="26"/>
      <c r="G12" s="26"/>
      <c r="H12" s="274"/>
      <c r="I12" s="275"/>
      <c r="J12" s="27"/>
      <c r="K12" s="27"/>
      <c r="L12" s="27"/>
      <c r="M12" s="28"/>
      <c r="N12" s="29"/>
      <c r="O12" s="29" t="e">
        <f t="shared" ca="1" si="2"/>
        <v>#VALUE!</v>
      </c>
      <c r="P12" s="141"/>
      <c r="Q12" s="142"/>
    </row>
    <row r="13" spans="1:17" s="2" customFormat="1" ht="12.75" customHeight="1">
      <c r="A13" s="4">
        <v>501</v>
      </c>
      <c r="B13" s="2">
        <v>8</v>
      </c>
      <c r="C13" s="110" t="s">
        <v>257</v>
      </c>
      <c r="D13" s="268"/>
      <c r="E13" s="276"/>
      <c r="F13" s="112" t="str">
        <f>VLOOKUP(C13,Bolts!A:L,5,0)</f>
        <v xml:space="preserve">  </v>
      </c>
      <c r="G13" s="112" t="str">
        <f>VLOOKUP(C13,Bolts!A:L,6,0)</f>
        <v>Monroe Fasteners</v>
      </c>
      <c r="H13" s="112" t="str">
        <f>VLOOKUP(C13,Bolts!A:L,7,0)</f>
        <v xml:space="preserve">  </v>
      </c>
      <c r="I13" s="112"/>
      <c r="J13" s="44" t="str">
        <f>VLOOKUP(C13,Bolts!A:L,8,0)</f>
        <v xml:space="preserve"> </v>
      </c>
      <c r="K13" s="44" t="str">
        <f>VLOOKUP(C13,Bolts!A:L,9,0)</f>
        <v xml:space="preserve"> </v>
      </c>
      <c r="L13" s="44" t="str">
        <f>VLOOKUP(C13,Bolts!A:L,10,0)</f>
        <v xml:space="preserve"> </v>
      </c>
      <c r="M13" s="44" t="str">
        <f>VLOOKUP(C13,Bolts!A:L,11,0)</f>
        <v xml:space="preserve"> </v>
      </c>
      <c r="N13" s="45" t="str">
        <f>VLOOKUP(C13,Bolts!A:L,12,0)</f>
        <v xml:space="preserve"> </v>
      </c>
      <c r="O13" s="45" t="e">
        <f t="shared" ca="1" si="2"/>
        <v>#VALUE!</v>
      </c>
      <c r="P13" s="49" t="str">
        <f>IFERROR(VLOOKUP(C13,Bolts!A:B,2,FALSE),"")</f>
        <v xml:space="preserve"> </v>
      </c>
      <c r="Q13" s="50" t="str">
        <f t="shared" ref="Q13:Q14" si="4">IFERROR(B13*P13,"")</f>
        <v/>
      </c>
    </row>
    <row r="14" spans="1:17" s="2" customFormat="1" ht="12.75" customHeight="1" thickBot="1">
      <c r="A14" s="4">
        <f t="shared" ref="A14" si="5">A13+1</f>
        <v>502</v>
      </c>
      <c r="B14" s="2">
        <v>6</v>
      </c>
      <c r="C14" s="110" t="s">
        <v>278</v>
      </c>
      <c r="D14" s="268"/>
      <c r="E14" s="276"/>
      <c r="F14" s="112" t="str">
        <f>VLOOKUP(C14,Bolts!A:L,5,0)</f>
        <v xml:space="preserve">  </v>
      </c>
      <c r="G14" s="112" t="str">
        <f>VLOOKUP(C14,Bolts!A:L,6,0)</f>
        <v>Monroe Fasteners</v>
      </c>
      <c r="H14" s="112" t="str">
        <f>VLOOKUP(C14,Bolts!A:L,7,0)</f>
        <v xml:space="preserve">  </v>
      </c>
      <c r="I14" s="112"/>
      <c r="J14" s="44" t="str">
        <f>VLOOKUP(C14,Bolts!A:L,8,0)</f>
        <v xml:space="preserve"> </v>
      </c>
      <c r="K14" s="44" t="str">
        <f>VLOOKUP(C14,Bolts!A:L,9,0)</f>
        <v xml:space="preserve"> </v>
      </c>
      <c r="L14" s="44" t="str">
        <f>VLOOKUP(C14,Bolts!A:L,10,0)</f>
        <v xml:space="preserve"> </v>
      </c>
      <c r="M14" s="44" t="str">
        <f>VLOOKUP(C14,Bolts!A:L,11,0)</f>
        <v xml:space="preserve"> </v>
      </c>
      <c r="N14" s="45" t="str">
        <f>VLOOKUP(C14,Bolts!A:L,12,0)</f>
        <v xml:space="preserve"> </v>
      </c>
      <c r="O14" s="45" t="e">
        <f t="shared" ca="1" si="2"/>
        <v>#VALUE!</v>
      </c>
      <c r="P14" s="49" t="str">
        <f>IFERROR(VLOOKUP(C14,Bolts!A:B,2,FALSE),"")</f>
        <v xml:space="preserve"> </v>
      </c>
      <c r="Q14" s="50" t="str">
        <f t="shared" si="4"/>
        <v/>
      </c>
    </row>
    <row r="15" spans="1:17" s="2" customFormat="1" ht="12.75" customHeight="1" thickBot="1">
      <c r="A15" s="34"/>
      <c r="B15" s="35"/>
      <c r="C15" s="35"/>
      <c r="D15" s="256"/>
      <c r="E15" s="257"/>
      <c r="F15" s="35"/>
      <c r="G15" s="35"/>
      <c r="H15" s="294"/>
      <c r="I15" s="295"/>
      <c r="J15" s="36"/>
      <c r="K15" s="36"/>
      <c r="L15" s="36"/>
      <c r="M15" s="37"/>
      <c r="N15" s="38"/>
      <c r="O15" s="38"/>
      <c r="P15" s="89" t="s">
        <v>43</v>
      </c>
      <c r="Q15" s="94">
        <f>SUM(Q5:Q14)</f>
        <v>765.02</v>
      </c>
    </row>
    <row r="16" spans="1:17" s="2" customFormat="1" ht="12" customHeight="1">
      <c r="D16" s="22"/>
      <c r="E16" s="22"/>
      <c r="J16" s="8"/>
      <c r="K16" s="8"/>
      <c r="L16" s="8"/>
      <c r="M16" s="8"/>
      <c r="N16" s="5"/>
      <c r="O16" s="5"/>
      <c r="P16" s="88"/>
      <c r="Q16" s="95"/>
    </row>
    <row r="17" spans="4:17" s="2" customFormat="1" ht="12" customHeight="1">
      <c r="D17" s="22"/>
      <c r="E17" s="22"/>
      <c r="J17" s="5"/>
      <c r="K17" s="5"/>
      <c r="L17" s="5"/>
      <c r="M17" s="5"/>
      <c r="N17" s="5"/>
      <c r="O17" s="5"/>
      <c r="P17" s="88"/>
      <c r="Q17" s="95"/>
    </row>
    <row r="18" spans="4:17" s="2" customFormat="1" ht="12" customHeight="1">
      <c r="D18" s="22"/>
      <c r="E18" s="22"/>
      <c r="J18" s="5"/>
      <c r="K18" s="5"/>
      <c r="L18" s="5"/>
      <c r="M18" s="5"/>
      <c r="N18" s="5"/>
      <c r="O18" s="5"/>
      <c r="P18" s="88"/>
      <c r="Q18" s="95"/>
    </row>
    <row r="19" spans="4:17" s="2" customFormat="1" ht="12" customHeight="1">
      <c r="D19" s="22"/>
      <c r="E19" s="22"/>
      <c r="J19" s="5"/>
      <c r="K19" s="5"/>
      <c r="L19" s="5"/>
      <c r="M19" s="5"/>
      <c r="N19" s="5"/>
      <c r="O19" s="5"/>
      <c r="P19" s="88"/>
      <c r="Q19" s="95"/>
    </row>
    <row r="20" spans="4:17" s="2" customFormat="1" ht="12" customHeight="1">
      <c r="D20" s="22"/>
      <c r="E20" s="22"/>
      <c r="J20" s="5"/>
      <c r="K20" s="5"/>
      <c r="L20" s="5"/>
      <c r="M20" s="5"/>
      <c r="N20" s="5"/>
      <c r="O20" s="5"/>
      <c r="P20" s="88"/>
      <c r="Q20" s="95"/>
    </row>
    <row r="21" spans="4:17" s="2" customFormat="1" ht="12" customHeight="1">
      <c r="D21" s="22"/>
      <c r="E21" s="22"/>
      <c r="J21" s="5"/>
      <c r="K21" s="5"/>
      <c r="L21" s="5"/>
      <c r="M21" s="5"/>
      <c r="N21" s="5"/>
      <c r="O21" s="5"/>
      <c r="P21" s="88"/>
      <c r="Q21" s="95"/>
    </row>
    <row r="22" spans="4:17" s="2" customFormat="1" ht="12" customHeight="1">
      <c r="D22" s="22"/>
      <c r="E22" s="22"/>
      <c r="J22" s="5"/>
      <c r="K22" s="5"/>
      <c r="L22" s="5"/>
      <c r="M22" s="5"/>
      <c r="N22" s="5"/>
      <c r="O22" s="5"/>
      <c r="P22" s="88"/>
      <c r="Q22" s="95"/>
    </row>
    <row r="23" spans="4:17" s="2" customFormat="1" ht="12" customHeight="1">
      <c r="D23" s="22"/>
      <c r="E23" s="22"/>
      <c r="J23" s="5"/>
      <c r="K23" s="5"/>
      <c r="L23" s="5"/>
      <c r="M23" s="5"/>
      <c r="N23" s="5"/>
      <c r="O23" s="5"/>
      <c r="P23" s="88"/>
      <c r="Q23" s="95"/>
    </row>
    <row r="24" spans="4:17" s="2" customFormat="1" ht="12" customHeight="1">
      <c r="D24" s="22"/>
      <c r="E24" s="22"/>
      <c r="J24" s="5"/>
      <c r="K24" s="5"/>
      <c r="L24" s="5"/>
      <c r="M24" s="5"/>
      <c r="N24" s="5"/>
      <c r="O24" s="5"/>
      <c r="P24" s="88"/>
      <c r="Q24" s="95"/>
    </row>
    <row r="25" spans="4:17" s="2" customFormat="1" ht="12" customHeight="1">
      <c r="D25" s="22"/>
      <c r="E25" s="22"/>
      <c r="J25" s="5"/>
      <c r="K25" s="5"/>
      <c r="L25" s="5"/>
      <c r="M25" s="5"/>
      <c r="N25" s="5"/>
      <c r="O25" s="5"/>
      <c r="P25" s="88"/>
      <c r="Q25" s="95"/>
    </row>
    <row r="26" spans="4:17" s="2" customFormat="1" ht="12" customHeight="1">
      <c r="D26" s="22"/>
      <c r="E26" s="22"/>
      <c r="J26" s="5"/>
      <c r="K26" s="5"/>
      <c r="L26" s="5"/>
      <c r="M26" s="5"/>
      <c r="N26" s="5"/>
      <c r="O26" s="5"/>
      <c r="P26" s="88"/>
      <c r="Q26" s="95"/>
    </row>
    <row r="27" spans="4:17" s="2" customFormat="1" ht="12" customHeight="1">
      <c r="D27" s="22"/>
      <c r="E27" s="22"/>
      <c r="J27" s="5"/>
      <c r="K27" s="5"/>
      <c r="L27" s="5"/>
      <c r="M27" s="5"/>
      <c r="N27" s="5"/>
      <c r="O27" s="5"/>
      <c r="P27" s="88"/>
      <c r="Q27" s="95"/>
    </row>
    <row r="28" spans="4:17" s="2" customFormat="1" ht="12" customHeight="1">
      <c r="D28" s="22"/>
      <c r="E28" s="22"/>
      <c r="J28" s="5"/>
      <c r="K28" s="5"/>
      <c r="L28" s="5"/>
      <c r="M28" s="5"/>
      <c r="N28" s="5"/>
      <c r="O28" s="5"/>
      <c r="P28" s="88"/>
      <c r="Q28" s="95"/>
    </row>
    <row r="29" spans="4:17" s="2" customFormat="1" ht="12" customHeight="1">
      <c r="D29" s="22"/>
      <c r="E29" s="22"/>
      <c r="J29" s="5"/>
      <c r="K29" s="5"/>
      <c r="L29" s="5"/>
      <c r="M29" s="5"/>
      <c r="N29" s="5"/>
      <c r="O29" s="5"/>
      <c r="P29" s="88"/>
      <c r="Q29" s="95"/>
    </row>
    <row r="30" spans="4:17" s="2" customFormat="1" ht="12" customHeight="1">
      <c r="D30" s="22"/>
      <c r="E30" s="22"/>
      <c r="J30" s="5"/>
      <c r="K30" s="5"/>
      <c r="L30" s="5"/>
      <c r="M30" s="5"/>
      <c r="N30" s="5"/>
      <c r="O30" s="5"/>
      <c r="P30" s="88"/>
      <c r="Q30" s="95"/>
    </row>
    <row r="31" spans="4:17" s="2" customFormat="1" ht="12" customHeight="1">
      <c r="D31" s="22"/>
      <c r="E31" s="22"/>
      <c r="J31" s="5"/>
      <c r="K31" s="5"/>
      <c r="L31" s="5"/>
      <c r="M31" s="5"/>
      <c r="N31" s="5"/>
      <c r="O31" s="5"/>
      <c r="P31" s="88"/>
      <c r="Q31" s="95"/>
    </row>
    <row r="32" spans="4:17" s="2" customFormat="1" ht="12" customHeight="1">
      <c r="D32" s="22"/>
      <c r="E32" s="22"/>
      <c r="J32" s="5"/>
      <c r="K32" s="5"/>
      <c r="L32" s="5"/>
      <c r="M32" s="5"/>
      <c r="N32" s="5"/>
      <c r="O32" s="5"/>
      <c r="P32" s="88"/>
      <c r="Q32" s="95"/>
    </row>
    <row r="33" spans="4:17" s="2" customFormat="1" ht="12" customHeight="1">
      <c r="D33" s="22"/>
      <c r="E33" s="22"/>
      <c r="J33" s="5"/>
      <c r="K33" s="5"/>
      <c r="L33" s="5"/>
      <c r="M33" s="5"/>
      <c r="N33" s="5"/>
      <c r="O33" s="5"/>
      <c r="P33" s="88"/>
      <c r="Q33" s="95"/>
    </row>
    <row r="34" spans="4:17" s="2" customFormat="1" ht="12" customHeight="1">
      <c r="D34" s="22"/>
      <c r="E34" s="22"/>
      <c r="J34" s="5"/>
      <c r="K34" s="5"/>
      <c r="L34" s="5"/>
      <c r="M34" s="5"/>
      <c r="N34" s="5"/>
      <c r="O34" s="5"/>
      <c r="P34" s="88"/>
      <c r="Q34" s="95"/>
    </row>
    <row r="35" spans="4:17" s="2" customFormat="1" ht="12" customHeight="1">
      <c r="D35" s="22"/>
      <c r="E35" s="22"/>
      <c r="J35" s="5"/>
      <c r="K35" s="5"/>
      <c r="L35" s="5"/>
      <c r="M35" s="5"/>
      <c r="N35" s="5"/>
      <c r="O35" s="5"/>
      <c r="P35" s="88"/>
      <c r="Q35" s="95"/>
    </row>
    <row r="36" spans="4:17" s="2" customFormat="1" ht="12" customHeight="1">
      <c r="D36" s="22"/>
      <c r="E36" s="22"/>
      <c r="J36" s="5"/>
      <c r="K36" s="5"/>
      <c r="L36" s="5"/>
      <c r="M36" s="5"/>
      <c r="N36" s="5"/>
      <c r="O36" s="5"/>
      <c r="P36" s="88"/>
      <c r="Q36" s="95"/>
    </row>
    <row r="37" spans="4:17" s="2" customFormat="1" ht="12" customHeight="1">
      <c r="D37" s="22"/>
      <c r="E37" s="22"/>
      <c r="J37" s="5"/>
      <c r="K37" s="5"/>
      <c r="L37" s="5"/>
      <c r="M37" s="5"/>
      <c r="N37" s="5"/>
      <c r="O37" s="5"/>
      <c r="P37" s="88"/>
      <c r="Q37" s="95"/>
    </row>
    <row r="38" spans="4:17" s="2" customFormat="1" ht="12" customHeight="1">
      <c r="D38" s="22"/>
      <c r="E38" s="22"/>
      <c r="J38" s="5"/>
      <c r="K38" s="5"/>
      <c r="L38" s="5"/>
      <c r="M38" s="5"/>
      <c r="N38" s="5"/>
      <c r="O38" s="5"/>
      <c r="P38" s="88"/>
      <c r="Q38" s="95"/>
    </row>
    <row r="39" spans="4:17" s="2" customFormat="1" ht="12" customHeight="1">
      <c r="D39" s="22"/>
      <c r="E39" s="22"/>
      <c r="J39" s="5"/>
      <c r="K39" s="5"/>
      <c r="L39" s="5"/>
      <c r="M39" s="5"/>
      <c r="N39" s="5"/>
      <c r="O39" s="5"/>
      <c r="P39" s="88"/>
      <c r="Q39" s="95"/>
    </row>
    <row r="40" spans="4:17" s="2" customFormat="1" ht="12" customHeight="1">
      <c r="D40" s="22"/>
      <c r="E40" s="22"/>
      <c r="J40" s="5"/>
      <c r="K40" s="5"/>
      <c r="L40" s="5"/>
      <c r="M40" s="5"/>
      <c r="N40" s="5"/>
      <c r="O40" s="5"/>
      <c r="P40" s="88"/>
      <c r="Q40" s="95"/>
    </row>
    <row r="41" spans="4:17" s="2" customFormat="1" ht="12" customHeight="1">
      <c r="D41" s="22"/>
      <c r="E41" s="22"/>
      <c r="J41" s="5"/>
      <c r="K41" s="5"/>
      <c r="L41" s="5"/>
      <c r="M41" s="5"/>
      <c r="N41" s="5"/>
      <c r="O41" s="5"/>
      <c r="P41" s="88"/>
      <c r="Q41" s="95"/>
    </row>
    <row r="42" spans="4:17" s="2" customFormat="1" ht="12" customHeight="1">
      <c r="D42" s="22"/>
      <c r="E42" s="22"/>
      <c r="J42" s="5"/>
      <c r="K42" s="5"/>
      <c r="L42" s="5"/>
      <c r="M42" s="5"/>
      <c r="N42" s="5"/>
      <c r="O42" s="5"/>
      <c r="P42" s="88"/>
      <c r="Q42" s="95"/>
    </row>
    <row r="43" spans="4:17" s="2" customFormat="1" ht="12" customHeight="1">
      <c r="D43" s="22"/>
      <c r="E43" s="22"/>
      <c r="J43" s="5"/>
      <c r="K43" s="5"/>
      <c r="L43" s="5"/>
      <c r="M43" s="5"/>
      <c r="N43" s="5"/>
      <c r="O43" s="5"/>
      <c r="P43" s="88"/>
      <c r="Q43" s="95"/>
    </row>
    <row r="44" spans="4:17" s="2" customFormat="1" ht="12" customHeight="1">
      <c r="D44" s="22"/>
      <c r="E44" s="22"/>
      <c r="J44" s="5"/>
      <c r="K44" s="5"/>
      <c r="L44" s="5"/>
      <c r="M44" s="5"/>
      <c r="N44" s="5"/>
      <c r="O44" s="5"/>
      <c r="P44" s="88"/>
      <c r="Q44" s="95"/>
    </row>
    <row r="45" spans="4:17" s="2" customFormat="1" ht="12" customHeight="1">
      <c r="D45" s="22"/>
      <c r="E45" s="22"/>
      <c r="J45" s="5"/>
      <c r="K45" s="5"/>
      <c r="L45" s="5"/>
      <c r="M45" s="5"/>
      <c r="N45" s="5"/>
      <c r="O45" s="5"/>
      <c r="P45" s="88"/>
      <c r="Q45" s="95"/>
    </row>
    <row r="46" spans="4:17" s="2" customFormat="1" ht="12" customHeight="1">
      <c r="D46" s="22"/>
      <c r="E46" s="22"/>
      <c r="J46" s="5"/>
      <c r="K46" s="5"/>
      <c r="L46" s="5"/>
      <c r="M46" s="5"/>
      <c r="N46" s="5"/>
      <c r="O46" s="5"/>
      <c r="P46" s="88"/>
      <c r="Q46" s="95"/>
    </row>
    <row r="47" spans="4:17" s="2" customFormat="1" ht="12" customHeight="1">
      <c r="D47" s="22"/>
      <c r="E47" s="22"/>
      <c r="J47" s="5"/>
      <c r="K47" s="5"/>
      <c r="L47" s="5"/>
      <c r="M47" s="5"/>
      <c r="N47" s="5"/>
      <c r="O47" s="5"/>
      <c r="P47" s="88"/>
      <c r="Q47" s="95"/>
    </row>
    <row r="48" spans="4:17" s="2" customFormat="1" ht="12" customHeight="1">
      <c r="D48" s="22"/>
      <c r="E48" s="22"/>
      <c r="J48" s="5"/>
      <c r="K48" s="5"/>
      <c r="L48" s="5"/>
      <c r="M48" s="5"/>
      <c r="N48" s="5"/>
      <c r="O48" s="5"/>
      <c r="P48" s="88"/>
      <c r="Q48" s="95"/>
    </row>
    <row r="49" spans="1:17" s="2" customFormat="1" ht="12" customHeight="1">
      <c r="D49" s="22"/>
      <c r="E49" s="22"/>
      <c r="J49" s="5"/>
      <c r="K49" s="5"/>
      <c r="L49" s="5"/>
      <c r="M49" s="5"/>
      <c r="N49" s="5"/>
      <c r="O49" s="5"/>
      <c r="P49" s="88"/>
      <c r="Q49" s="95"/>
    </row>
    <row r="50" spans="1:17" s="2" customFormat="1" ht="12" customHeight="1">
      <c r="D50" s="22"/>
      <c r="E50" s="22"/>
      <c r="J50" s="5"/>
      <c r="K50" s="5"/>
      <c r="L50" s="5"/>
      <c r="M50" s="5"/>
      <c r="N50" s="5"/>
      <c r="O50" s="5"/>
      <c r="P50" s="88"/>
      <c r="Q50" s="95"/>
    </row>
    <row r="51" spans="1:17" s="2" customFormat="1" ht="12" customHeight="1">
      <c r="D51" s="22"/>
      <c r="E51" s="22"/>
      <c r="J51" s="5"/>
      <c r="K51" s="5"/>
      <c r="L51" s="5"/>
      <c r="M51" s="5"/>
      <c r="N51" s="5"/>
      <c r="O51" s="5"/>
      <c r="P51" s="88"/>
      <c r="Q51" s="95"/>
    </row>
    <row r="52" spans="1:17" s="2" customFormat="1" ht="12" customHeight="1">
      <c r="D52" s="22"/>
      <c r="E52" s="22"/>
      <c r="J52" s="5"/>
      <c r="K52" s="5"/>
      <c r="L52" s="5"/>
      <c r="M52" s="5"/>
      <c r="N52" s="5"/>
      <c r="O52" s="5"/>
      <c r="P52" s="88"/>
      <c r="Q52" s="95"/>
    </row>
    <row r="53" spans="1:17" s="2" customFormat="1" ht="12" customHeight="1">
      <c r="D53" s="22"/>
      <c r="E53" s="22"/>
      <c r="J53" s="5"/>
      <c r="K53" s="5"/>
      <c r="L53" s="5"/>
      <c r="M53" s="5"/>
      <c r="N53" s="5"/>
      <c r="O53" s="5"/>
      <c r="P53" s="88"/>
      <c r="Q53" s="95"/>
    </row>
    <row r="54" spans="1:17" s="2" customFormat="1" ht="12" customHeight="1">
      <c r="D54" s="22"/>
      <c r="E54" s="22"/>
      <c r="J54" s="5"/>
      <c r="K54" s="5"/>
      <c r="L54" s="5"/>
      <c r="M54" s="5"/>
      <c r="N54" s="5"/>
      <c r="O54" s="5"/>
      <c r="P54" s="88"/>
      <c r="Q54" s="96"/>
    </row>
    <row r="55" spans="1:17" s="2" customFormat="1" ht="12" customHeight="1">
      <c r="D55" s="22"/>
      <c r="E55" s="22"/>
      <c r="J55" s="5"/>
      <c r="K55" s="5"/>
      <c r="L55" s="5"/>
      <c r="M55" s="5"/>
      <c r="N55" s="5"/>
      <c r="O55" s="5"/>
      <c r="P55" s="88"/>
      <c r="Q55" s="96"/>
    </row>
    <row r="56" spans="1:17" s="2" customFormat="1" ht="12" customHeight="1">
      <c r="D56" s="22"/>
      <c r="E56" s="22"/>
      <c r="J56" s="5"/>
      <c r="K56" s="5"/>
      <c r="L56" s="5"/>
      <c r="M56" s="5"/>
      <c r="N56" s="5"/>
      <c r="O56" s="5"/>
      <c r="P56" s="88"/>
      <c r="Q56" s="96"/>
    </row>
    <row r="57" spans="1:17" s="2" customFormat="1" ht="12" customHeight="1">
      <c r="D57" s="22"/>
      <c r="E57" s="22"/>
      <c r="J57" s="5"/>
      <c r="K57" s="5"/>
      <c r="L57" s="5"/>
      <c r="M57" s="5"/>
      <c r="N57" s="5"/>
      <c r="O57" s="5"/>
      <c r="P57" s="88"/>
      <c r="Q57" s="96"/>
    </row>
    <row r="58" spans="1:17" s="2" customFormat="1" ht="12" customHeight="1">
      <c r="A58"/>
      <c r="B58"/>
      <c r="C58"/>
      <c r="D58" s="23"/>
      <c r="E58" s="23"/>
      <c r="F58"/>
      <c r="G58"/>
      <c r="H58"/>
      <c r="I58"/>
      <c r="J58" s="19"/>
      <c r="K58" s="19"/>
      <c r="L58" s="19"/>
      <c r="M58" s="19"/>
      <c r="N58" s="19"/>
      <c r="O58" s="19"/>
      <c r="P58" s="90"/>
      <c r="Q58" s="96"/>
    </row>
    <row r="59" spans="1:17" s="2" customFormat="1" ht="12" customHeight="1">
      <c r="A59"/>
      <c r="B59"/>
      <c r="C59"/>
      <c r="D59" s="23"/>
      <c r="E59" s="23"/>
      <c r="F59"/>
      <c r="G59"/>
      <c r="H59"/>
      <c r="I59"/>
      <c r="J59" s="19"/>
      <c r="K59" s="19"/>
      <c r="L59" s="19"/>
      <c r="M59" s="19"/>
      <c r="N59" s="19"/>
      <c r="O59" s="19"/>
      <c r="P59" s="90"/>
      <c r="Q59" s="96"/>
    </row>
    <row r="60" spans="1:17" s="2" customFormat="1" ht="12" customHeight="1">
      <c r="A60"/>
      <c r="B60"/>
      <c r="C60"/>
      <c r="D60" s="23"/>
      <c r="E60" s="23"/>
      <c r="F60"/>
      <c r="G60"/>
      <c r="H60"/>
      <c r="I60"/>
      <c r="J60" s="19"/>
      <c r="K60" s="19"/>
      <c r="L60" s="19"/>
      <c r="M60" s="19"/>
      <c r="N60" s="19"/>
      <c r="O60" s="19"/>
      <c r="P60" s="90"/>
      <c r="Q60" s="96"/>
    </row>
    <row r="61" spans="1:17" s="2" customFormat="1" ht="12" customHeight="1">
      <c r="A61"/>
      <c r="B61"/>
      <c r="C61"/>
      <c r="D61" s="23"/>
      <c r="E61" s="23"/>
      <c r="F61"/>
      <c r="G61"/>
      <c r="H61"/>
      <c r="I61"/>
      <c r="J61" s="19"/>
      <c r="K61" s="19"/>
      <c r="L61" s="19"/>
      <c r="M61" s="19"/>
      <c r="N61" s="19"/>
      <c r="O61" s="19"/>
      <c r="P61" s="90"/>
      <c r="Q61" s="96"/>
    </row>
    <row r="62" spans="1:17" s="2" customFormat="1" ht="12" customHeight="1">
      <c r="A62"/>
      <c r="B62"/>
      <c r="C62"/>
      <c r="D62" s="23"/>
      <c r="E62" s="23"/>
      <c r="F62"/>
      <c r="G62"/>
      <c r="H62"/>
      <c r="I62"/>
      <c r="J62" s="19"/>
      <c r="K62" s="19"/>
      <c r="L62" s="19"/>
      <c r="M62" s="19"/>
      <c r="N62" s="19"/>
      <c r="O62" s="19"/>
      <c r="P62" s="90"/>
      <c r="Q62" s="96"/>
    </row>
    <row r="63" spans="1:17">
      <c r="Q63" s="96"/>
    </row>
    <row r="64" spans="1:17">
      <c r="Q64" s="96"/>
    </row>
    <row r="65" spans="17:17">
      <c r="Q65" s="96"/>
    </row>
    <row r="66" spans="17:17">
      <c r="Q66" s="96"/>
    </row>
    <row r="67" spans="17:17">
      <c r="Q67" s="96"/>
    </row>
    <row r="68" spans="17:17">
      <c r="Q68" s="96"/>
    </row>
    <row r="69" spans="17:17">
      <c r="Q69" s="96"/>
    </row>
    <row r="70" spans="17:17">
      <c r="Q70" s="96"/>
    </row>
    <row r="71" spans="17:17">
      <c r="Q71" s="96"/>
    </row>
    <row r="72" spans="17:17">
      <c r="Q72" s="96"/>
    </row>
    <row r="73" spans="17:17">
      <c r="Q73" s="96"/>
    </row>
    <row r="74" spans="17:17">
      <c r="Q74" s="96"/>
    </row>
    <row r="75" spans="17:17">
      <c r="Q75" s="96"/>
    </row>
    <row r="76" spans="17:17">
      <c r="Q76" s="96"/>
    </row>
    <row r="77" spans="17:17">
      <c r="Q77" s="96"/>
    </row>
    <row r="78" spans="17:17">
      <c r="Q78" s="96"/>
    </row>
    <row r="79" spans="17:17">
      <c r="Q79" s="96"/>
    </row>
    <row r="80" spans="17:17">
      <c r="Q80" s="96"/>
    </row>
    <row r="81" spans="17:17">
      <c r="Q81" s="96"/>
    </row>
    <row r="82" spans="17:17">
      <c r="Q82" s="96"/>
    </row>
    <row r="119" ht="12" customHeight="1"/>
    <row r="120" ht="12" customHeight="1"/>
    <row r="121" ht="12" customHeight="1"/>
    <row r="122" ht="12" customHeight="1"/>
    <row r="123" ht="12" customHeight="1"/>
    <row r="124" ht="12" customHeight="1"/>
    <row r="125" ht="12" customHeight="1"/>
    <row r="126" ht="12" customHeight="1"/>
    <row r="127" ht="12" customHeight="1"/>
    <row r="128" ht="12" customHeight="1"/>
    <row r="129" ht="12" customHeight="1"/>
    <row r="130" ht="12" customHeight="1"/>
    <row r="131" ht="12" customHeight="1"/>
    <row r="132" ht="12" customHeight="1"/>
    <row r="133" ht="12" customHeight="1"/>
    <row r="134" ht="12" customHeight="1"/>
    <row r="135" ht="12" customHeight="1"/>
    <row r="136" ht="12" customHeight="1"/>
    <row r="137" ht="12" customHeight="1"/>
    <row r="138" ht="12" customHeight="1"/>
    <row r="139" ht="12" customHeight="1"/>
    <row r="140" ht="12" customHeight="1"/>
    <row r="141" ht="12" customHeight="1"/>
    <row r="142" ht="12" customHeight="1"/>
    <row r="143" ht="12" customHeight="1"/>
    <row r="144" ht="12" customHeight="1"/>
    <row r="145" ht="12" customHeight="1"/>
    <row r="146" ht="12" customHeight="1"/>
    <row r="147" ht="12" customHeight="1"/>
    <row r="148" ht="12" customHeight="1"/>
    <row r="149" ht="12" customHeight="1"/>
    <row r="150" ht="12" customHeight="1"/>
    <row r="151" ht="12" customHeight="1"/>
    <row r="152" ht="12" customHeight="1"/>
    <row r="153" ht="12" customHeight="1"/>
    <row r="154" ht="12" customHeight="1"/>
    <row r="155" ht="12" customHeight="1"/>
    <row r="156" ht="12" customHeight="1"/>
    <row r="157" ht="12" customHeight="1"/>
    <row r="158" ht="12" customHeight="1"/>
    <row r="159" ht="12" customHeight="1"/>
    <row r="160" ht="12" customHeight="1"/>
    <row r="161" ht="12" customHeight="1"/>
    <row r="162" ht="12" customHeight="1"/>
    <row r="163" ht="12" customHeight="1"/>
    <row r="164" ht="12" customHeight="1"/>
    <row r="165" ht="12" customHeight="1"/>
    <row r="166" ht="12" customHeight="1"/>
    <row r="167" ht="12" customHeight="1"/>
    <row r="168" ht="12" customHeight="1"/>
  </sheetData>
  <mergeCells count="17">
    <mergeCell ref="D15:E15"/>
    <mergeCell ref="H15:I15"/>
    <mergeCell ref="H10:I10"/>
    <mergeCell ref="D11:E11"/>
    <mergeCell ref="H12:I12"/>
    <mergeCell ref="D13:E13"/>
    <mergeCell ref="D9:E9"/>
    <mergeCell ref="D10:E10"/>
    <mergeCell ref="D1:E1"/>
    <mergeCell ref="D4:E4"/>
    <mergeCell ref="D14:E14"/>
    <mergeCell ref="D12:E12"/>
    <mergeCell ref="H4:I4"/>
    <mergeCell ref="D5:E5"/>
    <mergeCell ref="D6:E6"/>
    <mergeCell ref="D7:E7"/>
    <mergeCell ref="D8:E8"/>
  </mergeCells>
  <conditionalFormatting sqref="M5:M9">
    <cfRule type="cellIs" dxfId="416" priority="1" stopIfTrue="1" operator="lessThanOrEqual">
      <formula>$L5</formula>
    </cfRule>
    <cfRule type="cellIs" dxfId="415" priority="2" operator="greaterThan">
      <formula>L5</formula>
    </cfRule>
  </conditionalFormatting>
  <conditionalFormatting sqref="M11 M13:M14">
    <cfRule type="cellIs" dxfId="414" priority="3" stopIfTrue="1" operator="lessThanOrEqual">
      <formula>$L11</formula>
    </cfRule>
    <cfRule type="cellIs" dxfId="413" priority="4" operator="greaterThan">
      <formula>L11</formula>
    </cfRule>
  </conditionalFormatting>
  <pageMargins left="0.7" right="0.7" top="0.75" bottom="0.75" header="0.3" footer="0.3"/>
  <pageSetup paperSize="3" fitToHeight="0" orientation="landscape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223F7AD-B9FA-47B7-AA0F-D9432AE02AF7}">
          <x14:formula1>
            <xm:f>Bolts!$A:$A</xm:f>
          </x14:formula1>
          <xm:sqref>C13:C14</xm:sqref>
        </x14:dataValidation>
        <x14:dataValidation type="list" allowBlank="1" showInputMessage="1" showErrorMessage="1" xr:uid="{D82FF75E-1126-47D5-94D5-D876CB7DCF6B}">
          <x14:formula1>
            <xm:f>Purchased!$A:$A</xm:f>
          </x14:formula1>
          <xm:sqref>C11</xm:sqref>
        </x14:dataValidation>
        <x14:dataValidation type="list" allowBlank="1" showInputMessage="1" showErrorMessage="1" xr:uid="{966E471E-0600-4AA8-9F54-55DDD97F363C}">
          <x14:formula1>
            <xm:f>Machined!$C:$C</xm:f>
          </x14:formula1>
          <xm:sqref>C5:C9</xm:sqref>
        </x14:dataValidation>
      </x14:dataValidation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A553C9-8AB6-4FC5-94B7-929051FF4F6C}">
  <sheetPr codeName="Sheet63">
    <tabColor theme="3" tint="0.79998168889431442"/>
    <pageSetUpPr fitToPage="1"/>
  </sheetPr>
  <dimension ref="A1:Q169"/>
  <sheetViews>
    <sheetView zoomScaleNormal="100" workbookViewId="0">
      <selection activeCell="C43" sqref="C43"/>
    </sheetView>
  </sheetViews>
  <sheetFormatPr defaultColWidth="9.140625" defaultRowHeight="15"/>
  <cols>
    <col min="1" max="1" width="5.7109375" customWidth="1"/>
    <col min="2" max="2" width="5.42578125" bestFit="1" customWidth="1"/>
    <col min="3" max="3" width="30.7109375" customWidth="1"/>
    <col min="4" max="5" width="20.7109375" style="23" customWidth="1"/>
    <col min="6" max="6" width="16.85546875" bestFit="1" customWidth="1"/>
    <col min="7" max="7" width="9.7109375" customWidth="1"/>
    <col min="8" max="8" width="8.7109375" customWidth="1"/>
    <col min="9" max="9" width="20.7109375" customWidth="1"/>
    <col min="10" max="13" width="11.7109375" style="19" customWidth="1"/>
    <col min="14" max="14" width="11.85546875" style="19" bestFit="1" customWidth="1"/>
    <col min="15" max="15" width="7.7109375" style="19" customWidth="1"/>
    <col min="16" max="16" width="10.7109375" style="90" customWidth="1"/>
    <col min="17" max="17" width="10.7109375" style="97" customWidth="1"/>
  </cols>
  <sheetData>
    <row r="1" spans="1:17" s="55" customFormat="1" ht="12" customHeight="1">
      <c r="A1" s="68" t="s">
        <v>0</v>
      </c>
      <c r="B1" s="69"/>
      <c r="C1" s="69"/>
      <c r="D1" s="262" t="s">
        <v>1</v>
      </c>
      <c r="E1" s="263"/>
      <c r="F1" s="70"/>
      <c r="G1" s="69"/>
      <c r="H1" s="70"/>
      <c r="I1" s="71"/>
      <c r="J1" s="72"/>
      <c r="K1" s="72"/>
      <c r="L1" s="72"/>
      <c r="M1" s="72"/>
      <c r="N1" s="72"/>
      <c r="O1" s="72"/>
      <c r="P1" s="85"/>
      <c r="Q1" s="91"/>
    </row>
    <row r="2" spans="1:17" s="55" customFormat="1" ht="12" customHeight="1">
      <c r="A2" s="74" t="s">
        <v>48</v>
      </c>
      <c r="B2" s="58"/>
      <c r="C2" s="57" t="e">
        <f ca="1">VLOOKUP(E3,Assemblies!B:F,4,0)</f>
        <v>#VALUE!</v>
      </c>
      <c r="D2" s="75" t="s">
        <v>3</v>
      </c>
      <c r="E2" s="76" t="e">
        <f ca="1">'GF12'!E2</f>
        <v>#VALUE!</v>
      </c>
      <c r="F2" s="77" t="s">
        <v>4</v>
      </c>
      <c r="G2" s="58" t="str">
        <f>'GF12'!G2</f>
        <v>GH</v>
      </c>
      <c r="H2" s="77" t="s">
        <v>6</v>
      </c>
      <c r="I2" s="59">
        <f>'GF12'!I2</f>
        <v>44775</v>
      </c>
      <c r="J2" s="39"/>
      <c r="K2" s="40" t="s">
        <v>49</v>
      </c>
      <c r="L2" s="41" t="e">
        <f ca="1">VLOOKUP(C2,Assemblies!E:G,3,0)</f>
        <v>#VALUE!</v>
      </c>
      <c r="M2" s="78"/>
      <c r="N2" s="78"/>
      <c r="O2" s="78"/>
      <c r="P2" s="86"/>
      <c r="Q2" s="92"/>
    </row>
    <row r="3" spans="1:17" s="55" customFormat="1" ht="12" customHeight="1" thickBot="1">
      <c r="A3" s="74" t="s">
        <v>7</v>
      </c>
      <c r="B3" s="58"/>
      <c r="C3" s="57" t="e">
        <f ca="1">VLOOKUP(E3,Assemblies!B:F,5,0)</f>
        <v>#VALUE!</v>
      </c>
      <c r="D3" s="75" t="s">
        <v>50</v>
      </c>
      <c r="E3" s="76" t="e">
        <f ca="1">MID(CELL("filename",A1),FIND("]",CELL("filename",A1))+1,256)</f>
        <v>#VALUE!</v>
      </c>
      <c r="F3" s="77" t="s">
        <v>11</v>
      </c>
      <c r="G3" s="58" t="str">
        <f>'GF12'!G3</f>
        <v>GH</v>
      </c>
      <c r="H3" s="77" t="s">
        <v>6</v>
      </c>
      <c r="I3" s="59">
        <f>'GF12'!I3</f>
        <v>44775</v>
      </c>
      <c r="J3" s="78"/>
      <c r="K3" s="78"/>
      <c r="L3" s="78"/>
      <c r="M3" s="78"/>
      <c r="N3" s="78"/>
      <c r="O3" s="78"/>
      <c r="P3" s="86"/>
      <c r="Q3" s="92"/>
    </row>
    <row r="4" spans="1:17" s="56" customFormat="1" ht="12.75" customHeight="1" thickBot="1">
      <c r="A4" s="80" t="s">
        <v>12</v>
      </c>
      <c r="B4" s="81" t="s">
        <v>13</v>
      </c>
      <c r="C4" s="81" t="s">
        <v>14</v>
      </c>
      <c r="D4" s="270" t="s">
        <v>15</v>
      </c>
      <c r="E4" s="271"/>
      <c r="F4" s="104" t="s">
        <v>16</v>
      </c>
      <c r="G4" s="81" t="s">
        <v>17</v>
      </c>
      <c r="H4" s="260" t="s">
        <v>18</v>
      </c>
      <c r="I4" s="261"/>
      <c r="J4" s="81" t="s">
        <v>51</v>
      </c>
      <c r="K4" s="81" t="s">
        <v>20</v>
      </c>
      <c r="L4" s="81" t="s">
        <v>21</v>
      </c>
      <c r="M4" s="81" t="s">
        <v>52</v>
      </c>
      <c r="N4" s="81" t="s">
        <v>22</v>
      </c>
      <c r="O4" s="81" t="s">
        <v>53</v>
      </c>
      <c r="P4" s="107" t="s">
        <v>26</v>
      </c>
      <c r="Q4" s="82" t="s">
        <v>27</v>
      </c>
    </row>
    <row r="5" spans="1:17" s="2" customFormat="1" ht="12.75" customHeight="1">
      <c r="A5" s="127">
        <v>1</v>
      </c>
      <c r="B5" s="21">
        <v>1</v>
      </c>
      <c r="C5" s="108" t="s">
        <v>272</v>
      </c>
      <c r="D5" s="277" t="str">
        <f>VLOOKUP(C5,Machined!C:Q,2,0)</f>
        <v>EXTRUDED ROLLER</v>
      </c>
      <c r="E5" s="278"/>
      <c r="F5" s="131" t="str">
        <f>VLOOKUP(C5,Machined!C:R,7,0)</f>
        <v>6061-T6 Alum</v>
      </c>
      <c r="G5" s="131" t="str">
        <f>VLOOKUP(C5,Machined!C:R,10,0)</f>
        <v>BONNELL, RON GROB, 3J, Fin. Pros</v>
      </c>
      <c r="H5" s="131" t="str">
        <f>VLOOKUP(C5,Machined!C:R,11,0)</f>
        <v xml:space="preserve"> </v>
      </c>
      <c r="I5" s="131"/>
      <c r="J5" s="42" t="str">
        <f>VLOOKUP(C5,Machined!C:R,12,0)</f>
        <v>N/A</v>
      </c>
      <c r="K5" s="42" t="str">
        <f>VLOOKUP(C5,Machined!C:R,13,0)</f>
        <v>N/A</v>
      </c>
      <c r="L5" s="42" t="str">
        <f>VLOOKUP(C5,Machined!C:R,14,0)</f>
        <v>N/A</v>
      </c>
      <c r="M5" s="42" t="str">
        <f>VLOOKUP(C5,Machined!C:R,15,0)</f>
        <v>N/A</v>
      </c>
      <c r="N5" s="43" t="str">
        <f>VLOOKUP(C5,Machined!C:R,16,0)</f>
        <v xml:space="preserve">54809, 54970, 54989 </v>
      </c>
      <c r="O5" s="43" t="e">
        <f t="shared" ref="O5:O9" ca="1" si="0">B5*$L$2</f>
        <v>#VALUE!</v>
      </c>
      <c r="P5" s="47">
        <f>IFERROR(VLOOKUP(C5,Machined!C:F,3,0),"")</f>
        <v>119.09</v>
      </c>
      <c r="Q5" s="48">
        <f t="shared" ref="Q5:Q9" si="1">IFERROR(B5*P5,"")</f>
        <v>119.09</v>
      </c>
    </row>
    <row r="6" spans="1:17" s="2" customFormat="1" ht="12.75" customHeight="1">
      <c r="A6" s="127">
        <v>2</v>
      </c>
      <c r="B6" s="21">
        <v>2</v>
      </c>
      <c r="C6" s="108" t="s">
        <v>274</v>
      </c>
      <c r="D6" s="277" t="str">
        <f>VLOOKUP(C6,Machined!C:Q,2,0)</f>
        <v>ROLLER CAP</v>
      </c>
      <c r="E6" s="278"/>
      <c r="F6" s="131" t="str">
        <f>VLOOKUP(C6,Machined!C:R,7,0)</f>
        <v>304 SS</v>
      </c>
      <c r="G6" s="131" t="str">
        <f>VLOOKUP(C6,Machined!C:R,10,0)</f>
        <v>XOMETRY</v>
      </c>
      <c r="H6" s="131" t="str">
        <f>VLOOKUP(C6,Machined!C:R,11,0)</f>
        <v xml:space="preserve">  </v>
      </c>
      <c r="I6" s="131"/>
      <c r="J6" s="42" t="str">
        <f>VLOOKUP(C6,Machined!C:R,12,0)</f>
        <v>N/A</v>
      </c>
      <c r="K6" s="42">
        <f>VLOOKUP(C6,Machined!C:R,13,0)</f>
        <v>45141</v>
      </c>
      <c r="L6" s="42">
        <f>VLOOKUP(C6,Machined!C:R,14,0)</f>
        <v>45161</v>
      </c>
      <c r="M6" s="42">
        <f>VLOOKUP(C6,Machined!C:R,15,0)</f>
        <v>45161</v>
      </c>
      <c r="N6" s="43">
        <f>VLOOKUP(C6,Machined!C:R,16,0)</f>
        <v>55030</v>
      </c>
      <c r="O6" s="43" t="e">
        <f t="shared" ca="1" si="0"/>
        <v>#VALUE!</v>
      </c>
      <c r="P6" s="47">
        <f>IFERROR(VLOOKUP(C6,Machined!C:F,3,0),"")</f>
        <v>1.52</v>
      </c>
      <c r="Q6" s="48">
        <f t="shared" si="1"/>
        <v>3.04</v>
      </c>
    </row>
    <row r="7" spans="1:17" s="2" customFormat="1" ht="12.75" customHeight="1">
      <c r="A7" s="127">
        <v>3</v>
      </c>
      <c r="B7" s="21">
        <v>2</v>
      </c>
      <c r="C7" s="108" t="s">
        <v>762</v>
      </c>
      <c r="D7" s="277" t="str">
        <f>VLOOKUP(C7,Machined!C:Q,2,0)</f>
        <v>Compensator Arm</v>
      </c>
      <c r="E7" s="278"/>
      <c r="F7" s="131" t="str">
        <f>VLOOKUP(C7,Machined!C:R,7,0)</f>
        <v>6061-T6 Alum</v>
      </c>
      <c r="G7" s="131" t="str">
        <f>VLOOKUP(C7,Machined!C:R,10,0)</f>
        <v>FRONTIER</v>
      </c>
      <c r="H7" s="131" t="str">
        <f>VLOOKUP(C7,Machined!C:R,11,0)</f>
        <v xml:space="preserve">  </v>
      </c>
      <c r="I7" s="131"/>
      <c r="J7" s="42">
        <f>VLOOKUP(C7,Machined!C:R,12,0)</f>
        <v>45105</v>
      </c>
      <c r="K7" s="42">
        <f>VLOOKUP(C7,Machined!C:R,13,0)</f>
        <v>45133</v>
      </c>
      <c r="L7" s="42">
        <f>VLOOKUP(C7,Machined!C:R,14,0)</f>
        <v>45163</v>
      </c>
      <c r="M7" s="42">
        <f>VLOOKUP(C7,Machined!C:R,15,0)</f>
        <v>45163</v>
      </c>
      <c r="N7" s="43">
        <f>VLOOKUP(C7,Machined!C:R,16,0)</f>
        <v>55015</v>
      </c>
      <c r="O7" s="43" t="e">
        <f t="shared" ca="1" si="0"/>
        <v>#VALUE!</v>
      </c>
      <c r="P7" s="47">
        <f>IFERROR(VLOOKUP(C7,Machined!C:F,3,0),"")</f>
        <v>169.25</v>
      </c>
      <c r="Q7" s="48">
        <f t="shared" si="1"/>
        <v>338.5</v>
      </c>
    </row>
    <row r="8" spans="1:17" s="2" customFormat="1" ht="12.75" customHeight="1">
      <c r="A8" s="127">
        <v>4</v>
      </c>
      <c r="B8" s="21">
        <v>2</v>
      </c>
      <c r="C8" s="108" t="s">
        <v>763</v>
      </c>
      <c r="D8" s="277" t="str">
        <f>VLOOKUP(C8,Machined!C:Q,2,0)</f>
        <v>Dancer Clamp</v>
      </c>
      <c r="E8" s="278"/>
      <c r="F8" s="131" t="str">
        <f>VLOOKUP(C8,Machined!C:R,7,0)</f>
        <v>1018 CRS</v>
      </c>
      <c r="G8" s="131" t="str">
        <f>VLOOKUP(C8,Machined!C:R,10,0)</f>
        <v>FRONTIER</v>
      </c>
      <c r="H8" s="131" t="str">
        <f>VLOOKUP(C8,Machined!C:R,11,0)</f>
        <v xml:space="preserve">  </v>
      </c>
      <c r="I8" s="131"/>
      <c r="J8" s="42">
        <f>VLOOKUP(C8,Machined!C:R,12,0)</f>
        <v>45105</v>
      </c>
      <c r="K8" s="42">
        <f>VLOOKUP(C8,Machined!C:R,13,0)</f>
        <v>45133</v>
      </c>
      <c r="L8" s="42">
        <f>VLOOKUP(C8,Machined!C:R,14,0)</f>
        <v>45163</v>
      </c>
      <c r="M8" s="42">
        <f>VLOOKUP(C8,Machined!C:R,15,0)</f>
        <v>45163</v>
      </c>
      <c r="N8" s="43">
        <f>VLOOKUP(C8,Machined!C:R,16,0)</f>
        <v>55015</v>
      </c>
      <c r="O8" s="43" t="e">
        <f t="shared" ca="1" si="0"/>
        <v>#VALUE!</v>
      </c>
      <c r="P8" s="47">
        <f>IFERROR(VLOOKUP(C8,Machined!C:F,3,0),"")</f>
        <v>54.6</v>
      </c>
      <c r="Q8" s="48">
        <f t="shared" si="1"/>
        <v>109.2</v>
      </c>
    </row>
    <row r="9" spans="1:17" s="2" customFormat="1" ht="12.75" customHeight="1">
      <c r="A9" s="127">
        <v>5</v>
      </c>
      <c r="B9" s="21">
        <v>1</v>
      </c>
      <c r="C9" s="108" t="s">
        <v>764</v>
      </c>
      <c r="D9" s="277" t="str">
        <f>VLOOKUP(C9,Machined!C:Q,2,0)</f>
        <v>Roller Shaft</v>
      </c>
      <c r="E9" s="278"/>
      <c r="F9" s="131" t="str">
        <f>VLOOKUP(C9,Machined!C:R,7,0)</f>
        <v>303 SS - TG&amp;P</v>
      </c>
      <c r="G9" s="131" t="str">
        <f>VLOOKUP(C9,Machined!C:R,10,0)</f>
        <v>ALEXANDRIA, Nuline</v>
      </c>
      <c r="H9" s="131" t="str">
        <f>VLOOKUP(C9,Machined!C:R,11,0)</f>
        <v xml:space="preserve">  </v>
      </c>
      <c r="I9" s="131"/>
      <c r="J9" s="42" t="str">
        <f>VLOOKUP(C9,Machined!C:R,12,0)</f>
        <v>N/A</v>
      </c>
      <c r="K9" s="42" t="str">
        <f>VLOOKUP(C9,Machined!C:R,13,0)</f>
        <v>N/A</v>
      </c>
      <c r="L9" s="42" t="str">
        <f>VLOOKUP(C9,Machined!C:R,14,0)</f>
        <v>N/A</v>
      </c>
      <c r="M9" s="42" t="str">
        <f>VLOOKUP(C9,Machined!C:R,15,0)</f>
        <v>N/A</v>
      </c>
      <c r="N9" s="43">
        <f>VLOOKUP(C9,Machined!C:R,16,0)</f>
        <v>55018</v>
      </c>
      <c r="O9" s="43" t="e">
        <f t="shared" ca="1" si="0"/>
        <v>#VALUE!</v>
      </c>
      <c r="P9" s="47">
        <f>IFERROR(VLOOKUP(C9,Machined!C:F,3,0),"")</f>
        <v>85.05</v>
      </c>
      <c r="Q9" s="48">
        <f t="shared" si="1"/>
        <v>85.05</v>
      </c>
    </row>
    <row r="10" spans="1:17" s="2" customFormat="1" ht="12.75" customHeight="1">
      <c r="A10" s="143"/>
      <c r="B10" s="26"/>
      <c r="C10" s="26"/>
      <c r="D10" s="272"/>
      <c r="E10" s="273"/>
      <c r="F10" s="26"/>
      <c r="G10" s="26"/>
      <c r="H10" s="274"/>
      <c r="I10" s="275"/>
      <c r="J10" s="27"/>
      <c r="K10" s="27"/>
      <c r="L10" s="27"/>
      <c r="M10" s="28"/>
      <c r="N10" s="29"/>
      <c r="O10" s="29"/>
      <c r="P10" s="141"/>
      <c r="Q10" s="142"/>
    </row>
    <row r="11" spans="1:17" s="2" customFormat="1" ht="12.75" customHeight="1">
      <c r="A11" s="4">
        <v>301</v>
      </c>
      <c r="B11" s="2">
        <v>2</v>
      </c>
      <c r="C11" s="114" t="s">
        <v>277</v>
      </c>
      <c r="D11" s="268" t="str">
        <f>VLOOKUP(C11,Purchased!A:B,2,0)</f>
        <v>7612 DLG Deep groove ball bearing, 3/4" Bore, 1-3/4" O.D - Outside seal, no inner, with light oil lube- no grease.</v>
      </c>
      <c r="E11" s="269"/>
      <c r="F11" s="112" t="str">
        <f>VLOOKUP(C11,Purchased!A:Q,9,0)</f>
        <v>QualBear</v>
      </c>
      <c r="G11" s="112" t="str">
        <f>VLOOKUP(C11,Purchased!A:Q,10,0)</f>
        <v>QualBear</v>
      </c>
      <c r="H11" s="112" t="str">
        <f>VLOOKUP(C11,Purchased!A:Q,12,0)</f>
        <v>MCM part 4768K6</v>
      </c>
      <c r="I11" s="113"/>
      <c r="J11" s="44" t="str">
        <f>VLOOKUP(C11,Purchased!A:Q,13,0)</f>
        <v>N/A</v>
      </c>
      <c r="K11" s="44">
        <f>VLOOKUP(C11,Purchased!A:Q,14,0)</f>
        <v>45124</v>
      </c>
      <c r="L11" s="44">
        <f>VLOOKUP(C11,Purchased!A:Q,15,0)</f>
        <v>45145</v>
      </c>
      <c r="M11" s="44">
        <f>VLOOKUP(C11,Purchased!A:Q,16,0)</f>
        <v>45148</v>
      </c>
      <c r="N11" s="45">
        <f>VLOOKUP(C11,Purchased!A:Q,17,0)</f>
        <v>54997</v>
      </c>
      <c r="O11" s="45" t="e">
        <f t="shared" ref="O11:O15" ca="1" si="2">B11*$L$2</f>
        <v>#VALUE!</v>
      </c>
      <c r="P11" s="49">
        <f>IFERROR(VLOOKUP(C11,Purchased!A:E,3,FALSE),"")</f>
        <v>6.79</v>
      </c>
      <c r="Q11" s="50">
        <f t="shared" ref="Q11" si="3">IFERROR(B11*P11,"")</f>
        <v>13.58</v>
      </c>
    </row>
    <row r="12" spans="1:17" s="2" customFormat="1" ht="12.75" customHeight="1">
      <c r="A12" s="4">
        <v>302</v>
      </c>
      <c r="B12" s="2">
        <v>4</v>
      </c>
      <c r="C12" s="114" t="s">
        <v>715</v>
      </c>
      <c r="D12" s="268" t="str">
        <f>VLOOKUP(C12,Purchased!A:B,2,0)</f>
        <v>BRL 15mm runner block, short</v>
      </c>
      <c r="E12" s="269"/>
      <c r="F12" s="112" t="str">
        <f>VLOOKUP(C12,Purchased!A:Q,9,0)</f>
        <v>BRL</v>
      </c>
      <c r="G12" s="112" t="str">
        <f>VLOOKUP(C12,Purchased!A:Q,10,0)</f>
        <v>AAP</v>
      </c>
      <c r="H12" s="112" t="str">
        <f>VLOOKUP(C12,Purchased!A:Q,12,0)</f>
        <v xml:space="preserve"> </v>
      </c>
      <c r="I12" s="113"/>
      <c r="J12" s="44">
        <f>VLOOKUP(C12,Purchased!A:Q,13,0)</f>
        <v>45093</v>
      </c>
      <c r="K12" s="44">
        <f>VLOOKUP(C12,Purchased!A:Q,14,0)</f>
        <v>45093</v>
      </c>
      <c r="L12" s="44">
        <f>VLOOKUP(C12,Purchased!A:Q,15,0)</f>
        <v>45184</v>
      </c>
      <c r="M12" s="44">
        <f>VLOOKUP(C12,Purchased!A:Q,16,0)</f>
        <v>45184</v>
      </c>
      <c r="N12" s="45">
        <f>VLOOKUP(C12,Purchased!A:Q,17,0)</f>
        <v>54942</v>
      </c>
      <c r="O12" s="45" t="e">
        <f t="shared" ref="O12" ca="1" si="4">B12*$L$2</f>
        <v>#VALUE!</v>
      </c>
      <c r="P12" s="49">
        <f>IFERROR(VLOOKUP(C12,Purchased!A:E,3,FALSE),"")</f>
        <v>79.043700000000001</v>
      </c>
      <c r="Q12" s="50">
        <f t="shared" ref="Q12" si="5">IFERROR(B12*P12,"")</f>
        <v>316.1748</v>
      </c>
    </row>
    <row r="13" spans="1:17" s="2" customFormat="1" ht="12.75" customHeight="1">
      <c r="A13" s="25"/>
      <c r="B13" s="26"/>
      <c r="C13" s="26"/>
      <c r="D13" s="272"/>
      <c r="E13" s="273"/>
      <c r="F13" s="26"/>
      <c r="G13" s="26"/>
      <c r="H13" s="274"/>
      <c r="I13" s="275"/>
      <c r="J13" s="27"/>
      <c r="K13" s="27"/>
      <c r="L13" s="27"/>
      <c r="M13" s="28"/>
      <c r="N13" s="29"/>
      <c r="O13" s="29" t="e">
        <f t="shared" ca="1" si="2"/>
        <v>#VALUE!</v>
      </c>
      <c r="P13" s="141"/>
      <c r="Q13" s="142"/>
    </row>
    <row r="14" spans="1:17" s="2" customFormat="1" ht="12.75" customHeight="1">
      <c r="A14" s="4">
        <v>501</v>
      </c>
      <c r="B14" s="2">
        <v>8</v>
      </c>
      <c r="C14" s="110" t="s">
        <v>493</v>
      </c>
      <c r="D14" s="268"/>
      <c r="E14" s="276"/>
      <c r="F14" s="112" t="str">
        <f>VLOOKUP(C14,Bolts!A:L,5,0)</f>
        <v xml:space="preserve">  </v>
      </c>
      <c r="G14" s="112" t="str">
        <f>VLOOKUP(C14,Bolts!A:L,6,0)</f>
        <v>Monroe Fasteners</v>
      </c>
      <c r="H14" s="112" t="str">
        <f>VLOOKUP(C14,Bolts!A:L,7,0)</f>
        <v xml:space="preserve">  </v>
      </c>
      <c r="I14" s="112"/>
      <c r="J14" s="44" t="str">
        <f>VLOOKUP(C14,Bolts!A:L,8,0)</f>
        <v xml:space="preserve"> </v>
      </c>
      <c r="K14" s="44" t="str">
        <f>VLOOKUP(C14,Bolts!A:L,9,0)</f>
        <v xml:space="preserve"> </v>
      </c>
      <c r="L14" s="44" t="str">
        <f>VLOOKUP(C14,Bolts!A:L,10,0)</f>
        <v xml:space="preserve"> </v>
      </c>
      <c r="M14" s="44" t="str">
        <f>VLOOKUP(C14,Bolts!A:L,11,0)</f>
        <v xml:space="preserve"> </v>
      </c>
      <c r="N14" s="45" t="str">
        <f>VLOOKUP(C14,Bolts!A:L,12,0)</f>
        <v xml:space="preserve"> </v>
      </c>
      <c r="O14" s="45" t="e">
        <f t="shared" ca="1" si="2"/>
        <v>#VALUE!</v>
      </c>
      <c r="P14" s="49" t="str">
        <f>IFERROR(VLOOKUP(C14,Bolts!A:B,2,FALSE),"")</f>
        <v xml:space="preserve"> </v>
      </c>
      <c r="Q14" s="50" t="str">
        <f t="shared" ref="Q14:Q15" si="6">IFERROR(B14*P14,"")</f>
        <v/>
      </c>
    </row>
    <row r="15" spans="1:17" s="2" customFormat="1" ht="12.75" customHeight="1" thickBot="1">
      <c r="A15" s="4">
        <f t="shared" ref="A15" si="7">A14+1</f>
        <v>502</v>
      </c>
      <c r="B15" s="2">
        <v>4</v>
      </c>
      <c r="C15" s="110" t="s">
        <v>351</v>
      </c>
      <c r="D15" s="268"/>
      <c r="E15" s="276"/>
      <c r="F15" s="112" t="str">
        <f>VLOOKUP(C15,Bolts!A:L,5,0)</f>
        <v xml:space="preserve">  </v>
      </c>
      <c r="G15" s="112" t="str">
        <f>VLOOKUP(C15,Bolts!A:L,6,0)</f>
        <v>Monroe Fasteners</v>
      </c>
      <c r="H15" s="112" t="str">
        <f>VLOOKUP(C15,Bolts!A:L,7,0)</f>
        <v xml:space="preserve">  </v>
      </c>
      <c r="I15" s="112"/>
      <c r="J15" s="44" t="str">
        <f>VLOOKUP(C15,Bolts!A:L,8,0)</f>
        <v xml:space="preserve"> </v>
      </c>
      <c r="K15" s="44" t="str">
        <f>VLOOKUP(C15,Bolts!A:L,9,0)</f>
        <v xml:space="preserve"> </v>
      </c>
      <c r="L15" s="44" t="str">
        <f>VLOOKUP(C15,Bolts!A:L,10,0)</f>
        <v xml:space="preserve"> </v>
      </c>
      <c r="M15" s="44" t="str">
        <f>VLOOKUP(C15,Bolts!A:L,11,0)</f>
        <v xml:space="preserve"> </v>
      </c>
      <c r="N15" s="45" t="str">
        <f>VLOOKUP(C15,Bolts!A:L,12,0)</f>
        <v xml:space="preserve"> </v>
      </c>
      <c r="O15" s="45" t="e">
        <f t="shared" ca="1" si="2"/>
        <v>#VALUE!</v>
      </c>
      <c r="P15" s="49" t="str">
        <f>IFERROR(VLOOKUP(C15,Bolts!A:B,2,FALSE),"")</f>
        <v xml:space="preserve"> </v>
      </c>
      <c r="Q15" s="50" t="str">
        <f t="shared" si="6"/>
        <v/>
      </c>
    </row>
    <row r="16" spans="1:17" s="2" customFormat="1" ht="12.75" customHeight="1" thickBot="1">
      <c r="A16" s="34"/>
      <c r="B16" s="35"/>
      <c r="C16" s="35"/>
      <c r="D16" s="256"/>
      <c r="E16" s="257"/>
      <c r="F16" s="35"/>
      <c r="G16" s="35"/>
      <c r="H16" s="294"/>
      <c r="I16" s="295"/>
      <c r="J16" s="36"/>
      <c r="K16" s="36"/>
      <c r="L16" s="36"/>
      <c r="M16" s="37"/>
      <c r="N16" s="38"/>
      <c r="O16" s="38"/>
      <c r="P16" s="89" t="s">
        <v>43</v>
      </c>
      <c r="Q16" s="94">
        <f>SUM(Q5:Q15)</f>
        <v>984.63480000000004</v>
      </c>
    </row>
    <row r="17" spans="4:17" s="2" customFormat="1" ht="12" customHeight="1">
      <c r="D17" s="22"/>
      <c r="E17" s="22"/>
      <c r="J17" s="8"/>
      <c r="K17" s="8"/>
      <c r="L17" s="8"/>
      <c r="M17" s="8"/>
      <c r="N17" s="5"/>
      <c r="O17" s="5"/>
      <c r="P17" s="88"/>
      <c r="Q17" s="95"/>
    </row>
    <row r="18" spans="4:17" s="2" customFormat="1" ht="12" customHeight="1">
      <c r="D18" s="22"/>
      <c r="E18" s="22"/>
      <c r="J18" s="5"/>
      <c r="K18" s="5"/>
      <c r="L18" s="5"/>
      <c r="M18" s="5"/>
      <c r="N18" s="5"/>
      <c r="O18" s="5"/>
      <c r="P18" s="88"/>
      <c r="Q18" s="95"/>
    </row>
    <row r="19" spans="4:17" s="2" customFormat="1" ht="12" customHeight="1">
      <c r="D19" s="22"/>
      <c r="E19" s="22"/>
      <c r="J19" s="5"/>
      <c r="K19" s="5"/>
      <c r="L19" s="5"/>
      <c r="M19" s="5"/>
      <c r="N19" s="5"/>
      <c r="O19" s="5"/>
      <c r="P19" s="88"/>
      <c r="Q19" s="95"/>
    </row>
    <row r="20" spans="4:17" s="2" customFormat="1" ht="12" customHeight="1">
      <c r="D20" s="22"/>
      <c r="E20" s="22"/>
      <c r="J20" s="5"/>
      <c r="K20" s="5"/>
      <c r="L20" s="5"/>
      <c r="M20" s="5"/>
      <c r="N20" s="5"/>
      <c r="O20" s="5"/>
      <c r="P20" s="88"/>
      <c r="Q20" s="95"/>
    </row>
    <row r="21" spans="4:17" s="2" customFormat="1" ht="12" customHeight="1">
      <c r="D21" s="22"/>
      <c r="E21" s="22"/>
      <c r="J21" s="5"/>
      <c r="K21" s="5"/>
      <c r="L21" s="5"/>
      <c r="M21" s="5"/>
      <c r="N21" s="5"/>
      <c r="O21" s="5"/>
      <c r="P21" s="88"/>
      <c r="Q21" s="95"/>
    </row>
    <row r="22" spans="4:17" s="2" customFormat="1" ht="12" customHeight="1">
      <c r="D22" s="22"/>
      <c r="E22" s="22"/>
      <c r="J22" s="5"/>
      <c r="K22" s="5"/>
      <c r="L22" s="5"/>
      <c r="M22" s="5"/>
      <c r="N22" s="5"/>
      <c r="O22" s="5"/>
      <c r="P22" s="88"/>
      <c r="Q22" s="95"/>
    </row>
    <row r="23" spans="4:17" s="2" customFormat="1" ht="12" customHeight="1">
      <c r="D23" s="22"/>
      <c r="E23" s="22"/>
      <c r="J23" s="5"/>
      <c r="K23" s="5"/>
      <c r="L23" s="5"/>
      <c r="M23" s="5"/>
      <c r="N23" s="5"/>
      <c r="O23" s="5"/>
      <c r="P23" s="88"/>
      <c r="Q23" s="95"/>
    </row>
    <row r="24" spans="4:17" s="2" customFormat="1" ht="12" customHeight="1">
      <c r="D24" s="22"/>
      <c r="E24" s="22"/>
      <c r="J24" s="5"/>
      <c r="K24" s="5"/>
      <c r="L24" s="5"/>
      <c r="M24" s="5"/>
      <c r="N24" s="5"/>
      <c r="O24" s="5"/>
      <c r="P24" s="88"/>
      <c r="Q24" s="95"/>
    </row>
    <row r="25" spans="4:17" s="2" customFormat="1" ht="12" customHeight="1">
      <c r="D25" s="22"/>
      <c r="E25" s="22"/>
      <c r="J25" s="5"/>
      <c r="K25" s="5"/>
      <c r="L25" s="5"/>
      <c r="M25" s="5"/>
      <c r="N25" s="5"/>
      <c r="O25" s="5"/>
      <c r="P25" s="88"/>
      <c r="Q25" s="95"/>
    </row>
    <row r="26" spans="4:17" s="2" customFormat="1" ht="12" customHeight="1">
      <c r="D26" s="22"/>
      <c r="E26" s="22"/>
      <c r="J26" s="5"/>
      <c r="K26" s="5"/>
      <c r="L26" s="5"/>
      <c r="M26" s="5"/>
      <c r="N26" s="5"/>
      <c r="O26" s="5"/>
      <c r="P26" s="88"/>
      <c r="Q26" s="95"/>
    </row>
    <row r="27" spans="4:17" s="2" customFormat="1" ht="12" customHeight="1">
      <c r="D27" s="22"/>
      <c r="E27" s="22"/>
      <c r="J27" s="5"/>
      <c r="K27" s="5"/>
      <c r="L27" s="5"/>
      <c r="M27" s="5"/>
      <c r="N27" s="5"/>
      <c r="O27" s="5"/>
      <c r="P27" s="88"/>
      <c r="Q27" s="95"/>
    </row>
    <row r="28" spans="4:17" s="2" customFormat="1" ht="12" customHeight="1">
      <c r="D28" s="22"/>
      <c r="E28" s="22"/>
      <c r="J28" s="5"/>
      <c r="K28" s="5"/>
      <c r="L28" s="5"/>
      <c r="M28" s="5"/>
      <c r="N28" s="5"/>
      <c r="O28" s="5"/>
      <c r="P28" s="88"/>
      <c r="Q28" s="95"/>
    </row>
    <row r="29" spans="4:17" s="2" customFormat="1" ht="12" customHeight="1">
      <c r="D29" s="22"/>
      <c r="E29" s="22"/>
      <c r="J29" s="5"/>
      <c r="K29" s="5"/>
      <c r="L29" s="5"/>
      <c r="M29" s="5"/>
      <c r="N29" s="5"/>
      <c r="O29" s="5"/>
      <c r="P29" s="88"/>
      <c r="Q29" s="95"/>
    </row>
    <row r="30" spans="4:17" s="2" customFormat="1" ht="12" customHeight="1">
      <c r="D30" s="22"/>
      <c r="E30" s="22"/>
      <c r="J30" s="5"/>
      <c r="K30" s="5"/>
      <c r="L30" s="5"/>
      <c r="M30" s="5"/>
      <c r="N30" s="5"/>
      <c r="O30" s="5"/>
      <c r="P30" s="88"/>
      <c r="Q30" s="95"/>
    </row>
    <row r="31" spans="4:17" s="2" customFormat="1" ht="12" customHeight="1">
      <c r="D31" s="22"/>
      <c r="E31" s="22"/>
      <c r="J31" s="5"/>
      <c r="K31" s="5"/>
      <c r="L31" s="5"/>
      <c r="M31" s="5"/>
      <c r="N31" s="5"/>
      <c r="O31" s="5"/>
      <c r="P31" s="88"/>
      <c r="Q31" s="95"/>
    </row>
    <row r="32" spans="4:17" s="2" customFormat="1" ht="12" customHeight="1">
      <c r="D32" s="22"/>
      <c r="E32" s="22"/>
      <c r="J32" s="5"/>
      <c r="K32" s="5"/>
      <c r="L32" s="5"/>
      <c r="M32" s="5"/>
      <c r="N32" s="5"/>
      <c r="O32" s="5"/>
      <c r="P32" s="88"/>
      <c r="Q32" s="95"/>
    </row>
    <row r="33" spans="4:17" s="2" customFormat="1" ht="12" customHeight="1">
      <c r="D33" s="22"/>
      <c r="E33" s="22"/>
      <c r="J33" s="5"/>
      <c r="K33" s="5"/>
      <c r="L33" s="5"/>
      <c r="M33" s="5"/>
      <c r="N33" s="5"/>
      <c r="O33" s="5"/>
      <c r="P33" s="88"/>
      <c r="Q33" s="95"/>
    </row>
    <row r="34" spans="4:17" s="2" customFormat="1" ht="12" customHeight="1">
      <c r="D34" s="22"/>
      <c r="E34" s="22"/>
      <c r="J34" s="5"/>
      <c r="K34" s="5"/>
      <c r="L34" s="5"/>
      <c r="M34" s="5"/>
      <c r="N34" s="5"/>
      <c r="O34" s="5"/>
      <c r="P34" s="88"/>
      <c r="Q34" s="95"/>
    </row>
    <row r="35" spans="4:17" s="2" customFormat="1" ht="12" customHeight="1">
      <c r="D35" s="22"/>
      <c r="E35" s="22"/>
      <c r="J35" s="5"/>
      <c r="K35" s="5"/>
      <c r="L35" s="5"/>
      <c r="M35" s="5"/>
      <c r="N35" s="5"/>
      <c r="O35" s="5"/>
      <c r="P35" s="88"/>
      <c r="Q35" s="95"/>
    </row>
    <row r="36" spans="4:17" s="2" customFormat="1" ht="12" customHeight="1">
      <c r="D36" s="22"/>
      <c r="E36" s="22"/>
      <c r="J36" s="5"/>
      <c r="K36" s="5"/>
      <c r="L36" s="5"/>
      <c r="M36" s="5"/>
      <c r="N36" s="5"/>
      <c r="O36" s="5"/>
      <c r="P36" s="88"/>
      <c r="Q36" s="95"/>
    </row>
    <row r="37" spans="4:17" s="2" customFormat="1" ht="12" customHeight="1">
      <c r="D37" s="22"/>
      <c r="E37" s="22"/>
      <c r="J37" s="5"/>
      <c r="K37" s="5"/>
      <c r="L37" s="5"/>
      <c r="M37" s="5"/>
      <c r="N37" s="5"/>
      <c r="O37" s="5"/>
      <c r="P37" s="88"/>
      <c r="Q37" s="95"/>
    </row>
    <row r="38" spans="4:17" s="2" customFormat="1" ht="12" customHeight="1">
      <c r="D38" s="22"/>
      <c r="E38" s="22"/>
      <c r="J38" s="5"/>
      <c r="K38" s="5"/>
      <c r="L38" s="5"/>
      <c r="M38" s="5"/>
      <c r="N38" s="5"/>
      <c r="O38" s="5"/>
      <c r="P38" s="88"/>
      <c r="Q38" s="95"/>
    </row>
    <row r="39" spans="4:17" s="2" customFormat="1" ht="12" customHeight="1">
      <c r="D39" s="22"/>
      <c r="E39" s="22"/>
      <c r="J39" s="5"/>
      <c r="K39" s="5"/>
      <c r="L39" s="5"/>
      <c r="M39" s="5"/>
      <c r="N39" s="5"/>
      <c r="O39" s="5"/>
      <c r="P39" s="88"/>
      <c r="Q39" s="95"/>
    </row>
    <row r="40" spans="4:17" s="2" customFormat="1" ht="12" customHeight="1">
      <c r="D40" s="22"/>
      <c r="E40" s="22"/>
      <c r="J40" s="5"/>
      <c r="K40" s="5"/>
      <c r="L40" s="5"/>
      <c r="M40" s="5"/>
      <c r="N40" s="5"/>
      <c r="O40" s="5"/>
      <c r="P40" s="88"/>
      <c r="Q40" s="95"/>
    </row>
    <row r="41" spans="4:17" s="2" customFormat="1" ht="12" customHeight="1">
      <c r="D41" s="22"/>
      <c r="E41" s="22"/>
      <c r="J41" s="5"/>
      <c r="K41" s="5"/>
      <c r="L41" s="5"/>
      <c r="M41" s="5"/>
      <c r="N41" s="5"/>
      <c r="O41" s="5"/>
      <c r="P41" s="88"/>
      <c r="Q41" s="95"/>
    </row>
    <row r="42" spans="4:17" s="2" customFormat="1" ht="12" customHeight="1">
      <c r="D42" s="22"/>
      <c r="E42" s="22"/>
      <c r="J42" s="5"/>
      <c r="K42" s="5"/>
      <c r="L42" s="5"/>
      <c r="M42" s="5"/>
      <c r="N42" s="5"/>
      <c r="O42" s="5"/>
      <c r="P42" s="88"/>
      <c r="Q42" s="95"/>
    </row>
    <row r="43" spans="4:17" s="2" customFormat="1" ht="12" customHeight="1">
      <c r="D43" s="22"/>
      <c r="E43" s="22"/>
      <c r="J43" s="5"/>
      <c r="K43" s="5"/>
      <c r="L43" s="5"/>
      <c r="M43" s="5"/>
      <c r="N43" s="5"/>
      <c r="O43" s="5"/>
      <c r="P43" s="88"/>
      <c r="Q43" s="95"/>
    </row>
    <row r="44" spans="4:17" s="2" customFormat="1" ht="12" customHeight="1">
      <c r="D44" s="22"/>
      <c r="E44" s="22"/>
      <c r="J44" s="5"/>
      <c r="K44" s="5"/>
      <c r="L44" s="5"/>
      <c r="M44" s="5"/>
      <c r="N44" s="5"/>
      <c r="O44" s="5"/>
      <c r="P44" s="88"/>
      <c r="Q44" s="95"/>
    </row>
    <row r="45" spans="4:17" s="2" customFormat="1" ht="12" customHeight="1">
      <c r="D45" s="22"/>
      <c r="E45" s="22"/>
      <c r="J45" s="5"/>
      <c r="K45" s="5"/>
      <c r="L45" s="5"/>
      <c r="M45" s="5"/>
      <c r="N45" s="5"/>
      <c r="O45" s="5"/>
      <c r="P45" s="88"/>
      <c r="Q45" s="95"/>
    </row>
    <row r="46" spans="4:17" s="2" customFormat="1" ht="12" customHeight="1">
      <c r="D46" s="22"/>
      <c r="E46" s="22"/>
      <c r="J46" s="5"/>
      <c r="K46" s="5"/>
      <c r="L46" s="5"/>
      <c r="M46" s="5"/>
      <c r="N46" s="5"/>
      <c r="O46" s="5"/>
      <c r="P46" s="88"/>
      <c r="Q46" s="95"/>
    </row>
    <row r="47" spans="4:17" s="2" customFormat="1" ht="12" customHeight="1">
      <c r="D47" s="22"/>
      <c r="E47" s="22"/>
      <c r="J47" s="5"/>
      <c r="K47" s="5"/>
      <c r="L47" s="5"/>
      <c r="M47" s="5"/>
      <c r="N47" s="5"/>
      <c r="O47" s="5"/>
      <c r="P47" s="88"/>
      <c r="Q47" s="95"/>
    </row>
    <row r="48" spans="4:17" s="2" customFormat="1" ht="12" customHeight="1">
      <c r="D48" s="22"/>
      <c r="E48" s="22"/>
      <c r="J48" s="5"/>
      <c r="K48" s="5"/>
      <c r="L48" s="5"/>
      <c r="M48" s="5"/>
      <c r="N48" s="5"/>
      <c r="O48" s="5"/>
      <c r="P48" s="88"/>
      <c r="Q48" s="95"/>
    </row>
    <row r="49" spans="1:17" s="2" customFormat="1" ht="12" customHeight="1">
      <c r="D49" s="22"/>
      <c r="E49" s="22"/>
      <c r="J49" s="5"/>
      <c r="K49" s="5"/>
      <c r="L49" s="5"/>
      <c r="M49" s="5"/>
      <c r="N49" s="5"/>
      <c r="O49" s="5"/>
      <c r="P49" s="88"/>
      <c r="Q49" s="95"/>
    </row>
    <row r="50" spans="1:17" s="2" customFormat="1" ht="12" customHeight="1">
      <c r="D50" s="22"/>
      <c r="E50" s="22"/>
      <c r="J50" s="5"/>
      <c r="K50" s="5"/>
      <c r="L50" s="5"/>
      <c r="M50" s="5"/>
      <c r="N50" s="5"/>
      <c r="O50" s="5"/>
      <c r="P50" s="88"/>
      <c r="Q50" s="95"/>
    </row>
    <row r="51" spans="1:17" s="2" customFormat="1" ht="12" customHeight="1">
      <c r="D51" s="22"/>
      <c r="E51" s="22"/>
      <c r="J51" s="5"/>
      <c r="K51" s="5"/>
      <c r="L51" s="5"/>
      <c r="M51" s="5"/>
      <c r="N51" s="5"/>
      <c r="O51" s="5"/>
      <c r="P51" s="88"/>
      <c r="Q51" s="95"/>
    </row>
    <row r="52" spans="1:17" s="2" customFormat="1" ht="12" customHeight="1">
      <c r="D52" s="22"/>
      <c r="E52" s="22"/>
      <c r="J52" s="5"/>
      <c r="K52" s="5"/>
      <c r="L52" s="5"/>
      <c r="M52" s="5"/>
      <c r="N52" s="5"/>
      <c r="O52" s="5"/>
      <c r="P52" s="88"/>
      <c r="Q52" s="95"/>
    </row>
    <row r="53" spans="1:17" s="2" customFormat="1" ht="12" customHeight="1">
      <c r="D53" s="22"/>
      <c r="E53" s="22"/>
      <c r="J53" s="5"/>
      <c r="K53" s="5"/>
      <c r="L53" s="5"/>
      <c r="M53" s="5"/>
      <c r="N53" s="5"/>
      <c r="O53" s="5"/>
      <c r="P53" s="88"/>
      <c r="Q53" s="95"/>
    </row>
    <row r="54" spans="1:17" s="2" customFormat="1" ht="12" customHeight="1">
      <c r="D54" s="22"/>
      <c r="E54" s="22"/>
      <c r="J54" s="5"/>
      <c r="K54" s="5"/>
      <c r="L54" s="5"/>
      <c r="M54" s="5"/>
      <c r="N54" s="5"/>
      <c r="O54" s="5"/>
      <c r="P54" s="88"/>
      <c r="Q54" s="95"/>
    </row>
    <row r="55" spans="1:17" s="2" customFormat="1" ht="12" customHeight="1">
      <c r="D55" s="22"/>
      <c r="E55" s="22"/>
      <c r="J55" s="5"/>
      <c r="K55" s="5"/>
      <c r="L55" s="5"/>
      <c r="M55" s="5"/>
      <c r="N55" s="5"/>
      <c r="O55" s="5"/>
      <c r="P55" s="88"/>
      <c r="Q55" s="96"/>
    </row>
    <row r="56" spans="1:17" s="2" customFormat="1" ht="12" customHeight="1">
      <c r="D56" s="22"/>
      <c r="E56" s="22"/>
      <c r="J56" s="5"/>
      <c r="K56" s="5"/>
      <c r="L56" s="5"/>
      <c r="M56" s="5"/>
      <c r="N56" s="5"/>
      <c r="O56" s="5"/>
      <c r="P56" s="88"/>
      <c r="Q56" s="96"/>
    </row>
    <row r="57" spans="1:17" s="2" customFormat="1" ht="12" customHeight="1">
      <c r="D57" s="22"/>
      <c r="E57" s="22"/>
      <c r="J57" s="5"/>
      <c r="K57" s="5"/>
      <c r="L57" s="5"/>
      <c r="M57" s="5"/>
      <c r="N57" s="5"/>
      <c r="O57" s="5"/>
      <c r="P57" s="88"/>
      <c r="Q57" s="96"/>
    </row>
    <row r="58" spans="1:17" s="2" customFormat="1" ht="12" customHeight="1">
      <c r="D58" s="22"/>
      <c r="E58" s="22"/>
      <c r="J58" s="5"/>
      <c r="K58" s="5"/>
      <c r="L58" s="5"/>
      <c r="M58" s="5"/>
      <c r="N58" s="5"/>
      <c r="O58" s="5"/>
      <c r="P58" s="88"/>
      <c r="Q58" s="96"/>
    </row>
    <row r="59" spans="1:17" s="2" customFormat="1" ht="12" customHeight="1">
      <c r="A59"/>
      <c r="B59"/>
      <c r="C59"/>
      <c r="D59" s="23"/>
      <c r="E59" s="23"/>
      <c r="F59"/>
      <c r="G59"/>
      <c r="H59"/>
      <c r="I59"/>
      <c r="J59" s="19"/>
      <c r="K59" s="19"/>
      <c r="L59" s="19"/>
      <c r="M59" s="19"/>
      <c r="N59" s="19"/>
      <c r="O59" s="19"/>
      <c r="P59" s="90"/>
      <c r="Q59" s="96"/>
    </row>
    <row r="60" spans="1:17" s="2" customFormat="1" ht="12" customHeight="1">
      <c r="A60"/>
      <c r="B60"/>
      <c r="C60"/>
      <c r="D60" s="23"/>
      <c r="E60" s="23"/>
      <c r="F60"/>
      <c r="G60"/>
      <c r="H60"/>
      <c r="I60"/>
      <c r="J60" s="19"/>
      <c r="K60" s="19"/>
      <c r="L60" s="19"/>
      <c r="M60" s="19"/>
      <c r="N60" s="19"/>
      <c r="O60" s="19"/>
      <c r="P60" s="90"/>
      <c r="Q60" s="96"/>
    </row>
    <row r="61" spans="1:17" s="2" customFormat="1" ht="12" customHeight="1">
      <c r="A61"/>
      <c r="B61"/>
      <c r="C61"/>
      <c r="D61" s="23"/>
      <c r="E61" s="23"/>
      <c r="F61"/>
      <c r="G61"/>
      <c r="H61"/>
      <c r="I61"/>
      <c r="J61" s="19"/>
      <c r="K61" s="19"/>
      <c r="L61" s="19"/>
      <c r="M61" s="19"/>
      <c r="N61" s="19"/>
      <c r="O61" s="19"/>
      <c r="P61" s="90"/>
      <c r="Q61" s="96"/>
    </row>
    <row r="62" spans="1:17" s="2" customFormat="1" ht="12" customHeight="1">
      <c r="A62"/>
      <c r="B62"/>
      <c r="C62"/>
      <c r="D62" s="23"/>
      <c r="E62" s="23"/>
      <c r="F62"/>
      <c r="G62"/>
      <c r="H62"/>
      <c r="I62"/>
      <c r="J62" s="19"/>
      <c r="K62" s="19"/>
      <c r="L62" s="19"/>
      <c r="M62" s="19"/>
      <c r="N62" s="19"/>
      <c r="O62" s="19"/>
      <c r="P62" s="90"/>
      <c r="Q62" s="96"/>
    </row>
    <row r="63" spans="1:17" s="2" customFormat="1" ht="12" customHeight="1">
      <c r="A63"/>
      <c r="B63"/>
      <c r="C63"/>
      <c r="D63" s="23"/>
      <c r="E63" s="23"/>
      <c r="F63"/>
      <c r="G63"/>
      <c r="H63"/>
      <c r="I63"/>
      <c r="J63" s="19"/>
      <c r="K63" s="19"/>
      <c r="L63" s="19"/>
      <c r="M63" s="19"/>
      <c r="N63" s="19"/>
      <c r="O63" s="19"/>
      <c r="P63" s="90"/>
      <c r="Q63" s="96"/>
    </row>
    <row r="64" spans="1:17">
      <c r="Q64" s="96"/>
    </row>
    <row r="65" spans="17:17">
      <c r="Q65" s="96"/>
    </row>
    <row r="66" spans="17:17">
      <c r="Q66" s="96"/>
    </row>
    <row r="67" spans="17:17">
      <c r="Q67" s="96"/>
    </row>
    <row r="68" spans="17:17">
      <c r="Q68" s="96"/>
    </row>
    <row r="69" spans="17:17">
      <c r="Q69" s="96"/>
    </row>
    <row r="70" spans="17:17">
      <c r="Q70" s="96"/>
    </row>
    <row r="71" spans="17:17">
      <c r="Q71" s="96"/>
    </row>
    <row r="72" spans="17:17">
      <c r="Q72" s="96"/>
    </row>
    <row r="73" spans="17:17">
      <c r="Q73" s="96"/>
    </row>
    <row r="74" spans="17:17">
      <c r="Q74" s="96"/>
    </row>
    <row r="75" spans="17:17">
      <c r="Q75" s="96"/>
    </row>
    <row r="76" spans="17:17">
      <c r="Q76" s="96"/>
    </row>
    <row r="77" spans="17:17">
      <c r="Q77" s="96"/>
    </row>
    <row r="78" spans="17:17">
      <c r="Q78" s="96"/>
    </row>
    <row r="79" spans="17:17">
      <c r="Q79" s="96"/>
    </row>
    <row r="80" spans="17:17">
      <c r="Q80" s="96"/>
    </row>
    <row r="81" spans="17:17">
      <c r="Q81" s="96"/>
    </row>
    <row r="82" spans="17:17">
      <c r="Q82" s="96"/>
    </row>
    <row r="83" spans="17:17">
      <c r="Q83" s="96"/>
    </row>
    <row r="120" ht="12" customHeight="1"/>
    <row r="121" ht="12" customHeight="1"/>
    <row r="122" ht="12" customHeight="1"/>
    <row r="123" ht="12" customHeight="1"/>
    <row r="124" ht="12" customHeight="1"/>
    <row r="125" ht="12" customHeight="1"/>
    <row r="126" ht="12" customHeight="1"/>
    <row r="127" ht="12" customHeight="1"/>
    <row r="128" ht="12" customHeight="1"/>
    <row r="129" ht="12" customHeight="1"/>
    <row r="130" ht="12" customHeight="1"/>
    <row r="131" ht="12" customHeight="1"/>
    <row r="132" ht="12" customHeight="1"/>
    <row r="133" ht="12" customHeight="1"/>
    <row r="134" ht="12" customHeight="1"/>
    <row r="135" ht="12" customHeight="1"/>
    <row r="136" ht="12" customHeight="1"/>
    <row r="137" ht="12" customHeight="1"/>
    <row r="138" ht="12" customHeight="1"/>
    <row r="139" ht="12" customHeight="1"/>
    <row r="140" ht="12" customHeight="1"/>
    <row r="141" ht="12" customHeight="1"/>
    <row r="142" ht="12" customHeight="1"/>
    <row r="143" ht="12" customHeight="1"/>
    <row r="144" ht="12" customHeight="1"/>
    <row r="145" ht="12" customHeight="1"/>
    <row r="146" ht="12" customHeight="1"/>
    <row r="147" ht="12" customHeight="1"/>
    <row r="148" ht="12" customHeight="1"/>
    <row r="149" ht="12" customHeight="1"/>
    <row r="150" ht="12" customHeight="1"/>
    <row r="151" ht="12" customHeight="1"/>
    <row r="152" ht="12" customHeight="1"/>
    <row r="153" ht="12" customHeight="1"/>
    <row r="154" ht="12" customHeight="1"/>
    <row r="155" ht="12" customHeight="1"/>
    <row r="156" ht="12" customHeight="1"/>
    <row r="157" ht="12" customHeight="1"/>
    <row r="158" ht="12" customHeight="1"/>
    <row r="159" ht="12" customHeight="1"/>
    <row r="160" ht="12" customHeight="1"/>
    <row r="161" ht="12" customHeight="1"/>
    <row r="162" ht="12" customHeight="1"/>
    <row r="163" ht="12" customHeight="1"/>
    <row r="164" ht="12" customHeight="1"/>
    <row r="165" ht="12" customHeight="1"/>
    <row r="166" ht="12" customHeight="1"/>
    <row r="167" ht="12" customHeight="1"/>
    <row r="168" ht="12" customHeight="1"/>
    <row r="169" ht="12" customHeight="1"/>
  </sheetData>
  <mergeCells count="18">
    <mergeCell ref="D16:E16"/>
    <mergeCell ref="H16:I16"/>
    <mergeCell ref="H10:I10"/>
    <mergeCell ref="D11:E11"/>
    <mergeCell ref="H13:I13"/>
    <mergeCell ref="D14:E14"/>
    <mergeCell ref="D12:E12"/>
    <mergeCell ref="D9:E9"/>
    <mergeCell ref="D10:E10"/>
    <mergeCell ref="D1:E1"/>
    <mergeCell ref="D4:E4"/>
    <mergeCell ref="D15:E15"/>
    <mergeCell ref="D13:E13"/>
    <mergeCell ref="H4:I4"/>
    <mergeCell ref="D5:E5"/>
    <mergeCell ref="D6:E6"/>
    <mergeCell ref="D7:E7"/>
    <mergeCell ref="D8:E8"/>
  </mergeCells>
  <conditionalFormatting sqref="M5:M9">
    <cfRule type="cellIs" dxfId="412" priority="1" stopIfTrue="1" operator="lessThanOrEqual">
      <formula>$L5</formula>
    </cfRule>
    <cfRule type="cellIs" dxfId="411" priority="2" operator="greaterThan">
      <formula>L5</formula>
    </cfRule>
  </conditionalFormatting>
  <conditionalFormatting sqref="M14:M15 M11:M12">
    <cfRule type="cellIs" dxfId="410" priority="3" stopIfTrue="1" operator="lessThanOrEqual">
      <formula>$L11</formula>
    </cfRule>
    <cfRule type="cellIs" dxfId="409" priority="4" operator="greaterThan">
      <formula>L11</formula>
    </cfRule>
  </conditionalFormatting>
  <pageMargins left="0.7" right="0.7" top="0.75" bottom="0.75" header="0.3" footer="0.3"/>
  <pageSetup paperSize="3" fitToHeight="0" orientation="landscape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7A83D5FF-67C3-4703-B0D2-DA43A6E235A7}">
          <x14:formula1>
            <xm:f>Bolts!$A:$A</xm:f>
          </x14:formula1>
          <xm:sqref>C14:C15</xm:sqref>
        </x14:dataValidation>
        <x14:dataValidation type="list" allowBlank="1" showInputMessage="1" showErrorMessage="1" xr:uid="{5FFF6035-5A32-4199-A30C-CD9E71CA3F55}">
          <x14:formula1>
            <xm:f>Purchased!$A:$A</xm:f>
          </x14:formula1>
          <xm:sqref>C11:C12</xm:sqref>
        </x14:dataValidation>
        <x14:dataValidation type="list" allowBlank="1" showInputMessage="1" showErrorMessage="1" xr:uid="{8B1318E0-B94D-4C89-9AF6-C290E5160607}">
          <x14:formula1>
            <xm:f>Machined!$C:$C</xm:f>
          </x14:formula1>
          <xm:sqref>C5:C9</xm:sqref>
        </x14:dataValidation>
      </x14:dataValidations>
    </ext>
  </extLst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C8DB86-9DA9-4B06-81E3-8293367F5C4C}">
  <sheetPr codeName="Sheet64">
    <tabColor theme="3" tint="0.79998168889431442"/>
    <pageSetUpPr fitToPage="1"/>
  </sheetPr>
  <dimension ref="A1:Q173"/>
  <sheetViews>
    <sheetView zoomScaleNormal="100" workbookViewId="0">
      <selection activeCell="D23" sqref="D23"/>
    </sheetView>
  </sheetViews>
  <sheetFormatPr defaultColWidth="9.140625" defaultRowHeight="15"/>
  <cols>
    <col min="1" max="1" width="5.7109375" customWidth="1"/>
    <col min="2" max="2" width="5.42578125" bestFit="1" customWidth="1"/>
    <col min="3" max="3" width="30.7109375" customWidth="1"/>
    <col min="4" max="5" width="20.7109375" style="23" customWidth="1"/>
    <col min="6" max="6" width="16.85546875" bestFit="1" customWidth="1"/>
    <col min="7" max="7" width="9.7109375" customWidth="1"/>
    <col min="8" max="8" width="8.7109375" customWidth="1"/>
    <col min="9" max="9" width="20.7109375" customWidth="1"/>
    <col min="10" max="13" width="11.7109375" style="19" customWidth="1"/>
    <col min="14" max="14" width="11.85546875" style="19" bestFit="1" customWidth="1"/>
    <col min="15" max="15" width="7.7109375" style="19" customWidth="1"/>
    <col min="16" max="16" width="10.7109375" style="90" customWidth="1"/>
    <col min="17" max="17" width="10.7109375" style="97" customWidth="1"/>
  </cols>
  <sheetData>
    <row r="1" spans="1:17" s="55" customFormat="1" ht="12" customHeight="1">
      <c r="A1" s="68" t="s">
        <v>0</v>
      </c>
      <c r="B1" s="69"/>
      <c r="C1" s="69"/>
      <c r="D1" s="262" t="s">
        <v>1</v>
      </c>
      <c r="E1" s="263"/>
      <c r="F1" s="70"/>
      <c r="G1" s="69"/>
      <c r="H1" s="70"/>
      <c r="I1" s="71"/>
      <c r="J1" s="72"/>
      <c r="K1" s="72"/>
      <c r="L1" s="72"/>
      <c r="M1" s="72"/>
      <c r="N1" s="72"/>
      <c r="O1" s="72"/>
      <c r="P1" s="85"/>
      <c r="Q1" s="91"/>
    </row>
    <row r="2" spans="1:17" s="55" customFormat="1" ht="12" customHeight="1">
      <c r="A2" s="74" t="s">
        <v>48</v>
      </c>
      <c r="B2" s="58"/>
      <c r="C2" s="57" t="e">
        <f ca="1">VLOOKUP(E3,Assemblies!B:F,4,0)</f>
        <v>#VALUE!</v>
      </c>
      <c r="D2" s="75" t="s">
        <v>3</v>
      </c>
      <c r="E2" s="76" t="e">
        <f ca="1">'GF12'!E2</f>
        <v>#VALUE!</v>
      </c>
      <c r="F2" s="77" t="s">
        <v>4</v>
      </c>
      <c r="G2" s="58" t="str">
        <f>'GF12'!G2</f>
        <v>GH</v>
      </c>
      <c r="H2" s="77" t="s">
        <v>6</v>
      </c>
      <c r="I2" s="59">
        <f>'GF12'!I2</f>
        <v>44775</v>
      </c>
      <c r="J2" s="39"/>
      <c r="K2" s="40" t="s">
        <v>49</v>
      </c>
      <c r="L2" s="41" t="e">
        <f ca="1">VLOOKUP(C2,Assemblies!E:G,3,0)</f>
        <v>#VALUE!</v>
      </c>
      <c r="M2" s="78"/>
      <c r="N2" s="78"/>
      <c r="O2" s="78"/>
      <c r="P2" s="86"/>
      <c r="Q2" s="92"/>
    </row>
    <row r="3" spans="1:17" s="55" customFormat="1" ht="12" customHeight="1" thickBot="1">
      <c r="A3" s="74" t="s">
        <v>7</v>
      </c>
      <c r="B3" s="58"/>
      <c r="C3" s="57" t="e">
        <f ca="1">VLOOKUP(E3,Assemblies!B:F,5,0)</f>
        <v>#VALUE!</v>
      </c>
      <c r="D3" s="75" t="s">
        <v>50</v>
      </c>
      <c r="E3" s="76" t="e">
        <f ca="1">MID(CELL("filename",A1),FIND("]",CELL("filename",A1))+1,256)</f>
        <v>#VALUE!</v>
      </c>
      <c r="F3" s="77" t="s">
        <v>11</v>
      </c>
      <c r="G3" s="58" t="str">
        <f>'GF12'!G3</f>
        <v>GH</v>
      </c>
      <c r="H3" s="77" t="s">
        <v>6</v>
      </c>
      <c r="I3" s="59">
        <f>'GF12'!I3</f>
        <v>44775</v>
      </c>
      <c r="J3" s="78"/>
      <c r="K3" s="78"/>
      <c r="L3" s="78"/>
      <c r="M3" s="78"/>
      <c r="N3" s="78"/>
      <c r="O3" s="78"/>
      <c r="P3" s="86"/>
      <c r="Q3" s="92"/>
    </row>
    <row r="4" spans="1:17" s="56" customFormat="1" ht="12.75" customHeight="1" thickBot="1">
      <c r="A4" s="80" t="s">
        <v>12</v>
      </c>
      <c r="B4" s="81" t="s">
        <v>13</v>
      </c>
      <c r="C4" s="81" t="s">
        <v>14</v>
      </c>
      <c r="D4" s="270" t="s">
        <v>15</v>
      </c>
      <c r="E4" s="271"/>
      <c r="F4" s="104" t="s">
        <v>16</v>
      </c>
      <c r="G4" s="81" t="s">
        <v>17</v>
      </c>
      <c r="H4" s="260" t="s">
        <v>18</v>
      </c>
      <c r="I4" s="261"/>
      <c r="J4" s="81" t="s">
        <v>51</v>
      </c>
      <c r="K4" s="81" t="s">
        <v>20</v>
      </c>
      <c r="L4" s="81" t="s">
        <v>21</v>
      </c>
      <c r="M4" s="81" t="s">
        <v>52</v>
      </c>
      <c r="N4" s="81" t="s">
        <v>22</v>
      </c>
      <c r="O4" s="81" t="s">
        <v>53</v>
      </c>
      <c r="P4" s="107" t="s">
        <v>26</v>
      </c>
      <c r="Q4" s="82" t="s">
        <v>27</v>
      </c>
    </row>
    <row r="5" spans="1:17" s="2" customFormat="1" ht="12.75" customHeight="1">
      <c r="A5" s="127">
        <v>1</v>
      </c>
      <c r="B5" s="21">
        <v>1</v>
      </c>
      <c r="C5" s="108" t="s">
        <v>765</v>
      </c>
      <c r="D5" s="277" t="str">
        <f>VLOOKUP(C5,Machined!C:Q,2,0)</f>
        <v>Compensator Handwheel Shaft</v>
      </c>
      <c r="E5" s="278"/>
      <c r="F5" s="131" t="str">
        <f>VLOOKUP(C5,Machined!C:R,7,0)</f>
        <v>303 SS - TG&amp;P</v>
      </c>
      <c r="G5" s="131" t="str">
        <f>VLOOKUP(C5,Machined!C:R,10,0)</f>
        <v>ALEXANDRIA, Nuline</v>
      </c>
      <c r="H5" s="131" t="str">
        <f>VLOOKUP(C5,Machined!C:R,11,0)</f>
        <v xml:space="preserve">  </v>
      </c>
      <c r="I5" s="131"/>
      <c r="J5" s="42" t="str">
        <f>VLOOKUP(C5,Machined!C:R,12,0)</f>
        <v>N/A</v>
      </c>
      <c r="K5" s="42" t="str">
        <f>VLOOKUP(C5,Machined!C:R,13,0)</f>
        <v>N/A</v>
      </c>
      <c r="L5" s="42" t="str">
        <f>VLOOKUP(C5,Machined!C:R,14,0)</f>
        <v>N/A</v>
      </c>
      <c r="M5" s="42" t="str">
        <f>VLOOKUP(C5,Machined!C:R,15,0)</f>
        <v>N/A</v>
      </c>
      <c r="N5" s="43">
        <f>VLOOKUP(C5,Machined!C:R,16,0)</f>
        <v>55018</v>
      </c>
      <c r="O5" s="43" t="e">
        <f t="shared" ref="O5:O9" ca="1" si="0">B5*$L$2</f>
        <v>#VALUE!</v>
      </c>
      <c r="P5" s="47">
        <f>IFERROR(VLOOKUP(C5,Machined!C:F,3,0),"")</f>
        <v>9.4499999999999993</v>
      </c>
      <c r="Q5" s="48">
        <f t="shared" ref="Q5:Q9" si="1">IFERROR(B5*P5,"")</f>
        <v>9.4499999999999993</v>
      </c>
    </row>
    <row r="6" spans="1:17" s="2" customFormat="1" ht="12.75" customHeight="1">
      <c r="A6" s="127">
        <v>2</v>
      </c>
      <c r="B6" s="21">
        <v>1</v>
      </c>
      <c r="C6" s="108" t="s">
        <v>485</v>
      </c>
      <c r="D6" s="277" t="str">
        <f>VLOOKUP(C6,Machined!C:Q,2,0)</f>
        <v>Handwheel Plate</v>
      </c>
      <c r="E6" s="278"/>
      <c r="F6" s="131" t="str">
        <f>VLOOKUP(C6,Machined!C:R,7,0)</f>
        <v>6061-T6 Alum</v>
      </c>
      <c r="G6" s="131" t="str">
        <f>VLOOKUP(C6,Machined!C:R,10,0)</f>
        <v>FRONTIER</v>
      </c>
      <c r="H6" s="131" t="str">
        <f>VLOOKUP(C6,Machined!C:R,11,0)</f>
        <v xml:space="preserve"> </v>
      </c>
      <c r="I6" s="131"/>
      <c r="J6" s="42">
        <f>VLOOKUP(C6,Machined!C:R,12,0)</f>
        <v>45105</v>
      </c>
      <c r="K6" s="42">
        <f>VLOOKUP(C6,Machined!C:R,13,0)</f>
        <v>45133</v>
      </c>
      <c r="L6" s="42">
        <f>VLOOKUP(C6,Machined!C:R,14,0)</f>
        <v>45163</v>
      </c>
      <c r="M6" s="42">
        <f>VLOOKUP(C6,Machined!C:R,15,0)</f>
        <v>45163</v>
      </c>
      <c r="N6" s="43">
        <f>VLOOKUP(C6,Machined!C:R,16,0)</f>
        <v>55015</v>
      </c>
      <c r="O6" s="43" t="e">
        <f t="shared" ca="1" si="0"/>
        <v>#VALUE!</v>
      </c>
      <c r="P6" s="47">
        <f>IFERROR(VLOOKUP(C6,Machined!C:F,3,0),"")</f>
        <v>91.05</v>
      </c>
      <c r="Q6" s="48">
        <f t="shared" si="1"/>
        <v>91.05</v>
      </c>
    </row>
    <row r="7" spans="1:17" s="2" customFormat="1" ht="12.75" customHeight="1">
      <c r="A7" s="127">
        <v>3</v>
      </c>
      <c r="B7" s="21">
        <v>0</v>
      </c>
      <c r="C7" s="108" t="s">
        <v>704</v>
      </c>
      <c r="D7" s="277" t="str">
        <f>VLOOKUP(C7,Machined!C:Q,2,0)</f>
        <v>Guard Slide</v>
      </c>
      <c r="E7" s="278"/>
      <c r="F7" s="131" t="str">
        <f>VLOOKUP(C7,Machined!C:R,7,0)</f>
        <v>White Delrin</v>
      </c>
      <c r="G7" s="131" t="str">
        <f>VLOOKUP(C7,Machined!C:R,10,0)</f>
        <v>BIG SKY</v>
      </c>
      <c r="H7" s="131" t="str">
        <f>VLOOKUP(C7,Machined!C:R,11,0)</f>
        <v xml:space="preserve">  </v>
      </c>
      <c r="I7" s="131"/>
      <c r="J7" s="42">
        <f>VLOOKUP(C7,Machined!C:R,12,0)</f>
        <v>45142</v>
      </c>
      <c r="K7" s="42">
        <f>VLOOKUP(C7,Machined!C:R,13,0)</f>
        <v>45146</v>
      </c>
      <c r="L7" s="42">
        <f>VLOOKUP(C7,Machined!C:R,14,0)</f>
        <v>45176</v>
      </c>
      <c r="M7" s="42">
        <f>VLOOKUP(C7,Machined!C:R,15,0)</f>
        <v>45176</v>
      </c>
      <c r="N7" s="43">
        <f>VLOOKUP(C7,Machined!C:R,16,0)</f>
        <v>55032</v>
      </c>
      <c r="O7" s="43" t="e">
        <f t="shared" ca="1" si="0"/>
        <v>#VALUE!</v>
      </c>
      <c r="P7" s="47">
        <f>IFERROR(VLOOKUP(C7,Machined!C:F,3,0),"")</f>
        <v>48</v>
      </c>
      <c r="Q7" s="48">
        <f t="shared" si="1"/>
        <v>0</v>
      </c>
    </row>
    <row r="8" spans="1:17" s="2" customFormat="1" ht="12.75" customHeight="1">
      <c r="A8" s="127">
        <v>4</v>
      </c>
      <c r="B8" s="21">
        <v>1</v>
      </c>
      <c r="C8" s="108" t="s">
        <v>486</v>
      </c>
      <c r="D8" s="277" t="str">
        <f>VLOOKUP(C8,Machined!C:Q,2,0)</f>
        <v>Friction Pad</v>
      </c>
      <c r="E8" s="278"/>
      <c r="F8" s="131" t="str">
        <f>VLOOKUP(C8,Machined!C:R,7,0)</f>
        <v>White Delrin</v>
      </c>
      <c r="G8" s="131" t="str">
        <f>VLOOKUP(C8,Machined!C:R,10,0)</f>
        <v>BIG SKY</v>
      </c>
      <c r="H8" s="131" t="str">
        <f>VLOOKUP(C8,Machined!C:R,11,0)</f>
        <v xml:space="preserve">  </v>
      </c>
      <c r="I8" s="131"/>
      <c r="J8" s="42">
        <f>VLOOKUP(C8,Machined!C:R,12,0)</f>
        <v>45142</v>
      </c>
      <c r="K8" s="42">
        <f>VLOOKUP(C8,Machined!C:R,13,0)</f>
        <v>45146</v>
      </c>
      <c r="L8" s="42">
        <f>VLOOKUP(C8,Machined!C:R,14,0)</f>
        <v>45176</v>
      </c>
      <c r="M8" s="42">
        <f>VLOOKUP(C8,Machined!C:R,15,0)</f>
        <v>45176</v>
      </c>
      <c r="N8" s="43">
        <f>VLOOKUP(C8,Machined!C:R,16,0)</f>
        <v>55032</v>
      </c>
      <c r="O8" s="43" t="e">
        <f t="shared" ca="1" si="0"/>
        <v>#VALUE!</v>
      </c>
      <c r="P8" s="47">
        <f>IFERROR(VLOOKUP(C8,Machined!C:F,3,0),"")</f>
        <v>45</v>
      </c>
      <c r="Q8" s="48">
        <f t="shared" si="1"/>
        <v>45</v>
      </c>
    </row>
    <row r="9" spans="1:17" s="2" customFormat="1" ht="12.75" customHeight="1">
      <c r="A9" s="127">
        <v>5</v>
      </c>
      <c r="B9" s="21">
        <v>1</v>
      </c>
      <c r="C9" s="108" t="s">
        <v>487</v>
      </c>
      <c r="D9" s="277" t="str">
        <f>VLOOKUP(C9,Machined!C:Q,2,0)</f>
        <v>Unguided Guard Slide</v>
      </c>
      <c r="E9" s="278"/>
      <c r="F9" s="131" t="str">
        <f>VLOOKUP(C9,Machined!C:R,7,0)</f>
        <v>White Delrin</v>
      </c>
      <c r="G9" s="131" t="str">
        <f>VLOOKUP(C9,Machined!C:R,10,0)</f>
        <v>BIG SKY</v>
      </c>
      <c r="H9" s="131" t="str">
        <f>VLOOKUP(C9,Machined!C:R,11,0)</f>
        <v xml:space="preserve">  </v>
      </c>
      <c r="I9" s="131"/>
      <c r="J9" s="42">
        <f>VLOOKUP(C9,Machined!C:R,12,0)</f>
        <v>45142</v>
      </c>
      <c r="K9" s="42">
        <f>VLOOKUP(C9,Machined!C:R,13,0)</f>
        <v>45146</v>
      </c>
      <c r="L9" s="42">
        <f>VLOOKUP(C9,Machined!C:R,14,0)</f>
        <v>45176</v>
      </c>
      <c r="M9" s="42">
        <f>VLOOKUP(C9,Machined!C:R,15,0)</f>
        <v>45176</v>
      </c>
      <c r="N9" s="43">
        <f>VLOOKUP(C9,Machined!C:R,16,0)</f>
        <v>55032</v>
      </c>
      <c r="O9" s="43" t="e">
        <f t="shared" ca="1" si="0"/>
        <v>#VALUE!</v>
      </c>
      <c r="P9" s="47">
        <f>IFERROR(VLOOKUP(C9,Machined!C:F,3,0),"")</f>
        <v>45</v>
      </c>
      <c r="Q9" s="48">
        <f t="shared" si="1"/>
        <v>45</v>
      </c>
    </row>
    <row r="10" spans="1:17" s="2" customFormat="1" ht="12.75" customHeight="1">
      <c r="A10" s="143"/>
      <c r="B10" s="26"/>
      <c r="C10" s="26"/>
      <c r="D10" s="272"/>
      <c r="E10" s="273"/>
      <c r="F10" s="26"/>
      <c r="G10" s="26"/>
      <c r="H10" s="274"/>
      <c r="I10" s="275"/>
      <c r="J10" s="27"/>
      <c r="K10" s="27"/>
      <c r="L10" s="27"/>
      <c r="M10" s="28"/>
      <c r="N10" s="29"/>
      <c r="O10" s="29"/>
      <c r="P10" s="141"/>
      <c r="Q10" s="142"/>
    </row>
    <row r="11" spans="1:17" s="2" customFormat="1" ht="12.75" customHeight="1">
      <c r="A11" s="4">
        <v>301</v>
      </c>
      <c r="B11" s="2">
        <v>0</v>
      </c>
      <c r="C11" s="114" t="s">
        <v>756</v>
      </c>
      <c r="D11" s="268" t="str">
        <f>VLOOKUP(C11,Purchased!A:B,2,0)</f>
        <v>Tolomatic 0120-0410 Gearbox 12mm D Shaft</v>
      </c>
      <c r="E11" s="269"/>
      <c r="F11" s="112" t="str">
        <f>VLOOKUP(C11,Purchased!A:Q,9,0)</f>
        <v>Tolomatic</v>
      </c>
      <c r="G11" s="112" t="str">
        <f>VLOOKUP(C11,Purchased!A:Q,10,0)</f>
        <v>Fiero</v>
      </c>
      <c r="H11" s="112" t="str">
        <f>VLOOKUP(C11,Purchased!A:Q,12,0)</f>
        <v xml:space="preserve"> </v>
      </c>
      <c r="I11" s="113"/>
      <c r="J11" s="44" t="str">
        <f>VLOOKUP(C11,Purchased!A:Q,13,0)</f>
        <v>N/A</v>
      </c>
      <c r="K11" s="44">
        <f>VLOOKUP(C11,Purchased!A:Q,14,0)</f>
        <v>45077</v>
      </c>
      <c r="L11" s="44">
        <f>VLOOKUP(C11,Purchased!A:Q,15,0)</f>
        <v>45133</v>
      </c>
      <c r="M11" s="44">
        <f>VLOOKUP(C11,Purchased!A:Q,16,0)</f>
        <v>45133</v>
      </c>
      <c r="N11" s="45">
        <f>VLOOKUP(C11,Purchased!A:Q,17,0)</f>
        <v>54911</v>
      </c>
      <c r="O11" s="45" t="e">
        <f t="shared" ref="O11:O19" ca="1" si="2">B11*$L$2</f>
        <v>#VALUE!</v>
      </c>
      <c r="P11" s="49">
        <f>IFERROR(VLOOKUP(C11,Purchased!A:E,3,FALSE),"")</f>
        <v>678.08</v>
      </c>
      <c r="Q11" s="50">
        <f t="shared" ref="Q11:Q15" si="3">IFERROR(B11*P11,"")</f>
        <v>0</v>
      </c>
    </row>
    <row r="12" spans="1:17" s="2" customFormat="1" ht="12" customHeight="1">
      <c r="A12" s="4">
        <f t="shared" ref="A12:A16" si="4">A11+1</f>
        <v>302</v>
      </c>
      <c r="B12" s="2">
        <v>1</v>
      </c>
      <c r="C12" s="114" t="s">
        <v>489</v>
      </c>
      <c r="D12" s="268" t="str">
        <f>VLOOKUP(C12,Purchased!A:B,2,0)</f>
        <v>ELESA CE.85919 Base for Spindle Locking BSA-N51-12</v>
      </c>
      <c r="E12" s="269"/>
      <c r="F12" s="112" t="str">
        <f>VLOOKUP(C12,Purchased!A:Q,9,0)</f>
        <v>ELESA</v>
      </c>
      <c r="G12" s="112" t="str">
        <f>VLOOKUP(C12,Purchased!A:Q,10,0)</f>
        <v>ELESA</v>
      </c>
      <c r="H12" s="112" t="str">
        <f>VLOOKUP(C12,Purchased!A:Q,12,0)</f>
        <v xml:space="preserve"> </v>
      </c>
      <c r="I12" s="113"/>
      <c r="J12" s="44">
        <f>VLOOKUP(C12,Purchased!A:Q,13,0)</f>
        <v>45125</v>
      </c>
      <c r="K12" s="44">
        <f>VLOOKUP(C12,Purchased!A:Q,14,0)</f>
        <v>45162</v>
      </c>
      <c r="L12" s="44">
        <f>VLOOKUP(C12,Purchased!A:Q,15,0)</f>
        <v>45184</v>
      </c>
      <c r="M12" s="44">
        <f>VLOOKUP(C12,Purchased!A:Q,16,0)</f>
        <v>45184</v>
      </c>
      <c r="N12" s="45">
        <f>VLOOKUP(C12,Purchased!A:Q,17,0)</f>
        <v>55036</v>
      </c>
      <c r="O12" s="45" t="e">
        <f t="shared" ca="1" si="2"/>
        <v>#VALUE!</v>
      </c>
      <c r="P12" s="49">
        <f>IFERROR(VLOOKUP(C12,Purchased!A:E,3,FALSE),"")</f>
        <v>24.93</v>
      </c>
      <c r="Q12" s="50">
        <f t="shared" si="3"/>
        <v>24.93</v>
      </c>
    </row>
    <row r="13" spans="1:17" s="2" customFormat="1" ht="12" customHeight="1">
      <c r="A13" s="4">
        <f t="shared" si="4"/>
        <v>303</v>
      </c>
      <c r="B13" s="2">
        <v>1</v>
      </c>
      <c r="C13" s="114" t="s">
        <v>490</v>
      </c>
      <c r="D13" s="268" t="str">
        <f>VLOOKUP(C13,Purchased!A:B,2,0)</f>
        <v>ELESA GN 322.3-125-B12-R Foldaway Aluminum Handwheel</v>
      </c>
      <c r="E13" s="269"/>
      <c r="F13" s="112" t="str">
        <f>VLOOKUP(C13,Purchased!A:Q,9,0)</f>
        <v>ELESA</v>
      </c>
      <c r="G13" s="112" t="str">
        <f>VLOOKUP(C13,Purchased!A:Q,10,0)</f>
        <v>ELESA</v>
      </c>
      <c r="H13" s="112" t="str">
        <f>VLOOKUP(C13,Purchased!A:Q,12,0)</f>
        <v xml:space="preserve"> </v>
      </c>
      <c r="I13" s="113"/>
      <c r="J13" s="44">
        <f>VLOOKUP(C13,Purchased!A:Q,13,0)</f>
        <v>45125</v>
      </c>
      <c r="K13" s="44">
        <f>VLOOKUP(C13,Purchased!A:Q,14,0)</f>
        <v>45162</v>
      </c>
      <c r="L13" s="44">
        <f>VLOOKUP(C13,Purchased!A:Q,15,0)</f>
        <v>45184</v>
      </c>
      <c r="M13" s="44">
        <f>VLOOKUP(C13,Purchased!A:Q,16,0)</f>
        <v>45184</v>
      </c>
      <c r="N13" s="45">
        <f>VLOOKUP(C13,Purchased!A:Q,17,0)</f>
        <v>55036</v>
      </c>
      <c r="O13" s="45" t="e">
        <f t="shared" ca="1" si="2"/>
        <v>#VALUE!</v>
      </c>
      <c r="P13" s="49">
        <f>IFERROR(VLOOKUP(C13,Purchased!A:E,3,FALSE),"")</f>
        <v>51.89</v>
      </c>
      <c r="Q13" s="50">
        <f t="shared" si="3"/>
        <v>51.89</v>
      </c>
    </row>
    <row r="14" spans="1:17" s="2" customFormat="1" ht="12" customHeight="1">
      <c r="A14" s="4">
        <f t="shared" si="4"/>
        <v>304</v>
      </c>
      <c r="B14" s="2">
        <v>1</v>
      </c>
      <c r="C14" s="114" t="s">
        <v>491</v>
      </c>
      <c r="D14" s="268" t="str">
        <f>VLOOKUP(C14,Purchased!A:B,2,0)</f>
        <v>ELESA Reduction sleeves RB51-12</v>
      </c>
      <c r="E14" s="269"/>
      <c r="F14" s="112" t="str">
        <f>VLOOKUP(C14,Purchased!A:Q,9,0)</f>
        <v>ELESA</v>
      </c>
      <c r="G14" s="112" t="str">
        <f>VLOOKUP(C14,Purchased!A:Q,10,0)</f>
        <v>ELESA</v>
      </c>
      <c r="H14" s="112" t="str">
        <f>VLOOKUP(C14,Purchased!A:Q,12,0)</f>
        <v xml:space="preserve"> </v>
      </c>
      <c r="I14" s="113"/>
      <c r="J14" s="44">
        <f>VLOOKUP(C14,Purchased!A:Q,13,0)</f>
        <v>45125</v>
      </c>
      <c r="K14" s="44">
        <f>VLOOKUP(C14,Purchased!A:Q,14,0)</f>
        <v>45162</v>
      </c>
      <c r="L14" s="44">
        <f>VLOOKUP(C14,Purchased!A:Q,15,0)</f>
        <v>45184</v>
      </c>
      <c r="M14" s="44">
        <f>VLOOKUP(C14,Purchased!A:Q,16,0)</f>
        <v>45184</v>
      </c>
      <c r="N14" s="45">
        <f>VLOOKUP(C14,Purchased!A:Q,17,0)</f>
        <v>55036</v>
      </c>
      <c r="O14" s="45" t="e">
        <f t="shared" ca="1" si="2"/>
        <v>#VALUE!</v>
      </c>
      <c r="P14" s="49">
        <f>IFERROR(VLOOKUP(C14,Purchased!A:E,3,FALSE),"")</f>
        <v>5.05</v>
      </c>
      <c r="Q14" s="50">
        <f t="shared" si="3"/>
        <v>5.05</v>
      </c>
    </row>
    <row r="15" spans="1:17" s="2" customFormat="1" ht="12" customHeight="1">
      <c r="A15" s="4">
        <f t="shared" si="4"/>
        <v>305</v>
      </c>
      <c r="B15" s="2">
        <v>1</v>
      </c>
      <c r="C15" s="114" t="s">
        <v>492</v>
      </c>
      <c r="D15" s="268" t="str">
        <f>VLOOKUP(C15,Purchased!A:B,2,0)</f>
        <v>Ball Bearing Shielded, Trade No. 6901-2Z, for 12 mm Shaft Diameter</v>
      </c>
      <c r="E15" s="269"/>
      <c r="F15" s="112" t="str">
        <f>VLOOKUP(C15,Purchased!A:Q,9,0)</f>
        <v>MCM</v>
      </c>
      <c r="G15" s="112" t="str">
        <f>VLOOKUP(C15,Purchased!A:Q,10,0)</f>
        <v>MCM</v>
      </c>
      <c r="H15" s="112">
        <f>VLOOKUP(C15,Purchased!A:Q,12,0)</f>
        <v>0</v>
      </c>
      <c r="I15" s="113"/>
      <c r="J15" s="44" t="str">
        <f>VLOOKUP(C15,Purchased!A:Q,13,0)</f>
        <v>N/A</v>
      </c>
      <c r="K15" s="44">
        <f>VLOOKUP(C15,Purchased!A:Q,14,0)</f>
        <v>45162</v>
      </c>
      <c r="L15" s="44">
        <f>VLOOKUP(C15,Purchased!A:Q,15,0)</f>
        <v>45184</v>
      </c>
      <c r="M15" s="44">
        <f>VLOOKUP(C15,Purchased!A:Q,16,0)</f>
        <v>45166</v>
      </c>
      <c r="N15" s="45">
        <f>VLOOKUP(C15,Purchased!A:Q,17,0)</f>
        <v>55087</v>
      </c>
      <c r="O15" s="45" t="e">
        <f t="shared" ca="1" si="2"/>
        <v>#VALUE!</v>
      </c>
      <c r="P15" s="49">
        <f>IFERROR(VLOOKUP(C15,Purchased!A:E,3,FALSE),"")</f>
        <v>14.29</v>
      </c>
      <c r="Q15" s="50">
        <f t="shared" si="3"/>
        <v>14.29</v>
      </c>
    </row>
    <row r="16" spans="1:17" s="2" customFormat="1" ht="12" customHeight="1">
      <c r="A16" s="4">
        <f t="shared" si="4"/>
        <v>306</v>
      </c>
      <c r="B16" s="2">
        <v>1</v>
      </c>
      <c r="C16" s="114" t="s">
        <v>766</v>
      </c>
      <c r="D16" s="268" t="str">
        <f>VLOOKUP(C16,Purchased!A:B,2,0)</f>
        <v>ELESA DD51-AN-005.0-D-C1 Digital Position Indicator</v>
      </c>
      <c r="E16" s="269"/>
      <c r="F16" s="112" t="str">
        <f>VLOOKUP(C16,Purchased!A:Q,9,0)</f>
        <v>ELESA</v>
      </c>
      <c r="G16" s="112" t="str">
        <f>VLOOKUP(C16,Purchased!A:Q,10,0)</f>
        <v>ELESA</v>
      </c>
      <c r="H16" s="112">
        <f>VLOOKUP(C16,Purchased!A:Q,12,0)</f>
        <v>0</v>
      </c>
      <c r="I16" s="113"/>
      <c r="J16" s="44">
        <f>VLOOKUP(C16,Purchased!A:Q,13,0)</f>
        <v>45205</v>
      </c>
      <c r="K16" s="44">
        <f>VLOOKUP(C16,Purchased!A:Q,14,0)</f>
        <v>45205</v>
      </c>
      <c r="L16" s="44">
        <f>VLOOKUP(C16,Purchased!A:Q,15,0)</f>
        <v>45219</v>
      </c>
      <c r="M16" s="44">
        <f>VLOOKUP(C16,Purchased!A:Q,16,0)</f>
        <v>45225</v>
      </c>
      <c r="N16" s="45">
        <f>VLOOKUP(C16,Purchased!A:Q,17,0)</f>
        <v>55195</v>
      </c>
      <c r="O16" s="45" t="e">
        <f t="shared" ref="O16" ca="1" si="5">B16*$L$2</f>
        <v>#VALUE!</v>
      </c>
      <c r="P16" s="49">
        <f>IFERROR(VLOOKUP(C16,Purchased!A:E,3,FALSE),"")</f>
        <v>0</v>
      </c>
      <c r="Q16" s="50">
        <f t="shared" ref="Q16" si="6">IFERROR(B16*P16,"")</f>
        <v>0</v>
      </c>
    </row>
    <row r="17" spans="1:17" s="2" customFormat="1" ht="12.75" customHeight="1">
      <c r="A17" s="25"/>
      <c r="B17" s="26"/>
      <c r="C17" s="26"/>
      <c r="D17" s="272"/>
      <c r="E17" s="280"/>
      <c r="F17" s="26"/>
      <c r="G17" s="26"/>
      <c r="H17" s="274"/>
      <c r="I17" s="274"/>
      <c r="J17" s="27"/>
      <c r="K17" s="27"/>
      <c r="L17" s="27"/>
      <c r="M17" s="28"/>
      <c r="N17" s="29"/>
      <c r="O17" s="29" t="e">
        <f t="shared" ca="1" si="2"/>
        <v>#VALUE!</v>
      </c>
      <c r="P17" s="141"/>
      <c r="Q17" s="142"/>
    </row>
    <row r="18" spans="1:17" s="2" customFormat="1" ht="12.75" customHeight="1">
      <c r="A18" s="4">
        <v>501</v>
      </c>
      <c r="B18" s="2">
        <v>2</v>
      </c>
      <c r="C18" s="110" t="s">
        <v>493</v>
      </c>
      <c r="D18" s="268"/>
      <c r="E18" s="276"/>
      <c r="F18" s="112" t="str">
        <f>VLOOKUP(C18,Bolts!A:L,5,0)</f>
        <v xml:space="preserve">  </v>
      </c>
      <c r="G18" s="112" t="str">
        <f>VLOOKUP(C18,Bolts!A:L,6,0)</f>
        <v>Monroe Fasteners</v>
      </c>
      <c r="H18" s="112" t="str">
        <f>VLOOKUP(C18,Bolts!A:L,7,0)</f>
        <v xml:space="preserve">  </v>
      </c>
      <c r="I18" s="112"/>
      <c r="J18" s="44" t="str">
        <f>VLOOKUP(C18,Bolts!A:L,8,0)</f>
        <v xml:space="preserve"> </v>
      </c>
      <c r="K18" s="44" t="str">
        <f>VLOOKUP(C18,Bolts!A:L,9,0)</f>
        <v xml:space="preserve"> </v>
      </c>
      <c r="L18" s="44" t="str">
        <f>VLOOKUP(C18,Bolts!A:L,10,0)</f>
        <v xml:space="preserve"> </v>
      </c>
      <c r="M18" s="44" t="str">
        <f>VLOOKUP(C18,Bolts!A:L,11,0)</f>
        <v xml:space="preserve"> </v>
      </c>
      <c r="N18" s="45" t="str">
        <f>VLOOKUP(C18,Bolts!A:L,12,0)</f>
        <v xml:space="preserve"> </v>
      </c>
      <c r="O18" s="45" t="e">
        <f t="shared" ca="1" si="2"/>
        <v>#VALUE!</v>
      </c>
      <c r="P18" s="49" t="str">
        <f>IFERROR(VLOOKUP(C18,Bolts!A:B,2,FALSE),"")</f>
        <v xml:space="preserve"> </v>
      </c>
      <c r="Q18" s="50" t="str">
        <f t="shared" ref="Q18:Q19" si="7">IFERROR(B18*P18,"")</f>
        <v/>
      </c>
    </row>
    <row r="19" spans="1:17" s="2" customFormat="1" ht="12.75" customHeight="1" thickBot="1">
      <c r="A19" s="4">
        <f t="shared" ref="A19" si="8">A18+1</f>
        <v>502</v>
      </c>
      <c r="B19" s="2">
        <v>4</v>
      </c>
      <c r="C19" s="110" t="s">
        <v>267</v>
      </c>
      <c r="D19" s="268"/>
      <c r="E19" s="276"/>
      <c r="F19" s="112" t="str">
        <f>VLOOKUP(C19,Bolts!A:L,5,0)</f>
        <v xml:space="preserve">  </v>
      </c>
      <c r="G19" s="112" t="str">
        <f>VLOOKUP(C19,Bolts!A:L,6,0)</f>
        <v>Monroe Fasteners</v>
      </c>
      <c r="H19" s="112" t="str">
        <f>VLOOKUP(C19,Bolts!A:L,7,0)</f>
        <v xml:space="preserve">  </v>
      </c>
      <c r="I19" s="112"/>
      <c r="J19" s="44" t="str">
        <f>VLOOKUP(C19,Bolts!A:L,8,0)</f>
        <v xml:space="preserve"> </v>
      </c>
      <c r="K19" s="44" t="str">
        <f>VLOOKUP(C19,Bolts!A:L,9,0)</f>
        <v xml:space="preserve"> </v>
      </c>
      <c r="L19" s="44" t="str">
        <f>VLOOKUP(C19,Bolts!A:L,10,0)</f>
        <v xml:space="preserve"> </v>
      </c>
      <c r="M19" s="44" t="str">
        <f>VLOOKUP(C19,Bolts!A:L,11,0)</f>
        <v xml:space="preserve"> </v>
      </c>
      <c r="N19" s="45" t="str">
        <f>VLOOKUP(C19,Bolts!A:L,12,0)</f>
        <v xml:space="preserve"> </v>
      </c>
      <c r="O19" s="45" t="e">
        <f t="shared" ca="1" si="2"/>
        <v>#VALUE!</v>
      </c>
      <c r="P19" s="49" t="str">
        <f>IFERROR(VLOOKUP(C19,Bolts!A:B,2,FALSE),"")</f>
        <v xml:space="preserve"> </v>
      </c>
      <c r="Q19" s="50" t="str">
        <f t="shared" si="7"/>
        <v/>
      </c>
    </row>
    <row r="20" spans="1:17" s="2" customFormat="1" ht="12.75" customHeight="1" thickBot="1">
      <c r="A20" s="34"/>
      <c r="B20" s="35"/>
      <c r="C20" s="35"/>
      <c r="D20" s="256"/>
      <c r="E20" s="257"/>
      <c r="F20" s="35"/>
      <c r="G20" s="35"/>
      <c r="H20" s="294"/>
      <c r="I20" s="295"/>
      <c r="J20" s="36"/>
      <c r="K20" s="36"/>
      <c r="L20" s="36"/>
      <c r="M20" s="37"/>
      <c r="N20" s="38"/>
      <c r="O20" s="38"/>
      <c r="P20" s="89" t="s">
        <v>43</v>
      </c>
      <c r="Q20" s="94">
        <f>SUM(Q5:Q19)</f>
        <v>286.66000000000003</v>
      </c>
    </row>
    <row r="21" spans="1:17" s="2" customFormat="1" ht="12" customHeight="1">
      <c r="D21" s="22"/>
      <c r="E21" s="22"/>
      <c r="J21" s="8"/>
      <c r="K21" s="8"/>
      <c r="L21" s="8"/>
      <c r="M21" s="8"/>
      <c r="N21" s="5"/>
      <c r="O21" s="5"/>
      <c r="P21" s="88"/>
      <c r="Q21" s="95"/>
    </row>
    <row r="22" spans="1:17" s="2" customFormat="1" ht="12" customHeight="1">
      <c r="D22" s="22"/>
      <c r="E22" s="22"/>
      <c r="J22" s="5"/>
      <c r="K22" s="5"/>
      <c r="L22" s="5"/>
      <c r="M22" s="5"/>
      <c r="N22" s="5"/>
      <c r="O22" s="5"/>
      <c r="P22" s="88"/>
      <c r="Q22" s="95"/>
    </row>
    <row r="23" spans="1:17" s="2" customFormat="1" ht="12" customHeight="1">
      <c r="D23" s="22"/>
      <c r="E23" s="22"/>
      <c r="J23" s="5"/>
      <c r="K23" s="5"/>
      <c r="L23" s="5"/>
      <c r="M23" s="5"/>
      <c r="N23" s="5"/>
      <c r="O23" s="5"/>
      <c r="P23" s="88"/>
      <c r="Q23" s="95"/>
    </row>
    <row r="24" spans="1:17" s="2" customFormat="1" ht="12" customHeight="1">
      <c r="D24" s="22"/>
      <c r="E24" s="22"/>
      <c r="J24" s="5"/>
      <c r="K24" s="5"/>
      <c r="L24" s="5"/>
      <c r="M24" s="5"/>
      <c r="N24" s="5"/>
      <c r="O24" s="5"/>
      <c r="P24" s="88"/>
      <c r="Q24" s="95"/>
    </row>
    <row r="25" spans="1:17" s="2" customFormat="1" ht="12" customHeight="1">
      <c r="D25" s="22"/>
      <c r="E25" s="22"/>
      <c r="J25" s="5"/>
      <c r="K25" s="5"/>
      <c r="L25" s="5"/>
      <c r="M25" s="5"/>
      <c r="N25" s="5"/>
      <c r="O25" s="5"/>
      <c r="P25" s="88"/>
      <c r="Q25" s="95"/>
    </row>
    <row r="26" spans="1:17" s="2" customFormat="1" ht="12" customHeight="1">
      <c r="D26" s="22"/>
      <c r="E26" s="22"/>
      <c r="J26" s="5"/>
      <c r="K26" s="5"/>
      <c r="L26" s="5"/>
      <c r="M26" s="5"/>
      <c r="N26" s="5"/>
      <c r="O26" s="5"/>
      <c r="P26" s="88"/>
      <c r="Q26" s="95"/>
    </row>
    <row r="27" spans="1:17" s="2" customFormat="1" ht="12" customHeight="1">
      <c r="D27" s="22"/>
      <c r="E27" s="22"/>
      <c r="J27" s="5"/>
      <c r="K27" s="5"/>
      <c r="L27" s="5"/>
      <c r="M27" s="5"/>
      <c r="N27" s="5"/>
      <c r="O27" s="5"/>
      <c r="P27" s="88"/>
      <c r="Q27" s="95"/>
    </row>
    <row r="28" spans="1:17" s="2" customFormat="1" ht="12" customHeight="1">
      <c r="D28" s="22"/>
      <c r="E28" s="22"/>
      <c r="J28" s="5"/>
      <c r="K28" s="5"/>
      <c r="L28" s="5"/>
      <c r="M28" s="5"/>
      <c r="N28" s="5"/>
      <c r="O28" s="5"/>
      <c r="P28" s="88"/>
      <c r="Q28" s="95"/>
    </row>
    <row r="29" spans="1:17" s="2" customFormat="1" ht="12" customHeight="1">
      <c r="D29" s="22"/>
      <c r="E29" s="22"/>
      <c r="J29" s="5"/>
      <c r="K29" s="5"/>
      <c r="L29" s="5"/>
      <c r="M29" s="5"/>
      <c r="N29" s="5"/>
      <c r="O29" s="5"/>
      <c r="P29" s="88"/>
      <c r="Q29" s="95"/>
    </row>
    <row r="30" spans="1:17" s="2" customFormat="1" ht="12" customHeight="1">
      <c r="D30" s="22"/>
      <c r="E30" s="22"/>
      <c r="J30" s="5"/>
      <c r="K30" s="5"/>
      <c r="L30" s="5"/>
      <c r="M30" s="5"/>
      <c r="N30" s="5"/>
      <c r="O30" s="5"/>
      <c r="P30" s="88"/>
      <c r="Q30" s="95"/>
    </row>
    <row r="31" spans="1:17" s="2" customFormat="1" ht="12" customHeight="1">
      <c r="D31" s="22"/>
      <c r="E31" s="22"/>
      <c r="J31" s="5"/>
      <c r="K31" s="5"/>
      <c r="L31" s="5"/>
      <c r="M31" s="5"/>
      <c r="N31" s="5"/>
      <c r="O31" s="5"/>
      <c r="P31" s="88"/>
      <c r="Q31" s="95"/>
    </row>
    <row r="32" spans="1:17" s="2" customFormat="1" ht="12" customHeight="1">
      <c r="D32" s="22"/>
      <c r="E32" s="22"/>
      <c r="J32" s="5"/>
      <c r="K32" s="5"/>
      <c r="L32" s="5"/>
      <c r="M32" s="5"/>
      <c r="N32" s="5"/>
      <c r="O32" s="5"/>
      <c r="P32" s="88"/>
      <c r="Q32" s="95"/>
    </row>
    <row r="33" spans="4:17" s="2" customFormat="1" ht="12" customHeight="1">
      <c r="D33" s="22"/>
      <c r="E33" s="22"/>
      <c r="J33" s="5"/>
      <c r="K33" s="5"/>
      <c r="L33" s="5"/>
      <c r="M33" s="5"/>
      <c r="N33" s="5"/>
      <c r="O33" s="5"/>
      <c r="P33" s="88"/>
      <c r="Q33" s="95"/>
    </row>
    <row r="34" spans="4:17" s="2" customFormat="1" ht="12" customHeight="1">
      <c r="D34" s="22"/>
      <c r="E34" s="22"/>
      <c r="J34" s="5"/>
      <c r="K34" s="5"/>
      <c r="L34" s="5"/>
      <c r="M34" s="5"/>
      <c r="N34" s="5"/>
      <c r="O34" s="5"/>
      <c r="P34" s="88"/>
      <c r="Q34" s="95"/>
    </row>
    <row r="35" spans="4:17" s="2" customFormat="1" ht="12" customHeight="1">
      <c r="D35" s="22"/>
      <c r="E35" s="22"/>
      <c r="J35" s="5"/>
      <c r="K35" s="5"/>
      <c r="L35" s="5"/>
      <c r="M35" s="5"/>
      <c r="N35" s="5"/>
      <c r="O35" s="5"/>
      <c r="P35" s="88"/>
      <c r="Q35" s="95"/>
    </row>
    <row r="36" spans="4:17" s="2" customFormat="1" ht="12" customHeight="1">
      <c r="D36" s="22"/>
      <c r="E36" s="22"/>
      <c r="J36" s="5"/>
      <c r="K36" s="5"/>
      <c r="L36" s="5"/>
      <c r="M36" s="5"/>
      <c r="N36" s="5"/>
      <c r="O36" s="5"/>
      <c r="P36" s="88"/>
      <c r="Q36" s="95"/>
    </row>
    <row r="37" spans="4:17" s="2" customFormat="1" ht="12" customHeight="1">
      <c r="D37" s="22"/>
      <c r="E37" s="22"/>
      <c r="J37" s="5"/>
      <c r="K37" s="5"/>
      <c r="L37" s="5"/>
      <c r="M37" s="5"/>
      <c r="N37" s="5"/>
      <c r="O37" s="5"/>
      <c r="P37" s="88"/>
      <c r="Q37" s="95"/>
    </row>
    <row r="38" spans="4:17" s="2" customFormat="1" ht="12" customHeight="1">
      <c r="D38" s="22"/>
      <c r="E38" s="22"/>
      <c r="J38" s="5"/>
      <c r="K38" s="5"/>
      <c r="L38" s="5"/>
      <c r="M38" s="5"/>
      <c r="N38" s="5"/>
      <c r="O38" s="5"/>
      <c r="P38" s="88"/>
      <c r="Q38" s="95"/>
    </row>
    <row r="39" spans="4:17" s="2" customFormat="1" ht="12" customHeight="1">
      <c r="D39" s="22"/>
      <c r="E39" s="22"/>
      <c r="J39" s="5"/>
      <c r="K39" s="5"/>
      <c r="L39" s="5"/>
      <c r="M39" s="5"/>
      <c r="N39" s="5"/>
      <c r="O39" s="5"/>
      <c r="P39" s="88"/>
      <c r="Q39" s="95"/>
    </row>
    <row r="40" spans="4:17" s="2" customFormat="1" ht="12" customHeight="1">
      <c r="D40" s="22"/>
      <c r="E40" s="22"/>
      <c r="J40" s="5"/>
      <c r="K40" s="5"/>
      <c r="L40" s="5"/>
      <c r="M40" s="5"/>
      <c r="N40" s="5"/>
      <c r="O40" s="5"/>
      <c r="P40" s="88"/>
      <c r="Q40" s="95"/>
    </row>
    <row r="41" spans="4:17" s="2" customFormat="1" ht="12" customHeight="1">
      <c r="D41" s="22"/>
      <c r="E41" s="22"/>
      <c r="J41" s="5"/>
      <c r="K41" s="5"/>
      <c r="L41" s="5"/>
      <c r="M41" s="5"/>
      <c r="N41" s="5"/>
      <c r="O41" s="5"/>
      <c r="P41" s="88"/>
      <c r="Q41" s="95"/>
    </row>
    <row r="42" spans="4:17" s="2" customFormat="1" ht="12" customHeight="1">
      <c r="D42" s="22"/>
      <c r="E42" s="22"/>
      <c r="J42" s="5"/>
      <c r="K42" s="5"/>
      <c r="L42" s="5"/>
      <c r="M42" s="5"/>
      <c r="N42" s="5"/>
      <c r="O42" s="5"/>
      <c r="P42" s="88"/>
      <c r="Q42" s="95"/>
    </row>
    <row r="43" spans="4:17" s="2" customFormat="1" ht="12" customHeight="1">
      <c r="D43" s="22"/>
      <c r="E43" s="22"/>
      <c r="J43" s="5"/>
      <c r="K43" s="5"/>
      <c r="L43" s="5"/>
      <c r="M43" s="5"/>
      <c r="N43" s="5"/>
      <c r="O43" s="5"/>
      <c r="P43" s="88"/>
      <c r="Q43" s="95"/>
    </row>
    <row r="44" spans="4:17" s="2" customFormat="1" ht="12" customHeight="1">
      <c r="D44" s="22"/>
      <c r="E44" s="22"/>
      <c r="J44" s="5"/>
      <c r="K44" s="5"/>
      <c r="L44" s="5"/>
      <c r="M44" s="5"/>
      <c r="N44" s="5"/>
      <c r="O44" s="5"/>
      <c r="P44" s="88"/>
      <c r="Q44" s="95"/>
    </row>
    <row r="45" spans="4:17" s="2" customFormat="1" ht="12" customHeight="1">
      <c r="D45" s="22"/>
      <c r="E45" s="22"/>
      <c r="J45" s="5"/>
      <c r="K45" s="5"/>
      <c r="L45" s="5"/>
      <c r="M45" s="5"/>
      <c r="N45" s="5"/>
      <c r="O45" s="5"/>
      <c r="P45" s="88"/>
      <c r="Q45" s="95"/>
    </row>
    <row r="46" spans="4:17" s="2" customFormat="1" ht="12" customHeight="1">
      <c r="D46" s="22"/>
      <c r="E46" s="22"/>
      <c r="J46" s="5"/>
      <c r="K46" s="5"/>
      <c r="L46" s="5"/>
      <c r="M46" s="5"/>
      <c r="N46" s="5"/>
      <c r="O46" s="5"/>
      <c r="P46" s="88"/>
      <c r="Q46" s="95"/>
    </row>
    <row r="47" spans="4:17" s="2" customFormat="1" ht="12" customHeight="1">
      <c r="D47" s="22"/>
      <c r="E47" s="22"/>
      <c r="J47" s="5"/>
      <c r="K47" s="5"/>
      <c r="L47" s="5"/>
      <c r="M47" s="5"/>
      <c r="N47" s="5"/>
      <c r="O47" s="5"/>
      <c r="P47" s="88"/>
      <c r="Q47" s="95"/>
    </row>
    <row r="48" spans="4:17" s="2" customFormat="1" ht="12" customHeight="1">
      <c r="D48" s="22"/>
      <c r="E48" s="22"/>
      <c r="J48" s="5"/>
      <c r="K48" s="5"/>
      <c r="L48" s="5"/>
      <c r="M48" s="5"/>
      <c r="N48" s="5"/>
      <c r="O48" s="5"/>
      <c r="P48" s="88"/>
      <c r="Q48" s="95"/>
    </row>
    <row r="49" spans="1:17" s="2" customFormat="1" ht="12" customHeight="1">
      <c r="D49" s="22"/>
      <c r="E49" s="22"/>
      <c r="J49" s="5"/>
      <c r="K49" s="5"/>
      <c r="L49" s="5"/>
      <c r="M49" s="5"/>
      <c r="N49" s="5"/>
      <c r="O49" s="5"/>
      <c r="P49" s="88"/>
      <c r="Q49" s="95"/>
    </row>
    <row r="50" spans="1:17" s="2" customFormat="1" ht="12" customHeight="1">
      <c r="D50" s="22"/>
      <c r="E50" s="22"/>
      <c r="J50" s="5"/>
      <c r="K50" s="5"/>
      <c r="L50" s="5"/>
      <c r="M50" s="5"/>
      <c r="N50" s="5"/>
      <c r="O50" s="5"/>
      <c r="P50" s="88"/>
      <c r="Q50" s="95"/>
    </row>
    <row r="51" spans="1:17" s="2" customFormat="1" ht="12" customHeight="1">
      <c r="D51" s="22"/>
      <c r="E51" s="22"/>
      <c r="J51" s="5"/>
      <c r="K51" s="5"/>
      <c r="L51" s="5"/>
      <c r="M51" s="5"/>
      <c r="N51" s="5"/>
      <c r="O51" s="5"/>
      <c r="P51" s="88"/>
      <c r="Q51" s="95"/>
    </row>
    <row r="52" spans="1:17" s="2" customFormat="1" ht="12" customHeight="1">
      <c r="D52" s="22"/>
      <c r="E52" s="22"/>
      <c r="J52" s="5"/>
      <c r="K52" s="5"/>
      <c r="L52" s="5"/>
      <c r="M52" s="5"/>
      <c r="N52" s="5"/>
      <c r="O52" s="5"/>
      <c r="P52" s="88"/>
      <c r="Q52" s="95"/>
    </row>
    <row r="53" spans="1:17" s="2" customFormat="1" ht="12" customHeight="1">
      <c r="D53" s="22"/>
      <c r="E53" s="22"/>
      <c r="J53" s="5"/>
      <c r="K53" s="5"/>
      <c r="L53" s="5"/>
      <c r="M53" s="5"/>
      <c r="N53" s="5"/>
      <c r="O53" s="5"/>
      <c r="P53" s="88"/>
      <c r="Q53" s="95"/>
    </row>
    <row r="54" spans="1:17" s="2" customFormat="1" ht="12" customHeight="1">
      <c r="D54" s="22"/>
      <c r="E54" s="22"/>
      <c r="J54" s="5"/>
      <c r="K54" s="5"/>
      <c r="L54" s="5"/>
      <c r="M54" s="5"/>
      <c r="N54" s="5"/>
      <c r="O54" s="5"/>
      <c r="P54" s="88"/>
      <c r="Q54" s="95"/>
    </row>
    <row r="55" spans="1:17" s="2" customFormat="1" ht="12" customHeight="1">
      <c r="D55" s="22"/>
      <c r="E55" s="22"/>
      <c r="J55" s="5"/>
      <c r="K55" s="5"/>
      <c r="L55" s="5"/>
      <c r="M55" s="5"/>
      <c r="N55" s="5"/>
      <c r="O55" s="5"/>
      <c r="P55" s="88"/>
      <c r="Q55" s="95"/>
    </row>
    <row r="56" spans="1:17" s="2" customFormat="1" ht="12" customHeight="1">
      <c r="D56" s="22"/>
      <c r="E56" s="22"/>
      <c r="J56" s="5"/>
      <c r="K56" s="5"/>
      <c r="L56" s="5"/>
      <c r="M56" s="5"/>
      <c r="N56" s="5"/>
      <c r="O56" s="5"/>
      <c r="P56" s="88"/>
      <c r="Q56" s="95"/>
    </row>
    <row r="57" spans="1:17" s="2" customFormat="1" ht="12" customHeight="1">
      <c r="D57" s="22"/>
      <c r="E57" s="22"/>
      <c r="J57" s="5"/>
      <c r="K57" s="5"/>
      <c r="L57" s="5"/>
      <c r="M57" s="5"/>
      <c r="N57" s="5"/>
      <c r="O57" s="5"/>
      <c r="P57" s="88"/>
      <c r="Q57" s="95"/>
    </row>
    <row r="58" spans="1:17" s="2" customFormat="1" ht="12" customHeight="1">
      <c r="D58" s="22"/>
      <c r="E58" s="22"/>
      <c r="J58" s="5"/>
      <c r="K58" s="5"/>
      <c r="L58" s="5"/>
      <c r="M58" s="5"/>
      <c r="N58" s="5"/>
      <c r="O58" s="5"/>
      <c r="P58" s="88"/>
      <c r="Q58" s="95"/>
    </row>
    <row r="59" spans="1:17" s="2" customFormat="1" ht="12" customHeight="1">
      <c r="D59" s="22"/>
      <c r="E59" s="22"/>
      <c r="J59" s="5"/>
      <c r="K59" s="5"/>
      <c r="L59" s="5"/>
      <c r="M59" s="5"/>
      <c r="N59" s="5"/>
      <c r="O59" s="5"/>
      <c r="P59" s="88"/>
      <c r="Q59" s="96"/>
    </row>
    <row r="60" spans="1:17" s="2" customFormat="1" ht="12" customHeight="1">
      <c r="D60" s="22"/>
      <c r="E60" s="22"/>
      <c r="J60" s="5"/>
      <c r="K60" s="5"/>
      <c r="L60" s="5"/>
      <c r="M60" s="5"/>
      <c r="N60" s="5"/>
      <c r="O60" s="5"/>
      <c r="P60" s="88"/>
      <c r="Q60" s="96"/>
    </row>
    <row r="61" spans="1:17" s="2" customFormat="1" ht="12" customHeight="1">
      <c r="D61" s="22"/>
      <c r="E61" s="22"/>
      <c r="J61" s="5"/>
      <c r="K61" s="5"/>
      <c r="L61" s="5"/>
      <c r="M61" s="5"/>
      <c r="N61" s="5"/>
      <c r="O61" s="5"/>
      <c r="P61" s="88"/>
      <c r="Q61" s="96"/>
    </row>
    <row r="62" spans="1:17" s="2" customFormat="1" ht="12" customHeight="1">
      <c r="D62" s="22"/>
      <c r="E62" s="22"/>
      <c r="J62" s="5"/>
      <c r="K62" s="5"/>
      <c r="L62" s="5"/>
      <c r="M62" s="5"/>
      <c r="N62" s="5"/>
      <c r="O62" s="5"/>
      <c r="P62" s="88"/>
      <c r="Q62" s="96"/>
    </row>
    <row r="63" spans="1:17" s="2" customFormat="1" ht="12" customHeight="1">
      <c r="A63"/>
      <c r="B63"/>
      <c r="C63"/>
      <c r="D63" s="23"/>
      <c r="E63" s="23"/>
      <c r="F63"/>
      <c r="G63"/>
      <c r="H63"/>
      <c r="I63"/>
      <c r="J63" s="19"/>
      <c r="K63" s="19"/>
      <c r="L63" s="19"/>
      <c r="M63" s="19"/>
      <c r="N63" s="19"/>
      <c r="O63" s="19"/>
      <c r="P63" s="90"/>
      <c r="Q63" s="96"/>
    </row>
    <row r="64" spans="1:17" s="2" customFormat="1" ht="12" customHeight="1">
      <c r="A64"/>
      <c r="B64"/>
      <c r="C64"/>
      <c r="D64" s="23"/>
      <c r="E64" s="23"/>
      <c r="F64"/>
      <c r="G64"/>
      <c r="H64"/>
      <c r="I64"/>
      <c r="J64" s="19"/>
      <c r="K64" s="19"/>
      <c r="L64" s="19"/>
      <c r="M64" s="19"/>
      <c r="N64" s="19"/>
      <c r="O64" s="19"/>
      <c r="P64" s="90"/>
      <c r="Q64" s="96"/>
    </row>
    <row r="65" spans="1:17" s="2" customFormat="1" ht="12" customHeight="1">
      <c r="A65"/>
      <c r="B65"/>
      <c r="C65"/>
      <c r="D65" s="23"/>
      <c r="E65" s="23"/>
      <c r="F65"/>
      <c r="G65"/>
      <c r="H65"/>
      <c r="I65"/>
      <c r="J65" s="19"/>
      <c r="K65" s="19"/>
      <c r="L65" s="19"/>
      <c r="M65" s="19"/>
      <c r="N65" s="19"/>
      <c r="O65" s="19"/>
      <c r="P65" s="90"/>
      <c r="Q65" s="96"/>
    </row>
    <row r="66" spans="1:17" s="2" customFormat="1" ht="12" customHeight="1">
      <c r="A66"/>
      <c r="B66"/>
      <c r="C66"/>
      <c r="D66" s="23"/>
      <c r="E66" s="23"/>
      <c r="F66"/>
      <c r="G66"/>
      <c r="H66"/>
      <c r="I66"/>
      <c r="J66" s="19"/>
      <c r="K66" s="19"/>
      <c r="L66" s="19"/>
      <c r="M66" s="19"/>
      <c r="N66" s="19"/>
      <c r="O66" s="19"/>
      <c r="P66" s="90"/>
      <c r="Q66" s="96"/>
    </row>
    <row r="67" spans="1:17" s="2" customFormat="1" ht="12" customHeight="1">
      <c r="A67"/>
      <c r="B67"/>
      <c r="C67"/>
      <c r="D67" s="23"/>
      <c r="E67" s="23"/>
      <c r="F67"/>
      <c r="G67"/>
      <c r="H67"/>
      <c r="I67"/>
      <c r="J67" s="19"/>
      <c r="K67" s="19"/>
      <c r="L67" s="19"/>
      <c r="M67" s="19"/>
      <c r="N67" s="19"/>
      <c r="O67" s="19"/>
      <c r="P67" s="90"/>
      <c r="Q67" s="96"/>
    </row>
    <row r="68" spans="1:17">
      <c r="Q68" s="96"/>
    </row>
    <row r="69" spans="1:17">
      <c r="Q69" s="96"/>
    </row>
    <row r="70" spans="1:17">
      <c r="Q70" s="96"/>
    </row>
    <row r="71" spans="1:17">
      <c r="Q71" s="96"/>
    </row>
    <row r="72" spans="1:17">
      <c r="Q72" s="96"/>
    </row>
    <row r="73" spans="1:17">
      <c r="Q73" s="96"/>
    </row>
    <row r="74" spans="1:17">
      <c r="Q74" s="96"/>
    </row>
    <row r="75" spans="1:17">
      <c r="Q75" s="96"/>
    </row>
    <row r="76" spans="1:17">
      <c r="Q76" s="96"/>
    </row>
    <row r="77" spans="1:17">
      <c r="Q77" s="96"/>
    </row>
    <row r="78" spans="1:17">
      <c r="Q78" s="96"/>
    </row>
    <row r="79" spans="1:17">
      <c r="Q79" s="96"/>
    </row>
    <row r="80" spans="1:17">
      <c r="Q80" s="96"/>
    </row>
    <row r="81" spans="17:17">
      <c r="Q81" s="96"/>
    </row>
    <row r="82" spans="17:17">
      <c r="Q82" s="96"/>
    </row>
    <row r="83" spans="17:17">
      <c r="Q83" s="96"/>
    </row>
    <row r="84" spans="17:17">
      <c r="Q84" s="96"/>
    </row>
    <row r="85" spans="17:17">
      <c r="Q85" s="96"/>
    </row>
    <row r="86" spans="17:17">
      <c r="Q86" s="96"/>
    </row>
    <row r="87" spans="17:17">
      <c r="Q87" s="96"/>
    </row>
    <row r="124" ht="12" customHeight="1"/>
    <row r="125" ht="12" customHeight="1"/>
    <row r="126" ht="12" customHeight="1"/>
    <row r="127" ht="12" customHeight="1"/>
    <row r="128" ht="12" customHeight="1"/>
    <row r="129" ht="12" customHeight="1"/>
    <row r="130" ht="12" customHeight="1"/>
    <row r="131" ht="12" customHeight="1"/>
    <row r="132" ht="12" customHeight="1"/>
    <row r="133" ht="12" customHeight="1"/>
    <row r="134" ht="12" customHeight="1"/>
    <row r="135" ht="12" customHeight="1"/>
    <row r="136" ht="12" customHeight="1"/>
    <row r="137" ht="12" customHeight="1"/>
    <row r="138" ht="12" customHeight="1"/>
    <row r="139" ht="12" customHeight="1"/>
    <row r="140" ht="12" customHeight="1"/>
    <row r="141" ht="12" customHeight="1"/>
    <row r="142" ht="12" customHeight="1"/>
    <row r="143" ht="12" customHeight="1"/>
    <row r="144" ht="12" customHeight="1"/>
    <row r="145" ht="12" customHeight="1"/>
    <row r="146" ht="12" customHeight="1"/>
    <row r="147" ht="12" customHeight="1"/>
    <row r="148" ht="12" customHeight="1"/>
    <row r="149" ht="12" customHeight="1"/>
    <row r="150" ht="12" customHeight="1"/>
    <row r="151" ht="12" customHeight="1"/>
    <row r="152" ht="12" customHeight="1"/>
    <row r="153" ht="12" customHeight="1"/>
    <row r="154" ht="12" customHeight="1"/>
    <row r="155" ht="12" customHeight="1"/>
    <row r="156" ht="12" customHeight="1"/>
    <row r="157" ht="12" customHeight="1"/>
    <row r="158" ht="12" customHeight="1"/>
    <row r="159" ht="12" customHeight="1"/>
    <row r="160" ht="12" customHeight="1"/>
    <row r="161" ht="12" customHeight="1"/>
    <row r="162" ht="12" customHeight="1"/>
    <row r="163" ht="12" customHeight="1"/>
    <row r="164" ht="12" customHeight="1"/>
    <row r="165" ht="12" customHeight="1"/>
    <row r="166" ht="12" customHeight="1"/>
    <row r="167" ht="12" customHeight="1"/>
    <row r="168" ht="12" customHeight="1"/>
    <row r="169" ht="12" customHeight="1"/>
    <row r="170" ht="12" customHeight="1"/>
    <row r="171" ht="12" customHeight="1"/>
    <row r="172" ht="12" customHeight="1"/>
    <row r="173" ht="12" customHeight="1"/>
  </sheetData>
  <mergeCells count="22">
    <mergeCell ref="D20:E20"/>
    <mergeCell ref="H20:I20"/>
    <mergeCell ref="H17:I17"/>
    <mergeCell ref="D18:E18"/>
    <mergeCell ref="D19:E19"/>
    <mergeCell ref="D17:E17"/>
    <mergeCell ref="D16:E16"/>
    <mergeCell ref="D1:E1"/>
    <mergeCell ref="D4:E4"/>
    <mergeCell ref="H4:I4"/>
    <mergeCell ref="D5:E5"/>
    <mergeCell ref="D6:E6"/>
    <mergeCell ref="D7:E7"/>
    <mergeCell ref="D8:E8"/>
    <mergeCell ref="D9:E9"/>
    <mergeCell ref="D10:E10"/>
    <mergeCell ref="H10:I10"/>
    <mergeCell ref="D11:E11"/>
    <mergeCell ref="D12:E12"/>
    <mergeCell ref="D13:E13"/>
    <mergeCell ref="D14:E14"/>
    <mergeCell ref="D15:E15"/>
  </mergeCells>
  <conditionalFormatting sqref="M5:M9">
    <cfRule type="cellIs" dxfId="408" priority="1" stopIfTrue="1" operator="lessThanOrEqual">
      <formula>$L5</formula>
    </cfRule>
    <cfRule type="cellIs" dxfId="407" priority="2" operator="greaterThan">
      <formula>L5</formula>
    </cfRule>
  </conditionalFormatting>
  <conditionalFormatting sqref="M11:M16 M18:M19">
    <cfRule type="cellIs" dxfId="406" priority="3" stopIfTrue="1" operator="lessThanOrEqual">
      <formula>$L11</formula>
    </cfRule>
    <cfRule type="cellIs" dxfId="405" priority="4" operator="greaterThan">
      <formula>L11</formula>
    </cfRule>
  </conditionalFormatting>
  <pageMargins left="0.7" right="0.7" top="0.75" bottom="0.75" header="0.3" footer="0.3"/>
  <pageSetup paperSize="3" fitToHeight="0" orientation="landscape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DDF5DF2-AC44-4101-BCE4-892553233CE7}">
          <x14:formula1>
            <xm:f>Bolts!$A:$A</xm:f>
          </x14:formula1>
          <xm:sqref>C18:C19</xm:sqref>
        </x14:dataValidation>
        <x14:dataValidation type="list" allowBlank="1" showInputMessage="1" showErrorMessage="1" xr:uid="{E8688039-7BE4-48E8-9044-8CB8821B4AF2}">
          <x14:formula1>
            <xm:f>Purchased!$A:$A</xm:f>
          </x14:formula1>
          <xm:sqref>C11:C16</xm:sqref>
        </x14:dataValidation>
        <x14:dataValidation type="list" allowBlank="1" showInputMessage="1" showErrorMessage="1" xr:uid="{5936A7A3-A3DA-4ACF-B0D9-35F8BD8CEF78}">
          <x14:formula1>
            <xm:f>Machined!$C:$C</xm:f>
          </x14:formula1>
          <xm:sqref>C5:C9</xm:sqref>
        </x14:dataValidation>
      </x14:dataValidations>
    </ext>
  </extLst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8C111A-D24F-4FCC-8183-98D4F61B0D66}">
  <sheetPr codeName="Sheet65">
    <tabColor theme="3" tint="0.59999389629810485"/>
    <pageSetUpPr fitToPage="1"/>
  </sheetPr>
  <dimension ref="A1:Q172"/>
  <sheetViews>
    <sheetView zoomScaleNormal="100" workbookViewId="0">
      <selection activeCell="C15" sqref="C15"/>
    </sheetView>
  </sheetViews>
  <sheetFormatPr defaultColWidth="9.140625" defaultRowHeight="15"/>
  <cols>
    <col min="1" max="1" width="5.7109375" customWidth="1"/>
    <col min="2" max="2" width="5.42578125" bestFit="1" customWidth="1"/>
    <col min="3" max="3" width="30.7109375" customWidth="1"/>
    <col min="4" max="5" width="20.7109375" style="23" customWidth="1"/>
    <col min="6" max="6" width="16.85546875" bestFit="1" customWidth="1"/>
    <col min="7" max="7" width="9.7109375" customWidth="1"/>
    <col min="8" max="8" width="8.7109375" customWidth="1"/>
    <col min="9" max="9" width="20.7109375" customWidth="1"/>
    <col min="10" max="13" width="11.7109375" style="19" customWidth="1"/>
    <col min="14" max="14" width="11.85546875" style="19" bestFit="1" customWidth="1"/>
    <col min="15" max="15" width="7.7109375" style="19" customWidth="1"/>
    <col min="16" max="16" width="10.7109375" style="90" customWidth="1"/>
    <col min="17" max="17" width="10.7109375" style="97" customWidth="1"/>
  </cols>
  <sheetData>
    <row r="1" spans="1:17" s="55" customFormat="1" ht="12" customHeight="1">
      <c r="A1" s="68" t="s">
        <v>0</v>
      </c>
      <c r="B1" s="69"/>
      <c r="C1" s="69"/>
      <c r="D1" s="262" t="s">
        <v>1</v>
      </c>
      <c r="E1" s="263"/>
      <c r="F1" s="70"/>
      <c r="G1" s="69"/>
      <c r="H1" s="70"/>
      <c r="I1" s="71"/>
      <c r="J1" s="72"/>
      <c r="K1" s="72"/>
      <c r="L1" s="72"/>
      <c r="M1" s="72"/>
      <c r="N1" s="72"/>
      <c r="O1" s="72"/>
      <c r="P1" s="85"/>
      <c r="Q1" s="91"/>
    </row>
    <row r="2" spans="1:17" s="55" customFormat="1" ht="12" customHeight="1">
      <c r="A2" s="74" t="s">
        <v>48</v>
      </c>
      <c r="B2" s="58"/>
      <c r="C2" s="57" t="e">
        <f ca="1">VLOOKUP(E3,Assemblies!B:F,4,0)</f>
        <v>#VALUE!</v>
      </c>
      <c r="D2" s="75" t="s">
        <v>3</v>
      </c>
      <c r="E2" s="76" t="e">
        <f ca="1">'GF12'!E2</f>
        <v>#VALUE!</v>
      </c>
      <c r="F2" s="77" t="s">
        <v>4</v>
      </c>
      <c r="G2" s="58" t="str">
        <f>'GF12'!G2</f>
        <v>GH</v>
      </c>
      <c r="H2" s="77" t="s">
        <v>6</v>
      </c>
      <c r="I2" s="59">
        <f>'GF12'!I2</f>
        <v>44775</v>
      </c>
      <c r="J2" s="39"/>
      <c r="K2" s="40" t="s">
        <v>49</v>
      </c>
      <c r="L2" s="41" t="e">
        <f ca="1">VLOOKUP(C2,Assemblies!E:G,3,0)</f>
        <v>#VALUE!</v>
      </c>
      <c r="M2" s="78"/>
      <c r="N2" s="78"/>
      <c r="O2" s="78"/>
      <c r="P2" s="86"/>
      <c r="Q2" s="92"/>
    </row>
    <row r="3" spans="1:17" s="55" customFormat="1" ht="12" customHeight="1" thickBot="1">
      <c r="A3" s="74" t="s">
        <v>7</v>
      </c>
      <c r="B3" s="58"/>
      <c r="C3" s="57" t="e">
        <f ca="1">VLOOKUP(E3,Assemblies!B:F,5,0)</f>
        <v>#VALUE!</v>
      </c>
      <c r="D3" s="75" t="s">
        <v>50</v>
      </c>
      <c r="E3" s="76" t="e">
        <f ca="1">MID(CELL("filename",A1),FIND("]",CELL("filename",A1))+1,256)</f>
        <v>#VALUE!</v>
      </c>
      <c r="F3" s="77" t="s">
        <v>11</v>
      </c>
      <c r="G3" s="58" t="str">
        <f>'GF12'!G3</f>
        <v>GH</v>
      </c>
      <c r="H3" s="77" t="s">
        <v>6</v>
      </c>
      <c r="I3" s="59">
        <f>'GF12'!I3</f>
        <v>44775</v>
      </c>
      <c r="J3" s="78"/>
      <c r="K3" s="78"/>
      <c r="L3" s="78"/>
      <c r="M3" s="78"/>
      <c r="N3" s="78"/>
      <c r="O3" s="78"/>
      <c r="P3" s="86"/>
      <c r="Q3" s="92"/>
    </row>
    <row r="4" spans="1:17" s="56" customFormat="1" ht="12.75" customHeight="1" thickBot="1">
      <c r="A4" s="80" t="s">
        <v>12</v>
      </c>
      <c r="B4" s="81" t="s">
        <v>13</v>
      </c>
      <c r="C4" s="81" t="s">
        <v>14</v>
      </c>
      <c r="D4" s="270" t="s">
        <v>15</v>
      </c>
      <c r="E4" s="271"/>
      <c r="F4" s="104" t="s">
        <v>16</v>
      </c>
      <c r="G4" s="81" t="s">
        <v>17</v>
      </c>
      <c r="H4" s="260" t="s">
        <v>18</v>
      </c>
      <c r="I4" s="261"/>
      <c r="J4" s="81" t="s">
        <v>51</v>
      </c>
      <c r="K4" s="81" t="s">
        <v>20</v>
      </c>
      <c r="L4" s="81" t="s">
        <v>21</v>
      </c>
      <c r="M4" s="81" t="s">
        <v>52</v>
      </c>
      <c r="N4" s="81" t="s">
        <v>22</v>
      </c>
      <c r="O4" s="81" t="s">
        <v>53</v>
      </c>
      <c r="P4" s="107" t="s">
        <v>26</v>
      </c>
      <c r="Q4" s="82" t="s">
        <v>27</v>
      </c>
    </row>
    <row r="5" spans="1:17" s="2" customFormat="1" ht="12.75" customHeight="1">
      <c r="A5" s="127">
        <v>1</v>
      </c>
      <c r="B5" s="21">
        <v>2</v>
      </c>
      <c r="C5" s="108" t="s">
        <v>354</v>
      </c>
      <c r="D5" s="277" t="str">
        <f>VLOOKUP(C5,Machined!C:Q,2,0)</f>
        <v>Door Support</v>
      </c>
      <c r="E5" s="278"/>
      <c r="F5" s="131" t="str">
        <f>VLOOKUP(C5,Machined!C:R,7,0)</f>
        <v>Delrin - White</v>
      </c>
      <c r="G5" s="131" t="str">
        <f>VLOOKUP(C5,Machined!C:R,10,0)</f>
        <v>BIG SKY</v>
      </c>
      <c r="H5" s="131" t="str">
        <f>VLOOKUP(C5,Machined!C:R,11,0)</f>
        <v xml:space="preserve">  </v>
      </c>
      <c r="I5" s="131"/>
      <c r="J5" s="42">
        <f>VLOOKUP(C5,Machined!C:R,12,0)</f>
        <v>45142</v>
      </c>
      <c r="K5" s="42">
        <f>VLOOKUP(C5,Machined!C:R,13,0)</f>
        <v>45146</v>
      </c>
      <c r="L5" s="42">
        <f>VLOOKUP(C5,Machined!C:R,14,0)</f>
        <v>45176</v>
      </c>
      <c r="M5" s="42">
        <f>VLOOKUP(C5,Machined!C:R,15,0)</f>
        <v>45176</v>
      </c>
      <c r="N5" s="43">
        <f>VLOOKUP(C5,Machined!C:R,16,0)</f>
        <v>55032</v>
      </c>
      <c r="O5" s="43" t="e">
        <f t="shared" ref="O5:O6" ca="1" si="0">B5*$L$2</f>
        <v>#VALUE!</v>
      </c>
      <c r="P5" s="47"/>
      <c r="Q5" s="48">
        <f t="shared" ref="Q5:Q6" si="1">IFERROR(B5*P5,"")</f>
        <v>0</v>
      </c>
    </row>
    <row r="6" spans="1:17" s="2" customFormat="1" ht="12.75" customHeight="1">
      <c r="A6" s="127">
        <v>2</v>
      </c>
      <c r="B6" s="21">
        <v>1</v>
      </c>
      <c r="C6" s="108" t="s">
        <v>767</v>
      </c>
      <c r="D6" s="277" t="str">
        <f>VLOOKUP(C6,Machined!C:Q,2,0)</f>
        <v>Clear Polycarb Panel Door 3/4 676x1098</v>
      </c>
      <c r="E6" s="278"/>
      <c r="F6" s="131" t="str">
        <f>VLOOKUP(C6,Machined!C:R,7,0)</f>
        <v>Polycarb</v>
      </c>
      <c r="G6" s="131" t="str">
        <f>VLOOKUP(C6,Machined!C:R,10,0)</f>
        <v>PRO PLASTICS</v>
      </c>
      <c r="H6" s="131" t="str">
        <f>VLOOKUP(C6,Machined!C:R,11,0)</f>
        <v>Quote 668778; &lt;2 weeks; Drawings/Step are under Polycarbonate Door NuLine</v>
      </c>
      <c r="I6" s="131"/>
      <c r="J6" s="42">
        <f>VLOOKUP(C6,Machined!C:R,12,0)</f>
        <v>45159</v>
      </c>
      <c r="K6" s="42">
        <f>VLOOKUP(C6,Machined!C:R,13,0)</f>
        <v>45188</v>
      </c>
      <c r="L6" s="42">
        <f>VLOOKUP(C6,Machined!C:R,14,0)</f>
        <v>45212</v>
      </c>
      <c r="M6" s="42">
        <f>VLOOKUP(C6,Machined!C:R,15,0)</f>
        <v>45212</v>
      </c>
      <c r="N6" s="43">
        <f>VLOOKUP(C6,Machined!C:R,16,0)</f>
        <v>55157</v>
      </c>
      <c r="O6" s="43" t="e">
        <f t="shared" ca="1" si="0"/>
        <v>#VALUE!</v>
      </c>
      <c r="P6" s="47">
        <f>IFERROR(VLOOKUP(C6,Machined!C:F,3,0),"")</f>
        <v>54.973300000000002</v>
      </c>
      <c r="Q6" s="48">
        <f t="shared" si="1"/>
        <v>54.973300000000002</v>
      </c>
    </row>
    <row r="7" spans="1:17" s="2" customFormat="1" ht="12.75" customHeight="1">
      <c r="A7" s="143"/>
      <c r="B7" s="26"/>
      <c r="C7" s="26"/>
      <c r="D7" s="272"/>
      <c r="E7" s="273"/>
      <c r="F7" s="26"/>
      <c r="G7" s="26"/>
      <c r="H7" s="274"/>
      <c r="I7" s="275"/>
      <c r="J7" s="27"/>
      <c r="K7" s="27"/>
      <c r="L7" s="27"/>
      <c r="M7" s="28"/>
      <c r="N7" s="29"/>
      <c r="O7" s="29"/>
      <c r="P7" s="141"/>
      <c r="Q7" s="142"/>
    </row>
    <row r="8" spans="1:17" s="2" customFormat="1" ht="12.75" customHeight="1">
      <c r="A8" s="4">
        <v>301</v>
      </c>
      <c r="B8" s="2">
        <v>3</v>
      </c>
      <c r="C8" s="114">
        <v>3842544531</v>
      </c>
      <c r="D8" s="268" t="e">
        <f>VLOOKUP(C8,Purchased!A:B,2,0)</f>
        <v>#N/A</v>
      </c>
      <c r="E8" s="269"/>
      <c r="F8" s="112" t="e">
        <f>VLOOKUP(C8,Purchased!A:Q,9,0)</f>
        <v>#N/A</v>
      </c>
      <c r="G8" s="112" t="e">
        <f>VLOOKUP(C8,Purchased!A:Q,10,0)</f>
        <v>#N/A</v>
      </c>
      <c r="H8" s="112" t="e">
        <f>VLOOKUP(C8,Purchased!A:Q,12,0)</f>
        <v>#N/A</v>
      </c>
      <c r="I8" s="113"/>
      <c r="J8" s="44" t="e">
        <f>VLOOKUP(C8,Purchased!A:Q,13,0)</f>
        <v>#N/A</v>
      </c>
      <c r="K8" s="44" t="e">
        <f>VLOOKUP(C8,Purchased!A:Q,14,0)</f>
        <v>#N/A</v>
      </c>
      <c r="L8" s="44" t="e">
        <f>VLOOKUP(C8,Purchased!A:Q,15,0)</f>
        <v>#N/A</v>
      </c>
      <c r="M8" s="44" t="e">
        <f>VLOOKUP(C8,Purchased!A:Q,16,0)</f>
        <v>#N/A</v>
      </c>
      <c r="N8" s="45" t="e">
        <f>VLOOKUP(C8,Purchased!A:Q,17,0)</f>
        <v>#N/A</v>
      </c>
      <c r="O8" s="45" t="e">
        <f t="shared" ref="O8:O12" ca="1" si="2">B8*$L$2</f>
        <v>#VALUE!</v>
      </c>
      <c r="P8" s="49" t="str">
        <f>IFERROR(VLOOKUP(C8,Purchased!A:E,3,FALSE),"")</f>
        <v/>
      </c>
      <c r="Q8" s="50" t="str">
        <f t="shared" ref="Q8:Q12" si="3">IFERROR(B8*P8,"")</f>
        <v/>
      </c>
    </row>
    <row r="9" spans="1:17" s="2" customFormat="1" ht="12" customHeight="1">
      <c r="A9" s="4">
        <f t="shared" ref="A9:A12" si="4">A8+1</f>
        <v>302</v>
      </c>
      <c r="B9" s="2">
        <v>4</v>
      </c>
      <c r="C9" s="114" t="s">
        <v>244</v>
      </c>
      <c r="D9" s="268" t="str">
        <f>VLOOKUP(C9,Purchased!A:B,2,0)</f>
        <v>BRX GOTO QUICK CONNECTOR N10 0°</v>
      </c>
      <c r="E9" s="269"/>
      <c r="F9" s="112" t="str">
        <f>VLOOKUP(C9,Purchased!A:Q,9,0)</f>
        <v>BRX</v>
      </c>
      <c r="G9" s="112" t="str">
        <f>VLOOKUP(C9,Purchased!A:Q,10,0)</f>
        <v>AAP</v>
      </c>
      <c r="H9" s="112" t="str">
        <f>VLOOKUP(C9,Purchased!A:Q,12,0)</f>
        <v>17 in stock</v>
      </c>
      <c r="I9" s="113"/>
      <c r="J9" s="44" t="str">
        <f>VLOOKUP(C9,Purchased!A:Q,13,0)</f>
        <v>N/A</v>
      </c>
      <c r="K9" s="44">
        <f>VLOOKUP(C9,Purchased!A:Q,14,0)</f>
        <v>45089</v>
      </c>
      <c r="L9" s="44">
        <f>VLOOKUP(C9,Purchased!A:Q,15,0)</f>
        <v>45124</v>
      </c>
      <c r="M9" s="44">
        <f>VLOOKUP(C9,Purchased!A:Q,16,0)</f>
        <v>45124</v>
      </c>
      <c r="N9" s="45" t="str">
        <f>VLOOKUP(C9,Purchased!A:Q,17,0)</f>
        <v>500x54927, 500x55060</v>
      </c>
      <c r="O9" s="45" t="e">
        <f t="shared" ca="1" si="2"/>
        <v>#VALUE!</v>
      </c>
      <c r="P9" s="49">
        <f>IFERROR(VLOOKUP(C9,Purchased!A:E,3,FALSE),"")</f>
        <v>5.2857000000000003</v>
      </c>
      <c r="Q9" s="50">
        <f t="shared" si="3"/>
        <v>21.142800000000001</v>
      </c>
    </row>
    <row r="10" spans="1:17" s="2" customFormat="1" ht="12" customHeight="1">
      <c r="A10" s="4">
        <f t="shared" si="4"/>
        <v>303</v>
      </c>
      <c r="B10" s="2">
        <v>2</v>
      </c>
      <c r="C10" s="114" t="s">
        <v>256</v>
      </c>
      <c r="D10" s="268" t="str">
        <f>VLOOKUP(C10,Purchased!A:B,2,0)</f>
        <v>BRX GOTO T-NUT 10 M8</v>
      </c>
      <c r="E10" s="269"/>
      <c r="F10" s="112" t="str">
        <f>VLOOKUP(C10,Purchased!A:Q,9,0)</f>
        <v>BRX</v>
      </c>
      <c r="G10" s="112" t="str">
        <f>VLOOKUP(C10,Purchased!A:Q,10,0)</f>
        <v>AAP</v>
      </c>
      <c r="H10" s="112" t="str">
        <f>VLOOKUP(C10,Purchased!A:Q,12,0)</f>
        <v xml:space="preserve">  </v>
      </c>
      <c r="I10" s="113"/>
      <c r="J10" s="44">
        <f>VLOOKUP(C10,Purchased!A:Q,13,0)</f>
        <v>45104</v>
      </c>
      <c r="K10" s="44">
        <f>VLOOKUP(C10,Purchased!A:Q,14,0)</f>
        <v>45105</v>
      </c>
      <c r="L10" s="44">
        <f>VLOOKUP(C10,Purchased!A:Q,15,0)</f>
        <v>45133</v>
      </c>
      <c r="M10" s="44">
        <f>VLOOKUP(C10,Purchased!A:Q,16,0)</f>
        <v>45133</v>
      </c>
      <c r="N10" s="45" t="str">
        <f>VLOOKUP(C10,Purchased!A:Q,17,0)</f>
        <v>54968, 55147</v>
      </c>
      <c r="O10" s="45" t="e">
        <f t="shared" ca="1" si="2"/>
        <v>#VALUE!</v>
      </c>
      <c r="P10" s="49">
        <f>IFERROR(VLOOKUP(C10,Purchased!A:E,3,FALSE),"")</f>
        <v>0.64290000000000003</v>
      </c>
      <c r="Q10" s="50">
        <f t="shared" si="3"/>
        <v>1.2858000000000001</v>
      </c>
    </row>
    <row r="11" spans="1:17" s="2" customFormat="1" ht="12" customHeight="1">
      <c r="A11" s="4">
        <f t="shared" si="4"/>
        <v>304</v>
      </c>
      <c r="B11" s="2">
        <v>8</v>
      </c>
      <c r="C11" s="114" t="s">
        <v>325</v>
      </c>
      <c r="D11" s="268" t="str">
        <f>VLOOKUP(C11,Purchased!A:B,2,0)</f>
        <v>BRX GOTO T-NUT 10 M4</v>
      </c>
      <c r="E11" s="269"/>
      <c r="F11" s="112" t="str">
        <f>VLOOKUP(C11,Purchased!A:Q,9,0)</f>
        <v>BRX</v>
      </c>
      <c r="G11" s="112" t="str">
        <f>VLOOKUP(C11,Purchased!A:Q,10,0)</f>
        <v>AAP</v>
      </c>
      <c r="H11" s="112" t="str">
        <f>VLOOKUP(C11,Purchased!A:Q,12,0)</f>
        <v>14 NuLine Stock</v>
      </c>
      <c r="I11" s="113"/>
      <c r="J11" s="44">
        <f>VLOOKUP(C11,Purchased!A:Q,13,0)</f>
        <v>45104</v>
      </c>
      <c r="K11" s="44">
        <f>VLOOKUP(C11,Purchased!A:Q,14,0)</f>
        <v>45105</v>
      </c>
      <c r="L11" s="44">
        <f>VLOOKUP(C11,Purchased!A:Q,15,0)</f>
        <v>45133</v>
      </c>
      <c r="M11" s="44">
        <f>VLOOKUP(C11,Purchased!A:Q,16,0)</f>
        <v>45133</v>
      </c>
      <c r="N11" s="45">
        <f>VLOOKUP(C11,Purchased!A:Q,17,0)</f>
        <v>54968</v>
      </c>
      <c r="O11" s="45" t="e">
        <f ca="1">B11*$L$2</f>
        <v>#VALUE!</v>
      </c>
      <c r="P11" s="49">
        <f>IFERROR(VLOOKUP(C11,Purchased!A:E,3,FALSE),"")</f>
        <v>0.64290000000000003</v>
      </c>
      <c r="Q11" s="50">
        <f>IFERROR(B11*P11,"")</f>
        <v>5.1432000000000002</v>
      </c>
    </row>
    <row r="12" spans="1:17" s="2" customFormat="1" ht="12" customHeight="1">
      <c r="A12" s="4">
        <f t="shared" si="4"/>
        <v>305</v>
      </c>
      <c r="B12" s="2">
        <v>1</v>
      </c>
      <c r="C12" s="114" t="s">
        <v>359</v>
      </c>
      <c r="D12" s="268" t="str">
        <f>VLOOKUP(C12,Purchased!A:B,2,0)</f>
        <v>ELESA 260411-C1 Black Bridge Handle EBP.200-8-C1</v>
      </c>
      <c r="E12" s="269"/>
      <c r="F12" s="112" t="str">
        <f>VLOOKUP(C12,Purchased!A:Q,9,0)</f>
        <v>ELESA</v>
      </c>
      <c r="G12" s="112" t="str">
        <f>VLOOKUP(C12,Purchased!A:Q,10,0)</f>
        <v>ELESA</v>
      </c>
      <c r="H12" s="112">
        <f>VLOOKUP(C12,Purchased!A:Q,12,0)</f>
        <v>0</v>
      </c>
      <c r="I12" s="113"/>
      <c r="J12" s="44" t="str">
        <f>VLOOKUP(C12,Purchased!A:Q,13,0)</f>
        <v>N/A</v>
      </c>
      <c r="K12" s="44">
        <f>VLOOKUP(C12,Purchased!A:Q,14,0)</f>
        <v>45205</v>
      </c>
      <c r="L12" s="44">
        <f>VLOOKUP(C12,Purchased!A:Q,15,0)</f>
        <v>45219</v>
      </c>
      <c r="M12" s="44">
        <f>VLOOKUP(C12,Purchased!A:Q,16,0)</f>
        <v>45225</v>
      </c>
      <c r="N12" s="45">
        <f>VLOOKUP(C12,Purchased!A:Q,17,0)</f>
        <v>55195</v>
      </c>
      <c r="O12" s="45" t="e">
        <f t="shared" ca="1" si="2"/>
        <v>#VALUE!</v>
      </c>
      <c r="P12" s="49">
        <f>IFERROR(VLOOKUP(C12,Purchased!A:E,3,FALSE),"")</f>
        <v>0</v>
      </c>
      <c r="Q12" s="50">
        <f t="shared" si="3"/>
        <v>0</v>
      </c>
    </row>
    <row r="13" spans="1:17" s="2" customFormat="1" ht="12.75" customHeight="1">
      <c r="A13" s="25"/>
      <c r="B13" s="26"/>
      <c r="C13" s="26"/>
      <c r="D13" s="272"/>
      <c r="E13" s="273"/>
      <c r="F13" s="26"/>
      <c r="G13" s="26"/>
      <c r="H13" s="274"/>
      <c r="I13" s="275"/>
      <c r="J13" s="27"/>
      <c r="K13" s="27"/>
      <c r="L13" s="27"/>
      <c r="M13" s="28"/>
      <c r="N13" s="29"/>
      <c r="O13" s="29" t="e">
        <f t="shared" ref="O13:O15" ca="1" si="5">B13*$L$2</f>
        <v>#VALUE!</v>
      </c>
      <c r="P13" s="141"/>
      <c r="Q13" s="142"/>
    </row>
    <row r="14" spans="1:17" s="2" customFormat="1" ht="12.75" customHeight="1">
      <c r="A14" s="4">
        <v>501</v>
      </c>
      <c r="B14" s="2">
        <v>8</v>
      </c>
      <c r="C14" s="110" t="s">
        <v>480</v>
      </c>
      <c r="D14" s="268"/>
      <c r="E14" s="276"/>
      <c r="F14" s="112" t="str">
        <f>VLOOKUP(C14,Bolts!A:L,5,0)</f>
        <v xml:space="preserve">  </v>
      </c>
      <c r="G14" s="112" t="str">
        <f>VLOOKUP(C14,Bolts!A:L,6,0)</f>
        <v>Monroe Fasteners</v>
      </c>
      <c r="H14" s="112" t="str">
        <f>VLOOKUP(C14,Bolts!A:L,7,0)</f>
        <v xml:space="preserve">  </v>
      </c>
      <c r="I14" s="112"/>
      <c r="J14" s="44" t="str">
        <f>VLOOKUP(C14,Bolts!A:L,8,0)</f>
        <v xml:space="preserve"> </v>
      </c>
      <c r="K14" s="44" t="str">
        <f>VLOOKUP(C14,Bolts!A:L,9,0)</f>
        <v xml:space="preserve"> </v>
      </c>
      <c r="L14" s="44" t="str">
        <f>VLOOKUP(C14,Bolts!A:L,10,0)</f>
        <v xml:space="preserve"> </v>
      </c>
      <c r="M14" s="44" t="str">
        <f>VLOOKUP(C14,Bolts!A:L,11,0)</f>
        <v xml:space="preserve"> </v>
      </c>
      <c r="N14" s="45" t="str">
        <f>VLOOKUP(C14,Bolts!A:L,12,0)</f>
        <v xml:space="preserve"> </v>
      </c>
      <c r="O14" s="45" t="e">
        <f t="shared" ca="1" si="5"/>
        <v>#VALUE!</v>
      </c>
      <c r="P14" s="49" t="str">
        <f>IFERROR(VLOOKUP(C14,Bolts!A:B,2,FALSE),"")</f>
        <v xml:space="preserve"> </v>
      </c>
      <c r="Q14" s="50" t="str">
        <f t="shared" ref="Q14:Q15" si="6">IFERROR(B14*P14,"")</f>
        <v/>
      </c>
    </row>
    <row r="15" spans="1:17" s="2" customFormat="1" ht="12.75" customHeight="1">
      <c r="A15" s="4">
        <f t="shared" ref="A15" si="7">A14+1</f>
        <v>502</v>
      </c>
      <c r="B15" s="2">
        <v>2</v>
      </c>
      <c r="C15" s="110" t="s">
        <v>362</v>
      </c>
      <c r="D15" s="268"/>
      <c r="E15" s="276"/>
      <c r="F15" s="112" t="str">
        <f>VLOOKUP(C15,Bolts!A:L,5,0)</f>
        <v xml:space="preserve">  </v>
      </c>
      <c r="G15" s="112" t="str">
        <f>VLOOKUP(C15,Bolts!A:L,6,0)</f>
        <v>Monroe Fasteners</v>
      </c>
      <c r="H15" s="112" t="str">
        <f>VLOOKUP(C15,Bolts!A:L,7,0)</f>
        <v xml:space="preserve">  </v>
      </c>
      <c r="I15" s="112"/>
      <c r="J15" s="44" t="str">
        <f>VLOOKUP(C15,Bolts!A:L,8,0)</f>
        <v xml:space="preserve"> </v>
      </c>
      <c r="K15" s="44" t="str">
        <f>VLOOKUP(C15,Bolts!A:L,9,0)</f>
        <v xml:space="preserve"> </v>
      </c>
      <c r="L15" s="44" t="str">
        <f>VLOOKUP(C15,Bolts!A:L,10,0)</f>
        <v xml:space="preserve"> </v>
      </c>
      <c r="M15" s="44" t="str">
        <f>VLOOKUP(C15,Bolts!A:L,11,0)</f>
        <v xml:space="preserve"> </v>
      </c>
      <c r="N15" s="45" t="str">
        <f>VLOOKUP(C15,Bolts!A:L,12,0)</f>
        <v xml:space="preserve"> </v>
      </c>
      <c r="O15" s="45" t="e">
        <f t="shared" ca="1" si="5"/>
        <v>#VALUE!</v>
      </c>
      <c r="P15" s="49" t="str">
        <f>IFERROR(VLOOKUP(C15,Bolts!A:B,2,FALSE),"")</f>
        <v xml:space="preserve"> </v>
      </c>
      <c r="Q15" s="50" t="str">
        <f t="shared" si="6"/>
        <v/>
      </c>
    </row>
    <row r="16" spans="1:17" s="2" customFormat="1" ht="12.75" customHeight="1">
      <c r="A16" s="25"/>
      <c r="B16" s="26"/>
      <c r="C16" s="26"/>
      <c r="D16" s="272"/>
      <c r="E16" s="273"/>
      <c r="F16" s="26"/>
      <c r="G16" s="26"/>
      <c r="H16" s="274"/>
      <c r="I16" s="275"/>
      <c r="J16" s="27"/>
      <c r="K16" s="27"/>
      <c r="L16" s="27"/>
      <c r="M16" s="28"/>
      <c r="N16" s="29"/>
      <c r="O16" s="29"/>
      <c r="P16" s="141"/>
      <c r="Q16" s="142"/>
    </row>
    <row r="17" spans="1:17" s="2" customFormat="1" ht="12.75" customHeight="1">
      <c r="A17" s="4">
        <v>701</v>
      </c>
      <c r="B17" s="2">
        <v>2</v>
      </c>
      <c r="C17" s="111" t="s">
        <v>369</v>
      </c>
      <c r="D17" s="268" t="str">
        <f>VLOOKUP(C17,Extrusion!B:C,2,0)</f>
        <v>Doors</v>
      </c>
      <c r="E17" s="269"/>
      <c r="F17" s="112" t="str">
        <f>VLOOKUP(C17,Extrusion!B:M,6,0)</f>
        <v>BOSCH</v>
      </c>
      <c r="G17" s="112" t="str">
        <f>VLOOKUP(C17,Extrusion!B:M,7,0)</f>
        <v>NULINE</v>
      </c>
      <c r="H17" s="112" t="str">
        <f>VLOOKUP(C17,Extrusion!B:M,8,0)</f>
        <v xml:space="preserve"> </v>
      </c>
      <c r="I17" s="113"/>
      <c r="J17" s="44" t="str">
        <f>VLOOKUP(C17,Extrusion!B:M,9,0)</f>
        <v>N/A</v>
      </c>
      <c r="K17" s="44">
        <f>VLOOKUP(C17,Extrusion!B:M,10,0)</f>
        <v>44894</v>
      </c>
      <c r="L17" s="44">
        <f>VLOOKUP(C17,Extrusion!B:M,11,0)</f>
        <v>44970</v>
      </c>
      <c r="M17" s="44">
        <f>VLOOKUP(C17,Extrusion!B:M,12,0)</f>
        <v>44970</v>
      </c>
      <c r="N17" s="45">
        <f>VLOOKUP(C17,Extrusion!B:N,13,0)</f>
        <v>54598</v>
      </c>
      <c r="O17" s="45" t="e">
        <f t="shared" ref="O17:O18" ca="1" si="8">B17*$L$2</f>
        <v>#VALUE!</v>
      </c>
      <c r="P17" s="49">
        <f>IFERROR(VLOOKUP(C17,Extrusion!B:F,5,0),"")</f>
        <v>39.224237083333335</v>
      </c>
      <c r="Q17" s="50">
        <f t="shared" ref="Q17:Q18" si="9">IFERROR(B17*P17,"")</f>
        <v>78.448474166666671</v>
      </c>
    </row>
    <row r="18" spans="1:17" s="2" customFormat="1" ht="12" customHeight="1" thickBot="1">
      <c r="A18" s="4">
        <f t="shared" ref="A18" si="10">A17+1</f>
        <v>702</v>
      </c>
      <c r="B18" s="2">
        <v>2</v>
      </c>
      <c r="C18" s="111" t="s">
        <v>768</v>
      </c>
      <c r="D18" s="268" t="str">
        <f>VLOOKUP(C18,Extrusion!B:C,2,0)</f>
        <v>Doors</v>
      </c>
      <c r="E18" s="269"/>
      <c r="F18" s="112" t="str">
        <f>VLOOKUP(C18,Extrusion!B:M,6,0)</f>
        <v>BOSCH</v>
      </c>
      <c r="G18" s="112" t="str">
        <f>VLOOKUP(C18,Extrusion!B:M,7,0)</f>
        <v>NULINE</v>
      </c>
      <c r="H18" s="112" t="str">
        <f>VLOOKUP(C18,Extrusion!B:M,8,0)</f>
        <v xml:space="preserve"> </v>
      </c>
      <c r="I18" s="113"/>
      <c r="J18" s="44" t="str">
        <f>VLOOKUP(C18,Extrusion!B:M,9,0)</f>
        <v>N/A</v>
      </c>
      <c r="K18" s="44">
        <f>VLOOKUP(C18,Extrusion!B:M,10,0)</f>
        <v>44894</v>
      </c>
      <c r="L18" s="44">
        <f>VLOOKUP(C18,Extrusion!B:M,11,0)</f>
        <v>44970</v>
      </c>
      <c r="M18" s="44">
        <f>VLOOKUP(C18,Extrusion!B:M,12,0)</f>
        <v>44970</v>
      </c>
      <c r="N18" s="45">
        <f>VLOOKUP(C18,Extrusion!B:N,13,0)</f>
        <v>54598</v>
      </c>
      <c r="O18" s="45" t="e">
        <f t="shared" ca="1" si="8"/>
        <v>#VALUE!</v>
      </c>
      <c r="P18" s="49">
        <f>IFERROR(VLOOKUP(C18,Extrusion!B:F,5,0),"")</f>
        <v>32.193051966666665</v>
      </c>
      <c r="Q18" s="50">
        <f t="shared" si="9"/>
        <v>64.386103933333331</v>
      </c>
    </row>
    <row r="19" spans="1:17" s="2" customFormat="1" ht="12.75" customHeight="1" thickBot="1">
      <c r="A19" s="34"/>
      <c r="B19" s="35"/>
      <c r="C19" s="35"/>
      <c r="D19" s="256"/>
      <c r="E19" s="257"/>
      <c r="F19" s="35"/>
      <c r="G19" s="35"/>
      <c r="H19" s="294"/>
      <c r="I19" s="295"/>
      <c r="J19" s="36"/>
      <c r="K19" s="36"/>
      <c r="L19" s="36"/>
      <c r="M19" s="37"/>
      <c r="N19" s="38"/>
      <c r="O19" s="38"/>
      <c r="P19" s="89" t="s">
        <v>43</v>
      </c>
      <c r="Q19" s="94">
        <f>SUM(Q5:Q18)</f>
        <v>225.37967809999998</v>
      </c>
    </row>
    <row r="20" spans="1:17" s="2" customFormat="1" ht="12" customHeight="1">
      <c r="D20" s="22"/>
      <c r="E20" s="22"/>
      <c r="J20" s="8"/>
      <c r="K20" s="8"/>
      <c r="L20" s="8"/>
      <c r="M20" s="8"/>
      <c r="N20" s="5"/>
      <c r="O20" s="5"/>
      <c r="P20" s="88"/>
      <c r="Q20" s="95"/>
    </row>
    <row r="21" spans="1:17" s="2" customFormat="1" ht="12" customHeight="1">
      <c r="C21" s="22"/>
      <c r="D21" s="22"/>
      <c r="I21" s="5"/>
      <c r="J21" s="5"/>
      <c r="K21" s="5"/>
      <c r="L21" s="5"/>
      <c r="M21" s="5"/>
      <c r="N21" s="5"/>
      <c r="O21" s="88"/>
      <c r="P21" s="95"/>
    </row>
    <row r="22" spans="1:17" s="2" customFormat="1" ht="12" customHeight="1">
      <c r="C22" s="22"/>
      <c r="D22" s="22"/>
      <c r="I22" s="5"/>
      <c r="J22" s="5"/>
      <c r="K22" s="5"/>
      <c r="L22" s="5"/>
      <c r="M22" s="5"/>
      <c r="N22" s="5"/>
      <c r="O22" s="88"/>
      <c r="P22" s="95"/>
    </row>
    <row r="23" spans="1:17" s="2" customFormat="1" ht="12" customHeight="1">
      <c r="D23" s="22"/>
      <c r="E23" s="22"/>
      <c r="J23" s="5"/>
      <c r="K23" s="5"/>
      <c r="L23" s="5"/>
      <c r="M23" s="5"/>
      <c r="N23" s="5"/>
      <c r="O23" s="5"/>
      <c r="P23" s="88"/>
      <c r="Q23" s="95"/>
    </row>
    <row r="24" spans="1:17" s="2" customFormat="1" ht="12" customHeight="1">
      <c r="D24" s="22"/>
      <c r="E24" s="22"/>
      <c r="J24" s="5"/>
      <c r="K24" s="5"/>
      <c r="L24" s="5"/>
      <c r="M24" s="5"/>
      <c r="N24" s="5"/>
      <c r="O24" s="5"/>
      <c r="P24" s="88"/>
      <c r="Q24" s="95"/>
    </row>
    <row r="25" spans="1:17" s="2" customFormat="1" ht="12" customHeight="1">
      <c r="D25" s="22"/>
      <c r="E25" s="22"/>
      <c r="J25" s="5"/>
      <c r="K25" s="5"/>
      <c r="L25" s="5"/>
      <c r="M25" s="5"/>
      <c r="N25" s="5"/>
      <c r="O25" s="5"/>
      <c r="P25" s="88"/>
      <c r="Q25" s="95"/>
    </row>
    <row r="26" spans="1:17" s="2" customFormat="1" ht="12" customHeight="1">
      <c r="D26" s="22"/>
      <c r="E26" s="22"/>
      <c r="J26" s="5"/>
      <c r="K26" s="5"/>
      <c r="L26" s="5"/>
      <c r="M26" s="5"/>
      <c r="N26" s="5"/>
      <c r="O26" s="5"/>
      <c r="P26" s="88"/>
      <c r="Q26" s="95"/>
    </row>
    <row r="27" spans="1:17" s="2" customFormat="1" ht="12" customHeight="1">
      <c r="D27" s="22"/>
      <c r="E27" s="22"/>
      <c r="J27" s="5"/>
      <c r="K27" s="5"/>
      <c r="L27" s="5"/>
      <c r="M27" s="5"/>
      <c r="N27" s="5"/>
      <c r="O27" s="5"/>
      <c r="P27" s="88"/>
      <c r="Q27" s="95"/>
    </row>
    <row r="28" spans="1:17" s="2" customFormat="1" ht="12" customHeight="1">
      <c r="D28" s="22"/>
      <c r="E28" s="22"/>
      <c r="J28" s="5"/>
      <c r="K28" s="5"/>
      <c r="L28" s="5"/>
      <c r="M28" s="5"/>
      <c r="N28" s="5"/>
      <c r="O28" s="5"/>
      <c r="P28" s="88"/>
      <c r="Q28" s="95"/>
    </row>
    <row r="29" spans="1:17" s="2" customFormat="1" ht="12" customHeight="1">
      <c r="D29" s="22"/>
      <c r="E29" s="22"/>
      <c r="J29" s="5"/>
      <c r="K29" s="5"/>
      <c r="L29" s="5"/>
      <c r="M29" s="5"/>
      <c r="N29" s="5"/>
      <c r="O29" s="5"/>
      <c r="P29" s="88"/>
      <c r="Q29" s="95"/>
    </row>
    <row r="30" spans="1:17" s="2" customFormat="1" ht="12" customHeight="1">
      <c r="D30" s="22"/>
      <c r="E30" s="22"/>
      <c r="J30" s="5"/>
      <c r="K30" s="5"/>
      <c r="L30" s="5"/>
      <c r="M30" s="5"/>
      <c r="N30" s="5"/>
      <c r="O30" s="5"/>
      <c r="P30" s="88"/>
      <c r="Q30" s="95"/>
    </row>
    <row r="31" spans="1:17" s="2" customFormat="1" ht="12" customHeight="1">
      <c r="D31" s="22"/>
      <c r="E31" s="22"/>
      <c r="J31" s="5"/>
      <c r="K31" s="5"/>
      <c r="L31" s="5"/>
      <c r="M31" s="5"/>
      <c r="N31" s="5"/>
      <c r="O31" s="5"/>
      <c r="P31" s="88"/>
      <c r="Q31" s="95"/>
    </row>
    <row r="32" spans="1:17" s="2" customFormat="1" ht="12" customHeight="1">
      <c r="D32" s="22"/>
      <c r="E32" s="22"/>
      <c r="J32" s="5"/>
      <c r="K32" s="5"/>
      <c r="L32" s="5"/>
      <c r="M32" s="5"/>
      <c r="N32" s="5"/>
      <c r="O32" s="5"/>
      <c r="P32" s="88"/>
      <c r="Q32" s="95"/>
    </row>
    <row r="33" spans="4:17" s="2" customFormat="1" ht="12" customHeight="1">
      <c r="D33" s="22"/>
      <c r="E33" s="22"/>
      <c r="J33" s="5"/>
      <c r="K33" s="5"/>
      <c r="L33" s="5"/>
      <c r="M33" s="5"/>
      <c r="N33" s="5"/>
      <c r="O33" s="5"/>
      <c r="P33" s="88"/>
      <c r="Q33" s="95"/>
    </row>
    <row r="34" spans="4:17" s="2" customFormat="1" ht="12" customHeight="1">
      <c r="D34" s="22"/>
      <c r="E34" s="22"/>
      <c r="J34" s="5"/>
      <c r="K34" s="5"/>
      <c r="L34" s="5"/>
      <c r="M34" s="5"/>
      <c r="N34" s="5"/>
      <c r="O34" s="5"/>
      <c r="P34" s="88"/>
      <c r="Q34" s="95"/>
    </row>
    <row r="35" spans="4:17" s="2" customFormat="1" ht="12" customHeight="1">
      <c r="D35" s="22"/>
      <c r="E35" s="22"/>
      <c r="J35" s="5"/>
      <c r="K35" s="5"/>
      <c r="L35" s="5"/>
      <c r="M35" s="5"/>
      <c r="N35" s="5"/>
      <c r="O35" s="5"/>
      <c r="P35" s="88"/>
      <c r="Q35" s="95"/>
    </row>
    <row r="36" spans="4:17" s="2" customFormat="1" ht="12" customHeight="1">
      <c r="D36" s="22"/>
      <c r="E36" s="22"/>
      <c r="J36" s="5"/>
      <c r="K36" s="5"/>
      <c r="L36" s="5"/>
      <c r="M36" s="5"/>
      <c r="N36" s="5"/>
      <c r="O36" s="5"/>
      <c r="P36" s="88"/>
      <c r="Q36" s="95"/>
    </row>
    <row r="37" spans="4:17" s="2" customFormat="1" ht="12" customHeight="1">
      <c r="D37" s="22"/>
      <c r="E37" s="22"/>
      <c r="J37" s="5"/>
      <c r="K37" s="5"/>
      <c r="L37" s="5"/>
      <c r="M37" s="5"/>
      <c r="N37" s="5"/>
      <c r="O37" s="5"/>
      <c r="P37" s="88"/>
      <c r="Q37" s="95"/>
    </row>
    <row r="38" spans="4:17" s="2" customFormat="1" ht="12" customHeight="1">
      <c r="D38" s="22"/>
      <c r="E38" s="22"/>
      <c r="J38" s="5"/>
      <c r="K38" s="5"/>
      <c r="L38" s="5"/>
      <c r="M38" s="5"/>
      <c r="N38" s="5"/>
      <c r="O38" s="5"/>
      <c r="P38" s="88"/>
      <c r="Q38" s="95"/>
    </row>
    <row r="39" spans="4:17" s="2" customFormat="1" ht="12" customHeight="1">
      <c r="D39" s="22"/>
      <c r="E39" s="22"/>
      <c r="J39" s="5"/>
      <c r="K39" s="5"/>
      <c r="L39" s="5"/>
      <c r="M39" s="5"/>
      <c r="N39" s="5"/>
      <c r="O39" s="5"/>
      <c r="P39" s="88"/>
      <c r="Q39" s="95"/>
    </row>
    <row r="40" spans="4:17" s="2" customFormat="1" ht="12" customHeight="1">
      <c r="D40" s="22"/>
      <c r="E40" s="22"/>
      <c r="J40" s="5"/>
      <c r="K40" s="5"/>
      <c r="L40" s="5"/>
      <c r="M40" s="5"/>
      <c r="N40" s="5"/>
      <c r="O40" s="5"/>
      <c r="P40" s="88"/>
      <c r="Q40" s="95"/>
    </row>
    <row r="41" spans="4:17" s="2" customFormat="1" ht="12" customHeight="1">
      <c r="D41" s="22"/>
      <c r="E41" s="22"/>
      <c r="J41" s="5"/>
      <c r="K41" s="5"/>
      <c r="L41" s="5"/>
      <c r="M41" s="5"/>
      <c r="N41" s="5"/>
      <c r="O41" s="5"/>
      <c r="P41" s="88"/>
      <c r="Q41" s="95"/>
    </row>
    <row r="42" spans="4:17" s="2" customFormat="1" ht="12" customHeight="1">
      <c r="D42" s="22"/>
      <c r="E42" s="22"/>
      <c r="J42" s="5"/>
      <c r="K42" s="5"/>
      <c r="L42" s="5"/>
      <c r="M42" s="5"/>
      <c r="N42" s="5"/>
      <c r="O42" s="5"/>
      <c r="P42" s="88"/>
      <c r="Q42" s="95"/>
    </row>
    <row r="43" spans="4:17" s="2" customFormat="1" ht="12" customHeight="1">
      <c r="D43" s="22"/>
      <c r="E43" s="22"/>
      <c r="J43" s="5"/>
      <c r="K43" s="5"/>
      <c r="L43" s="5"/>
      <c r="M43" s="5"/>
      <c r="N43" s="5"/>
      <c r="O43" s="5"/>
      <c r="P43" s="88"/>
      <c r="Q43" s="95"/>
    </row>
    <row r="44" spans="4:17" s="2" customFormat="1" ht="12" customHeight="1">
      <c r="D44" s="22"/>
      <c r="E44" s="22"/>
      <c r="J44" s="5"/>
      <c r="K44" s="5"/>
      <c r="L44" s="5"/>
      <c r="M44" s="5"/>
      <c r="N44" s="5"/>
      <c r="O44" s="5"/>
      <c r="P44" s="88"/>
      <c r="Q44" s="95"/>
    </row>
    <row r="45" spans="4:17" s="2" customFormat="1" ht="12" customHeight="1">
      <c r="D45" s="22"/>
      <c r="E45" s="22"/>
      <c r="J45" s="5"/>
      <c r="K45" s="5"/>
      <c r="L45" s="5"/>
      <c r="M45" s="5"/>
      <c r="N45" s="5"/>
      <c r="O45" s="5"/>
      <c r="P45" s="88"/>
      <c r="Q45" s="95"/>
    </row>
    <row r="46" spans="4:17" s="2" customFormat="1" ht="12" customHeight="1">
      <c r="D46" s="22"/>
      <c r="E46" s="22"/>
      <c r="J46" s="5"/>
      <c r="K46" s="5"/>
      <c r="L46" s="5"/>
      <c r="M46" s="5"/>
      <c r="N46" s="5"/>
      <c r="O46" s="5"/>
      <c r="P46" s="88"/>
      <c r="Q46" s="95"/>
    </row>
    <row r="47" spans="4:17" s="2" customFormat="1" ht="12" customHeight="1">
      <c r="D47" s="22"/>
      <c r="E47" s="22"/>
      <c r="J47" s="5"/>
      <c r="K47" s="5"/>
      <c r="L47" s="5"/>
      <c r="M47" s="5"/>
      <c r="N47" s="5"/>
      <c r="O47" s="5"/>
      <c r="P47" s="88"/>
      <c r="Q47" s="95"/>
    </row>
    <row r="48" spans="4:17" s="2" customFormat="1" ht="12" customHeight="1">
      <c r="D48" s="22"/>
      <c r="E48" s="22"/>
      <c r="J48" s="5"/>
      <c r="K48" s="5"/>
      <c r="L48" s="5"/>
      <c r="M48" s="5"/>
      <c r="N48" s="5"/>
      <c r="O48" s="5"/>
      <c r="P48" s="88"/>
      <c r="Q48" s="95"/>
    </row>
    <row r="49" spans="1:17" s="2" customFormat="1" ht="12" customHeight="1">
      <c r="D49" s="22"/>
      <c r="E49" s="22"/>
      <c r="J49" s="5"/>
      <c r="K49" s="5"/>
      <c r="L49" s="5"/>
      <c r="M49" s="5"/>
      <c r="N49" s="5"/>
      <c r="O49" s="5"/>
      <c r="P49" s="88"/>
      <c r="Q49" s="95"/>
    </row>
    <row r="50" spans="1:17" s="2" customFormat="1" ht="12" customHeight="1">
      <c r="D50" s="22"/>
      <c r="E50" s="22"/>
      <c r="J50" s="5"/>
      <c r="K50" s="5"/>
      <c r="L50" s="5"/>
      <c r="M50" s="5"/>
      <c r="N50" s="5"/>
      <c r="O50" s="5"/>
      <c r="P50" s="88"/>
      <c r="Q50" s="95"/>
    </row>
    <row r="51" spans="1:17" s="2" customFormat="1" ht="12" customHeight="1">
      <c r="D51" s="22"/>
      <c r="E51" s="22"/>
      <c r="J51" s="5"/>
      <c r="K51" s="5"/>
      <c r="L51" s="5"/>
      <c r="M51" s="5"/>
      <c r="N51" s="5"/>
      <c r="O51" s="5"/>
      <c r="P51" s="88"/>
      <c r="Q51" s="95"/>
    </row>
    <row r="52" spans="1:17" s="2" customFormat="1" ht="12" customHeight="1">
      <c r="D52" s="22"/>
      <c r="E52" s="22"/>
      <c r="J52" s="5"/>
      <c r="K52" s="5"/>
      <c r="L52" s="5"/>
      <c r="M52" s="5"/>
      <c r="N52" s="5"/>
      <c r="O52" s="5"/>
      <c r="P52" s="88"/>
      <c r="Q52" s="95"/>
    </row>
    <row r="53" spans="1:17" s="2" customFormat="1" ht="12" customHeight="1">
      <c r="D53" s="22"/>
      <c r="E53" s="22"/>
      <c r="J53" s="5"/>
      <c r="K53" s="5"/>
      <c r="L53" s="5"/>
      <c r="M53" s="5"/>
      <c r="N53" s="5"/>
      <c r="O53" s="5"/>
      <c r="P53" s="88"/>
      <c r="Q53" s="95"/>
    </row>
    <row r="54" spans="1:17" s="2" customFormat="1" ht="12" customHeight="1">
      <c r="D54" s="22"/>
      <c r="E54" s="22"/>
      <c r="J54" s="5"/>
      <c r="K54" s="5"/>
      <c r="L54" s="5"/>
      <c r="M54" s="5"/>
      <c r="N54" s="5"/>
      <c r="O54" s="5"/>
      <c r="P54" s="88"/>
      <c r="Q54" s="95"/>
    </row>
    <row r="55" spans="1:17" s="2" customFormat="1" ht="12" customHeight="1">
      <c r="D55" s="22"/>
      <c r="E55" s="22"/>
      <c r="J55" s="5"/>
      <c r="K55" s="5"/>
      <c r="L55" s="5"/>
      <c r="M55" s="5"/>
      <c r="N55" s="5"/>
      <c r="O55" s="5"/>
      <c r="P55" s="88"/>
      <c r="Q55" s="95"/>
    </row>
    <row r="56" spans="1:17" s="2" customFormat="1" ht="12" customHeight="1">
      <c r="D56" s="22"/>
      <c r="E56" s="22"/>
      <c r="J56" s="5"/>
      <c r="K56" s="5"/>
      <c r="L56" s="5"/>
      <c r="M56" s="5"/>
      <c r="N56" s="5"/>
      <c r="O56" s="5"/>
      <c r="P56" s="88"/>
      <c r="Q56" s="95"/>
    </row>
    <row r="57" spans="1:17" s="2" customFormat="1" ht="12" customHeight="1">
      <c r="D57" s="22"/>
      <c r="E57" s="22"/>
      <c r="J57" s="5"/>
      <c r="K57" s="5"/>
      <c r="L57" s="5"/>
      <c r="M57" s="5"/>
      <c r="N57" s="5"/>
      <c r="O57" s="5"/>
      <c r="P57" s="88"/>
      <c r="Q57" s="95"/>
    </row>
    <row r="58" spans="1:17" s="2" customFormat="1" ht="12" customHeight="1">
      <c r="D58" s="22"/>
      <c r="E58" s="22"/>
      <c r="J58" s="5"/>
      <c r="K58" s="5"/>
      <c r="L58" s="5"/>
      <c r="M58" s="5"/>
      <c r="N58" s="5"/>
      <c r="O58" s="5"/>
      <c r="P58" s="88"/>
      <c r="Q58" s="96"/>
    </row>
    <row r="59" spans="1:17" s="2" customFormat="1" ht="12" customHeight="1">
      <c r="D59" s="22"/>
      <c r="E59" s="22"/>
      <c r="J59" s="5"/>
      <c r="K59" s="5"/>
      <c r="L59" s="5"/>
      <c r="M59" s="5"/>
      <c r="N59" s="5"/>
      <c r="O59" s="5"/>
      <c r="P59" s="88"/>
      <c r="Q59" s="96"/>
    </row>
    <row r="60" spans="1:17" s="2" customFormat="1" ht="12" customHeight="1">
      <c r="D60" s="22"/>
      <c r="E60" s="22"/>
      <c r="J60" s="5"/>
      <c r="K60" s="5"/>
      <c r="L60" s="5"/>
      <c r="M60" s="5"/>
      <c r="N60" s="5"/>
      <c r="O60" s="5"/>
      <c r="P60" s="88"/>
      <c r="Q60" s="96"/>
    </row>
    <row r="61" spans="1:17" s="2" customFormat="1" ht="12" customHeight="1">
      <c r="D61" s="22"/>
      <c r="E61" s="22"/>
      <c r="J61" s="5"/>
      <c r="K61" s="5"/>
      <c r="L61" s="5"/>
      <c r="M61" s="5"/>
      <c r="N61" s="5"/>
      <c r="O61" s="5"/>
      <c r="P61" s="88"/>
      <c r="Q61" s="96"/>
    </row>
    <row r="62" spans="1:17" s="2" customFormat="1" ht="12" customHeight="1">
      <c r="A62"/>
      <c r="B62"/>
      <c r="C62"/>
      <c r="D62" s="23"/>
      <c r="E62" s="23"/>
      <c r="F62"/>
      <c r="G62"/>
      <c r="H62"/>
      <c r="I62"/>
      <c r="J62" s="19"/>
      <c r="K62" s="19"/>
      <c r="L62" s="19"/>
      <c r="M62" s="19"/>
      <c r="N62" s="19"/>
      <c r="O62" s="19"/>
      <c r="P62" s="90"/>
      <c r="Q62" s="96"/>
    </row>
    <row r="63" spans="1:17" s="2" customFormat="1" ht="12" customHeight="1">
      <c r="A63"/>
      <c r="B63"/>
      <c r="C63"/>
      <c r="D63" s="23"/>
      <c r="E63" s="23"/>
      <c r="F63"/>
      <c r="G63"/>
      <c r="H63"/>
      <c r="I63"/>
      <c r="J63" s="19"/>
      <c r="K63" s="19"/>
      <c r="L63" s="19"/>
      <c r="M63" s="19"/>
      <c r="N63" s="19"/>
      <c r="O63" s="19"/>
      <c r="P63" s="90"/>
      <c r="Q63" s="96"/>
    </row>
    <row r="64" spans="1:17" s="2" customFormat="1" ht="12" customHeight="1">
      <c r="A64"/>
      <c r="B64"/>
      <c r="C64"/>
      <c r="D64" s="23"/>
      <c r="E64" s="23"/>
      <c r="F64"/>
      <c r="G64"/>
      <c r="H64"/>
      <c r="I64"/>
      <c r="J64" s="19"/>
      <c r="K64" s="19"/>
      <c r="L64" s="19"/>
      <c r="M64" s="19"/>
      <c r="N64" s="19"/>
      <c r="O64" s="19"/>
      <c r="P64" s="90"/>
      <c r="Q64" s="96"/>
    </row>
    <row r="65" spans="1:17" s="2" customFormat="1" ht="12" customHeight="1">
      <c r="A65"/>
      <c r="B65"/>
      <c r="C65"/>
      <c r="D65" s="23"/>
      <c r="E65" s="23"/>
      <c r="F65"/>
      <c r="G65"/>
      <c r="H65"/>
      <c r="I65"/>
      <c r="J65" s="19"/>
      <c r="K65" s="19"/>
      <c r="L65" s="19"/>
      <c r="M65" s="19"/>
      <c r="N65" s="19"/>
      <c r="O65" s="19"/>
      <c r="P65" s="90"/>
      <c r="Q65" s="96"/>
    </row>
    <row r="66" spans="1:17" s="2" customFormat="1" ht="12" customHeight="1">
      <c r="A66"/>
      <c r="B66"/>
      <c r="C66"/>
      <c r="D66" s="23"/>
      <c r="E66" s="23"/>
      <c r="F66"/>
      <c r="G66"/>
      <c r="H66"/>
      <c r="I66"/>
      <c r="J66" s="19"/>
      <c r="K66" s="19"/>
      <c r="L66" s="19"/>
      <c r="M66" s="19"/>
      <c r="N66" s="19"/>
      <c r="O66" s="19"/>
      <c r="P66" s="90"/>
      <c r="Q66" s="96"/>
    </row>
    <row r="67" spans="1:17">
      <c r="Q67" s="96"/>
    </row>
    <row r="68" spans="1:17">
      <c r="Q68" s="96"/>
    </row>
    <row r="69" spans="1:17">
      <c r="Q69" s="96"/>
    </row>
    <row r="70" spans="1:17">
      <c r="Q70" s="96"/>
    </row>
    <row r="71" spans="1:17">
      <c r="Q71" s="96"/>
    </row>
    <row r="72" spans="1:17">
      <c r="Q72" s="96"/>
    </row>
    <row r="73" spans="1:17">
      <c r="Q73" s="96"/>
    </row>
    <row r="74" spans="1:17">
      <c r="Q74" s="96"/>
    </row>
    <row r="75" spans="1:17">
      <c r="Q75" s="96"/>
    </row>
    <row r="76" spans="1:17">
      <c r="Q76" s="96"/>
    </row>
    <row r="77" spans="1:17">
      <c r="Q77" s="96"/>
    </row>
    <row r="78" spans="1:17">
      <c r="Q78" s="96"/>
    </row>
    <row r="79" spans="1:17">
      <c r="Q79" s="96"/>
    </row>
    <row r="80" spans="1:17">
      <c r="Q80" s="96"/>
    </row>
    <row r="81" spans="17:17">
      <c r="Q81" s="96"/>
    </row>
    <row r="82" spans="17:17">
      <c r="Q82" s="96"/>
    </row>
    <row r="83" spans="17:17">
      <c r="Q83" s="96"/>
    </row>
    <row r="84" spans="17:17">
      <c r="Q84" s="96"/>
    </row>
    <row r="85" spans="17:17">
      <c r="Q85" s="96"/>
    </row>
    <row r="86" spans="17:17">
      <c r="Q86" s="96"/>
    </row>
    <row r="123" ht="12" customHeight="1"/>
    <row r="124" ht="12" customHeight="1"/>
    <row r="125" ht="12" customHeight="1"/>
    <row r="126" ht="12" customHeight="1"/>
    <row r="127" ht="12" customHeight="1"/>
    <row r="128" ht="12" customHeight="1"/>
    <row r="129" ht="12" customHeight="1"/>
    <row r="130" ht="12" customHeight="1"/>
    <row r="131" ht="12" customHeight="1"/>
    <row r="132" ht="12" customHeight="1"/>
    <row r="133" ht="12" customHeight="1"/>
    <row r="134" ht="12" customHeight="1"/>
    <row r="135" ht="12" customHeight="1"/>
    <row r="136" ht="12" customHeight="1"/>
    <row r="137" ht="12" customHeight="1"/>
    <row r="138" ht="12" customHeight="1"/>
    <row r="139" ht="12" customHeight="1"/>
    <row r="140" ht="12" customHeight="1"/>
    <row r="141" ht="12" customHeight="1"/>
    <row r="142" ht="12" customHeight="1"/>
    <row r="143" ht="12" customHeight="1"/>
    <row r="144" ht="12" customHeight="1"/>
    <row r="145" ht="12" customHeight="1"/>
    <row r="146" ht="12" customHeight="1"/>
    <row r="147" ht="12" customHeight="1"/>
    <row r="148" ht="12" customHeight="1"/>
    <row r="149" ht="12" customHeight="1"/>
    <row r="150" ht="12" customHeight="1"/>
    <row r="151" ht="12" customHeight="1"/>
    <row r="152" ht="12" customHeight="1"/>
    <row r="153" ht="12" customHeight="1"/>
    <row r="154" ht="12" customHeight="1"/>
    <row r="155" ht="12" customHeight="1"/>
    <row r="156" ht="12" customHeight="1"/>
    <row r="157" ht="12" customHeight="1"/>
    <row r="158" ht="12" customHeight="1"/>
    <row r="159" ht="12" customHeight="1"/>
    <row r="160" ht="12" customHeight="1"/>
    <row r="161" ht="12" customHeight="1"/>
    <row r="162" ht="12" customHeight="1"/>
    <row r="163" ht="12" customHeight="1"/>
    <row r="164" ht="12" customHeight="1"/>
    <row r="165" ht="12" customHeight="1"/>
    <row r="166" ht="12" customHeight="1"/>
    <row r="167" ht="12" customHeight="1"/>
    <row r="168" ht="12" customHeight="1"/>
    <row r="169" ht="12" customHeight="1"/>
    <row r="170" ht="12" customHeight="1"/>
    <row r="171" ht="12" customHeight="1"/>
    <row r="172" ht="12" customHeight="1"/>
  </sheetData>
  <mergeCells count="22">
    <mergeCell ref="H16:I16"/>
    <mergeCell ref="D17:E17"/>
    <mergeCell ref="D18:E18"/>
    <mergeCell ref="D19:E19"/>
    <mergeCell ref="H19:I19"/>
    <mergeCell ref="D16:E16"/>
    <mergeCell ref="D14:E14"/>
    <mergeCell ref="D15:E15"/>
    <mergeCell ref="D13:E13"/>
    <mergeCell ref="H13:I13"/>
    <mergeCell ref="D10:E10"/>
    <mergeCell ref="D11:E11"/>
    <mergeCell ref="D12:E12"/>
    <mergeCell ref="D7:E7"/>
    <mergeCell ref="H7:I7"/>
    <mergeCell ref="D8:E8"/>
    <mergeCell ref="D9:E9"/>
    <mergeCell ref="D1:E1"/>
    <mergeCell ref="D4:E4"/>
    <mergeCell ref="H4:I4"/>
    <mergeCell ref="D5:E5"/>
    <mergeCell ref="D6:E6"/>
  </mergeCells>
  <conditionalFormatting sqref="M5:M6">
    <cfRule type="cellIs" dxfId="404" priority="3" stopIfTrue="1" operator="lessThanOrEqual">
      <formula>$L5</formula>
    </cfRule>
    <cfRule type="cellIs" dxfId="403" priority="4" operator="greaterThan">
      <formula>L5</formula>
    </cfRule>
  </conditionalFormatting>
  <conditionalFormatting sqref="M8:M12 M14:M15">
    <cfRule type="cellIs" dxfId="402" priority="5" stopIfTrue="1" operator="lessThanOrEqual">
      <formula>$L8</formula>
    </cfRule>
    <cfRule type="cellIs" dxfId="401" priority="6" operator="greaterThan">
      <formula>L8</formula>
    </cfRule>
  </conditionalFormatting>
  <conditionalFormatting sqref="M17:M18">
    <cfRule type="cellIs" dxfId="400" priority="1" stopIfTrue="1" operator="lessThanOrEqual">
      <formula>$L17</formula>
    </cfRule>
    <cfRule type="cellIs" dxfId="399" priority="2" operator="greaterThan">
      <formula>L17</formula>
    </cfRule>
  </conditionalFormatting>
  <pageMargins left="0.7" right="0.7" top="0.75" bottom="0.75" header="0.3" footer="0.3"/>
  <pageSetup paperSize="3" fitToHeight="0" orientation="landscape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F64A01DC-E4F3-4976-BA9F-EF8CD606DE3B}">
          <x14:formula1>
            <xm:f>Bolts!$A:$A</xm:f>
          </x14:formula1>
          <xm:sqref>C14:C15</xm:sqref>
        </x14:dataValidation>
        <x14:dataValidation type="list" allowBlank="1" showInputMessage="1" showErrorMessage="1" xr:uid="{25E0BA22-739D-45CD-8141-8D3488EFE36C}">
          <x14:formula1>
            <xm:f>Purchased!$A:$A</xm:f>
          </x14:formula1>
          <xm:sqref>C8:C12</xm:sqref>
        </x14:dataValidation>
        <x14:dataValidation type="list" allowBlank="1" showInputMessage="1" showErrorMessage="1" xr:uid="{BB85A306-AA97-4C0A-A5A8-BB726C131980}">
          <x14:formula1>
            <xm:f>Extrusion!$B:$B</xm:f>
          </x14:formula1>
          <xm:sqref>C17:C18</xm:sqref>
        </x14:dataValidation>
        <x14:dataValidation type="list" allowBlank="1" showInputMessage="1" showErrorMessage="1" xr:uid="{EB731387-DE1F-40CA-BCA5-75FCCB889F6C}">
          <x14:formula1>
            <xm:f>Machined!$C:$C</xm:f>
          </x14:formula1>
          <xm:sqref>C5:C6</xm:sqref>
        </x14:dataValidation>
      </x14:dataValidation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AE9020-53CF-48E6-8D99-3ED843951F8C}">
  <sheetPr codeName="Sheet66">
    <tabColor theme="3" tint="0.59999389629810485"/>
    <pageSetUpPr fitToPage="1"/>
  </sheetPr>
  <dimension ref="A1:Q174"/>
  <sheetViews>
    <sheetView zoomScale="90" zoomScaleNormal="90" workbookViewId="0">
      <selection activeCell="D24" sqref="D24"/>
    </sheetView>
  </sheetViews>
  <sheetFormatPr defaultColWidth="9.140625" defaultRowHeight="15"/>
  <cols>
    <col min="1" max="1" width="5.7109375" customWidth="1"/>
    <col min="2" max="2" width="5.42578125" bestFit="1" customWidth="1"/>
    <col min="3" max="3" width="30.7109375" customWidth="1"/>
    <col min="4" max="5" width="20.7109375" style="23" customWidth="1"/>
    <col min="6" max="6" width="16.85546875" bestFit="1" customWidth="1"/>
    <col min="7" max="7" width="9.7109375" customWidth="1"/>
    <col min="8" max="8" width="8.7109375" customWidth="1"/>
    <col min="9" max="9" width="20.7109375" customWidth="1"/>
    <col min="10" max="13" width="11.7109375" style="19" customWidth="1"/>
    <col min="14" max="14" width="11.85546875" style="19" bestFit="1" customWidth="1"/>
    <col min="15" max="15" width="7.7109375" style="19" customWidth="1"/>
    <col min="16" max="16" width="10.7109375" style="90" customWidth="1"/>
    <col min="17" max="17" width="10.7109375" style="97" customWidth="1"/>
  </cols>
  <sheetData>
    <row r="1" spans="1:17" s="55" customFormat="1" ht="12" customHeight="1">
      <c r="A1" s="68" t="s">
        <v>0</v>
      </c>
      <c r="B1" s="69"/>
      <c r="C1" s="69"/>
      <c r="D1" s="262" t="s">
        <v>1</v>
      </c>
      <c r="E1" s="263"/>
      <c r="F1" s="70"/>
      <c r="G1" s="69"/>
      <c r="H1" s="70"/>
      <c r="I1" s="71"/>
      <c r="J1" s="72"/>
      <c r="K1" s="72"/>
      <c r="L1" s="72"/>
      <c r="M1" s="72"/>
      <c r="N1" s="72"/>
      <c r="O1" s="72"/>
      <c r="P1" s="85"/>
      <c r="Q1" s="91"/>
    </row>
    <row r="2" spans="1:17" s="55" customFormat="1" ht="12" customHeight="1">
      <c r="A2" s="74" t="s">
        <v>48</v>
      </c>
      <c r="B2" s="58"/>
      <c r="C2" s="57" t="e">
        <f ca="1">VLOOKUP(E3,Assemblies!B:F,4,0)</f>
        <v>#VALUE!</v>
      </c>
      <c r="D2" s="75" t="s">
        <v>3</v>
      </c>
      <c r="E2" s="76" t="e">
        <f ca="1">'GF12'!E2</f>
        <v>#VALUE!</v>
      </c>
      <c r="F2" s="77" t="s">
        <v>4</v>
      </c>
      <c r="G2" s="58" t="str">
        <f>'GF12'!G2</f>
        <v>GH</v>
      </c>
      <c r="H2" s="77" t="s">
        <v>6</v>
      </c>
      <c r="I2" s="59">
        <f>'GF12'!I2</f>
        <v>44775</v>
      </c>
      <c r="J2" s="39"/>
      <c r="K2" s="40" t="s">
        <v>49</v>
      </c>
      <c r="L2" s="41" t="e">
        <f ca="1">VLOOKUP(C2,Assemblies!E:G,3,0)</f>
        <v>#VALUE!</v>
      </c>
      <c r="M2" s="78"/>
      <c r="N2" s="78"/>
      <c r="O2" s="78"/>
      <c r="P2" s="86"/>
      <c r="Q2" s="92"/>
    </row>
    <row r="3" spans="1:17" s="55" customFormat="1" ht="12" customHeight="1" thickBot="1">
      <c r="A3" s="74" t="s">
        <v>7</v>
      </c>
      <c r="B3" s="58"/>
      <c r="C3" s="57" t="e">
        <f ca="1">VLOOKUP(E3,Assemblies!B:F,5,0)</f>
        <v>#VALUE!</v>
      </c>
      <c r="D3" s="75" t="s">
        <v>50</v>
      </c>
      <c r="E3" s="76" t="e">
        <f ca="1">MID(CELL("filename",A1),FIND("]",CELL("filename",A1))+1,256)</f>
        <v>#VALUE!</v>
      </c>
      <c r="F3" s="77" t="s">
        <v>11</v>
      </c>
      <c r="G3" s="58" t="str">
        <f>'GF12'!G3</f>
        <v>GH</v>
      </c>
      <c r="H3" s="77" t="s">
        <v>6</v>
      </c>
      <c r="I3" s="59">
        <f>'GF12'!I3</f>
        <v>44775</v>
      </c>
      <c r="J3" s="78"/>
      <c r="K3" s="78"/>
      <c r="L3" s="78"/>
      <c r="M3" s="78"/>
      <c r="N3" s="78"/>
      <c r="O3" s="78"/>
      <c r="P3" s="86"/>
      <c r="Q3" s="92"/>
    </row>
    <row r="4" spans="1:17" s="56" customFormat="1" ht="12.75" customHeight="1" thickBot="1">
      <c r="A4" s="80" t="s">
        <v>12</v>
      </c>
      <c r="B4" s="81" t="s">
        <v>13</v>
      </c>
      <c r="C4" s="81" t="s">
        <v>14</v>
      </c>
      <c r="D4" s="270" t="s">
        <v>15</v>
      </c>
      <c r="E4" s="271"/>
      <c r="F4" s="104" t="s">
        <v>16</v>
      </c>
      <c r="G4" s="81" t="s">
        <v>17</v>
      </c>
      <c r="H4" s="260" t="s">
        <v>18</v>
      </c>
      <c r="I4" s="261"/>
      <c r="J4" s="81" t="s">
        <v>51</v>
      </c>
      <c r="K4" s="81" t="s">
        <v>20</v>
      </c>
      <c r="L4" s="81" t="s">
        <v>21</v>
      </c>
      <c r="M4" s="81" t="s">
        <v>52</v>
      </c>
      <c r="N4" s="81" t="s">
        <v>22</v>
      </c>
      <c r="O4" s="81" t="s">
        <v>53</v>
      </c>
      <c r="P4" s="107" t="s">
        <v>26</v>
      </c>
      <c r="Q4" s="82" t="s">
        <v>27</v>
      </c>
    </row>
    <row r="5" spans="1:17" s="2" customFormat="1" ht="12.75" customHeight="1">
      <c r="A5" s="127">
        <v>1</v>
      </c>
      <c r="B5" s="21">
        <v>1</v>
      </c>
      <c r="C5" s="108" t="s">
        <v>769</v>
      </c>
      <c r="D5" s="277" t="str">
        <f>VLOOKUP(C5,Machined!C:Q,2,0)</f>
        <v>Clear Polycarb Panel Door 1 320x1873</v>
      </c>
      <c r="E5" s="278"/>
      <c r="F5" s="131" t="str">
        <f>VLOOKUP(C5,Machined!C:R,7,0)</f>
        <v>Polycarb</v>
      </c>
      <c r="G5" s="131" t="str">
        <f>VLOOKUP(C5,Machined!C:R,10,0)</f>
        <v>PRO PLASTICS</v>
      </c>
      <c r="H5" s="131" t="str">
        <f>VLOOKUP(C5,Machined!C:R,11,0)</f>
        <v>Quote 668778; &lt;2 weeks; Drawings/Step are under Polycarbonate Door NuLine</v>
      </c>
      <c r="I5" s="131"/>
      <c r="J5" s="42">
        <f>VLOOKUP(C5,Machined!C:R,12,0)</f>
        <v>45159</v>
      </c>
      <c r="K5" s="42">
        <f>VLOOKUP(C5,Machined!C:R,13,0)</f>
        <v>45188</v>
      </c>
      <c r="L5" s="42">
        <f>VLOOKUP(C5,Machined!C:R,14,0)</f>
        <v>45212</v>
      </c>
      <c r="M5" s="42">
        <f>VLOOKUP(C5,Machined!C:R,15,0)</f>
        <v>45212</v>
      </c>
      <c r="N5" s="43">
        <f>VLOOKUP(C5,Machined!C:R,16,0)</f>
        <v>55157</v>
      </c>
      <c r="O5" s="43" t="e">
        <f t="shared" ref="O5:O7" ca="1" si="0">B5*$L$2</f>
        <v>#VALUE!</v>
      </c>
      <c r="P5" s="47">
        <f>IFERROR(VLOOKUP(C5,Machined!C:F,3,0),"")</f>
        <v>54.973300000000002</v>
      </c>
      <c r="Q5" s="48">
        <f t="shared" ref="Q5:Q7" si="1">IFERROR(B5*P5,"")</f>
        <v>54.973300000000002</v>
      </c>
    </row>
    <row r="6" spans="1:17" s="2" customFormat="1" ht="12.75" customHeight="1">
      <c r="A6" s="127">
        <v>2</v>
      </c>
      <c r="B6" s="21">
        <v>2</v>
      </c>
      <c r="C6" s="108" t="s">
        <v>770</v>
      </c>
      <c r="D6" s="277" t="str">
        <f>VLOOKUP(C6,Machined!C:Q,2,0)</f>
        <v>Clear Polycarb Panel Door 2 320x2038</v>
      </c>
      <c r="E6" s="278"/>
      <c r="F6" s="131" t="str">
        <f>VLOOKUP(C6,Machined!C:R,7,0)</f>
        <v>Polycarb</v>
      </c>
      <c r="G6" s="131" t="str">
        <f>VLOOKUP(C6,Machined!C:R,10,0)</f>
        <v>PRO PLASTICS</v>
      </c>
      <c r="H6" s="131" t="str">
        <f>VLOOKUP(C6,Machined!C:R,11,0)</f>
        <v>ORDERED FROM CURBELL IN NOVEMBER 2023</v>
      </c>
      <c r="I6" s="131"/>
      <c r="J6" s="42">
        <f>VLOOKUP(C6,Machined!C:R,12,0)</f>
        <v>0</v>
      </c>
      <c r="K6" s="42">
        <f>VLOOKUP(C6,Machined!C:R,13,0)</f>
        <v>0</v>
      </c>
      <c r="L6" s="42">
        <f>VLOOKUP(C6,Machined!C:R,14,0)</f>
        <v>0</v>
      </c>
      <c r="M6" s="42">
        <f>VLOOKUP(C6,Machined!C:R,15,0)</f>
        <v>0</v>
      </c>
      <c r="N6" s="43">
        <f>VLOOKUP(C6,Machined!C:R,16,0)</f>
        <v>0</v>
      </c>
      <c r="O6" s="43" t="e">
        <f t="shared" ref="O6" ca="1" si="2">B6*$L$2</f>
        <v>#VALUE!</v>
      </c>
      <c r="P6" s="47">
        <f>IFERROR(VLOOKUP(C6,Machined!C:F,3,0),"")</f>
        <v>0</v>
      </c>
      <c r="Q6" s="48">
        <f t="shared" ref="Q6" si="3">IFERROR(B6*P6,"")</f>
        <v>0</v>
      </c>
    </row>
    <row r="7" spans="1:17" s="2" customFormat="1" ht="12.75" customHeight="1">
      <c r="A7" s="127">
        <v>3</v>
      </c>
      <c r="B7" s="21">
        <v>4</v>
      </c>
      <c r="C7" s="108" t="s">
        <v>354</v>
      </c>
      <c r="D7" s="277" t="str">
        <f>VLOOKUP(C7,Machined!C:Q,2,0)</f>
        <v>Door Support</v>
      </c>
      <c r="E7" s="278"/>
      <c r="F7" s="131" t="str">
        <f>VLOOKUP(C7,Machined!C:R,7,0)</f>
        <v>Delrin - White</v>
      </c>
      <c r="G7" s="131" t="str">
        <f>VLOOKUP(C7,Machined!C:R,10,0)</f>
        <v>BIG SKY</v>
      </c>
      <c r="H7" s="131" t="str">
        <f>VLOOKUP(C7,Machined!C:R,11,0)</f>
        <v xml:space="preserve">  </v>
      </c>
      <c r="I7" s="131"/>
      <c r="J7" s="42">
        <f>VLOOKUP(C7,Machined!C:R,12,0)</f>
        <v>45142</v>
      </c>
      <c r="K7" s="42">
        <f>VLOOKUP(C7,Machined!C:R,13,0)</f>
        <v>45146</v>
      </c>
      <c r="L7" s="42">
        <f>VLOOKUP(C7,Machined!C:R,14,0)</f>
        <v>45176</v>
      </c>
      <c r="M7" s="42">
        <f>VLOOKUP(C7,Machined!C:R,15,0)</f>
        <v>45176</v>
      </c>
      <c r="N7" s="43">
        <f>VLOOKUP(C7,Machined!C:R,16,0)</f>
        <v>55032</v>
      </c>
      <c r="O7" s="43" t="e">
        <f t="shared" ca="1" si="0"/>
        <v>#VALUE!</v>
      </c>
      <c r="P7" s="47">
        <f>IFERROR(VLOOKUP(C7,Machined!C:F,3,0),"")</f>
        <v>88</v>
      </c>
      <c r="Q7" s="48">
        <f t="shared" si="1"/>
        <v>352</v>
      </c>
    </row>
    <row r="8" spans="1:17" s="2" customFormat="1" ht="12.75" customHeight="1">
      <c r="A8" s="143"/>
      <c r="B8" s="26"/>
      <c r="C8" s="26"/>
      <c r="D8" s="272"/>
      <c r="E8" s="273"/>
      <c r="F8" s="26"/>
      <c r="G8" s="26"/>
      <c r="H8" s="274"/>
      <c r="I8" s="275"/>
      <c r="J8" s="27"/>
      <c r="K8" s="27"/>
      <c r="L8" s="27"/>
      <c r="M8" s="28"/>
      <c r="N8" s="29"/>
      <c r="O8" s="29"/>
      <c r="P8" s="141"/>
      <c r="Q8" s="142"/>
    </row>
    <row r="9" spans="1:17" s="2" customFormat="1" ht="12.75" customHeight="1">
      <c r="A9" s="4">
        <v>301</v>
      </c>
      <c r="B9" s="2">
        <v>4</v>
      </c>
      <c r="C9" s="114" t="s">
        <v>256</v>
      </c>
      <c r="D9" s="268" t="str">
        <f>VLOOKUP(C9,Purchased!A:B,2,0)</f>
        <v>BRX GOTO T-NUT 10 M8</v>
      </c>
      <c r="E9" s="269"/>
      <c r="F9" s="112" t="str">
        <f>VLOOKUP(C9,Purchased!A:Q,9,0)</f>
        <v>BRX</v>
      </c>
      <c r="G9" s="112" t="str">
        <f>VLOOKUP(C9,Purchased!A:Q,10,0)</f>
        <v>AAP</v>
      </c>
      <c r="H9" s="112" t="str">
        <f>VLOOKUP(C9,Purchased!A:Q,12,0)</f>
        <v xml:space="preserve">  </v>
      </c>
      <c r="I9" s="113"/>
      <c r="J9" s="44">
        <f>VLOOKUP(C9,Purchased!A:Q,13,0)</f>
        <v>45104</v>
      </c>
      <c r="K9" s="44">
        <f>VLOOKUP(C9,Purchased!A:Q,14,0)</f>
        <v>45105</v>
      </c>
      <c r="L9" s="44">
        <f>VLOOKUP(C9,Purchased!A:Q,15,0)</f>
        <v>45133</v>
      </c>
      <c r="M9" s="44">
        <f>VLOOKUP(C9,Purchased!A:Q,16,0)</f>
        <v>45133</v>
      </c>
      <c r="N9" s="45" t="str">
        <f>VLOOKUP(C9,Purchased!A:Q,17,0)</f>
        <v>54968, 55147</v>
      </c>
      <c r="O9" s="45" t="e">
        <f t="shared" ref="O9:O13" ca="1" si="4">B9*$L$2</f>
        <v>#VALUE!</v>
      </c>
      <c r="P9" s="49">
        <f>IFERROR(VLOOKUP(C9,Purchased!A:E,3,FALSE),"")</f>
        <v>0.64290000000000003</v>
      </c>
      <c r="Q9" s="50">
        <f t="shared" ref="Q9:Q13" si="5">IFERROR(B9*P9,"")</f>
        <v>2.5716000000000001</v>
      </c>
    </row>
    <row r="10" spans="1:17" s="2" customFormat="1" ht="12" customHeight="1">
      <c r="A10" s="4">
        <f t="shared" ref="A10:A13" si="6">A9+1</f>
        <v>302</v>
      </c>
      <c r="B10" s="2">
        <v>16</v>
      </c>
      <c r="C10" s="114" t="s">
        <v>325</v>
      </c>
      <c r="D10" s="268" t="str">
        <f>VLOOKUP(C10,Purchased!A:B,2,0)</f>
        <v>BRX GOTO T-NUT 10 M4</v>
      </c>
      <c r="E10" s="269"/>
      <c r="F10" s="112" t="str">
        <f>VLOOKUP(C10,Purchased!A:Q,9,0)</f>
        <v>BRX</v>
      </c>
      <c r="G10" s="112" t="str">
        <f>VLOOKUP(C10,Purchased!A:Q,10,0)</f>
        <v>AAP</v>
      </c>
      <c r="H10" s="112" t="str">
        <f>VLOOKUP(C10,Purchased!A:Q,12,0)</f>
        <v>14 NuLine Stock</v>
      </c>
      <c r="I10" s="113"/>
      <c r="J10" s="44">
        <f>VLOOKUP(C10,Purchased!A:Q,13,0)</f>
        <v>45104</v>
      </c>
      <c r="K10" s="44">
        <f>VLOOKUP(C10,Purchased!A:Q,14,0)</f>
        <v>45105</v>
      </c>
      <c r="L10" s="44">
        <f>VLOOKUP(C10,Purchased!A:Q,15,0)</f>
        <v>45133</v>
      </c>
      <c r="M10" s="44">
        <f>VLOOKUP(C10,Purchased!A:Q,16,0)</f>
        <v>45133</v>
      </c>
      <c r="N10" s="45">
        <f>VLOOKUP(C10,Purchased!A:Q,17,0)</f>
        <v>54968</v>
      </c>
      <c r="O10" s="45" t="e">
        <f t="shared" ca="1" si="4"/>
        <v>#VALUE!</v>
      </c>
      <c r="P10" s="49">
        <f>IFERROR(VLOOKUP(C10,Purchased!A:E,3,FALSE),"")</f>
        <v>0.64290000000000003</v>
      </c>
      <c r="Q10" s="50">
        <f t="shared" si="5"/>
        <v>10.2864</v>
      </c>
    </row>
    <row r="11" spans="1:17" s="2" customFormat="1" ht="12" customHeight="1">
      <c r="A11" s="4">
        <f t="shared" si="6"/>
        <v>303</v>
      </c>
      <c r="B11" s="2">
        <v>2</v>
      </c>
      <c r="C11" s="114" t="s">
        <v>359</v>
      </c>
      <c r="D11" s="268" t="str">
        <f>VLOOKUP(C11,Purchased!A:B,2,0)</f>
        <v>ELESA 260411-C1 Black Bridge Handle EBP.200-8-C1</v>
      </c>
      <c r="E11" s="269"/>
      <c r="F11" s="112" t="str">
        <f>VLOOKUP(C11,Purchased!A:Q,9,0)</f>
        <v>ELESA</v>
      </c>
      <c r="G11" s="112" t="str">
        <f>VLOOKUP(C11,Purchased!A:Q,10,0)</f>
        <v>ELESA</v>
      </c>
      <c r="H11" s="112">
        <f>VLOOKUP(C11,Purchased!A:Q,12,0)</f>
        <v>0</v>
      </c>
      <c r="I11" s="113"/>
      <c r="J11" s="44" t="str">
        <f>VLOOKUP(C11,Purchased!A:Q,13,0)</f>
        <v>N/A</v>
      </c>
      <c r="K11" s="44">
        <f>VLOOKUP(C11,Purchased!A:Q,14,0)</f>
        <v>45205</v>
      </c>
      <c r="L11" s="44">
        <f>VLOOKUP(C11,Purchased!A:Q,15,0)</f>
        <v>45219</v>
      </c>
      <c r="M11" s="44">
        <f>VLOOKUP(C11,Purchased!A:Q,16,0)</f>
        <v>45225</v>
      </c>
      <c r="N11" s="45">
        <f>VLOOKUP(C11,Purchased!A:Q,17,0)</f>
        <v>55195</v>
      </c>
      <c r="O11" s="45" t="e">
        <f t="shared" ca="1" si="4"/>
        <v>#VALUE!</v>
      </c>
      <c r="P11" s="49">
        <f>IFERROR(VLOOKUP(C11,Purchased!A:E,3,FALSE),"")</f>
        <v>0</v>
      </c>
      <c r="Q11" s="50">
        <f t="shared" si="5"/>
        <v>0</v>
      </c>
    </row>
    <row r="12" spans="1:17" s="2" customFormat="1" ht="12" customHeight="1">
      <c r="A12" s="4">
        <f t="shared" si="6"/>
        <v>304</v>
      </c>
      <c r="B12" s="2">
        <v>8</v>
      </c>
      <c r="C12" s="114" t="s">
        <v>244</v>
      </c>
      <c r="D12" s="268" t="str">
        <f>VLOOKUP(C12,Purchased!A:B,2,0)</f>
        <v>BRX GOTO QUICK CONNECTOR N10 0°</v>
      </c>
      <c r="E12" s="269"/>
      <c r="F12" s="112" t="str">
        <f>VLOOKUP(C12,Purchased!A:Q,9,0)</f>
        <v>BRX</v>
      </c>
      <c r="G12" s="112" t="str">
        <f>VLOOKUP(C12,Purchased!A:Q,10,0)</f>
        <v>AAP</v>
      </c>
      <c r="H12" s="112" t="str">
        <f>VLOOKUP(C12,Purchased!A:Q,12,0)</f>
        <v>17 in stock</v>
      </c>
      <c r="I12" s="113"/>
      <c r="J12" s="44" t="str">
        <f>VLOOKUP(C12,Purchased!A:Q,13,0)</f>
        <v>N/A</v>
      </c>
      <c r="K12" s="44">
        <f>VLOOKUP(C12,Purchased!A:Q,14,0)</f>
        <v>45089</v>
      </c>
      <c r="L12" s="44">
        <f>VLOOKUP(C12,Purchased!A:Q,15,0)</f>
        <v>45124</v>
      </c>
      <c r="M12" s="44">
        <f>VLOOKUP(C12,Purchased!A:Q,16,0)</f>
        <v>45124</v>
      </c>
      <c r="N12" s="45" t="str">
        <f>VLOOKUP(C12,Purchased!A:Q,17,0)</f>
        <v>500x54927, 500x55060</v>
      </c>
      <c r="O12" s="45" t="e">
        <f t="shared" ca="1" si="4"/>
        <v>#VALUE!</v>
      </c>
      <c r="P12" s="49">
        <f>IFERROR(VLOOKUP(C12,Purchased!A:E,3,FALSE),"")</f>
        <v>5.2857000000000003</v>
      </c>
      <c r="Q12" s="50">
        <f t="shared" si="5"/>
        <v>42.285600000000002</v>
      </c>
    </row>
    <row r="13" spans="1:17" s="2" customFormat="1" ht="12" customHeight="1">
      <c r="A13" s="4">
        <f t="shared" si="6"/>
        <v>305</v>
      </c>
      <c r="B13" s="2">
        <v>6</v>
      </c>
      <c r="C13" s="114" t="s">
        <v>771</v>
      </c>
      <c r="D13" s="268" t="str">
        <f>VLOOKUP(C13,Purchased!A:B,2,0)</f>
        <v>BRX GOTO HINGE AL 45/45, 2PK</v>
      </c>
      <c r="E13" s="269"/>
      <c r="F13" s="112" t="str">
        <f>VLOOKUP(C13,Purchased!A:Q,9,0)</f>
        <v>BRX</v>
      </c>
      <c r="G13" s="112" t="str">
        <f>VLOOKUP(C13,Purchased!A:Q,10,0)</f>
        <v>AAP</v>
      </c>
      <c r="H13" s="112" t="str">
        <f>VLOOKUP(C13,Purchased!A:Q,12,0)</f>
        <v xml:space="preserve">  </v>
      </c>
      <c r="I13" s="113"/>
      <c r="J13" s="44" t="str">
        <f>VLOOKUP(C13,Purchased!A:Q,13,0)</f>
        <v>N/A</v>
      </c>
      <c r="K13" s="44">
        <f>VLOOKUP(C13,Purchased!A:Q,14,0)</f>
        <v>45162</v>
      </c>
      <c r="L13" s="44">
        <f>VLOOKUP(C13,Purchased!A:Q,15,0)</f>
        <v>45184</v>
      </c>
      <c r="M13" s="44">
        <f>VLOOKUP(C13,Purchased!A:Q,16,0)</f>
        <v>45197</v>
      </c>
      <c r="N13" s="45">
        <f>VLOOKUP(C13,Purchased!A:Q,17,0)</f>
        <v>55073</v>
      </c>
      <c r="O13" s="45" t="e">
        <f t="shared" ca="1" si="4"/>
        <v>#VALUE!</v>
      </c>
      <c r="P13" s="49">
        <f>IFERROR(VLOOKUP(C13,Purchased!A:E,3,FALSE),"")</f>
        <v>25.428599999999999</v>
      </c>
      <c r="Q13" s="50">
        <f t="shared" si="5"/>
        <v>152.57159999999999</v>
      </c>
    </row>
    <row r="14" spans="1:17" s="2" customFormat="1" ht="12.75" customHeight="1">
      <c r="A14" s="25"/>
      <c r="B14" s="26"/>
      <c r="C14" s="26"/>
      <c r="D14" s="272"/>
      <c r="E14" s="273"/>
      <c r="F14" s="26"/>
      <c r="G14" s="26"/>
      <c r="H14" s="274"/>
      <c r="I14" s="275"/>
      <c r="J14" s="27"/>
      <c r="K14" s="27"/>
      <c r="L14" s="27"/>
      <c r="M14" s="28"/>
      <c r="N14" s="29"/>
      <c r="O14" s="29" t="e">
        <f t="shared" ref="O14:O16" ca="1" si="7">B14*$L$2</f>
        <v>#VALUE!</v>
      </c>
      <c r="P14" s="141"/>
      <c r="Q14" s="142"/>
    </row>
    <row r="15" spans="1:17" s="2" customFormat="1" ht="12.75" customHeight="1">
      <c r="A15" s="4">
        <v>501</v>
      </c>
      <c r="B15" s="2">
        <v>16</v>
      </c>
      <c r="C15" s="110" t="s">
        <v>480</v>
      </c>
      <c r="D15" s="268"/>
      <c r="E15" s="276"/>
      <c r="F15" s="112" t="str">
        <f>VLOOKUP(C15,Bolts!A:L,5,0)</f>
        <v xml:space="preserve">  </v>
      </c>
      <c r="G15" s="112" t="str">
        <f>VLOOKUP(C15,Bolts!A:L,6,0)</f>
        <v>Monroe Fasteners</v>
      </c>
      <c r="H15" s="112" t="str">
        <f>VLOOKUP(C15,Bolts!A:L,7,0)</f>
        <v xml:space="preserve">  </v>
      </c>
      <c r="I15" s="112"/>
      <c r="J15" s="44" t="str">
        <f>VLOOKUP(C15,Bolts!A:L,8,0)</f>
        <v xml:space="preserve"> </v>
      </c>
      <c r="K15" s="44" t="str">
        <f>VLOOKUP(C15,Bolts!A:L,9,0)</f>
        <v xml:space="preserve"> </v>
      </c>
      <c r="L15" s="44" t="str">
        <f>VLOOKUP(C15,Bolts!A:L,10,0)</f>
        <v xml:space="preserve"> </v>
      </c>
      <c r="M15" s="44" t="str">
        <f>VLOOKUP(C15,Bolts!A:L,11,0)</f>
        <v xml:space="preserve"> </v>
      </c>
      <c r="N15" s="45" t="str">
        <f>VLOOKUP(C15,Bolts!A:L,12,0)</f>
        <v xml:space="preserve"> </v>
      </c>
      <c r="O15" s="45" t="e">
        <f t="shared" ca="1" si="7"/>
        <v>#VALUE!</v>
      </c>
      <c r="P15" s="49" t="str">
        <f>IFERROR(VLOOKUP(C15,Bolts!A:B,2,FALSE),"")</f>
        <v xml:space="preserve"> </v>
      </c>
      <c r="Q15" s="50" t="str">
        <f t="shared" ref="Q15:Q16" si="8">IFERROR(B15*P15,"")</f>
        <v/>
      </c>
    </row>
    <row r="16" spans="1:17" s="2" customFormat="1" ht="12.75" customHeight="1">
      <c r="A16" s="4">
        <f t="shared" ref="A16" si="9">A15+1</f>
        <v>502</v>
      </c>
      <c r="B16" s="2">
        <v>4</v>
      </c>
      <c r="C16" s="110" t="s">
        <v>362</v>
      </c>
      <c r="D16" s="268"/>
      <c r="E16" s="276"/>
      <c r="F16" s="112" t="str">
        <f>VLOOKUP(C16,Bolts!A:L,5,0)</f>
        <v xml:space="preserve">  </v>
      </c>
      <c r="G16" s="112" t="str">
        <f>VLOOKUP(C16,Bolts!A:L,6,0)</f>
        <v>Monroe Fasteners</v>
      </c>
      <c r="H16" s="112" t="str">
        <f>VLOOKUP(C16,Bolts!A:L,7,0)</f>
        <v xml:space="preserve">  </v>
      </c>
      <c r="I16" s="112"/>
      <c r="J16" s="44" t="str">
        <f>VLOOKUP(C16,Bolts!A:L,8,0)</f>
        <v xml:space="preserve"> </v>
      </c>
      <c r="K16" s="44" t="str">
        <f>VLOOKUP(C16,Bolts!A:L,9,0)</f>
        <v xml:space="preserve"> </v>
      </c>
      <c r="L16" s="44" t="str">
        <f>VLOOKUP(C16,Bolts!A:L,10,0)</f>
        <v xml:space="preserve"> </v>
      </c>
      <c r="M16" s="44" t="str">
        <f>VLOOKUP(C16,Bolts!A:L,11,0)</f>
        <v xml:space="preserve"> </v>
      </c>
      <c r="N16" s="45" t="str">
        <f>VLOOKUP(C16,Bolts!A:L,12,0)</f>
        <v xml:space="preserve"> </v>
      </c>
      <c r="O16" s="45" t="e">
        <f t="shared" ca="1" si="7"/>
        <v>#VALUE!</v>
      </c>
      <c r="P16" s="49" t="str">
        <f>IFERROR(VLOOKUP(C16,Bolts!A:B,2,FALSE),"")</f>
        <v xml:space="preserve"> </v>
      </c>
      <c r="Q16" s="50" t="str">
        <f t="shared" si="8"/>
        <v/>
      </c>
    </row>
    <row r="17" spans="1:17" s="2" customFormat="1" ht="12.75" customHeight="1">
      <c r="A17" s="25"/>
      <c r="B17" s="26"/>
      <c r="C17" s="26"/>
      <c r="D17" s="272"/>
      <c r="E17" s="273"/>
      <c r="F17" s="26"/>
      <c r="G17" s="26"/>
      <c r="H17" s="274"/>
      <c r="I17" s="275"/>
      <c r="J17" s="27"/>
      <c r="K17" s="27"/>
      <c r="L17" s="27"/>
      <c r="M17" s="28"/>
      <c r="N17" s="29"/>
      <c r="O17" s="29"/>
      <c r="P17" s="141"/>
      <c r="Q17" s="142"/>
    </row>
    <row r="18" spans="1:17" s="2" customFormat="1" ht="12.75" customHeight="1">
      <c r="A18" s="4">
        <v>701</v>
      </c>
      <c r="B18" s="2">
        <v>4</v>
      </c>
      <c r="C18" s="111" t="s">
        <v>772</v>
      </c>
      <c r="D18" s="268" t="str">
        <f>VLOOKUP(C18,Extrusion!B:C,2,0)</f>
        <v>Doors</v>
      </c>
      <c r="E18" s="269"/>
      <c r="F18" s="112" t="str">
        <f>VLOOKUP(C18,Extrusion!B:M,6,0)</f>
        <v>BOSCH</v>
      </c>
      <c r="G18" s="112" t="str">
        <f>VLOOKUP(C18,Extrusion!B:M,7,0)</f>
        <v>NULINE</v>
      </c>
      <c r="H18" s="112" t="str">
        <f>VLOOKUP(C18,Extrusion!B:M,8,0)</f>
        <v xml:space="preserve"> </v>
      </c>
      <c r="I18" s="113"/>
      <c r="J18" s="44" t="str">
        <f>VLOOKUP(C18,Extrusion!B:M,9,0)</f>
        <v>N/A</v>
      </c>
      <c r="K18" s="44">
        <f>VLOOKUP(C18,Extrusion!B:M,10,0)</f>
        <v>44894</v>
      </c>
      <c r="L18" s="44">
        <f>VLOOKUP(C18,Extrusion!B:M,11,0)</f>
        <v>44970</v>
      </c>
      <c r="M18" s="44">
        <f>VLOOKUP(C18,Extrusion!B:M,12,0)</f>
        <v>44970</v>
      </c>
      <c r="N18" s="45">
        <f>VLOOKUP(C18,Extrusion!B:N,13,0)</f>
        <v>54598</v>
      </c>
      <c r="O18" s="45" t="e">
        <f t="shared" ref="O18:O19" ca="1" si="10">B18*$L$2</f>
        <v>#VALUE!</v>
      </c>
      <c r="P18" s="49">
        <f>IFERROR(VLOOKUP(C18,Extrusion!B:F,5,0),"")</f>
        <v>24.584839500000001</v>
      </c>
      <c r="Q18" s="50">
        <f t="shared" ref="Q18:Q19" si="11">IFERROR(B18*P18,"")</f>
        <v>98.339358000000004</v>
      </c>
    </row>
    <row r="19" spans="1:17" s="2" customFormat="1" ht="12" customHeight="1">
      <c r="A19" s="4">
        <f t="shared" ref="A19" si="12">A18+1</f>
        <v>702</v>
      </c>
      <c r="B19" s="2">
        <v>2</v>
      </c>
      <c r="C19" s="111" t="s">
        <v>773</v>
      </c>
      <c r="D19" s="268" t="str">
        <f>VLOOKUP(C19,Extrusion!B:C,2,0)</f>
        <v>Assy .120</v>
      </c>
      <c r="E19" s="269"/>
      <c r="F19" s="112" t="str">
        <f>VLOOKUP(C19,Extrusion!B:M,6,0)</f>
        <v>BOSCH</v>
      </c>
      <c r="G19" s="112" t="str">
        <f>VLOOKUP(C19,Extrusion!B:M,7,0)</f>
        <v>NULINE</v>
      </c>
      <c r="H19" s="112" t="str">
        <f>VLOOKUP(C19,Extrusion!B:M,8,0)</f>
        <v xml:space="preserve"> </v>
      </c>
      <c r="I19" s="113"/>
      <c r="J19" s="44" t="str">
        <f>VLOOKUP(C19,Extrusion!B:M,9,0)</f>
        <v>N/A</v>
      </c>
      <c r="K19" s="44">
        <f>VLOOKUP(C19,Extrusion!B:M,10,0)</f>
        <v>44894</v>
      </c>
      <c r="L19" s="44">
        <f>VLOOKUP(C19,Extrusion!B:M,11,0)</f>
        <v>44970</v>
      </c>
      <c r="M19" s="44">
        <f>VLOOKUP(C19,Extrusion!B:M,12,0)</f>
        <v>44970</v>
      </c>
      <c r="N19" s="45">
        <f>VLOOKUP(C19,Extrusion!B:N,13,0)</f>
        <v>54598</v>
      </c>
      <c r="O19" s="45" t="e">
        <f t="shared" ca="1" si="10"/>
        <v>#VALUE!</v>
      </c>
      <c r="P19" s="49">
        <f>IFERROR(VLOOKUP(C19,Extrusion!B:F,5,0),"")</f>
        <v>59.377451566666657</v>
      </c>
      <c r="Q19" s="50">
        <f t="shared" si="11"/>
        <v>118.75490313333331</v>
      </c>
    </row>
    <row r="20" spans="1:17" s="2" customFormat="1" ht="12" customHeight="1" thickBot="1">
      <c r="A20" s="4">
        <v>703</v>
      </c>
      <c r="B20" s="2">
        <v>2</v>
      </c>
      <c r="C20" s="111" t="s">
        <v>774</v>
      </c>
      <c r="D20" s="268" t="str">
        <f>VLOOKUP(C20,Extrusion!B:C,2,0)</f>
        <v>Assy .120</v>
      </c>
      <c r="E20" s="269"/>
      <c r="F20" s="112" t="str">
        <f>VLOOKUP(C20,Extrusion!B:M,6,0)</f>
        <v>BOSCH</v>
      </c>
      <c r="G20" s="112" t="str">
        <f>VLOOKUP(C20,Extrusion!B:M,7,0)</f>
        <v>NULINE</v>
      </c>
      <c r="H20" s="112" t="str">
        <f>VLOOKUP(C20,Extrusion!B:M,8,0)</f>
        <v xml:space="preserve"> </v>
      </c>
      <c r="I20" s="113"/>
      <c r="J20" s="44" t="str">
        <f>VLOOKUP(C20,Extrusion!B:M,9,0)</f>
        <v>N/A</v>
      </c>
      <c r="K20" s="44">
        <f>VLOOKUP(C20,Extrusion!B:M,10,0)</f>
        <v>44894</v>
      </c>
      <c r="L20" s="44">
        <f>VLOOKUP(C20,Extrusion!B:M,11,0)</f>
        <v>44970</v>
      </c>
      <c r="M20" s="44">
        <f>VLOOKUP(C20,Extrusion!B:M,12,0)</f>
        <v>44970</v>
      </c>
      <c r="N20" s="45">
        <f>VLOOKUP(C20,Extrusion!B:N,13,0)</f>
        <v>54598</v>
      </c>
      <c r="O20" s="45" t="e">
        <f t="shared" ref="O20" ca="1" si="13">B20*$L$2</f>
        <v>#VALUE!</v>
      </c>
      <c r="P20" s="49">
        <f>IFERROR(VLOOKUP(C20,Extrusion!B:F,5,0),"")</f>
        <v>55.85117331666666</v>
      </c>
      <c r="Q20" s="50">
        <f t="shared" ref="Q20" si="14">IFERROR(B20*P20,"")</f>
        <v>111.70234663333332</v>
      </c>
    </row>
    <row r="21" spans="1:17" s="2" customFormat="1" ht="12.75" customHeight="1" thickBot="1">
      <c r="A21" s="34"/>
      <c r="B21" s="35"/>
      <c r="C21" s="35"/>
      <c r="D21" s="256"/>
      <c r="E21" s="257"/>
      <c r="F21" s="35"/>
      <c r="G21" s="35"/>
      <c r="H21" s="294"/>
      <c r="I21" s="295"/>
      <c r="J21" s="36"/>
      <c r="K21" s="36"/>
      <c r="L21" s="36"/>
      <c r="M21" s="37"/>
      <c r="N21" s="38"/>
      <c r="O21" s="38"/>
      <c r="P21" s="89" t="s">
        <v>43</v>
      </c>
      <c r="Q21" s="94">
        <f>SUM(Q5:Q19)</f>
        <v>831.78276113333322</v>
      </c>
    </row>
    <row r="22" spans="1:17" s="2" customFormat="1" ht="12" customHeight="1">
      <c r="D22" s="22"/>
      <c r="E22" s="22"/>
      <c r="J22" s="8"/>
      <c r="K22" s="8"/>
      <c r="L22" s="8"/>
      <c r="M22" s="8"/>
      <c r="N22" s="5"/>
      <c r="O22" s="5"/>
      <c r="P22" s="88"/>
      <c r="Q22" s="95"/>
    </row>
    <row r="23" spans="1:17" s="2" customFormat="1" ht="12" customHeight="1">
      <c r="D23" s="22"/>
      <c r="E23" s="22"/>
      <c r="J23" s="5"/>
      <c r="K23" s="5"/>
      <c r="L23" s="5"/>
      <c r="M23" s="5"/>
      <c r="N23" s="5"/>
      <c r="O23" s="5"/>
      <c r="P23" s="88"/>
      <c r="Q23" s="95"/>
    </row>
    <row r="24" spans="1:17" s="2" customFormat="1" ht="12" customHeight="1">
      <c r="D24" s="22"/>
      <c r="E24" s="22"/>
      <c r="J24" s="5"/>
      <c r="K24" s="5"/>
      <c r="L24" s="5"/>
      <c r="M24" s="5"/>
      <c r="N24" s="5"/>
      <c r="O24" s="5"/>
      <c r="P24" s="88"/>
      <c r="Q24" s="95"/>
    </row>
    <row r="25" spans="1:17" s="2" customFormat="1" ht="12" customHeight="1">
      <c r="D25" s="22"/>
      <c r="E25" s="22"/>
      <c r="J25" s="5"/>
      <c r="K25" s="5"/>
      <c r="L25" s="5"/>
      <c r="M25" s="5"/>
      <c r="N25" s="5"/>
      <c r="O25" s="5"/>
      <c r="P25" s="88"/>
      <c r="Q25" s="95"/>
    </row>
    <row r="26" spans="1:17" s="2" customFormat="1" ht="12" customHeight="1">
      <c r="D26" s="22"/>
      <c r="E26" s="22"/>
      <c r="J26" s="5"/>
      <c r="K26" s="5"/>
      <c r="L26" s="5"/>
      <c r="M26" s="5"/>
      <c r="N26" s="5"/>
      <c r="O26" s="5"/>
      <c r="P26" s="88"/>
      <c r="Q26" s="95"/>
    </row>
    <row r="27" spans="1:17" s="2" customFormat="1" ht="12" customHeight="1">
      <c r="D27" s="22"/>
      <c r="E27" s="22"/>
      <c r="J27" s="5"/>
      <c r="K27" s="5"/>
      <c r="L27" s="5"/>
      <c r="M27" s="5"/>
      <c r="N27" s="5"/>
      <c r="O27" s="5"/>
      <c r="P27" s="88"/>
      <c r="Q27" s="95"/>
    </row>
    <row r="28" spans="1:17" s="2" customFormat="1" ht="12" customHeight="1">
      <c r="D28" s="22"/>
      <c r="E28" s="22"/>
      <c r="J28" s="5"/>
      <c r="K28" s="5"/>
      <c r="L28" s="5"/>
      <c r="M28" s="5"/>
      <c r="N28" s="5"/>
      <c r="O28" s="5"/>
      <c r="P28" s="88"/>
      <c r="Q28" s="95"/>
    </row>
    <row r="29" spans="1:17" s="2" customFormat="1" ht="12" customHeight="1">
      <c r="D29" s="22"/>
      <c r="E29" s="22"/>
      <c r="J29" s="5"/>
      <c r="K29" s="5"/>
      <c r="L29" s="5"/>
      <c r="M29" s="5"/>
      <c r="N29" s="5"/>
      <c r="O29" s="5"/>
      <c r="P29" s="88"/>
      <c r="Q29" s="95"/>
    </row>
    <row r="30" spans="1:17" s="2" customFormat="1" ht="12" customHeight="1">
      <c r="D30" s="22"/>
      <c r="E30" s="22"/>
      <c r="J30" s="5"/>
      <c r="K30" s="5"/>
      <c r="L30" s="5"/>
      <c r="M30" s="5"/>
      <c r="N30" s="5"/>
      <c r="O30" s="5"/>
      <c r="P30" s="88"/>
      <c r="Q30" s="95"/>
    </row>
    <row r="31" spans="1:17" s="2" customFormat="1" ht="12" customHeight="1">
      <c r="D31" s="22"/>
      <c r="E31" s="22"/>
      <c r="J31" s="5"/>
      <c r="K31" s="5"/>
      <c r="L31" s="5"/>
      <c r="M31" s="5"/>
      <c r="N31" s="5"/>
      <c r="O31" s="5"/>
      <c r="P31" s="88"/>
      <c r="Q31" s="95"/>
    </row>
    <row r="32" spans="1:17" s="2" customFormat="1" ht="12" customHeight="1">
      <c r="D32" s="22"/>
      <c r="E32" s="22"/>
      <c r="J32" s="5"/>
      <c r="K32" s="5"/>
      <c r="L32" s="5"/>
      <c r="M32" s="5"/>
      <c r="N32" s="5"/>
      <c r="O32" s="5"/>
      <c r="P32" s="88"/>
      <c r="Q32" s="95"/>
    </row>
    <row r="33" spans="4:17" s="2" customFormat="1" ht="12" customHeight="1">
      <c r="D33" s="22"/>
      <c r="E33" s="22"/>
      <c r="J33" s="5"/>
      <c r="K33" s="5"/>
      <c r="L33" s="5"/>
      <c r="M33" s="5"/>
      <c r="N33" s="5"/>
      <c r="O33" s="5"/>
      <c r="P33" s="88"/>
      <c r="Q33" s="95"/>
    </row>
    <row r="34" spans="4:17" s="2" customFormat="1" ht="12" customHeight="1">
      <c r="D34" s="22"/>
      <c r="E34" s="22"/>
      <c r="J34" s="5"/>
      <c r="K34" s="5"/>
      <c r="L34" s="5"/>
      <c r="M34" s="5"/>
      <c r="N34" s="5"/>
      <c r="O34" s="5"/>
      <c r="P34" s="88"/>
      <c r="Q34" s="95"/>
    </row>
    <row r="35" spans="4:17" s="2" customFormat="1" ht="12" customHeight="1">
      <c r="D35" s="22"/>
      <c r="E35" s="22"/>
      <c r="J35" s="5"/>
      <c r="K35" s="5"/>
      <c r="L35" s="5"/>
      <c r="M35" s="5"/>
      <c r="N35" s="5"/>
      <c r="O35" s="5"/>
      <c r="P35" s="88"/>
      <c r="Q35" s="95"/>
    </row>
    <row r="36" spans="4:17" s="2" customFormat="1" ht="12" customHeight="1">
      <c r="D36" s="22"/>
      <c r="E36" s="22"/>
      <c r="J36" s="5"/>
      <c r="K36" s="5"/>
      <c r="L36" s="5"/>
      <c r="M36" s="5"/>
      <c r="N36" s="5"/>
      <c r="O36" s="5"/>
      <c r="P36" s="88"/>
      <c r="Q36" s="95"/>
    </row>
    <row r="37" spans="4:17" s="2" customFormat="1" ht="12" customHeight="1">
      <c r="D37" s="22"/>
      <c r="E37" s="22"/>
      <c r="J37" s="5"/>
      <c r="K37" s="5"/>
      <c r="L37" s="5"/>
      <c r="M37" s="5"/>
      <c r="N37" s="5"/>
      <c r="O37" s="5"/>
      <c r="P37" s="88"/>
      <c r="Q37" s="95"/>
    </row>
    <row r="38" spans="4:17" s="2" customFormat="1" ht="12" customHeight="1">
      <c r="D38" s="22"/>
      <c r="E38" s="22"/>
      <c r="J38" s="5"/>
      <c r="K38" s="5"/>
      <c r="L38" s="5"/>
      <c r="M38" s="5"/>
      <c r="N38" s="5"/>
      <c r="O38" s="5"/>
      <c r="P38" s="88"/>
      <c r="Q38" s="95"/>
    </row>
    <row r="39" spans="4:17" s="2" customFormat="1" ht="12" customHeight="1">
      <c r="D39" s="22"/>
      <c r="E39" s="22"/>
      <c r="J39" s="5"/>
      <c r="K39" s="5"/>
      <c r="L39" s="5"/>
      <c r="M39" s="5"/>
      <c r="N39" s="5"/>
      <c r="O39" s="5"/>
      <c r="P39" s="88"/>
      <c r="Q39" s="95"/>
    </row>
    <row r="40" spans="4:17" s="2" customFormat="1" ht="12" customHeight="1">
      <c r="D40" s="22"/>
      <c r="E40" s="22"/>
      <c r="J40" s="5"/>
      <c r="K40" s="5"/>
      <c r="L40" s="5"/>
      <c r="M40" s="5"/>
      <c r="N40" s="5"/>
      <c r="O40" s="5"/>
      <c r="P40" s="88"/>
      <c r="Q40" s="95"/>
    </row>
    <row r="41" spans="4:17" s="2" customFormat="1" ht="12" customHeight="1">
      <c r="D41" s="22"/>
      <c r="E41" s="22"/>
      <c r="J41" s="5"/>
      <c r="K41" s="5"/>
      <c r="L41" s="5"/>
      <c r="M41" s="5"/>
      <c r="N41" s="5"/>
      <c r="O41" s="5"/>
      <c r="P41" s="88"/>
      <c r="Q41" s="95"/>
    </row>
    <row r="42" spans="4:17" s="2" customFormat="1" ht="12" customHeight="1">
      <c r="D42" s="22"/>
      <c r="E42" s="22"/>
      <c r="J42" s="5"/>
      <c r="K42" s="5"/>
      <c r="L42" s="5"/>
      <c r="M42" s="5"/>
      <c r="N42" s="5"/>
      <c r="O42" s="5"/>
      <c r="P42" s="88"/>
      <c r="Q42" s="95"/>
    </row>
    <row r="43" spans="4:17" s="2" customFormat="1" ht="12" customHeight="1">
      <c r="D43" s="22"/>
      <c r="E43" s="22"/>
      <c r="J43" s="5"/>
      <c r="K43" s="5"/>
      <c r="L43" s="5"/>
      <c r="M43" s="5"/>
      <c r="N43" s="5"/>
      <c r="O43" s="5"/>
      <c r="P43" s="88"/>
      <c r="Q43" s="95"/>
    </row>
    <row r="44" spans="4:17" s="2" customFormat="1" ht="12" customHeight="1">
      <c r="D44" s="22"/>
      <c r="E44" s="22"/>
      <c r="J44" s="5"/>
      <c r="K44" s="5"/>
      <c r="L44" s="5"/>
      <c r="M44" s="5"/>
      <c r="N44" s="5"/>
      <c r="O44" s="5"/>
      <c r="P44" s="88"/>
      <c r="Q44" s="95"/>
    </row>
    <row r="45" spans="4:17" s="2" customFormat="1" ht="12" customHeight="1">
      <c r="D45" s="22"/>
      <c r="E45" s="22"/>
      <c r="J45" s="5"/>
      <c r="K45" s="5"/>
      <c r="L45" s="5"/>
      <c r="M45" s="5"/>
      <c r="N45" s="5"/>
      <c r="O45" s="5"/>
      <c r="P45" s="88"/>
      <c r="Q45" s="95"/>
    </row>
    <row r="46" spans="4:17" s="2" customFormat="1" ht="12" customHeight="1">
      <c r="D46" s="22"/>
      <c r="E46" s="22"/>
      <c r="J46" s="5"/>
      <c r="K46" s="5"/>
      <c r="L46" s="5"/>
      <c r="M46" s="5"/>
      <c r="N46" s="5"/>
      <c r="O46" s="5"/>
      <c r="P46" s="88"/>
      <c r="Q46" s="95"/>
    </row>
    <row r="47" spans="4:17" s="2" customFormat="1" ht="12" customHeight="1">
      <c r="D47" s="22"/>
      <c r="E47" s="22"/>
      <c r="J47" s="5"/>
      <c r="K47" s="5"/>
      <c r="L47" s="5"/>
      <c r="M47" s="5"/>
      <c r="N47" s="5"/>
      <c r="O47" s="5"/>
      <c r="P47" s="88"/>
      <c r="Q47" s="95"/>
    </row>
    <row r="48" spans="4:17" s="2" customFormat="1" ht="12" customHeight="1">
      <c r="D48" s="22"/>
      <c r="E48" s="22"/>
      <c r="J48" s="5"/>
      <c r="K48" s="5"/>
      <c r="L48" s="5"/>
      <c r="M48" s="5"/>
      <c r="N48" s="5"/>
      <c r="O48" s="5"/>
      <c r="P48" s="88"/>
      <c r="Q48" s="95"/>
    </row>
    <row r="49" spans="1:17" s="2" customFormat="1" ht="12" customHeight="1">
      <c r="D49" s="22"/>
      <c r="E49" s="22"/>
      <c r="J49" s="5"/>
      <c r="K49" s="5"/>
      <c r="L49" s="5"/>
      <c r="M49" s="5"/>
      <c r="N49" s="5"/>
      <c r="O49" s="5"/>
      <c r="P49" s="88"/>
      <c r="Q49" s="95"/>
    </row>
    <row r="50" spans="1:17" s="2" customFormat="1" ht="12" customHeight="1">
      <c r="D50" s="22"/>
      <c r="E50" s="22"/>
      <c r="J50" s="5"/>
      <c r="K50" s="5"/>
      <c r="L50" s="5"/>
      <c r="M50" s="5"/>
      <c r="N50" s="5"/>
      <c r="O50" s="5"/>
      <c r="P50" s="88"/>
      <c r="Q50" s="95"/>
    </row>
    <row r="51" spans="1:17" s="2" customFormat="1" ht="12" customHeight="1">
      <c r="D51" s="22"/>
      <c r="E51" s="22"/>
      <c r="J51" s="5"/>
      <c r="K51" s="5"/>
      <c r="L51" s="5"/>
      <c r="M51" s="5"/>
      <c r="N51" s="5"/>
      <c r="O51" s="5"/>
      <c r="P51" s="88"/>
      <c r="Q51" s="95"/>
    </row>
    <row r="52" spans="1:17" s="2" customFormat="1" ht="12" customHeight="1">
      <c r="D52" s="22"/>
      <c r="E52" s="22"/>
      <c r="J52" s="5"/>
      <c r="K52" s="5"/>
      <c r="L52" s="5"/>
      <c r="M52" s="5"/>
      <c r="N52" s="5"/>
      <c r="O52" s="5"/>
      <c r="P52" s="88"/>
      <c r="Q52" s="95"/>
    </row>
    <row r="53" spans="1:17" s="2" customFormat="1" ht="12" customHeight="1">
      <c r="D53" s="22"/>
      <c r="E53" s="22"/>
      <c r="J53" s="5"/>
      <c r="K53" s="5"/>
      <c r="L53" s="5"/>
      <c r="M53" s="5"/>
      <c r="N53" s="5"/>
      <c r="O53" s="5"/>
      <c r="P53" s="88"/>
      <c r="Q53" s="95"/>
    </row>
    <row r="54" spans="1:17" s="2" customFormat="1" ht="12" customHeight="1">
      <c r="D54" s="22"/>
      <c r="E54" s="22"/>
      <c r="J54" s="5"/>
      <c r="K54" s="5"/>
      <c r="L54" s="5"/>
      <c r="M54" s="5"/>
      <c r="N54" s="5"/>
      <c r="O54" s="5"/>
      <c r="P54" s="88"/>
      <c r="Q54" s="95"/>
    </row>
    <row r="55" spans="1:17" s="2" customFormat="1" ht="12" customHeight="1">
      <c r="D55" s="22"/>
      <c r="E55" s="22"/>
      <c r="J55" s="5"/>
      <c r="K55" s="5"/>
      <c r="L55" s="5"/>
      <c r="M55" s="5"/>
      <c r="N55" s="5"/>
      <c r="O55" s="5"/>
      <c r="P55" s="88"/>
      <c r="Q55" s="95"/>
    </row>
    <row r="56" spans="1:17" s="2" customFormat="1" ht="12" customHeight="1">
      <c r="D56" s="22"/>
      <c r="E56" s="22"/>
      <c r="J56" s="5"/>
      <c r="K56" s="5"/>
      <c r="L56" s="5"/>
      <c r="M56" s="5"/>
      <c r="N56" s="5"/>
      <c r="O56" s="5"/>
      <c r="P56" s="88"/>
      <c r="Q56" s="95"/>
    </row>
    <row r="57" spans="1:17" s="2" customFormat="1" ht="12" customHeight="1">
      <c r="D57" s="22"/>
      <c r="E57" s="22"/>
      <c r="J57" s="5"/>
      <c r="K57" s="5"/>
      <c r="L57" s="5"/>
      <c r="M57" s="5"/>
      <c r="N57" s="5"/>
      <c r="O57" s="5"/>
      <c r="P57" s="88"/>
      <c r="Q57" s="95"/>
    </row>
    <row r="58" spans="1:17" s="2" customFormat="1" ht="12" customHeight="1">
      <c r="D58" s="22"/>
      <c r="E58" s="22"/>
      <c r="J58" s="5"/>
      <c r="K58" s="5"/>
      <c r="L58" s="5"/>
      <c r="M58" s="5"/>
      <c r="N58" s="5"/>
      <c r="O58" s="5"/>
      <c r="P58" s="88"/>
      <c r="Q58" s="95"/>
    </row>
    <row r="59" spans="1:17" s="2" customFormat="1" ht="12" customHeight="1">
      <c r="D59" s="22"/>
      <c r="E59" s="22"/>
      <c r="J59" s="5"/>
      <c r="K59" s="5"/>
      <c r="L59" s="5"/>
      <c r="M59" s="5"/>
      <c r="N59" s="5"/>
      <c r="O59" s="5"/>
      <c r="P59" s="88"/>
      <c r="Q59" s="95"/>
    </row>
    <row r="60" spans="1:17" s="2" customFormat="1" ht="12" customHeight="1">
      <c r="D60" s="22"/>
      <c r="E60" s="22"/>
      <c r="J60" s="5"/>
      <c r="K60" s="5"/>
      <c r="L60" s="5"/>
      <c r="M60" s="5"/>
      <c r="N60" s="5"/>
      <c r="O60" s="5"/>
      <c r="P60" s="88"/>
      <c r="Q60" s="96"/>
    </row>
    <row r="61" spans="1:17" s="2" customFormat="1" ht="12" customHeight="1">
      <c r="D61" s="22"/>
      <c r="E61" s="22"/>
      <c r="J61" s="5"/>
      <c r="K61" s="5"/>
      <c r="L61" s="5"/>
      <c r="M61" s="5"/>
      <c r="N61" s="5"/>
      <c r="O61" s="5"/>
      <c r="P61" s="88"/>
      <c r="Q61" s="96"/>
    </row>
    <row r="62" spans="1:17" s="2" customFormat="1" ht="12" customHeight="1">
      <c r="D62" s="22"/>
      <c r="E62" s="22"/>
      <c r="J62" s="5"/>
      <c r="K62" s="5"/>
      <c r="L62" s="5"/>
      <c r="M62" s="5"/>
      <c r="N62" s="5"/>
      <c r="O62" s="5"/>
      <c r="P62" s="88"/>
      <c r="Q62" s="96"/>
    </row>
    <row r="63" spans="1:17" s="2" customFormat="1" ht="12" customHeight="1">
      <c r="D63" s="22"/>
      <c r="E63" s="22"/>
      <c r="J63" s="5"/>
      <c r="K63" s="5"/>
      <c r="L63" s="5"/>
      <c r="M63" s="5"/>
      <c r="N63" s="5"/>
      <c r="O63" s="5"/>
      <c r="P63" s="88"/>
      <c r="Q63" s="96"/>
    </row>
    <row r="64" spans="1:17" s="2" customFormat="1" ht="12" customHeight="1">
      <c r="A64"/>
      <c r="B64"/>
      <c r="C64"/>
      <c r="D64" s="23"/>
      <c r="E64" s="23"/>
      <c r="F64"/>
      <c r="G64"/>
      <c r="H64"/>
      <c r="I64"/>
      <c r="J64" s="19"/>
      <c r="K64" s="19"/>
      <c r="L64" s="19"/>
      <c r="M64" s="19"/>
      <c r="N64" s="19"/>
      <c r="O64" s="19"/>
      <c r="P64" s="90"/>
      <c r="Q64" s="96"/>
    </row>
    <row r="65" spans="1:17" s="2" customFormat="1" ht="12" customHeight="1">
      <c r="A65"/>
      <c r="B65"/>
      <c r="C65"/>
      <c r="D65" s="23"/>
      <c r="E65" s="23"/>
      <c r="F65"/>
      <c r="G65"/>
      <c r="H65"/>
      <c r="I65"/>
      <c r="J65" s="19"/>
      <c r="K65" s="19"/>
      <c r="L65" s="19"/>
      <c r="M65" s="19"/>
      <c r="N65" s="19"/>
      <c r="O65" s="19"/>
      <c r="P65" s="90"/>
      <c r="Q65" s="96"/>
    </row>
    <row r="66" spans="1:17" s="2" customFormat="1" ht="12" customHeight="1">
      <c r="A66"/>
      <c r="B66"/>
      <c r="C66"/>
      <c r="D66" s="23"/>
      <c r="E66" s="23"/>
      <c r="F66"/>
      <c r="G66"/>
      <c r="H66"/>
      <c r="I66"/>
      <c r="J66" s="19"/>
      <c r="K66" s="19"/>
      <c r="L66" s="19"/>
      <c r="M66" s="19"/>
      <c r="N66" s="19"/>
      <c r="O66" s="19"/>
      <c r="P66" s="90"/>
      <c r="Q66" s="96"/>
    </row>
    <row r="67" spans="1:17" s="2" customFormat="1" ht="12" customHeight="1">
      <c r="A67"/>
      <c r="B67"/>
      <c r="C67"/>
      <c r="D67" s="23"/>
      <c r="E67" s="23"/>
      <c r="F67"/>
      <c r="G67"/>
      <c r="H67"/>
      <c r="I67"/>
      <c r="J67" s="19"/>
      <c r="K67" s="19"/>
      <c r="L67" s="19"/>
      <c r="M67" s="19"/>
      <c r="N67" s="19"/>
      <c r="O67" s="19"/>
      <c r="P67" s="90"/>
      <c r="Q67" s="96"/>
    </row>
    <row r="68" spans="1:17" s="2" customFormat="1" ht="12" customHeight="1">
      <c r="A68"/>
      <c r="B68"/>
      <c r="C68"/>
      <c r="D68" s="23"/>
      <c r="E68" s="23"/>
      <c r="F68"/>
      <c r="G68"/>
      <c r="H68"/>
      <c r="I68"/>
      <c r="J68" s="19"/>
      <c r="K68" s="19"/>
      <c r="L68" s="19"/>
      <c r="M68" s="19"/>
      <c r="N68" s="19"/>
      <c r="O68" s="19"/>
      <c r="P68" s="90"/>
      <c r="Q68" s="96"/>
    </row>
    <row r="69" spans="1:17">
      <c r="Q69" s="96"/>
    </row>
    <row r="70" spans="1:17">
      <c r="Q70" s="96"/>
    </row>
    <row r="71" spans="1:17">
      <c r="Q71" s="96"/>
    </row>
    <row r="72" spans="1:17">
      <c r="Q72" s="96"/>
    </row>
    <row r="73" spans="1:17">
      <c r="Q73" s="96"/>
    </row>
    <row r="74" spans="1:17">
      <c r="Q74" s="96"/>
    </row>
    <row r="75" spans="1:17">
      <c r="Q75" s="96"/>
    </row>
    <row r="76" spans="1:17">
      <c r="Q76" s="96"/>
    </row>
    <row r="77" spans="1:17">
      <c r="Q77" s="96"/>
    </row>
    <row r="78" spans="1:17">
      <c r="Q78" s="96"/>
    </row>
    <row r="79" spans="1:17">
      <c r="Q79" s="96"/>
    </row>
    <row r="80" spans="1:17">
      <c r="Q80" s="96"/>
    </row>
    <row r="81" spans="17:17">
      <c r="Q81" s="96"/>
    </row>
    <row r="82" spans="17:17">
      <c r="Q82" s="96"/>
    </row>
    <row r="83" spans="17:17">
      <c r="Q83" s="96"/>
    </row>
    <row r="84" spans="17:17">
      <c r="Q84" s="96"/>
    </row>
    <row r="85" spans="17:17">
      <c r="Q85" s="96"/>
    </row>
    <row r="86" spans="17:17">
      <c r="Q86" s="96"/>
    </row>
    <row r="87" spans="17:17">
      <c r="Q87" s="96"/>
    </row>
    <row r="88" spans="17:17">
      <c r="Q88" s="96"/>
    </row>
    <row r="125" ht="12" customHeight="1"/>
    <row r="126" ht="12" customHeight="1"/>
    <row r="127" ht="12" customHeight="1"/>
    <row r="128" ht="12" customHeight="1"/>
    <row r="129" ht="12" customHeight="1"/>
    <row r="130" ht="12" customHeight="1"/>
    <row r="131" ht="12" customHeight="1"/>
    <row r="132" ht="12" customHeight="1"/>
    <row r="133" ht="12" customHeight="1"/>
    <row r="134" ht="12" customHeight="1"/>
    <row r="135" ht="12" customHeight="1"/>
    <row r="136" ht="12" customHeight="1"/>
    <row r="137" ht="12" customHeight="1"/>
    <row r="138" ht="12" customHeight="1"/>
    <row r="139" ht="12" customHeight="1"/>
    <row r="140" ht="12" customHeight="1"/>
    <row r="141" ht="12" customHeight="1"/>
    <row r="142" ht="12" customHeight="1"/>
    <row r="143" ht="12" customHeight="1"/>
    <row r="144" ht="12" customHeight="1"/>
    <row r="145" ht="12" customHeight="1"/>
    <row r="146" ht="12" customHeight="1"/>
    <row r="147" ht="12" customHeight="1"/>
    <row r="148" ht="12" customHeight="1"/>
    <row r="149" ht="12" customHeight="1"/>
    <row r="150" ht="12" customHeight="1"/>
    <row r="151" ht="12" customHeight="1"/>
    <row r="152" ht="12" customHeight="1"/>
    <row r="153" ht="12" customHeight="1"/>
    <row r="154" ht="12" customHeight="1"/>
    <row r="155" ht="12" customHeight="1"/>
    <row r="156" ht="12" customHeight="1"/>
    <row r="157" ht="12" customHeight="1"/>
    <row r="158" ht="12" customHeight="1"/>
    <row r="159" ht="12" customHeight="1"/>
    <row r="160" ht="12" customHeight="1"/>
    <row r="161" ht="12" customHeight="1"/>
    <row r="162" ht="12" customHeight="1"/>
    <row r="163" ht="12" customHeight="1"/>
    <row r="164" ht="12" customHeight="1"/>
    <row r="165" ht="12" customHeight="1"/>
    <row r="166" ht="12" customHeight="1"/>
    <row r="167" ht="12" customHeight="1"/>
    <row r="168" ht="12" customHeight="1"/>
    <row r="169" ht="12" customHeight="1"/>
    <row r="170" ht="12" customHeight="1"/>
    <row r="171" ht="12" customHeight="1"/>
    <row r="172" ht="12" customHeight="1"/>
    <row r="173" ht="12" customHeight="1"/>
    <row r="174" ht="12" customHeight="1"/>
  </sheetData>
  <mergeCells count="24">
    <mergeCell ref="H14:I14"/>
    <mergeCell ref="D11:E11"/>
    <mergeCell ref="D12:E12"/>
    <mergeCell ref="D13:E13"/>
    <mergeCell ref="D21:E21"/>
    <mergeCell ref="H21:I21"/>
    <mergeCell ref="D17:E17"/>
    <mergeCell ref="H17:I17"/>
    <mergeCell ref="D18:E18"/>
    <mergeCell ref="D19:E19"/>
    <mergeCell ref="D20:E20"/>
    <mergeCell ref="D1:E1"/>
    <mergeCell ref="D4:E4"/>
    <mergeCell ref="D15:E15"/>
    <mergeCell ref="D16:E16"/>
    <mergeCell ref="D14:E14"/>
    <mergeCell ref="D6:E6"/>
    <mergeCell ref="H4:I4"/>
    <mergeCell ref="D8:E8"/>
    <mergeCell ref="H8:I8"/>
    <mergeCell ref="D9:E9"/>
    <mergeCell ref="D10:E10"/>
    <mergeCell ref="D5:E5"/>
    <mergeCell ref="D7:E7"/>
  </mergeCells>
  <conditionalFormatting sqref="M5:M7">
    <cfRule type="cellIs" dxfId="398" priority="3" stopIfTrue="1" operator="lessThanOrEqual">
      <formula>$L5</formula>
    </cfRule>
    <cfRule type="cellIs" dxfId="397" priority="4" operator="greaterThan">
      <formula>L5</formula>
    </cfRule>
  </conditionalFormatting>
  <conditionalFormatting sqref="M9:M13 M15:M16">
    <cfRule type="cellIs" dxfId="396" priority="5" stopIfTrue="1" operator="lessThanOrEqual">
      <formula>$L9</formula>
    </cfRule>
    <cfRule type="cellIs" dxfId="395" priority="6" operator="greaterThan">
      <formula>L9</formula>
    </cfRule>
  </conditionalFormatting>
  <conditionalFormatting sqref="M18:M20">
    <cfRule type="cellIs" dxfId="394" priority="1" stopIfTrue="1" operator="lessThanOrEqual">
      <formula>$L18</formula>
    </cfRule>
    <cfRule type="cellIs" dxfId="393" priority="2" operator="greaterThan">
      <formula>L18</formula>
    </cfRule>
  </conditionalFormatting>
  <pageMargins left="0.7" right="0.7" top="0.75" bottom="0.75" header="0.3" footer="0.3"/>
  <pageSetup paperSize="3" scale="87" fitToHeight="0" orientation="landscape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06DE8B-81F5-4789-980C-9578C6BC0070}">
          <x14:formula1>
            <xm:f>Bolts!$A:$A</xm:f>
          </x14:formula1>
          <xm:sqref>C15:C16</xm:sqref>
        </x14:dataValidation>
        <x14:dataValidation type="list" allowBlank="1" showInputMessage="1" showErrorMessage="1" xr:uid="{8DF7F033-F42A-40A5-8149-5DC750AC184F}">
          <x14:formula1>
            <xm:f>Purchased!$A:$A</xm:f>
          </x14:formula1>
          <xm:sqref>C9:C13</xm:sqref>
        </x14:dataValidation>
        <x14:dataValidation type="list" allowBlank="1" showInputMessage="1" showErrorMessage="1" xr:uid="{130CD3F8-D1F6-4F88-BBA3-0FEB7A9CA1FB}">
          <x14:formula1>
            <xm:f>Extrusion!$B:$B</xm:f>
          </x14:formula1>
          <xm:sqref>C18:C20</xm:sqref>
        </x14:dataValidation>
        <x14:dataValidation type="list" allowBlank="1" showInputMessage="1" showErrorMessage="1" xr:uid="{FB080CEA-209C-49A4-9457-B63350DB7931}">
          <x14:formula1>
            <xm:f>Machined!$C:$C</xm:f>
          </x14:formula1>
          <xm:sqref>C5:C7</xm:sqref>
        </x14:dataValidation>
      </x14:dataValidations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11CDB2-DBFD-44C5-A622-93D770EC6BD2}">
  <sheetPr codeName="Sheet67">
    <tabColor theme="3" tint="0.59999389629810485"/>
    <pageSetUpPr fitToPage="1"/>
  </sheetPr>
  <dimension ref="A1:Q174"/>
  <sheetViews>
    <sheetView zoomScaleNormal="100" workbookViewId="0">
      <selection activeCell="C43" sqref="C43"/>
    </sheetView>
  </sheetViews>
  <sheetFormatPr defaultColWidth="9.140625" defaultRowHeight="15"/>
  <cols>
    <col min="1" max="1" width="5.7109375" customWidth="1"/>
    <col min="2" max="2" width="5.42578125" bestFit="1" customWidth="1"/>
    <col min="3" max="3" width="30.7109375" customWidth="1"/>
    <col min="4" max="5" width="20.7109375" style="23" customWidth="1"/>
    <col min="6" max="6" width="16.85546875" bestFit="1" customWidth="1"/>
    <col min="7" max="7" width="9.7109375" customWidth="1"/>
    <col min="8" max="8" width="8.7109375" customWidth="1"/>
    <col min="9" max="9" width="20.7109375" customWidth="1"/>
    <col min="10" max="13" width="11.7109375" style="19" customWidth="1"/>
    <col min="14" max="14" width="11.85546875" style="19" bestFit="1" customWidth="1"/>
    <col min="15" max="15" width="7.7109375" style="19" customWidth="1"/>
    <col min="16" max="16" width="10.7109375" style="90" customWidth="1"/>
    <col min="17" max="17" width="10.7109375" style="97" customWidth="1"/>
  </cols>
  <sheetData>
    <row r="1" spans="1:17" s="55" customFormat="1" ht="12" customHeight="1">
      <c r="A1" s="68" t="s">
        <v>0</v>
      </c>
      <c r="B1" s="69"/>
      <c r="C1" s="69"/>
      <c r="D1" s="262" t="s">
        <v>1</v>
      </c>
      <c r="E1" s="263"/>
      <c r="F1" s="70"/>
      <c r="G1" s="69"/>
      <c r="H1" s="70"/>
      <c r="I1" s="71"/>
      <c r="J1" s="72"/>
      <c r="K1" s="72"/>
      <c r="L1" s="72"/>
      <c r="M1" s="72"/>
      <c r="N1" s="72"/>
      <c r="O1" s="72"/>
      <c r="P1" s="85"/>
      <c r="Q1" s="91"/>
    </row>
    <row r="2" spans="1:17" s="55" customFormat="1" ht="12" customHeight="1">
      <c r="A2" s="74" t="s">
        <v>48</v>
      </c>
      <c r="B2" s="58"/>
      <c r="C2" s="57" t="e">
        <f ca="1">VLOOKUP(E3,Assemblies!B:F,4,0)</f>
        <v>#VALUE!</v>
      </c>
      <c r="D2" s="75" t="s">
        <v>3</v>
      </c>
      <c r="E2" s="76" t="e">
        <f ca="1">'GF12'!E2</f>
        <v>#VALUE!</v>
      </c>
      <c r="F2" s="77" t="s">
        <v>4</v>
      </c>
      <c r="G2" s="58" t="str">
        <f>'GF12'!G2</f>
        <v>GH</v>
      </c>
      <c r="H2" s="77" t="s">
        <v>6</v>
      </c>
      <c r="I2" s="59">
        <f>'GF12'!I2</f>
        <v>44775</v>
      </c>
      <c r="J2" s="39"/>
      <c r="K2" s="40" t="s">
        <v>49</v>
      </c>
      <c r="L2" s="41" t="e">
        <f ca="1">VLOOKUP(C2,Assemblies!E:G,3,0)</f>
        <v>#VALUE!</v>
      </c>
      <c r="M2" s="78"/>
      <c r="N2" s="78"/>
      <c r="O2" s="78"/>
      <c r="P2" s="86"/>
      <c r="Q2" s="92"/>
    </row>
    <row r="3" spans="1:17" s="55" customFormat="1" ht="12" customHeight="1" thickBot="1">
      <c r="A3" s="74" t="s">
        <v>7</v>
      </c>
      <c r="B3" s="58"/>
      <c r="C3" s="57" t="e">
        <f ca="1">VLOOKUP(E3,Assemblies!B:F,5,0)</f>
        <v>#VALUE!</v>
      </c>
      <c r="D3" s="75" t="s">
        <v>50</v>
      </c>
      <c r="E3" s="76" t="e">
        <f ca="1">MID(CELL("filename",A1),FIND("]",CELL("filename",A1))+1,256)</f>
        <v>#VALUE!</v>
      </c>
      <c r="F3" s="77" t="s">
        <v>11</v>
      </c>
      <c r="G3" s="58" t="str">
        <f>'GF12'!G3</f>
        <v>GH</v>
      </c>
      <c r="H3" s="77" t="s">
        <v>6</v>
      </c>
      <c r="I3" s="59">
        <f>'GF12'!I3</f>
        <v>44775</v>
      </c>
      <c r="J3" s="78"/>
      <c r="K3" s="78"/>
      <c r="L3" s="78"/>
      <c r="M3" s="78"/>
      <c r="N3" s="78"/>
      <c r="O3" s="78"/>
      <c r="P3" s="86"/>
      <c r="Q3" s="92"/>
    </row>
    <row r="4" spans="1:17" s="56" customFormat="1" ht="12.75" customHeight="1" thickBot="1">
      <c r="A4" s="80" t="s">
        <v>12</v>
      </c>
      <c r="B4" s="81" t="s">
        <v>13</v>
      </c>
      <c r="C4" s="81" t="s">
        <v>14</v>
      </c>
      <c r="D4" s="270" t="s">
        <v>15</v>
      </c>
      <c r="E4" s="271"/>
      <c r="F4" s="104" t="s">
        <v>16</v>
      </c>
      <c r="G4" s="81" t="s">
        <v>17</v>
      </c>
      <c r="H4" s="260" t="s">
        <v>18</v>
      </c>
      <c r="I4" s="261"/>
      <c r="J4" s="81" t="s">
        <v>51</v>
      </c>
      <c r="K4" s="81" t="s">
        <v>20</v>
      </c>
      <c r="L4" s="81" t="s">
        <v>21</v>
      </c>
      <c r="M4" s="81" t="s">
        <v>52</v>
      </c>
      <c r="N4" s="81" t="s">
        <v>22</v>
      </c>
      <c r="O4" s="81" t="s">
        <v>53</v>
      </c>
      <c r="P4" s="107" t="s">
        <v>26</v>
      </c>
      <c r="Q4" s="82" t="s">
        <v>27</v>
      </c>
    </row>
    <row r="5" spans="1:17" s="2" customFormat="1" ht="12.75" customHeight="1">
      <c r="A5" s="127">
        <v>1</v>
      </c>
      <c r="B5" s="21"/>
      <c r="C5" s="108"/>
      <c r="D5" s="277" t="e">
        <f>VLOOKUP(C5,Machined!C:Q,2,0)</f>
        <v>#N/A</v>
      </c>
      <c r="E5" s="278"/>
      <c r="F5" s="131" t="e">
        <f>VLOOKUP(C5,Machined!C:R,7,0)</f>
        <v>#N/A</v>
      </c>
      <c r="G5" s="131" t="e">
        <f>VLOOKUP(C5,Machined!C:R,10,0)</f>
        <v>#N/A</v>
      </c>
      <c r="H5" s="131" t="e">
        <f>VLOOKUP(C5,Machined!C:R,11,0)</f>
        <v>#N/A</v>
      </c>
      <c r="I5" s="131"/>
      <c r="J5" s="42" t="e">
        <f>VLOOKUP(C5,Machined!C:R,12,0)</f>
        <v>#N/A</v>
      </c>
      <c r="K5" s="42" t="e">
        <f>VLOOKUP(C5,Machined!C:R,13,0)</f>
        <v>#N/A</v>
      </c>
      <c r="L5" s="42" t="e">
        <f>VLOOKUP(C5,Machined!C:R,14,0)</f>
        <v>#N/A</v>
      </c>
      <c r="M5" s="42" t="e">
        <f>VLOOKUP(C5,Machined!C:R,15,0)</f>
        <v>#N/A</v>
      </c>
      <c r="N5" s="43" t="e">
        <f>VLOOKUP(C5,Machined!C:R,16,0)</f>
        <v>#N/A</v>
      </c>
      <c r="O5" s="43" t="e">
        <f t="shared" ref="O5:O7" ca="1" si="0">B5*$L$2</f>
        <v>#VALUE!</v>
      </c>
      <c r="P5" s="47" t="str">
        <f>IFERROR(VLOOKUP(C5,Machined!C:F,3,0),"")</f>
        <v/>
      </c>
      <c r="Q5" s="48" t="str">
        <f t="shared" ref="Q5:Q7" si="1">IFERROR(B5*P5,"")</f>
        <v/>
      </c>
    </row>
    <row r="6" spans="1:17" s="2" customFormat="1" ht="12.75" customHeight="1">
      <c r="A6" s="127">
        <v>2</v>
      </c>
      <c r="B6" s="21"/>
      <c r="C6" s="108"/>
      <c r="D6" s="277" t="e">
        <f>VLOOKUP(C6,Machined!C:Q,2,0)</f>
        <v>#N/A</v>
      </c>
      <c r="E6" s="278"/>
      <c r="F6" s="131" t="e">
        <f>VLOOKUP(C6,Machined!C:R,7,0)</f>
        <v>#N/A</v>
      </c>
      <c r="G6" s="131" t="e">
        <f>VLOOKUP(C6,Machined!C:R,10,0)</f>
        <v>#N/A</v>
      </c>
      <c r="H6" s="131" t="e">
        <f>VLOOKUP(C6,Machined!C:R,11,0)</f>
        <v>#N/A</v>
      </c>
      <c r="I6" s="131"/>
      <c r="J6" s="42" t="e">
        <f>VLOOKUP(C6,Machined!C:R,12,0)</f>
        <v>#N/A</v>
      </c>
      <c r="K6" s="42" t="e">
        <f>VLOOKUP(C6,Machined!C:R,13,0)</f>
        <v>#N/A</v>
      </c>
      <c r="L6" s="42" t="e">
        <f>VLOOKUP(C6,Machined!C:R,14,0)</f>
        <v>#N/A</v>
      </c>
      <c r="M6" s="42" t="e">
        <f>VLOOKUP(C6,Machined!C:R,15,0)</f>
        <v>#N/A</v>
      </c>
      <c r="N6" s="43" t="e">
        <f>VLOOKUP(C6,Machined!C:R,16,0)</f>
        <v>#N/A</v>
      </c>
      <c r="O6" s="43" t="e">
        <f t="shared" ca="1" si="0"/>
        <v>#VALUE!</v>
      </c>
      <c r="P6" s="47" t="str">
        <f>IFERROR(VLOOKUP(C6,Machined!C:F,3,0),"")</f>
        <v/>
      </c>
      <c r="Q6" s="48" t="str">
        <f t="shared" si="1"/>
        <v/>
      </c>
    </row>
    <row r="7" spans="1:17" s="2" customFormat="1" ht="12.75" customHeight="1">
      <c r="A7" s="127">
        <v>3</v>
      </c>
      <c r="B7" s="21"/>
      <c r="C7" s="108"/>
      <c r="D7" s="277" t="e">
        <f>VLOOKUP(C7,Machined!C:Q,2,0)</f>
        <v>#N/A</v>
      </c>
      <c r="E7" s="278"/>
      <c r="F7" s="131" t="e">
        <f>VLOOKUP(C7,Machined!C:R,7,0)</f>
        <v>#N/A</v>
      </c>
      <c r="G7" s="131" t="e">
        <f>VLOOKUP(C7,Machined!C:R,10,0)</f>
        <v>#N/A</v>
      </c>
      <c r="H7" s="131" t="e">
        <f>VLOOKUP(C7,Machined!C:R,11,0)</f>
        <v>#N/A</v>
      </c>
      <c r="I7" s="131"/>
      <c r="J7" s="42" t="e">
        <f>VLOOKUP(C7,Machined!C:R,12,0)</f>
        <v>#N/A</v>
      </c>
      <c r="K7" s="42" t="e">
        <f>VLOOKUP(C7,Machined!C:R,13,0)</f>
        <v>#N/A</v>
      </c>
      <c r="L7" s="42" t="e">
        <f>VLOOKUP(C7,Machined!C:R,14,0)</f>
        <v>#N/A</v>
      </c>
      <c r="M7" s="42" t="e">
        <f>VLOOKUP(C7,Machined!C:R,15,0)</f>
        <v>#N/A</v>
      </c>
      <c r="N7" s="43" t="e">
        <f>VLOOKUP(C7,Machined!C:R,16,0)</f>
        <v>#N/A</v>
      </c>
      <c r="O7" s="43" t="e">
        <f t="shared" ca="1" si="0"/>
        <v>#VALUE!</v>
      </c>
      <c r="P7" s="47" t="str">
        <f>IFERROR(VLOOKUP(C7,Machined!C:F,3,0),"")</f>
        <v/>
      </c>
      <c r="Q7" s="48" t="str">
        <f t="shared" si="1"/>
        <v/>
      </c>
    </row>
    <row r="8" spans="1:17" s="2" customFormat="1" ht="12.75" customHeight="1">
      <c r="A8" s="143"/>
      <c r="B8" s="26"/>
      <c r="C8" s="26"/>
      <c r="D8" s="272"/>
      <c r="E8" s="273"/>
      <c r="F8" s="26"/>
      <c r="G8" s="26"/>
      <c r="H8" s="274"/>
      <c r="I8" s="275"/>
      <c r="J8" s="27"/>
      <c r="K8" s="27"/>
      <c r="L8" s="27"/>
      <c r="M8" s="28"/>
      <c r="N8" s="29"/>
      <c r="O8" s="29"/>
      <c r="P8" s="141"/>
      <c r="Q8" s="142"/>
    </row>
    <row r="9" spans="1:17" s="2" customFormat="1" ht="12.75" customHeight="1">
      <c r="A9" s="4">
        <v>301</v>
      </c>
      <c r="C9" s="114"/>
      <c r="D9" s="268" t="e">
        <f>VLOOKUP(C9,Purchased!A:B,2,0)</f>
        <v>#N/A</v>
      </c>
      <c r="E9" s="269"/>
      <c r="F9" s="112" t="e">
        <f>VLOOKUP(C9,Purchased!A:Q,9,0)</f>
        <v>#N/A</v>
      </c>
      <c r="G9" s="112" t="e">
        <f>VLOOKUP(C9,Purchased!A:Q,10,0)</f>
        <v>#N/A</v>
      </c>
      <c r="H9" s="112" t="e">
        <f>VLOOKUP(C9,Purchased!A:Q,12,0)</f>
        <v>#N/A</v>
      </c>
      <c r="I9" s="113"/>
      <c r="J9" s="44" t="e">
        <f>VLOOKUP(C9,Purchased!A:Q,13,0)</f>
        <v>#N/A</v>
      </c>
      <c r="K9" s="44" t="e">
        <f>VLOOKUP(C9,Purchased!A:Q,14,0)</f>
        <v>#N/A</v>
      </c>
      <c r="L9" s="44" t="e">
        <f>VLOOKUP(C9,Purchased!A:Q,15,0)</f>
        <v>#N/A</v>
      </c>
      <c r="M9" s="44" t="e">
        <f>VLOOKUP(C9,Purchased!A:Q,16,0)</f>
        <v>#N/A</v>
      </c>
      <c r="N9" s="45" t="e">
        <f>VLOOKUP(C9,Purchased!A:Q,17,0)</f>
        <v>#N/A</v>
      </c>
      <c r="O9" s="45" t="e">
        <f t="shared" ref="O9:O17" ca="1" si="2">B9*$L$2</f>
        <v>#VALUE!</v>
      </c>
      <c r="P9" s="49" t="str">
        <f>IFERROR(VLOOKUP(C9,Purchased!A:E,3,FALSE),"")</f>
        <v/>
      </c>
      <c r="Q9" s="50" t="str">
        <f t="shared" ref="Q9:Q14" si="3">IFERROR(B9*P9,"")</f>
        <v/>
      </c>
    </row>
    <row r="10" spans="1:17" s="2" customFormat="1" ht="12" customHeight="1">
      <c r="A10" s="4">
        <f t="shared" ref="A10:A14" si="4">A9+1</f>
        <v>302</v>
      </c>
      <c r="C10" s="114"/>
      <c r="D10" s="268" t="e">
        <f>VLOOKUP(C10,Purchased!A:B,2,0)</f>
        <v>#N/A</v>
      </c>
      <c r="E10" s="269"/>
      <c r="F10" s="112" t="e">
        <f>VLOOKUP(C10,Purchased!A:Q,9,0)</f>
        <v>#N/A</v>
      </c>
      <c r="G10" s="112" t="e">
        <f>VLOOKUP(C10,Purchased!A:Q,10,0)</f>
        <v>#N/A</v>
      </c>
      <c r="H10" s="112" t="e">
        <f>VLOOKUP(C10,Purchased!A:Q,12,0)</f>
        <v>#N/A</v>
      </c>
      <c r="I10" s="113"/>
      <c r="J10" s="44" t="e">
        <f>VLOOKUP(C10,Purchased!A:Q,13,0)</f>
        <v>#N/A</v>
      </c>
      <c r="K10" s="44" t="e">
        <f>VLOOKUP(C10,Purchased!A:Q,14,0)</f>
        <v>#N/A</v>
      </c>
      <c r="L10" s="44" t="e">
        <f>VLOOKUP(C10,Purchased!A:Q,15,0)</f>
        <v>#N/A</v>
      </c>
      <c r="M10" s="44" t="e">
        <f>VLOOKUP(C10,Purchased!A:Q,16,0)</f>
        <v>#N/A</v>
      </c>
      <c r="N10" s="45" t="e">
        <f>VLOOKUP(C10,Purchased!A:Q,17,0)</f>
        <v>#N/A</v>
      </c>
      <c r="O10" s="45" t="e">
        <f t="shared" ca="1" si="2"/>
        <v>#VALUE!</v>
      </c>
      <c r="P10" s="49" t="str">
        <f>IFERROR(VLOOKUP(C10,Purchased!A:E,3,FALSE),"")</f>
        <v/>
      </c>
      <c r="Q10" s="50" t="str">
        <f t="shared" si="3"/>
        <v/>
      </c>
    </row>
    <row r="11" spans="1:17" s="2" customFormat="1" ht="12" customHeight="1">
      <c r="A11" s="4">
        <f t="shared" si="4"/>
        <v>303</v>
      </c>
      <c r="C11" s="114"/>
      <c r="D11" s="268" t="e">
        <f>VLOOKUP(C11,Purchased!A:B,2,0)</f>
        <v>#N/A</v>
      </c>
      <c r="E11" s="269"/>
      <c r="F11" s="112" t="e">
        <f>VLOOKUP(C11,Purchased!A:Q,9,0)</f>
        <v>#N/A</v>
      </c>
      <c r="G11" s="112" t="e">
        <f>VLOOKUP(C11,Purchased!A:Q,10,0)</f>
        <v>#N/A</v>
      </c>
      <c r="H11" s="112" t="e">
        <f>VLOOKUP(C11,Purchased!A:Q,12,0)</f>
        <v>#N/A</v>
      </c>
      <c r="I11" s="113"/>
      <c r="J11" s="44" t="e">
        <f>VLOOKUP(C11,Purchased!A:Q,13,0)</f>
        <v>#N/A</v>
      </c>
      <c r="K11" s="44" t="e">
        <f>VLOOKUP(C11,Purchased!A:Q,14,0)</f>
        <v>#N/A</v>
      </c>
      <c r="L11" s="44" t="e">
        <f>VLOOKUP(C11,Purchased!A:Q,15,0)</f>
        <v>#N/A</v>
      </c>
      <c r="M11" s="44" t="e">
        <f>VLOOKUP(C11,Purchased!A:Q,16,0)</f>
        <v>#N/A</v>
      </c>
      <c r="N11" s="45" t="e">
        <f>VLOOKUP(C11,Purchased!A:Q,17,0)</f>
        <v>#N/A</v>
      </c>
      <c r="O11" s="45" t="e">
        <f t="shared" ca="1" si="2"/>
        <v>#VALUE!</v>
      </c>
      <c r="P11" s="49" t="str">
        <f>IFERROR(VLOOKUP(C11,Purchased!A:E,3,FALSE),"")</f>
        <v/>
      </c>
      <c r="Q11" s="50" t="str">
        <f t="shared" si="3"/>
        <v/>
      </c>
    </row>
    <row r="12" spans="1:17" s="2" customFormat="1" ht="12" customHeight="1">
      <c r="A12" s="4">
        <f t="shared" si="4"/>
        <v>304</v>
      </c>
      <c r="C12" s="114"/>
      <c r="D12" s="268" t="e">
        <f>VLOOKUP(C12,Purchased!A:B,2,0)</f>
        <v>#N/A</v>
      </c>
      <c r="E12" s="269"/>
      <c r="F12" s="112" t="e">
        <f>VLOOKUP(C12,Purchased!A:Q,9,0)</f>
        <v>#N/A</v>
      </c>
      <c r="G12" s="112" t="e">
        <f>VLOOKUP(C12,Purchased!A:Q,10,0)</f>
        <v>#N/A</v>
      </c>
      <c r="H12" s="112" t="e">
        <f>VLOOKUP(C12,Purchased!A:Q,12,0)</f>
        <v>#N/A</v>
      </c>
      <c r="I12" s="113"/>
      <c r="J12" s="44" t="e">
        <f>VLOOKUP(C12,Purchased!A:Q,13,0)</f>
        <v>#N/A</v>
      </c>
      <c r="K12" s="44" t="e">
        <f>VLOOKUP(C12,Purchased!A:Q,14,0)</f>
        <v>#N/A</v>
      </c>
      <c r="L12" s="44" t="e">
        <f>VLOOKUP(C12,Purchased!A:Q,15,0)</f>
        <v>#N/A</v>
      </c>
      <c r="M12" s="44" t="e">
        <f>VLOOKUP(C12,Purchased!A:Q,16,0)</f>
        <v>#N/A</v>
      </c>
      <c r="N12" s="45" t="e">
        <f>VLOOKUP(C12,Purchased!A:Q,17,0)</f>
        <v>#N/A</v>
      </c>
      <c r="O12" s="45" t="e">
        <f t="shared" ca="1" si="2"/>
        <v>#VALUE!</v>
      </c>
      <c r="P12" s="49" t="str">
        <f>IFERROR(VLOOKUP(C12,Purchased!A:E,3,FALSE),"")</f>
        <v/>
      </c>
      <c r="Q12" s="50" t="str">
        <f t="shared" si="3"/>
        <v/>
      </c>
    </row>
    <row r="13" spans="1:17" s="2" customFormat="1" ht="12" customHeight="1">
      <c r="A13" s="4">
        <f t="shared" si="4"/>
        <v>305</v>
      </c>
      <c r="C13" s="114"/>
      <c r="D13" s="268" t="e">
        <f>VLOOKUP(C13,Purchased!A:B,2,0)</f>
        <v>#N/A</v>
      </c>
      <c r="E13" s="269"/>
      <c r="F13" s="112" t="e">
        <f>VLOOKUP(C13,Purchased!A:Q,9,0)</f>
        <v>#N/A</v>
      </c>
      <c r="G13" s="112" t="e">
        <f>VLOOKUP(C13,Purchased!A:Q,10,0)</f>
        <v>#N/A</v>
      </c>
      <c r="H13" s="112" t="e">
        <f>VLOOKUP(C13,Purchased!A:Q,12,0)</f>
        <v>#N/A</v>
      </c>
      <c r="I13" s="113"/>
      <c r="J13" s="44" t="e">
        <f>VLOOKUP(C13,Purchased!A:Q,13,0)</f>
        <v>#N/A</v>
      </c>
      <c r="K13" s="44" t="e">
        <f>VLOOKUP(C13,Purchased!A:Q,14,0)</f>
        <v>#N/A</v>
      </c>
      <c r="L13" s="44" t="e">
        <f>VLOOKUP(C13,Purchased!A:Q,15,0)</f>
        <v>#N/A</v>
      </c>
      <c r="M13" s="44" t="e">
        <f>VLOOKUP(C13,Purchased!A:Q,16,0)</f>
        <v>#N/A</v>
      </c>
      <c r="N13" s="45" t="e">
        <f>VLOOKUP(C13,Purchased!A:Q,17,0)</f>
        <v>#N/A</v>
      </c>
      <c r="O13" s="45" t="e">
        <f t="shared" ca="1" si="2"/>
        <v>#VALUE!</v>
      </c>
      <c r="P13" s="49" t="str">
        <f>IFERROR(VLOOKUP(C13,Purchased!A:E,3,FALSE),"")</f>
        <v/>
      </c>
      <c r="Q13" s="50" t="str">
        <f t="shared" si="3"/>
        <v/>
      </c>
    </row>
    <row r="14" spans="1:17" s="2" customFormat="1" ht="12" customHeight="1">
      <c r="A14" s="4">
        <f t="shared" si="4"/>
        <v>306</v>
      </c>
      <c r="C14" s="114"/>
      <c r="D14" s="268" t="e">
        <f>VLOOKUP(C14,Purchased!A:B,2,0)</f>
        <v>#N/A</v>
      </c>
      <c r="E14" s="269"/>
      <c r="F14" s="112" t="e">
        <f>VLOOKUP(C14,Purchased!A:Q,9,0)</f>
        <v>#N/A</v>
      </c>
      <c r="G14" s="112" t="e">
        <f>VLOOKUP(C14,Purchased!A:Q,10,0)</f>
        <v>#N/A</v>
      </c>
      <c r="H14" s="112" t="e">
        <f>VLOOKUP(C14,Purchased!A:Q,12,0)</f>
        <v>#N/A</v>
      </c>
      <c r="I14" s="113"/>
      <c r="J14" s="44" t="e">
        <f>VLOOKUP(C14,Purchased!A:Q,13,0)</f>
        <v>#N/A</v>
      </c>
      <c r="K14" s="44" t="e">
        <f>VLOOKUP(C14,Purchased!A:Q,14,0)</f>
        <v>#N/A</v>
      </c>
      <c r="L14" s="44" t="e">
        <f>VLOOKUP(C14,Purchased!A:Q,15,0)</f>
        <v>#N/A</v>
      </c>
      <c r="M14" s="44" t="e">
        <f>VLOOKUP(C14,Purchased!A:Q,16,0)</f>
        <v>#N/A</v>
      </c>
      <c r="N14" s="45" t="e">
        <f>VLOOKUP(C14,Purchased!A:Q,17,0)</f>
        <v>#N/A</v>
      </c>
      <c r="O14" s="45" t="e">
        <f t="shared" ca="1" si="2"/>
        <v>#VALUE!</v>
      </c>
      <c r="P14" s="49" t="str">
        <f>IFERROR(VLOOKUP(C14,Purchased!A:E,3,FALSE),"")</f>
        <v/>
      </c>
      <c r="Q14" s="50" t="str">
        <f t="shared" si="3"/>
        <v/>
      </c>
    </row>
    <row r="15" spans="1:17" s="2" customFormat="1" ht="12.75" customHeight="1">
      <c r="A15" s="25"/>
      <c r="B15" s="26"/>
      <c r="C15" s="26"/>
      <c r="D15" s="272"/>
      <c r="E15" s="273"/>
      <c r="F15" s="26"/>
      <c r="G15" s="26"/>
      <c r="H15" s="274"/>
      <c r="I15" s="275"/>
      <c r="J15" s="27"/>
      <c r="K15" s="27"/>
      <c r="L15" s="27"/>
      <c r="M15" s="28"/>
      <c r="N15" s="29"/>
      <c r="O15" s="29" t="e">
        <f t="shared" ca="1" si="2"/>
        <v>#VALUE!</v>
      </c>
      <c r="P15" s="141"/>
      <c r="Q15" s="142"/>
    </row>
    <row r="16" spans="1:17" s="2" customFormat="1" ht="12.75" customHeight="1">
      <c r="A16" s="4">
        <v>501</v>
      </c>
      <c r="C16" s="110"/>
      <c r="D16" s="268"/>
      <c r="E16" s="276"/>
      <c r="F16" s="112" t="e">
        <f>VLOOKUP(C16,Bolts!A:L,5,0)</f>
        <v>#N/A</v>
      </c>
      <c r="G16" s="112" t="e">
        <f>VLOOKUP(C16,Bolts!A:L,6,0)</f>
        <v>#N/A</v>
      </c>
      <c r="H16" s="112" t="e">
        <f>VLOOKUP(C16,Bolts!A:L,7,0)</f>
        <v>#N/A</v>
      </c>
      <c r="I16" s="112"/>
      <c r="J16" s="44" t="e">
        <f>VLOOKUP(C16,Bolts!A:L,8,0)</f>
        <v>#N/A</v>
      </c>
      <c r="K16" s="44" t="e">
        <f>VLOOKUP(C16,Bolts!A:L,9,0)</f>
        <v>#N/A</v>
      </c>
      <c r="L16" s="44" t="e">
        <f>VLOOKUP(C16,Bolts!A:L,10,0)</f>
        <v>#N/A</v>
      </c>
      <c r="M16" s="44" t="e">
        <f>VLOOKUP(C16,Bolts!A:L,11,0)</f>
        <v>#N/A</v>
      </c>
      <c r="N16" s="45" t="e">
        <f>VLOOKUP(C16,Bolts!A:L,12,0)</f>
        <v>#N/A</v>
      </c>
      <c r="O16" s="45" t="e">
        <f t="shared" ca="1" si="2"/>
        <v>#VALUE!</v>
      </c>
      <c r="P16" s="49" t="str">
        <f>IFERROR(VLOOKUP(C16,Bolts!A:B,2,FALSE),"")</f>
        <v/>
      </c>
      <c r="Q16" s="50" t="str">
        <f t="shared" ref="Q16:Q17" si="5">IFERROR(B16*P16,"")</f>
        <v/>
      </c>
    </row>
    <row r="17" spans="1:17" s="2" customFormat="1" ht="12.75" customHeight="1">
      <c r="A17" s="4">
        <f t="shared" ref="A17" si="6">A16+1</f>
        <v>502</v>
      </c>
      <c r="C17" s="110"/>
      <c r="D17" s="268"/>
      <c r="E17" s="276"/>
      <c r="F17" s="112" t="e">
        <f>VLOOKUP(C17,Bolts!A:L,5,0)</f>
        <v>#N/A</v>
      </c>
      <c r="G17" s="112" t="e">
        <f>VLOOKUP(C17,Bolts!A:L,6,0)</f>
        <v>#N/A</v>
      </c>
      <c r="H17" s="112" t="e">
        <f>VLOOKUP(C17,Bolts!A:L,7,0)</f>
        <v>#N/A</v>
      </c>
      <c r="I17" s="112"/>
      <c r="J17" s="44" t="e">
        <f>VLOOKUP(C17,Bolts!A:L,8,0)</f>
        <v>#N/A</v>
      </c>
      <c r="K17" s="44" t="e">
        <f>VLOOKUP(C17,Bolts!A:L,9,0)</f>
        <v>#N/A</v>
      </c>
      <c r="L17" s="44" t="e">
        <f>VLOOKUP(C17,Bolts!A:L,10,0)</f>
        <v>#N/A</v>
      </c>
      <c r="M17" s="44" t="e">
        <f>VLOOKUP(C17,Bolts!A:L,11,0)</f>
        <v>#N/A</v>
      </c>
      <c r="N17" s="45" t="e">
        <f>VLOOKUP(C17,Bolts!A:L,12,0)</f>
        <v>#N/A</v>
      </c>
      <c r="O17" s="45" t="e">
        <f t="shared" ca="1" si="2"/>
        <v>#VALUE!</v>
      </c>
      <c r="P17" s="49" t="str">
        <f>IFERROR(VLOOKUP(C17,Bolts!A:B,2,FALSE),"")</f>
        <v/>
      </c>
      <c r="Q17" s="50" t="str">
        <f t="shared" si="5"/>
        <v/>
      </c>
    </row>
    <row r="18" spans="1:17" s="2" customFormat="1" ht="12.75" customHeight="1">
      <c r="A18" s="25"/>
      <c r="B18" s="26"/>
      <c r="C18" s="26"/>
      <c r="D18" s="272"/>
      <c r="E18" s="273"/>
      <c r="F18" s="26"/>
      <c r="G18" s="26"/>
      <c r="H18" s="274"/>
      <c r="I18" s="275"/>
      <c r="J18" s="27"/>
      <c r="K18" s="27"/>
      <c r="L18" s="27"/>
      <c r="M18" s="28"/>
      <c r="N18" s="29"/>
      <c r="O18" s="29"/>
      <c r="P18" s="141"/>
      <c r="Q18" s="142"/>
    </row>
    <row r="19" spans="1:17" s="2" customFormat="1" ht="12.75" customHeight="1">
      <c r="A19" s="4">
        <v>701</v>
      </c>
      <c r="C19" s="111"/>
      <c r="D19" s="268" t="e">
        <f>VLOOKUP(C19,Extrusion!B:C,2,0)</f>
        <v>#N/A</v>
      </c>
      <c r="E19" s="269"/>
      <c r="F19" s="112" t="e">
        <f>VLOOKUP(C19,Extrusion!B:M,6,0)</f>
        <v>#N/A</v>
      </c>
      <c r="G19" s="112" t="e">
        <f>VLOOKUP(C19,Extrusion!B:M,7,0)</f>
        <v>#N/A</v>
      </c>
      <c r="H19" s="112" t="e">
        <f>VLOOKUP(C19,Extrusion!B:M,8,0)</f>
        <v>#N/A</v>
      </c>
      <c r="I19" s="113"/>
      <c r="J19" s="44" t="e">
        <f>VLOOKUP(C19,Extrusion!B:M,9,0)</f>
        <v>#N/A</v>
      </c>
      <c r="K19" s="44" t="e">
        <f>VLOOKUP(C19,Extrusion!B:M,10,0)</f>
        <v>#N/A</v>
      </c>
      <c r="L19" s="44" t="e">
        <f>VLOOKUP(C19,Extrusion!B:M,11,0)</f>
        <v>#N/A</v>
      </c>
      <c r="M19" s="44" t="e">
        <f>VLOOKUP(C19,Extrusion!B:M,12,0)</f>
        <v>#N/A</v>
      </c>
      <c r="N19" s="45" t="e">
        <f>VLOOKUP(C19,Extrusion!B:N,13,0)</f>
        <v>#N/A</v>
      </c>
      <c r="O19" s="45" t="e">
        <f t="shared" ref="O19:O20" ca="1" si="7">B19*$L$2</f>
        <v>#VALUE!</v>
      </c>
      <c r="P19" s="49" t="str">
        <f>IFERROR(VLOOKUP(C19,Extrusion!B:F,4,0),"")</f>
        <v/>
      </c>
      <c r="Q19" s="50" t="str">
        <f t="shared" ref="Q19:Q20" si="8">IFERROR(B19*P19,"")</f>
        <v/>
      </c>
    </row>
    <row r="20" spans="1:17" s="2" customFormat="1" ht="12" customHeight="1" thickBot="1">
      <c r="A20" s="4">
        <f t="shared" ref="A20" si="9">A19+1</f>
        <v>702</v>
      </c>
      <c r="C20" s="111"/>
      <c r="D20" s="268" t="e">
        <f>VLOOKUP(C20,Extrusion!B:C,2,0)</f>
        <v>#N/A</v>
      </c>
      <c r="E20" s="269"/>
      <c r="F20" s="112" t="e">
        <f>VLOOKUP(C20,Extrusion!B:M,6,0)</f>
        <v>#N/A</v>
      </c>
      <c r="G20" s="112" t="e">
        <f>VLOOKUP(C20,Extrusion!B:M,7,0)</f>
        <v>#N/A</v>
      </c>
      <c r="H20" s="112" t="e">
        <f>VLOOKUP(C20,Extrusion!B:M,8,0)</f>
        <v>#N/A</v>
      </c>
      <c r="I20" s="113"/>
      <c r="J20" s="44" t="e">
        <f>VLOOKUP(C20,Extrusion!B:M,9,0)</f>
        <v>#N/A</v>
      </c>
      <c r="K20" s="44" t="e">
        <f>VLOOKUP(C20,Extrusion!B:M,10,0)</f>
        <v>#N/A</v>
      </c>
      <c r="L20" s="44" t="e">
        <f>VLOOKUP(C20,Extrusion!B:M,11,0)</f>
        <v>#N/A</v>
      </c>
      <c r="M20" s="44" t="e">
        <f>VLOOKUP(C20,Extrusion!B:M,12,0)</f>
        <v>#N/A</v>
      </c>
      <c r="N20" s="45" t="e">
        <f>VLOOKUP(C20,Extrusion!B:N,13,0)</f>
        <v>#N/A</v>
      </c>
      <c r="O20" s="45" t="e">
        <f t="shared" ca="1" si="7"/>
        <v>#VALUE!</v>
      </c>
      <c r="P20" s="49" t="str">
        <f>IFERROR(VLOOKUP(C20,Extrusion!B:F,4,0),"")</f>
        <v/>
      </c>
      <c r="Q20" s="50" t="str">
        <f t="shared" si="8"/>
        <v/>
      </c>
    </row>
    <row r="21" spans="1:17" s="2" customFormat="1" ht="12.75" customHeight="1" thickBot="1">
      <c r="A21" s="34"/>
      <c r="B21" s="35"/>
      <c r="C21" s="35"/>
      <c r="D21" s="256"/>
      <c r="E21" s="257"/>
      <c r="F21" s="35"/>
      <c r="G21" s="35"/>
      <c r="H21" s="294"/>
      <c r="I21" s="295"/>
      <c r="J21" s="36"/>
      <c r="K21" s="36"/>
      <c r="L21" s="36"/>
      <c r="M21" s="37"/>
      <c r="N21" s="38"/>
      <c r="O21" s="38"/>
      <c r="P21" s="89" t="s">
        <v>43</v>
      </c>
      <c r="Q21" s="94">
        <f>SUM(Q5:Q20)</f>
        <v>0</v>
      </c>
    </row>
    <row r="22" spans="1:17" s="2" customFormat="1" ht="12" customHeight="1">
      <c r="D22" s="22"/>
      <c r="E22" s="22"/>
      <c r="J22" s="8"/>
      <c r="K22" s="8"/>
      <c r="L22" s="8"/>
      <c r="M22" s="8"/>
      <c r="N22" s="5"/>
      <c r="O22" s="5"/>
      <c r="P22" s="88"/>
      <c r="Q22" s="95"/>
    </row>
    <row r="23" spans="1:17" s="2" customFormat="1" ht="12" customHeight="1">
      <c r="D23" s="22"/>
      <c r="E23" s="22"/>
      <c r="J23" s="5"/>
      <c r="K23" s="5"/>
      <c r="L23" s="5"/>
      <c r="M23" s="5"/>
      <c r="N23" s="5"/>
      <c r="O23" s="5"/>
      <c r="P23" s="88"/>
      <c r="Q23" s="95"/>
    </row>
    <row r="24" spans="1:17" s="2" customFormat="1" ht="12" customHeight="1">
      <c r="D24" s="22"/>
      <c r="E24" s="22"/>
      <c r="J24" s="5"/>
      <c r="K24" s="5"/>
      <c r="L24" s="5"/>
      <c r="M24" s="5"/>
      <c r="N24" s="5"/>
      <c r="O24" s="5"/>
      <c r="P24" s="88"/>
      <c r="Q24" s="95"/>
    </row>
    <row r="25" spans="1:17" s="2" customFormat="1" ht="12" customHeight="1">
      <c r="D25" s="22"/>
      <c r="E25" s="22"/>
      <c r="J25" s="5"/>
      <c r="K25" s="5"/>
      <c r="L25" s="5"/>
      <c r="M25" s="5"/>
      <c r="N25" s="5"/>
      <c r="O25" s="5"/>
      <c r="P25" s="88"/>
      <c r="Q25" s="95"/>
    </row>
    <row r="26" spans="1:17" s="2" customFormat="1" ht="12" customHeight="1">
      <c r="D26" s="22"/>
      <c r="E26" s="22"/>
      <c r="J26" s="5"/>
      <c r="K26" s="5"/>
      <c r="L26" s="5"/>
      <c r="M26" s="5"/>
      <c r="N26" s="5"/>
      <c r="O26" s="5"/>
      <c r="P26" s="88"/>
      <c r="Q26" s="95"/>
    </row>
    <row r="27" spans="1:17" s="2" customFormat="1" ht="12" customHeight="1">
      <c r="D27" s="22"/>
      <c r="E27" s="22"/>
      <c r="J27" s="5"/>
      <c r="K27" s="5"/>
      <c r="L27" s="5"/>
      <c r="M27" s="5"/>
      <c r="N27" s="5"/>
      <c r="O27" s="5"/>
      <c r="P27" s="88"/>
      <c r="Q27" s="95"/>
    </row>
    <row r="28" spans="1:17" s="2" customFormat="1" ht="12" customHeight="1">
      <c r="D28" s="22"/>
      <c r="E28" s="22"/>
      <c r="J28" s="5"/>
      <c r="K28" s="5"/>
      <c r="L28" s="5"/>
      <c r="M28" s="5"/>
      <c r="N28" s="5"/>
      <c r="O28" s="5"/>
      <c r="P28" s="88"/>
      <c r="Q28" s="95"/>
    </row>
    <row r="29" spans="1:17" s="2" customFormat="1" ht="12" customHeight="1">
      <c r="D29" s="22"/>
      <c r="E29" s="22"/>
      <c r="J29" s="5"/>
      <c r="K29" s="5"/>
      <c r="L29" s="5"/>
      <c r="M29" s="5"/>
      <c r="N29" s="5"/>
      <c r="O29" s="5"/>
      <c r="P29" s="88"/>
      <c r="Q29" s="95"/>
    </row>
    <row r="30" spans="1:17" s="2" customFormat="1" ht="12" customHeight="1">
      <c r="D30" s="22"/>
      <c r="E30" s="22"/>
      <c r="J30" s="5"/>
      <c r="K30" s="5"/>
      <c r="L30" s="5"/>
      <c r="M30" s="5"/>
      <c r="N30" s="5"/>
      <c r="O30" s="5"/>
      <c r="P30" s="88"/>
      <c r="Q30" s="95"/>
    </row>
    <row r="31" spans="1:17" s="2" customFormat="1" ht="12" customHeight="1">
      <c r="D31" s="22"/>
      <c r="E31" s="22"/>
      <c r="J31" s="5"/>
      <c r="K31" s="5"/>
      <c r="L31" s="5"/>
      <c r="M31" s="5"/>
      <c r="N31" s="5"/>
      <c r="O31" s="5"/>
      <c r="P31" s="88"/>
      <c r="Q31" s="95"/>
    </row>
    <row r="32" spans="1:17" s="2" customFormat="1" ht="12" customHeight="1">
      <c r="D32" s="22"/>
      <c r="E32" s="22"/>
      <c r="J32" s="5"/>
      <c r="K32" s="5"/>
      <c r="L32" s="5"/>
      <c r="M32" s="5"/>
      <c r="N32" s="5"/>
      <c r="O32" s="5"/>
      <c r="P32" s="88"/>
      <c r="Q32" s="95"/>
    </row>
    <row r="33" spans="4:17" s="2" customFormat="1" ht="12" customHeight="1">
      <c r="D33" s="22"/>
      <c r="E33" s="22"/>
      <c r="J33" s="5"/>
      <c r="K33" s="5"/>
      <c r="L33" s="5"/>
      <c r="M33" s="5"/>
      <c r="N33" s="5"/>
      <c r="O33" s="5"/>
      <c r="P33" s="88"/>
      <c r="Q33" s="95"/>
    </row>
    <row r="34" spans="4:17" s="2" customFormat="1" ht="12" customHeight="1">
      <c r="D34" s="22"/>
      <c r="E34" s="22"/>
      <c r="J34" s="5"/>
      <c r="K34" s="5"/>
      <c r="L34" s="5"/>
      <c r="M34" s="5"/>
      <c r="N34" s="5"/>
      <c r="O34" s="5"/>
      <c r="P34" s="88"/>
      <c r="Q34" s="95"/>
    </row>
    <row r="35" spans="4:17" s="2" customFormat="1" ht="12" customHeight="1">
      <c r="D35" s="22"/>
      <c r="E35" s="22"/>
      <c r="J35" s="5"/>
      <c r="K35" s="5"/>
      <c r="L35" s="5"/>
      <c r="M35" s="5"/>
      <c r="N35" s="5"/>
      <c r="O35" s="5"/>
      <c r="P35" s="88"/>
      <c r="Q35" s="95"/>
    </row>
    <row r="36" spans="4:17" s="2" customFormat="1" ht="12" customHeight="1">
      <c r="D36" s="22"/>
      <c r="E36" s="22"/>
      <c r="J36" s="5"/>
      <c r="K36" s="5"/>
      <c r="L36" s="5"/>
      <c r="M36" s="5"/>
      <c r="N36" s="5"/>
      <c r="O36" s="5"/>
      <c r="P36" s="88"/>
      <c r="Q36" s="95"/>
    </row>
    <row r="37" spans="4:17" s="2" customFormat="1" ht="12" customHeight="1">
      <c r="D37" s="22"/>
      <c r="E37" s="22"/>
      <c r="J37" s="5"/>
      <c r="K37" s="5"/>
      <c r="L37" s="5"/>
      <c r="M37" s="5"/>
      <c r="N37" s="5"/>
      <c r="O37" s="5"/>
      <c r="P37" s="88"/>
      <c r="Q37" s="95"/>
    </row>
    <row r="38" spans="4:17" s="2" customFormat="1" ht="12" customHeight="1">
      <c r="D38" s="22"/>
      <c r="E38" s="22"/>
      <c r="J38" s="5"/>
      <c r="K38" s="5"/>
      <c r="L38" s="5"/>
      <c r="M38" s="5"/>
      <c r="N38" s="5"/>
      <c r="O38" s="5"/>
      <c r="P38" s="88"/>
      <c r="Q38" s="95"/>
    </row>
    <row r="39" spans="4:17" s="2" customFormat="1" ht="12" customHeight="1">
      <c r="D39" s="22"/>
      <c r="E39" s="22"/>
      <c r="J39" s="5"/>
      <c r="K39" s="5"/>
      <c r="L39" s="5"/>
      <c r="M39" s="5"/>
      <c r="N39" s="5"/>
      <c r="O39" s="5"/>
      <c r="P39" s="88"/>
      <c r="Q39" s="95"/>
    </row>
    <row r="40" spans="4:17" s="2" customFormat="1" ht="12" customHeight="1">
      <c r="D40" s="22"/>
      <c r="E40" s="22"/>
      <c r="J40" s="5"/>
      <c r="K40" s="5"/>
      <c r="L40" s="5"/>
      <c r="M40" s="5"/>
      <c r="N40" s="5"/>
      <c r="O40" s="5"/>
      <c r="P40" s="88"/>
      <c r="Q40" s="95"/>
    </row>
    <row r="41" spans="4:17" s="2" customFormat="1" ht="12" customHeight="1">
      <c r="D41" s="22"/>
      <c r="E41" s="22"/>
      <c r="J41" s="5"/>
      <c r="K41" s="5"/>
      <c r="L41" s="5"/>
      <c r="M41" s="5"/>
      <c r="N41" s="5"/>
      <c r="O41" s="5"/>
      <c r="P41" s="88"/>
      <c r="Q41" s="95"/>
    </row>
    <row r="42" spans="4:17" s="2" customFormat="1" ht="12" customHeight="1">
      <c r="D42" s="22"/>
      <c r="E42" s="22"/>
      <c r="J42" s="5"/>
      <c r="K42" s="5"/>
      <c r="L42" s="5"/>
      <c r="M42" s="5"/>
      <c r="N42" s="5"/>
      <c r="O42" s="5"/>
      <c r="P42" s="88"/>
      <c r="Q42" s="95"/>
    </row>
    <row r="43" spans="4:17" s="2" customFormat="1" ht="12" customHeight="1">
      <c r="D43" s="22"/>
      <c r="E43" s="22"/>
      <c r="J43" s="5"/>
      <c r="K43" s="5"/>
      <c r="L43" s="5"/>
      <c r="M43" s="5"/>
      <c r="N43" s="5"/>
      <c r="O43" s="5"/>
      <c r="P43" s="88"/>
      <c r="Q43" s="95"/>
    </row>
    <row r="44" spans="4:17" s="2" customFormat="1" ht="12" customHeight="1">
      <c r="D44" s="22"/>
      <c r="E44" s="22"/>
      <c r="J44" s="5"/>
      <c r="K44" s="5"/>
      <c r="L44" s="5"/>
      <c r="M44" s="5"/>
      <c r="N44" s="5"/>
      <c r="O44" s="5"/>
      <c r="P44" s="88"/>
      <c r="Q44" s="95"/>
    </row>
    <row r="45" spans="4:17" s="2" customFormat="1" ht="12" customHeight="1">
      <c r="D45" s="22"/>
      <c r="E45" s="22"/>
      <c r="J45" s="5"/>
      <c r="K45" s="5"/>
      <c r="L45" s="5"/>
      <c r="M45" s="5"/>
      <c r="N45" s="5"/>
      <c r="O45" s="5"/>
      <c r="P45" s="88"/>
      <c r="Q45" s="95"/>
    </row>
    <row r="46" spans="4:17" s="2" customFormat="1" ht="12" customHeight="1">
      <c r="D46" s="22"/>
      <c r="E46" s="22"/>
      <c r="J46" s="5"/>
      <c r="K46" s="5"/>
      <c r="L46" s="5"/>
      <c r="M46" s="5"/>
      <c r="N46" s="5"/>
      <c r="O46" s="5"/>
      <c r="P46" s="88"/>
      <c r="Q46" s="95"/>
    </row>
    <row r="47" spans="4:17" s="2" customFormat="1" ht="12" customHeight="1">
      <c r="D47" s="22"/>
      <c r="E47" s="22"/>
      <c r="J47" s="5"/>
      <c r="K47" s="5"/>
      <c r="L47" s="5"/>
      <c r="M47" s="5"/>
      <c r="N47" s="5"/>
      <c r="O47" s="5"/>
      <c r="P47" s="88"/>
      <c r="Q47" s="95"/>
    </row>
    <row r="48" spans="4:17" s="2" customFormat="1" ht="12" customHeight="1">
      <c r="D48" s="22"/>
      <c r="E48" s="22"/>
      <c r="J48" s="5"/>
      <c r="K48" s="5"/>
      <c r="L48" s="5"/>
      <c r="M48" s="5"/>
      <c r="N48" s="5"/>
      <c r="O48" s="5"/>
      <c r="P48" s="88"/>
      <c r="Q48" s="95"/>
    </row>
    <row r="49" spans="1:17" s="2" customFormat="1" ht="12" customHeight="1">
      <c r="D49" s="22"/>
      <c r="E49" s="22"/>
      <c r="J49" s="5"/>
      <c r="K49" s="5"/>
      <c r="L49" s="5"/>
      <c r="M49" s="5"/>
      <c r="N49" s="5"/>
      <c r="O49" s="5"/>
      <c r="P49" s="88"/>
      <c r="Q49" s="95"/>
    </row>
    <row r="50" spans="1:17" s="2" customFormat="1" ht="12" customHeight="1">
      <c r="D50" s="22"/>
      <c r="E50" s="22"/>
      <c r="J50" s="5"/>
      <c r="K50" s="5"/>
      <c r="L50" s="5"/>
      <c r="M50" s="5"/>
      <c r="N50" s="5"/>
      <c r="O50" s="5"/>
      <c r="P50" s="88"/>
      <c r="Q50" s="95"/>
    </row>
    <row r="51" spans="1:17" s="2" customFormat="1" ht="12" customHeight="1">
      <c r="D51" s="22"/>
      <c r="E51" s="22"/>
      <c r="J51" s="5"/>
      <c r="K51" s="5"/>
      <c r="L51" s="5"/>
      <c r="M51" s="5"/>
      <c r="N51" s="5"/>
      <c r="O51" s="5"/>
      <c r="P51" s="88"/>
      <c r="Q51" s="95"/>
    </row>
    <row r="52" spans="1:17" s="2" customFormat="1" ht="12" customHeight="1">
      <c r="D52" s="22"/>
      <c r="E52" s="22"/>
      <c r="J52" s="5"/>
      <c r="K52" s="5"/>
      <c r="L52" s="5"/>
      <c r="M52" s="5"/>
      <c r="N52" s="5"/>
      <c r="O52" s="5"/>
      <c r="P52" s="88"/>
      <c r="Q52" s="95"/>
    </row>
    <row r="53" spans="1:17" s="2" customFormat="1" ht="12" customHeight="1">
      <c r="D53" s="22"/>
      <c r="E53" s="22"/>
      <c r="J53" s="5"/>
      <c r="K53" s="5"/>
      <c r="L53" s="5"/>
      <c r="M53" s="5"/>
      <c r="N53" s="5"/>
      <c r="O53" s="5"/>
      <c r="P53" s="88"/>
      <c r="Q53" s="95"/>
    </row>
    <row r="54" spans="1:17" s="2" customFormat="1" ht="12" customHeight="1">
      <c r="D54" s="22"/>
      <c r="E54" s="22"/>
      <c r="J54" s="5"/>
      <c r="K54" s="5"/>
      <c r="L54" s="5"/>
      <c r="M54" s="5"/>
      <c r="N54" s="5"/>
      <c r="O54" s="5"/>
      <c r="P54" s="88"/>
      <c r="Q54" s="95"/>
    </row>
    <row r="55" spans="1:17" s="2" customFormat="1" ht="12" customHeight="1">
      <c r="D55" s="22"/>
      <c r="E55" s="22"/>
      <c r="J55" s="5"/>
      <c r="K55" s="5"/>
      <c r="L55" s="5"/>
      <c r="M55" s="5"/>
      <c r="N55" s="5"/>
      <c r="O55" s="5"/>
      <c r="P55" s="88"/>
      <c r="Q55" s="95"/>
    </row>
    <row r="56" spans="1:17" s="2" customFormat="1" ht="12" customHeight="1">
      <c r="D56" s="22"/>
      <c r="E56" s="22"/>
      <c r="J56" s="5"/>
      <c r="K56" s="5"/>
      <c r="L56" s="5"/>
      <c r="M56" s="5"/>
      <c r="N56" s="5"/>
      <c r="O56" s="5"/>
      <c r="P56" s="88"/>
      <c r="Q56" s="95"/>
    </row>
    <row r="57" spans="1:17" s="2" customFormat="1" ht="12" customHeight="1">
      <c r="D57" s="22"/>
      <c r="E57" s="22"/>
      <c r="J57" s="5"/>
      <c r="K57" s="5"/>
      <c r="L57" s="5"/>
      <c r="M57" s="5"/>
      <c r="N57" s="5"/>
      <c r="O57" s="5"/>
      <c r="P57" s="88"/>
      <c r="Q57" s="95"/>
    </row>
    <row r="58" spans="1:17" s="2" customFormat="1" ht="12" customHeight="1">
      <c r="D58" s="22"/>
      <c r="E58" s="22"/>
      <c r="J58" s="5"/>
      <c r="K58" s="5"/>
      <c r="L58" s="5"/>
      <c r="M58" s="5"/>
      <c r="N58" s="5"/>
      <c r="O58" s="5"/>
      <c r="P58" s="88"/>
      <c r="Q58" s="95"/>
    </row>
    <row r="59" spans="1:17" s="2" customFormat="1" ht="12" customHeight="1">
      <c r="D59" s="22"/>
      <c r="E59" s="22"/>
      <c r="J59" s="5"/>
      <c r="K59" s="5"/>
      <c r="L59" s="5"/>
      <c r="M59" s="5"/>
      <c r="N59" s="5"/>
      <c r="O59" s="5"/>
      <c r="P59" s="88"/>
      <c r="Q59" s="95"/>
    </row>
    <row r="60" spans="1:17" s="2" customFormat="1" ht="12" customHeight="1">
      <c r="D60" s="22"/>
      <c r="E60" s="22"/>
      <c r="J60" s="5"/>
      <c r="K60" s="5"/>
      <c r="L60" s="5"/>
      <c r="M60" s="5"/>
      <c r="N60" s="5"/>
      <c r="O60" s="5"/>
      <c r="P60" s="88"/>
      <c r="Q60" s="96"/>
    </row>
    <row r="61" spans="1:17" s="2" customFormat="1" ht="12" customHeight="1">
      <c r="D61" s="22"/>
      <c r="E61" s="22"/>
      <c r="J61" s="5"/>
      <c r="K61" s="5"/>
      <c r="L61" s="5"/>
      <c r="M61" s="5"/>
      <c r="N61" s="5"/>
      <c r="O61" s="5"/>
      <c r="P61" s="88"/>
      <c r="Q61" s="96"/>
    </row>
    <row r="62" spans="1:17" s="2" customFormat="1" ht="12" customHeight="1">
      <c r="D62" s="22"/>
      <c r="E62" s="22"/>
      <c r="J62" s="5"/>
      <c r="K62" s="5"/>
      <c r="L62" s="5"/>
      <c r="M62" s="5"/>
      <c r="N62" s="5"/>
      <c r="O62" s="5"/>
      <c r="P62" s="88"/>
      <c r="Q62" s="96"/>
    </row>
    <row r="63" spans="1:17" s="2" customFormat="1" ht="12" customHeight="1">
      <c r="D63" s="22"/>
      <c r="E63" s="22"/>
      <c r="J63" s="5"/>
      <c r="K63" s="5"/>
      <c r="L63" s="5"/>
      <c r="M63" s="5"/>
      <c r="N63" s="5"/>
      <c r="O63" s="5"/>
      <c r="P63" s="88"/>
      <c r="Q63" s="96"/>
    </row>
    <row r="64" spans="1:17" s="2" customFormat="1" ht="12" customHeight="1">
      <c r="A64"/>
      <c r="B64"/>
      <c r="C64"/>
      <c r="D64" s="23"/>
      <c r="E64" s="23"/>
      <c r="F64"/>
      <c r="G64"/>
      <c r="H64"/>
      <c r="I64"/>
      <c r="J64" s="19"/>
      <c r="K64" s="19"/>
      <c r="L64" s="19"/>
      <c r="M64" s="19"/>
      <c r="N64" s="19"/>
      <c r="O64" s="19"/>
      <c r="P64" s="90"/>
      <c r="Q64" s="96"/>
    </row>
    <row r="65" spans="1:17" s="2" customFormat="1" ht="12" customHeight="1">
      <c r="A65"/>
      <c r="B65"/>
      <c r="C65"/>
      <c r="D65" s="23"/>
      <c r="E65" s="23"/>
      <c r="F65"/>
      <c r="G65"/>
      <c r="H65"/>
      <c r="I65"/>
      <c r="J65" s="19"/>
      <c r="K65" s="19"/>
      <c r="L65" s="19"/>
      <c r="M65" s="19"/>
      <c r="N65" s="19"/>
      <c r="O65" s="19"/>
      <c r="P65" s="90"/>
      <c r="Q65" s="96"/>
    </row>
    <row r="66" spans="1:17" s="2" customFormat="1" ht="12" customHeight="1">
      <c r="A66"/>
      <c r="B66"/>
      <c r="C66"/>
      <c r="D66" s="23"/>
      <c r="E66" s="23"/>
      <c r="F66"/>
      <c r="G66"/>
      <c r="H66"/>
      <c r="I66"/>
      <c r="J66" s="19"/>
      <c r="K66" s="19"/>
      <c r="L66" s="19"/>
      <c r="M66" s="19"/>
      <c r="N66" s="19"/>
      <c r="O66" s="19"/>
      <c r="P66" s="90"/>
      <c r="Q66" s="96"/>
    </row>
    <row r="67" spans="1:17" s="2" customFormat="1" ht="12" customHeight="1">
      <c r="A67"/>
      <c r="B67"/>
      <c r="C67"/>
      <c r="D67" s="23"/>
      <c r="E67" s="23"/>
      <c r="F67"/>
      <c r="G67"/>
      <c r="H67"/>
      <c r="I67"/>
      <c r="J67" s="19"/>
      <c r="K67" s="19"/>
      <c r="L67" s="19"/>
      <c r="M67" s="19"/>
      <c r="N67" s="19"/>
      <c r="O67" s="19"/>
      <c r="P67" s="90"/>
      <c r="Q67" s="96"/>
    </row>
    <row r="68" spans="1:17" s="2" customFormat="1" ht="12" customHeight="1">
      <c r="A68"/>
      <c r="B68"/>
      <c r="C68"/>
      <c r="D68" s="23"/>
      <c r="E68" s="23"/>
      <c r="F68"/>
      <c r="G68"/>
      <c r="H68"/>
      <c r="I68"/>
      <c r="J68" s="19"/>
      <c r="K68" s="19"/>
      <c r="L68" s="19"/>
      <c r="M68" s="19"/>
      <c r="N68" s="19"/>
      <c r="O68" s="19"/>
      <c r="P68" s="90"/>
      <c r="Q68" s="96"/>
    </row>
    <row r="69" spans="1:17">
      <c r="Q69" s="96"/>
    </row>
    <row r="70" spans="1:17">
      <c r="Q70" s="96"/>
    </row>
    <row r="71" spans="1:17">
      <c r="Q71" s="96"/>
    </row>
    <row r="72" spans="1:17">
      <c r="Q72" s="96"/>
    </row>
    <row r="73" spans="1:17">
      <c r="Q73" s="96"/>
    </row>
    <row r="74" spans="1:17">
      <c r="Q74" s="96"/>
    </row>
    <row r="75" spans="1:17">
      <c r="Q75" s="96"/>
    </row>
    <row r="76" spans="1:17">
      <c r="Q76" s="96"/>
    </row>
    <row r="77" spans="1:17">
      <c r="Q77" s="96"/>
    </row>
    <row r="78" spans="1:17">
      <c r="Q78" s="96"/>
    </row>
    <row r="79" spans="1:17">
      <c r="Q79" s="96"/>
    </row>
    <row r="80" spans="1:17">
      <c r="Q80" s="96"/>
    </row>
    <row r="81" spans="17:17">
      <c r="Q81" s="96"/>
    </row>
    <row r="82" spans="17:17">
      <c r="Q82" s="96"/>
    </row>
    <row r="83" spans="17:17">
      <c r="Q83" s="96"/>
    </row>
    <row r="84" spans="17:17">
      <c r="Q84" s="96"/>
    </row>
    <row r="85" spans="17:17">
      <c r="Q85" s="96"/>
    </row>
    <row r="86" spans="17:17">
      <c r="Q86" s="96"/>
    </row>
    <row r="87" spans="17:17">
      <c r="Q87" s="96"/>
    </row>
    <row r="88" spans="17:17">
      <c r="Q88" s="96"/>
    </row>
    <row r="125" ht="12" customHeight="1"/>
    <row r="126" ht="12" customHeight="1"/>
    <row r="127" ht="12" customHeight="1"/>
    <row r="128" ht="12" customHeight="1"/>
    <row r="129" ht="12" customHeight="1"/>
    <row r="130" ht="12" customHeight="1"/>
    <row r="131" ht="12" customHeight="1"/>
    <row r="132" ht="12" customHeight="1"/>
    <row r="133" ht="12" customHeight="1"/>
    <row r="134" ht="12" customHeight="1"/>
    <row r="135" ht="12" customHeight="1"/>
    <row r="136" ht="12" customHeight="1"/>
    <row r="137" ht="12" customHeight="1"/>
    <row r="138" ht="12" customHeight="1"/>
    <row r="139" ht="12" customHeight="1"/>
    <row r="140" ht="12" customHeight="1"/>
    <row r="141" ht="12" customHeight="1"/>
    <row r="142" ht="12" customHeight="1"/>
    <row r="143" ht="12" customHeight="1"/>
    <row r="144" ht="12" customHeight="1"/>
    <row r="145" ht="12" customHeight="1"/>
    <row r="146" ht="12" customHeight="1"/>
    <row r="147" ht="12" customHeight="1"/>
    <row r="148" ht="12" customHeight="1"/>
    <row r="149" ht="12" customHeight="1"/>
    <row r="150" ht="12" customHeight="1"/>
    <row r="151" ht="12" customHeight="1"/>
    <row r="152" ht="12" customHeight="1"/>
    <row r="153" ht="12" customHeight="1"/>
    <row r="154" ht="12" customHeight="1"/>
    <row r="155" ht="12" customHeight="1"/>
    <row r="156" ht="12" customHeight="1"/>
    <row r="157" ht="12" customHeight="1"/>
    <row r="158" ht="12" customHeight="1"/>
    <row r="159" ht="12" customHeight="1"/>
    <row r="160" ht="12" customHeight="1"/>
    <row r="161" ht="12" customHeight="1"/>
    <row r="162" ht="12" customHeight="1"/>
    <row r="163" ht="12" customHeight="1"/>
    <row r="164" ht="12" customHeight="1"/>
    <row r="165" ht="12" customHeight="1"/>
    <row r="166" ht="12" customHeight="1"/>
    <row r="167" ht="12" customHeight="1"/>
    <row r="168" ht="12" customHeight="1"/>
    <row r="169" ht="12" customHeight="1"/>
    <row r="170" ht="12" customHeight="1"/>
    <row r="171" ht="12" customHeight="1"/>
    <row r="172" ht="12" customHeight="1"/>
    <row r="173" ht="12" customHeight="1"/>
    <row r="174" ht="12" customHeight="1"/>
  </sheetData>
  <mergeCells count="24">
    <mergeCell ref="D18:E18"/>
    <mergeCell ref="H18:I18"/>
    <mergeCell ref="D19:E19"/>
    <mergeCell ref="D20:E20"/>
    <mergeCell ref="D21:E21"/>
    <mergeCell ref="H21:I21"/>
    <mergeCell ref="D17:E17"/>
    <mergeCell ref="D8:E8"/>
    <mergeCell ref="H8:I8"/>
    <mergeCell ref="D9:E9"/>
    <mergeCell ref="D10:E10"/>
    <mergeCell ref="D11:E11"/>
    <mergeCell ref="D12:E12"/>
    <mergeCell ref="D13:E13"/>
    <mergeCell ref="D14:E14"/>
    <mergeCell ref="D15:E15"/>
    <mergeCell ref="H15:I15"/>
    <mergeCell ref="D16:E16"/>
    <mergeCell ref="D7:E7"/>
    <mergeCell ref="D1:E1"/>
    <mergeCell ref="D4:E4"/>
    <mergeCell ref="H4:I4"/>
    <mergeCell ref="D5:E5"/>
    <mergeCell ref="D6:E6"/>
  </mergeCells>
  <conditionalFormatting sqref="M5:M7">
    <cfRule type="cellIs" dxfId="392" priority="3" stopIfTrue="1" operator="lessThanOrEqual">
      <formula>$L5</formula>
    </cfRule>
    <cfRule type="cellIs" dxfId="391" priority="4" operator="greaterThan">
      <formula>L5</formula>
    </cfRule>
  </conditionalFormatting>
  <conditionalFormatting sqref="M9:M14 M16:M17">
    <cfRule type="cellIs" dxfId="390" priority="5" stopIfTrue="1" operator="lessThanOrEqual">
      <formula>$L9</formula>
    </cfRule>
    <cfRule type="cellIs" dxfId="389" priority="6" operator="greaterThan">
      <formula>L9</formula>
    </cfRule>
  </conditionalFormatting>
  <conditionalFormatting sqref="M19:M20">
    <cfRule type="cellIs" dxfId="388" priority="1" stopIfTrue="1" operator="lessThanOrEqual">
      <formula>$L19</formula>
    </cfRule>
    <cfRule type="cellIs" dxfId="387" priority="2" operator="greaterThan">
      <formula>L19</formula>
    </cfRule>
  </conditionalFormatting>
  <pageMargins left="0.7" right="0.7" top="0.75" bottom="0.75" header="0.3" footer="0.3"/>
  <pageSetup paperSize="3" fitToHeight="0" orientation="landscape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1F745420-B7A1-41F7-9ACC-29830FE7559C}">
          <x14:formula1>
            <xm:f>Bolts!$A:$A</xm:f>
          </x14:formula1>
          <xm:sqref>C16:C17</xm:sqref>
        </x14:dataValidation>
        <x14:dataValidation type="list" allowBlank="1" showInputMessage="1" showErrorMessage="1" xr:uid="{C9CBB27A-7A12-41CD-AB5E-35813C500478}">
          <x14:formula1>
            <xm:f>Purchased!$A:$A</xm:f>
          </x14:formula1>
          <xm:sqref>C9:C14</xm:sqref>
        </x14:dataValidation>
        <x14:dataValidation type="list" allowBlank="1" showInputMessage="1" showErrorMessage="1" xr:uid="{2F0278C4-E487-4F78-9D15-EA366CACDC06}">
          <x14:formula1>
            <xm:f>Extrusion!$B:$B</xm:f>
          </x14:formula1>
          <xm:sqref>C19:C20</xm:sqref>
        </x14:dataValidation>
        <x14:dataValidation type="list" allowBlank="1" showInputMessage="1" showErrorMessage="1" xr:uid="{92CCB044-253E-4123-B7F5-0702E8A8580B}">
          <x14:formula1>
            <xm:f>Machined!$C:$C</xm:f>
          </x14:formula1>
          <xm:sqref>C5:C7</xm:sqref>
        </x14:dataValidation>
      </x14:dataValidations>
    </ext>
  </extLst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A2B8B3-3281-4E77-B5E8-F85E93C74B19}">
  <sheetPr codeName="Sheet68">
    <tabColor theme="3" tint="0.59999389629810485"/>
    <pageSetUpPr fitToPage="1"/>
  </sheetPr>
  <dimension ref="A1:Q165"/>
  <sheetViews>
    <sheetView zoomScaleNormal="100" workbookViewId="0">
      <selection activeCell="H24" sqref="H24"/>
    </sheetView>
  </sheetViews>
  <sheetFormatPr defaultColWidth="9.140625" defaultRowHeight="15"/>
  <cols>
    <col min="1" max="1" width="5.7109375" customWidth="1"/>
    <col min="2" max="2" width="5.42578125" bestFit="1" customWidth="1"/>
    <col min="3" max="3" width="30.7109375" customWidth="1"/>
    <col min="4" max="5" width="20.7109375" style="23" customWidth="1"/>
    <col min="6" max="6" width="16.85546875" bestFit="1" customWidth="1"/>
    <col min="7" max="7" width="9.7109375" customWidth="1"/>
    <col min="8" max="8" width="8.7109375" customWidth="1"/>
    <col min="9" max="9" width="20.7109375" customWidth="1"/>
    <col min="10" max="13" width="11.7109375" style="19" customWidth="1"/>
    <col min="14" max="14" width="11.85546875" style="19" bestFit="1" customWidth="1"/>
    <col min="15" max="15" width="7.7109375" style="19" customWidth="1"/>
    <col min="16" max="16" width="10.7109375" style="90" customWidth="1"/>
    <col min="17" max="17" width="10.7109375" style="97" customWidth="1"/>
  </cols>
  <sheetData>
    <row r="1" spans="1:17" s="55" customFormat="1" ht="12" customHeight="1">
      <c r="A1" s="68" t="s">
        <v>0</v>
      </c>
      <c r="B1" s="69"/>
      <c r="C1" s="69"/>
      <c r="D1" s="262" t="s">
        <v>1</v>
      </c>
      <c r="E1" s="263"/>
      <c r="F1" s="70"/>
      <c r="G1" s="69"/>
      <c r="H1" s="70"/>
      <c r="I1" s="71"/>
      <c r="J1" s="72"/>
      <c r="K1" s="72"/>
      <c r="L1" s="72"/>
      <c r="M1" s="72"/>
      <c r="N1" s="72"/>
      <c r="O1" s="72"/>
      <c r="P1" s="85"/>
      <c r="Q1" s="91"/>
    </row>
    <row r="2" spans="1:17" s="55" customFormat="1" ht="12" customHeight="1">
      <c r="A2" s="74" t="s">
        <v>48</v>
      </c>
      <c r="B2" s="58"/>
      <c r="C2" s="57" t="e">
        <f ca="1">VLOOKUP(E3,Assemblies!B:F,4,0)</f>
        <v>#VALUE!</v>
      </c>
      <c r="D2" s="75" t="s">
        <v>3</v>
      </c>
      <c r="E2" s="76" t="e">
        <f ca="1">'GF12'!E2</f>
        <v>#VALUE!</v>
      </c>
      <c r="F2" s="77" t="s">
        <v>4</v>
      </c>
      <c r="G2" s="58" t="str">
        <f>'GF12'!G2</f>
        <v>GH</v>
      </c>
      <c r="H2" s="77" t="s">
        <v>6</v>
      </c>
      <c r="I2" s="59">
        <f>'GF12'!I2</f>
        <v>44775</v>
      </c>
      <c r="J2" s="39"/>
      <c r="K2" s="40" t="s">
        <v>49</v>
      </c>
      <c r="L2" s="41" t="e">
        <f ca="1">VLOOKUP(C2,Assemblies!E:G,3,0)</f>
        <v>#VALUE!</v>
      </c>
      <c r="M2" s="78"/>
      <c r="N2" s="78"/>
      <c r="O2" s="78"/>
      <c r="P2" s="86"/>
      <c r="Q2" s="92"/>
    </row>
    <row r="3" spans="1:17" s="55" customFormat="1" ht="12" customHeight="1" thickBot="1">
      <c r="A3" s="74" t="s">
        <v>7</v>
      </c>
      <c r="B3" s="58"/>
      <c r="C3" s="57" t="e">
        <f ca="1">VLOOKUP(E3,Assemblies!B:F,5,0)</f>
        <v>#VALUE!</v>
      </c>
      <c r="D3" s="75" t="s">
        <v>50</v>
      </c>
      <c r="E3" s="76" t="e">
        <f ca="1">MID(CELL("filename",A1),FIND("]",CELL("filename",A1))+1,256)</f>
        <v>#VALUE!</v>
      </c>
      <c r="F3" s="77" t="s">
        <v>11</v>
      </c>
      <c r="G3" s="58" t="str">
        <f>'GF12'!G3</f>
        <v>GH</v>
      </c>
      <c r="H3" s="77" t="s">
        <v>6</v>
      </c>
      <c r="I3" s="59">
        <f>'GF12'!I3</f>
        <v>44775</v>
      </c>
      <c r="J3" s="78"/>
      <c r="K3" s="78"/>
      <c r="L3" s="78"/>
      <c r="M3" s="78"/>
      <c r="N3" s="78"/>
      <c r="O3" s="78"/>
      <c r="P3" s="86"/>
      <c r="Q3" s="92"/>
    </row>
    <row r="4" spans="1:17" s="56" customFormat="1" ht="12.75" customHeight="1" thickBot="1">
      <c r="A4" s="80" t="s">
        <v>12</v>
      </c>
      <c r="B4" s="81" t="s">
        <v>13</v>
      </c>
      <c r="C4" s="81" t="s">
        <v>14</v>
      </c>
      <c r="D4" s="270" t="s">
        <v>15</v>
      </c>
      <c r="E4" s="271"/>
      <c r="F4" s="104" t="s">
        <v>16</v>
      </c>
      <c r="G4" s="81" t="s">
        <v>17</v>
      </c>
      <c r="H4" s="260" t="s">
        <v>18</v>
      </c>
      <c r="I4" s="261"/>
      <c r="J4" s="81" t="s">
        <v>51</v>
      </c>
      <c r="K4" s="81" t="s">
        <v>20</v>
      </c>
      <c r="L4" s="81" t="s">
        <v>21</v>
      </c>
      <c r="M4" s="81" t="s">
        <v>52</v>
      </c>
      <c r="N4" s="81" t="s">
        <v>22</v>
      </c>
      <c r="O4" s="81" t="s">
        <v>53</v>
      </c>
      <c r="P4" s="107" t="s">
        <v>26</v>
      </c>
      <c r="Q4" s="82" t="s">
        <v>27</v>
      </c>
    </row>
    <row r="5" spans="1:17" s="2" customFormat="1" ht="12.75" customHeight="1">
      <c r="A5" s="127">
        <v>1</v>
      </c>
      <c r="B5" s="21">
        <v>2</v>
      </c>
      <c r="C5" s="108" t="s">
        <v>775</v>
      </c>
      <c r="D5" s="277" t="str">
        <f>VLOOKUP(C5,Machined!C:Q,2,0)</f>
        <v>Unwind Clear Panel</v>
      </c>
      <c r="E5" s="278"/>
      <c r="F5" s="131" t="str">
        <f>VLOOKUP(C5,Machined!C:R,7,0)</f>
        <v>Polycarb</v>
      </c>
      <c r="G5" s="131" t="str">
        <f>VLOOKUP(C5,Machined!C:R,10,0)</f>
        <v>PRO PLASTICS</v>
      </c>
      <c r="H5" s="131" t="str">
        <f>VLOOKUP(C5,Machined!C:R,11,0)</f>
        <v>Quote 665542, 4 weeks 10/24</v>
      </c>
      <c r="I5" s="131"/>
      <c r="J5" s="42">
        <f>VLOOKUP(C5,Machined!C:R,12,0)</f>
        <v>45159</v>
      </c>
      <c r="K5" s="42">
        <f>VLOOKUP(C5,Machined!C:R,13,0)</f>
        <v>45188</v>
      </c>
      <c r="L5" s="42">
        <f>VLOOKUP(C5,Machined!C:R,14,0)</f>
        <v>45212</v>
      </c>
      <c r="M5" s="42">
        <f>VLOOKUP(C5,Machined!C:R,15,0)</f>
        <v>45216</v>
      </c>
      <c r="N5" s="43">
        <f>VLOOKUP(C5,Machined!C:R,16,0)</f>
        <v>55156</v>
      </c>
      <c r="O5" s="43" t="e">
        <f t="shared" ref="O5" ca="1" si="0">B5*$L$2</f>
        <v>#VALUE!</v>
      </c>
      <c r="P5" s="47">
        <f>IFERROR(VLOOKUP(C5,Machined!C:F,3,0),"")</f>
        <v>112</v>
      </c>
      <c r="Q5" s="48">
        <f t="shared" ref="Q5" si="1">IFERROR(B5*P5,"")</f>
        <v>224</v>
      </c>
    </row>
    <row r="6" spans="1:17" s="2" customFormat="1" ht="12.75" customHeight="1">
      <c r="A6" s="143"/>
      <c r="B6" s="26"/>
      <c r="C6" s="26"/>
      <c r="D6" s="272"/>
      <c r="E6" s="273"/>
      <c r="F6" s="26"/>
      <c r="G6" s="26"/>
      <c r="H6" s="274"/>
      <c r="I6" s="275"/>
      <c r="J6" s="27"/>
      <c r="K6" s="27"/>
      <c r="L6" s="27"/>
      <c r="M6" s="28"/>
      <c r="N6" s="29"/>
      <c r="O6" s="29"/>
      <c r="P6" s="141"/>
      <c r="Q6" s="142"/>
    </row>
    <row r="7" spans="1:17" s="2" customFormat="1" ht="12.75" customHeight="1">
      <c r="A7" s="4">
        <v>301</v>
      </c>
      <c r="B7" s="2">
        <v>24</v>
      </c>
      <c r="C7" s="114" t="s">
        <v>309</v>
      </c>
      <c r="D7" s="268" t="str">
        <f>VLOOKUP(C7,Purchased!A:B,2,0)</f>
        <v>BRX GOTO VARIOFIX BLOCK S,N10,40/45,GREY</v>
      </c>
      <c r="E7" s="269"/>
      <c r="F7" s="112" t="str">
        <f>VLOOKUP(C7,Purchased!A:Q,9,0)</f>
        <v>BRX</v>
      </c>
      <c r="G7" s="112" t="str">
        <f>VLOOKUP(C7,Purchased!A:Q,10,0)</f>
        <v>AAP</v>
      </c>
      <c r="H7" s="112" t="str">
        <f>VLOOKUP(C7,Purchased!A:Q,12,0)</f>
        <v xml:space="preserve">  </v>
      </c>
      <c r="I7" s="113"/>
      <c r="J7" s="44">
        <f>VLOOKUP(C7,Purchased!A:Q,13,0)</f>
        <v>45104</v>
      </c>
      <c r="K7" s="44">
        <f>VLOOKUP(C7,Purchased!A:Q,14,0)</f>
        <v>45105</v>
      </c>
      <c r="L7" s="44">
        <f>VLOOKUP(C7,Purchased!A:Q,15,0)</f>
        <v>45133</v>
      </c>
      <c r="M7" s="44">
        <f>VLOOKUP(C7,Purchased!A:Q,16,0)</f>
        <v>45133</v>
      </c>
      <c r="N7" s="45" t="str">
        <f>VLOOKUP(C7,Purchased!A:Q,17,0)</f>
        <v>54968, 55147</v>
      </c>
      <c r="O7" s="45" t="e">
        <f ca="1">B7*$L$2</f>
        <v>#VALUE!</v>
      </c>
      <c r="P7" s="49">
        <f>IFERROR(VLOOKUP(C7,Purchased!A:E,3,FALSE),"")</f>
        <v>3.9</v>
      </c>
      <c r="Q7" s="50">
        <f>IFERROR(B7*P7,"")</f>
        <v>93.6</v>
      </c>
    </row>
    <row r="8" spans="1:17" s="2" customFormat="1" ht="12" customHeight="1">
      <c r="A8" s="4">
        <f>A7+1</f>
        <v>302</v>
      </c>
      <c r="B8" s="2">
        <v>24</v>
      </c>
      <c r="C8" s="114" t="s">
        <v>307</v>
      </c>
      <c r="D8" s="268" t="str">
        <f>VLOOKUP(C8,Purchased!A:B,2,0)</f>
        <v>Hot-Dipped Galvanized Steel with Neoprene Sealing Washer for Number 12 Screw Size, 0.24" ID, 0.5" OD, 100pk</v>
      </c>
      <c r="E8" s="269"/>
      <c r="F8" s="112" t="str">
        <f>VLOOKUP(C8,Purchased!A:Q,9,0)</f>
        <v>MCM</v>
      </c>
      <c r="G8" s="112" t="str">
        <f>VLOOKUP(C8,Purchased!A:Q,10,0)</f>
        <v>MCM</v>
      </c>
      <c r="H8" s="112" t="str">
        <f>VLOOKUP(C8,Purchased!A:Q,12,0)</f>
        <v>Pack of 100</v>
      </c>
      <c r="I8" s="113"/>
      <c r="J8" s="44" t="str">
        <f>VLOOKUP(C8,Purchased!A:Q,13,0)</f>
        <v>N/A</v>
      </c>
      <c r="K8" s="44">
        <f>VLOOKUP(C8,Purchased!A:Q,14,0)</f>
        <v>45162</v>
      </c>
      <c r="L8" s="44">
        <f>VLOOKUP(C8,Purchased!A:Q,15,0)</f>
        <v>45184</v>
      </c>
      <c r="M8" s="44">
        <f>VLOOKUP(C8,Purchased!A:Q,16,0)</f>
        <v>45163</v>
      </c>
      <c r="N8" s="45" t="str">
        <f>VLOOKUP(C8,Purchased!A:Q,17,0)</f>
        <v>4x55089, 1x55152, 1x55167</v>
      </c>
      <c r="O8" s="45" t="e">
        <f ca="1">B8*$L$2</f>
        <v>#VALUE!</v>
      </c>
      <c r="P8" s="49">
        <f>IFERROR(VLOOKUP(C8,Purchased!A:E,3,FALSE),"")</f>
        <v>6.56</v>
      </c>
      <c r="Q8" s="50">
        <f>IFERROR(B8*P8,"")</f>
        <v>157.44</v>
      </c>
    </row>
    <row r="9" spans="1:17" s="2" customFormat="1" ht="12.75" customHeight="1">
      <c r="A9" s="25"/>
      <c r="B9" s="26"/>
      <c r="C9" s="26"/>
      <c r="D9" s="272"/>
      <c r="E9" s="273"/>
      <c r="F9" s="26"/>
      <c r="G9" s="26"/>
      <c r="H9" s="274"/>
      <c r="I9" s="275"/>
      <c r="J9" s="27"/>
      <c r="K9" s="27"/>
      <c r="L9" s="27"/>
      <c r="M9" s="28"/>
      <c r="N9" s="29"/>
      <c r="O9" s="29" t="e">
        <f ca="1">B9*$L$2</f>
        <v>#VALUE!</v>
      </c>
      <c r="P9" s="141"/>
      <c r="Q9" s="142"/>
    </row>
    <row r="10" spans="1:17" s="2" customFormat="1" ht="12.75" customHeight="1">
      <c r="A10" s="4">
        <v>501</v>
      </c>
      <c r="B10" s="2">
        <v>24</v>
      </c>
      <c r="C10" s="110" t="s">
        <v>311</v>
      </c>
      <c r="D10" s="268"/>
      <c r="E10" s="276"/>
      <c r="F10" s="112" t="str">
        <f>VLOOKUP(C10,Bolts!A:L,5,0)</f>
        <v xml:space="preserve">  </v>
      </c>
      <c r="G10" s="112" t="str">
        <f>VLOOKUP(C10,Bolts!A:L,6,0)</f>
        <v>Monroe Fasteners</v>
      </c>
      <c r="H10" s="112" t="str">
        <f>VLOOKUP(C10,Bolts!A:L,7,0)</f>
        <v xml:space="preserve">  </v>
      </c>
      <c r="I10" s="112"/>
      <c r="J10" s="44" t="str">
        <f>VLOOKUP(C10,Bolts!A:L,8,0)</f>
        <v xml:space="preserve"> </v>
      </c>
      <c r="K10" s="44" t="str">
        <f>VLOOKUP(C10,Bolts!A:L,9,0)</f>
        <v xml:space="preserve"> </v>
      </c>
      <c r="L10" s="44" t="str">
        <f>VLOOKUP(C10,Bolts!A:L,10,0)</f>
        <v xml:space="preserve"> </v>
      </c>
      <c r="M10" s="44" t="str">
        <f>VLOOKUP(C10,Bolts!A:L,11,0)</f>
        <v xml:space="preserve"> </v>
      </c>
      <c r="N10" s="45" t="str">
        <f>VLOOKUP(C10,Bolts!A:L,12,0)</f>
        <v xml:space="preserve"> </v>
      </c>
      <c r="O10" s="45" t="e">
        <f ca="1">B10*$L$2</f>
        <v>#VALUE!</v>
      </c>
      <c r="P10" s="49" t="str">
        <f>IFERROR(VLOOKUP(C10,Bolts!A:B,2,FALSE),"")</f>
        <v xml:space="preserve"> </v>
      </c>
      <c r="Q10" s="50" t="str">
        <f>IFERROR(B10*P10,"")</f>
        <v/>
      </c>
    </row>
    <row r="11" spans="1:17" s="2" customFormat="1" ht="12.75" customHeight="1" thickBot="1">
      <c r="A11" s="4">
        <f>A10+1</f>
        <v>502</v>
      </c>
      <c r="C11" s="110"/>
      <c r="D11" s="268"/>
      <c r="E11" s="276"/>
      <c r="F11" s="112" t="e">
        <f>VLOOKUP(C11,Bolts!A:L,5,0)</f>
        <v>#N/A</v>
      </c>
      <c r="G11" s="112" t="e">
        <f>VLOOKUP(C11,Bolts!A:L,6,0)</f>
        <v>#N/A</v>
      </c>
      <c r="H11" s="112" t="e">
        <f>VLOOKUP(C11,Bolts!A:L,7,0)</f>
        <v>#N/A</v>
      </c>
      <c r="I11" s="112"/>
      <c r="J11" s="44" t="e">
        <f>VLOOKUP(C11,Bolts!A:L,8,0)</f>
        <v>#N/A</v>
      </c>
      <c r="K11" s="44" t="e">
        <f>VLOOKUP(C11,Bolts!A:L,9,0)</f>
        <v>#N/A</v>
      </c>
      <c r="L11" s="44" t="e">
        <f>VLOOKUP(C11,Bolts!A:L,10,0)</f>
        <v>#N/A</v>
      </c>
      <c r="M11" s="44" t="e">
        <f>VLOOKUP(C11,Bolts!A:L,11,0)</f>
        <v>#N/A</v>
      </c>
      <c r="N11" s="45" t="e">
        <f>VLOOKUP(C11,Bolts!A:L,12,0)</f>
        <v>#N/A</v>
      </c>
      <c r="O11" s="45" t="e">
        <f ca="1">B11*$L$2</f>
        <v>#VALUE!</v>
      </c>
      <c r="P11" s="49" t="str">
        <f>IFERROR(VLOOKUP(C11,Bolts!A:B,2,FALSE),"")</f>
        <v/>
      </c>
      <c r="Q11" s="50" t="str">
        <f>IFERROR(B11*P11,"")</f>
        <v/>
      </c>
    </row>
    <row r="12" spans="1:17" s="2" customFormat="1" ht="12.75" customHeight="1" thickBot="1">
      <c r="A12" s="34"/>
      <c r="B12" s="35"/>
      <c r="C12" s="35"/>
      <c r="D12" s="256"/>
      <c r="E12" s="257"/>
      <c r="F12" s="35"/>
      <c r="G12" s="35"/>
      <c r="H12" s="294"/>
      <c r="I12" s="295"/>
      <c r="J12" s="36"/>
      <c r="K12" s="36"/>
      <c r="L12" s="36"/>
      <c r="M12" s="37"/>
      <c r="N12" s="38"/>
      <c r="O12" s="38"/>
      <c r="P12" s="89" t="s">
        <v>43</v>
      </c>
      <c r="Q12" s="94">
        <f>SUM(Q5:Q11)</f>
        <v>475.04</v>
      </c>
    </row>
    <row r="13" spans="1:17" s="2" customFormat="1" ht="12" customHeight="1">
      <c r="D13" s="22"/>
      <c r="E13" s="22"/>
      <c r="J13" s="8"/>
      <c r="K13" s="8"/>
      <c r="L13" s="8"/>
      <c r="M13" s="8"/>
      <c r="N13" s="5"/>
      <c r="O13" s="5"/>
      <c r="P13" s="88"/>
      <c r="Q13" s="95"/>
    </row>
    <row r="14" spans="1:17" s="2" customFormat="1" ht="12" customHeight="1">
      <c r="D14" s="22"/>
      <c r="E14" s="22"/>
      <c r="J14" s="5"/>
      <c r="K14" s="5"/>
      <c r="L14" s="5"/>
      <c r="M14" s="5"/>
      <c r="N14" s="5"/>
      <c r="O14" s="5"/>
      <c r="P14" s="88"/>
      <c r="Q14" s="95"/>
    </row>
    <row r="15" spans="1:17" s="2" customFormat="1" ht="12" customHeight="1">
      <c r="D15" s="22"/>
      <c r="E15" s="22"/>
      <c r="J15" s="5"/>
      <c r="K15" s="5"/>
      <c r="L15" s="5"/>
      <c r="M15" s="5"/>
      <c r="N15" s="5"/>
      <c r="O15" s="5"/>
      <c r="P15" s="88"/>
      <c r="Q15" s="95"/>
    </row>
    <row r="16" spans="1:17" s="2" customFormat="1" ht="12" customHeight="1">
      <c r="D16" s="22"/>
      <c r="E16" s="22"/>
      <c r="J16" s="5"/>
      <c r="K16" s="5"/>
      <c r="L16" s="5"/>
      <c r="M16" s="5"/>
      <c r="N16" s="5"/>
      <c r="O16" s="5"/>
      <c r="P16" s="88"/>
      <c r="Q16" s="95"/>
    </row>
    <row r="17" spans="3:17" s="2" customFormat="1" ht="12" customHeight="1">
      <c r="C17" s="115"/>
      <c r="D17" s="22"/>
      <c r="E17" s="22"/>
      <c r="J17" s="5"/>
      <c r="K17" s="5"/>
      <c r="L17" s="5"/>
      <c r="M17" s="5"/>
      <c r="N17" s="5"/>
      <c r="O17" s="5"/>
      <c r="P17" s="88"/>
      <c r="Q17" s="95"/>
    </row>
    <row r="18" spans="3:17" s="2" customFormat="1" ht="12" customHeight="1">
      <c r="D18" s="22"/>
      <c r="E18" s="22"/>
      <c r="J18" s="5"/>
      <c r="K18" s="5"/>
      <c r="L18" s="5"/>
      <c r="M18" s="5"/>
      <c r="N18" s="5"/>
      <c r="O18" s="5"/>
      <c r="P18" s="88"/>
      <c r="Q18" s="95"/>
    </row>
    <row r="19" spans="3:17" s="2" customFormat="1" ht="12" customHeight="1">
      <c r="D19" s="22"/>
      <c r="E19" s="22"/>
      <c r="J19" s="5"/>
      <c r="K19" s="5"/>
      <c r="L19" s="5"/>
      <c r="M19" s="5"/>
      <c r="N19" s="5"/>
      <c r="O19" s="5"/>
      <c r="P19" s="88"/>
      <c r="Q19" s="95"/>
    </row>
    <row r="20" spans="3:17" s="2" customFormat="1" ht="12" customHeight="1">
      <c r="D20" s="22"/>
      <c r="E20" s="22"/>
      <c r="J20" s="5"/>
      <c r="K20" s="5"/>
      <c r="L20" s="5"/>
      <c r="M20" s="5"/>
      <c r="N20" s="5"/>
      <c r="O20" s="5"/>
      <c r="P20" s="88"/>
      <c r="Q20" s="95"/>
    </row>
    <row r="21" spans="3:17" s="2" customFormat="1" ht="12" customHeight="1">
      <c r="D21" s="22"/>
      <c r="E21" s="22"/>
      <c r="J21" s="5"/>
      <c r="K21" s="5"/>
      <c r="L21" s="5"/>
      <c r="M21" s="5"/>
      <c r="N21" s="5"/>
      <c r="O21" s="5"/>
      <c r="P21" s="88"/>
      <c r="Q21" s="95"/>
    </row>
    <row r="22" spans="3:17" s="2" customFormat="1" ht="12" customHeight="1">
      <c r="D22" s="22"/>
      <c r="E22" s="22"/>
      <c r="J22" s="5"/>
      <c r="K22" s="5"/>
      <c r="L22" s="5"/>
      <c r="M22" s="5"/>
      <c r="N22" s="5"/>
      <c r="O22" s="5"/>
      <c r="P22" s="88"/>
      <c r="Q22" s="95"/>
    </row>
    <row r="23" spans="3:17" s="2" customFormat="1" ht="12" customHeight="1">
      <c r="D23" s="22"/>
      <c r="E23" s="22"/>
      <c r="J23" s="5"/>
      <c r="K23" s="5"/>
      <c r="L23" s="5"/>
      <c r="M23" s="5"/>
      <c r="N23" s="5"/>
      <c r="O23" s="5"/>
      <c r="P23" s="88"/>
      <c r="Q23" s="95"/>
    </row>
    <row r="24" spans="3:17" s="2" customFormat="1" ht="12" customHeight="1">
      <c r="D24" s="22"/>
      <c r="E24" s="22"/>
      <c r="J24" s="5"/>
      <c r="K24" s="5"/>
      <c r="L24" s="5"/>
      <c r="M24" s="5"/>
      <c r="N24" s="5"/>
      <c r="O24" s="5"/>
      <c r="P24" s="88"/>
      <c r="Q24" s="95"/>
    </row>
    <row r="25" spans="3:17" s="2" customFormat="1" ht="12" customHeight="1">
      <c r="D25" s="22"/>
      <c r="E25" s="22"/>
      <c r="J25" s="5"/>
      <c r="K25" s="5"/>
      <c r="L25" s="5"/>
      <c r="M25" s="5"/>
      <c r="N25" s="5"/>
      <c r="O25" s="5"/>
      <c r="P25" s="88"/>
      <c r="Q25" s="95"/>
    </row>
    <row r="26" spans="3:17" s="2" customFormat="1" ht="12" customHeight="1">
      <c r="D26" s="22"/>
      <c r="E26" s="22"/>
      <c r="J26" s="5"/>
      <c r="K26" s="5"/>
      <c r="L26" s="5"/>
      <c r="M26" s="5"/>
      <c r="N26" s="5"/>
      <c r="O26" s="5"/>
      <c r="P26" s="88"/>
      <c r="Q26" s="95"/>
    </row>
    <row r="27" spans="3:17" s="2" customFormat="1" ht="12" customHeight="1">
      <c r="D27" s="22"/>
      <c r="E27" s="22"/>
      <c r="J27" s="5"/>
      <c r="K27" s="5"/>
      <c r="L27" s="5"/>
      <c r="M27" s="5"/>
      <c r="N27" s="5"/>
      <c r="O27" s="5"/>
      <c r="P27" s="88"/>
      <c r="Q27" s="95"/>
    </row>
    <row r="28" spans="3:17" s="2" customFormat="1" ht="12" customHeight="1">
      <c r="D28" s="22"/>
      <c r="E28" s="22"/>
      <c r="J28" s="5"/>
      <c r="K28" s="5"/>
      <c r="L28" s="5"/>
      <c r="M28" s="5"/>
      <c r="N28" s="5"/>
      <c r="O28" s="5"/>
      <c r="P28" s="88"/>
      <c r="Q28" s="95"/>
    </row>
    <row r="29" spans="3:17" s="2" customFormat="1" ht="12" customHeight="1">
      <c r="D29" s="22"/>
      <c r="E29" s="22"/>
      <c r="J29" s="5"/>
      <c r="K29" s="5"/>
      <c r="L29" s="5"/>
      <c r="M29" s="5"/>
      <c r="N29" s="5"/>
      <c r="O29" s="5"/>
      <c r="P29" s="88"/>
      <c r="Q29" s="95"/>
    </row>
    <row r="30" spans="3:17" s="2" customFormat="1" ht="12" customHeight="1">
      <c r="D30" s="22"/>
      <c r="E30" s="22"/>
      <c r="J30" s="5"/>
      <c r="K30" s="5"/>
      <c r="L30" s="5"/>
      <c r="M30" s="5"/>
      <c r="N30" s="5"/>
      <c r="O30" s="5"/>
      <c r="P30" s="88"/>
      <c r="Q30" s="95"/>
    </row>
    <row r="31" spans="3:17" s="2" customFormat="1" ht="12" customHeight="1">
      <c r="D31" s="22"/>
      <c r="E31" s="22"/>
      <c r="J31" s="5"/>
      <c r="K31" s="5"/>
      <c r="L31" s="5"/>
      <c r="M31" s="5"/>
      <c r="N31" s="5"/>
      <c r="O31" s="5"/>
      <c r="P31" s="88"/>
      <c r="Q31" s="95"/>
    </row>
    <row r="32" spans="3:17" s="2" customFormat="1" ht="12" customHeight="1">
      <c r="D32" s="22"/>
      <c r="E32" s="22"/>
      <c r="J32" s="5"/>
      <c r="K32" s="5"/>
      <c r="L32" s="5"/>
      <c r="M32" s="5"/>
      <c r="N32" s="5"/>
      <c r="O32" s="5"/>
      <c r="P32" s="88"/>
      <c r="Q32" s="95"/>
    </row>
    <row r="33" spans="4:17" s="2" customFormat="1" ht="12" customHeight="1">
      <c r="D33" s="22"/>
      <c r="E33" s="22"/>
      <c r="J33" s="5"/>
      <c r="K33" s="5"/>
      <c r="L33" s="5"/>
      <c r="M33" s="5"/>
      <c r="N33" s="5"/>
      <c r="O33" s="5"/>
      <c r="P33" s="88"/>
      <c r="Q33" s="95"/>
    </row>
    <row r="34" spans="4:17" s="2" customFormat="1" ht="12" customHeight="1">
      <c r="D34" s="22"/>
      <c r="E34" s="22"/>
      <c r="J34" s="5"/>
      <c r="K34" s="5"/>
      <c r="L34" s="5"/>
      <c r="M34" s="5"/>
      <c r="N34" s="5"/>
      <c r="O34" s="5"/>
      <c r="P34" s="88"/>
      <c r="Q34" s="95"/>
    </row>
    <row r="35" spans="4:17" s="2" customFormat="1" ht="12" customHeight="1">
      <c r="D35" s="22"/>
      <c r="E35" s="22"/>
      <c r="J35" s="5"/>
      <c r="K35" s="5"/>
      <c r="L35" s="5"/>
      <c r="M35" s="5"/>
      <c r="N35" s="5"/>
      <c r="O35" s="5"/>
      <c r="P35" s="88"/>
      <c r="Q35" s="95"/>
    </row>
    <row r="36" spans="4:17" s="2" customFormat="1" ht="12" customHeight="1">
      <c r="D36" s="22"/>
      <c r="E36" s="22"/>
      <c r="J36" s="5"/>
      <c r="K36" s="5"/>
      <c r="L36" s="5"/>
      <c r="M36" s="5"/>
      <c r="N36" s="5"/>
      <c r="O36" s="5"/>
      <c r="P36" s="88"/>
      <c r="Q36" s="95"/>
    </row>
    <row r="37" spans="4:17" s="2" customFormat="1" ht="12" customHeight="1">
      <c r="D37" s="22"/>
      <c r="E37" s="22"/>
      <c r="J37" s="5"/>
      <c r="K37" s="5"/>
      <c r="L37" s="5"/>
      <c r="M37" s="5"/>
      <c r="N37" s="5"/>
      <c r="O37" s="5"/>
      <c r="P37" s="88"/>
      <c r="Q37" s="95"/>
    </row>
    <row r="38" spans="4:17" s="2" customFormat="1" ht="12" customHeight="1">
      <c r="D38" s="22"/>
      <c r="E38" s="22"/>
      <c r="J38" s="5"/>
      <c r="K38" s="5"/>
      <c r="L38" s="5"/>
      <c r="M38" s="5"/>
      <c r="N38" s="5"/>
      <c r="O38" s="5"/>
      <c r="P38" s="88"/>
      <c r="Q38" s="95"/>
    </row>
    <row r="39" spans="4:17" s="2" customFormat="1" ht="12" customHeight="1">
      <c r="D39" s="22"/>
      <c r="E39" s="22"/>
      <c r="J39" s="5"/>
      <c r="K39" s="5"/>
      <c r="L39" s="5"/>
      <c r="M39" s="5"/>
      <c r="N39" s="5"/>
      <c r="O39" s="5"/>
      <c r="P39" s="88"/>
      <c r="Q39" s="95"/>
    </row>
    <row r="40" spans="4:17" s="2" customFormat="1" ht="12" customHeight="1">
      <c r="D40" s="22"/>
      <c r="E40" s="22"/>
      <c r="J40" s="5"/>
      <c r="K40" s="5"/>
      <c r="L40" s="5"/>
      <c r="M40" s="5"/>
      <c r="N40" s="5"/>
      <c r="O40" s="5"/>
      <c r="P40" s="88"/>
      <c r="Q40" s="95"/>
    </row>
    <row r="41" spans="4:17" s="2" customFormat="1" ht="12" customHeight="1">
      <c r="D41" s="22"/>
      <c r="E41" s="22"/>
      <c r="J41" s="5"/>
      <c r="K41" s="5"/>
      <c r="L41" s="5"/>
      <c r="M41" s="5"/>
      <c r="N41" s="5"/>
      <c r="O41" s="5"/>
      <c r="P41" s="88"/>
      <c r="Q41" s="95"/>
    </row>
    <row r="42" spans="4:17" s="2" customFormat="1" ht="12" customHeight="1">
      <c r="D42" s="22"/>
      <c r="E42" s="22"/>
      <c r="J42" s="5"/>
      <c r="K42" s="5"/>
      <c r="L42" s="5"/>
      <c r="M42" s="5"/>
      <c r="N42" s="5"/>
      <c r="O42" s="5"/>
      <c r="P42" s="88"/>
      <c r="Q42" s="95"/>
    </row>
    <row r="43" spans="4:17" s="2" customFormat="1" ht="12" customHeight="1">
      <c r="D43" s="22"/>
      <c r="E43" s="22"/>
      <c r="J43" s="5"/>
      <c r="K43" s="5"/>
      <c r="L43" s="5"/>
      <c r="M43" s="5"/>
      <c r="N43" s="5"/>
      <c r="O43" s="5"/>
      <c r="P43" s="88"/>
      <c r="Q43" s="95"/>
    </row>
    <row r="44" spans="4:17" s="2" customFormat="1" ht="12" customHeight="1">
      <c r="D44" s="22"/>
      <c r="E44" s="22"/>
      <c r="J44" s="5"/>
      <c r="K44" s="5"/>
      <c r="L44" s="5"/>
      <c r="M44" s="5"/>
      <c r="N44" s="5"/>
      <c r="O44" s="5"/>
      <c r="P44" s="88"/>
      <c r="Q44" s="95"/>
    </row>
    <row r="45" spans="4:17" s="2" customFormat="1" ht="12" customHeight="1">
      <c r="D45" s="22"/>
      <c r="E45" s="22"/>
      <c r="J45" s="5"/>
      <c r="K45" s="5"/>
      <c r="L45" s="5"/>
      <c r="M45" s="5"/>
      <c r="N45" s="5"/>
      <c r="O45" s="5"/>
      <c r="P45" s="88"/>
      <c r="Q45" s="95"/>
    </row>
    <row r="46" spans="4:17" s="2" customFormat="1" ht="12" customHeight="1">
      <c r="D46" s="22"/>
      <c r="E46" s="22"/>
      <c r="J46" s="5"/>
      <c r="K46" s="5"/>
      <c r="L46" s="5"/>
      <c r="M46" s="5"/>
      <c r="N46" s="5"/>
      <c r="O46" s="5"/>
      <c r="P46" s="88"/>
      <c r="Q46" s="95"/>
    </row>
    <row r="47" spans="4:17" s="2" customFormat="1" ht="12" customHeight="1">
      <c r="D47" s="22"/>
      <c r="E47" s="22"/>
      <c r="J47" s="5"/>
      <c r="K47" s="5"/>
      <c r="L47" s="5"/>
      <c r="M47" s="5"/>
      <c r="N47" s="5"/>
      <c r="O47" s="5"/>
      <c r="P47" s="88"/>
      <c r="Q47" s="95"/>
    </row>
    <row r="48" spans="4:17" s="2" customFormat="1" ht="12" customHeight="1">
      <c r="D48" s="22"/>
      <c r="E48" s="22"/>
      <c r="J48" s="5"/>
      <c r="K48" s="5"/>
      <c r="L48" s="5"/>
      <c r="M48" s="5"/>
      <c r="N48" s="5"/>
      <c r="O48" s="5"/>
      <c r="P48" s="88"/>
      <c r="Q48" s="95"/>
    </row>
    <row r="49" spans="1:17" s="2" customFormat="1" ht="12" customHeight="1">
      <c r="D49" s="22"/>
      <c r="E49" s="22"/>
      <c r="J49" s="5"/>
      <c r="K49" s="5"/>
      <c r="L49" s="5"/>
      <c r="M49" s="5"/>
      <c r="N49" s="5"/>
      <c r="O49" s="5"/>
      <c r="P49" s="88"/>
      <c r="Q49" s="95"/>
    </row>
    <row r="50" spans="1:17" s="2" customFormat="1" ht="12" customHeight="1">
      <c r="D50" s="22"/>
      <c r="E50" s="22"/>
      <c r="J50" s="5"/>
      <c r="K50" s="5"/>
      <c r="L50" s="5"/>
      <c r="M50" s="5"/>
      <c r="N50" s="5"/>
      <c r="O50" s="5"/>
      <c r="P50" s="88"/>
      <c r="Q50" s="95"/>
    </row>
    <row r="51" spans="1:17" s="2" customFormat="1" ht="12" customHeight="1">
      <c r="D51" s="22"/>
      <c r="E51" s="22"/>
      <c r="J51" s="5"/>
      <c r="K51" s="5"/>
      <c r="L51" s="5"/>
      <c r="M51" s="5"/>
      <c r="N51" s="5"/>
      <c r="O51" s="5"/>
      <c r="P51" s="88"/>
      <c r="Q51" s="96"/>
    </row>
    <row r="52" spans="1:17" s="2" customFormat="1" ht="12" customHeight="1">
      <c r="D52" s="22"/>
      <c r="E52" s="22"/>
      <c r="J52" s="5"/>
      <c r="K52" s="5"/>
      <c r="L52" s="5"/>
      <c r="M52" s="5"/>
      <c r="N52" s="5"/>
      <c r="O52" s="5"/>
      <c r="P52" s="88"/>
      <c r="Q52" s="96"/>
    </row>
    <row r="53" spans="1:17" s="2" customFormat="1" ht="12" customHeight="1">
      <c r="D53" s="22"/>
      <c r="E53" s="22"/>
      <c r="J53" s="5"/>
      <c r="K53" s="5"/>
      <c r="L53" s="5"/>
      <c r="M53" s="5"/>
      <c r="N53" s="5"/>
      <c r="O53" s="5"/>
      <c r="P53" s="88"/>
      <c r="Q53" s="96"/>
    </row>
    <row r="54" spans="1:17" s="2" customFormat="1" ht="12" customHeight="1">
      <c r="D54" s="22"/>
      <c r="E54" s="22"/>
      <c r="J54" s="5"/>
      <c r="K54" s="5"/>
      <c r="L54" s="5"/>
      <c r="M54" s="5"/>
      <c r="N54" s="5"/>
      <c r="O54" s="5"/>
      <c r="P54" s="88"/>
      <c r="Q54" s="96"/>
    </row>
    <row r="55" spans="1:17" s="2" customFormat="1" ht="12" customHeight="1">
      <c r="A55"/>
      <c r="B55"/>
      <c r="C55"/>
      <c r="D55" s="23"/>
      <c r="E55" s="23"/>
      <c r="F55"/>
      <c r="G55"/>
      <c r="H55"/>
      <c r="I55"/>
      <c r="J55" s="19"/>
      <c r="K55" s="19"/>
      <c r="L55" s="19"/>
      <c r="M55" s="19"/>
      <c r="N55" s="19"/>
      <c r="O55" s="19"/>
      <c r="P55" s="90"/>
      <c r="Q55" s="96"/>
    </row>
    <row r="56" spans="1:17" s="2" customFormat="1" ht="12" customHeight="1">
      <c r="A56"/>
      <c r="B56"/>
      <c r="C56"/>
      <c r="D56" s="23"/>
      <c r="E56" s="23"/>
      <c r="F56"/>
      <c r="G56"/>
      <c r="H56"/>
      <c r="I56"/>
      <c r="J56" s="19"/>
      <c r="K56" s="19"/>
      <c r="L56" s="19"/>
      <c r="M56" s="19"/>
      <c r="N56" s="19"/>
      <c r="O56" s="19"/>
      <c r="P56" s="90"/>
      <c r="Q56" s="96"/>
    </row>
    <row r="57" spans="1:17" s="2" customFormat="1" ht="12" customHeight="1">
      <c r="A57"/>
      <c r="B57"/>
      <c r="C57"/>
      <c r="D57" s="23"/>
      <c r="E57" s="23"/>
      <c r="F57"/>
      <c r="G57"/>
      <c r="H57"/>
      <c r="I57"/>
      <c r="J57" s="19"/>
      <c r="K57" s="19"/>
      <c r="L57" s="19"/>
      <c r="M57" s="19"/>
      <c r="N57" s="19"/>
      <c r="O57" s="19"/>
      <c r="P57" s="90"/>
      <c r="Q57" s="96"/>
    </row>
    <row r="58" spans="1:17" s="2" customFormat="1" ht="12" customHeight="1">
      <c r="A58"/>
      <c r="B58"/>
      <c r="C58"/>
      <c r="D58" s="23"/>
      <c r="E58" s="23"/>
      <c r="F58"/>
      <c r="G58"/>
      <c r="H58"/>
      <c r="I58"/>
      <c r="J58" s="19"/>
      <c r="K58" s="19"/>
      <c r="L58" s="19"/>
      <c r="M58" s="19"/>
      <c r="N58" s="19"/>
      <c r="O58" s="19"/>
      <c r="P58" s="90"/>
      <c r="Q58" s="96"/>
    </row>
    <row r="59" spans="1:17" s="2" customFormat="1" ht="12" customHeight="1">
      <c r="A59"/>
      <c r="B59"/>
      <c r="C59"/>
      <c r="D59" s="23"/>
      <c r="E59" s="23"/>
      <c r="F59"/>
      <c r="G59"/>
      <c r="H59"/>
      <c r="I59"/>
      <c r="J59" s="19"/>
      <c r="K59" s="19"/>
      <c r="L59" s="19"/>
      <c r="M59" s="19"/>
      <c r="N59" s="19"/>
      <c r="O59" s="19"/>
      <c r="P59" s="90"/>
      <c r="Q59" s="96"/>
    </row>
    <row r="60" spans="1:17">
      <c r="Q60" s="96"/>
    </row>
    <row r="61" spans="1:17">
      <c r="Q61" s="96"/>
    </row>
    <row r="62" spans="1:17">
      <c r="Q62" s="96"/>
    </row>
    <row r="63" spans="1:17">
      <c r="Q63" s="96"/>
    </row>
    <row r="64" spans="1:17">
      <c r="Q64" s="96"/>
    </row>
    <row r="65" spans="17:17">
      <c r="Q65" s="96"/>
    </row>
    <row r="66" spans="17:17">
      <c r="Q66" s="96"/>
    </row>
    <row r="67" spans="17:17">
      <c r="Q67" s="96"/>
    </row>
    <row r="68" spans="17:17">
      <c r="Q68" s="96"/>
    </row>
    <row r="69" spans="17:17">
      <c r="Q69" s="96"/>
    </row>
    <row r="70" spans="17:17">
      <c r="Q70" s="96"/>
    </row>
    <row r="71" spans="17:17">
      <c r="Q71" s="96"/>
    </row>
    <row r="72" spans="17:17">
      <c r="Q72" s="96"/>
    </row>
    <row r="73" spans="17:17">
      <c r="Q73" s="96"/>
    </row>
    <row r="74" spans="17:17">
      <c r="Q74" s="96"/>
    </row>
    <row r="75" spans="17:17">
      <c r="Q75" s="96"/>
    </row>
    <row r="76" spans="17:17">
      <c r="Q76" s="96"/>
    </row>
    <row r="77" spans="17:17">
      <c r="Q77" s="96"/>
    </row>
    <row r="78" spans="17:17">
      <c r="Q78" s="96"/>
    </row>
    <row r="79" spans="17:17">
      <c r="Q79" s="96"/>
    </row>
    <row r="116" ht="12" customHeight="1"/>
    <row r="117" ht="12" customHeight="1"/>
    <row r="118" ht="12" customHeight="1"/>
    <row r="119" ht="12" customHeight="1"/>
    <row r="120" ht="12" customHeight="1"/>
    <row r="121" ht="12" customHeight="1"/>
    <row r="122" ht="12" customHeight="1"/>
    <row r="123" ht="12" customHeight="1"/>
    <row r="124" ht="12" customHeight="1"/>
    <row r="125" ht="12" customHeight="1"/>
    <row r="126" ht="12" customHeight="1"/>
    <row r="127" ht="12" customHeight="1"/>
    <row r="128" ht="12" customHeight="1"/>
    <row r="129" ht="12" customHeight="1"/>
    <row r="130" ht="12" customHeight="1"/>
    <row r="131" ht="12" customHeight="1"/>
    <row r="132" ht="12" customHeight="1"/>
    <row r="133" ht="12" customHeight="1"/>
    <row r="134" ht="12" customHeight="1"/>
    <row r="135" ht="12" customHeight="1"/>
    <row r="136" ht="12" customHeight="1"/>
    <row r="137" ht="12" customHeight="1"/>
    <row r="138" ht="12" customHeight="1"/>
    <row r="139" ht="12" customHeight="1"/>
    <row r="140" ht="12" customHeight="1"/>
    <row r="141" ht="12" customHeight="1"/>
    <row r="142" ht="12" customHeight="1"/>
    <row r="143" ht="12" customHeight="1"/>
    <row r="144" ht="12" customHeight="1"/>
    <row r="145" ht="12" customHeight="1"/>
    <row r="146" ht="12" customHeight="1"/>
    <row r="147" ht="12" customHeight="1"/>
    <row r="148" ht="12" customHeight="1"/>
    <row r="149" ht="12" customHeight="1"/>
    <row r="150" ht="12" customHeight="1"/>
    <row r="151" ht="12" customHeight="1"/>
    <row r="152" ht="12" customHeight="1"/>
    <row r="153" ht="12" customHeight="1"/>
    <row r="154" ht="12" customHeight="1"/>
    <row r="155" ht="12" customHeight="1"/>
    <row r="156" ht="12" customHeight="1"/>
    <row r="157" ht="12" customHeight="1"/>
    <row r="158" ht="12" customHeight="1"/>
    <row r="159" ht="12" customHeight="1"/>
    <row r="160" ht="12" customHeight="1"/>
    <row r="161" ht="12" customHeight="1"/>
    <row r="162" ht="12" customHeight="1"/>
    <row r="163" ht="12" customHeight="1"/>
    <row r="164" ht="12" customHeight="1"/>
    <row r="165" ht="12" customHeight="1"/>
  </sheetData>
  <mergeCells count="14">
    <mergeCell ref="H6:I6"/>
    <mergeCell ref="D1:E1"/>
    <mergeCell ref="D4:E4"/>
    <mergeCell ref="H4:I4"/>
    <mergeCell ref="D5:E5"/>
    <mergeCell ref="D6:E6"/>
    <mergeCell ref="D12:E12"/>
    <mergeCell ref="H12:I12"/>
    <mergeCell ref="D7:E7"/>
    <mergeCell ref="D8:E8"/>
    <mergeCell ref="D9:E9"/>
    <mergeCell ref="H9:I9"/>
    <mergeCell ref="D10:E10"/>
    <mergeCell ref="D11:E11"/>
  </mergeCells>
  <conditionalFormatting sqref="M5">
    <cfRule type="cellIs" dxfId="386" priority="1" stopIfTrue="1" operator="lessThanOrEqual">
      <formula>$L5</formula>
    </cfRule>
    <cfRule type="cellIs" dxfId="385" priority="2" operator="greaterThan">
      <formula>L5</formula>
    </cfRule>
  </conditionalFormatting>
  <conditionalFormatting sqref="M7:M8">
    <cfRule type="cellIs" dxfId="384" priority="3" stopIfTrue="1" operator="lessThanOrEqual">
      <formula>$L7</formula>
    </cfRule>
    <cfRule type="cellIs" dxfId="383" priority="4" operator="greaterThan">
      <formula>L7</formula>
    </cfRule>
  </conditionalFormatting>
  <conditionalFormatting sqref="M10:M11">
    <cfRule type="cellIs" dxfId="382" priority="5" stopIfTrue="1" operator="lessThanOrEqual">
      <formula>$L10</formula>
    </cfRule>
    <cfRule type="cellIs" dxfId="381" priority="6" operator="greaterThan">
      <formula>L10</formula>
    </cfRule>
  </conditionalFormatting>
  <pageMargins left="0.7" right="0.7" top="0.75" bottom="0.75" header="0.3" footer="0.3"/>
  <pageSetup paperSize="3" fitToHeight="0" orientation="landscape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8D75085F-BE51-4F60-B6D7-4C512F45E4BD}">
          <x14:formula1>
            <xm:f>Bolts!$A:$A</xm:f>
          </x14:formula1>
          <xm:sqref>C10:C11</xm:sqref>
        </x14:dataValidation>
        <x14:dataValidation type="list" allowBlank="1" showInputMessage="1" showErrorMessage="1" xr:uid="{F2C18FE9-97BB-430C-A3BF-3458A2D17AD1}">
          <x14:formula1>
            <xm:f>Purchased!$A:$A</xm:f>
          </x14:formula1>
          <xm:sqref>C7:C8</xm:sqref>
        </x14:dataValidation>
        <x14:dataValidation type="list" allowBlank="1" showInputMessage="1" showErrorMessage="1" xr:uid="{32FA9312-6150-4AE9-A0E2-FEEA7E803919}">
          <x14:formula1>
            <xm:f>Machined!$C:$C</xm:f>
          </x14:formula1>
          <xm:sqref>C5</xm:sqref>
        </x14:dataValidation>
      </x14:dataValidations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98841-5016-4C48-929E-8594F580B681}">
  <sheetPr codeName="Sheet69">
    <tabColor theme="3" tint="0.39997558519241921"/>
    <pageSetUpPr fitToPage="1"/>
  </sheetPr>
  <dimension ref="A1:Q164"/>
  <sheetViews>
    <sheetView zoomScaleNormal="100" workbookViewId="0">
      <selection activeCell="T8" sqref="T8"/>
    </sheetView>
  </sheetViews>
  <sheetFormatPr defaultColWidth="9.140625" defaultRowHeight="15"/>
  <cols>
    <col min="1" max="1" width="5.7109375" customWidth="1"/>
    <col min="2" max="2" width="5.42578125" bestFit="1" customWidth="1"/>
    <col min="3" max="3" width="30.7109375" customWidth="1"/>
    <col min="4" max="5" width="20.7109375" style="23" customWidth="1"/>
    <col min="6" max="6" width="16.85546875" bestFit="1" customWidth="1"/>
    <col min="7" max="7" width="9.7109375" customWidth="1"/>
    <col min="8" max="8" width="8.7109375" customWidth="1"/>
    <col min="9" max="9" width="20.7109375" customWidth="1"/>
    <col min="10" max="13" width="11.7109375" style="19" customWidth="1"/>
    <col min="14" max="14" width="11.85546875" style="19" bestFit="1" customWidth="1"/>
    <col min="15" max="15" width="7.7109375" style="19" customWidth="1"/>
    <col min="16" max="16" width="10.7109375" style="90" customWidth="1"/>
    <col min="17" max="17" width="10.7109375" style="97" customWidth="1"/>
  </cols>
  <sheetData>
    <row r="1" spans="1:17" s="55" customFormat="1" ht="12" customHeight="1">
      <c r="A1" s="68" t="s">
        <v>0</v>
      </c>
      <c r="B1" s="69"/>
      <c r="C1" s="69"/>
      <c r="D1" s="262" t="s">
        <v>1</v>
      </c>
      <c r="E1" s="263"/>
      <c r="F1" s="70"/>
      <c r="G1" s="69"/>
      <c r="H1" s="70"/>
      <c r="I1" s="71"/>
      <c r="J1" s="72"/>
      <c r="K1" s="72"/>
      <c r="L1" s="72"/>
      <c r="M1" s="72"/>
      <c r="N1" s="72"/>
      <c r="O1" s="72"/>
      <c r="P1" s="85"/>
      <c r="Q1" s="91"/>
    </row>
    <row r="2" spans="1:17" s="55" customFormat="1" ht="12" customHeight="1">
      <c r="A2" s="74" t="s">
        <v>48</v>
      </c>
      <c r="B2" s="58"/>
      <c r="C2" s="57" t="e">
        <f ca="1">VLOOKUP(E3,Assemblies!B:F,4,0)</f>
        <v>#VALUE!</v>
      </c>
      <c r="D2" s="75" t="s">
        <v>3</v>
      </c>
      <c r="E2" s="76" t="e">
        <f ca="1">'GF12'!E2</f>
        <v>#VALUE!</v>
      </c>
      <c r="F2" s="77" t="s">
        <v>4</v>
      </c>
      <c r="G2" s="58" t="str">
        <f>'GF12'!G2</f>
        <v>GH</v>
      </c>
      <c r="H2" s="77" t="s">
        <v>6</v>
      </c>
      <c r="I2" s="59">
        <f>'GF12'!I2</f>
        <v>44775</v>
      </c>
      <c r="J2" s="39"/>
      <c r="K2" s="40" t="s">
        <v>49</v>
      </c>
      <c r="L2" s="41" t="e">
        <f ca="1">VLOOKUP(C2,Assemblies!E:G,3,0)</f>
        <v>#VALUE!</v>
      </c>
      <c r="M2" s="78"/>
      <c r="N2" s="78"/>
      <c r="O2" s="78"/>
      <c r="P2" s="86"/>
      <c r="Q2" s="92"/>
    </row>
    <row r="3" spans="1:17" s="55" customFormat="1" ht="12" customHeight="1" thickBot="1">
      <c r="A3" s="74" t="s">
        <v>7</v>
      </c>
      <c r="B3" s="58"/>
      <c r="C3" s="57" t="e">
        <f ca="1">VLOOKUP(E3,Assemblies!B:F,5,0)</f>
        <v>#VALUE!</v>
      </c>
      <c r="D3" s="75" t="s">
        <v>50</v>
      </c>
      <c r="E3" s="76" t="e">
        <f ca="1">MID(CELL("filename",A1),FIND("]",CELL("filename",A1))+1,256)</f>
        <v>#VALUE!</v>
      </c>
      <c r="F3" s="77" t="s">
        <v>11</v>
      </c>
      <c r="G3" s="58" t="str">
        <f>'GF12'!G3</f>
        <v>GH</v>
      </c>
      <c r="H3" s="77" t="s">
        <v>6</v>
      </c>
      <c r="I3" s="59">
        <f>'GF12'!I3</f>
        <v>44775</v>
      </c>
      <c r="J3" s="78"/>
      <c r="K3" s="78"/>
      <c r="L3" s="78"/>
      <c r="M3" s="78"/>
      <c r="N3" s="78"/>
      <c r="O3" s="78"/>
      <c r="P3" s="86"/>
      <c r="Q3" s="92"/>
    </row>
    <row r="4" spans="1:17" s="56" customFormat="1" ht="12.75" customHeight="1" thickBot="1">
      <c r="A4" s="80" t="s">
        <v>12</v>
      </c>
      <c r="B4" s="81" t="s">
        <v>13</v>
      </c>
      <c r="C4" s="81" t="s">
        <v>14</v>
      </c>
      <c r="D4" s="270" t="s">
        <v>15</v>
      </c>
      <c r="E4" s="271"/>
      <c r="F4" s="104" t="s">
        <v>16</v>
      </c>
      <c r="G4" s="81" t="s">
        <v>17</v>
      </c>
      <c r="H4" s="260" t="s">
        <v>18</v>
      </c>
      <c r="I4" s="261"/>
      <c r="J4" s="81" t="s">
        <v>51</v>
      </c>
      <c r="K4" s="81" t="s">
        <v>20</v>
      </c>
      <c r="L4" s="81" t="s">
        <v>21</v>
      </c>
      <c r="M4" s="81" t="s">
        <v>52</v>
      </c>
      <c r="N4" s="81" t="s">
        <v>22</v>
      </c>
      <c r="O4" s="81" t="s">
        <v>53</v>
      </c>
      <c r="P4" s="107" t="s">
        <v>26</v>
      </c>
      <c r="Q4" s="82" t="s">
        <v>27</v>
      </c>
    </row>
    <row r="5" spans="1:17" s="21" customFormat="1" ht="12.75" customHeight="1">
      <c r="A5" s="66" t="s">
        <v>54</v>
      </c>
      <c r="B5" s="1">
        <v>1</v>
      </c>
      <c r="C5" s="67" t="s">
        <v>776</v>
      </c>
      <c r="D5" s="277" t="e">
        <f ca="1">VLOOKUP(C5,Assemblies!E:S,2,0)</f>
        <v>#N/A</v>
      </c>
      <c r="E5" s="278"/>
      <c r="F5" s="32"/>
      <c r="G5" s="32"/>
      <c r="H5" s="292"/>
      <c r="I5" s="293"/>
      <c r="J5" s="28"/>
      <c r="K5" s="28"/>
      <c r="L5" s="28"/>
      <c r="M5" s="28"/>
      <c r="N5" s="33"/>
      <c r="O5" s="46" t="e">
        <f t="shared" ref="O5:O10" ca="1" si="0">B5*$L$2</f>
        <v>#VALUE!</v>
      </c>
      <c r="P5" s="87">
        <f>'003'!Q40</f>
        <v>3646.5398999999998</v>
      </c>
      <c r="Q5" s="93">
        <f t="shared" ref="Q5:Q10" si="1">B5*P5</f>
        <v>3646.5398999999998</v>
      </c>
    </row>
    <row r="6" spans="1:17" s="21" customFormat="1" ht="12.75" customHeight="1">
      <c r="A6" s="66" t="s">
        <v>56</v>
      </c>
      <c r="B6" s="1">
        <v>1</v>
      </c>
      <c r="C6" s="67" t="s">
        <v>777</v>
      </c>
      <c r="D6" s="277" t="e">
        <f ca="1">VLOOKUP(C6,Assemblies!E:S,2,0)</f>
        <v>#N/A</v>
      </c>
      <c r="E6" s="278"/>
      <c r="F6" s="32"/>
      <c r="G6" s="32"/>
      <c r="H6" s="292"/>
      <c r="I6" s="293"/>
      <c r="J6" s="28"/>
      <c r="K6" s="28"/>
      <c r="L6" s="28"/>
      <c r="M6" s="28"/>
      <c r="N6" s="33"/>
      <c r="O6" s="46" t="e">
        <f t="shared" ca="1" si="0"/>
        <v>#VALUE!</v>
      </c>
      <c r="P6" s="87">
        <f>'007'!Q34</f>
        <v>813.83</v>
      </c>
      <c r="Q6" s="93">
        <f t="shared" si="1"/>
        <v>813.83</v>
      </c>
    </row>
    <row r="7" spans="1:17" s="21" customFormat="1" ht="12.75" customHeight="1">
      <c r="A7" s="66" t="s">
        <v>58</v>
      </c>
      <c r="B7" s="1">
        <v>1</v>
      </c>
      <c r="C7" s="67" t="s">
        <v>778</v>
      </c>
      <c r="D7" s="277" t="e">
        <f ca="1">VLOOKUP(C7,Assemblies!E:S,2,0)</f>
        <v>#N/A</v>
      </c>
      <c r="E7" s="278"/>
      <c r="F7" s="32"/>
      <c r="G7" s="32"/>
      <c r="H7" s="292"/>
      <c r="I7" s="293"/>
      <c r="J7" s="28"/>
      <c r="K7" s="28"/>
      <c r="L7" s="28"/>
      <c r="M7" s="28"/>
      <c r="N7" s="33"/>
      <c r="O7" s="46" t="e">
        <f t="shared" ca="1" si="0"/>
        <v>#VALUE!</v>
      </c>
      <c r="P7" s="87">
        <f>'310'!Q24</f>
        <v>5116.3496003913333</v>
      </c>
      <c r="Q7" s="93">
        <f t="shared" si="1"/>
        <v>5116.3496003913333</v>
      </c>
    </row>
    <row r="8" spans="1:17" s="21" customFormat="1" ht="12.75" customHeight="1">
      <c r="A8" s="66" t="s">
        <v>60</v>
      </c>
      <c r="B8" s="1">
        <v>1</v>
      </c>
      <c r="C8" s="67" t="s">
        <v>779</v>
      </c>
      <c r="D8" s="277" t="e">
        <f ca="1">VLOOKUP(C8,Assemblies!E:S,2,0)</f>
        <v>#N/A</v>
      </c>
      <c r="E8" s="278"/>
      <c r="F8" s="32"/>
      <c r="G8" s="32"/>
      <c r="H8" s="292"/>
      <c r="I8" s="293"/>
      <c r="J8" s="28"/>
      <c r="K8" s="28"/>
      <c r="L8" s="28"/>
      <c r="M8" s="28"/>
      <c r="N8" s="33"/>
      <c r="O8" s="46" t="e">
        <f t="shared" ca="1" si="0"/>
        <v>#VALUE!</v>
      </c>
      <c r="P8" s="87">
        <f>'320'!Q13</f>
        <v>41167.255800000006</v>
      </c>
      <c r="Q8" s="93">
        <f t="shared" si="1"/>
        <v>41167.255800000006</v>
      </c>
    </row>
    <row r="9" spans="1:17" s="21" customFormat="1" ht="12.75" customHeight="1">
      <c r="A9" s="66" t="s">
        <v>62</v>
      </c>
      <c r="B9" s="1">
        <v>1</v>
      </c>
      <c r="C9" s="67" t="s">
        <v>780</v>
      </c>
      <c r="D9" s="277" t="e">
        <f ca="1">VLOOKUP(C9,Assemblies!E:S,2,0)</f>
        <v>#N/A</v>
      </c>
      <c r="E9" s="278"/>
      <c r="F9" s="32"/>
      <c r="G9" s="32"/>
      <c r="H9" s="292"/>
      <c r="I9" s="293"/>
      <c r="J9" s="28"/>
      <c r="K9" s="28"/>
      <c r="L9" s="28"/>
      <c r="M9" s="28"/>
      <c r="N9" s="33"/>
      <c r="O9" s="46" t="e">
        <f t="shared" ca="1" si="0"/>
        <v>#VALUE!</v>
      </c>
      <c r="P9" s="87">
        <f>'330'!Q21</f>
        <v>14159.166036065</v>
      </c>
      <c r="Q9" s="93">
        <f t="shared" si="1"/>
        <v>14159.166036065</v>
      </c>
    </row>
    <row r="10" spans="1:17" s="21" customFormat="1" ht="12.75" customHeight="1" thickBot="1">
      <c r="A10" s="66" t="s">
        <v>64</v>
      </c>
      <c r="B10" s="1">
        <v>1</v>
      </c>
      <c r="C10" s="67" t="s">
        <v>781</v>
      </c>
      <c r="D10" s="277" t="e">
        <f ca="1">VLOOKUP(C10,Assemblies!E:S,2,0)</f>
        <v>#N/A</v>
      </c>
      <c r="E10" s="278"/>
      <c r="F10" s="32"/>
      <c r="G10" s="32"/>
      <c r="H10" s="292"/>
      <c r="I10" s="293"/>
      <c r="J10" s="28"/>
      <c r="K10" s="28"/>
      <c r="L10" s="28"/>
      <c r="M10" s="28"/>
      <c r="N10" s="33"/>
      <c r="O10" s="46" t="e">
        <f t="shared" ca="1" si="0"/>
        <v>#VALUE!</v>
      </c>
      <c r="P10" s="87">
        <f>'340'!Q12</f>
        <v>22028.184284542327</v>
      </c>
      <c r="Q10" s="93">
        <f t="shared" si="1"/>
        <v>22028.184284542327</v>
      </c>
    </row>
    <row r="11" spans="1:17" s="2" customFormat="1" ht="12.75" customHeight="1" thickBot="1">
      <c r="A11" s="34"/>
      <c r="B11" s="35"/>
      <c r="C11" s="35"/>
      <c r="D11" s="256"/>
      <c r="E11" s="257"/>
      <c r="F11" s="35"/>
      <c r="G11" s="35"/>
      <c r="H11" s="294"/>
      <c r="I11" s="295"/>
      <c r="J11" s="36"/>
      <c r="K11" s="36"/>
      <c r="L11" s="36"/>
      <c r="M11" s="37"/>
      <c r="N11" s="38"/>
      <c r="O11" s="38"/>
      <c r="P11" s="89" t="s">
        <v>43</v>
      </c>
      <c r="Q11" s="94">
        <f>SUM(Q5:Q10)</f>
        <v>86931.325620998658</v>
      </c>
    </row>
    <row r="12" spans="1:17" s="2" customFormat="1" ht="12" customHeight="1">
      <c r="D12" s="22"/>
      <c r="E12" s="22"/>
      <c r="J12" s="8"/>
      <c r="K12" s="8"/>
      <c r="L12" s="8"/>
      <c r="M12" s="8"/>
      <c r="N12" s="5"/>
      <c r="O12" s="5"/>
      <c r="P12" s="88"/>
      <c r="Q12" s="95"/>
    </row>
    <row r="13" spans="1:17" s="2" customFormat="1" ht="12" customHeight="1">
      <c r="D13" s="22"/>
      <c r="E13" s="22"/>
      <c r="J13" s="5"/>
      <c r="K13" s="5"/>
      <c r="L13" s="5"/>
      <c r="M13" s="5"/>
      <c r="N13" s="5"/>
      <c r="O13" s="5"/>
      <c r="P13" s="88"/>
      <c r="Q13" s="95"/>
    </row>
    <row r="14" spans="1:17" s="2" customFormat="1" ht="12" customHeight="1">
      <c r="D14" s="22"/>
      <c r="E14" s="22"/>
      <c r="J14" s="5"/>
      <c r="K14" s="5"/>
      <c r="L14" s="5"/>
      <c r="M14" s="5"/>
      <c r="N14" s="5"/>
      <c r="O14" s="5"/>
      <c r="P14" s="88"/>
      <c r="Q14" s="95"/>
    </row>
    <row r="15" spans="1:17" s="2" customFormat="1" ht="12" customHeight="1">
      <c r="D15" s="22"/>
      <c r="E15" s="22"/>
      <c r="J15" s="5"/>
      <c r="K15" s="5"/>
      <c r="L15" s="5"/>
      <c r="M15" s="5"/>
      <c r="N15" s="5"/>
      <c r="O15" s="5"/>
      <c r="P15" s="88"/>
      <c r="Q15" s="95"/>
    </row>
    <row r="16" spans="1:17" s="2" customFormat="1" ht="12" customHeight="1">
      <c r="D16" s="22"/>
      <c r="E16" s="22"/>
      <c r="J16" s="5"/>
      <c r="K16" s="5"/>
      <c r="L16" s="5"/>
      <c r="M16" s="5"/>
      <c r="N16" s="5"/>
      <c r="O16" s="5"/>
      <c r="P16" s="88"/>
      <c r="Q16" s="95"/>
    </row>
    <row r="17" spans="4:17" s="2" customFormat="1" ht="12" customHeight="1">
      <c r="D17" s="22"/>
      <c r="E17" s="22"/>
      <c r="J17" s="5"/>
      <c r="K17" s="5"/>
      <c r="L17" s="5"/>
      <c r="M17" s="5"/>
      <c r="N17" s="5"/>
      <c r="O17" s="5"/>
      <c r="P17" s="88"/>
      <c r="Q17" s="95"/>
    </row>
    <row r="18" spans="4:17" s="2" customFormat="1" ht="12" customHeight="1">
      <c r="D18" s="22"/>
      <c r="E18" s="22"/>
      <c r="J18" s="5"/>
      <c r="K18" s="5"/>
      <c r="L18" s="5"/>
      <c r="M18" s="5"/>
      <c r="N18" s="5"/>
      <c r="O18" s="5"/>
      <c r="P18" s="88"/>
      <c r="Q18" s="95"/>
    </row>
    <row r="19" spans="4:17" s="2" customFormat="1" ht="12" customHeight="1">
      <c r="D19" s="22"/>
      <c r="E19" s="22"/>
      <c r="J19" s="5"/>
      <c r="K19" s="5"/>
      <c r="L19" s="5"/>
      <c r="M19" s="5"/>
      <c r="N19" s="5"/>
      <c r="O19" s="5"/>
      <c r="P19" s="88"/>
      <c r="Q19" s="95"/>
    </row>
    <row r="20" spans="4:17" s="2" customFormat="1" ht="12" customHeight="1">
      <c r="D20" s="22"/>
      <c r="E20" s="22"/>
      <c r="J20" s="5"/>
      <c r="K20" s="5"/>
      <c r="L20" s="5"/>
      <c r="M20" s="5"/>
      <c r="N20" s="5"/>
      <c r="O20" s="5"/>
      <c r="P20" s="88"/>
      <c r="Q20" s="95"/>
    </row>
    <row r="21" spans="4:17" s="2" customFormat="1" ht="12" customHeight="1">
      <c r="D21" s="22"/>
      <c r="E21" s="22"/>
      <c r="J21" s="5"/>
      <c r="K21" s="5"/>
      <c r="L21" s="5"/>
      <c r="M21" s="5"/>
      <c r="N21" s="5"/>
      <c r="O21" s="5"/>
      <c r="P21" s="88"/>
      <c r="Q21" s="95"/>
    </row>
    <row r="22" spans="4:17" s="2" customFormat="1" ht="12" customHeight="1">
      <c r="D22" s="22"/>
      <c r="E22" s="22"/>
      <c r="J22" s="5"/>
      <c r="K22" s="5"/>
      <c r="L22" s="5"/>
      <c r="M22" s="5"/>
      <c r="N22" s="5"/>
      <c r="O22" s="5"/>
      <c r="P22" s="88"/>
      <c r="Q22" s="95"/>
    </row>
    <row r="23" spans="4:17" s="2" customFormat="1" ht="12" customHeight="1">
      <c r="D23" s="22"/>
      <c r="E23" s="22"/>
      <c r="J23" s="5"/>
      <c r="K23" s="5"/>
      <c r="L23" s="5"/>
      <c r="M23" s="5"/>
      <c r="N23" s="5"/>
      <c r="O23" s="5"/>
      <c r="P23" s="88"/>
      <c r="Q23" s="95"/>
    </row>
    <row r="24" spans="4:17" s="2" customFormat="1" ht="12" customHeight="1">
      <c r="D24" s="22"/>
      <c r="E24" s="22"/>
      <c r="J24" s="5"/>
      <c r="K24" s="5"/>
      <c r="L24" s="5"/>
      <c r="M24" s="5"/>
      <c r="N24" s="5"/>
      <c r="O24" s="5"/>
      <c r="P24" s="88"/>
      <c r="Q24" s="95"/>
    </row>
    <row r="25" spans="4:17" s="2" customFormat="1" ht="12" customHeight="1">
      <c r="D25" s="22"/>
      <c r="E25" s="22"/>
      <c r="J25" s="5"/>
      <c r="K25" s="5"/>
      <c r="L25" s="5"/>
      <c r="M25" s="5"/>
      <c r="N25" s="5"/>
      <c r="O25" s="5"/>
      <c r="P25" s="88"/>
      <c r="Q25" s="95"/>
    </row>
    <row r="26" spans="4:17" s="2" customFormat="1" ht="12" customHeight="1">
      <c r="D26" s="22"/>
      <c r="E26" s="22"/>
      <c r="J26" s="5"/>
      <c r="K26" s="5"/>
      <c r="L26" s="5"/>
      <c r="M26" s="5"/>
      <c r="N26" s="5"/>
      <c r="O26" s="5"/>
      <c r="P26" s="88"/>
      <c r="Q26" s="95"/>
    </row>
    <row r="27" spans="4:17" s="2" customFormat="1" ht="12" customHeight="1">
      <c r="D27" s="22"/>
      <c r="E27" s="22"/>
      <c r="J27" s="5"/>
      <c r="K27" s="5"/>
      <c r="L27" s="5"/>
      <c r="M27" s="5"/>
      <c r="N27" s="5"/>
      <c r="O27" s="5"/>
      <c r="P27" s="88"/>
      <c r="Q27" s="95"/>
    </row>
    <row r="28" spans="4:17" s="2" customFormat="1" ht="12" customHeight="1">
      <c r="D28" s="22"/>
      <c r="E28" s="22"/>
      <c r="J28" s="5"/>
      <c r="K28" s="5"/>
      <c r="L28" s="5"/>
      <c r="M28" s="5"/>
      <c r="N28" s="5"/>
      <c r="O28" s="5"/>
      <c r="P28" s="88"/>
      <c r="Q28" s="95"/>
    </row>
    <row r="29" spans="4:17" s="2" customFormat="1" ht="12" customHeight="1">
      <c r="D29" s="22"/>
      <c r="E29" s="22"/>
      <c r="J29" s="5"/>
      <c r="K29" s="5"/>
      <c r="L29" s="5"/>
      <c r="M29" s="5"/>
      <c r="N29" s="5"/>
      <c r="O29" s="5"/>
      <c r="P29" s="88"/>
      <c r="Q29" s="95"/>
    </row>
    <row r="30" spans="4:17" s="2" customFormat="1" ht="12" customHeight="1">
      <c r="D30" s="22"/>
      <c r="E30" s="22"/>
      <c r="J30" s="5"/>
      <c r="K30" s="5"/>
      <c r="L30" s="5"/>
      <c r="M30" s="5"/>
      <c r="N30" s="5"/>
      <c r="O30" s="5"/>
      <c r="P30" s="88"/>
      <c r="Q30" s="95"/>
    </row>
    <row r="31" spans="4:17" s="2" customFormat="1" ht="12" customHeight="1">
      <c r="D31" s="22"/>
      <c r="E31" s="22"/>
      <c r="J31" s="5"/>
      <c r="K31" s="5"/>
      <c r="L31" s="5"/>
      <c r="M31" s="5"/>
      <c r="N31" s="5"/>
      <c r="O31" s="5"/>
      <c r="P31" s="88"/>
      <c r="Q31" s="95"/>
    </row>
    <row r="32" spans="4:17" s="2" customFormat="1" ht="12" customHeight="1">
      <c r="D32" s="22"/>
      <c r="E32" s="22"/>
      <c r="J32" s="5"/>
      <c r="K32" s="5"/>
      <c r="L32" s="5"/>
      <c r="M32" s="5"/>
      <c r="N32" s="5"/>
      <c r="O32" s="5"/>
      <c r="P32" s="88"/>
      <c r="Q32" s="95"/>
    </row>
    <row r="33" spans="4:17" s="2" customFormat="1" ht="12" customHeight="1">
      <c r="D33" s="22"/>
      <c r="E33" s="22"/>
      <c r="J33" s="5"/>
      <c r="K33" s="5"/>
      <c r="L33" s="5"/>
      <c r="M33" s="5"/>
      <c r="N33" s="5"/>
      <c r="O33" s="5"/>
      <c r="P33" s="88"/>
      <c r="Q33" s="95"/>
    </row>
    <row r="34" spans="4:17" s="2" customFormat="1" ht="12" customHeight="1">
      <c r="D34" s="22"/>
      <c r="E34" s="22"/>
      <c r="J34" s="5"/>
      <c r="K34" s="5"/>
      <c r="L34" s="5"/>
      <c r="M34" s="5"/>
      <c r="N34" s="5"/>
      <c r="O34" s="5"/>
      <c r="P34" s="88"/>
      <c r="Q34" s="95"/>
    </row>
    <row r="35" spans="4:17" s="2" customFormat="1" ht="12" customHeight="1">
      <c r="D35" s="22"/>
      <c r="E35" s="22"/>
      <c r="J35" s="5"/>
      <c r="K35" s="5"/>
      <c r="L35" s="5"/>
      <c r="M35" s="5"/>
      <c r="N35" s="5"/>
      <c r="O35" s="5"/>
      <c r="P35" s="88"/>
      <c r="Q35" s="95"/>
    </row>
    <row r="36" spans="4:17" s="2" customFormat="1" ht="12" customHeight="1">
      <c r="D36" s="22"/>
      <c r="E36" s="22"/>
      <c r="J36" s="5"/>
      <c r="K36" s="5"/>
      <c r="L36" s="5"/>
      <c r="M36" s="5"/>
      <c r="N36" s="5"/>
      <c r="O36" s="5"/>
      <c r="P36" s="88"/>
      <c r="Q36" s="95"/>
    </row>
    <row r="37" spans="4:17" s="2" customFormat="1" ht="12" customHeight="1">
      <c r="D37" s="22"/>
      <c r="E37" s="22"/>
      <c r="J37" s="5"/>
      <c r="K37" s="5"/>
      <c r="L37" s="5"/>
      <c r="M37" s="5"/>
      <c r="N37" s="5"/>
      <c r="O37" s="5"/>
      <c r="P37" s="88"/>
      <c r="Q37" s="95"/>
    </row>
    <row r="38" spans="4:17" s="2" customFormat="1" ht="12" customHeight="1">
      <c r="D38" s="22"/>
      <c r="E38" s="22"/>
      <c r="J38" s="5"/>
      <c r="K38" s="5"/>
      <c r="L38" s="5"/>
      <c r="M38" s="5"/>
      <c r="N38" s="5"/>
      <c r="O38" s="5"/>
      <c r="P38" s="88"/>
      <c r="Q38" s="95"/>
    </row>
    <row r="39" spans="4:17" s="2" customFormat="1" ht="12" customHeight="1">
      <c r="D39" s="22"/>
      <c r="E39" s="22"/>
      <c r="J39" s="5"/>
      <c r="K39" s="5"/>
      <c r="L39" s="5"/>
      <c r="M39" s="5"/>
      <c r="N39" s="5"/>
      <c r="O39" s="5"/>
      <c r="P39" s="88"/>
      <c r="Q39" s="95"/>
    </row>
    <row r="40" spans="4:17" s="2" customFormat="1" ht="12" customHeight="1">
      <c r="D40" s="22"/>
      <c r="E40" s="22"/>
      <c r="J40" s="5"/>
      <c r="K40" s="5"/>
      <c r="L40" s="5"/>
      <c r="M40" s="5"/>
      <c r="N40" s="5"/>
      <c r="O40" s="5"/>
      <c r="P40" s="88"/>
      <c r="Q40" s="95"/>
    </row>
    <row r="41" spans="4:17" s="2" customFormat="1" ht="12" customHeight="1">
      <c r="D41" s="22"/>
      <c r="E41" s="22"/>
      <c r="J41" s="5"/>
      <c r="K41" s="5"/>
      <c r="L41" s="5"/>
      <c r="M41" s="5"/>
      <c r="N41" s="5"/>
      <c r="O41" s="5"/>
      <c r="P41" s="88"/>
      <c r="Q41" s="95"/>
    </row>
    <row r="42" spans="4:17" s="2" customFormat="1" ht="12" customHeight="1">
      <c r="D42" s="22"/>
      <c r="E42" s="22"/>
      <c r="J42" s="5"/>
      <c r="K42" s="5"/>
      <c r="L42" s="5"/>
      <c r="M42" s="5"/>
      <c r="N42" s="5"/>
      <c r="O42" s="5"/>
      <c r="P42" s="88"/>
      <c r="Q42" s="95"/>
    </row>
    <row r="43" spans="4:17" s="2" customFormat="1" ht="12" customHeight="1">
      <c r="D43" s="22"/>
      <c r="E43" s="22"/>
      <c r="J43" s="5"/>
      <c r="K43" s="5"/>
      <c r="L43" s="5"/>
      <c r="M43" s="5"/>
      <c r="N43" s="5"/>
      <c r="O43" s="5"/>
      <c r="P43" s="88"/>
      <c r="Q43" s="95"/>
    </row>
    <row r="44" spans="4:17" s="2" customFormat="1" ht="12" customHeight="1">
      <c r="D44" s="22"/>
      <c r="E44" s="22"/>
      <c r="J44" s="5"/>
      <c r="K44" s="5"/>
      <c r="L44" s="5"/>
      <c r="M44" s="5"/>
      <c r="N44" s="5"/>
      <c r="O44" s="5"/>
      <c r="P44" s="88"/>
      <c r="Q44" s="95"/>
    </row>
    <row r="45" spans="4:17" s="2" customFormat="1" ht="12" customHeight="1">
      <c r="D45" s="22"/>
      <c r="E45" s="22"/>
      <c r="J45" s="5"/>
      <c r="K45" s="5"/>
      <c r="L45" s="5"/>
      <c r="M45" s="5"/>
      <c r="N45" s="5"/>
      <c r="O45" s="5"/>
      <c r="P45" s="88"/>
      <c r="Q45" s="95"/>
    </row>
    <row r="46" spans="4:17" s="2" customFormat="1" ht="12" customHeight="1">
      <c r="D46" s="22"/>
      <c r="E46" s="22"/>
      <c r="J46" s="5"/>
      <c r="K46" s="5"/>
      <c r="L46" s="5"/>
      <c r="M46" s="5"/>
      <c r="N46" s="5"/>
      <c r="O46" s="5"/>
      <c r="P46" s="88"/>
      <c r="Q46" s="95"/>
    </row>
    <row r="47" spans="4:17" s="2" customFormat="1" ht="12" customHeight="1">
      <c r="D47" s="22"/>
      <c r="E47" s="22"/>
      <c r="J47" s="5"/>
      <c r="K47" s="5"/>
      <c r="L47" s="5"/>
      <c r="M47" s="5"/>
      <c r="N47" s="5"/>
      <c r="O47" s="5"/>
      <c r="P47" s="88"/>
      <c r="Q47" s="95"/>
    </row>
    <row r="48" spans="4:17" s="2" customFormat="1" ht="12" customHeight="1">
      <c r="D48" s="22"/>
      <c r="E48" s="22"/>
      <c r="J48" s="5"/>
      <c r="K48" s="5"/>
      <c r="L48" s="5"/>
      <c r="M48" s="5"/>
      <c r="N48" s="5"/>
      <c r="O48" s="5"/>
      <c r="P48" s="88"/>
      <c r="Q48" s="95"/>
    </row>
    <row r="49" spans="1:17" s="2" customFormat="1" ht="12" customHeight="1">
      <c r="D49" s="22"/>
      <c r="E49" s="22"/>
      <c r="J49" s="5"/>
      <c r="K49" s="5"/>
      <c r="L49" s="5"/>
      <c r="M49" s="5"/>
      <c r="N49" s="5"/>
      <c r="O49" s="5"/>
      <c r="P49" s="88"/>
      <c r="Q49" s="95"/>
    </row>
    <row r="50" spans="1:17" s="2" customFormat="1" ht="12" customHeight="1">
      <c r="D50" s="22"/>
      <c r="E50" s="22"/>
      <c r="J50" s="5"/>
      <c r="K50" s="5"/>
      <c r="L50" s="5"/>
      <c r="M50" s="5"/>
      <c r="N50" s="5"/>
      <c r="O50" s="5"/>
      <c r="P50" s="88"/>
      <c r="Q50" s="96"/>
    </row>
    <row r="51" spans="1:17" s="2" customFormat="1" ht="12" customHeight="1">
      <c r="D51" s="22"/>
      <c r="E51" s="22"/>
      <c r="J51" s="5"/>
      <c r="K51" s="5"/>
      <c r="L51" s="5"/>
      <c r="M51" s="5"/>
      <c r="N51" s="5"/>
      <c r="O51" s="5"/>
      <c r="P51" s="88"/>
      <c r="Q51" s="96"/>
    </row>
    <row r="52" spans="1:17" s="2" customFormat="1" ht="12" customHeight="1">
      <c r="D52" s="22"/>
      <c r="E52" s="22"/>
      <c r="J52" s="5"/>
      <c r="K52" s="5"/>
      <c r="L52" s="5"/>
      <c r="M52" s="5"/>
      <c r="N52" s="5"/>
      <c r="O52" s="5"/>
      <c r="P52" s="88"/>
      <c r="Q52" s="96"/>
    </row>
    <row r="53" spans="1:17" s="2" customFormat="1" ht="12" customHeight="1">
      <c r="D53" s="22"/>
      <c r="E53" s="22"/>
      <c r="J53" s="5"/>
      <c r="K53" s="5"/>
      <c r="L53" s="5"/>
      <c r="M53" s="5"/>
      <c r="N53" s="5"/>
      <c r="O53" s="5"/>
      <c r="P53" s="88"/>
      <c r="Q53" s="96"/>
    </row>
    <row r="54" spans="1:17" s="2" customFormat="1" ht="12" customHeight="1">
      <c r="A54"/>
      <c r="B54"/>
      <c r="C54"/>
      <c r="D54" s="23"/>
      <c r="E54" s="23"/>
      <c r="F54"/>
      <c r="G54"/>
      <c r="H54"/>
      <c r="I54"/>
      <c r="J54" s="19"/>
      <c r="K54" s="19"/>
      <c r="L54" s="19"/>
      <c r="M54" s="19"/>
      <c r="N54" s="19"/>
      <c r="O54" s="19"/>
      <c r="P54" s="90"/>
      <c r="Q54" s="96"/>
    </row>
    <row r="55" spans="1:17" s="2" customFormat="1" ht="12" customHeight="1">
      <c r="A55"/>
      <c r="B55"/>
      <c r="C55"/>
      <c r="D55" s="23"/>
      <c r="E55" s="23"/>
      <c r="F55"/>
      <c r="G55"/>
      <c r="H55"/>
      <c r="I55"/>
      <c r="J55" s="19"/>
      <c r="K55" s="19"/>
      <c r="L55" s="19"/>
      <c r="M55" s="19"/>
      <c r="N55" s="19"/>
      <c r="O55" s="19"/>
      <c r="P55" s="90"/>
      <c r="Q55" s="96"/>
    </row>
    <row r="56" spans="1:17" s="2" customFormat="1" ht="12" customHeight="1">
      <c r="A56"/>
      <c r="B56"/>
      <c r="C56"/>
      <c r="D56" s="23"/>
      <c r="E56" s="23"/>
      <c r="F56"/>
      <c r="G56"/>
      <c r="H56"/>
      <c r="I56"/>
      <c r="J56" s="19"/>
      <c r="K56" s="19"/>
      <c r="L56" s="19"/>
      <c r="M56" s="19"/>
      <c r="N56" s="19"/>
      <c r="O56" s="19"/>
      <c r="P56" s="90"/>
      <c r="Q56" s="96"/>
    </row>
    <row r="57" spans="1:17" s="2" customFormat="1" ht="12" customHeight="1">
      <c r="A57"/>
      <c r="B57"/>
      <c r="C57"/>
      <c r="D57" s="23"/>
      <c r="E57" s="23"/>
      <c r="F57"/>
      <c r="G57"/>
      <c r="H57"/>
      <c r="I57"/>
      <c r="J57" s="19"/>
      <c r="K57" s="19"/>
      <c r="L57" s="19"/>
      <c r="M57" s="19"/>
      <c r="N57" s="19"/>
      <c r="O57" s="19"/>
      <c r="P57" s="90"/>
      <c r="Q57" s="96"/>
    </row>
    <row r="58" spans="1:17" s="2" customFormat="1" ht="12" customHeight="1">
      <c r="A58"/>
      <c r="B58"/>
      <c r="C58"/>
      <c r="D58" s="23"/>
      <c r="E58" s="23"/>
      <c r="F58"/>
      <c r="G58"/>
      <c r="H58"/>
      <c r="I58"/>
      <c r="J58" s="19"/>
      <c r="K58" s="19"/>
      <c r="L58" s="19"/>
      <c r="M58" s="19"/>
      <c r="N58" s="19"/>
      <c r="O58" s="19"/>
      <c r="P58" s="90"/>
      <c r="Q58" s="96"/>
    </row>
    <row r="59" spans="1:17">
      <c r="Q59" s="96"/>
    </row>
    <row r="60" spans="1:17">
      <c r="Q60" s="96"/>
    </row>
    <row r="61" spans="1:17">
      <c r="Q61" s="96"/>
    </row>
    <row r="62" spans="1:17">
      <c r="Q62" s="96"/>
    </row>
    <row r="63" spans="1:17">
      <c r="Q63" s="96"/>
    </row>
    <row r="64" spans="1:17">
      <c r="Q64" s="96"/>
    </row>
    <row r="65" spans="17:17">
      <c r="Q65" s="96"/>
    </row>
    <row r="66" spans="17:17">
      <c r="Q66" s="96"/>
    </row>
    <row r="67" spans="17:17">
      <c r="Q67" s="96"/>
    </row>
    <row r="68" spans="17:17">
      <c r="Q68" s="96"/>
    </row>
    <row r="69" spans="17:17">
      <c r="Q69" s="96"/>
    </row>
    <row r="70" spans="17:17">
      <c r="Q70" s="96"/>
    </row>
    <row r="71" spans="17:17">
      <c r="Q71" s="96"/>
    </row>
    <row r="72" spans="17:17">
      <c r="Q72" s="96"/>
    </row>
    <row r="73" spans="17:17">
      <c r="Q73" s="96"/>
    </row>
    <row r="74" spans="17:17">
      <c r="Q74" s="96"/>
    </row>
    <row r="75" spans="17:17">
      <c r="Q75" s="96"/>
    </row>
    <row r="76" spans="17:17">
      <c r="Q76" s="96"/>
    </row>
    <row r="77" spans="17:17">
      <c r="Q77" s="96"/>
    </row>
    <row r="78" spans="17:17">
      <c r="Q78" s="96"/>
    </row>
    <row r="115" ht="12" customHeight="1"/>
    <row r="116" ht="12" customHeight="1"/>
    <row r="117" ht="12" customHeight="1"/>
    <row r="118" ht="12" customHeight="1"/>
    <row r="119" ht="12" customHeight="1"/>
    <row r="120" ht="12" customHeight="1"/>
    <row r="121" ht="12" customHeight="1"/>
    <row r="122" ht="12" customHeight="1"/>
    <row r="123" ht="12" customHeight="1"/>
    <row r="124" ht="12" customHeight="1"/>
    <row r="125" ht="12" customHeight="1"/>
    <row r="126" ht="12" customHeight="1"/>
    <row r="127" ht="12" customHeight="1"/>
    <row r="128" ht="12" customHeight="1"/>
    <row r="129" ht="12" customHeight="1"/>
    <row r="130" ht="12" customHeight="1"/>
    <row r="131" ht="12" customHeight="1"/>
    <row r="132" ht="12" customHeight="1"/>
    <row r="133" ht="12" customHeight="1"/>
    <row r="134" ht="12" customHeight="1"/>
    <row r="135" ht="12" customHeight="1"/>
    <row r="136" ht="12" customHeight="1"/>
    <row r="137" ht="12" customHeight="1"/>
    <row r="138" ht="12" customHeight="1"/>
    <row r="139" ht="12" customHeight="1"/>
    <row r="140" ht="12" customHeight="1"/>
    <row r="141" ht="12" customHeight="1"/>
    <row r="142" ht="12" customHeight="1"/>
    <row r="143" ht="12" customHeight="1"/>
    <row r="144" ht="12" customHeight="1"/>
    <row r="145" ht="12" customHeight="1"/>
    <row r="146" ht="12" customHeight="1"/>
    <row r="147" ht="12" customHeight="1"/>
    <row r="148" ht="12" customHeight="1"/>
    <row r="149" ht="12" customHeight="1"/>
    <row r="150" ht="12" customHeight="1"/>
    <row r="151" ht="12" customHeight="1"/>
    <row r="152" ht="12" customHeight="1"/>
    <row r="153" ht="12" customHeight="1"/>
    <row r="154" ht="12" customHeight="1"/>
    <row r="155" ht="12" customHeight="1"/>
    <row r="156" ht="12" customHeight="1"/>
    <row r="157" ht="12" customHeight="1"/>
    <row r="158" ht="12" customHeight="1"/>
    <row r="159" ht="12" customHeight="1"/>
    <row r="160" ht="12" customHeight="1"/>
    <row r="161" ht="12" customHeight="1"/>
    <row r="162" ht="12" customHeight="1"/>
    <row r="163" ht="12" customHeight="1"/>
    <row r="164" ht="12" customHeight="1"/>
  </sheetData>
  <mergeCells count="17">
    <mergeCell ref="D11:E11"/>
    <mergeCell ref="H11:I11"/>
    <mergeCell ref="D6:E6"/>
    <mergeCell ref="H6:I6"/>
    <mergeCell ref="D10:E10"/>
    <mergeCell ref="H10:I10"/>
    <mergeCell ref="D7:E7"/>
    <mergeCell ref="H7:I7"/>
    <mergeCell ref="D8:E8"/>
    <mergeCell ref="H8:I8"/>
    <mergeCell ref="D9:E9"/>
    <mergeCell ref="H9:I9"/>
    <mergeCell ref="D1:E1"/>
    <mergeCell ref="D4:E4"/>
    <mergeCell ref="H4:I4"/>
    <mergeCell ref="D5:E5"/>
    <mergeCell ref="H5:I5"/>
  </mergeCells>
  <pageMargins left="0.7" right="0.7" top="0.75" bottom="0.75" header="0.3" footer="0.3"/>
  <pageSetup paperSize="3" fitToHeight="0" orientation="landscape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9B28ABE4-88C5-49DF-88AD-61188FDD7F52}">
          <x14:formula1>
            <xm:f>Assemblies!$E:$E</xm:f>
          </x14:formula1>
          <xm:sqref>C5:C10</xm:sqref>
        </x14:dataValidation>
      </x14:dataValidation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EA99B5-C4DA-4CC9-A424-D14C677380F7}">
  <sheetPr codeName="Sheet70">
    <tabColor theme="3" tint="0.59999389629810485"/>
    <pageSetUpPr fitToPage="1"/>
  </sheetPr>
  <dimension ref="A1:R177"/>
  <sheetViews>
    <sheetView zoomScaleNormal="100" workbookViewId="0">
      <selection activeCell="A7" sqref="A7:Q7"/>
    </sheetView>
  </sheetViews>
  <sheetFormatPr defaultColWidth="9.140625" defaultRowHeight="15"/>
  <cols>
    <col min="1" max="1" width="5.7109375" customWidth="1"/>
    <col min="2" max="2" width="5.42578125" bestFit="1" customWidth="1"/>
    <col min="3" max="3" width="30.7109375" customWidth="1"/>
    <col min="4" max="5" width="20.7109375" style="23" customWidth="1"/>
    <col min="6" max="6" width="16.85546875" bestFit="1" customWidth="1"/>
    <col min="7" max="7" width="9.7109375" customWidth="1"/>
    <col min="8" max="8" width="8.7109375" customWidth="1"/>
    <col min="9" max="9" width="20.7109375" customWidth="1"/>
    <col min="10" max="13" width="11.7109375" style="19" customWidth="1"/>
    <col min="14" max="14" width="11.85546875" style="19" bestFit="1" customWidth="1"/>
    <col min="15" max="15" width="7.7109375" style="19" customWidth="1"/>
    <col min="16" max="16" width="10.7109375" style="90" customWidth="1"/>
    <col min="17" max="17" width="10.7109375" style="97" customWidth="1"/>
  </cols>
  <sheetData>
    <row r="1" spans="1:18" s="55" customFormat="1" ht="12" customHeight="1">
      <c r="A1" s="68" t="s">
        <v>0</v>
      </c>
      <c r="B1" s="69"/>
      <c r="C1" s="69"/>
      <c r="D1" s="262" t="s">
        <v>1</v>
      </c>
      <c r="E1" s="263"/>
      <c r="F1" s="70"/>
      <c r="G1" s="69"/>
      <c r="H1" s="70"/>
      <c r="I1" s="71"/>
      <c r="J1" s="72"/>
      <c r="K1" s="72"/>
      <c r="L1" s="72"/>
      <c r="M1" s="72"/>
      <c r="N1" s="72"/>
      <c r="O1" s="72"/>
      <c r="P1" s="85"/>
      <c r="Q1" s="91"/>
    </row>
    <row r="2" spans="1:18" s="55" customFormat="1" ht="12" customHeight="1">
      <c r="A2" s="74" t="s">
        <v>48</v>
      </c>
      <c r="B2" s="58"/>
      <c r="C2" s="57" t="e">
        <f ca="1">VLOOKUP(E3,Assemblies!B:F,4,0)</f>
        <v>#VALUE!</v>
      </c>
      <c r="D2" s="75" t="s">
        <v>3</v>
      </c>
      <c r="E2" s="76" t="e">
        <f ca="1">'GF12'!E2</f>
        <v>#VALUE!</v>
      </c>
      <c r="F2" s="77" t="s">
        <v>4</v>
      </c>
      <c r="G2" s="58" t="str">
        <f>'GF12'!G2</f>
        <v>GH</v>
      </c>
      <c r="H2" s="77" t="s">
        <v>6</v>
      </c>
      <c r="I2" s="59">
        <f>'GF12'!I2</f>
        <v>44775</v>
      </c>
      <c r="J2" s="39"/>
      <c r="K2" s="40" t="s">
        <v>49</v>
      </c>
      <c r="L2" s="41" t="e">
        <f ca="1">VLOOKUP(C2,Assemblies!E:G,3,0)</f>
        <v>#VALUE!</v>
      </c>
      <c r="M2" s="78"/>
      <c r="N2" s="78"/>
      <c r="O2" s="78"/>
      <c r="P2" s="86"/>
      <c r="Q2" s="92"/>
    </row>
    <row r="3" spans="1:18" s="55" customFormat="1" ht="12" customHeight="1" thickBot="1">
      <c r="A3" s="74" t="s">
        <v>7</v>
      </c>
      <c r="B3" s="58"/>
      <c r="C3" s="57" t="e">
        <f ca="1">VLOOKUP(E3,Assemblies!B:F,5,0)</f>
        <v>#VALUE!</v>
      </c>
      <c r="D3" s="75" t="s">
        <v>50</v>
      </c>
      <c r="E3" s="76" t="e">
        <f ca="1">MID(CELL("filename",A1),FIND("]",CELL("filename",A1))+1,256)</f>
        <v>#VALUE!</v>
      </c>
      <c r="F3" s="77" t="s">
        <v>11</v>
      </c>
      <c r="G3" s="58" t="str">
        <f>'GF12'!G3</f>
        <v>GH</v>
      </c>
      <c r="H3" s="77" t="s">
        <v>6</v>
      </c>
      <c r="I3" s="59">
        <f>'GF12'!I3</f>
        <v>44775</v>
      </c>
      <c r="J3" s="78"/>
      <c r="K3" s="78"/>
      <c r="L3" s="78"/>
      <c r="M3" s="78"/>
      <c r="N3" s="78"/>
      <c r="O3" s="78"/>
      <c r="P3" s="86"/>
      <c r="Q3" s="92"/>
    </row>
    <row r="4" spans="1:18" s="56" customFormat="1" ht="12.75" customHeight="1" thickBot="1">
      <c r="A4" s="80" t="s">
        <v>12</v>
      </c>
      <c r="B4" s="81" t="s">
        <v>13</v>
      </c>
      <c r="C4" s="81" t="s">
        <v>14</v>
      </c>
      <c r="D4" s="270" t="s">
        <v>15</v>
      </c>
      <c r="E4" s="271"/>
      <c r="F4" s="104" t="s">
        <v>16</v>
      </c>
      <c r="G4" s="81" t="s">
        <v>17</v>
      </c>
      <c r="H4" s="260" t="s">
        <v>18</v>
      </c>
      <c r="I4" s="261"/>
      <c r="J4" s="81" t="s">
        <v>51</v>
      </c>
      <c r="K4" s="81" t="s">
        <v>20</v>
      </c>
      <c r="L4" s="81" t="s">
        <v>21</v>
      </c>
      <c r="M4" s="81" t="s">
        <v>52</v>
      </c>
      <c r="N4" s="81" t="s">
        <v>22</v>
      </c>
      <c r="O4" s="81" t="s">
        <v>53</v>
      </c>
      <c r="P4" s="107" t="s">
        <v>26</v>
      </c>
      <c r="Q4" s="82" t="s">
        <v>27</v>
      </c>
    </row>
    <row r="5" spans="1:18" s="21" customFormat="1" ht="12.75" customHeight="1">
      <c r="A5" s="66" t="s">
        <v>54</v>
      </c>
      <c r="B5" s="1">
        <v>8</v>
      </c>
      <c r="C5" s="67" t="s">
        <v>782</v>
      </c>
      <c r="D5" s="277" t="e">
        <f ca="1">VLOOKUP(C5,Assemblies!E:S,2,0)</f>
        <v>#N/A</v>
      </c>
      <c r="E5" s="278"/>
      <c r="F5" s="32"/>
      <c r="G5" s="32"/>
      <c r="H5" s="292"/>
      <c r="I5" s="293"/>
      <c r="J5" s="28"/>
      <c r="K5" s="28"/>
      <c r="L5" s="28"/>
      <c r="M5" s="28"/>
      <c r="N5" s="33"/>
      <c r="O5" s="46" t="e">
        <f t="shared" ref="O5" ca="1" si="0">B5*$L$2</f>
        <v>#VALUE!</v>
      </c>
      <c r="P5" s="87">
        <f>'311'!Q10</f>
        <v>58.879999999999995</v>
      </c>
      <c r="Q5" s="93">
        <f t="shared" ref="Q5" si="1">B5*P5</f>
        <v>471.03999999999996</v>
      </c>
    </row>
    <row r="6" spans="1:18" s="21" customFormat="1" ht="12.75" customHeight="1">
      <c r="A6" s="25"/>
      <c r="B6" s="26"/>
      <c r="C6" s="26"/>
      <c r="D6" s="272"/>
      <c r="E6" s="273"/>
      <c r="F6" s="26"/>
      <c r="G6" s="26"/>
      <c r="H6" s="274"/>
      <c r="I6" s="275"/>
      <c r="J6" s="27"/>
      <c r="K6" s="27"/>
      <c r="L6" s="27"/>
      <c r="M6" s="28"/>
      <c r="N6" s="29"/>
      <c r="O6" s="29"/>
      <c r="P6" s="141"/>
      <c r="Q6" s="142"/>
      <c r="R6" s="20"/>
    </row>
    <row r="7" spans="1:18" s="2" customFormat="1" ht="12.75" customHeight="1">
      <c r="A7" s="127">
        <v>1</v>
      </c>
      <c r="B7" s="21">
        <v>2</v>
      </c>
      <c r="C7" s="108" t="s">
        <v>783</v>
      </c>
      <c r="D7" s="277" t="str">
        <f>VLOOKUP(C7,Machined!C:Q,2,0)</f>
        <v>Spout Bowl Rail Plate</v>
      </c>
      <c r="E7" s="278"/>
      <c r="F7" s="131" t="str">
        <f>VLOOKUP(C7,Machined!C:R,7,0)</f>
        <v>6061-T6 Alum</v>
      </c>
      <c r="G7" s="131" t="str">
        <f>VLOOKUP(C7,Machined!C:R,10,0)</f>
        <v>BEMOX</v>
      </c>
      <c r="H7" s="131" t="str">
        <f>VLOOKUP(C7,Machined!C:R,11,0)</f>
        <v xml:space="preserve">  </v>
      </c>
      <c r="I7" s="131"/>
      <c r="J7" s="42">
        <f>VLOOKUP(C7,Machined!C:R,12,0)</f>
        <v>45141</v>
      </c>
      <c r="K7" s="42">
        <f>VLOOKUP(C7,Machined!C:R,13,0)</f>
        <v>45141</v>
      </c>
      <c r="L7" s="42">
        <f>VLOOKUP(C7,Machined!C:R,14,0)</f>
        <v>45171</v>
      </c>
      <c r="M7" s="42">
        <f>VLOOKUP(C7,Machined!C:R,15,0)</f>
        <v>45171</v>
      </c>
      <c r="N7" s="43">
        <f>VLOOKUP(C7,Machined!C:R,16,0)</f>
        <v>55029</v>
      </c>
      <c r="O7" s="43" t="e">
        <f t="shared" ref="O7" ca="1" si="2">B7*$L$2</f>
        <v>#VALUE!</v>
      </c>
      <c r="P7" s="47">
        <f>IFERROR(VLOOKUP(C7,Machined!C:F,3,0),"")</f>
        <v>413.5</v>
      </c>
      <c r="Q7" s="48">
        <f t="shared" ref="Q7" si="3">IFERROR(B7*P7,"")</f>
        <v>827</v>
      </c>
    </row>
    <row r="8" spans="1:18" s="2" customFormat="1" ht="12.75" customHeight="1">
      <c r="A8" s="143"/>
      <c r="B8" s="26"/>
      <c r="C8" s="26"/>
      <c r="D8" s="272"/>
      <c r="E8" s="273"/>
      <c r="F8" s="26"/>
      <c r="G8" s="26"/>
      <c r="H8" s="274"/>
      <c r="I8" s="275"/>
      <c r="J8" s="27"/>
      <c r="K8" s="27"/>
      <c r="L8" s="27"/>
      <c r="M8" s="28"/>
      <c r="N8" s="29"/>
      <c r="O8" s="29"/>
      <c r="P8" s="141"/>
      <c r="Q8" s="142"/>
    </row>
    <row r="9" spans="1:18" s="2" customFormat="1" ht="12.75" customHeight="1">
      <c r="A9" s="4">
        <v>301</v>
      </c>
      <c r="B9" s="2">
        <v>2</v>
      </c>
      <c r="C9" s="114" t="s">
        <v>784</v>
      </c>
      <c r="D9" s="268" t="str">
        <f>VLOOKUP(C9,Purchased!A:B,2,0)</f>
        <v>BRL 25mm Ball Rail, Spout Bowl</v>
      </c>
      <c r="E9" s="269"/>
      <c r="F9" s="112" t="str">
        <f>VLOOKUP(C9,Purchased!A:Q,9,0)</f>
        <v>BRL</v>
      </c>
      <c r="G9" s="112" t="str">
        <f>VLOOKUP(C9,Purchased!A:Q,10,0)</f>
        <v>AAP</v>
      </c>
      <c r="H9" s="112" t="str">
        <f>VLOOKUP(C9,Purchased!A:Q,12,0)</f>
        <v xml:space="preserve"> </v>
      </c>
      <c r="I9" s="113"/>
      <c r="J9" s="44">
        <f>VLOOKUP(C9,Purchased!A:Q,13,0)</f>
        <v>45093</v>
      </c>
      <c r="K9" s="44">
        <f>VLOOKUP(C9,Purchased!A:Q,14,0)</f>
        <v>45093</v>
      </c>
      <c r="L9" s="44">
        <f>VLOOKUP(C9,Purchased!A:Q,15,0)</f>
        <v>45184</v>
      </c>
      <c r="M9" s="44">
        <f>VLOOKUP(C9,Purchased!A:Q,16,0)</f>
        <v>45184</v>
      </c>
      <c r="N9" s="45">
        <f>VLOOKUP(C9,Purchased!A:Q,17,0)</f>
        <v>54942</v>
      </c>
      <c r="O9" s="45" t="e">
        <f t="shared" ref="O9:O14" ca="1" si="4">B9*$L$2</f>
        <v>#VALUE!</v>
      </c>
      <c r="P9" s="49">
        <f>IFERROR(VLOOKUP(C9,Purchased!A:E,3,FALSE),"")</f>
        <v>862.49450000000002</v>
      </c>
      <c r="Q9" s="50">
        <f t="shared" ref="Q9:Q14" si="5">IFERROR(B9*P9,"")</f>
        <v>1724.989</v>
      </c>
    </row>
    <row r="10" spans="1:18" s="2" customFormat="1" ht="12" customHeight="1">
      <c r="A10" s="4">
        <f t="shared" ref="A10:A14" si="6">A9+1</f>
        <v>302</v>
      </c>
      <c r="B10" s="2">
        <v>40</v>
      </c>
      <c r="C10" s="114" t="s">
        <v>262</v>
      </c>
      <c r="D10" s="268" t="str">
        <f>VLOOKUP(C10,Purchased!A:B,2,0)</f>
        <v>BRX GOTO T-NUT 10 M6</v>
      </c>
      <c r="E10" s="269"/>
      <c r="F10" s="112" t="str">
        <f>VLOOKUP(C10,Purchased!A:Q,9,0)</f>
        <v>BRX</v>
      </c>
      <c r="G10" s="112" t="str">
        <f>VLOOKUP(C10,Purchased!A:Q,10,0)</f>
        <v>AAP</v>
      </c>
      <c r="H10" s="112" t="str">
        <f>VLOOKUP(C10,Purchased!A:Q,12,0)</f>
        <v xml:space="preserve">  </v>
      </c>
      <c r="I10" s="113"/>
      <c r="J10" s="44">
        <f>VLOOKUP(C10,Purchased!A:Q,13,0)</f>
        <v>45104</v>
      </c>
      <c r="K10" s="44">
        <f>VLOOKUP(C10,Purchased!A:Q,14,0)</f>
        <v>45105</v>
      </c>
      <c r="L10" s="44">
        <f>VLOOKUP(C10,Purchased!A:Q,15,0)</f>
        <v>45133</v>
      </c>
      <c r="M10" s="44">
        <f>VLOOKUP(C10,Purchased!A:Q,16,0)</f>
        <v>45133</v>
      </c>
      <c r="N10" s="45" t="str">
        <f>VLOOKUP(C10,Purchased!A:Q,17,0)</f>
        <v>54968, 55147, 55270</v>
      </c>
      <c r="O10" s="45" t="e">
        <f t="shared" ca="1" si="4"/>
        <v>#VALUE!</v>
      </c>
      <c r="P10" s="49">
        <f>IFERROR(VLOOKUP(C10,Purchased!A:E,3,FALSE),"")</f>
        <v>0.64290000000000003</v>
      </c>
      <c r="Q10" s="50">
        <f t="shared" si="5"/>
        <v>25.716000000000001</v>
      </c>
    </row>
    <row r="11" spans="1:18" s="2" customFormat="1" ht="12" customHeight="1">
      <c r="A11" s="4">
        <f t="shared" si="6"/>
        <v>303</v>
      </c>
      <c r="B11" s="2">
        <v>116</v>
      </c>
      <c r="C11" s="114" t="s">
        <v>244</v>
      </c>
      <c r="D11" s="268" t="str">
        <f>VLOOKUP(C11,Purchased!A:B,2,0)</f>
        <v>BRX GOTO QUICK CONNECTOR N10 0°</v>
      </c>
      <c r="E11" s="269"/>
      <c r="F11" s="112" t="str">
        <f>VLOOKUP(C11,Purchased!A:Q,9,0)</f>
        <v>BRX</v>
      </c>
      <c r="G11" s="112" t="str">
        <f>VLOOKUP(C11,Purchased!A:Q,10,0)</f>
        <v>AAP</v>
      </c>
      <c r="H11" s="112" t="str">
        <f>VLOOKUP(C11,Purchased!A:Q,12,0)</f>
        <v>17 in stock</v>
      </c>
      <c r="I11" s="113"/>
      <c r="J11" s="44" t="str">
        <f>VLOOKUP(C11,Purchased!A:Q,13,0)</f>
        <v>N/A</v>
      </c>
      <c r="K11" s="44">
        <f>VLOOKUP(C11,Purchased!A:Q,14,0)</f>
        <v>45089</v>
      </c>
      <c r="L11" s="44">
        <f>VLOOKUP(C11,Purchased!A:Q,15,0)</f>
        <v>45124</v>
      </c>
      <c r="M11" s="44">
        <f>VLOOKUP(C11,Purchased!A:Q,16,0)</f>
        <v>45124</v>
      </c>
      <c r="N11" s="45" t="str">
        <f>VLOOKUP(C11,Purchased!A:Q,17,0)</f>
        <v>500x54927, 500x55060</v>
      </c>
      <c r="O11" s="45" t="e">
        <f t="shared" ca="1" si="4"/>
        <v>#VALUE!</v>
      </c>
      <c r="P11" s="49">
        <f>IFERROR(VLOOKUP(C11,Purchased!A:E,3,FALSE),"")</f>
        <v>5.2857000000000003</v>
      </c>
      <c r="Q11" s="50">
        <f t="shared" si="5"/>
        <v>613.14120000000003</v>
      </c>
    </row>
    <row r="12" spans="1:18" s="2" customFormat="1" ht="12" customHeight="1">
      <c r="A12" s="4">
        <f t="shared" si="6"/>
        <v>304</v>
      </c>
      <c r="B12" s="2">
        <v>4</v>
      </c>
      <c r="C12" s="114" t="s">
        <v>243</v>
      </c>
      <c r="D12" s="268" t="str">
        <f>VLOOKUP(C12,Purchased!A:B,2,0)</f>
        <v>BRX GOTO QUICK CONNECTOR N10 90°</v>
      </c>
      <c r="E12" s="269"/>
      <c r="F12" s="112" t="str">
        <f>VLOOKUP(C12,Purchased!A:Q,9,0)</f>
        <v>BRX</v>
      </c>
      <c r="G12" s="112" t="str">
        <f>VLOOKUP(C12,Purchased!A:Q,10,0)</f>
        <v>AAP</v>
      </c>
      <c r="H12" s="112" t="str">
        <f>VLOOKUP(C12,Purchased!A:Q,12,0)</f>
        <v xml:space="preserve">  </v>
      </c>
      <c r="I12" s="113"/>
      <c r="J12" s="44" t="str">
        <f>VLOOKUP(C12,Purchased!A:Q,13,0)</f>
        <v>N/A</v>
      </c>
      <c r="K12" s="44">
        <f>VLOOKUP(C12,Purchased!A:Q,14,0)</f>
        <v>45089</v>
      </c>
      <c r="L12" s="44">
        <f>VLOOKUP(C12,Purchased!A:Q,15,0)</f>
        <v>45124</v>
      </c>
      <c r="M12" s="44">
        <f>VLOOKUP(C12,Purchased!A:Q,16,0)</f>
        <v>45124</v>
      </c>
      <c r="N12" s="45">
        <f>VLOOKUP(C12,Purchased!A:Q,17,0)</f>
        <v>54927</v>
      </c>
      <c r="O12" s="45" t="e">
        <f t="shared" ca="1" si="4"/>
        <v>#VALUE!</v>
      </c>
      <c r="P12" s="49">
        <f>IFERROR(VLOOKUP(C12,Purchased!A:E,3,FALSE),"")</f>
        <v>5.2857000000000003</v>
      </c>
      <c r="Q12" s="50">
        <f t="shared" si="5"/>
        <v>21.142800000000001</v>
      </c>
    </row>
    <row r="13" spans="1:18" s="2" customFormat="1" ht="12" customHeight="1">
      <c r="A13" s="4">
        <f t="shared" si="6"/>
        <v>305</v>
      </c>
      <c r="B13" s="2">
        <v>6</v>
      </c>
      <c r="C13" s="114" t="s">
        <v>245</v>
      </c>
      <c r="D13" s="268" t="str">
        <f>VLOOKUP(C13,Purchased!A:B,2,0)</f>
        <v>BRX 3842548758 Cover Cap 90x90 Grey</v>
      </c>
      <c r="E13" s="269"/>
      <c r="F13" s="112" t="str">
        <f>VLOOKUP(C13,Purchased!A:Q,9,0)</f>
        <v>BRX</v>
      </c>
      <c r="G13" s="112" t="str">
        <f>VLOOKUP(C13,Purchased!A:Q,10,0)</f>
        <v>AAP</v>
      </c>
      <c r="H13" s="112" t="str">
        <f>VLOOKUP(C13,Purchased!A:Q,12,0)</f>
        <v xml:space="preserve"> </v>
      </c>
      <c r="I13" s="113"/>
      <c r="J13" s="44" t="str">
        <f>VLOOKUP(C13,Purchased!A:Q,13,0)</f>
        <v>N/A</v>
      </c>
      <c r="K13" s="44">
        <f>VLOOKUP(C13,Purchased!A:Q,14,0)</f>
        <v>45162</v>
      </c>
      <c r="L13" s="44">
        <f>VLOOKUP(C13,Purchased!A:Q,15,0)</f>
        <v>45184</v>
      </c>
      <c r="M13" s="44">
        <f>VLOOKUP(C13,Purchased!A:Q,16,0)</f>
        <v>45197</v>
      </c>
      <c r="N13" s="45">
        <f>VLOOKUP(C13,Purchased!A:Q,17,0)</f>
        <v>55073</v>
      </c>
      <c r="O13" s="45" t="e">
        <f t="shared" ca="1" si="4"/>
        <v>#VALUE!</v>
      </c>
      <c r="P13" s="49">
        <f>IFERROR(VLOOKUP(C13,Purchased!A:E,3,FALSE),"")</f>
        <v>3.2429000000000001</v>
      </c>
      <c r="Q13" s="50">
        <f t="shared" si="5"/>
        <v>19.4574</v>
      </c>
    </row>
    <row r="14" spans="1:18" s="2" customFormat="1" ht="12" customHeight="1">
      <c r="A14" s="4">
        <f t="shared" si="6"/>
        <v>306</v>
      </c>
      <c r="B14" s="2">
        <v>4</v>
      </c>
      <c r="C14" s="114" t="s">
        <v>263</v>
      </c>
      <c r="D14" s="268" t="str">
        <f>VLOOKUP(C14,Purchased!A:B,2,0)</f>
        <v>Dowel Pin 52100 Alloy Steel, 10 mm Diameter, 20 mm Long, 10pk</v>
      </c>
      <c r="E14" s="269"/>
      <c r="F14" s="112" t="str">
        <f>VLOOKUP(C14,Purchased!A:Q,9,0)</f>
        <v>MCM</v>
      </c>
      <c r="G14" s="112" t="str">
        <f>VLOOKUP(C14,Purchased!A:Q,10,0)</f>
        <v>MCM</v>
      </c>
      <c r="H14" s="112" t="str">
        <f>VLOOKUP(C14,Purchased!A:Q,12,0)</f>
        <v>Pack of 10</v>
      </c>
      <c r="I14" s="113"/>
      <c r="J14" s="44" t="str">
        <f>VLOOKUP(C14,Purchased!A:Q,13,0)</f>
        <v>N/A</v>
      </c>
      <c r="K14" s="44">
        <f>VLOOKUP(C14,Purchased!A:Q,14,0)</f>
        <v>45162</v>
      </c>
      <c r="L14" s="44">
        <f>VLOOKUP(C14,Purchased!A:Q,15,0)</f>
        <v>45184</v>
      </c>
      <c r="M14" s="44">
        <f>VLOOKUP(C14,Purchased!A:Q,16,0)</f>
        <v>45163</v>
      </c>
      <c r="N14" s="45">
        <f>VLOOKUP(C14,Purchased!A:Q,17,0)</f>
        <v>55088</v>
      </c>
      <c r="O14" s="45" t="e">
        <f t="shared" ca="1" si="4"/>
        <v>#VALUE!</v>
      </c>
      <c r="P14" s="49">
        <f>IFERROR(VLOOKUP(C14,Purchased!A:E,3,FALSE),"")</f>
        <v>10.57</v>
      </c>
      <c r="Q14" s="50">
        <f t="shared" si="5"/>
        <v>42.28</v>
      </c>
    </row>
    <row r="15" spans="1:18" s="2" customFormat="1" ht="12.75" customHeight="1">
      <c r="A15" s="25"/>
      <c r="B15" s="26"/>
      <c r="C15" s="26"/>
      <c r="D15" s="272"/>
      <c r="E15" s="273"/>
      <c r="F15" s="26"/>
      <c r="G15" s="26"/>
      <c r="H15" s="274"/>
      <c r="I15" s="275"/>
      <c r="J15" s="27"/>
      <c r="K15" s="27"/>
      <c r="L15" s="27"/>
      <c r="M15" s="28"/>
      <c r="N15" s="29"/>
      <c r="O15" s="29" t="e">
        <f t="shared" ref="O15:O17" ca="1" si="7">B15*$L$2</f>
        <v>#VALUE!</v>
      </c>
      <c r="P15" s="141"/>
      <c r="Q15" s="142"/>
    </row>
    <row r="16" spans="1:18" s="2" customFormat="1" ht="12.75" customHeight="1">
      <c r="A16" s="4">
        <v>501</v>
      </c>
      <c r="B16" s="2">
        <v>38</v>
      </c>
      <c r="C16" s="110" t="s">
        <v>479</v>
      </c>
      <c r="D16" s="268"/>
      <c r="E16" s="276"/>
      <c r="F16" s="112" t="str">
        <f>VLOOKUP(C16,Bolts!A:L,5,0)</f>
        <v xml:space="preserve">  </v>
      </c>
      <c r="G16" s="112" t="str">
        <f>VLOOKUP(C16,Bolts!A:L,6,0)</f>
        <v>Monroe Fasteners</v>
      </c>
      <c r="H16" s="112" t="str">
        <f>VLOOKUP(C16,Bolts!A:L,7,0)</f>
        <v xml:space="preserve">  </v>
      </c>
      <c r="I16" s="112"/>
      <c r="J16" s="44" t="str">
        <f>VLOOKUP(C16,Bolts!A:L,8,0)</f>
        <v xml:space="preserve"> </v>
      </c>
      <c r="K16" s="44" t="str">
        <f>VLOOKUP(C16,Bolts!A:L,9,0)</f>
        <v xml:space="preserve"> </v>
      </c>
      <c r="L16" s="44" t="str">
        <f>VLOOKUP(C16,Bolts!A:L,10,0)</f>
        <v xml:space="preserve"> </v>
      </c>
      <c r="M16" s="44" t="str">
        <f>VLOOKUP(C16,Bolts!A:L,11,0)</f>
        <v xml:space="preserve"> </v>
      </c>
      <c r="N16" s="45" t="str">
        <f>VLOOKUP(C16,Bolts!A:L,12,0)</f>
        <v xml:space="preserve"> </v>
      </c>
      <c r="O16" s="45" t="e">
        <f t="shared" ca="1" si="7"/>
        <v>#VALUE!</v>
      </c>
      <c r="P16" s="49" t="str">
        <f>IFERROR(VLOOKUP(C16,Bolts!A:B,2,FALSE),"")</f>
        <v xml:space="preserve"> </v>
      </c>
      <c r="Q16" s="50" t="str">
        <f t="shared" ref="Q16:Q17" si="8">IFERROR(B16*P16,"")</f>
        <v/>
      </c>
    </row>
    <row r="17" spans="1:17" s="2" customFormat="1" ht="12.75" customHeight="1">
      <c r="A17" s="4">
        <f t="shared" ref="A17" si="9">A16+1</f>
        <v>502</v>
      </c>
      <c r="B17" s="2">
        <v>40</v>
      </c>
      <c r="C17" s="110" t="s">
        <v>278</v>
      </c>
      <c r="D17" s="268"/>
      <c r="E17" s="276"/>
      <c r="F17" s="112" t="str">
        <f>VLOOKUP(C17,Bolts!A:L,5,0)</f>
        <v xml:space="preserve">  </v>
      </c>
      <c r="G17" s="112" t="str">
        <f>VLOOKUP(C17,Bolts!A:L,6,0)</f>
        <v>Monroe Fasteners</v>
      </c>
      <c r="H17" s="112" t="str">
        <f>VLOOKUP(C17,Bolts!A:L,7,0)</f>
        <v xml:space="preserve">  </v>
      </c>
      <c r="I17" s="112"/>
      <c r="J17" s="44" t="str">
        <f>VLOOKUP(C17,Bolts!A:L,8,0)</f>
        <v xml:space="preserve"> </v>
      </c>
      <c r="K17" s="44" t="str">
        <f>VLOOKUP(C17,Bolts!A:L,9,0)</f>
        <v xml:space="preserve"> </v>
      </c>
      <c r="L17" s="44" t="str">
        <f>VLOOKUP(C17,Bolts!A:L,10,0)</f>
        <v xml:space="preserve"> </v>
      </c>
      <c r="M17" s="44" t="str">
        <f>VLOOKUP(C17,Bolts!A:L,11,0)</f>
        <v xml:space="preserve"> </v>
      </c>
      <c r="N17" s="45" t="str">
        <f>VLOOKUP(C17,Bolts!A:L,12,0)</f>
        <v xml:space="preserve"> </v>
      </c>
      <c r="O17" s="45" t="e">
        <f t="shared" ca="1" si="7"/>
        <v>#VALUE!</v>
      </c>
      <c r="P17" s="49" t="str">
        <f>IFERROR(VLOOKUP(C17,Bolts!A:B,2,FALSE),"")</f>
        <v xml:space="preserve"> </v>
      </c>
      <c r="Q17" s="50" t="str">
        <f t="shared" si="8"/>
        <v/>
      </c>
    </row>
    <row r="18" spans="1:17" s="2" customFormat="1" ht="12.75" customHeight="1">
      <c r="A18" s="25"/>
      <c r="B18" s="26"/>
      <c r="C18" s="26"/>
      <c r="D18" s="272"/>
      <c r="E18" s="273"/>
      <c r="F18" s="26"/>
      <c r="G18" s="26"/>
      <c r="H18" s="274"/>
      <c r="I18" s="275"/>
      <c r="J18" s="27"/>
      <c r="K18" s="27"/>
      <c r="L18" s="27"/>
      <c r="M18" s="28"/>
      <c r="N18" s="29"/>
      <c r="O18" s="29"/>
      <c r="P18" s="141"/>
      <c r="Q18" s="142"/>
    </row>
    <row r="19" spans="1:17" s="2" customFormat="1" ht="12.75" customHeight="1">
      <c r="A19" s="4">
        <v>701</v>
      </c>
      <c r="B19" s="2">
        <v>2</v>
      </c>
      <c r="C19" s="111" t="s">
        <v>785</v>
      </c>
      <c r="D19" s="268" t="str">
        <f>VLOOKUP(C19,Extrusion!B:C,2,0)</f>
        <v>Assy .310</v>
      </c>
      <c r="E19" s="269"/>
      <c r="F19" s="112" t="str">
        <f>VLOOKUP(C19,Extrusion!B:M,6,0)</f>
        <v>BOSCH</v>
      </c>
      <c r="G19" s="112" t="str">
        <f>VLOOKUP(C19,Extrusion!B:M,7,0)</f>
        <v>NULINE</v>
      </c>
      <c r="H19" s="112" t="str">
        <f>VLOOKUP(C19,Extrusion!B:M,8,0)</f>
        <v xml:space="preserve"> </v>
      </c>
      <c r="I19" s="113"/>
      <c r="J19" s="44" t="str">
        <f>VLOOKUP(C19,Extrusion!B:M,9,0)</f>
        <v>N/A</v>
      </c>
      <c r="K19" s="44">
        <f>VLOOKUP(C19,Extrusion!B:M,10,0)</f>
        <v>44894</v>
      </c>
      <c r="L19" s="44">
        <f>VLOOKUP(C19,Extrusion!B:M,11,0)</f>
        <v>44970</v>
      </c>
      <c r="M19" s="44">
        <f>VLOOKUP(C19,Extrusion!B:M,12,0)</f>
        <v>44970</v>
      </c>
      <c r="N19" s="45">
        <f>VLOOKUP(C19,Extrusion!B:N,13,0)</f>
        <v>54598</v>
      </c>
      <c r="O19" s="45" t="e">
        <f t="shared" ref="O19:O23" ca="1" si="10">B19*$L$2</f>
        <v>#VALUE!</v>
      </c>
      <c r="P19" s="49">
        <f>IFERROR(VLOOKUP(C19,Extrusion!B:F,5,0),"")</f>
        <v>187.34580133333336</v>
      </c>
      <c r="Q19" s="50">
        <f t="shared" ref="Q19:Q23" si="11">IFERROR(B19*P19,"")</f>
        <v>374.69160266666671</v>
      </c>
    </row>
    <row r="20" spans="1:17" s="2" customFormat="1" ht="12" customHeight="1">
      <c r="A20" s="4">
        <f t="shared" ref="A20:A23" si="12">A19+1</f>
        <v>702</v>
      </c>
      <c r="B20" s="2">
        <v>4</v>
      </c>
      <c r="C20" s="111" t="s">
        <v>786</v>
      </c>
      <c r="D20" s="268" t="str">
        <f>VLOOKUP(C20,Extrusion!B:C,2,0)</f>
        <v>Assy .310</v>
      </c>
      <c r="E20" s="269"/>
      <c r="F20" s="112" t="str">
        <f>VLOOKUP(C20,Extrusion!B:M,6,0)</f>
        <v>BOSCH</v>
      </c>
      <c r="G20" s="112" t="str">
        <f>VLOOKUP(C20,Extrusion!B:M,7,0)</f>
        <v>NULINE</v>
      </c>
      <c r="H20" s="112" t="str">
        <f>VLOOKUP(C20,Extrusion!B:M,8,0)</f>
        <v xml:space="preserve"> </v>
      </c>
      <c r="I20" s="113"/>
      <c r="J20" s="44" t="str">
        <f>VLOOKUP(C20,Extrusion!B:M,9,0)</f>
        <v>N/A</v>
      </c>
      <c r="K20" s="44">
        <f>VLOOKUP(C20,Extrusion!B:M,10,0)</f>
        <v>44894</v>
      </c>
      <c r="L20" s="44">
        <f>VLOOKUP(C20,Extrusion!B:M,11,0)</f>
        <v>44970</v>
      </c>
      <c r="M20" s="44">
        <f>VLOOKUP(C20,Extrusion!B:M,12,0)</f>
        <v>44970</v>
      </c>
      <c r="N20" s="45">
        <f>VLOOKUP(C20,Extrusion!B:N,13,0)</f>
        <v>54598</v>
      </c>
      <c r="O20" s="45" t="e">
        <f t="shared" ca="1" si="10"/>
        <v>#VALUE!</v>
      </c>
      <c r="P20" s="49">
        <f>IFERROR(VLOOKUP(C20,Extrusion!B:F,5,0),"")</f>
        <v>74.583983586666676</v>
      </c>
      <c r="Q20" s="50">
        <f t="shared" si="11"/>
        <v>298.3359343466667</v>
      </c>
    </row>
    <row r="21" spans="1:17" s="2" customFormat="1" ht="12" customHeight="1">
      <c r="A21" s="4">
        <f t="shared" si="12"/>
        <v>703</v>
      </c>
      <c r="B21" s="2">
        <v>6</v>
      </c>
      <c r="C21" s="111" t="s">
        <v>787</v>
      </c>
      <c r="D21" s="268" t="str">
        <f>VLOOKUP(C21,Extrusion!B:C,2,0)</f>
        <v>Assy .310</v>
      </c>
      <c r="E21" s="269"/>
      <c r="F21" s="112" t="str">
        <f>VLOOKUP(C21,Extrusion!B:M,6,0)</f>
        <v>BOSCH</v>
      </c>
      <c r="G21" s="112" t="str">
        <f>VLOOKUP(C21,Extrusion!B:M,7,0)</f>
        <v>NULINE</v>
      </c>
      <c r="H21" s="112" t="str">
        <f>VLOOKUP(C21,Extrusion!B:M,8,0)</f>
        <v xml:space="preserve"> </v>
      </c>
      <c r="I21" s="113"/>
      <c r="J21" s="44" t="str">
        <f>VLOOKUP(C21,Extrusion!B:M,9,0)</f>
        <v>N/A</v>
      </c>
      <c r="K21" s="44">
        <f>VLOOKUP(C21,Extrusion!B:M,10,0)</f>
        <v>44894</v>
      </c>
      <c r="L21" s="44">
        <f>VLOOKUP(C21,Extrusion!B:M,11,0)</f>
        <v>44970</v>
      </c>
      <c r="M21" s="44">
        <f>VLOOKUP(C21,Extrusion!B:M,12,0)</f>
        <v>44970</v>
      </c>
      <c r="N21" s="45">
        <f>VLOOKUP(C21,Extrusion!B:N,13,0)</f>
        <v>54598</v>
      </c>
      <c r="O21" s="45" t="e">
        <f t="shared" ca="1" si="10"/>
        <v>#VALUE!</v>
      </c>
      <c r="P21" s="49">
        <f>IFERROR(VLOOKUP(C21,Extrusion!B:F,5,0),"")</f>
        <v>63.597534796333335</v>
      </c>
      <c r="Q21" s="50">
        <f t="shared" si="11"/>
        <v>381.58520877800004</v>
      </c>
    </row>
    <row r="22" spans="1:17" s="2" customFormat="1" ht="12" customHeight="1">
      <c r="A22" s="4">
        <f t="shared" si="12"/>
        <v>704</v>
      </c>
      <c r="B22" s="2">
        <v>8</v>
      </c>
      <c r="C22" s="111" t="s">
        <v>788</v>
      </c>
      <c r="D22" s="268" t="str">
        <f>VLOOKUP(C22,Extrusion!B:C,2,0)</f>
        <v>Assy .310</v>
      </c>
      <c r="E22" s="269"/>
      <c r="F22" s="112" t="str">
        <f>VLOOKUP(C22,Extrusion!B:M,6,0)</f>
        <v>BOSCH</v>
      </c>
      <c r="G22" s="112" t="str">
        <f>VLOOKUP(C22,Extrusion!B:M,7,0)</f>
        <v>NULINE</v>
      </c>
      <c r="H22" s="112" t="str">
        <f>VLOOKUP(C22,Extrusion!B:M,8,0)</f>
        <v xml:space="preserve"> </v>
      </c>
      <c r="I22" s="113"/>
      <c r="J22" s="44" t="str">
        <f>VLOOKUP(C22,Extrusion!B:M,9,0)</f>
        <v>N/A</v>
      </c>
      <c r="K22" s="44">
        <f>VLOOKUP(C22,Extrusion!B:M,10,0)</f>
        <v>44894</v>
      </c>
      <c r="L22" s="44">
        <f>VLOOKUP(C22,Extrusion!B:M,11,0)</f>
        <v>44970</v>
      </c>
      <c r="M22" s="44">
        <f>VLOOKUP(C22,Extrusion!B:M,12,0)</f>
        <v>44970</v>
      </c>
      <c r="N22" s="45">
        <f>VLOOKUP(C22,Extrusion!B:N,13,0)</f>
        <v>54598</v>
      </c>
      <c r="O22" s="45" t="e">
        <f t="shared" ca="1" si="10"/>
        <v>#VALUE!</v>
      </c>
      <c r="P22" s="49">
        <f>IFERROR(VLOOKUP(C22,Extrusion!B:F,5,0),"")</f>
        <v>27.891777991666668</v>
      </c>
      <c r="Q22" s="50">
        <f t="shared" si="11"/>
        <v>223.13422393333335</v>
      </c>
    </row>
    <row r="23" spans="1:17" s="2" customFormat="1" ht="12" customHeight="1" thickBot="1">
      <c r="A23" s="4">
        <f t="shared" si="12"/>
        <v>705</v>
      </c>
      <c r="B23" s="2">
        <v>2</v>
      </c>
      <c r="C23" s="111" t="s">
        <v>789</v>
      </c>
      <c r="D23" s="268" t="str">
        <f>VLOOKUP(C23,Extrusion!B:C,2,0)</f>
        <v>Assy .310</v>
      </c>
      <c r="E23" s="269"/>
      <c r="F23" s="112" t="str">
        <f>VLOOKUP(C23,Extrusion!B:M,6,0)</f>
        <v>BOSCH</v>
      </c>
      <c r="G23" s="112" t="str">
        <f>VLOOKUP(C23,Extrusion!B:M,7,0)</f>
        <v>NULINE</v>
      </c>
      <c r="H23" s="112" t="str">
        <f>VLOOKUP(C23,Extrusion!B:M,8,0)</f>
        <v xml:space="preserve"> </v>
      </c>
      <c r="I23" s="113"/>
      <c r="J23" s="44" t="str">
        <f>VLOOKUP(C23,Extrusion!B:M,9,0)</f>
        <v>N/A</v>
      </c>
      <c r="K23" s="44">
        <f>VLOOKUP(C23,Extrusion!B:M,10,0)</f>
        <v>44894</v>
      </c>
      <c r="L23" s="44">
        <f>VLOOKUP(C23,Extrusion!B:M,11,0)</f>
        <v>44970</v>
      </c>
      <c r="M23" s="44">
        <f>VLOOKUP(C23,Extrusion!B:M,12,0)</f>
        <v>44970</v>
      </c>
      <c r="N23" s="45">
        <f>VLOOKUP(C23,Extrusion!B:N,13,0)</f>
        <v>54598</v>
      </c>
      <c r="O23" s="45" t="e">
        <f t="shared" ca="1" si="10"/>
        <v>#VALUE!</v>
      </c>
      <c r="P23" s="49">
        <f>IFERROR(VLOOKUP(C23,Extrusion!B:F,5,0),"")</f>
        <v>46.918115333333333</v>
      </c>
      <c r="Q23" s="50">
        <f t="shared" si="11"/>
        <v>93.836230666666665</v>
      </c>
    </row>
    <row r="24" spans="1:17" s="2" customFormat="1" ht="12.75" customHeight="1" thickBot="1">
      <c r="A24" s="34"/>
      <c r="B24" s="35"/>
      <c r="C24" s="35"/>
      <c r="D24" s="256"/>
      <c r="E24" s="257"/>
      <c r="F24" s="35"/>
      <c r="G24" s="35"/>
      <c r="H24" s="294"/>
      <c r="I24" s="295"/>
      <c r="J24" s="36"/>
      <c r="K24" s="36"/>
      <c r="L24" s="36"/>
      <c r="M24" s="37"/>
      <c r="N24" s="38"/>
      <c r="O24" s="38"/>
      <c r="P24" s="89" t="s">
        <v>43</v>
      </c>
      <c r="Q24" s="94">
        <f>SUM(Q5:Q23)</f>
        <v>5116.3496003913333</v>
      </c>
    </row>
    <row r="25" spans="1:17" s="2" customFormat="1" ht="12" customHeight="1">
      <c r="D25" s="22"/>
      <c r="E25" s="22"/>
      <c r="J25" s="8"/>
      <c r="K25" s="8"/>
      <c r="L25" s="8"/>
      <c r="M25" s="8"/>
      <c r="N25" s="5"/>
      <c r="O25" s="5"/>
      <c r="P25" s="88"/>
      <c r="Q25" s="95"/>
    </row>
    <row r="26" spans="1:17" s="2" customFormat="1" ht="12" customHeight="1">
      <c r="D26" s="22"/>
      <c r="E26" s="22"/>
      <c r="J26" s="5"/>
      <c r="K26" s="5"/>
      <c r="L26" s="5"/>
      <c r="M26" s="5"/>
      <c r="N26" s="5"/>
      <c r="O26" s="5"/>
      <c r="P26" s="88"/>
      <c r="Q26" s="95"/>
    </row>
    <row r="27" spans="1:17" s="2" customFormat="1" ht="12" customHeight="1">
      <c r="D27" s="22"/>
      <c r="E27" s="22"/>
      <c r="J27" s="5"/>
      <c r="K27" s="5"/>
      <c r="L27" s="5"/>
      <c r="M27" s="5"/>
      <c r="N27" s="5"/>
      <c r="O27" s="5"/>
      <c r="P27" s="88"/>
      <c r="Q27" s="95"/>
    </row>
    <row r="28" spans="1:17" s="2" customFormat="1" ht="12" customHeight="1">
      <c r="D28" s="22"/>
      <c r="E28" s="22"/>
      <c r="J28" s="5"/>
      <c r="K28" s="5"/>
      <c r="L28" s="5"/>
      <c r="M28" s="5"/>
      <c r="N28" s="5"/>
      <c r="O28" s="5"/>
      <c r="P28" s="88"/>
      <c r="Q28" s="95"/>
    </row>
    <row r="29" spans="1:17" s="2" customFormat="1" ht="12" customHeight="1">
      <c r="D29" s="22"/>
      <c r="E29" s="22"/>
      <c r="J29" s="5"/>
      <c r="K29" s="5"/>
      <c r="L29" s="5"/>
      <c r="M29" s="5"/>
      <c r="N29" s="5"/>
      <c r="O29" s="5"/>
      <c r="P29" s="88"/>
      <c r="Q29" s="95"/>
    </row>
    <row r="30" spans="1:17" s="2" customFormat="1" ht="12" customHeight="1">
      <c r="D30" s="22"/>
      <c r="E30" s="22"/>
      <c r="J30" s="5"/>
      <c r="K30" s="5"/>
      <c r="L30" s="5"/>
      <c r="M30" s="5"/>
      <c r="N30" s="5"/>
      <c r="O30" s="5"/>
      <c r="P30" s="88"/>
      <c r="Q30" s="95"/>
    </row>
    <row r="31" spans="1:17" s="2" customFormat="1" ht="12" customHeight="1">
      <c r="D31" s="22"/>
      <c r="E31" s="22"/>
      <c r="J31" s="5"/>
      <c r="K31" s="5"/>
      <c r="L31" s="5"/>
      <c r="M31" s="5"/>
      <c r="N31" s="5"/>
      <c r="O31" s="5"/>
      <c r="P31" s="88"/>
      <c r="Q31" s="95"/>
    </row>
    <row r="32" spans="1:17" s="2" customFormat="1" ht="12" customHeight="1">
      <c r="D32" s="22"/>
      <c r="E32" s="22"/>
      <c r="J32" s="5"/>
      <c r="K32" s="5"/>
      <c r="L32" s="5"/>
      <c r="M32" s="5"/>
      <c r="N32" s="5"/>
      <c r="O32" s="5"/>
      <c r="P32" s="88"/>
      <c r="Q32" s="95"/>
    </row>
    <row r="33" spans="4:17" s="2" customFormat="1" ht="12" customHeight="1">
      <c r="D33" s="22"/>
      <c r="E33" s="22"/>
      <c r="J33" s="5"/>
      <c r="K33" s="5"/>
      <c r="L33" s="5"/>
      <c r="M33" s="5"/>
      <c r="N33" s="5"/>
      <c r="O33" s="5"/>
      <c r="P33" s="88"/>
      <c r="Q33" s="95"/>
    </row>
    <row r="34" spans="4:17" s="2" customFormat="1" ht="12" customHeight="1">
      <c r="D34" s="22"/>
      <c r="E34" s="22"/>
      <c r="J34" s="5"/>
      <c r="K34" s="5"/>
      <c r="L34" s="5"/>
      <c r="M34" s="5"/>
      <c r="N34" s="5"/>
      <c r="O34" s="5"/>
      <c r="P34" s="88"/>
      <c r="Q34" s="95"/>
    </row>
    <row r="35" spans="4:17" s="2" customFormat="1" ht="12" customHeight="1">
      <c r="D35" s="22"/>
      <c r="E35" s="22"/>
      <c r="J35" s="5"/>
      <c r="K35" s="5"/>
      <c r="L35" s="5"/>
      <c r="M35" s="5"/>
      <c r="N35" s="5"/>
      <c r="O35" s="5"/>
      <c r="P35" s="88"/>
      <c r="Q35" s="95"/>
    </row>
    <row r="36" spans="4:17" s="2" customFormat="1" ht="12" customHeight="1">
      <c r="D36" s="22"/>
      <c r="E36" s="22"/>
      <c r="J36" s="5"/>
      <c r="K36" s="5"/>
      <c r="L36" s="5"/>
      <c r="M36" s="5"/>
      <c r="N36" s="5"/>
      <c r="O36" s="5"/>
      <c r="P36" s="88"/>
      <c r="Q36" s="95"/>
    </row>
    <row r="37" spans="4:17" s="2" customFormat="1" ht="12" customHeight="1">
      <c r="D37" s="22"/>
      <c r="E37" s="22"/>
      <c r="J37" s="5"/>
      <c r="K37" s="5"/>
      <c r="L37" s="5"/>
      <c r="M37" s="5"/>
      <c r="N37" s="5"/>
      <c r="O37" s="5"/>
      <c r="P37" s="88"/>
      <c r="Q37" s="95"/>
    </row>
    <row r="38" spans="4:17" s="2" customFormat="1" ht="12" customHeight="1">
      <c r="D38" s="22"/>
      <c r="E38" s="22"/>
      <c r="J38" s="5"/>
      <c r="K38" s="5"/>
      <c r="L38" s="5"/>
      <c r="M38" s="5"/>
      <c r="N38" s="5"/>
      <c r="O38" s="5"/>
      <c r="P38" s="88"/>
      <c r="Q38" s="95"/>
    </row>
    <row r="39" spans="4:17" s="2" customFormat="1" ht="12" customHeight="1">
      <c r="D39" s="22"/>
      <c r="E39" s="22"/>
      <c r="J39" s="5"/>
      <c r="K39" s="5"/>
      <c r="L39" s="5"/>
      <c r="M39" s="5"/>
      <c r="N39" s="5"/>
      <c r="O39" s="5"/>
      <c r="P39" s="88"/>
      <c r="Q39" s="95"/>
    </row>
    <row r="40" spans="4:17" s="2" customFormat="1" ht="12" customHeight="1">
      <c r="D40" s="22"/>
      <c r="E40" s="22"/>
      <c r="J40" s="5"/>
      <c r="K40" s="5"/>
      <c r="L40" s="5"/>
      <c r="M40" s="5"/>
      <c r="N40" s="5"/>
      <c r="O40" s="5"/>
      <c r="P40" s="88"/>
      <c r="Q40" s="95"/>
    </row>
    <row r="41" spans="4:17" s="2" customFormat="1" ht="12" customHeight="1">
      <c r="D41" s="22"/>
      <c r="E41" s="22"/>
      <c r="J41" s="5"/>
      <c r="K41" s="5"/>
      <c r="L41" s="5"/>
      <c r="M41" s="5"/>
      <c r="N41" s="5"/>
      <c r="O41" s="5"/>
      <c r="P41" s="88"/>
      <c r="Q41" s="95"/>
    </row>
    <row r="42" spans="4:17" s="2" customFormat="1" ht="12" customHeight="1">
      <c r="D42" s="22"/>
      <c r="E42" s="22"/>
      <c r="J42" s="5"/>
      <c r="K42" s="5"/>
      <c r="L42" s="5"/>
      <c r="M42" s="5"/>
      <c r="N42" s="5"/>
      <c r="O42" s="5"/>
      <c r="P42" s="88"/>
      <c r="Q42" s="95"/>
    </row>
    <row r="43" spans="4:17" s="2" customFormat="1" ht="12" customHeight="1">
      <c r="D43" s="22"/>
      <c r="E43" s="22"/>
      <c r="J43" s="5"/>
      <c r="K43" s="5"/>
      <c r="L43" s="5"/>
      <c r="M43" s="5"/>
      <c r="N43" s="5"/>
      <c r="O43" s="5"/>
      <c r="P43" s="88"/>
      <c r="Q43" s="95"/>
    </row>
    <row r="44" spans="4:17" s="2" customFormat="1" ht="12" customHeight="1">
      <c r="D44" s="22"/>
      <c r="E44" s="22"/>
      <c r="J44" s="5"/>
      <c r="K44" s="5"/>
      <c r="L44" s="5"/>
      <c r="M44" s="5"/>
      <c r="N44" s="5"/>
      <c r="O44" s="5"/>
      <c r="P44" s="88"/>
      <c r="Q44" s="95"/>
    </row>
    <row r="45" spans="4:17" s="2" customFormat="1" ht="12" customHeight="1">
      <c r="D45" s="22"/>
      <c r="E45" s="22"/>
      <c r="J45" s="5"/>
      <c r="K45" s="5"/>
      <c r="L45" s="5"/>
      <c r="M45" s="5"/>
      <c r="N45" s="5"/>
      <c r="O45" s="5"/>
      <c r="P45" s="88"/>
      <c r="Q45" s="95"/>
    </row>
    <row r="46" spans="4:17" s="2" customFormat="1" ht="12" customHeight="1">
      <c r="D46" s="22"/>
      <c r="E46" s="22"/>
      <c r="J46" s="5"/>
      <c r="K46" s="5"/>
      <c r="L46" s="5"/>
      <c r="M46" s="5"/>
      <c r="N46" s="5"/>
      <c r="O46" s="5"/>
      <c r="P46" s="88"/>
      <c r="Q46" s="95"/>
    </row>
    <row r="47" spans="4:17" s="2" customFormat="1" ht="12" customHeight="1">
      <c r="D47" s="22"/>
      <c r="E47" s="22"/>
      <c r="J47" s="5"/>
      <c r="K47" s="5"/>
      <c r="L47" s="5"/>
      <c r="M47" s="5"/>
      <c r="N47" s="5"/>
      <c r="O47" s="5"/>
      <c r="P47" s="88"/>
      <c r="Q47" s="95"/>
    </row>
    <row r="48" spans="4:17" s="2" customFormat="1" ht="12" customHeight="1">
      <c r="D48" s="22"/>
      <c r="E48" s="22"/>
      <c r="J48" s="5"/>
      <c r="K48" s="5"/>
      <c r="L48" s="5"/>
      <c r="M48" s="5"/>
      <c r="N48" s="5"/>
      <c r="O48" s="5"/>
      <c r="P48" s="88"/>
      <c r="Q48" s="95"/>
    </row>
    <row r="49" spans="4:17" s="2" customFormat="1" ht="12" customHeight="1">
      <c r="D49" s="22"/>
      <c r="E49" s="22"/>
      <c r="J49" s="5"/>
      <c r="K49" s="5"/>
      <c r="L49" s="5"/>
      <c r="M49" s="5"/>
      <c r="N49" s="5"/>
      <c r="O49" s="5"/>
      <c r="P49" s="88"/>
      <c r="Q49" s="95"/>
    </row>
    <row r="50" spans="4:17" s="2" customFormat="1" ht="12" customHeight="1">
      <c r="D50" s="22"/>
      <c r="E50" s="22"/>
      <c r="J50" s="5"/>
      <c r="K50" s="5"/>
      <c r="L50" s="5"/>
      <c r="M50" s="5"/>
      <c r="N50" s="5"/>
      <c r="O50" s="5"/>
      <c r="P50" s="88"/>
      <c r="Q50" s="95"/>
    </row>
    <row r="51" spans="4:17" s="2" customFormat="1" ht="12" customHeight="1">
      <c r="D51" s="22"/>
      <c r="E51" s="22"/>
      <c r="J51" s="5"/>
      <c r="K51" s="5"/>
      <c r="L51" s="5"/>
      <c r="M51" s="5"/>
      <c r="N51" s="5"/>
      <c r="O51" s="5"/>
      <c r="P51" s="88"/>
      <c r="Q51" s="95"/>
    </row>
    <row r="52" spans="4:17" s="2" customFormat="1" ht="12" customHeight="1">
      <c r="D52" s="22"/>
      <c r="E52" s="22"/>
      <c r="J52" s="5"/>
      <c r="K52" s="5"/>
      <c r="L52" s="5"/>
      <c r="M52" s="5"/>
      <c r="N52" s="5"/>
      <c r="O52" s="5"/>
      <c r="P52" s="88"/>
      <c r="Q52" s="95"/>
    </row>
    <row r="53" spans="4:17" s="2" customFormat="1" ht="12" customHeight="1">
      <c r="D53" s="22"/>
      <c r="E53" s="22"/>
      <c r="J53" s="5"/>
      <c r="K53" s="5"/>
      <c r="L53" s="5"/>
      <c r="M53" s="5"/>
      <c r="N53" s="5"/>
      <c r="O53" s="5"/>
      <c r="P53" s="88"/>
      <c r="Q53" s="95"/>
    </row>
    <row r="54" spans="4:17" s="2" customFormat="1" ht="12" customHeight="1">
      <c r="D54" s="22"/>
      <c r="E54" s="22"/>
      <c r="J54" s="5"/>
      <c r="K54" s="5"/>
      <c r="L54" s="5"/>
      <c r="M54" s="5"/>
      <c r="N54" s="5"/>
      <c r="O54" s="5"/>
      <c r="P54" s="88"/>
      <c r="Q54" s="95"/>
    </row>
    <row r="55" spans="4:17" s="2" customFormat="1" ht="12" customHeight="1">
      <c r="D55" s="22"/>
      <c r="E55" s="22"/>
      <c r="J55" s="5"/>
      <c r="K55" s="5"/>
      <c r="L55" s="5"/>
      <c r="M55" s="5"/>
      <c r="N55" s="5"/>
      <c r="O55" s="5"/>
      <c r="P55" s="88"/>
      <c r="Q55" s="95"/>
    </row>
    <row r="56" spans="4:17" s="2" customFormat="1" ht="12" customHeight="1">
      <c r="D56" s="22"/>
      <c r="E56" s="22"/>
      <c r="J56" s="5"/>
      <c r="K56" s="5"/>
      <c r="L56" s="5"/>
      <c r="M56" s="5"/>
      <c r="N56" s="5"/>
      <c r="O56" s="5"/>
      <c r="P56" s="88"/>
      <c r="Q56" s="95"/>
    </row>
    <row r="57" spans="4:17" s="2" customFormat="1" ht="12" customHeight="1">
      <c r="D57" s="22"/>
      <c r="E57" s="22"/>
      <c r="J57" s="5"/>
      <c r="K57" s="5"/>
      <c r="L57" s="5"/>
      <c r="M57" s="5"/>
      <c r="N57" s="5"/>
      <c r="O57" s="5"/>
      <c r="P57" s="88"/>
      <c r="Q57" s="95"/>
    </row>
    <row r="58" spans="4:17" s="2" customFormat="1" ht="12" customHeight="1">
      <c r="D58" s="22"/>
      <c r="E58" s="22"/>
      <c r="J58" s="5"/>
      <c r="K58" s="5"/>
      <c r="L58" s="5"/>
      <c r="M58" s="5"/>
      <c r="N58" s="5"/>
      <c r="O58" s="5"/>
      <c r="P58" s="88"/>
      <c r="Q58" s="95"/>
    </row>
    <row r="59" spans="4:17" s="2" customFormat="1" ht="12" customHeight="1">
      <c r="D59" s="22"/>
      <c r="E59" s="22"/>
      <c r="J59" s="5"/>
      <c r="K59" s="5"/>
      <c r="L59" s="5"/>
      <c r="M59" s="5"/>
      <c r="N59" s="5"/>
      <c r="O59" s="5"/>
      <c r="P59" s="88"/>
      <c r="Q59" s="95"/>
    </row>
    <row r="60" spans="4:17" s="2" customFormat="1" ht="12" customHeight="1">
      <c r="D60" s="22"/>
      <c r="E60" s="22"/>
      <c r="J60" s="5"/>
      <c r="K60" s="5"/>
      <c r="L60" s="5"/>
      <c r="M60" s="5"/>
      <c r="N60" s="5"/>
      <c r="O60" s="5"/>
      <c r="P60" s="88"/>
      <c r="Q60" s="95"/>
    </row>
    <row r="61" spans="4:17" s="2" customFormat="1" ht="12" customHeight="1">
      <c r="D61" s="22"/>
      <c r="E61" s="22"/>
      <c r="J61" s="5"/>
      <c r="K61" s="5"/>
      <c r="L61" s="5"/>
      <c r="M61" s="5"/>
      <c r="N61" s="5"/>
      <c r="O61" s="5"/>
      <c r="P61" s="88"/>
      <c r="Q61" s="95"/>
    </row>
    <row r="62" spans="4:17" s="2" customFormat="1" ht="12" customHeight="1">
      <c r="D62" s="22"/>
      <c r="E62" s="22"/>
      <c r="J62" s="5"/>
      <c r="K62" s="5"/>
      <c r="L62" s="5"/>
      <c r="M62" s="5"/>
      <c r="N62" s="5"/>
      <c r="O62" s="5"/>
      <c r="P62" s="88"/>
      <c r="Q62" s="95"/>
    </row>
    <row r="63" spans="4:17" s="2" customFormat="1" ht="12" customHeight="1">
      <c r="D63" s="22"/>
      <c r="E63" s="22"/>
      <c r="J63" s="5"/>
      <c r="K63" s="5"/>
      <c r="L63" s="5"/>
      <c r="M63" s="5"/>
      <c r="N63" s="5"/>
      <c r="O63" s="5"/>
      <c r="P63" s="88"/>
      <c r="Q63" s="96"/>
    </row>
    <row r="64" spans="4:17" s="2" customFormat="1" ht="12" customHeight="1">
      <c r="D64" s="22"/>
      <c r="E64" s="22"/>
      <c r="J64" s="5"/>
      <c r="K64" s="5"/>
      <c r="L64" s="5"/>
      <c r="M64" s="5"/>
      <c r="N64" s="5"/>
      <c r="O64" s="5"/>
      <c r="P64" s="88"/>
      <c r="Q64" s="96"/>
    </row>
    <row r="65" spans="1:17" s="2" customFormat="1" ht="12" customHeight="1">
      <c r="D65" s="22"/>
      <c r="E65" s="22"/>
      <c r="J65" s="5"/>
      <c r="K65" s="5"/>
      <c r="L65" s="5"/>
      <c r="M65" s="5"/>
      <c r="N65" s="5"/>
      <c r="O65" s="5"/>
      <c r="P65" s="88"/>
      <c r="Q65" s="96"/>
    </row>
    <row r="66" spans="1:17" s="2" customFormat="1" ht="12" customHeight="1">
      <c r="D66" s="22"/>
      <c r="E66" s="22"/>
      <c r="J66" s="5"/>
      <c r="K66" s="5"/>
      <c r="L66" s="5"/>
      <c r="M66" s="5"/>
      <c r="N66" s="5"/>
      <c r="O66" s="5"/>
      <c r="P66" s="88"/>
      <c r="Q66" s="96"/>
    </row>
    <row r="67" spans="1:17" s="2" customFormat="1" ht="12" customHeight="1">
      <c r="A67"/>
      <c r="B67"/>
      <c r="C67"/>
      <c r="D67" s="23"/>
      <c r="E67" s="23"/>
      <c r="F67"/>
      <c r="G67"/>
      <c r="H67"/>
      <c r="I67"/>
      <c r="J67" s="19"/>
      <c r="K67" s="19"/>
      <c r="L67" s="19"/>
      <c r="M67" s="19"/>
      <c r="N67" s="19"/>
      <c r="O67" s="19"/>
      <c r="P67" s="90"/>
      <c r="Q67" s="96"/>
    </row>
    <row r="68" spans="1:17" s="2" customFormat="1" ht="12" customHeight="1">
      <c r="A68"/>
      <c r="B68"/>
      <c r="C68"/>
      <c r="D68" s="23"/>
      <c r="E68" s="23"/>
      <c r="F68"/>
      <c r="G68"/>
      <c r="H68"/>
      <c r="I68"/>
      <c r="J68" s="19"/>
      <c r="K68" s="19"/>
      <c r="L68" s="19"/>
      <c r="M68" s="19"/>
      <c r="N68" s="19"/>
      <c r="O68" s="19"/>
      <c r="P68" s="90"/>
      <c r="Q68" s="96"/>
    </row>
    <row r="69" spans="1:17" s="2" customFormat="1" ht="12" customHeight="1">
      <c r="A69"/>
      <c r="B69"/>
      <c r="C69"/>
      <c r="D69" s="23"/>
      <c r="E69" s="23"/>
      <c r="F69"/>
      <c r="G69"/>
      <c r="H69"/>
      <c r="I69"/>
      <c r="J69" s="19"/>
      <c r="K69" s="19"/>
      <c r="L69" s="19"/>
      <c r="M69" s="19"/>
      <c r="N69" s="19"/>
      <c r="O69" s="19"/>
      <c r="P69" s="90"/>
      <c r="Q69" s="96"/>
    </row>
    <row r="70" spans="1:17" s="2" customFormat="1" ht="12" customHeight="1">
      <c r="A70"/>
      <c r="B70"/>
      <c r="C70"/>
      <c r="D70" s="23"/>
      <c r="E70" s="23"/>
      <c r="F70"/>
      <c r="G70"/>
      <c r="H70"/>
      <c r="I70"/>
      <c r="J70" s="19"/>
      <c r="K70" s="19"/>
      <c r="L70" s="19"/>
      <c r="M70" s="19"/>
      <c r="N70" s="19"/>
      <c r="O70" s="19"/>
      <c r="P70" s="90"/>
      <c r="Q70" s="96"/>
    </row>
    <row r="71" spans="1:17" s="2" customFormat="1" ht="12" customHeight="1">
      <c r="A71"/>
      <c r="B71"/>
      <c r="C71"/>
      <c r="D71" s="23"/>
      <c r="E71" s="23"/>
      <c r="F71"/>
      <c r="G71"/>
      <c r="H71"/>
      <c r="I71"/>
      <c r="J71" s="19"/>
      <c r="K71" s="19"/>
      <c r="L71" s="19"/>
      <c r="M71" s="19"/>
      <c r="N71" s="19"/>
      <c r="O71" s="19"/>
      <c r="P71" s="90"/>
      <c r="Q71" s="96"/>
    </row>
    <row r="72" spans="1:17">
      <c r="Q72" s="96"/>
    </row>
    <row r="73" spans="1:17">
      <c r="Q73" s="96"/>
    </row>
    <row r="74" spans="1:17">
      <c r="Q74" s="96"/>
    </row>
    <row r="75" spans="1:17">
      <c r="Q75" s="96"/>
    </row>
    <row r="76" spans="1:17">
      <c r="Q76" s="96"/>
    </row>
    <row r="77" spans="1:17">
      <c r="Q77" s="96"/>
    </row>
    <row r="78" spans="1:17">
      <c r="Q78" s="96"/>
    </row>
    <row r="79" spans="1:17">
      <c r="Q79" s="96"/>
    </row>
    <row r="80" spans="1:17">
      <c r="Q80" s="96"/>
    </row>
    <row r="81" spans="17:17">
      <c r="Q81" s="96"/>
    </row>
    <row r="82" spans="17:17">
      <c r="Q82" s="96"/>
    </row>
    <row r="83" spans="17:17">
      <c r="Q83" s="96"/>
    </row>
    <row r="84" spans="17:17">
      <c r="Q84" s="96"/>
    </row>
    <row r="85" spans="17:17">
      <c r="Q85" s="96"/>
    </row>
    <row r="86" spans="17:17">
      <c r="Q86" s="96"/>
    </row>
    <row r="87" spans="17:17">
      <c r="Q87" s="96"/>
    </row>
    <row r="88" spans="17:17">
      <c r="Q88" s="96"/>
    </row>
    <row r="89" spans="17:17">
      <c r="Q89" s="96"/>
    </row>
    <row r="90" spans="17:17">
      <c r="Q90" s="96"/>
    </row>
    <row r="91" spans="17:17">
      <c r="Q91" s="96"/>
    </row>
    <row r="128" ht="12" customHeight="1"/>
    <row r="129" ht="12" customHeight="1"/>
    <row r="130" ht="12" customHeight="1"/>
    <row r="131" ht="12" customHeight="1"/>
    <row r="132" ht="12" customHeight="1"/>
    <row r="133" ht="12" customHeight="1"/>
    <row r="134" ht="12" customHeight="1"/>
    <row r="135" ht="12" customHeight="1"/>
    <row r="136" ht="12" customHeight="1"/>
    <row r="137" ht="12" customHeight="1"/>
    <row r="138" ht="12" customHeight="1"/>
    <row r="139" ht="12" customHeight="1"/>
    <row r="140" ht="12" customHeight="1"/>
    <row r="141" ht="12" customHeight="1"/>
    <row r="142" ht="12" customHeight="1"/>
    <row r="143" ht="12" customHeight="1"/>
    <row r="144" ht="12" customHeight="1"/>
    <row r="145" ht="12" customHeight="1"/>
    <row r="146" ht="12" customHeight="1"/>
    <row r="147" ht="12" customHeight="1"/>
    <row r="148" ht="12" customHeight="1"/>
    <row r="149" ht="12" customHeight="1"/>
    <row r="150" ht="12" customHeight="1"/>
    <row r="151" ht="12" customHeight="1"/>
    <row r="152" ht="12" customHeight="1"/>
    <row r="153" ht="12" customHeight="1"/>
    <row r="154" ht="12" customHeight="1"/>
    <row r="155" ht="12" customHeight="1"/>
    <row r="156" ht="12" customHeight="1"/>
    <row r="157" ht="12" customHeight="1"/>
    <row r="158" ht="12" customHeight="1"/>
    <row r="159" ht="12" customHeight="1"/>
    <row r="160" ht="12" customHeight="1"/>
    <row r="161" ht="12" customHeight="1"/>
    <row r="162" ht="12" customHeight="1"/>
    <row r="163" ht="12" customHeight="1"/>
    <row r="164" ht="12" customHeight="1"/>
    <row r="165" ht="12" customHeight="1"/>
    <row r="166" ht="12" customHeight="1"/>
    <row r="167" ht="12" customHeight="1"/>
    <row r="168" ht="12" customHeight="1"/>
    <row r="169" ht="12" customHeight="1"/>
    <row r="170" ht="12" customHeight="1"/>
    <row r="171" ht="12" customHeight="1"/>
    <row r="172" ht="12" customHeight="1"/>
    <row r="173" ht="12" customHeight="1"/>
    <row r="174" ht="12" customHeight="1"/>
    <row r="175" ht="12" customHeight="1"/>
    <row r="176" ht="12" customHeight="1"/>
    <row r="177" ht="12" customHeight="1"/>
  </sheetData>
  <mergeCells count="29">
    <mergeCell ref="D23:E23"/>
    <mergeCell ref="D24:E24"/>
    <mergeCell ref="H24:I24"/>
    <mergeCell ref="D18:E18"/>
    <mergeCell ref="H18:I18"/>
    <mergeCell ref="D19:E19"/>
    <mergeCell ref="D20:E20"/>
    <mergeCell ref="D21:E21"/>
    <mergeCell ref="D22:E22"/>
    <mergeCell ref="D14:E14"/>
    <mergeCell ref="H15:I15"/>
    <mergeCell ref="D16:E16"/>
    <mergeCell ref="D17:E17"/>
    <mergeCell ref="D15:E15"/>
    <mergeCell ref="D9:E9"/>
    <mergeCell ref="D10:E10"/>
    <mergeCell ref="D11:E11"/>
    <mergeCell ref="D12:E12"/>
    <mergeCell ref="D13:E13"/>
    <mergeCell ref="D7:E7"/>
    <mergeCell ref="D6:E6"/>
    <mergeCell ref="H6:I6"/>
    <mergeCell ref="D8:E8"/>
    <mergeCell ref="H8:I8"/>
    <mergeCell ref="D1:E1"/>
    <mergeCell ref="D4:E4"/>
    <mergeCell ref="H4:I4"/>
    <mergeCell ref="D5:E5"/>
    <mergeCell ref="H5:I5"/>
  </mergeCells>
  <conditionalFormatting sqref="M7 M9:M14 M16:M17 M19:M23">
    <cfRule type="cellIs" dxfId="380" priority="3" stopIfTrue="1" operator="lessThanOrEqual">
      <formula>$L7</formula>
    </cfRule>
    <cfRule type="cellIs" dxfId="379" priority="4" operator="greaterThan">
      <formula>L7</formula>
    </cfRule>
  </conditionalFormatting>
  <pageMargins left="0.7" right="0.7" top="0.75" bottom="0.75" header="0.3" footer="0.3"/>
  <pageSetup paperSize="3" fitToHeight="0" orientation="landscape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disablePrompts="1" count="5">
        <x14:dataValidation type="list" allowBlank="1" showInputMessage="1" showErrorMessage="1" xr:uid="{7F29DC8B-4EBC-4153-B9D7-AF9D2265D084}">
          <x14:formula1>
            <xm:f>Bolts!$A:$A</xm:f>
          </x14:formula1>
          <xm:sqref>C16:C17</xm:sqref>
        </x14:dataValidation>
        <x14:dataValidation type="list" allowBlank="1" showInputMessage="1" showErrorMessage="1" xr:uid="{296C9443-722A-42A5-AB75-E478CEF72B98}">
          <x14:formula1>
            <xm:f>Assemblies!$E:$E</xm:f>
          </x14:formula1>
          <xm:sqref>C5</xm:sqref>
        </x14:dataValidation>
        <x14:dataValidation type="list" allowBlank="1" showInputMessage="1" showErrorMessage="1" xr:uid="{619BF5EE-4AFD-4AD9-8135-18FCA3E24983}">
          <x14:formula1>
            <xm:f>Purchased!$A:$A</xm:f>
          </x14:formula1>
          <xm:sqref>C9:C14</xm:sqref>
        </x14:dataValidation>
        <x14:dataValidation type="list" allowBlank="1" showInputMessage="1" showErrorMessage="1" xr:uid="{A9465669-AFA7-4452-BA07-BBB955B67531}">
          <x14:formula1>
            <xm:f>Extrusion!$B:$B</xm:f>
          </x14:formula1>
          <xm:sqref>C19:C23</xm:sqref>
        </x14:dataValidation>
        <x14:dataValidation type="list" allowBlank="1" showInputMessage="1" showErrorMessage="1" xr:uid="{FF5DC238-04E8-4835-A43E-3AC172D9CE17}">
          <x14:formula1>
            <xm:f>Machined!$C:$C</xm:f>
          </x14:formula1>
          <xm:sqref>C7</xm:sqref>
        </x14:dataValidation>
      </x14:dataValidations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E1EA40-869B-4778-A67D-41A77A4DC63B}">
  <sheetPr codeName="Sheet71">
    <tabColor theme="3" tint="0.79998168889431442"/>
    <pageSetUpPr fitToPage="1"/>
  </sheetPr>
  <dimension ref="A1:Q163"/>
  <sheetViews>
    <sheetView zoomScaleNormal="100" workbookViewId="0">
      <selection activeCell="C43" sqref="C43"/>
    </sheetView>
  </sheetViews>
  <sheetFormatPr defaultColWidth="9.140625" defaultRowHeight="15"/>
  <cols>
    <col min="1" max="1" width="5.7109375" customWidth="1"/>
    <col min="2" max="2" width="5.42578125" bestFit="1" customWidth="1"/>
    <col min="3" max="3" width="30.7109375" customWidth="1"/>
    <col min="4" max="5" width="20.7109375" style="23" customWidth="1"/>
    <col min="6" max="6" width="16.85546875" bestFit="1" customWidth="1"/>
    <col min="7" max="7" width="9.7109375" customWidth="1"/>
    <col min="8" max="8" width="8.7109375" customWidth="1"/>
    <col min="9" max="9" width="20.7109375" customWidth="1"/>
    <col min="10" max="13" width="11.7109375" style="19" customWidth="1"/>
    <col min="14" max="14" width="11.85546875" style="19" bestFit="1" customWidth="1"/>
    <col min="15" max="15" width="7.7109375" style="19" customWidth="1"/>
    <col min="16" max="16" width="10.7109375" style="90" customWidth="1"/>
    <col min="17" max="17" width="10.7109375" style="97" customWidth="1"/>
  </cols>
  <sheetData>
    <row r="1" spans="1:17" s="55" customFormat="1" ht="12" customHeight="1">
      <c r="A1" s="68" t="s">
        <v>0</v>
      </c>
      <c r="B1" s="69"/>
      <c r="C1" s="69"/>
      <c r="D1" s="262" t="s">
        <v>1</v>
      </c>
      <c r="E1" s="263"/>
      <c r="F1" s="70"/>
      <c r="G1" s="69"/>
      <c r="H1" s="70"/>
      <c r="I1" s="71"/>
      <c r="J1" s="72"/>
      <c r="K1" s="72"/>
      <c r="L1" s="72"/>
      <c r="M1" s="72"/>
      <c r="N1" s="72"/>
      <c r="O1" s="72"/>
      <c r="P1" s="85"/>
      <c r="Q1" s="91"/>
    </row>
    <row r="2" spans="1:17" s="55" customFormat="1" ht="12" customHeight="1">
      <c r="A2" s="74" t="s">
        <v>48</v>
      </c>
      <c r="B2" s="58"/>
      <c r="C2" s="57" t="e">
        <f ca="1">VLOOKUP(E3,Assemblies!B:F,4,0)</f>
        <v>#VALUE!</v>
      </c>
      <c r="D2" s="75" t="s">
        <v>3</v>
      </c>
      <c r="E2" s="76" t="e">
        <f ca="1">'GF12'!E2</f>
        <v>#VALUE!</v>
      </c>
      <c r="F2" s="77" t="s">
        <v>4</v>
      </c>
      <c r="G2" s="58" t="str">
        <f>'GF12'!G2</f>
        <v>GH</v>
      </c>
      <c r="H2" s="77" t="s">
        <v>6</v>
      </c>
      <c r="I2" s="59">
        <f>'GF12'!I2</f>
        <v>44775</v>
      </c>
      <c r="J2" s="39"/>
      <c r="K2" s="40" t="s">
        <v>49</v>
      </c>
      <c r="L2" s="41" t="e">
        <f ca="1">VLOOKUP(C2,Assemblies!E:G,3,0)</f>
        <v>#VALUE!</v>
      </c>
      <c r="M2" s="78"/>
      <c r="N2" s="78"/>
      <c r="O2" s="78"/>
      <c r="P2" s="86"/>
      <c r="Q2" s="92"/>
    </row>
    <row r="3" spans="1:17" s="55" customFormat="1" ht="12" customHeight="1" thickBot="1">
      <c r="A3" s="74" t="s">
        <v>7</v>
      </c>
      <c r="B3" s="58"/>
      <c r="C3" s="57" t="e">
        <f ca="1">VLOOKUP(E3,Assemblies!B:F,5,0)</f>
        <v>#VALUE!</v>
      </c>
      <c r="D3" s="75" t="s">
        <v>50</v>
      </c>
      <c r="E3" s="76" t="e">
        <f ca="1">MID(CELL("filename",A1),FIND("]",CELL("filename",A1))+1,256)</f>
        <v>#VALUE!</v>
      </c>
      <c r="F3" s="77" t="s">
        <v>11</v>
      </c>
      <c r="G3" s="58" t="str">
        <f>'GF12'!G3</f>
        <v>GH</v>
      </c>
      <c r="H3" s="77" t="s">
        <v>6</v>
      </c>
      <c r="I3" s="59">
        <f>'GF12'!I3</f>
        <v>44775</v>
      </c>
      <c r="J3" s="78"/>
      <c r="K3" s="78"/>
      <c r="L3" s="78"/>
      <c r="M3" s="78"/>
      <c r="N3" s="78"/>
      <c r="O3" s="78"/>
      <c r="P3" s="86"/>
      <c r="Q3" s="92"/>
    </row>
    <row r="4" spans="1:17" s="56" customFormat="1" ht="12.75" customHeight="1" thickBot="1">
      <c r="A4" s="80" t="s">
        <v>12</v>
      </c>
      <c r="B4" s="81" t="s">
        <v>13</v>
      </c>
      <c r="C4" s="81" t="s">
        <v>14</v>
      </c>
      <c r="D4" s="270" t="s">
        <v>15</v>
      </c>
      <c r="E4" s="271"/>
      <c r="F4" s="104" t="s">
        <v>16</v>
      </c>
      <c r="G4" s="81" t="s">
        <v>17</v>
      </c>
      <c r="H4" s="260" t="s">
        <v>18</v>
      </c>
      <c r="I4" s="261"/>
      <c r="J4" s="81" t="s">
        <v>51</v>
      </c>
      <c r="K4" s="81" t="s">
        <v>20</v>
      </c>
      <c r="L4" s="81" t="s">
        <v>21</v>
      </c>
      <c r="M4" s="81" t="s">
        <v>52</v>
      </c>
      <c r="N4" s="81" t="s">
        <v>22</v>
      </c>
      <c r="O4" s="81" t="s">
        <v>53</v>
      </c>
      <c r="P4" s="107" t="s">
        <v>26</v>
      </c>
      <c r="Q4" s="82" t="s">
        <v>27</v>
      </c>
    </row>
    <row r="5" spans="1:17" s="2" customFormat="1" ht="12.75" customHeight="1">
      <c r="A5" s="127">
        <v>1</v>
      </c>
      <c r="B5" s="21">
        <v>1</v>
      </c>
      <c r="C5" s="108" t="s">
        <v>790</v>
      </c>
      <c r="D5" s="277" t="str">
        <f>VLOOKUP(C5,Machined!C:Q,2,0)</f>
        <v>BRX 3842511352 90X90L M12 Foot Mount Plate</v>
      </c>
      <c r="E5" s="278"/>
      <c r="F5" s="131" t="str">
        <f>VLOOKUP(C5,Machined!C:R,7,0)</f>
        <v>Big Sky</v>
      </c>
      <c r="G5" s="131" t="str">
        <f>VLOOKUP(C5,Machined!C:R,10,0)</f>
        <v>Big Sky</v>
      </c>
      <c r="H5" s="131" t="str">
        <f>VLOOKUP(C5,Machined!C:R,11,0)</f>
        <v xml:space="preserve">  </v>
      </c>
      <c r="I5" s="131"/>
      <c r="J5" s="42">
        <f>VLOOKUP(C5,Machined!C:R,12,0)</f>
        <v>45084</v>
      </c>
      <c r="K5" s="42">
        <f>VLOOKUP(C5,Machined!C:R,13,0)</f>
        <v>45084</v>
      </c>
      <c r="L5" s="42">
        <f>VLOOKUP(C5,Machined!C:R,14,0)</f>
        <v>45093</v>
      </c>
      <c r="M5" s="42">
        <f>VLOOKUP(C5,Machined!C:R,15,0)</f>
        <v>45093</v>
      </c>
      <c r="N5" s="43">
        <f>VLOOKUP(C5,Machined!C:R,16,0)</f>
        <v>54923</v>
      </c>
      <c r="O5" s="43" t="e">
        <f t="shared" ref="O5" ca="1" si="0">B5*$L$2</f>
        <v>#VALUE!</v>
      </c>
      <c r="P5" s="47">
        <f>IFERROR(VLOOKUP(C5,Machined!C:F,3,0),"")</f>
        <v>38.5</v>
      </c>
      <c r="Q5" s="48">
        <f t="shared" ref="Q5" si="1">IFERROR(B5*P5,"")</f>
        <v>38.5</v>
      </c>
    </row>
    <row r="6" spans="1:17" s="2" customFormat="1" ht="12.75" customHeight="1">
      <c r="A6" s="143"/>
      <c r="B6" s="26"/>
      <c r="C6" s="26"/>
      <c r="D6" s="272"/>
      <c r="E6" s="273"/>
      <c r="F6" s="26"/>
      <c r="G6" s="26"/>
      <c r="H6" s="274"/>
      <c r="I6" s="275"/>
      <c r="J6" s="27"/>
      <c r="K6" s="27"/>
      <c r="L6" s="27"/>
      <c r="M6" s="28"/>
      <c r="N6" s="29"/>
      <c r="O6" s="29"/>
      <c r="P6" s="141"/>
      <c r="Q6" s="142"/>
    </row>
    <row r="7" spans="1:17" s="2" customFormat="1" ht="12.75" customHeight="1">
      <c r="A7" s="4">
        <v>301</v>
      </c>
      <c r="B7" s="2">
        <v>1</v>
      </c>
      <c r="C7" s="114" t="s">
        <v>255</v>
      </c>
      <c r="D7" s="268" t="str">
        <f>VLOOKUP(C7,Purchased!A:B,2,0)</f>
        <v>ELESA LMR.F-80-AS-M16x125</v>
      </c>
      <c r="E7" s="269"/>
      <c r="F7" s="112" t="str">
        <f>VLOOKUP(C7,Purchased!A:Q,9,0)</f>
        <v>ELESA</v>
      </c>
      <c r="G7" s="112" t="str">
        <f>VLOOKUP(C7,Purchased!A:Q,10,0)</f>
        <v>ELESA</v>
      </c>
      <c r="H7" s="112" t="str">
        <f>VLOOKUP(C7,Purchased!A:Q,12,0)</f>
        <v xml:space="preserve"> </v>
      </c>
      <c r="I7" s="113"/>
      <c r="J7" s="44">
        <f>VLOOKUP(C7,Purchased!A:Q,13,0)</f>
        <v>45083</v>
      </c>
      <c r="K7" s="44">
        <f>VLOOKUP(C7,Purchased!A:Q,14,0)</f>
        <v>45084</v>
      </c>
      <c r="L7" s="44">
        <f>VLOOKUP(C7,Purchased!A:Q,15,0)</f>
        <v>45168</v>
      </c>
      <c r="M7" s="44">
        <f>VLOOKUP(C7,Purchased!A:Q,16,0)</f>
        <v>45168</v>
      </c>
      <c r="N7" s="45" t="str">
        <f>VLOOKUP(C7,Purchased!A:Q,17,0)</f>
        <v>42x54922, 8x55056</v>
      </c>
      <c r="O7" s="45" t="e">
        <f t="shared" ref="O7:O9" ca="1" si="2">B7*$L$2</f>
        <v>#VALUE!</v>
      </c>
      <c r="P7" s="49">
        <f>IFERROR(VLOOKUP(C7,Purchased!A:E,3,FALSE),"")</f>
        <v>20.38</v>
      </c>
      <c r="Q7" s="50">
        <f t="shared" ref="Q7" si="3">IFERROR(B7*P7,"")</f>
        <v>20.38</v>
      </c>
    </row>
    <row r="8" spans="1:17" s="2" customFormat="1" ht="12.75" customHeight="1">
      <c r="A8" s="25"/>
      <c r="B8" s="26"/>
      <c r="C8" s="26"/>
      <c r="D8" s="272"/>
      <c r="E8" s="273"/>
      <c r="F8" s="26"/>
      <c r="G8" s="26"/>
      <c r="H8" s="274"/>
      <c r="I8" s="275"/>
      <c r="J8" s="27"/>
      <c r="K8" s="27"/>
      <c r="L8" s="27"/>
      <c r="M8" s="28"/>
      <c r="N8" s="29"/>
      <c r="O8" s="29" t="e">
        <f t="shared" ca="1" si="2"/>
        <v>#VALUE!</v>
      </c>
      <c r="P8" s="141"/>
      <c r="Q8" s="142"/>
    </row>
    <row r="9" spans="1:17" s="2" customFormat="1" ht="12.75" customHeight="1" thickBot="1">
      <c r="A9" s="4">
        <v>501</v>
      </c>
      <c r="B9" s="2">
        <v>4</v>
      </c>
      <c r="C9" s="110" t="s">
        <v>658</v>
      </c>
      <c r="D9" s="268"/>
      <c r="E9" s="276"/>
      <c r="F9" s="112" t="str">
        <f>VLOOKUP(C9,Bolts!A:L,5,0)</f>
        <v xml:space="preserve">  </v>
      </c>
      <c r="G9" s="112" t="str">
        <f>VLOOKUP(C9,Bolts!A:L,6,0)</f>
        <v>Monroe Fasteners</v>
      </c>
      <c r="H9" s="112" t="str">
        <f>VLOOKUP(C9,Bolts!A:L,7,0)</f>
        <v xml:space="preserve">  </v>
      </c>
      <c r="I9" s="112"/>
      <c r="J9" s="44" t="str">
        <f>VLOOKUP(C9,Bolts!A:L,8,0)</f>
        <v xml:space="preserve"> </v>
      </c>
      <c r="K9" s="44" t="str">
        <f>VLOOKUP(C9,Bolts!A:L,9,0)</f>
        <v xml:space="preserve"> </v>
      </c>
      <c r="L9" s="44" t="str">
        <f>VLOOKUP(C9,Bolts!A:L,10,0)</f>
        <v xml:space="preserve"> </v>
      </c>
      <c r="M9" s="44" t="str">
        <f>VLOOKUP(C9,Bolts!A:L,11,0)</f>
        <v xml:space="preserve"> </v>
      </c>
      <c r="N9" s="45" t="str">
        <f>VLOOKUP(C9,Bolts!A:L,12,0)</f>
        <v xml:space="preserve"> </v>
      </c>
      <c r="O9" s="45" t="e">
        <f t="shared" ca="1" si="2"/>
        <v>#VALUE!</v>
      </c>
      <c r="P9" s="49" t="str">
        <f>IFERROR(VLOOKUP(C9,Bolts!A:B,2,FALSE),"")</f>
        <v xml:space="preserve"> </v>
      </c>
      <c r="Q9" s="50" t="str">
        <f t="shared" ref="Q9" si="4">IFERROR(B9*P9,"")</f>
        <v/>
      </c>
    </row>
    <row r="10" spans="1:17" s="2" customFormat="1" ht="12.75" customHeight="1" thickBot="1">
      <c r="A10" s="34"/>
      <c r="B10" s="35"/>
      <c r="C10" s="35"/>
      <c r="D10" s="256"/>
      <c r="E10" s="257"/>
      <c r="F10" s="35"/>
      <c r="G10" s="35"/>
      <c r="H10" s="294"/>
      <c r="I10" s="295"/>
      <c r="J10" s="36"/>
      <c r="K10" s="36"/>
      <c r="L10" s="36"/>
      <c r="M10" s="37"/>
      <c r="N10" s="38"/>
      <c r="O10" s="38"/>
      <c r="P10" s="89" t="s">
        <v>43</v>
      </c>
      <c r="Q10" s="94">
        <f>SUM(Q5:Q9)</f>
        <v>58.879999999999995</v>
      </c>
    </row>
    <row r="11" spans="1:17" s="2" customFormat="1" ht="12" customHeight="1">
      <c r="D11" s="22"/>
      <c r="E11" s="22"/>
      <c r="J11" s="8"/>
      <c r="K11" s="8"/>
      <c r="L11" s="8"/>
      <c r="M11" s="8"/>
      <c r="N11" s="5"/>
      <c r="O11" s="5"/>
      <c r="P11" s="88"/>
      <c r="Q11" s="95"/>
    </row>
    <row r="12" spans="1:17" s="2" customFormat="1" ht="12" customHeight="1">
      <c r="D12" s="22"/>
      <c r="E12" s="22"/>
      <c r="J12" s="5"/>
      <c r="K12" s="5"/>
      <c r="L12" s="5"/>
      <c r="M12" s="5"/>
      <c r="N12" s="5"/>
      <c r="O12" s="5"/>
      <c r="P12" s="88"/>
      <c r="Q12" s="95"/>
    </row>
    <row r="13" spans="1:17" s="2" customFormat="1" ht="12" customHeight="1">
      <c r="D13" s="22"/>
      <c r="E13" s="22"/>
      <c r="J13" s="5"/>
      <c r="K13" s="5"/>
      <c r="L13" s="5"/>
      <c r="M13" s="5"/>
      <c r="N13" s="5"/>
      <c r="O13" s="5"/>
      <c r="P13" s="88"/>
      <c r="Q13" s="95"/>
    </row>
    <row r="14" spans="1:17" s="2" customFormat="1" ht="12" customHeight="1">
      <c r="D14" s="22"/>
      <c r="E14" s="22"/>
      <c r="J14" s="5"/>
      <c r="K14" s="5"/>
      <c r="L14" s="5"/>
      <c r="M14" s="5"/>
      <c r="N14" s="5"/>
      <c r="O14" s="5"/>
      <c r="P14" s="88"/>
      <c r="Q14" s="95"/>
    </row>
    <row r="15" spans="1:17" s="2" customFormat="1" ht="12" customHeight="1">
      <c r="D15" s="22"/>
      <c r="E15" s="22"/>
      <c r="J15" s="5"/>
      <c r="K15" s="5"/>
      <c r="L15" s="5"/>
      <c r="M15" s="5"/>
      <c r="N15" s="5"/>
      <c r="O15" s="5"/>
      <c r="P15" s="88"/>
      <c r="Q15" s="95"/>
    </row>
    <row r="16" spans="1:17" s="2" customFormat="1" ht="12" customHeight="1">
      <c r="D16" s="22"/>
      <c r="E16" s="22"/>
      <c r="J16" s="5"/>
      <c r="K16" s="5"/>
      <c r="L16" s="5"/>
      <c r="M16" s="5"/>
      <c r="N16" s="5"/>
      <c r="O16" s="5"/>
      <c r="P16" s="88"/>
      <c r="Q16" s="95"/>
    </row>
    <row r="17" spans="4:17" s="2" customFormat="1" ht="12" customHeight="1">
      <c r="D17" s="22"/>
      <c r="E17" s="22"/>
      <c r="J17" s="5"/>
      <c r="K17" s="5"/>
      <c r="L17" s="5"/>
      <c r="M17" s="5"/>
      <c r="N17" s="5"/>
      <c r="O17" s="5"/>
      <c r="P17" s="88"/>
      <c r="Q17" s="95"/>
    </row>
    <row r="18" spans="4:17" s="2" customFormat="1" ht="12" customHeight="1">
      <c r="D18" s="22"/>
      <c r="E18" s="22"/>
      <c r="J18" s="5"/>
      <c r="K18" s="5"/>
      <c r="L18" s="5"/>
      <c r="M18" s="5"/>
      <c r="N18" s="5"/>
      <c r="O18" s="5"/>
      <c r="P18" s="88"/>
      <c r="Q18" s="95"/>
    </row>
    <row r="19" spans="4:17" s="2" customFormat="1" ht="12" customHeight="1">
      <c r="D19" s="22"/>
      <c r="E19" s="22"/>
      <c r="J19" s="5"/>
      <c r="K19" s="5"/>
      <c r="L19" s="5"/>
      <c r="M19" s="5"/>
      <c r="N19" s="5"/>
      <c r="O19" s="5"/>
      <c r="P19" s="88"/>
      <c r="Q19" s="95"/>
    </row>
    <row r="20" spans="4:17" s="2" customFormat="1" ht="12" customHeight="1">
      <c r="D20" s="22"/>
      <c r="E20" s="22"/>
      <c r="J20" s="5"/>
      <c r="K20" s="5"/>
      <c r="L20" s="5"/>
      <c r="M20" s="5"/>
      <c r="N20" s="5"/>
      <c r="O20" s="5"/>
      <c r="P20" s="88"/>
      <c r="Q20" s="95"/>
    </row>
    <row r="21" spans="4:17" s="2" customFormat="1" ht="12" customHeight="1">
      <c r="D21" s="22"/>
      <c r="E21" s="22"/>
      <c r="J21" s="5"/>
      <c r="K21" s="5"/>
      <c r="L21" s="5"/>
      <c r="M21" s="5"/>
      <c r="N21" s="5"/>
      <c r="O21" s="5"/>
      <c r="P21" s="88"/>
      <c r="Q21" s="95"/>
    </row>
    <row r="22" spans="4:17" s="2" customFormat="1" ht="12" customHeight="1">
      <c r="D22" s="22"/>
      <c r="E22" s="22"/>
      <c r="J22" s="5"/>
      <c r="K22" s="5"/>
      <c r="L22" s="5"/>
      <c r="M22" s="5"/>
      <c r="N22" s="5"/>
      <c r="O22" s="5"/>
      <c r="P22" s="88"/>
      <c r="Q22" s="95"/>
    </row>
    <row r="23" spans="4:17" s="2" customFormat="1" ht="12" customHeight="1">
      <c r="D23" s="22"/>
      <c r="E23" s="22"/>
      <c r="J23" s="5"/>
      <c r="K23" s="5"/>
      <c r="L23" s="5"/>
      <c r="M23" s="5"/>
      <c r="N23" s="5"/>
      <c r="O23" s="5"/>
      <c r="P23" s="88"/>
      <c r="Q23" s="95"/>
    </row>
    <row r="24" spans="4:17" s="2" customFormat="1" ht="12" customHeight="1">
      <c r="D24" s="22"/>
      <c r="E24" s="22"/>
      <c r="J24" s="5"/>
      <c r="K24" s="5"/>
      <c r="L24" s="5"/>
      <c r="M24" s="5"/>
      <c r="N24" s="5"/>
      <c r="O24" s="5"/>
      <c r="P24" s="88"/>
      <c r="Q24" s="95"/>
    </row>
    <row r="25" spans="4:17" s="2" customFormat="1" ht="12" customHeight="1">
      <c r="D25" s="22"/>
      <c r="E25" s="22"/>
      <c r="J25" s="5"/>
      <c r="K25" s="5"/>
      <c r="L25" s="5"/>
      <c r="M25" s="5"/>
      <c r="N25" s="5"/>
      <c r="O25" s="5"/>
      <c r="P25" s="88"/>
      <c r="Q25" s="95"/>
    </row>
    <row r="26" spans="4:17" s="2" customFormat="1" ht="12" customHeight="1">
      <c r="D26" s="22"/>
      <c r="E26" s="22"/>
      <c r="J26" s="5"/>
      <c r="K26" s="5"/>
      <c r="L26" s="5"/>
      <c r="M26" s="5"/>
      <c r="N26" s="5"/>
      <c r="O26" s="5"/>
      <c r="P26" s="88"/>
      <c r="Q26" s="95"/>
    </row>
    <row r="27" spans="4:17" s="2" customFormat="1" ht="12" customHeight="1">
      <c r="D27" s="22"/>
      <c r="E27" s="22"/>
      <c r="J27" s="5"/>
      <c r="K27" s="5"/>
      <c r="L27" s="5"/>
      <c r="M27" s="5"/>
      <c r="N27" s="5"/>
      <c r="O27" s="5"/>
      <c r="P27" s="88"/>
      <c r="Q27" s="95"/>
    </row>
    <row r="28" spans="4:17" s="2" customFormat="1" ht="12" customHeight="1">
      <c r="D28" s="22"/>
      <c r="E28" s="22"/>
      <c r="J28" s="5"/>
      <c r="K28" s="5"/>
      <c r="L28" s="5"/>
      <c r="M28" s="5"/>
      <c r="N28" s="5"/>
      <c r="O28" s="5"/>
      <c r="P28" s="88"/>
      <c r="Q28" s="95"/>
    </row>
    <row r="29" spans="4:17" s="2" customFormat="1" ht="12" customHeight="1">
      <c r="D29" s="22"/>
      <c r="E29" s="22"/>
      <c r="J29" s="5"/>
      <c r="K29" s="5"/>
      <c r="L29" s="5"/>
      <c r="M29" s="5"/>
      <c r="N29" s="5"/>
      <c r="O29" s="5"/>
      <c r="P29" s="88"/>
      <c r="Q29" s="95"/>
    </row>
    <row r="30" spans="4:17" s="2" customFormat="1" ht="12" customHeight="1">
      <c r="D30" s="22"/>
      <c r="E30" s="22"/>
      <c r="J30" s="5"/>
      <c r="K30" s="5"/>
      <c r="L30" s="5"/>
      <c r="M30" s="5"/>
      <c r="N30" s="5"/>
      <c r="O30" s="5"/>
      <c r="P30" s="88"/>
      <c r="Q30" s="95"/>
    </row>
    <row r="31" spans="4:17" s="2" customFormat="1" ht="12" customHeight="1">
      <c r="D31" s="22"/>
      <c r="E31" s="22"/>
      <c r="J31" s="5"/>
      <c r="K31" s="5"/>
      <c r="L31" s="5"/>
      <c r="M31" s="5"/>
      <c r="N31" s="5"/>
      <c r="O31" s="5"/>
      <c r="P31" s="88"/>
      <c r="Q31" s="95"/>
    </row>
    <row r="32" spans="4:17" s="2" customFormat="1" ht="12" customHeight="1">
      <c r="D32" s="22"/>
      <c r="E32" s="22"/>
      <c r="J32" s="5"/>
      <c r="K32" s="5"/>
      <c r="L32" s="5"/>
      <c r="M32" s="5"/>
      <c r="N32" s="5"/>
      <c r="O32" s="5"/>
      <c r="P32" s="88"/>
      <c r="Q32" s="95"/>
    </row>
    <row r="33" spans="4:17" s="2" customFormat="1" ht="12" customHeight="1">
      <c r="D33" s="22"/>
      <c r="E33" s="22"/>
      <c r="J33" s="5"/>
      <c r="K33" s="5"/>
      <c r="L33" s="5"/>
      <c r="M33" s="5"/>
      <c r="N33" s="5"/>
      <c r="O33" s="5"/>
      <c r="P33" s="88"/>
      <c r="Q33" s="95"/>
    </row>
    <row r="34" spans="4:17" s="2" customFormat="1" ht="12" customHeight="1">
      <c r="D34" s="22"/>
      <c r="E34" s="22"/>
      <c r="J34" s="5"/>
      <c r="K34" s="5"/>
      <c r="L34" s="5"/>
      <c r="M34" s="5"/>
      <c r="N34" s="5"/>
      <c r="O34" s="5"/>
      <c r="P34" s="88"/>
      <c r="Q34" s="95"/>
    </row>
    <row r="35" spans="4:17" s="2" customFormat="1" ht="12" customHeight="1">
      <c r="D35" s="22"/>
      <c r="E35" s="22"/>
      <c r="J35" s="5"/>
      <c r="K35" s="5"/>
      <c r="L35" s="5"/>
      <c r="M35" s="5"/>
      <c r="N35" s="5"/>
      <c r="O35" s="5"/>
      <c r="P35" s="88"/>
      <c r="Q35" s="95"/>
    </row>
    <row r="36" spans="4:17" s="2" customFormat="1" ht="12" customHeight="1">
      <c r="D36" s="22"/>
      <c r="E36" s="22"/>
      <c r="J36" s="5"/>
      <c r="K36" s="5"/>
      <c r="L36" s="5"/>
      <c r="M36" s="5"/>
      <c r="N36" s="5"/>
      <c r="O36" s="5"/>
      <c r="P36" s="88"/>
      <c r="Q36" s="95"/>
    </row>
    <row r="37" spans="4:17" s="2" customFormat="1" ht="12" customHeight="1">
      <c r="D37" s="22"/>
      <c r="E37" s="22"/>
      <c r="J37" s="5"/>
      <c r="K37" s="5"/>
      <c r="L37" s="5"/>
      <c r="M37" s="5"/>
      <c r="N37" s="5"/>
      <c r="O37" s="5"/>
      <c r="P37" s="88"/>
      <c r="Q37" s="95"/>
    </row>
    <row r="38" spans="4:17" s="2" customFormat="1" ht="12" customHeight="1">
      <c r="D38" s="22"/>
      <c r="E38" s="22"/>
      <c r="J38" s="5"/>
      <c r="K38" s="5"/>
      <c r="L38" s="5"/>
      <c r="M38" s="5"/>
      <c r="N38" s="5"/>
      <c r="O38" s="5"/>
      <c r="P38" s="88"/>
      <c r="Q38" s="95"/>
    </row>
    <row r="39" spans="4:17" s="2" customFormat="1" ht="12" customHeight="1">
      <c r="D39" s="22"/>
      <c r="E39" s="22"/>
      <c r="J39" s="5"/>
      <c r="K39" s="5"/>
      <c r="L39" s="5"/>
      <c r="M39" s="5"/>
      <c r="N39" s="5"/>
      <c r="O39" s="5"/>
      <c r="P39" s="88"/>
      <c r="Q39" s="95"/>
    </row>
    <row r="40" spans="4:17" s="2" customFormat="1" ht="12" customHeight="1">
      <c r="D40" s="22"/>
      <c r="E40" s="22"/>
      <c r="J40" s="5"/>
      <c r="K40" s="5"/>
      <c r="L40" s="5"/>
      <c r="M40" s="5"/>
      <c r="N40" s="5"/>
      <c r="O40" s="5"/>
      <c r="P40" s="88"/>
      <c r="Q40" s="95"/>
    </row>
    <row r="41" spans="4:17" s="2" customFormat="1" ht="12" customHeight="1">
      <c r="D41" s="22"/>
      <c r="E41" s="22"/>
      <c r="J41" s="5"/>
      <c r="K41" s="5"/>
      <c r="L41" s="5"/>
      <c r="M41" s="5"/>
      <c r="N41" s="5"/>
      <c r="O41" s="5"/>
      <c r="P41" s="88"/>
      <c r="Q41" s="95"/>
    </row>
    <row r="42" spans="4:17" s="2" customFormat="1" ht="12" customHeight="1">
      <c r="D42" s="22"/>
      <c r="E42" s="22"/>
      <c r="J42" s="5"/>
      <c r="K42" s="5"/>
      <c r="L42" s="5"/>
      <c r="M42" s="5"/>
      <c r="N42" s="5"/>
      <c r="O42" s="5"/>
      <c r="P42" s="88"/>
      <c r="Q42" s="95"/>
    </row>
    <row r="43" spans="4:17" s="2" customFormat="1" ht="12" customHeight="1">
      <c r="D43" s="22"/>
      <c r="E43" s="22"/>
      <c r="J43" s="5"/>
      <c r="K43" s="5"/>
      <c r="L43" s="5"/>
      <c r="M43" s="5"/>
      <c r="N43" s="5"/>
      <c r="O43" s="5"/>
      <c r="P43" s="88"/>
      <c r="Q43" s="95"/>
    </row>
    <row r="44" spans="4:17" s="2" customFormat="1" ht="12" customHeight="1">
      <c r="D44" s="22"/>
      <c r="E44" s="22"/>
      <c r="J44" s="5"/>
      <c r="K44" s="5"/>
      <c r="L44" s="5"/>
      <c r="M44" s="5"/>
      <c r="N44" s="5"/>
      <c r="O44" s="5"/>
      <c r="P44" s="88"/>
      <c r="Q44" s="95"/>
    </row>
    <row r="45" spans="4:17" s="2" customFormat="1" ht="12" customHeight="1">
      <c r="D45" s="22"/>
      <c r="E45" s="22"/>
      <c r="J45" s="5"/>
      <c r="K45" s="5"/>
      <c r="L45" s="5"/>
      <c r="M45" s="5"/>
      <c r="N45" s="5"/>
      <c r="O45" s="5"/>
      <c r="P45" s="88"/>
      <c r="Q45" s="95"/>
    </row>
    <row r="46" spans="4:17" s="2" customFormat="1" ht="12" customHeight="1">
      <c r="D46" s="22"/>
      <c r="E46" s="22"/>
      <c r="J46" s="5"/>
      <c r="K46" s="5"/>
      <c r="L46" s="5"/>
      <c r="M46" s="5"/>
      <c r="N46" s="5"/>
      <c r="O46" s="5"/>
      <c r="P46" s="88"/>
      <c r="Q46" s="95"/>
    </row>
    <row r="47" spans="4:17" s="2" customFormat="1" ht="12" customHeight="1">
      <c r="D47" s="22"/>
      <c r="E47" s="22"/>
      <c r="J47" s="5"/>
      <c r="K47" s="5"/>
      <c r="L47" s="5"/>
      <c r="M47" s="5"/>
      <c r="N47" s="5"/>
      <c r="O47" s="5"/>
      <c r="P47" s="88"/>
      <c r="Q47" s="95"/>
    </row>
    <row r="48" spans="4:17" s="2" customFormat="1" ht="12" customHeight="1">
      <c r="D48" s="22"/>
      <c r="E48" s="22"/>
      <c r="J48" s="5"/>
      <c r="K48" s="5"/>
      <c r="L48" s="5"/>
      <c r="M48" s="5"/>
      <c r="N48" s="5"/>
      <c r="O48" s="5"/>
      <c r="P48" s="88"/>
      <c r="Q48" s="95"/>
    </row>
    <row r="49" spans="1:17" s="2" customFormat="1" ht="12" customHeight="1">
      <c r="D49" s="22"/>
      <c r="E49" s="22"/>
      <c r="J49" s="5"/>
      <c r="K49" s="5"/>
      <c r="L49" s="5"/>
      <c r="M49" s="5"/>
      <c r="N49" s="5"/>
      <c r="O49" s="5"/>
      <c r="P49" s="88"/>
      <c r="Q49" s="96"/>
    </row>
    <row r="50" spans="1:17" s="2" customFormat="1" ht="12" customHeight="1">
      <c r="D50" s="22"/>
      <c r="E50" s="22"/>
      <c r="J50" s="5"/>
      <c r="K50" s="5"/>
      <c r="L50" s="5"/>
      <c r="M50" s="5"/>
      <c r="N50" s="5"/>
      <c r="O50" s="5"/>
      <c r="P50" s="88"/>
      <c r="Q50" s="96"/>
    </row>
    <row r="51" spans="1:17" s="2" customFormat="1" ht="12" customHeight="1">
      <c r="D51" s="22"/>
      <c r="E51" s="22"/>
      <c r="J51" s="5"/>
      <c r="K51" s="5"/>
      <c r="L51" s="5"/>
      <c r="M51" s="5"/>
      <c r="N51" s="5"/>
      <c r="O51" s="5"/>
      <c r="P51" s="88"/>
      <c r="Q51" s="96"/>
    </row>
    <row r="52" spans="1:17" s="2" customFormat="1" ht="12" customHeight="1">
      <c r="D52" s="22"/>
      <c r="E52" s="22"/>
      <c r="J52" s="5"/>
      <c r="K52" s="5"/>
      <c r="L52" s="5"/>
      <c r="M52" s="5"/>
      <c r="N52" s="5"/>
      <c r="O52" s="5"/>
      <c r="P52" s="88"/>
      <c r="Q52" s="96"/>
    </row>
    <row r="53" spans="1:17" s="2" customFormat="1" ht="12" customHeight="1">
      <c r="A53"/>
      <c r="B53"/>
      <c r="C53"/>
      <c r="D53" s="23"/>
      <c r="E53" s="23"/>
      <c r="F53"/>
      <c r="G53"/>
      <c r="H53"/>
      <c r="I53"/>
      <c r="J53" s="19"/>
      <c r="K53" s="19"/>
      <c r="L53" s="19"/>
      <c r="M53" s="19"/>
      <c r="N53" s="19"/>
      <c r="O53" s="19"/>
      <c r="P53" s="90"/>
      <c r="Q53" s="96"/>
    </row>
    <row r="54" spans="1:17" s="2" customFormat="1" ht="12" customHeight="1">
      <c r="A54"/>
      <c r="B54"/>
      <c r="C54"/>
      <c r="D54" s="23"/>
      <c r="E54" s="23"/>
      <c r="F54"/>
      <c r="G54"/>
      <c r="H54"/>
      <c r="I54"/>
      <c r="J54" s="19"/>
      <c r="K54" s="19"/>
      <c r="L54" s="19"/>
      <c r="M54" s="19"/>
      <c r="N54" s="19"/>
      <c r="O54" s="19"/>
      <c r="P54" s="90"/>
      <c r="Q54" s="96"/>
    </row>
    <row r="55" spans="1:17" s="2" customFormat="1" ht="12" customHeight="1">
      <c r="A55"/>
      <c r="B55"/>
      <c r="C55"/>
      <c r="D55" s="23"/>
      <c r="E55" s="23"/>
      <c r="F55"/>
      <c r="G55"/>
      <c r="H55"/>
      <c r="I55"/>
      <c r="J55" s="19"/>
      <c r="K55" s="19"/>
      <c r="L55" s="19"/>
      <c r="M55" s="19"/>
      <c r="N55" s="19"/>
      <c r="O55" s="19"/>
      <c r="P55" s="90"/>
      <c r="Q55" s="96"/>
    </row>
    <row r="56" spans="1:17" s="2" customFormat="1" ht="12" customHeight="1">
      <c r="A56"/>
      <c r="B56"/>
      <c r="C56"/>
      <c r="D56" s="23"/>
      <c r="E56" s="23"/>
      <c r="F56"/>
      <c r="G56"/>
      <c r="H56"/>
      <c r="I56"/>
      <c r="J56" s="19"/>
      <c r="K56" s="19"/>
      <c r="L56" s="19"/>
      <c r="M56" s="19"/>
      <c r="N56" s="19"/>
      <c r="O56" s="19"/>
      <c r="P56" s="90"/>
      <c r="Q56" s="96"/>
    </row>
    <row r="57" spans="1:17" s="2" customFormat="1" ht="12" customHeight="1">
      <c r="A57"/>
      <c r="B57"/>
      <c r="C57"/>
      <c r="D57" s="23"/>
      <c r="E57" s="23"/>
      <c r="F57"/>
      <c r="G57"/>
      <c r="H57"/>
      <c r="I57"/>
      <c r="J57" s="19"/>
      <c r="K57" s="19"/>
      <c r="L57" s="19"/>
      <c r="M57" s="19"/>
      <c r="N57" s="19"/>
      <c r="O57" s="19"/>
      <c r="P57" s="90"/>
      <c r="Q57" s="96"/>
    </row>
    <row r="58" spans="1:17">
      <c r="Q58" s="96"/>
    </row>
    <row r="59" spans="1:17">
      <c r="Q59" s="96"/>
    </row>
    <row r="60" spans="1:17">
      <c r="Q60" s="96"/>
    </row>
    <row r="61" spans="1:17">
      <c r="Q61" s="96"/>
    </row>
    <row r="62" spans="1:17">
      <c r="Q62" s="96"/>
    </row>
    <row r="63" spans="1:17">
      <c r="Q63" s="96"/>
    </row>
    <row r="64" spans="1:17">
      <c r="Q64" s="96"/>
    </row>
    <row r="65" spans="17:17">
      <c r="Q65" s="96"/>
    </row>
    <row r="66" spans="17:17">
      <c r="Q66" s="96"/>
    </row>
    <row r="67" spans="17:17">
      <c r="Q67" s="96"/>
    </row>
    <row r="68" spans="17:17">
      <c r="Q68" s="96"/>
    </row>
    <row r="69" spans="17:17">
      <c r="Q69" s="96"/>
    </row>
    <row r="70" spans="17:17">
      <c r="Q70" s="96"/>
    </row>
    <row r="71" spans="17:17">
      <c r="Q71" s="96"/>
    </row>
    <row r="72" spans="17:17">
      <c r="Q72" s="96"/>
    </row>
    <row r="73" spans="17:17">
      <c r="Q73" s="96"/>
    </row>
    <row r="74" spans="17:17">
      <c r="Q74" s="96"/>
    </row>
    <row r="75" spans="17:17">
      <c r="Q75" s="96"/>
    </row>
    <row r="76" spans="17:17">
      <c r="Q76" s="96"/>
    </row>
    <row r="77" spans="17:17">
      <c r="Q77" s="96"/>
    </row>
    <row r="114" ht="12" customHeight="1"/>
    <row r="115" ht="12" customHeight="1"/>
    <row r="116" ht="12" customHeight="1"/>
    <row r="117" ht="12" customHeight="1"/>
    <row r="118" ht="12" customHeight="1"/>
    <row r="119" ht="12" customHeight="1"/>
    <row r="120" ht="12" customHeight="1"/>
    <row r="121" ht="12" customHeight="1"/>
    <row r="122" ht="12" customHeight="1"/>
    <row r="123" ht="12" customHeight="1"/>
    <row r="124" ht="12" customHeight="1"/>
    <row r="125" ht="12" customHeight="1"/>
    <row r="126" ht="12" customHeight="1"/>
    <row r="127" ht="12" customHeight="1"/>
    <row r="128" ht="12" customHeight="1"/>
    <row r="129" ht="12" customHeight="1"/>
    <row r="130" ht="12" customHeight="1"/>
    <row r="131" ht="12" customHeight="1"/>
    <row r="132" ht="12" customHeight="1"/>
    <row r="133" ht="12" customHeight="1"/>
    <row r="134" ht="12" customHeight="1"/>
    <row r="135" ht="12" customHeight="1"/>
    <row r="136" ht="12" customHeight="1"/>
    <row r="137" ht="12" customHeight="1"/>
    <row r="138" ht="12" customHeight="1"/>
    <row r="139" ht="12" customHeight="1"/>
    <row r="140" ht="12" customHeight="1"/>
    <row r="141" ht="12" customHeight="1"/>
    <row r="142" ht="12" customHeight="1"/>
    <row r="143" ht="12" customHeight="1"/>
    <row r="144" ht="12" customHeight="1"/>
    <row r="145" ht="12" customHeight="1"/>
    <row r="146" ht="12" customHeight="1"/>
    <row r="147" ht="12" customHeight="1"/>
    <row r="148" ht="12" customHeight="1"/>
    <row r="149" ht="12" customHeight="1"/>
    <row r="150" ht="12" customHeight="1"/>
    <row r="151" ht="12" customHeight="1"/>
    <row r="152" ht="12" customHeight="1"/>
    <row r="153" ht="12" customHeight="1"/>
    <row r="154" ht="12" customHeight="1"/>
    <row r="155" ht="12" customHeight="1"/>
    <row r="156" ht="12" customHeight="1"/>
    <row r="157" ht="12" customHeight="1"/>
    <row r="158" ht="12" customHeight="1"/>
    <row r="159" ht="12" customHeight="1"/>
    <row r="160" ht="12" customHeight="1"/>
    <row r="161" ht="12" customHeight="1"/>
    <row r="162" ht="12" customHeight="1"/>
    <row r="163" ht="12" customHeight="1"/>
  </sheetData>
  <mergeCells count="12">
    <mergeCell ref="H4:I4"/>
    <mergeCell ref="D5:E5"/>
    <mergeCell ref="D1:E1"/>
    <mergeCell ref="D4:E4"/>
    <mergeCell ref="D6:E6"/>
    <mergeCell ref="H6:I6"/>
    <mergeCell ref="D7:E7"/>
    <mergeCell ref="D9:E9"/>
    <mergeCell ref="D8:E8"/>
    <mergeCell ref="H8:I8"/>
    <mergeCell ref="D10:E10"/>
    <mergeCell ref="H10:I10"/>
  </mergeCells>
  <conditionalFormatting sqref="M5 M7 M9">
    <cfRule type="cellIs" dxfId="378" priority="3" stopIfTrue="1" operator="lessThanOrEqual">
      <formula>$L5</formula>
    </cfRule>
    <cfRule type="cellIs" dxfId="377" priority="4" operator="greaterThan">
      <formula>L5</formula>
    </cfRule>
  </conditionalFormatting>
  <pageMargins left="0.7" right="0.7" top="0.75" bottom="0.75" header="0.3" footer="0.3"/>
  <pageSetup paperSize="3" fitToHeight="0" orientation="landscape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B56B520-6A04-4B49-B68A-F71330D4BCAD}">
          <x14:formula1>
            <xm:f>Bolts!$A:$A</xm:f>
          </x14:formula1>
          <xm:sqref>C9</xm:sqref>
        </x14:dataValidation>
        <x14:dataValidation type="list" allowBlank="1" showInputMessage="1" showErrorMessage="1" xr:uid="{AF091928-08FB-43DA-B17C-60C1358F4072}">
          <x14:formula1>
            <xm:f>Purchased!$A:$A</xm:f>
          </x14:formula1>
          <xm:sqref>C7</xm:sqref>
        </x14:dataValidation>
        <x14:dataValidation type="list" allowBlank="1" showInputMessage="1" showErrorMessage="1" xr:uid="{6BC59EE8-29BC-458A-9F77-B637A287948D}">
          <x14:formula1>
            <xm:f>Machined!$C:$C</xm:f>
          </x14:formula1>
          <xm:sqref>C5</xm:sqref>
        </x14:dataValidation>
      </x14:dataValidations>
    </ext>
  </extLst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75D5C-7495-4A03-861F-8AE02FD639BD}">
  <sheetPr codeName="Sheet72">
    <tabColor theme="3" tint="0.59999389629810485"/>
    <pageSetUpPr fitToPage="1"/>
  </sheetPr>
  <dimension ref="A1:Q166"/>
  <sheetViews>
    <sheetView zoomScaleNormal="100" workbookViewId="0">
      <selection activeCell="A45" sqref="A45"/>
    </sheetView>
  </sheetViews>
  <sheetFormatPr defaultColWidth="9.140625" defaultRowHeight="15"/>
  <cols>
    <col min="1" max="1" width="5.7109375" customWidth="1"/>
    <col min="2" max="2" width="5.42578125" bestFit="1" customWidth="1"/>
    <col min="3" max="3" width="30.7109375" customWidth="1"/>
    <col min="4" max="5" width="20.7109375" style="23" customWidth="1"/>
    <col min="6" max="6" width="16.85546875" bestFit="1" customWidth="1"/>
    <col min="7" max="7" width="9.7109375" customWidth="1"/>
    <col min="8" max="8" width="8.7109375" customWidth="1"/>
    <col min="9" max="9" width="20.7109375" customWidth="1"/>
    <col min="10" max="13" width="11.7109375" style="19" customWidth="1"/>
    <col min="14" max="14" width="11.85546875" style="19" bestFit="1" customWidth="1"/>
    <col min="15" max="15" width="7.7109375" style="19" customWidth="1"/>
    <col min="16" max="16" width="10.7109375" style="90" customWidth="1"/>
    <col min="17" max="17" width="10.7109375" style="97" customWidth="1"/>
  </cols>
  <sheetData>
    <row r="1" spans="1:17" s="55" customFormat="1" ht="12" customHeight="1">
      <c r="A1" s="68" t="s">
        <v>0</v>
      </c>
      <c r="B1" s="69"/>
      <c r="C1" s="69"/>
      <c r="D1" s="262" t="s">
        <v>1</v>
      </c>
      <c r="E1" s="263"/>
      <c r="F1" s="70"/>
      <c r="G1" s="69"/>
      <c r="H1" s="70"/>
      <c r="I1" s="71"/>
      <c r="J1" s="72"/>
      <c r="K1" s="72"/>
      <c r="L1" s="72"/>
      <c r="M1" s="72"/>
      <c r="N1" s="72"/>
      <c r="O1" s="72"/>
      <c r="P1" s="85"/>
      <c r="Q1" s="91"/>
    </row>
    <row r="2" spans="1:17" s="55" customFormat="1" ht="12" customHeight="1">
      <c r="A2" s="74" t="s">
        <v>48</v>
      </c>
      <c r="B2" s="58"/>
      <c r="C2" s="57" t="e">
        <f ca="1">VLOOKUP(E3,Assemblies!B:F,4,0)</f>
        <v>#VALUE!</v>
      </c>
      <c r="D2" s="75" t="s">
        <v>3</v>
      </c>
      <c r="E2" s="76" t="e">
        <f ca="1">'GF12'!E2</f>
        <v>#VALUE!</v>
      </c>
      <c r="F2" s="77" t="s">
        <v>4</v>
      </c>
      <c r="G2" s="58" t="str">
        <f>'GF12'!G2</f>
        <v>GH</v>
      </c>
      <c r="H2" s="77" t="s">
        <v>6</v>
      </c>
      <c r="I2" s="59">
        <f>'GF12'!I2</f>
        <v>44775</v>
      </c>
      <c r="J2" s="39"/>
      <c r="K2" s="40" t="s">
        <v>49</v>
      </c>
      <c r="L2" s="41" t="e">
        <f ca="1">VLOOKUP(C2,Assemblies!E:G,3,0)</f>
        <v>#VALUE!</v>
      </c>
      <c r="M2" s="78"/>
      <c r="N2" s="78"/>
      <c r="O2" s="78"/>
      <c r="P2" s="86"/>
      <c r="Q2" s="92"/>
    </row>
    <row r="3" spans="1:17" s="55" customFormat="1" ht="12" customHeight="1" thickBot="1">
      <c r="A3" s="74" t="s">
        <v>7</v>
      </c>
      <c r="B3" s="58"/>
      <c r="C3" s="57" t="e">
        <f ca="1">VLOOKUP(E3,Assemblies!B:F,5,0)</f>
        <v>#VALUE!</v>
      </c>
      <c r="D3" s="75" t="s">
        <v>50</v>
      </c>
      <c r="E3" s="76" t="e">
        <f ca="1">MID(CELL("filename",A1),FIND("]",CELL("filename",A1))+1,256)</f>
        <v>#VALUE!</v>
      </c>
      <c r="F3" s="77" t="s">
        <v>11</v>
      </c>
      <c r="G3" s="58" t="str">
        <f>'GF12'!G3</f>
        <v>GH</v>
      </c>
      <c r="H3" s="77" t="s">
        <v>6</v>
      </c>
      <c r="I3" s="59">
        <f>'GF12'!I3</f>
        <v>44775</v>
      </c>
      <c r="J3" s="78"/>
      <c r="K3" s="78"/>
      <c r="L3" s="78"/>
      <c r="M3" s="78"/>
      <c r="N3" s="78"/>
      <c r="O3" s="78"/>
      <c r="P3" s="86"/>
      <c r="Q3" s="92"/>
    </row>
    <row r="4" spans="1:17" s="56" customFormat="1" ht="12.75" customHeight="1" thickBot="1">
      <c r="A4" s="80" t="s">
        <v>12</v>
      </c>
      <c r="B4" s="81" t="s">
        <v>13</v>
      </c>
      <c r="C4" s="81" t="s">
        <v>14</v>
      </c>
      <c r="D4" s="270" t="s">
        <v>15</v>
      </c>
      <c r="E4" s="271"/>
      <c r="F4" s="104" t="s">
        <v>16</v>
      </c>
      <c r="G4" s="81" t="s">
        <v>17</v>
      </c>
      <c r="H4" s="260" t="s">
        <v>18</v>
      </c>
      <c r="I4" s="261"/>
      <c r="J4" s="81" t="s">
        <v>51</v>
      </c>
      <c r="K4" s="81" t="s">
        <v>20</v>
      </c>
      <c r="L4" s="81" t="s">
        <v>21</v>
      </c>
      <c r="M4" s="81" t="s">
        <v>52</v>
      </c>
      <c r="N4" s="81" t="s">
        <v>22</v>
      </c>
      <c r="O4" s="81" t="s">
        <v>53</v>
      </c>
      <c r="P4" s="107" t="s">
        <v>26</v>
      </c>
      <c r="Q4" s="82" t="s">
        <v>27</v>
      </c>
    </row>
    <row r="5" spans="1:17" s="2" customFormat="1" ht="12.75" customHeight="1">
      <c r="A5" s="4">
        <v>301</v>
      </c>
      <c r="B5" s="2">
        <v>4</v>
      </c>
      <c r="C5" s="114" t="s">
        <v>406</v>
      </c>
      <c r="D5" s="268" t="str">
        <f>VLOOKUP(C5,Purchased!A:B,2,0)</f>
        <v>BRL 25mm runner block, flanged</v>
      </c>
      <c r="E5" s="269"/>
      <c r="F5" s="112" t="str">
        <f>VLOOKUP(C5,Purchased!A:Q,9,0)</f>
        <v>BRL</v>
      </c>
      <c r="G5" s="112" t="str">
        <f>VLOOKUP(C5,Purchased!A:Q,10,0)</f>
        <v>AAP</v>
      </c>
      <c r="H5" s="112" t="str">
        <f>VLOOKUP(C5,Purchased!A:Q,12,0)</f>
        <v xml:space="preserve">  </v>
      </c>
      <c r="I5" s="113"/>
      <c r="J5" s="44">
        <f>VLOOKUP(C5,Purchased!A:Q,13,0)</f>
        <v>45093</v>
      </c>
      <c r="K5" s="44">
        <f>VLOOKUP(C5,Purchased!A:Q,14,0)</f>
        <v>45093</v>
      </c>
      <c r="L5" s="44">
        <f>VLOOKUP(C5,Purchased!A:Q,15,0)</f>
        <v>45184</v>
      </c>
      <c r="M5" s="44">
        <f>VLOOKUP(C5,Purchased!A:Q,16,0)</f>
        <v>45184</v>
      </c>
      <c r="N5" s="45">
        <f>VLOOKUP(C5,Purchased!A:Q,17,0)</f>
        <v>54942</v>
      </c>
      <c r="O5" s="45" t="e">
        <f t="shared" ref="O5:O9" ca="1" si="0">B5*$L$2</f>
        <v>#VALUE!</v>
      </c>
      <c r="P5" s="49">
        <f>IFERROR(VLOOKUP(C5,Purchased!A:E,3,FALSE),"")</f>
        <v>138.67920000000001</v>
      </c>
      <c r="Q5" s="50">
        <f t="shared" ref="Q5:Q9" si="1">IFERROR(B5*P5,"")</f>
        <v>554.71680000000003</v>
      </c>
    </row>
    <row r="6" spans="1:17" s="2" customFormat="1" ht="12" customHeight="1">
      <c r="A6" s="4">
        <f t="shared" ref="A6:A9" si="2">A5+1</f>
        <v>302</v>
      </c>
      <c r="B6" s="2">
        <v>4</v>
      </c>
      <c r="C6" s="114" t="s">
        <v>791</v>
      </c>
      <c r="D6" s="268" t="str">
        <f>VLOOKUP(C6,Purchased!A:B,2,0)</f>
        <v>MKS Series Pneumatic clamp for 15mm bosch profile rail</v>
      </c>
      <c r="E6" s="269"/>
      <c r="F6" s="112" t="str">
        <f>VLOOKUP(C6,Purchased!A:Q,9,0)</f>
        <v>ZIMMER</v>
      </c>
      <c r="G6" s="112" t="str">
        <f>VLOOKUP(C6,Purchased!A:Q,10,0)</f>
        <v>ZIMMER</v>
      </c>
      <c r="H6" s="112" t="str">
        <f>VLOOKUP(C6,Purchased!A:Q,12,0)</f>
        <v xml:space="preserve"> </v>
      </c>
      <c r="I6" s="113"/>
      <c r="J6" s="44" t="str">
        <f>VLOOKUP(C6,Purchased!A:Q,13,0)</f>
        <v>N/A</v>
      </c>
      <c r="K6" s="44">
        <f>VLOOKUP(C6,Purchased!A:Q,14,0)</f>
        <v>45117</v>
      </c>
      <c r="L6" s="44">
        <f>VLOOKUP(C6,Purchased!A:Q,15,0)</f>
        <v>45147</v>
      </c>
      <c r="M6" s="44">
        <f>VLOOKUP(C6,Purchased!A:Q,16,0)</f>
        <v>45180</v>
      </c>
      <c r="N6" s="45">
        <f>VLOOKUP(C6,Purchased!A:Q,17,0)</f>
        <v>54979</v>
      </c>
      <c r="O6" s="45" t="e">
        <f t="shared" ca="1" si="0"/>
        <v>#VALUE!</v>
      </c>
      <c r="P6" s="49">
        <f>IFERROR(VLOOKUP(C6,Purchased!A:E,3,FALSE),"")</f>
        <v>455</v>
      </c>
      <c r="Q6" s="50">
        <f t="shared" si="1"/>
        <v>1820</v>
      </c>
    </row>
    <row r="7" spans="1:17" s="2" customFormat="1" ht="12" customHeight="1">
      <c r="A7" s="4">
        <f t="shared" si="2"/>
        <v>303</v>
      </c>
      <c r="B7" s="2">
        <v>1</v>
      </c>
      <c r="C7" s="114" t="s">
        <v>792</v>
      </c>
      <c r="D7" s="268" t="str">
        <f>VLOOKUP(C7,Purchased!A:B,2,0)</f>
        <v>Bowl Feeder Assembly per AFS Quote 2301-136Rev.3</v>
      </c>
      <c r="E7" s="269"/>
      <c r="F7" s="112" t="str">
        <f>VLOOKUP(C7,Purchased!A:Q,9,0)</f>
        <v>AmFeed</v>
      </c>
      <c r="G7" s="112" t="str">
        <f>VLOOKUP(C7,Purchased!A:Q,10,0)</f>
        <v>AmFeed</v>
      </c>
      <c r="H7" s="112" t="str">
        <f>VLOOKUP(C7,Purchased!A:Q,12,0)</f>
        <v xml:space="preserve"> </v>
      </c>
      <c r="I7" s="113"/>
      <c r="J7" s="44" t="str">
        <f>VLOOKUP(C7,Purchased!A:Q,13,0)</f>
        <v>N/A</v>
      </c>
      <c r="K7" s="44">
        <f>VLOOKUP(C7,Purchased!A:Q,14,0)</f>
        <v>44981</v>
      </c>
      <c r="L7" s="44">
        <f>VLOOKUP(C7,Purchased!A:Q,15,0)</f>
        <v>45117</v>
      </c>
      <c r="M7" s="44">
        <f>VLOOKUP(C7,Purchased!A:Q,16,0)</f>
        <v>45135</v>
      </c>
      <c r="N7" s="45">
        <f>VLOOKUP(C7,Purchased!A:Q,17,0)</f>
        <v>54758</v>
      </c>
      <c r="O7" s="45" t="e">
        <f t="shared" ca="1" si="0"/>
        <v>#VALUE!</v>
      </c>
      <c r="P7" s="49">
        <f>IFERROR(VLOOKUP(C7,Purchased!A:E,3,FALSE),"")</f>
        <v>38785</v>
      </c>
      <c r="Q7" s="50">
        <f t="shared" si="1"/>
        <v>38785</v>
      </c>
    </row>
    <row r="8" spans="1:17" s="2" customFormat="1" ht="12" customHeight="1">
      <c r="A8" s="4">
        <f t="shared" si="2"/>
        <v>304</v>
      </c>
      <c r="B8" s="2">
        <v>4</v>
      </c>
      <c r="C8" s="114" t="s">
        <v>793</v>
      </c>
      <c r="D8" s="268" t="str">
        <f>VLOOKUP(C8,Purchased!A:B,2,0)</f>
        <v>SMC FITTING, MALE CONNECTOR</v>
      </c>
      <c r="E8" s="269"/>
      <c r="F8" s="112" t="str">
        <f>VLOOKUP(C8,Purchased!A:Q,9,0)</f>
        <v>SMC</v>
      </c>
      <c r="G8" s="112" t="str">
        <f>VLOOKUP(C8,Purchased!A:Q,10,0)</f>
        <v>AAP</v>
      </c>
      <c r="H8" s="112" t="str">
        <f>VLOOKUP(C8,Purchased!A:Q,12,0)</f>
        <v xml:space="preserve">  </v>
      </c>
      <c r="I8" s="113"/>
      <c r="J8" s="44" t="str">
        <f>VLOOKUP(C8,Purchased!A:Q,13,0)</f>
        <v>N/A</v>
      </c>
      <c r="K8" s="44">
        <f>VLOOKUP(C8,Purchased!A:Q,14,0)</f>
        <v>45162</v>
      </c>
      <c r="L8" s="44">
        <f>VLOOKUP(C8,Purchased!A:Q,15,0)</f>
        <v>45184</v>
      </c>
      <c r="M8" s="44">
        <f>VLOOKUP(C8,Purchased!A:Q,16,0)</f>
        <v>45180</v>
      </c>
      <c r="N8" s="45">
        <f>VLOOKUP(C8,Purchased!A:Q,17,0)</f>
        <v>55037</v>
      </c>
      <c r="O8" s="45" t="e">
        <f t="shared" ca="1" si="0"/>
        <v>#VALUE!</v>
      </c>
      <c r="P8" s="49">
        <f>IFERROR(VLOOKUP(C8,Purchased!A:E,3,FALSE),"")</f>
        <v>0.84379999999999999</v>
      </c>
      <c r="Q8" s="50">
        <f t="shared" si="1"/>
        <v>3.3752</v>
      </c>
    </row>
    <row r="9" spans="1:17" s="2" customFormat="1" ht="12" customHeight="1">
      <c r="A9" s="4">
        <f t="shared" si="2"/>
        <v>305</v>
      </c>
      <c r="B9" s="2">
        <v>1</v>
      </c>
      <c r="C9" s="114" t="s">
        <v>794</v>
      </c>
      <c r="D9" s="268" t="str">
        <f>VLOOKUP(C9,Purchased!A:B,2,0)</f>
        <v>SMS KQ2UD04-06A Straight 4 Way Union</v>
      </c>
      <c r="E9" s="269"/>
      <c r="F9" s="112" t="str">
        <f>VLOOKUP(C9,Purchased!A:Q,9,0)</f>
        <v>SMC</v>
      </c>
      <c r="G9" s="112" t="str">
        <f>VLOOKUP(C9,Purchased!A:Q,10,0)</f>
        <v>AAP</v>
      </c>
      <c r="H9" s="112" t="str">
        <f>VLOOKUP(C9,Purchased!A:Q,12,0)</f>
        <v xml:space="preserve"> </v>
      </c>
      <c r="I9" s="113"/>
      <c r="J9" s="44" t="str">
        <f>VLOOKUP(C9,Purchased!A:Q,13,0)</f>
        <v>N/A</v>
      </c>
      <c r="K9" s="44">
        <f>VLOOKUP(C9,Purchased!A:Q,14,0)</f>
        <v>45162</v>
      </c>
      <c r="L9" s="44">
        <f>VLOOKUP(C9,Purchased!A:Q,15,0)</f>
        <v>45184</v>
      </c>
      <c r="M9" s="44">
        <f>VLOOKUP(C9,Purchased!A:Q,16,0)</f>
        <v>45197</v>
      </c>
      <c r="N9" s="45">
        <f>VLOOKUP(C9,Purchased!A:Q,17,0)</f>
        <v>55073</v>
      </c>
      <c r="O9" s="45" t="e">
        <f t="shared" ca="1" si="0"/>
        <v>#VALUE!</v>
      </c>
      <c r="P9" s="49">
        <f>IFERROR(VLOOKUP(C9,Purchased!A:E,3,FALSE),"")</f>
        <v>4.1638000000000002</v>
      </c>
      <c r="Q9" s="50">
        <f t="shared" si="1"/>
        <v>4.1638000000000002</v>
      </c>
    </row>
    <row r="10" spans="1:17" s="2" customFormat="1" ht="12.75" customHeight="1">
      <c r="A10" s="25"/>
      <c r="B10" s="26"/>
      <c r="C10" s="26"/>
      <c r="D10" s="272"/>
      <c r="E10" s="273"/>
      <c r="F10" s="26"/>
      <c r="G10" s="26"/>
      <c r="H10" s="274"/>
      <c r="I10" s="275"/>
      <c r="J10" s="27"/>
      <c r="K10" s="27"/>
      <c r="L10" s="27"/>
      <c r="M10" s="28"/>
      <c r="N10" s="29"/>
      <c r="O10" s="29" t="e">
        <f t="shared" ref="O10:O12" ca="1" si="3">B10*$L$2</f>
        <v>#VALUE!</v>
      </c>
      <c r="P10" s="141"/>
      <c r="Q10" s="142"/>
    </row>
    <row r="11" spans="1:17" s="2" customFormat="1" ht="12.75" customHeight="1">
      <c r="A11" s="4">
        <v>501</v>
      </c>
      <c r="B11" s="2">
        <v>16</v>
      </c>
      <c r="C11" s="110" t="s">
        <v>795</v>
      </c>
      <c r="D11" s="268"/>
      <c r="E11" s="276"/>
      <c r="F11" s="112" t="str">
        <f>VLOOKUP(C11,Bolts!A:L,5,0)</f>
        <v xml:space="preserve">  </v>
      </c>
      <c r="G11" s="112" t="str">
        <f>VLOOKUP(C11,Bolts!A:L,6,0)</f>
        <v>Monroe Fasteners</v>
      </c>
      <c r="H11" s="112" t="str">
        <f>VLOOKUP(C11,Bolts!A:L,7,0)</f>
        <v xml:space="preserve">  </v>
      </c>
      <c r="I11" s="112"/>
      <c r="J11" s="44" t="str">
        <f>VLOOKUP(C11,Bolts!A:L,8,0)</f>
        <v xml:space="preserve"> </v>
      </c>
      <c r="K11" s="44" t="str">
        <f>VLOOKUP(C11,Bolts!A:L,9,0)</f>
        <v xml:space="preserve"> </v>
      </c>
      <c r="L11" s="44" t="str">
        <f>VLOOKUP(C11,Bolts!A:L,10,0)</f>
        <v xml:space="preserve"> </v>
      </c>
      <c r="M11" s="44" t="str">
        <f>VLOOKUP(C11,Bolts!A:L,11,0)</f>
        <v xml:space="preserve"> </v>
      </c>
      <c r="N11" s="45" t="str">
        <f>VLOOKUP(C11,Bolts!A:L,12,0)</f>
        <v xml:space="preserve"> </v>
      </c>
      <c r="O11" s="45" t="e">
        <f t="shared" ca="1" si="3"/>
        <v>#VALUE!</v>
      </c>
      <c r="P11" s="49" t="str">
        <f>IFERROR(VLOOKUP(C11,Bolts!A:B,2,FALSE),"")</f>
        <v xml:space="preserve"> </v>
      </c>
      <c r="Q11" s="50" t="str">
        <f t="shared" ref="Q11:Q12" si="4">IFERROR(B11*P11,"")</f>
        <v/>
      </c>
    </row>
    <row r="12" spans="1:17" s="2" customFormat="1" ht="12.75" customHeight="1" thickBot="1">
      <c r="A12" s="4">
        <f t="shared" ref="A12" si="5">A11+1</f>
        <v>502</v>
      </c>
      <c r="B12" s="2">
        <v>16</v>
      </c>
      <c r="C12" s="110" t="s">
        <v>426</v>
      </c>
      <c r="D12" s="268"/>
      <c r="E12" s="276"/>
      <c r="F12" s="112" t="str">
        <f>VLOOKUP(C12,Bolts!A:L,5,0)</f>
        <v xml:space="preserve">  </v>
      </c>
      <c r="G12" s="112" t="str">
        <f>VLOOKUP(C12,Bolts!A:L,6,0)</f>
        <v>Monroe Fasteners</v>
      </c>
      <c r="H12" s="112" t="str">
        <f>VLOOKUP(C12,Bolts!A:L,7,0)</f>
        <v xml:space="preserve">  </v>
      </c>
      <c r="I12" s="112"/>
      <c r="J12" s="44" t="str">
        <f>VLOOKUP(C12,Bolts!A:L,8,0)</f>
        <v xml:space="preserve"> </v>
      </c>
      <c r="K12" s="44" t="str">
        <f>VLOOKUP(C12,Bolts!A:L,9,0)</f>
        <v xml:space="preserve"> </v>
      </c>
      <c r="L12" s="44" t="str">
        <f>VLOOKUP(C12,Bolts!A:L,10,0)</f>
        <v xml:space="preserve"> </v>
      </c>
      <c r="M12" s="44" t="str">
        <f>VLOOKUP(C12,Bolts!A:L,11,0)</f>
        <v xml:space="preserve"> </v>
      </c>
      <c r="N12" s="45" t="str">
        <f>VLOOKUP(C12,Bolts!A:L,12,0)</f>
        <v xml:space="preserve"> </v>
      </c>
      <c r="O12" s="45" t="e">
        <f t="shared" ca="1" si="3"/>
        <v>#VALUE!</v>
      </c>
      <c r="P12" s="49" t="str">
        <f>IFERROR(VLOOKUP(C12,Bolts!A:B,2,FALSE),"")</f>
        <v xml:space="preserve"> </v>
      </c>
      <c r="Q12" s="50" t="str">
        <f t="shared" si="4"/>
        <v/>
      </c>
    </row>
    <row r="13" spans="1:17" s="2" customFormat="1" ht="12.75" customHeight="1" thickBot="1">
      <c r="A13" s="34"/>
      <c r="B13" s="35"/>
      <c r="C13" s="35"/>
      <c r="D13" s="256"/>
      <c r="E13" s="257"/>
      <c r="F13" s="35"/>
      <c r="G13" s="35"/>
      <c r="H13" s="294"/>
      <c r="I13" s="295"/>
      <c r="J13" s="36"/>
      <c r="K13" s="36"/>
      <c r="L13" s="36"/>
      <c r="M13" s="37"/>
      <c r="N13" s="38"/>
      <c r="O13" s="38"/>
      <c r="P13" s="89" t="s">
        <v>43</v>
      </c>
      <c r="Q13" s="94">
        <f>SUM(Q5:Q12)</f>
        <v>41167.255800000006</v>
      </c>
    </row>
    <row r="14" spans="1:17" s="2" customFormat="1" ht="12" customHeight="1">
      <c r="D14" s="22"/>
      <c r="E14" s="22"/>
      <c r="J14" s="8"/>
      <c r="K14" s="8"/>
      <c r="L14" s="8"/>
      <c r="M14" s="8"/>
      <c r="N14" s="5"/>
      <c r="O14" s="5"/>
      <c r="P14" s="88"/>
      <c r="Q14" s="95"/>
    </row>
    <row r="15" spans="1:17" s="2" customFormat="1" ht="12" customHeight="1">
      <c r="D15" s="22"/>
      <c r="E15" s="22"/>
      <c r="J15" s="5"/>
      <c r="K15" s="5"/>
      <c r="L15" s="5"/>
      <c r="M15" s="5"/>
      <c r="N15" s="5"/>
      <c r="O15" s="5"/>
      <c r="P15" s="88"/>
      <c r="Q15" s="95"/>
    </row>
    <row r="16" spans="1:17" s="2" customFormat="1" ht="12" customHeight="1">
      <c r="D16" s="22"/>
      <c r="E16" s="22"/>
      <c r="J16" s="5"/>
      <c r="K16" s="5"/>
      <c r="L16" s="5"/>
      <c r="M16" s="5"/>
      <c r="N16" s="5"/>
      <c r="O16" s="5"/>
      <c r="P16" s="88"/>
      <c r="Q16" s="95"/>
    </row>
    <row r="17" spans="4:17" s="2" customFormat="1" ht="12" customHeight="1">
      <c r="D17" s="22"/>
      <c r="E17" s="22"/>
      <c r="J17" s="5"/>
      <c r="K17" s="5"/>
      <c r="L17" s="5"/>
      <c r="M17" s="5"/>
      <c r="N17" s="5"/>
      <c r="O17" s="5"/>
      <c r="P17" s="88"/>
      <c r="Q17" s="95"/>
    </row>
    <row r="18" spans="4:17" s="2" customFormat="1" ht="12" customHeight="1">
      <c r="D18" s="22"/>
      <c r="E18" s="22"/>
      <c r="J18" s="5"/>
      <c r="K18" s="5"/>
      <c r="L18" s="5"/>
      <c r="M18" s="5"/>
      <c r="N18" s="5"/>
      <c r="O18" s="5"/>
      <c r="P18" s="88"/>
      <c r="Q18" s="95"/>
    </row>
    <row r="19" spans="4:17" s="2" customFormat="1" ht="12" customHeight="1">
      <c r="D19" s="22"/>
      <c r="E19" s="22"/>
      <c r="J19" s="5"/>
      <c r="K19" s="5"/>
      <c r="L19" s="5"/>
      <c r="M19" s="5"/>
      <c r="N19" s="5"/>
      <c r="O19" s="5"/>
      <c r="P19" s="88"/>
      <c r="Q19" s="95"/>
    </row>
    <row r="20" spans="4:17" s="2" customFormat="1" ht="12" customHeight="1">
      <c r="D20" s="22"/>
      <c r="E20" s="22"/>
      <c r="J20" s="5"/>
      <c r="K20" s="5"/>
      <c r="L20" s="5"/>
      <c r="M20" s="5"/>
      <c r="N20" s="5"/>
      <c r="O20" s="5"/>
      <c r="P20" s="88"/>
      <c r="Q20" s="95"/>
    </row>
    <row r="21" spans="4:17" s="2" customFormat="1" ht="12" customHeight="1">
      <c r="D21" s="22"/>
      <c r="E21" s="22"/>
      <c r="J21" s="5"/>
      <c r="K21" s="5"/>
      <c r="L21" s="5"/>
      <c r="M21" s="5"/>
      <c r="N21" s="5"/>
      <c r="O21" s="5"/>
      <c r="P21" s="88"/>
      <c r="Q21" s="95"/>
    </row>
    <row r="22" spans="4:17" s="2" customFormat="1" ht="12" customHeight="1">
      <c r="D22" s="22"/>
      <c r="E22" s="22"/>
      <c r="J22" s="5"/>
      <c r="K22" s="5"/>
      <c r="L22" s="5"/>
      <c r="M22" s="5"/>
      <c r="N22" s="5"/>
      <c r="O22" s="5"/>
      <c r="P22" s="88"/>
      <c r="Q22" s="95"/>
    </row>
    <row r="23" spans="4:17" s="2" customFormat="1" ht="12" customHeight="1">
      <c r="D23" s="22"/>
      <c r="E23" s="22"/>
      <c r="J23" s="5"/>
      <c r="K23" s="5"/>
      <c r="L23" s="5"/>
      <c r="M23" s="5"/>
      <c r="N23" s="5"/>
      <c r="O23" s="5"/>
      <c r="P23" s="88"/>
      <c r="Q23" s="95"/>
    </row>
    <row r="24" spans="4:17" s="2" customFormat="1" ht="12" customHeight="1">
      <c r="D24" s="22"/>
      <c r="E24" s="22"/>
      <c r="J24" s="5"/>
      <c r="K24" s="5"/>
      <c r="L24" s="5"/>
      <c r="M24" s="5"/>
      <c r="N24" s="5"/>
      <c r="O24" s="5"/>
      <c r="P24" s="88"/>
      <c r="Q24" s="95"/>
    </row>
    <row r="25" spans="4:17" s="2" customFormat="1" ht="12" customHeight="1">
      <c r="D25" s="22"/>
      <c r="E25" s="22"/>
      <c r="J25" s="5"/>
      <c r="K25" s="5"/>
      <c r="L25" s="5"/>
      <c r="M25" s="5"/>
      <c r="N25" s="5"/>
      <c r="O25" s="5"/>
      <c r="P25" s="88"/>
      <c r="Q25" s="95"/>
    </row>
    <row r="26" spans="4:17" s="2" customFormat="1" ht="12" customHeight="1">
      <c r="D26" s="22"/>
      <c r="E26" s="22"/>
      <c r="J26" s="5"/>
      <c r="K26" s="5"/>
      <c r="L26" s="5"/>
      <c r="M26" s="5"/>
      <c r="N26" s="5"/>
      <c r="O26" s="5"/>
      <c r="P26" s="88"/>
      <c r="Q26" s="95"/>
    </row>
    <row r="27" spans="4:17" s="2" customFormat="1" ht="12" customHeight="1">
      <c r="D27" s="22"/>
      <c r="E27" s="22"/>
      <c r="J27" s="5"/>
      <c r="K27" s="5"/>
      <c r="L27" s="5"/>
      <c r="M27" s="5"/>
      <c r="N27" s="5"/>
      <c r="O27" s="5"/>
      <c r="P27" s="88"/>
      <c r="Q27" s="95"/>
    </row>
    <row r="28" spans="4:17" s="2" customFormat="1" ht="12" customHeight="1">
      <c r="D28" s="22"/>
      <c r="E28" s="22"/>
      <c r="J28" s="5"/>
      <c r="K28" s="5"/>
      <c r="L28" s="5"/>
      <c r="M28" s="5"/>
      <c r="N28" s="5"/>
      <c r="O28" s="5"/>
      <c r="P28" s="88"/>
      <c r="Q28" s="95"/>
    </row>
    <row r="29" spans="4:17" s="2" customFormat="1" ht="12" customHeight="1">
      <c r="D29" s="22"/>
      <c r="E29" s="22"/>
      <c r="J29" s="5"/>
      <c r="K29" s="5"/>
      <c r="L29" s="5"/>
      <c r="M29" s="5"/>
      <c r="N29" s="5"/>
      <c r="O29" s="5"/>
      <c r="P29" s="88"/>
      <c r="Q29" s="95"/>
    </row>
    <row r="30" spans="4:17" s="2" customFormat="1" ht="12" customHeight="1">
      <c r="D30" s="22"/>
      <c r="E30" s="22"/>
      <c r="J30" s="5"/>
      <c r="K30" s="5"/>
      <c r="L30" s="5"/>
      <c r="M30" s="5"/>
      <c r="N30" s="5"/>
      <c r="O30" s="5"/>
      <c r="P30" s="88"/>
      <c r="Q30" s="95"/>
    </row>
    <row r="31" spans="4:17" s="2" customFormat="1" ht="12" customHeight="1">
      <c r="D31" s="22"/>
      <c r="E31" s="22"/>
      <c r="J31" s="5"/>
      <c r="K31" s="5"/>
      <c r="L31" s="5"/>
      <c r="M31" s="5"/>
      <c r="N31" s="5"/>
      <c r="O31" s="5"/>
      <c r="P31" s="88"/>
      <c r="Q31" s="95"/>
    </row>
    <row r="32" spans="4:17" s="2" customFormat="1" ht="12" customHeight="1">
      <c r="D32" s="22"/>
      <c r="E32" s="22"/>
      <c r="J32" s="5"/>
      <c r="K32" s="5"/>
      <c r="L32" s="5"/>
      <c r="M32" s="5"/>
      <c r="N32" s="5"/>
      <c r="O32" s="5"/>
      <c r="P32" s="88"/>
      <c r="Q32" s="95"/>
    </row>
    <row r="33" spans="4:17" s="2" customFormat="1" ht="12" customHeight="1">
      <c r="D33" s="22"/>
      <c r="E33" s="22"/>
      <c r="J33" s="5"/>
      <c r="K33" s="5"/>
      <c r="L33" s="5"/>
      <c r="M33" s="5"/>
      <c r="N33" s="5"/>
      <c r="O33" s="5"/>
      <c r="P33" s="88"/>
      <c r="Q33" s="95"/>
    </row>
    <row r="34" spans="4:17" s="2" customFormat="1" ht="12" customHeight="1">
      <c r="D34" s="22"/>
      <c r="E34" s="22"/>
      <c r="J34" s="5"/>
      <c r="K34" s="5"/>
      <c r="L34" s="5"/>
      <c r="M34" s="5"/>
      <c r="N34" s="5"/>
      <c r="O34" s="5"/>
      <c r="P34" s="88"/>
      <c r="Q34" s="95"/>
    </row>
    <row r="35" spans="4:17" s="2" customFormat="1" ht="12" customHeight="1">
      <c r="D35" s="22"/>
      <c r="E35" s="22"/>
      <c r="J35" s="5"/>
      <c r="K35" s="5"/>
      <c r="L35" s="5"/>
      <c r="M35" s="5"/>
      <c r="N35" s="5"/>
      <c r="O35" s="5"/>
      <c r="P35" s="88"/>
      <c r="Q35" s="95"/>
    </row>
    <row r="36" spans="4:17" s="2" customFormat="1" ht="12" customHeight="1">
      <c r="D36" s="22"/>
      <c r="E36" s="22"/>
      <c r="J36" s="5"/>
      <c r="K36" s="5"/>
      <c r="L36" s="5"/>
      <c r="M36" s="5"/>
      <c r="N36" s="5"/>
      <c r="O36" s="5"/>
      <c r="P36" s="88"/>
      <c r="Q36" s="95"/>
    </row>
    <row r="37" spans="4:17" s="2" customFormat="1" ht="12" customHeight="1">
      <c r="D37" s="22"/>
      <c r="E37" s="22"/>
      <c r="J37" s="5"/>
      <c r="K37" s="5"/>
      <c r="L37" s="5"/>
      <c r="M37" s="5"/>
      <c r="N37" s="5"/>
      <c r="O37" s="5"/>
      <c r="P37" s="88"/>
      <c r="Q37" s="95"/>
    </row>
    <row r="38" spans="4:17" s="2" customFormat="1" ht="12" customHeight="1">
      <c r="D38" s="22"/>
      <c r="E38" s="22"/>
      <c r="J38" s="5"/>
      <c r="K38" s="5"/>
      <c r="L38" s="5"/>
      <c r="M38" s="5"/>
      <c r="N38" s="5"/>
      <c r="O38" s="5"/>
      <c r="P38" s="88"/>
      <c r="Q38" s="95"/>
    </row>
    <row r="39" spans="4:17" s="2" customFormat="1" ht="12" customHeight="1">
      <c r="D39" s="22"/>
      <c r="E39" s="22"/>
      <c r="J39" s="5"/>
      <c r="K39" s="5"/>
      <c r="L39" s="5"/>
      <c r="M39" s="5"/>
      <c r="N39" s="5"/>
      <c r="O39" s="5"/>
      <c r="P39" s="88"/>
      <c r="Q39" s="95"/>
    </row>
    <row r="40" spans="4:17" s="2" customFormat="1" ht="12" customHeight="1">
      <c r="D40" s="22"/>
      <c r="E40" s="22"/>
      <c r="J40" s="5"/>
      <c r="K40" s="5"/>
      <c r="L40" s="5"/>
      <c r="M40" s="5"/>
      <c r="N40" s="5"/>
      <c r="O40" s="5"/>
      <c r="P40" s="88"/>
      <c r="Q40" s="95"/>
    </row>
    <row r="41" spans="4:17" s="2" customFormat="1" ht="12" customHeight="1">
      <c r="D41" s="22"/>
      <c r="E41" s="22"/>
      <c r="J41" s="5"/>
      <c r="K41" s="5"/>
      <c r="L41" s="5"/>
      <c r="M41" s="5"/>
      <c r="N41" s="5"/>
      <c r="O41" s="5"/>
      <c r="P41" s="88"/>
      <c r="Q41" s="95"/>
    </row>
    <row r="42" spans="4:17" s="2" customFormat="1" ht="12" customHeight="1">
      <c r="D42" s="22"/>
      <c r="E42" s="22"/>
      <c r="J42" s="5"/>
      <c r="K42" s="5"/>
      <c r="L42" s="5"/>
      <c r="M42" s="5"/>
      <c r="N42" s="5"/>
      <c r="O42" s="5"/>
      <c r="P42" s="88"/>
      <c r="Q42" s="95"/>
    </row>
    <row r="43" spans="4:17" s="2" customFormat="1" ht="12" customHeight="1">
      <c r="D43" s="22"/>
      <c r="E43" s="22"/>
      <c r="J43" s="5"/>
      <c r="K43" s="5"/>
      <c r="L43" s="5"/>
      <c r="M43" s="5"/>
      <c r="N43" s="5"/>
      <c r="O43" s="5"/>
      <c r="P43" s="88"/>
      <c r="Q43" s="95"/>
    </row>
    <row r="44" spans="4:17" s="2" customFormat="1" ht="12" customHeight="1">
      <c r="D44" s="22"/>
      <c r="E44" s="22"/>
      <c r="J44" s="5"/>
      <c r="K44" s="5"/>
      <c r="L44" s="5"/>
      <c r="M44" s="5"/>
      <c r="N44" s="5"/>
      <c r="O44" s="5"/>
      <c r="P44" s="88"/>
      <c r="Q44" s="95"/>
    </row>
    <row r="45" spans="4:17" s="2" customFormat="1" ht="12" customHeight="1">
      <c r="D45" s="22"/>
      <c r="E45" s="22"/>
      <c r="J45" s="5"/>
      <c r="K45" s="5"/>
      <c r="L45" s="5"/>
      <c r="M45" s="5"/>
      <c r="N45" s="5"/>
      <c r="O45" s="5"/>
      <c r="P45" s="88"/>
      <c r="Q45" s="95"/>
    </row>
    <row r="46" spans="4:17" s="2" customFormat="1" ht="12" customHeight="1">
      <c r="D46" s="22"/>
      <c r="E46" s="22"/>
      <c r="J46" s="5"/>
      <c r="K46" s="5"/>
      <c r="L46" s="5"/>
      <c r="M46" s="5"/>
      <c r="N46" s="5"/>
      <c r="O46" s="5"/>
      <c r="P46" s="88"/>
      <c r="Q46" s="95"/>
    </row>
    <row r="47" spans="4:17" s="2" customFormat="1" ht="12" customHeight="1">
      <c r="D47" s="22"/>
      <c r="E47" s="22"/>
      <c r="J47" s="5"/>
      <c r="K47" s="5"/>
      <c r="L47" s="5"/>
      <c r="M47" s="5"/>
      <c r="N47" s="5"/>
      <c r="O47" s="5"/>
      <c r="P47" s="88"/>
      <c r="Q47" s="95"/>
    </row>
    <row r="48" spans="4:17" s="2" customFormat="1" ht="12" customHeight="1">
      <c r="D48" s="22"/>
      <c r="E48" s="22"/>
      <c r="J48" s="5"/>
      <c r="K48" s="5"/>
      <c r="L48" s="5"/>
      <c r="M48" s="5"/>
      <c r="N48" s="5"/>
      <c r="O48" s="5"/>
      <c r="P48" s="88"/>
      <c r="Q48" s="95"/>
    </row>
    <row r="49" spans="1:17" s="2" customFormat="1" ht="12" customHeight="1">
      <c r="D49" s="22"/>
      <c r="E49" s="22"/>
      <c r="J49" s="5"/>
      <c r="K49" s="5"/>
      <c r="L49" s="5"/>
      <c r="M49" s="5"/>
      <c r="N49" s="5"/>
      <c r="O49" s="5"/>
      <c r="P49" s="88"/>
      <c r="Q49" s="95"/>
    </row>
    <row r="50" spans="1:17" s="2" customFormat="1" ht="12" customHeight="1">
      <c r="D50" s="22"/>
      <c r="E50" s="22"/>
      <c r="J50" s="5"/>
      <c r="K50" s="5"/>
      <c r="L50" s="5"/>
      <c r="M50" s="5"/>
      <c r="N50" s="5"/>
      <c r="O50" s="5"/>
      <c r="P50" s="88"/>
      <c r="Q50" s="95"/>
    </row>
    <row r="51" spans="1:17" s="2" customFormat="1" ht="12" customHeight="1">
      <c r="D51" s="22"/>
      <c r="E51" s="22"/>
      <c r="J51" s="5"/>
      <c r="K51" s="5"/>
      <c r="L51" s="5"/>
      <c r="M51" s="5"/>
      <c r="N51" s="5"/>
      <c r="O51" s="5"/>
      <c r="P51" s="88"/>
      <c r="Q51" s="95"/>
    </row>
    <row r="52" spans="1:17" s="2" customFormat="1" ht="12" customHeight="1">
      <c r="D52" s="22"/>
      <c r="E52" s="22"/>
      <c r="J52" s="5"/>
      <c r="K52" s="5"/>
      <c r="L52" s="5"/>
      <c r="M52" s="5"/>
      <c r="N52" s="5"/>
      <c r="O52" s="5"/>
      <c r="P52" s="88"/>
      <c r="Q52" s="96"/>
    </row>
    <row r="53" spans="1:17" s="2" customFormat="1" ht="12" customHeight="1">
      <c r="D53" s="22"/>
      <c r="E53" s="22"/>
      <c r="J53" s="5"/>
      <c r="K53" s="5"/>
      <c r="L53" s="5"/>
      <c r="M53" s="5"/>
      <c r="N53" s="5"/>
      <c r="O53" s="5"/>
      <c r="P53" s="88"/>
      <c r="Q53" s="96"/>
    </row>
    <row r="54" spans="1:17" s="2" customFormat="1" ht="12" customHeight="1">
      <c r="D54" s="22"/>
      <c r="E54" s="22"/>
      <c r="J54" s="5"/>
      <c r="K54" s="5"/>
      <c r="L54" s="5"/>
      <c r="M54" s="5"/>
      <c r="N54" s="5"/>
      <c r="O54" s="5"/>
      <c r="P54" s="88"/>
      <c r="Q54" s="96"/>
    </row>
    <row r="55" spans="1:17" s="2" customFormat="1" ht="12" customHeight="1">
      <c r="D55" s="22"/>
      <c r="E55" s="22"/>
      <c r="J55" s="5"/>
      <c r="K55" s="5"/>
      <c r="L55" s="5"/>
      <c r="M55" s="5"/>
      <c r="N55" s="5"/>
      <c r="O55" s="5"/>
      <c r="P55" s="88"/>
      <c r="Q55" s="96"/>
    </row>
    <row r="56" spans="1:17" s="2" customFormat="1" ht="12" customHeight="1">
      <c r="A56"/>
      <c r="B56"/>
      <c r="C56"/>
      <c r="D56" s="23"/>
      <c r="E56" s="23"/>
      <c r="F56"/>
      <c r="G56"/>
      <c r="H56"/>
      <c r="I56"/>
      <c r="J56" s="19"/>
      <c r="K56" s="19"/>
      <c r="L56" s="19"/>
      <c r="M56" s="19"/>
      <c r="N56" s="19"/>
      <c r="O56" s="19"/>
      <c r="P56" s="90"/>
      <c r="Q56" s="96"/>
    </row>
    <row r="57" spans="1:17" s="2" customFormat="1" ht="12" customHeight="1">
      <c r="A57"/>
      <c r="B57"/>
      <c r="C57"/>
      <c r="D57" s="23"/>
      <c r="E57" s="23"/>
      <c r="F57"/>
      <c r="G57"/>
      <c r="H57"/>
      <c r="I57"/>
      <c r="J57" s="19"/>
      <c r="K57" s="19"/>
      <c r="L57" s="19"/>
      <c r="M57" s="19"/>
      <c r="N57" s="19"/>
      <c r="O57" s="19"/>
      <c r="P57" s="90"/>
      <c r="Q57" s="96"/>
    </row>
    <row r="58" spans="1:17" s="2" customFormat="1" ht="12" customHeight="1">
      <c r="A58"/>
      <c r="B58"/>
      <c r="C58"/>
      <c r="D58" s="23"/>
      <c r="E58" s="23"/>
      <c r="F58"/>
      <c r="G58"/>
      <c r="H58"/>
      <c r="I58"/>
      <c r="J58" s="19"/>
      <c r="K58" s="19"/>
      <c r="L58" s="19"/>
      <c r="M58" s="19"/>
      <c r="N58" s="19"/>
      <c r="O58" s="19"/>
      <c r="P58" s="90"/>
      <c r="Q58" s="96"/>
    </row>
    <row r="59" spans="1:17" s="2" customFormat="1" ht="12" customHeight="1">
      <c r="A59"/>
      <c r="B59"/>
      <c r="C59"/>
      <c r="D59" s="23"/>
      <c r="E59" s="23"/>
      <c r="F59"/>
      <c r="G59"/>
      <c r="H59"/>
      <c r="I59"/>
      <c r="J59" s="19"/>
      <c r="K59" s="19"/>
      <c r="L59" s="19"/>
      <c r="M59" s="19"/>
      <c r="N59" s="19"/>
      <c r="O59" s="19"/>
      <c r="P59" s="90"/>
      <c r="Q59" s="96"/>
    </row>
    <row r="60" spans="1:17" s="2" customFormat="1" ht="12" customHeight="1">
      <c r="A60"/>
      <c r="B60"/>
      <c r="C60"/>
      <c r="D60" s="23"/>
      <c r="E60" s="23"/>
      <c r="F60"/>
      <c r="G60"/>
      <c r="H60"/>
      <c r="I60"/>
      <c r="J60" s="19"/>
      <c r="K60" s="19"/>
      <c r="L60" s="19"/>
      <c r="M60" s="19"/>
      <c r="N60" s="19"/>
      <c r="O60" s="19"/>
      <c r="P60" s="90"/>
      <c r="Q60" s="96"/>
    </row>
    <row r="61" spans="1:17">
      <c r="Q61" s="96"/>
    </row>
    <row r="62" spans="1:17">
      <c r="Q62" s="96"/>
    </row>
    <row r="63" spans="1:17">
      <c r="Q63" s="96"/>
    </row>
    <row r="64" spans="1:17">
      <c r="Q64" s="96"/>
    </row>
    <row r="65" spans="17:17">
      <c r="Q65" s="96"/>
    </row>
    <row r="66" spans="17:17">
      <c r="Q66" s="96"/>
    </row>
    <row r="67" spans="17:17">
      <c r="Q67" s="96"/>
    </row>
    <row r="68" spans="17:17">
      <c r="Q68" s="96"/>
    </row>
    <row r="69" spans="17:17">
      <c r="Q69" s="96"/>
    </row>
    <row r="70" spans="17:17">
      <c r="Q70" s="96"/>
    </row>
    <row r="71" spans="17:17">
      <c r="Q71" s="96"/>
    </row>
    <row r="72" spans="17:17">
      <c r="Q72" s="96"/>
    </row>
    <row r="73" spans="17:17">
      <c r="Q73" s="96"/>
    </row>
    <row r="74" spans="17:17">
      <c r="Q74" s="96"/>
    </row>
    <row r="75" spans="17:17">
      <c r="Q75" s="96"/>
    </row>
    <row r="76" spans="17:17">
      <c r="Q76" s="96"/>
    </row>
    <row r="77" spans="17:17">
      <c r="Q77" s="96"/>
    </row>
    <row r="78" spans="17:17">
      <c r="Q78" s="96"/>
    </row>
    <row r="79" spans="17:17">
      <c r="Q79" s="96"/>
    </row>
    <row r="80" spans="17:17">
      <c r="Q80" s="96"/>
    </row>
    <row r="117" ht="12" customHeight="1"/>
    <row r="118" ht="12" customHeight="1"/>
    <row r="119" ht="12" customHeight="1"/>
    <row r="120" ht="12" customHeight="1"/>
    <row r="121" ht="12" customHeight="1"/>
    <row r="122" ht="12" customHeight="1"/>
    <row r="123" ht="12" customHeight="1"/>
    <row r="124" ht="12" customHeight="1"/>
    <row r="125" ht="12" customHeight="1"/>
    <row r="126" ht="12" customHeight="1"/>
    <row r="127" ht="12" customHeight="1"/>
    <row r="128" ht="12" customHeight="1"/>
    <row r="129" ht="12" customHeight="1"/>
    <row r="130" ht="12" customHeight="1"/>
    <row r="131" ht="12" customHeight="1"/>
    <row r="132" ht="12" customHeight="1"/>
    <row r="133" ht="12" customHeight="1"/>
    <row r="134" ht="12" customHeight="1"/>
    <row r="135" ht="12" customHeight="1"/>
    <row r="136" ht="12" customHeight="1"/>
    <row r="137" ht="12" customHeight="1"/>
    <row r="138" ht="12" customHeight="1"/>
    <row r="139" ht="12" customHeight="1"/>
    <row r="140" ht="12" customHeight="1"/>
    <row r="141" ht="12" customHeight="1"/>
    <row r="142" ht="12" customHeight="1"/>
    <row r="143" ht="12" customHeight="1"/>
    <row r="144" ht="12" customHeight="1"/>
    <row r="145" ht="12" customHeight="1"/>
    <row r="146" ht="12" customHeight="1"/>
    <row r="147" ht="12" customHeight="1"/>
    <row r="148" ht="12" customHeight="1"/>
    <row r="149" ht="12" customHeight="1"/>
    <row r="150" ht="12" customHeight="1"/>
    <row r="151" ht="12" customHeight="1"/>
    <row r="152" ht="12" customHeight="1"/>
    <row r="153" ht="12" customHeight="1"/>
    <row r="154" ht="12" customHeight="1"/>
    <row r="155" ht="12" customHeight="1"/>
    <row r="156" ht="12" customHeight="1"/>
    <row r="157" ht="12" customHeight="1"/>
    <row r="158" ht="12" customHeight="1"/>
    <row r="159" ht="12" customHeight="1"/>
    <row r="160" ht="12" customHeight="1"/>
    <row r="161" ht="12" customHeight="1"/>
    <row r="162" ht="12" customHeight="1"/>
    <row r="163" ht="12" customHeight="1"/>
    <row r="164" ht="12" customHeight="1"/>
    <row r="165" ht="12" customHeight="1"/>
    <row r="166" ht="12" customHeight="1"/>
  </sheetData>
  <mergeCells count="14">
    <mergeCell ref="D11:E11"/>
    <mergeCell ref="D12:E12"/>
    <mergeCell ref="D13:E13"/>
    <mergeCell ref="H13:I13"/>
    <mergeCell ref="D7:E7"/>
    <mergeCell ref="D10:E10"/>
    <mergeCell ref="D8:E8"/>
    <mergeCell ref="D9:E9"/>
    <mergeCell ref="H10:I10"/>
    <mergeCell ref="D1:E1"/>
    <mergeCell ref="D4:E4"/>
    <mergeCell ref="H4:I4"/>
    <mergeCell ref="D5:E5"/>
    <mergeCell ref="D6:E6"/>
  </mergeCells>
  <conditionalFormatting sqref="M5:M9 M11:M12">
    <cfRule type="cellIs" dxfId="376" priority="5" stopIfTrue="1" operator="lessThanOrEqual">
      <formula>$L5</formula>
    </cfRule>
    <cfRule type="cellIs" dxfId="375" priority="6" operator="greaterThan">
      <formula>L5</formula>
    </cfRule>
  </conditionalFormatting>
  <pageMargins left="0.7" right="0.7" top="0.75" bottom="0.75" header="0.3" footer="0.3"/>
  <pageSetup paperSize="3" fitToHeight="0" orientation="landscape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24D2BCF-E03C-4232-B7A7-5C2BC2A3323E}">
          <x14:formula1>
            <xm:f>Bolts!$A:$A</xm:f>
          </x14:formula1>
          <xm:sqref>C11:C12</xm:sqref>
        </x14:dataValidation>
        <x14:dataValidation type="list" allowBlank="1" showInputMessage="1" showErrorMessage="1" xr:uid="{EE9DE23F-ADD2-47E6-B0A1-A7C447CD2EDF}">
          <x14:formula1>
            <xm:f>Purchased!$A:$A</xm:f>
          </x14:formula1>
          <xm:sqref>C5:C9</xm:sqref>
        </x14:dataValidation>
      </x14:dataValidations>
    </ext>
  </extLst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BF853F-9D44-437D-99DC-7FB1753298BB}">
  <sheetPr codeName="Sheet73">
    <tabColor theme="3" tint="0.59999389629810485"/>
    <pageSetUpPr fitToPage="1"/>
  </sheetPr>
  <dimension ref="A1:Q174"/>
  <sheetViews>
    <sheetView zoomScaleNormal="100" workbookViewId="0">
      <selection activeCell="B14" sqref="B14:C16"/>
    </sheetView>
  </sheetViews>
  <sheetFormatPr defaultColWidth="9.140625" defaultRowHeight="15"/>
  <cols>
    <col min="1" max="1" width="5.7109375" customWidth="1"/>
    <col min="2" max="2" width="5.42578125" bestFit="1" customWidth="1"/>
    <col min="3" max="3" width="30.7109375" customWidth="1"/>
    <col min="4" max="5" width="20.7109375" style="23" customWidth="1"/>
    <col min="6" max="6" width="16.85546875" bestFit="1" customWidth="1"/>
    <col min="7" max="7" width="9.7109375" customWidth="1"/>
    <col min="8" max="8" width="8.7109375" customWidth="1"/>
    <col min="9" max="9" width="20.7109375" customWidth="1"/>
    <col min="10" max="13" width="11.7109375" style="19" customWidth="1"/>
    <col min="14" max="14" width="11.85546875" style="19" bestFit="1" customWidth="1"/>
    <col min="15" max="15" width="7.7109375" style="19" customWidth="1"/>
    <col min="16" max="16" width="10.7109375" style="90" customWidth="1"/>
    <col min="17" max="17" width="10.7109375" style="97" customWidth="1"/>
  </cols>
  <sheetData>
    <row r="1" spans="1:17" s="55" customFormat="1" ht="12" customHeight="1">
      <c r="A1" s="68" t="s">
        <v>0</v>
      </c>
      <c r="B1" s="69"/>
      <c r="C1" s="69"/>
      <c r="D1" s="262" t="s">
        <v>1</v>
      </c>
      <c r="E1" s="263"/>
      <c r="F1" s="70"/>
      <c r="G1" s="69"/>
      <c r="H1" s="70"/>
      <c r="I1" s="71"/>
      <c r="J1" s="72"/>
      <c r="K1" s="72"/>
      <c r="L1" s="72"/>
      <c r="M1" s="72"/>
      <c r="N1" s="72"/>
      <c r="O1" s="72"/>
      <c r="P1" s="85"/>
      <c r="Q1" s="91"/>
    </row>
    <row r="2" spans="1:17" s="55" customFormat="1" ht="12" customHeight="1">
      <c r="A2" s="74" t="s">
        <v>48</v>
      </c>
      <c r="B2" s="58"/>
      <c r="C2" s="57" t="e">
        <f ca="1">VLOOKUP(E3,Assemblies!B:F,4,0)</f>
        <v>#VALUE!</v>
      </c>
      <c r="D2" s="75" t="s">
        <v>3</v>
      </c>
      <c r="E2" s="76" t="e">
        <f ca="1">'GF12'!E2</f>
        <v>#VALUE!</v>
      </c>
      <c r="F2" s="77" t="s">
        <v>4</v>
      </c>
      <c r="G2" s="58" t="str">
        <f>'GF12'!G2</f>
        <v>GH</v>
      </c>
      <c r="H2" s="77" t="s">
        <v>6</v>
      </c>
      <c r="I2" s="59">
        <f>'GF12'!I2</f>
        <v>44775</v>
      </c>
      <c r="J2" s="39"/>
      <c r="K2" s="40" t="s">
        <v>49</v>
      </c>
      <c r="L2" s="41" t="e">
        <f ca="1">VLOOKUP(C2,Assemblies!E:G,3,0)</f>
        <v>#VALUE!</v>
      </c>
      <c r="M2" s="78"/>
      <c r="N2" s="78"/>
      <c r="O2" s="78"/>
      <c r="P2" s="86"/>
      <c r="Q2" s="92"/>
    </row>
    <row r="3" spans="1:17" s="55" customFormat="1" ht="12" customHeight="1" thickBot="1">
      <c r="A3" s="74" t="s">
        <v>7</v>
      </c>
      <c r="B3" s="58"/>
      <c r="C3" s="57" t="e">
        <f ca="1">VLOOKUP(E3,Assemblies!B:F,5,0)</f>
        <v>#VALUE!</v>
      </c>
      <c r="D3" s="75" t="s">
        <v>50</v>
      </c>
      <c r="E3" s="76" t="e">
        <f ca="1">MID(CELL("filename",A1),FIND("]",CELL("filename",A1))+1,256)</f>
        <v>#VALUE!</v>
      </c>
      <c r="F3" s="77" t="s">
        <v>11</v>
      </c>
      <c r="G3" s="58" t="str">
        <f>'GF12'!G3</f>
        <v>GH</v>
      </c>
      <c r="H3" s="77" t="s">
        <v>6</v>
      </c>
      <c r="I3" s="59">
        <f>'GF12'!I3</f>
        <v>44775</v>
      </c>
      <c r="J3" s="78"/>
      <c r="K3" s="78"/>
      <c r="L3" s="78"/>
      <c r="M3" s="78"/>
      <c r="N3" s="78"/>
      <c r="O3" s="78"/>
      <c r="P3" s="86"/>
      <c r="Q3" s="92"/>
    </row>
    <row r="4" spans="1:17" s="56" customFormat="1" ht="12.75" customHeight="1" thickBot="1">
      <c r="A4" s="80" t="s">
        <v>12</v>
      </c>
      <c r="B4" s="81" t="s">
        <v>13</v>
      </c>
      <c r="C4" s="81" t="s">
        <v>14</v>
      </c>
      <c r="D4" s="270" t="s">
        <v>15</v>
      </c>
      <c r="E4" s="271"/>
      <c r="F4" s="104" t="s">
        <v>16</v>
      </c>
      <c r="G4" s="81" t="s">
        <v>17</v>
      </c>
      <c r="H4" s="260" t="s">
        <v>18</v>
      </c>
      <c r="I4" s="261"/>
      <c r="J4" s="81" t="s">
        <v>51</v>
      </c>
      <c r="K4" s="81" t="s">
        <v>20</v>
      </c>
      <c r="L4" s="81" t="s">
        <v>21</v>
      </c>
      <c r="M4" s="81" t="s">
        <v>52</v>
      </c>
      <c r="N4" s="81" t="s">
        <v>22</v>
      </c>
      <c r="O4" s="81" t="s">
        <v>53</v>
      </c>
      <c r="P4" s="107" t="s">
        <v>26</v>
      </c>
      <c r="Q4" s="82" t="s">
        <v>27</v>
      </c>
    </row>
    <row r="5" spans="1:17" s="21" customFormat="1" ht="12.75" customHeight="1">
      <c r="A5" s="66" t="s">
        <v>54</v>
      </c>
      <c r="B5" s="1">
        <v>1</v>
      </c>
      <c r="C5" s="67" t="s">
        <v>796</v>
      </c>
      <c r="D5" s="277" t="e">
        <f ca="1">VLOOKUP(C5,Assemblies!E:S,2,0)</f>
        <v>#N/A</v>
      </c>
      <c r="E5" s="278"/>
      <c r="F5" s="32"/>
      <c r="G5" s="32"/>
      <c r="H5" s="292"/>
      <c r="I5" s="293"/>
      <c r="J5" s="28"/>
      <c r="K5" s="28"/>
      <c r="L5" s="28"/>
      <c r="M5" s="28"/>
      <c r="N5" s="33"/>
      <c r="O5" s="46" t="e">
        <f t="shared" ref="O5:O8" ca="1" si="0">B5*$L$2</f>
        <v>#VALUE!</v>
      </c>
      <c r="P5" s="87">
        <f>'331'!Q41</f>
        <v>2095.3275000000003</v>
      </c>
      <c r="Q5" s="93">
        <f t="shared" ref="Q5:Q8" si="1">B5*P5</f>
        <v>2095.3275000000003</v>
      </c>
    </row>
    <row r="6" spans="1:17" s="21" customFormat="1" ht="12.75" customHeight="1">
      <c r="A6" s="66" t="s">
        <v>56</v>
      </c>
      <c r="B6" s="1">
        <v>1</v>
      </c>
      <c r="C6" s="67" t="s">
        <v>797</v>
      </c>
      <c r="D6" s="277" t="e">
        <f ca="1">VLOOKUP(C6,Assemblies!E:S,2,0)</f>
        <v>#N/A</v>
      </c>
      <c r="E6" s="278"/>
      <c r="F6" s="32"/>
      <c r="G6" s="32"/>
      <c r="H6" s="292"/>
      <c r="I6" s="293"/>
      <c r="J6" s="28"/>
      <c r="K6" s="28"/>
      <c r="L6" s="28"/>
      <c r="M6" s="28"/>
      <c r="N6" s="33"/>
      <c r="O6" s="46" t="e">
        <f t="shared" ca="1" si="0"/>
        <v>#VALUE!</v>
      </c>
      <c r="P6" s="87">
        <f>'332'!Q38</f>
        <v>4089.7511</v>
      </c>
      <c r="Q6" s="93">
        <f t="shared" si="1"/>
        <v>4089.7511</v>
      </c>
    </row>
    <row r="7" spans="1:17" s="21" customFormat="1" ht="12.75" customHeight="1">
      <c r="A7" s="66" t="s">
        <v>58</v>
      </c>
      <c r="B7" s="1">
        <v>1</v>
      </c>
      <c r="C7" s="67" t="s">
        <v>798</v>
      </c>
      <c r="D7" s="277" t="e">
        <f ca="1">VLOOKUP(C7,Assemblies!E:S,2,0)</f>
        <v>#N/A</v>
      </c>
      <c r="E7" s="278"/>
      <c r="F7" s="32"/>
      <c r="G7" s="32"/>
      <c r="H7" s="292"/>
      <c r="I7" s="293"/>
      <c r="J7" s="28"/>
      <c r="K7" s="28"/>
      <c r="L7" s="28"/>
      <c r="M7" s="28"/>
      <c r="N7" s="33"/>
      <c r="O7" s="46" t="e">
        <f t="shared" ca="1" si="0"/>
        <v>#VALUE!</v>
      </c>
      <c r="P7" s="87">
        <f>'333'!Q38</f>
        <v>4215.1113500000001</v>
      </c>
      <c r="Q7" s="93">
        <f t="shared" si="1"/>
        <v>4215.1113500000001</v>
      </c>
    </row>
    <row r="8" spans="1:17" s="21" customFormat="1" ht="12.75" customHeight="1">
      <c r="A8" s="66" t="s">
        <v>60</v>
      </c>
      <c r="B8" s="1">
        <v>1</v>
      </c>
      <c r="C8" s="67" t="s">
        <v>799</v>
      </c>
      <c r="D8" s="277" t="e">
        <f ca="1">VLOOKUP(C8,Assemblies!E:S,2,0)</f>
        <v>#N/A</v>
      </c>
      <c r="E8" s="278"/>
      <c r="F8" s="32"/>
      <c r="G8" s="32"/>
      <c r="H8" s="292"/>
      <c r="I8" s="293"/>
      <c r="J8" s="28"/>
      <c r="K8" s="28"/>
      <c r="L8" s="28"/>
      <c r="M8" s="28"/>
      <c r="N8" s="33"/>
      <c r="O8" s="46" t="e">
        <f t="shared" ca="1" si="0"/>
        <v>#VALUE!</v>
      </c>
      <c r="P8" s="87">
        <f>'334'!Q24</f>
        <v>3402.3664000000003</v>
      </c>
      <c r="Q8" s="93">
        <f t="shared" si="1"/>
        <v>3402.3664000000003</v>
      </c>
    </row>
    <row r="9" spans="1:17" s="2" customFormat="1" ht="12.75" customHeight="1">
      <c r="A9" s="143"/>
      <c r="B9" s="26"/>
      <c r="C9" s="26"/>
      <c r="D9" s="272"/>
      <c r="E9" s="273"/>
      <c r="F9" s="26"/>
      <c r="G9" s="26"/>
      <c r="H9" s="274"/>
      <c r="I9" s="275"/>
      <c r="J9" s="27"/>
      <c r="K9" s="27"/>
      <c r="L9" s="27"/>
      <c r="M9" s="28"/>
      <c r="N9" s="29"/>
      <c r="O9" s="29"/>
      <c r="P9" s="141"/>
      <c r="Q9" s="142"/>
    </row>
    <row r="10" spans="1:17" s="2" customFormat="1" ht="12.75" customHeight="1">
      <c r="A10" s="4">
        <v>301</v>
      </c>
      <c r="B10" s="2">
        <v>4</v>
      </c>
      <c r="C10" s="114" t="s">
        <v>243</v>
      </c>
      <c r="D10" s="268" t="str">
        <f>VLOOKUP(C10,Purchased!A:B,2,0)</f>
        <v>BRX GOTO QUICK CONNECTOR N10 90°</v>
      </c>
      <c r="E10" s="269"/>
      <c r="F10" s="112" t="str">
        <f>VLOOKUP(C10,Purchased!A:Q,9,0)</f>
        <v>BRX</v>
      </c>
      <c r="G10" s="112" t="str">
        <f>VLOOKUP(C10,Purchased!A:Q,10,0)</f>
        <v>AAP</v>
      </c>
      <c r="H10" s="112" t="str">
        <f>VLOOKUP(C10,Purchased!A:Q,12,0)</f>
        <v xml:space="preserve">  </v>
      </c>
      <c r="I10" s="113"/>
      <c r="J10" s="44" t="str">
        <f>VLOOKUP(C10,Purchased!A:Q,13,0)</f>
        <v>N/A</v>
      </c>
      <c r="K10" s="44">
        <f>VLOOKUP(C10,Purchased!A:Q,14,0)</f>
        <v>45089</v>
      </c>
      <c r="L10" s="44">
        <f>VLOOKUP(C10,Purchased!A:Q,15,0)</f>
        <v>45124</v>
      </c>
      <c r="M10" s="44">
        <f>VLOOKUP(C10,Purchased!A:Q,16,0)</f>
        <v>45124</v>
      </c>
      <c r="N10" s="45">
        <f>VLOOKUP(C10,Purchased!A:Q,17,0)</f>
        <v>54927</v>
      </c>
      <c r="O10" s="45" t="e">
        <f t="shared" ref="O10:O11" ca="1" si="2">B10*$L$2</f>
        <v>#VALUE!</v>
      </c>
      <c r="P10" s="49">
        <f>IFERROR(VLOOKUP(C10,Purchased!A:E,3,FALSE),"")</f>
        <v>5.2857000000000003</v>
      </c>
      <c r="Q10" s="50">
        <f t="shared" ref="Q10:Q11" si="3">IFERROR(B10*P10,"")</f>
        <v>21.142800000000001</v>
      </c>
    </row>
    <row r="11" spans="1:17" s="2" customFormat="1" ht="12" customHeight="1">
      <c r="A11" s="4">
        <f t="shared" ref="A11:A12" si="4">A10+1</f>
        <v>302</v>
      </c>
      <c r="B11" s="2">
        <v>12</v>
      </c>
      <c r="C11" s="114" t="s">
        <v>244</v>
      </c>
      <c r="D11" s="268" t="str">
        <f>VLOOKUP(C11,Purchased!A:B,2,0)</f>
        <v>BRX GOTO QUICK CONNECTOR N10 0°</v>
      </c>
      <c r="E11" s="269"/>
      <c r="F11" s="112" t="str">
        <f>VLOOKUP(C11,Purchased!A:Q,9,0)</f>
        <v>BRX</v>
      </c>
      <c r="G11" s="112" t="str">
        <f>VLOOKUP(C11,Purchased!A:Q,10,0)</f>
        <v>AAP</v>
      </c>
      <c r="H11" s="112" t="str">
        <f>VLOOKUP(C11,Purchased!A:Q,12,0)</f>
        <v>17 in stock</v>
      </c>
      <c r="I11" s="113"/>
      <c r="J11" s="44" t="str">
        <f>VLOOKUP(C11,Purchased!A:Q,13,0)</f>
        <v>N/A</v>
      </c>
      <c r="K11" s="44">
        <f>VLOOKUP(C11,Purchased!A:Q,14,0)</f>
        <v>45089</v>
      </c>
      <c r="L11" s="44">
        <f>VLOOKUP(C11,Purchased!A:Q,15,0)</f>
        <v>45124</v>
      </c>
      <c r="M11" s="44">
        <f>VLOOKUP(C11,Purchased!A:Q,16,0)</f>
        <v>45124</v>
      </c>
      <c r="N11" s="45" t="str">
        <f>VLOOKUP(C11,Purchased!A:Q,17,0)</f>
        <v>500x54927, 500x55060</v>
      </c>
      <c r="O11" s="45" t="e">
        <f t="shared" ca="1" si="2"/>
        <v>#VALUE!</v>
      </c>
      <c r="P11" s="49">
        <f>IFERROR(VLOOKUP(C11,Purchased!A:E,3,FALSE),"")</f>
        <v>5.2857000000000003</v>
      </c>
      <c r="Q11" s="50">
        <f t="shared" si="3"/>
        <v>63.428400000000003</v>
      </c>
    </row>
    <row r="12" spans="1:17" s="2" customFormat="1" ht="12" customHeight="1">
      <c r="A12" s="4">
        <f t="shared" si="4"/>
        <v>303</v>
      </c>
      <c r="B12" s="2">
        <v>2</v>
      </c>
      <c r="C12" s="114" t="s">
        <v>800</v>
      </c>
      <c r="D12" s="268" t="str">
        <f>VLOOKUP(C12,Purchased!A:B,2,0)</f>
        <v>BRX 45X90 GREY END CAP</v>
      </c>
      <c r="E12" s="269"/>
      <c r="F12" s="112" t="str">
        <f>VLOOKUP(C12,Purchased!A:Q,9,0)</f>
        <v>BRX</v>
      </c>
      <c r="G12" s="112" t="str">
        <f>VLOOKUP(C12,Purchased!A:Q,10,0)</f>
        <v>AAP</v>
      </c>
      <c r="H12" s="112" t="str">
        <f>VLOOKUP(C12,Purchased!A:Q,12,0)</f>
        <v xml:space="preserve"> </v>
      </c>
      <c r="I12" s="113"/>
      <c r="J12" s="44" t="str">
        <f>VLOOKUP(C12,Purchased!A:Q,13,0)</f>
        <v>N/A</v>
      </c>
      <c r="K12" s="44">
        <f>VLOOKUP(C12,Purchased!A:Q,14,0)</f>
        <v>45196</v>
      </c>
      <c r="L12" s="44">
        <f>VLOOKUP(C12,Purchased!A:Q,15,0)</f>
        <v>45203</v>
      </c>
      <c r="M12" s="44">
        <f>VLOOKUP(C12,Purchased!A:Q,16,0)</f>
        <v>0</v>
      </c>
      <c r="N12" s="45">
        <f>VLOOKUP(C12,Purchased!A:Q,17,0)</f>
        <v>55169</v>
      </c>
      <c r="O12" s="45" t="e">
        <f t="shared" ref="O12" ca="1" si="5">B12*$L$2</f>
        <v>#VALUE!</v>
      </c>
      <c r="P12" s="49">
        <f>IFERROR(VLOOKUP(C12,Purchased!A:E,3,FALSE),"")</f>
        <v>2.4571000000000001</v>
      </c>
      <c r="Q12" s="50">
        <f t="shared" ref="Q12" si="6">IFERROR(B12*P12,"")</f>
        <v>4.9142000000000001</v>
      </c>
    </row>
    <row r="13" spans="1:17" s="2" customFormat="1" ht="12" customHeight="1">
      <c r="A13" s="25"/>
      <c r="B13" s="26"/>
      <c r="C13" s="26"/>
      <c r="D13" s="272"/>
      <c r="E13" s="273"/>
      <c r="F13" s="26"/>
      <c r="G13" s="26"/>
      <c r="H13" s="274"/>
      <c r="I13" s="275"/>
      <c r="J13" s="27"/>
      <c r="K13" s="27"/>
      <c r="L13" s="27"/>
      <c r="M13" s="28"/>
      <c r="N13" s="29"/>
      <c r="O13" s="29" t="e">
        <f ca="1">B13*$L$2</f>
        <v>#VALUE!</v>
      </c>
      <c r="P13" s="141"/>
      <c r="Q13" s="142"/>
    </row>
    <row r="14" spans="1:17" s="2" customFormat="1" ht="12" customHeight="1">
      <c r="A14" s="4">
        <v>501</v>
      </c>
      <c r="B14" s="2">
        <v>4</v>
      </c>
      <c r="C14" s="110" t="s">
        <v>801</v>
      </c>
      <c r="D14" s="268"/>
      <c r="E14" s="276"/>
      <c r="F14" s="112" t="str">
        <f>VLOOKUP(C14,Bolts!A:L,5,0)</f>
        <v xml:space="preserve">  </v>
      </c>
      <c r="G14" s="112" t="str">
        <f>VLOOKUP(C14,Bolts!A:L,6,0)</f>
        <v>Monroe Fasteners</v>
      </c>
      <c r="H14" s="112" t="str">
        <f>VLOOKUP(C14,Bolts!A:L,7,0)</f>
        <v xml:space="preserve">  </v>
      </c>
      <c r="I14" s="112"/>
      <c r="J14" s="44" t="str">
        <f>VLOOKUP(C14,Bolts!A:L,8,0)</f>
        <v xml:space="preserve"> </v>
      </c>
      <c r="K14" s="44" t="str">
        <f>VLOOKUP(C14,Bolts!A:L,9,0)</f>
        <v xml:space="preserve"> </v>
      </c>
      <c r="L14" s="44" t="str">
        <f>VLOOKUP(C14,Bolts!A:L,10,0)</f>
        <v xml:space="preserve"> </v>
      </c>
      <c r="M14" s="44" t="str">
        <f>VLOOKUP(C14,Bolts!A:L,11,0)</f>
        <v xml:space="preserve"> </v>
      </c>
      <c r="N14" s="45" t="str">
        <f>VLOOKUP(C14,Bolts!A:L,12,0)</f>
        <v xml:space="preserve"> </v>
      </c>
      <c r="O14" s="45" t="e">
        <f ca="1">B14*$L$2</f>
        <v>#VALUE!</v>
      </c>
      <c r="P14" s="49" t="str">
        <f>IFERROR(VLOOKUP(C14,Bolts!A:B,2,FALSE),"")</f>
        <v xml:space="preserve"> </v>
      </c>
      <c r="Q14" s="50" t="str">
        <f>IFERROR(B14*P14,"")</f>
        <v/>
      </c>
    </row>
    <row r="15" spans="1:17" s="2" customFormat="1" ht="12" customHeight="1">
      <c r="A15" s="4">
        <f>A14+1</f>
        <v>502</v>
      </c>
      <c r="B15" s="2">
        <v>4</v>
      </c>
      <c r="C15" s="110" t="s">
        <v>802</v>
      </c>
      <c r="D15" s="268"/>
      <c r="E15" s="276"/>
      <c r="F15" s="112" t="str">
        <f>VLOOKUP(C15,Bolts!A:L,5,0)</f>
        <v xml:space="preserve">  </v>
      </c>
      <c r="G15" s="112" t="str">
        <f>VLOOKUP(C15,Bolts!A:L,6,0)</f>
        <v>Monroe Fasteners</v>
      </c>
      <c r="H15" s="112" t="str">
        <f>VLOOKUP(C15,Bolts!A:L,7,0)</f>
        <v xml:space="preserve">  </v>
      </c>
      <c r="I15" s="112"/>
      <c r="J15" s="44" t="str">
        <f>VLOOKUP(C15,Bolts!A:L,8,0)</f>
        <v xml:space="preserve"> </v>
      </c>
      <c r="K15" s="44" t="str">
        <f>VLOOKUP(C15,Bolts!A:L,9,0)</f>
        <v xml:space="preserve"> </v>
      </c>
      <c r="L15" s="44" t="str">
        <f>VLOOKUP(C15,Bolts!A:L,10,0)</f>
        <v xml:space="preserve"> </v>
      </c>
      <c r="M15" s="44" t="str">
        <f>VLOOKUP(C15,Bolts!A:L,11,0)</f>
        <v xml:space="preserve"> </v>
      </c>
      <c r="N15" s="45" t="str">
        <f>VLOOKUP(C15,Bolts!A:L,12,0)</f>
        <v xml:space="preserve"> </v>
      </c>
      <c r="O15" s="45" t="e">
        <f ca="1">B15*$L$2</f>
        <v>#VALUE!</v>
      </c>
      <c r="P15" s="49" t="str">
        <f>IFERROR(VLOOKUP(C15,Bolts!A:B,2,FALSE),"")</f>
        <v xml:space="preserve"> </v>
      </c>
      <c r="Q15" s="50" t="str">
        <f>IFERROR(B15*P15,"")</f>
        <v/>
      </c>
    </row>
    <row r="16" spans="1:17" s="2" customFormat="1" ht="12" customHeight="1">
      <c r="A16" s="4">
        <f>A15+1</f>
        <v>503</v>
      </c>
      <c r="B16" s="2">
        <v>4</v>
      </c>
      <c r="C16" s="110" t="s">
        <v>803</v>
      </c>
      <c r="D16" s="268"/>
      <c r="E16" s="276"/>
      <c r="F16" s="112" t="str">
        <f>VLOOKUP(C16,Bolts!A:L,5,0)</f>
        <v xml:space="preserve">  </v>
      </c>
      <c r="G16" s="112" t="str">
        <f>VLOOKUP(C16,Bolts!A:L,6,0)</f>
        <v>Monroe Fasteners</v>
      </c>
      <c r="H16" s="112" t="str">
        <f>VLOOKUP(C16,Bolts!A:L,7,0)</f>
        <v xml:space="preserve">  </v>
      </c>
      <c r="I16" s="112"/>
      <c r="J16" s="44" t="str">
        <f>VLOOKUP(C16,Bolts!A:L,8,0)</f>
        <v xml:space="preserve"> </v>
      </c>
      <c r="K16" s="44" t="str">
        <f>VLOOKUP(C16,Bolts!A:L,9,0)</f>
        <v xml:space="preserve"> </v>
      </c>
      <c r="L16" s="44" t="str">
        <f>VLOOKUP(C16,Bolts!A:L,10,0)</f>
        <v xml:space="preserve"> </v>
      </c>
      <c r="M16" s="44" t="str">
        <f>VLOOKUP(C16,Bolts!A:L,11,0)</f>
        <v xml:space="preserve"> </v>
      </c>
      <c r="N16" s="45" t="str">
        <f>VLOOKUP(C16,Bolts!A:L,12,0)</f>
        <v xml:space="preserve"> </v>
      </c>
      <c r="O16" s="45" t="e">
        <f ca="1">B16*$L$2</f>
        <v>#VALUE!</v>
      </c>
      <c r="P16" s="49" t="str">
        <f>IFERROR(VLOOKUP(C16,Bolts!A:B,2,FALSE),"")</f>
        <v xml:space="preserve"> </v>
      </c>
      <c r="Q16" s="50" t="str">
        <f>IFERROR(B16*P16,"")</f>
        <v/>
      </c>
    </row>
    <row r="17" spans="1:17" s="2" customFormat="1" ht="12.75" customHeight="1">
      <c r="A17" s="25"/>
      <c r="B17" s="26"/>
      <c r="C17" s="26"/>
      <c r="D17" s="272"/>
      <c r="E17" s="273"/>
      <c r="F17" s="26"/>
      <c r="G17" s="26"/>
      <c r="H17" s="274"/>
      <c r="I17" s="275"/>
      <c r="J17" s="27"/>
      <c r="K17" s="27"/>
      <c r="L17" s="27"/>
      <c r="M17" s="28"/>
      <c r="N17" s="29"/>
      <c r="O17" s="29"/>
      <c r="P17" s="141"/>
      <c r="Q17" s="142"/>
    </row>
    <row r="18" spans="1:17" s="2" customFormat="1" ht="12.75" customHeight="1">
      <c r="A18" s="4">
        <v>701</v>
      </c>
      <c r="B18" s="2">
        <v>2</v>
      </c>
      <c r="C18" s="111" t="s">
        <v>804</v>
      </c>
      <c r="D18" s="268" t="str">
        <f>VLOOKUP(C18,Extrusion!B:C,2,0)</f>
        <v>Assy .330</v>
      </c>
      <c r="E18" s="269"/>
      <c r="F18" s="112" t="str">
        <f>VLOOKUP(C18,Extrusion!B:M,6,0)</f>
        <v>BOSCH</v>
      </c>
      <c r="G18" s="112" t="str">
        <f>VLOOKUP(C18,Extrusion!B:M,7,0)</f>
        <v>NULINE</v>
      </c>
      <c r="H18" s="112" t="str">
        <f>VLOOKUP(C18,Extrusion!B:M,8,0)</f>
        <v xml:space="preserve"> </v>
      </c>
      <c r="I18" s="113"/>
      <c r="J18" s="44" t="str">
        <f>VLOOKUP(C18,Extrusion!B:M,9,0)</f>
        <v>N/A</v>
      </c>
      <c r="K18" s="44">
        <f>VLOOKUP(C18,Extrusion!B:M,10,0)</f>
        <v>44894</v>
      </c>
      <c r="L18" s="44">
        <f>VLOOKUP(C18,Extrusion!B:M,11,0)</f>
        <v>44970</v>
      </c>
      <c r="M18" s="44">
        <f>VLOOKUP(C18,Extrusion!B:M,12,0)</f>
        <v>44970</v>
      </c>
      <c r="N18" s="45">
        <f>VLOOKUP(C18,Extrusion!B:N,13,0)</f>
        <v>54598</v>
      </c>
      <c r="O18" s="45" t="e">
        <f t="shared" ref="O18:O20" ca="1" si="7">B18*$L$2</f>
        <v>#VALUE!</v>
      </c>
      <c r="P18" s="49">
        <f>IFERROR(VLOOKUP(C18,Extrusion!B:F,5,0),"")</f>
        <v>34.900406775</v>
      </c>
      <c r="Q18" s="50">
        <f t="shared" ref="Q18:Q20" si="8">IFERROR(B18*P18,"")</f>
        <v>69.800813550000001</v>
      </c>
    </row>
    <row r="19" spans="1:17" s="2" customFormat="1" ht="12" customHeight="1">
      <c r="A19" s="4">
        <f t="shared" ref="A19:A20" si="9">A18+1</f>
        <v>702</v>
      </c>
      <c r="B19" s="2">
        <v>2</v>
      </c>
      <c r="C19" s="111" t="s">
        <v>805</v>
      </c>
      <c r="D19" s="268" t="str">
        <f>VLOOKUP(C19,Extrusion!B:C,2,0)</f>
        <v>Assy .330</v>
      </c>
      <c r="E19" s="269"/>
      <c r="F19" s="112" t="str">
        <f>VLOOKUP(C19,Extrusion!B:M,6,0)</f>
        <v>BOSCH</v>
      </c>
      <c r="G19" s="112" t="str">
        <f>VLOOKUP(C19,Extrusion!B:M,7,0)</f>
        <v>NULINE</v>
      </c>
      <c r="H19" s="112" t="str">
        <f>VLOOKUP(C19,Extrusion!B:M,8,0)</f>
        <v xml:space="preserve"> </v>
      </c>
      <c r="I19" s="113"/>
      <c r="J19" s="44" t="str">
        <f>VLOOKUP(C19,Extrusion!B:M,9,0)</f>
        <v>N/A</v>
      </c>
      <c r="K19" s="44">
        <f>VLOOKUP(C19,Extrusion!B:M,10,0)</f>
        <v>44894</v>
      </c>
      <c r="L19" s="44">
        <f>VLOOKUP(C19,Extrusion!B:M,11,0)</f>
        <v>44970</v>
      </c>
      <c r="M19" s="44">
        <f>VLOOKUP(C19,Extrusion!B:M,12,0)</f>
        <v>44970</v>
      </c>
      <c r="N19" s="45">
        <f>VLOOKUP(C19,Extrusion!B:N,13,0)</f>
        <v>54598</v>
      </c>
      <c r="O19" s="45" t="e">
        <f t="shared" ca="1" si="7"/>
        <v>#VALUE!</v>
      </c>
      <c r="P19" s="49">
        <f>IFERROR(VLOOKUP(C19,Extrusion!B:F,5,0),"")</f>
        <v>65.512721007500005</v>
      </c>
      <c r="Q19" s="50">
        <f t="shared" si="8"/>
        <v>131.02544201500001</v>
      </c>
    </row>
    <row r="20" spans="1:17" s="2" customFormat="1" ht="12" customHeight="1" thickBot="1">
      <c r="A20" s="4">
        <f t="shared" si="9"/>
        <v>703</v>
      </c>
      <c r="B20" s="2">
        <v>3</v>
      </c>
      <c r="C20" s="111" t="s">
        <v>806</v>
      </c>
      <c r="D20" s="268" t="str">
        <f>VLOOKUP(C20,Extrusion!B:C,2,0)</f>
        <v>Assy .330</v>
      </c>
      <c r="E20" s="269"/>
      <c r="F20" s="112" t="str">
        <f>VLOOKUP(C20,Extrusion!B:M,6,0)</f>
        <v>BOSCH</v>
      </c>
      <c r="G20" s="112" t="str">
        <f>VLOOKUP(C20,Extrusion!B:M,7,0)</f>
        <v>NULINE</v>
      </c>
      <c r="H20" s="112" t="str">
        <f>VLOOKUP(C20,Extrusion!B:M,8,0)</f>
        <v xml:space="preserve"> </v>
      </c>
      <c r="I20" s="113"/>
      <c r="J20" s="44" t="str">
        <f>VLOOKUP(C20,Extrusion!B:M,9,0)</f>
        <v>N/A</v>
      </c>
      <c r="K20" s="44">
        <f>VLOOKUP(C20,Extrusion!B:M,10,0)</f>
        <v>44894</v>
      </c>
      <c r="L20" s="44">
        <f>VLOOKUP(C20,Extrusion!B:M,11,0)</f>
        <v>44970</v>
      </c>
      <c r="M20" s="44">
        <f>VLOOKUP(C20,Extrusion!B:M,12,0)</f>
        <v>44970</v>
      </c>
      <c r="N20" s="45">
        <f>VLOOKUP(C20,Extrusion!B:N,13,0)</f>
        <v>54598</v>
      </c>
      <c r="O20" s="45" t="e">
        <f t="shared" ca="1" si="7"/>
        <v>#VALUE!</v>
      </c>
      <c r="P20" s="49">
        <f>IFERROR(VLOOKUP(C20,Extrusion!B:F,5,0),"")</f>
        <v>22.0993435</v>
      </c>
      <c r="Q20" s="50">
        <f t="shared" si="8"/>
        <v>66.298030499999996</v>
      </c>
    </row>
    <row r="21" spans="1:17" s="2" customFormat="1" ht="12.75" customHeight="1" thickBot="1">
      <c r="A21" s="34"/>
      <c r="B21" s="35"/>
      <c r="C21" s="35"/>
      <c r="D21" s="256"/>
      <c r="E21" s="257"/>
      <c r="F21" s="35"/>
      <c r="G21" s="35"/>
      <c r="H21" s="294"/>
      <c r="I21" s="295"/>
      <c r="J21" s="36"/>
      <c r="K21" s="36"/>
      <c r="L21" s="36"/>
      <c r="M21" s="37"/>
      <c r="N21" s="38"/>
      <c r="O21" s="38"/>
      <c r="P21" s="89" t="s">
        <v>43</v>
      </c>
      <c r="Q21" s="94">
        <f>SUM(Q5:Q20)</f>
        <v>14159.166036065</v>
      </c>
    </row>
    <row r="22" spans="1:17" s="2" customFormat="1" ht="12" customHeight="1">
      <c r="D22" s="22"/>
      <c r="E22" s="22"/>
      <c r="J22" s="8"/>
      <c r="K22" s="8"/>
      <c r="L22" s="8"/>
      <c r="M22" s="8"/>
      <c r="N22" s="5"/>
      <c r="O22" s="5"/>
      <c r="P22" s="88"/>
      <c r="Q22" s="95"/>
    </row>
    <row r="23" spans="1:17" s="2" customFormat="1" ht="12" customHeight="1">
      <c r="D23" s="22"/>
      <c r="E23" s="22"/>
      <c r="J23" s="5"/>
      <c r="K23" s="5"/>
      <c r="L23" s="5"/>
      <c r="M23" s="5"/>
      <c r="N23" s="5"/>
      <c r="O23" s="5"/>
      <c r="P23" s="88"/>
      <c r="Q23" s="95"/>
    </row>
    <row r="24" spans="1:17" s="2" customFormat="1" ht="12" customHeight="1">
      <c r="D24" s="22"/>
      <c r="E24" s="22"/>
      <c r="J24" s="5"/>
      <c r="K24" s="5"/>
      <c r="L24" s="5"/>
      <c r="M24" s="5"/>
      <c r="N24" s="5"/>
      <c r="O24" s="5"/>
      <c r="P24" s="88"/>
      <c r="Q24" s="95"/>
    </row>
    <row r="25" spans="1:17" s="2" customFormat="1" ht="12" customHeight="1">
      <c r="D25" s="22"/>
      <c r="E25" s="22"/>
      <c r="J25" s="5"/>
      <c r="K25" s="5"/>
      <c r="L25" s="5"/>
      <c r="M25" s="5"/>
      <c r="N25" s="5"/>
      <c r="O25" s="5"/>
      <c r="P25" s="88"/>
      <c r="Q25" s="95"/>
    </row>
    <row r="26" spans="1:17" s="2" customFormat="1" ht="12" customHeight="1">
      <c r="D26" s="22"/>
      <c r="E26" s="22"/>
      <c r="J26" s="5"/>
      <c r="K26" s="5"/>
      <c r="L26" s="5"/>
      <c r="M26" s="5"/>
      <c r="N26" s="5"/>
      <c r="O26" s="5"/>
      <c r="P26" s="88"/>
      <c r="Q26" s="95"/>
    </row>
    <row r="27" spans="1:17" s="2" customFormat="1" ht="12" customHeight="1">
      <c r="D27" s="22"/>
      <c r="E27" s="22"/>
      <c r="J27" s="5"/>
      <c r="K27" s="5"/>
      <c r="L27" s="5"/>
      <c r="M27" s="5"/>
      <c r="N27" s="5"/>
      <c r="O27" s="5"/>
      <c r="P27" s="88"/>
      <c r="Q27" s="95"/>
    </row>
    <row r="28" spans="1:17" s="2" customFormat="1" ht="12" customHeight="1">
      <c r="D28" s="22"/>
      <c r="E28" s="22"/>
      <c r="J28" s="5"/>
      <c r="K28" s="5"/>
      <c r="L28" s="5"/>
      <c r="M28" s="5"/>
      <c r="N28" s="5"/>
      <c r="O28" s="5"/>
      <c r="P28" s="88"/>
      <c r="Q28" s="95"/>
    </row>
    <row r="29" spans="1:17" s="2" customFormat="1" ht="12" customHeight="1">
      <c r="D29" s="22"/>
      <c r="E29" s="22"/>
      <c r="J29" s="5"/>
      <c r="K29" s="5"/>
      <c r="L29" s="5"/>
      <c r="M29" s="5"/>
      <c r="N29" s="5"/>
      <c r="O29" s="5"/>
      <c r="P29" s="88"/>
      <c r="Q29" s="95"/>
    </row>
    <row r="30" spans="1:17" s="2" customFormat="1" ht="12" customHeight="1">
      <c r="D30" s="22"/>
      <c r="E30" s="22"/>
      <c r="J30" s="5"/>
      <c r="K30" s="5"/>
      <c r="L30" s="5"/>
      <c r="M30" s="5"/>
      <c r="N30" s="5"/>
      <c r="O30" s="5"/>
      <c r="P30" s="88"/>
      <c r="Q30" s="95"/>
    </row>
    <row r="31" spans="1:17" s="2" customFormat="1" ht="12" customHeight="1">
      <c r="D31" s="22"/>
      <c r="E31" s="22"/>
      <c r="J31" s="5"/>
      <c r="K31" s="5"/>
      <c r="L31" s="5"/>
      <c r="M31" s="5"/>
      <c r="N31" s="5"/>
      <c r="O31" s="5"/>
      <c r="P31" s="88"/>
      <c r="Q31" s="95"/>
    </row>
    <row r="32" spans="1:17" s="2" customFormat="1" ht="12" customHeight="1">
      <c r="D32" s="22"/>
      <c r="E32" s="22"/>
      <c r="J32" s="5"/>
      <c r="K32" s="5"/>
      <c r="L32" s="5"/>
      <c r="M32" s="5"/>
      <c r="N32" s="5"/>
      <c r="O32" s="5"/>
      <c r="P32" s="88"/>
      <c r="Q32" s="95"/>
    </row>
    <row r="33" spans="4:17" s="2" customFormat="1" ht="12" customHeight="1">
      <c r="D33" s="22"/>
      <c r="E33" s="22"/>
      <c r="J33" s="5"/>
      <c r="K33" s="5"/>
      <c r="L33" s="5"/>
      <c r="M33" s="5"/>
      <c r="N33" s="5"/>
      <c r="O33" s="5"/>
      <c r="P33" s="88"/>
      <c r="Q33" s="95"/>
    </row>
    <row r="34" spans="4:17" s="2" customFormat="1" ht="12" customHeight="1">
      <c r="D34" s="22"/>
      <c r="E34" s="22"/>
      <c r="J34" s="5"/>
      <c r="K34" s="5"/>
      <c r="L34" s="5"/>
      <c r="M34" s="5"/>
      <c r="N34" s="5"/>
      <c r="O34" s="5"/>
      <c r="P34" s="88"/>
      <c r="Q34" s="95"/>
    </row>
    <row r="35" spans="4:17" s="2" customFormat="1" ht="12" customHeight="1">
      <c r="D35" s="22"/>
      <c r="E35" s="22"/>
      <c r="J35" s="5"/>
      <c r="K35" s="5"/>
      <c r="L35" s="5"/>
      <c r="M35" s="5"/>
      <c r="N35" s="5"/>
      <c r="O35" s="5"/>
      <c r="P35" s="88"/>
      <c r="Q35" s="95"/>
    </row>
    <row r="36" spans="4:17" s="2" customFormat="1" ht="12" customHeight="1">
      <c r="D36" s="22"/>
      <c r="E36" s="22"/>
      <c r="J36" s="5"/>
      <c r="K36" s="5"/>
      <c r="L36" s="5"/>
      <c r="M36" s="5"/>
      <c r="N36" s="5"/>
      <c r="O36" s="5"/>
      <c r="P36" s="88"/>
      <c r="Q36" s="95"/>
    </row>
    <row r="37" spans="4:17" s="2" customFormat="1" ht="12" customHeight="1">
      <c r="D37" s="22"/>
      <c r="E37" s="22"/>
      <c r="J37" s="5"/>
      <c r="K37" s="5"/>
      <c r="L37" s="5"/>
      <c r="M37" s="5"/>
      <c r="N37" s="5"/>
      <c r="O37" s="5"/>
      <c r="P37" s="88"/>
      <c r="Q37" s="95"/>
    </row>
    <row r="38" spans="4:17" s="2" customFormat="1" ht="12" customHeight="1">
      <c r="D38" s="22"/>
      <c r="E38" s="22"/>
      <c r="J38" s="5"/>
      <c r="K38" s="5"/>
      <c r="L38" s="5"/>
      <c r="M38" s="5"/>
      <c r="N38" s="5"/>
      <c r="O38" s="5"/>
      <c r="P38" s="88"/>
      <c r="Q38" s="95"/>
    </row>
    <row r="39" spans="4:17" s="2" customFormat="1" ht="12" customHeight="1">
      <c r="D39" s="22"/>
      <c r="E39" s="22"/>
      <c r="J39" s="5"/>
      <c r="K39" s="5"/>
      <c r="L39" s="5"/>
      <c r="M39" s="5"/>
      <c r="N39" s="5"/>
      <c r="O39" s="5"/>
      <c r="P39" s="88"/>
      <c r="Q39" s="95"/>
    </row>
    <row r="40" spans="4:17" s="2" customFormat="1" ht="12" customHeight="1">
      <c r="D40" s="22"/>
      <c r="E40" s="22"/>
      <c r="J40" s="5"/>
      <c r="K40" s="5"/>
      <c r="L40" s="5"/>
      <c r="M40" s="5"/>
      <c r="N40" s="5"/>
      <c r="O40" s="5"/>
      <c r="P40" s="88"/>
      <c r="Q40" s="95"/>
    </row>
    <row r="41" spans="4:17" s="2" customFormat="1" ht="12" customHeight="1">
      <c r="D41" s="22"/>
      <c r="E41" s="22"/>
      <c r="J41" s="5"/>
      <c r="K41" s="5"/>
      <c r="L41" s="5"/>
      <c r="M41" s="5"/>
      <c r="N41" s="5"/>
      <c r="O41" s="5"/>
      <c r="P41" s="88"/>
      <c r="Q41" s="95"/>
    </row>
    <row r="42" spans="4:17" s="2" customFormat="1" ht="12" customHeight="1">
      <c r="D42" s="22"/>
      <c r="E42" s="22"/>
      <c r="J42" s="5"/>
      <c r="K42" s="5"/>
      <c r="L42" s="5"/>
      <c r="M42" s="5"/>
      <c r="N42" s="5"/>
      <c r="O42" s="5"/>
      <c r="P42" s="88"/>
      <c r="Q42" s="95"/>
    </row>
    <row r="43" spans="4:17" s="2" customFormat="1" ht="12" customHeight="1">
      <c r="D43" s="22"/>
      <c r="E43" s="22"/>
      <c r="J43" s="5"/>
      <c r="K43" s="5"/>
      <c r="L43" s="5"/>
      <c r="M43" s="5"/>
      <c r="N43" s="5"/>
      <c r="O43" s="5"/>
      <c r="P43" s="88"/>
      <c r="Q43" s="95"/>
    </row>
    <row r="44" spans="4:17" s="2" customFormat="1" ht="12" customHeight="1">
      <c r="D44" s="22"/>
      <c r="E44" s="22"/>
      <c r="J44" s="5"/>
      <c r="K44" s="5"/>
      <c r="L44" s="5"/>
      <c r="M44" s="5"/>
      <c r="N44" s="5"/>
      <c r="O44" s="5"/>
      <c r="P44" s="88"/>
      <c r="Q44" s="95"/>
    </row>
    <row r="45" spans="4:17" s="2" customFormat="1" ht="12" customHeight="1">
      <c r="D45" s="22"/>
      <c r="E45" s="22"/>
      <c r="J45" s="5"/>
      <c r="K45" s="5"/>
      <c r="L45" s="5"/>
      <c r="M45" s="5"/>
      <c r="N45" s="5"/>
      <c r="O45" s="5"/>
      <c r="P45" s="88"/>
      <c r="Q45" s="95"/>
    </row>
    <row r="46" spans="4:17" s="2" customFormat="1" ht="12" customHeight="1">
      <c r="D46" s="22"/>
      <c r="E46" s="22"/>
      <c r="J46" s="5"/>
      <c r="K46" s="5"/>
      <c r="L46" s="5"/>
      <c r="M46" s="5"/>
      <c r="N46" s="5"/>
      <c r="O46" s="5"/>
      <c r="P46" s="88"/>
      <c r="Q46" s="95"/>
    </row>
    <row r="47" spans="4:17" s="2" customFormat="1" ht="12" customHeight="1">
      <c r="D47" s="22"/>
      <c r="E47" s="22"/>
      <c r="J47" s="5"/>
      <c r="K47" s="5"/>
      <c r="L47" s="5"/>
      <c r="M47" s="5"/>
      <c r="N47" s="5"/>
      <c r="O47" s="5"/>
      <c r="P47" s="88"/>
      <c r="Q47" s="95"/>
    </row>
    <row r="48" spans="4:17" s="2" customFormat="1" ht="12" customHeight="1">
      <c r="D48" s="22"/>
      <c r="E48" s="22"/>
      <c r="J48" s="5"/>
      <c r="K48" s="5"/>
      <c r="L48" s="5"/>
      <c r="M48" s="5"/>
      <c r="N48" s="5"/>
      <c r="O48" s="5"/>
      <c r="P48" s="88"/>
      <c r="Q48" s="95"/>
    </row>
    <row r="49" spans="1:17" s="2" customFormat="1" ht="12" customHeight="1">
      <c r="D49" s="22"/>
      <c r="E49" s="22"/>
      <c r="J49" s="5"/>
      <c r="K49" s="5"/>
      <c r="L49" s="5"/>
      <c r="M49" s="5"/>
      <c r="N49" s="5"/>
      <c r="O49" s="5"/>
      <c r="P49" s="88"/>
      <c r="Q49" s="95"/>
    </row>
    <row r="50" spans="1:17" s="2" customFormat="1" ht="12" customHeight="1">
      <c r="D50" s="22"/>
      <c r="E50" s="22"/>
      <c r="J50" s="5"/>
      <c r="K50" s="5"/>
      <c r="L50" s="5"/>
      <c r="M50" s="5"/>
      <c r="N50" s="5"/>
      <c r="O50" s="5"/>
      <c r="P50" s="88"/>
      <c r="Q50" s="95"/>
    </row>
    <row r="51" spans="1:17" s="2" customFormat="1" ht="12" customHeight="1">
      <c r="D51" s="22"/>
      <c r="E51" s="22"/>
      <c r="J51" s="5"/>
      <c r="K51" s="5"/>
      <c r="L51" s="5"/>
      <c r="M51" s="5"/>
      <c r="N51" s="5"/>
      <c r="O51" s="5"/>
      <c r="P51" s="88"/>
      <c r="Q51" s="95"/>
    </row>
    <row r="52" spans="1:17" s="2" customFormat="1" ht="12" customHeight="1">
      <c r="D52" s="22"/>
      <c r="E52" s="22"/>
      <c r="J52" s="5"/>
      <c r="K52" s="5"/>
      <c r="L52" s="5"/>
      <c r="M52" s="5"/>
      <c r="N52" s="5"/>
      <c r="O52" s="5"/>
      <c r="P52" s="88"/>
      <c r="Q52" s="95"/>
    </row>
    <row r="53" spans="1:17" s="2" customFormat="1" ht="12" customHeight="1">
      <c r="D53" s="22"/>
      <c r="E53" s="22"/>
      <c r="J53" s="5"/>
      <c r="K53" s="5"/>
      <c r="L53" s="5"/>
      <c r="M53" s="5"/>
      <c r="N53" s="5"/>
      <c r="O53" s="5"/>
      <c r="P53" s="88"/>
      <c r="Q53" s="95"/>
    </row>
    <row r="54" spans="1:17" s="2" customFormat="1" ht="12" customHeight="1">
      <c r="D54" s="22"/>
      <c r="E54" s="22"/>
      <c r="J54" s="5"/>
      <c r="K54" s="5"/>
      <c r="L54" s="5"/>
      <c r="M54" s="5"/>
      <c r="N54" s="5"/>
      <c r="O54" s="5"/>
      <c r="P54" s="88"/>
      <c r="Q54" s="95"/>
    </row>
    <row r="55" spans="1:17" s="2" customFormat="1" ht="12" customHeight="1">
      <c r="D55" s="22"/>
      <c r="E55" s="22"/>
      <c r="J55" s="5"/>
      <c r="K55" s="5"/>
      <c r="L55" s="5"/>
      <c r="M55" s="5"/>
      <c r="N55" s="5"/>
      <c r="O55" s="5"/>
      <c r="P55" s="88"/>
      <c r="Q55" s="95"/>
    </row>
    <row r="56" spans="1:17" s="2" customFormat="1" ht="12" customHeight="1">
      <c r="D56" s="22"/>
      <c r="E56" s="22"/>
      <c r="J56" s="5"/>
      <c r="K56" s="5"/>
      <c r="L56" s="5"/>
      <c r="M56" s="5"/>
      <c r="N56" s="5"/>
      <c r="O56" s="5"/>
      <c r="P56" s="88"/>
      <c r="Q56" s="95"/>
    </row>
    <row r="57" spans="1:17" s="2" customFormat="1" ht="12" customHeight="1">
      <c r="D57" s="22"/>
      <c r="E57" s="22"/>
      <c r="J57" s="5"/>
      <c r="K57" s="5"/>
      <c r="L57" s="5"/>
      <c r="M57" s="5"/>
      <c r="N57" s="5"/>
      <c r="O57" s="5"/>
      <c r="P57" s="88"/>
      <c r="Q57" s="95"/>
    </row>
    <row r="58" spans="1:17" s="2" customFormat="1" ht="12" customHeight="1">
      <c r="D58" s="22"/>
      <c r="E58" s="22"/>
      <c r="J58" s="5"/>
      <c r="K58" s="5"/>
      <c r="L58" s="5"/>
      <c r="M58" s="5"/>
      <c r="N58" s="5"/>
      <c r="O58" s="5"/>
      <c r="P58" s="88"/>
      <c r="Q58" s="95"/>
    </row>
    <row r="59" spans="1:17" s="2" customFormat="1" ht="12" customHeight="1">
      <c r="D59" s="22"/>
      <c r="E59" s="22"/>
      <c r="J59" s="5"/>
      <c r="K59" s="5"/>
      <c r="L59" s="5"/>
      <c r="M59" s="5"/>
      <c r="N59" s="5"/>
      <c r="O59" s="5"/>
      <c r="P59" s="88"/>
      <c r="Q59" s="95"/>
    </row>
    <row r="60" spans="1:17" s="2" customFormat="1" ht="12" customHeight="1">
      <c r="D60" s="22"/>
      <c r="E60" s="22"/>
      <c r="J60" s="5"/>
      <c r="K60" s="5"/>
      <c r="L60" s="5"/>
      <c r="M60" s="5"/>
      <c r="N60" s="5"/>
      <c r="O60" s="5"/>
      <c r="P60" s="88"/>
      <c r="Q60" s="96"/>
    </row>
    <row r="61" spans="1:17" s="2" customFormat="1" ht="12" customHeight="1">
      <c r="D61" s="22"/>
      <c r="E61" s="22"/>
      <c r="J61" s="5"/>
      <c r="K61" s="5"/>
      <c r="L61" s="5"/>
      <c r="M61" s="5"/>
      <c r="N61" s="5"/>
      <c r="O61" s="5"/>
      <c r="P61" s="88"/>
      <c r="Q61" s="96"/>
    </row>
    <row r="62" spans="1:17" s="2" customFormat="1" ht="12" customHeight="1">
      <c r="D62" s="22"/>
      <c r="E62" s="22"/>
      <c r="J62" s="5"/>
      <c r="K62" s="5"/>
      <c r="L62" s="5"/>
      <c r="M62" s="5"/>
      <c r="N62" s="5"/>
      <c r="O62" s="5"/>
      <c r="P62" s="88"/>
      <c r="Q62" s="96"/>
    </row>
    <row r="63" spans="1:17" s="2" customFormat="1" ht="12" customHeight="1">
      <c r="D63" s="22"/>
      <c r="E63" s="22"/>
      <c r="J63" s="5"/>
      <c r="K63" s="5"/>
      <c r="L63" s="5"/>
      <c r="M63" s="5"/>
      <c r="N63" s="5"/>
      <c r="O63" s="5"/>
      <c r="P63" s="88"/>
      <c r="Q63" s="96"/>
    </row>
    <row r="64" spans="1:17" s="2" customFormat="1" ht="12" customHeight="1">
      <c r="A64"/>
      <c r="B64"/>
      <c r="C64"/>
      <c r="D64" s="23"/>
      <c r="E64" s="23"/>
      <c r="F64"/>
      <c r="G64"/>
      <c r="H64"/>
      <c r="I64"/>
      <c r="J64" s="19"/>
      <c r="K64" s="19"/>
      <c r="L64" s="19"/>
      <c r="M64" s="19"/>
      <c r="N64" s="19"/>
      <c r="O64" s="19"/>
      <c r="P64" s="90"/>
      <c r="Q64" s="96"/>
    </row>
    <row r="65" spans="1:17" s="2" customFormat="1" ht="12" customHeight="1">
      <c r="A65"/>
      <c r="B65"/>
      <c r="C65"/>
      <c r="D65" s="23"/>
      <c r="E65" s="23"/>
      <c r="F65"/>
      <c r="G65"/>
      <c r="H65"/>
      <c r="I65"/>
      <c r="J65" s="19"/>
      <c r="K65" s="19"/>
      <c r="L65" s="19"/>
      <c r="M65" s="19"/>
      <c r="N65" s="19"/>
      <c r="O65" s="19"/>
      <c r="P65" s="90"/>
      <c r="Q65" s="96"/>
    </row>
    <row r="66" spans="1:17" s="2" customFormat="1" ht="12" customHeight="1">
      <c r="A66"/>
      <c r="B66"/>
      <c r="C66"/>
      <c r="D66" s="23"/>
      <c r="E66" s="23"/>
      <c r="F66"/>
      <c r="G66"/>
      <c r="H66"/>
      <c r="I66"/>
      <c r="J66" s="19"/>
      <c r="K66" s="19"/>
      <c r="L66" s="19"/>
      <c r="M66" s="19"/>
      <c r="N66" s="19"/>
      <c r="O66" s="19"/>
      <c r="P66" s="90"/>
      <c r="Q66" s="96"/>
    </row>
    <row r="67" spans="1:17" s="2" customFormat="1" ht="12" customHeight="1">
      <c r="A67"/>
      <c r="B67"/>
      <c r="C67"/>
      <c r="D67" s="23"/>
      <c r="E67" s="23"/>
      <c r="F67"/>
      <c r="G67"/>
      <c r="H67"/>
      <c r="I67"/>
      <c r="J67" s="19"/>
      <c r="K67" s="19"/>
      <c r="L67" s="19"/>
      <c r="M67" s="19"/>
      <c r="N67" s="19"/>
      <c r="O67" s="19"/>
      <c r="P67" s="90"/>
      <c r="Q67" s="96"/>
    </row>
    <row r="68" spans="1:17" s="2" customFormat="1" ht="12" customHeight="1">
      <c r="A68"/>
      <c r="B68"/>
      <c r="C68"/>
      <c r="D68" s="23"/>
      <c r="E68" s="23"/>
      <c r="F68"/>
      <c r="G68"/>
      <c r="H68"/>
      <c r="I68"/>
      <c r="J68" s="19"/>
      <c r="K68" s="19"/>
      <c r="L68" s="19"/>
      <c r="M68" s="19"/>
      <c r="N68" s="19"/>
      <c r="O68" s="19"/>
      <c r="P68" s="90"/>
      <c r="Q68" s="96"/>
    </row>
    <row r="69" spans="1:17">
      <c r="Q69" s="96"/>
    </row>
    <row r="70" spans="1:17">
      <c r="Q70" s="96"/>
    </row>
    <row r="71" spans="1:17">
      <c r="Q71" s="96"/>
    </row>
    <row r="72" spans="1:17">
      <c r="Q72" s="96"/>
    </row>
    <row r="73" spans="1:17">
      <c r="Q73" s="96"/>
    </row>
    <row r="74" spans="1:17">
      <c r="Q74" s="96"/>
    </row>
    <row r="75" spans="1:17">
      <c r="Q75" s="96"/>
    </row>
    <row r="76" spans="1:17">
      <c r="Q76" s="96"/>
    </row>
    <row r="77" spans="1:17">
      <c r="Q77" s="96"/>
    </row>
    <row r="78" spans="1:17">
      <c r="Q78" s="96"/>
    </row>
    <row r="79" spans="1:17">
      <c r="Q79" s="96"/>
    </row>
    <row r="80" spans="1:17">
      <c r="Q80" s="96"/>
    </row>
    <row r="81" spans="17:17">
      <c r="Q81" s="96"/>
    </row>
    <row r="82" spans="17:17">
      <c r="Q82" s="96"/>
    </row>
    <row r="83" spans="17:17">
      <c r="Q83" s="96"/>
    </row>
    <row r="84" spans="17:17">
      <c r="Q84" s="96"/>
    </row>
    <row r="85" spans="17:17">
      <c r="Q85" s="96"/>
    </row>
    <row r="86" spans="17:17">
      <c r="Q86" s="96"/>
    </row>
    <row r="87" spans="17:17">
      <c r="Q87" s="96"/>
    </row>
    <row r="88" spans="17:17">
      <c r="Q88" s="96"/>
    </row>
    <row r="125" ht="12" customHeight="1"/>
    <row r="126" ht="12" customHeight="1"/>
    <row r="127" ht="12" customHeight="1"/>
    <row r="128" ht="12" customHeight="1"/>
    <row r="129" ht="12" customHeight="1"/>
    <row r="130" ht="12" customHeight="1"/>
    <row r="131" ht="12" customHeight="1"/>
    <row r="132" ht="12" customHeight="1"/>
    <row r="133" ht="12" customHeight="1"/>
    <row r="134" ht="12" customHeight="1"/>
    <row r="135" ht="12" customHeight="1"/>
    <row r="136" ht="12" customHeight="1"/>
    <row r="137" ht="12" customHeight="1"/>
    <row r="138" ht="12" customHeight="1"/>
    <row r="139" ht="12" customHeight="1"/>
    <row r="140" ht="12" customHeight="1"/>
    <row r="141" ht="12" customHeight="1"/>
    <row r="142" ht="12" customHeight="1"/>
    <row r="143" ht="12" customHeight="1"/>
    <row r="144" ht="12" customHeight="1"/>
    <row r="145" ht="12" customHeight="1"/>
    <row r="146" ht="12" customHeight="1"/>
    <row r="147" ht="12" customHeight="1"/>
    <row r="148" ht="12" customHeight="1"/>
    <row r="149" ht="12" customHeight="1"/>
    <row r="150" ht="12" customHeight="1"/>
    <row r="151" ht="12" customHeight="1"/>
    <row r="152" ht="12" customHeight="1"/>
    <row r="153" ht="12" customHeight="1"/>
    <row r="154" ht="12" customHeight="1"/>
    <row r="155" ht="12" customHeight="1"/>
    <row r="156" ht="12" customHeight="1"/>
    <row r="157" ht="12" customHeight="1"/>
    <row r="158" ht="12" customHeight="1"/>
    <row r="159" ht="12" customHeight="1"/>
    <row r="160" ht="12" customHeight="1"/>
    <row r="161" ht="12" customHeight="1"/>
    <row r="162" ht="12" customHeight="1"/>
    <row r="163" ht="12" customHeight="1"/>
    <row r="164" ht="12" customHeight="1"/>
    <row r="165" ht="12" customHeight="1"/>
    <row r="166" ht="12" customHeight="1"/>
    <row r="167" ht="12" customHeight="1"/>
    <row r="168" ht="12" customHeight="1"/>
    <row r="169" ht="12" customHeight="1"/>
    <row r="170" ht="12" customHeight="1"/>
    <row r="171" ht="12" customHeight="1"/>
    <row r="172" ht="12" customHeight="1"/>
    <row r="173" ht="12" customHeight="1"/>
    <row r="174" ht="12" customHeight="1"/>
  </sheetData>
  <mergeCells count="28">
    <mergeCell ref="D12:E12"/>
    <mergeCell ref="D6:E6"/>
    <mergeCell ref="H6:I6"/>
    <mergeCell ref="D1:E1"/>
    <mergeCell ref="D4:E4"/>
    <mergeCell ref="H4:I4"/>
    <mergeCell ref="D5:E5"/>
    <mergeCell ref="H5:I5"/>
    <mergeCell ref="D9:E9"/>
    <mergeCell ref="H9:I9"/>
    <mergeCell ref="D10:E10"/>
    <mergeCell ref="D11:E11"/>
    <mergeCell ref="D7:E7"/>
    <mergeCell ref="H7:I7"/>
    <mergeCell ref="D8:E8"/>
    <mergeCell ref="H8:I8"/>
    <mergeCell ref="D21:E21"/>
    <mergeCell ref="H21:I21"/>
    <mergeCell ref="D17:E17"/>
    <mergeCell ref="H17:I17"/>
    <mergeCell ref="D18:E18"/>
    <mergeCell ref="D19:E19"/>
    <mergeCell ref="D20:E20"/>
    <mergeCell ref="D13:E13"/>
    <mergeCell ref="H13:I13"/>
    <mergeCell ref="D14:E14"/>
    <mergeCell ref="D15:E15"/>
    <mergeCell ref="D16:E16"/>
  </mergeCells>
  <conditionalFormatting sqref="M18:M20 M14:M16 M10:M12">
    <cfRule type="cellIs" dxfId="374" priority="7" stopIfTrue="1" operator="lessThanOrEqual">
      <formula>$L10</formula>
    </cfRule>
    <cfRule type="cellIs" dxfId="373" priority="8" operator="greaterThan">
      <formula>L10</formula>
    </cfRule>
  </conditionalFormatting>
  <pageMargins left="0.7" right="0.7" top="0.75" bottom="0.75" header="0.3" footer="0.3"/>
  <pageSetup paperSize="3" fitToHeight="0" orientation="landscape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461AFD9-04C0-46C1-BAF9-AC0755BE32C1}">
          <x14:formula1>
            <xm:f>Bolts!$A:$A</xm:f>
          </x14:formula1>
          <xm:sqref>C14:C16</xm:sqref>
        </x14:dataValidation>
        <x14:dataValidation type="list" allowBlank="1" showInputMessage="1" showErrorMessage="1" xr:uid="{1EA80C56-7EB0-4CA9-911A-880B7EB80F82}">
          <x14:formula1>
            <xm:f>Assemblies!$E:$E</xm:f>
          </x14:formula1>
          <xm:sqref>C5:C8</xm:sqref>
        </x14:dataValidation>
        <x14:dataValidation type="list" allowBlank="1" showInputMessage="1" showErrorMessage="1" xr:uid="{E023306B-2109-4C82-95A8-2968B34DE1F4}">
          <x14:formula1>
            <xm:f>Purchased!$A:$A</xm:f>
          </x14:formula1>
          <xm:sqref>C10:C12</xm:sqref>
        </x14:dataValidation>
        <x14:dataValidation type="list" allowBlank="1" showInputMessage="1" showErrorMessage="1" xr:uid="{B5C6BB03-B24D-4CD1-AE48-A2C64488F800}">
          <x14:formula1>
            <xm:f>Extrusion!$B:$B</xm:f>
          </x14:formula1>
          <xm:sqref>C18:C20</xm:sqref>
        </x14:dataValidation>
      </x14:dataValidations>
    </ext>
  </extLst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2C515B-7512-4E1B-8F5F-7C6BA7E292CB}">
  <sheetPr codeName="Sheet74">
    <tabColor theme="3" tint="0.79998168889431442"/>
    <pageSetUpPr fitToPage="1"/>
  </sheetPr>
  <dimension ref="A1:Q194"/>
  <sheetViews>
    <sheetView zoomScaleNormal="100" workbookViewId="0">
      <selection activeCell="C28" sqref="C28"/>
    </sheetView>
  </sheetViews>
  <sheetFormatPr defaultColWidth="9.140625" defaultRowHeight="15"/>
  <cols>
    <col min="1" max="1" width="5.7109375" customWidth="1"/>
    <col min="2" max="2" width="5.42578125" bestFit="1" customWidth="1"/>
    <col min="3" max="3" width="30.7109375" customWidth="1"/>
    <col min="4" max="5" width="20.7109375" style="23" customWidth="1"/>
    <col min="6" max="6" width="16.85546875" bestFit="1" customWidth="1"/>
    <col min="7" max="7" width="9.7109375" customWidth="1"/>
    <col min="8" max="8" width="8.7109375" customWidth="1"/>
    <col min="9" max="9" width="20.7109375" customWidth="1"/>
    <col min="10" max="13" width="11.7109375" style="19" customWidth="1"/>
    <col min="14" max="14" width="11.85546875" style="19" bestFit="1" customWidth="1"/>
    <col min="15" max="15" width="7.7109375" style="19" customWidth="1"/>
    <col min="16" max="16" width="10.7109375" style="90" customWidth="1"/>
    <col min="17" max="17" width="10.7109375" style="97" customWidth="1"/>
  </cols>
  <sheetData>
    <row r="1" spans="1:17" s="55" customFormat="1" ht="12" customHeight="1">
      <c r="A1" s="68" t="s">
        <v>0</v>
      </c>
      <c r="B1" s="69"/>
      <c r="C1" s="69"/>
      <c r="D1" s="262" t="s">
        <v>1</v>
      </c>
      <c r="E1" s="263"/>
      <c r="F1" s="70"/>
      <c r="G1" s="69"/>
      <c r="H1" s="70"/>
      <c r="I1" s="71"/>
      <c r="J1" s="72"/>
      <c r="K1" s="72"/>
      <c r="L1" s="72"/>
      <c r="M1" s="72"/>
      <c r="N1" s="72"/>
      <c r="O1" s="72"/>
      <c r="P1" s="85"/>
      <c r="Q1" s="91"/>
    </row>
    <row r="2" spans="1:17" s="55" customFormat="1" ht="12" customHeight="1">
      <c r="A2" s="74" t="s">
        <v>48</v>
      </c>
      <c r="B2" s="58"/>
      <c r="C2" s="57" t="e">
        <f ca="1">VLOOKUP(E3,Assemblies!B:F,4,0)</f>
        <v>#VALUE!</v>
      </c>
      <c r="D2" s="75" t="s">
        <v>3</v>
      </c>
      <c r="E2" s="76" t="e">
        <f ca="1">'GF12'!E2</f>
        <v>#VALUE!</v>
      </c>
      <c r="F2" s="77" t="s">
        <v>4</v>
      </c>
      <c r="G2" s="58" t="str">
        <f>'GF12'!G2</f>
        <v>GH</v>
      </c>
      <c r="H2" s="77" t="s">
        <v>6</v>
      </c>
      <c r="I2" s="59">
        <f>'GF12'!I2</f>
        <v>44775</v>
      </c>
      <c r="J2" s="39"/>
      <c r="K2" s="40" t="s">
        <v>49</v>
      </c>
      <c r="L2" s="41" t="e">
        <f ca="1">VLOOKUP(C2,Assemblies!E:G,3,0)</f>
        <v>#VALUE!</v>
      </c>
      <c r="M2" s="78"/>
      <c r="N2" s="78"/>
      <c r="O2" s="78"/>
      <c r="P2" s="86"/>
      <c r="Q2" s="92"/>
    </row>
    <row r="3" spans="1:17" s="55" customFormat="1" ht="12" customHeight="1" thickBot="1">
      <c r="A3" s="74" t="s">
        <v>7</v>
      </c>
      <c r="B3" s="58"/>
      <c r="C3" s="57" t="e">
        <f ca="1">VLOOKUP(E3,Assemblies!B:F,5,0)</f>
        <v>#VALUE!</v>
      </c>
      <c r="D3" s="75" t="s">
        <v>50</v>
      </c>
      <c r="E3" s="76" t="e">
        <f ca="1">MID(CELL("filename",A1),FIND("]",CELL("filename",A1))+1,256)</f>
        <v>#VALUE!</v>
      </c>
      <c r="F3" s="77" t="s">
        <v>11</v>
      </c>
      <c r="G3" s="58" t="str">
        <f>'GF12'!G3</f>
        <v>GH</v>
      </c>
      <c r="H3" s="77" t="s">
        <v>6</v>
      </c>
      <c r="I3" s="59">
        <f>'GF12'!I3</f>
        <v>44775</v>
      </c>
      <c r="J3" s="78"/>
      <c r="K3" s="78"/>
      <c r="L3" s="78"/>
      <c r="M3" s="78"/>
      <c r="N3" s="78"/>
      <c r="O3" s="78"/>
      <c r="P3" s="86"/>
      <c r="Q3" s="92"/>
    </row>
    <row r="4" spans="1:17" s="56" customFormat="1" ht="12.75" customHeight="1" thickBot="1">
      <c r="A4" s="80" t="s">
        <v>12</v>
      </c>
      <c r="B4" s="81" t="s">
        <v>13</v>
      </c>
      <c r="C4" s="81" t="s">
        <v>14</v>
      </c>
      <c r="D4" s="270" t="s">
        <v>15</v>
      </c>
      <c r="E4" s="271"/>
      <c r="F4" s="104" t="s">
        <v>16</v>
      </c>
      <c r="G4" s="81" t="s">
        <v>17</v>
      </c>
      <c r="H4" s="260" t="s">
        <v>18</v>
      </c>
      <c r="I4" s="261"/>
      <c r="J4" s="81" t="s">
        <v>51</v>
      </c>
      <c r="K4" s="81" t="s">
        <v>20</v>
      </c>
      <c r="L4" s="81" t="s">
        <v>21</v>
      </c>
      <c r="M4" s="81" t="s">
        <v>52</v>
      </c>
      <c r="N4" s="81" t="s">
        <v>22</v>
      </c>
      <c r="O4" s="81" t="s">
        <v>53</v>
      </c>
      <c r="P4" s="107" t="s">
        <v>26</v>
      </c>
      <c r="Q4" s="82" t="s">
        <v>27</v>
      </c>
    </row>
    <row r="5" spans="1:17" s="2" customFormat="1" ht="12.75" customHeight="1">
      <c r="A5" s="127">
        <v>1</v>
      </c>
      <c r="B5" s="21">
        <v>1</v>
      </c>
      <c r="C5" s="108" t="s">
        <v>807</v>
      </c>
      <c r="D5" s="277" t="str">
        <f>VLOOKUP(C5,Machined!C:Q,2,0)</f>
        <v>Diverter Actuator Plate</v>
      </c>
      <c r="E5" s="278"/>
      <c r="F5" s="131" t="str">
        <f>VLOOKUP(C5,Machined!C:R,7,0)</f>
        <v>6061-T6 Alum</v>
      </c>
      <c r="G5" s="131" t="str">
        <f>VLOOKUP(C5,Machined!C:R,10,0)</f>
        <v>DETAILED MACH</v>
      </c>
      <c r="H5" s="131" t="str">
        <f>VLOOKUP(C5,Machined!C:R,11,0)</f>
        <v>shipped 9/25/23</v>
      </c>
      <c r="I5" s="131"/>
      <c r="J5" s="42">
        <f>VLOOKUP(C5,Machined!C:R,12,0)</f>
        <v>45156</v>
      </c>
      <c r="K5" s="42">
        <f>VLOOKUP(C5,Machined!C:R,13,0)</f>
        <v>45162</v>
      </c>
      <c r="L5" s="42">
        <f>VLOOKUP(C5,Machined!C:R,14,0)</f>
        <v>45190</v>
      </c>
      <c r="M5" s="42">
        <f>VLOOKUP(C5,Machined!C:R,15,0)</f>
        <v>45190</v>
      </c>
      <c r="N5" s="43">
        <f>VLOOKUP(C5,Machined!C:R,16,0)</f>
        <v>55101</v>
      </c>
      <c r="O5" s="43" t="e">
        <f t="shared" ref="O5:O14" ca="1" si="0">B5*$L$2</f>
        <v>#VALUE!</v>
      </c>
      <c r="P5" s="47">
        <f>IFERROR(VLOOKUP(C5,Machined!C:F,3,0),"")</f>
        <v>0</v>
      </c>
      <c r="Q5" s="48">
        <f t="shared" ref="Q5:Q14" si="1">IFERROR(B5*P5,"")</f>
        <v>0</v>
      </c>
    </row>
    <row r="6" spans="1:17" s="2" customFormat="1" ht="12.75" customHeight="1">
      <c r="A6" s="127">
        <v>2</v>
      </c>
      <c r="B6" s="21">
        <v>1</v>
      </c>
      <c r="C6" s="108" t="s">
        <v>808</v>
      </c>
      <c r="D6" s="277" t="str">
        <f>VLOOKUP(C6,Machined!C:Q,2,0)</f>
        <v>Diverter Housing</v>
      </c>
      <c r="E6" s="278"/>
      <c r="F6" s="131" t="str">
        <f>VLOOKUP(C6,Machined!C:R,7,0)</f>
        <v>AISI 304, 11 Gauge</v>
      </c>
      <c r="G6" s="131" t="str">
        <f>VLOOKUP(C6,Machined!C:R,10,0)</f>
        <v>WESCO BHT</v>
      </c>
      <c r="H6" s="131" t="str">
        <f>VLOOKUP(C6,Machined!C:R,11,0)</f>
        <v xml:space="preserve">  </v>
      </c>
      <c r="I6" s="131"/>
      <c r="J6" s="42">
        <f>VLOOKUP(C6,Machined!C:R,12,0)</f>
        <v>45159</v>
      </c>
      <c r="K6" s="42">
        <f>VLOOKUP(C6,Machined!C:R,13,0)</f>
        <v>45161</v>
      </c>
      <c r="L6" s="42">
        <f>VLOOKUP(C6,Machined!C:R,14,0)</f>
        <v>45191</v>
      </c>
      <c r="M6" s="42">
        <f>VLOOKUP(C6,Machined!C:R,15,0)</f>
        <v>45191</v>
      </c>
      <c r="N6" s="43">
        <f>VLOOKUP(C6,Machined!C:R,16,0)</f>
        <v>55092</v>
      </c>
      <c r="O6" s="43" t="e">
        <f t="shared" ca="1" si="0"/>
        <v>#VALUE!</v>
      </c>
      <c r="P6" s="47">
        <f>IFERROR(VLOOKUP(C6,Machined!C:F,3,0),"")</f>
        <v>120.21</v>
      </c>
      <c r="Q6" s="48">
        <f t="shared" si="1"/>
        <v>120.21</v>
      </c>
    </row>
    <row r="7" spans="1:17" s="2" customFormat="1" ht="12.75" customHeight="1">
      <c r="A7" s="127">
        <v>3</v>
      </c>
      <c r="B7" s="21">
        <v>2</v>
      </c>
      <c r="C7" s="108" t="s">
        <v>809</v>
      </c>
      <c r="D7" s="277" t="str">
        <f>VLOOKUP(C7,Machined!C:Q,2,0)</f>
        <v>Spout Diverter Deadnest</v>
      </c>
      <c r="E7" s="278"/>
      <c r="F7" s="131" t="str">
        <f>VLOOKUP(C7,Machined!C:R,7,0)</f>
        <v>Delrin - White</v>
      </c>
      <c r="G7" s="131" t="str">
        <f>VLOOKUP(C7,Machined!C:R,10,0)</f>
        <v>DETAILED MACH</v>
      </c>
      <c r="H7" s="131" t="str">
        <f>VLOOKUP(C7,Machined!C:R,11,0)</f>
        <v>shipped 9/29/23</v>
      </c>
      <c r="I7" s="131"/>
      <c r="J7" s="42">
        <f>VLOOKUP(C7,Machined!C:R,12,0)</f>
        <v>45156</v>
      </c>
      <c r="K7" s="42">
        <f>VLOOKUP(C7,Machined!C:R,13,0)</f>
        <v>45162</v>
      </c>
      <c r="L7" s="42">
        <f>VLOOKUP(C7,Machined!C:R,14,0)</f>
        <v>45190</v>
      </c>
      <c r="M7" s="42">
        <f>VLOOKUP(C7,Machined!C:R,15,0)</f>
        <v>45190</v>
      </c>
      <c r="N7" s="43">
        <f>VLOOKUP(C7,Machined!C:R,16,0)</f>
        <v>55101</v>
      </c>
      <c r="O7" s="43" t="e">
        <f t="shared" ca="1" si="0"/>
        <v>#VALUE!</v>
      </c>
      <c r="P7" s="47">
        <f>IFERROR(VLOOKUP(C7,Machined!C:F,3,0),"")</f>
        <v>0</v>
      </c>
      <c r="Q7" s="48">
        <f t="shared" si="1"/>
        <v>0</v>
      </c>
    </row>
    <row r="8" spans="1:17" s="2" customFormat="1" ht="12.75" customHeight="1">
      <c r="A8" s="127">
        <v>4</v>
      </c>
      <c r="B8" s="21">
        <v>1</v>
      </c>
      <c r="C8" s="108" t="s">
        <v>810</v>
      </c>
      <c r="D8" s="277" t="str">
        <f>VLOOKUP(C8,Machined!C:Q,2,0)</f>
        <v>Diverter Stop</v>
      </c>
      <c r="E8" s="278"/>
      <c r="F8" s="131" t="str">
        <f>VLOOKUP(C8,Machined!C:R,7,0)</f>
        <v>Delrin - White</v>
      </c>
      <c r="G8" s="131" t="str">
        <f>VLOOKUP(C8,Machined!C:R,10,0)</f>
        <v>DETAILED MACH</v>
      </c>
      <c r="H8" s="131" t="str">
        <f>VLOOKUP(C8,Machined!C:R,11,0)</f>
        <v>shipped 9/28/23</v>
      </c>
      <c r="I8" s="131"/>
      <c r="J8" s="42">
        <f>VLOOKUP(C8,Machined!C:R,12,0)</f>
        <v>45156</v>
      </c>
      <c r="K8" s="42">
        <f>VLOOKUP(C8,Machined!C:R,13,0)</f>
        <v>45162</v>
      </c>
      <c r="L8" s="42">
        <f>VLOOKUP(C8,Machined!C:R,14,0)</f>
        <v>45190</v>
      </c>
      <c r="M8" s="42">
        <f>VLOOKUP(C8,Machined!C:R,15,0)</f>
        <v>45190</v>
      </c>
      <c r="N8" s="43">
        <f>VLOOKUP(C8,Machined!C:R,16,0)</f>
        <v>55101</v>
      </c>
      <c r="O8" s="43" t="e">
        <f t="shared" ca="1" si="0"/>
        <v>#VALUE!</v>
      </c>
      <c r="P8" s="47">
        <f>IFERROR(VLOOKUP(C8,Machined!C:F,3,0),"")</f>
        <v>0</v>
      </c>
      <c r="Q8" s="48">
        <f t="shared" si="1"/>
        <v>0</v>
      </c>
    </row>
    <row r="9" spans="1:17" s="2" customFormat="1" ht="12.75" customHeight="1">
      <c r="A9" s="127">
        <v>5</v>
      </c>
      <c r="B9" s="21">
        <v>1</v>
      </c>
      <c r="C9" s="108" t="s">
        <v>811</v>
      </c>
      <c r="D9" s="277" t="str">
        <f>VLOOKUP(C9,Machined!C:Q,2,0)</f>
        <v>Diverter Tray A-Side</v>
      </c>
      <c r="E9" s="278"/>
      <c r="F9" s="131" t="str">
        <f>VLOOKUP(C9,Machined!C:R,7,0)</f>
        <v>AISI 304, 1/16 in</v>
      </c>
      <c r="G9" s="131" t="str">
        <f>VLOOKUP(C9,Machined!C:R,10,0)</f>
        <v>WESCO BHT</v>
      </c>
      <c r="H9" s="131" t="str">
        <f>VLOOKUP(C9,Machined!C:R,11,0)</f>
        <v xml:space="preserve">  </v>
      </c>
      <c r="I9" s="131"/>
      <c r="J9" s="42">
        <f>VLOOKUP(C9,Machined!C:R,12,0)</f>
        <v>45159</v>
      </c>
      <c r="K9" s="42">
        <f>VLOOKUP(C9,Machined!C:R,13,0)</f>
        <v>45161</v>
      </c>
      <c r="L9" s="42">
        <f>VLOOKUP(C9,Machined!C:R,14,0)</f>
        <v>45191</v>
      </c>
      <c r="M9" s="42">
        <f>VLOOKUP(C9,Machined!C:R,15,0)</f>
        <v>45191</v>
      </c>
      <c r="N9" s="43">
        <f>VLOOKUP(C9,Machined!C:R,16,0)</f>
        <v>55092</v>
      </c>
      <c r="O9" s="43" t="e">
        <f t="shared" ca="1" si="0"/>
        <v>#VALUE!</v>
      </c>
      <c r="P9" s="47">
        <f>IFERROR(VLOOKUP(C9,Machined!C:F,3,0),"")</f>
        <v>73.959999999999994</v>
      </c>
      <c r="Q9" s="48">
        <f t="shared" si="1"/>
        <v>73.959999999999994</v>
      </c>
    </row>
    <row r="10" spans="1:17" s="2" customFormat="1" ht="12.75" customHeight="1">
      <c r="A10" s="127">
        <v>6</v>
      </c>
      <c r="B10" s="21">
        <v>1</v>
      </c>
      <c r="C10" s="108" t="s">
        <v>812</v>
      </c>
      <c r="D10" s="277" t="str">
        <f>VLOOKUP(C10,Machined!C:Q,2,0)</f>
        <v>Diverter Tray B-Side</v>
      </c>
      <c r="E10" s="278"/>
      <c r="F10" s="131" t="str">
        <f>VLOOKUP(C10,Machined!C:R,7,0)</f>
        <v>AISI 304, 1/16 in</v>
      </c>
      <c r="G10" s="131" t="str">
        <f>VLOOKUP(C10,Machined!C:R,10,0)</f>
        <v>WESCO BHT</v>
      </c>
      <c r="H10" s="131" t="str">
        <f>VLOOKUP(C10,Machined!C:R,11,0)</f>
        <v xml:space="preserve">  </v>
      </c>
      <c r="I10" s="131"/>
      <c r="J10" s="42">
        <f>VLOOKUP(C10,Machined!C:R,12,0)</f>
        <v>45159</v>
      </c>
      <c r="K10" s="42">
        <f>VLOOKUP(C10,Machined!C:R,13,0)</f>
        <v>45161</v>
      </c>
      <c r="L10" s="42">
        <f>VLOOKUP(C10,Machined!C:R,14,0)</f>
        <v>45191</v>
      </c>
      <c r="M10" s="42">
        <f>VLOOKUP(C10,Machined!C:R,15,0)</f>
        <v>45191</v>
      </c>
      <c r="N10" s="43">
        <f>VLOOKUP(C10,Machined!C:R,16,0)</f>
        <v>55092</v>
      </c>
      <c r="O10" s="43" t="e">
        <f t="shared" ca="1" si="0"/>
        <v>#VALUE!</v>
      </c>
      <c r="P10" s="47">
        <f>IFERROR(VLOOKUP(C10,Machined!C:F,3,0),"")</f>
        <v>73.959999999999994</v>
      </c>
      <c r="Q10" s="48">
        <f t="shared" si="1"/>
        <v>73.959999999999994</v>
      </c>
    </row>
    <row r="11" spans="1:17" s="2" customFormat="1" ht="12.75" customHeight="1">
      <c r="A11" s="127">
        <v>7</v>
      </c>
      <c r="B11" s="21">
        <v>1</v>
      </c>
      <c r="C11" s="108" t="s">
        <v>813</v>
      </c>
      <c r="D11" s="277" t="str">
        <f>VLOOKUP(C11,Machined!C:Q,2,0)</f>
        <v>Diverter Base</v>
      </c>
      <c r="E11" s="278"/>
      <c r="F11" s="131" t="str">
        <f>VLOOKUP(C11,Machined!C:R,7,0)</f>
        <v>MIC 6</v>
      </c>
      <c r="G11" s="131" t="str">
        <f>VLOOKUP(C11,Machined!C:R,10,0)</f>
        <v>DETAILED MACH</v>
      </c>
      <c r="H11" s="131" t="str">
        <f>VLOOKUP(C11,Machined!C:R,11,0)</f>
        <v xml:space="preserve">  </v>
      </c>
      <c r="I11" s="131"/>
      <c r="J11" s="42">
        <f>VLOOKUP(C11,Machined!C:R,12,0)</f>
        <v>45156</v>
      </c>
      <c r="K11" s="42">
        <f>VLOOKUP(C11,Machined!C:R,13,0)</f>
        <v>45162</v>
      </c>
      <c r="L11" s="42">
        <f>VLOOKUP(C11,Machined!C:R,14,0)</f>
        <v>45190</v>
      </c>
      <c r="M11" s="42">
        <f>VLOOKUP(C11,Machined!C:R,15,0)</f>
        <v>45190</v>
      </c>
      <c r="N11" s="43">
        <f>VLOOKUP(C11,Machined!C:R,16,0)</f>
        <v>55101</v>
      </c>
      <c r="O11" s="43" t="e">
        <f t="shared" ca="1" si="0"/>
        <v>#VALUE!</v>
      </c>
      <c r="P11" s="47">
        <f>IFERROR(VLOOKUP(C11,Machined!C:F,3,0),"")</f>
        <v>0</v>
      </c>
      <c r="Q11" s="48">
        <f t="shared" si="1"/>
        <v>0</v>
      </c>
    </row>
    <row r="12" spans="1:17" s="2" customFormat="1" ht="12.75" customHeight="1">
      <c r="A12" s="127">
        <v>8</v>
      </c>
      <c r="B12" s="21">
        <v>1</v>
      </c>
      <c r="C12" s="108" t="s">
        <v>814</v>
      </c>
      <c r="D12" s="277" t="str">
        <f>VLOOKUP(C12,Machined!C:Q,2,0)</f>
        <v>Diverter Back</v>
      </c>
      <c r="E12" s="278"/>
      <c r="F12" s="131" t="str">
        <f>VLOOKUP(C12,Machined!C:R,7,0)</f>
        <v>MIC 6</v>
      </c>
      <c r="G12" s="131" t="str">
        <f>VLOOKUP(C12,Machined!C:R,10,0)</f>
        <v>DETAILED MACH</v>
      </c>
      <c r="H12" s="131" t="str">
        <f>VLOOKUP(C12,Machined!C:R,11,0)</f>
        <v>shipped 9/25/23</v>
      </c>
      <c r="I12" s="131"/>
      <c r="J12" s="42">
        <f>VLOOKUP(C12,Machined!C:R,12,0)</f>
        <v>45156</v>
      </c>
      <c r="K12" s="42">
        <f>VLOOKUP(C12,Machined!C:R,13,0)</f>
        <v>45162</v>
      </c>
      <c r="L12" s="42">
        <f>VLOOKUP(C12,Machined!C:R,14,0)</f>
        <v>45190</v>
      </c>
      <c r="M12" s="42">
        <f>VLOOKUP(C12,Machined!C:R,15,0)</f>
        <v>45190</v>
      </c>
      <c r="N12" s="43">
        <f>VLOOKUP(C12,Machined!C:R,16,0)</f>
        <v>55101</v>
      </c>
      <c r="O12" s="43" t="e">
        <f t="shared" ca="1" si="0"/>
        <v>#VALUE!</v>
      </c>
      <c r="P12" s="47">
        <f>IFERROR(VLOOKUP(C12,Machined!C:F,3,0),"")</f>
        <v>0</v>
      </c>
      <c r="Q12" s="48">
        <f t="shared" si="1"/>
        <v>0</v>
      </c>
    </row>
    <row r="13" spans="1:17" s="2" customFormat="1" ht="12.75" customHeight="1">
      <c r="A13" s="127">
        <v>9</v>
      </c>
      <c r="B13" s="21">
        <v>1</v>
      </c>
      <c r="C13" s="108" t="s">
        <v>815</v>
      </c>
      <c r="D13" s="277" t="str">
        <f>VLOOKUP(C13,Machined!C:Q,2,0)</f>
        <v>Diverter Housing Mount</v>
      </c>
      <c r="E13" s="278"/>
      <c r="F13" s="131" t="str">
        <f>VLOOKUP(C13,Machined!C:R,7,0)</f>
        <v>6061-T6 Alum</v>
      </c>
      <c r="G13" s="131" t="str">
        <f>VLOOKUP(C13,Machined!C:R,10,0)</f>
        <v>DETAILED MACH</v>
      </c>
      <c r="H13" s="131" t="str">
        <f>VLOOKUP(C13,Machined!C:R,11,0)</f>
        <v>shipped 9/25/23</v>
      </c>
      <c r="I13" s="131"/>
      <c r="J13" s="42">
        <f>VLOOKUP(C13,Machined!C:R,12,0)</f>
        <v>45156</v>
      </c>
      <c r="K13" s="42">
        <f>VLOOKUP(C13,Machined!C:R,13,0)</f>
        <v>45162</v>
      </c>
      <c r="L13" s="42">
        <f>VLOOKUP(C13,Machined!C:R,14,0)</f>
        <v>45190</v>
      </c>
      <c r="M13" s="42">
        <f>VLOOKUP(C13,Machined!C:R,15,0)</f>
        <v>45190</v>
      </c>
      <c r="N13" s="43">
        <f>VLOOKUP(C13,Machined!C:R,16,0)</f>
        <v>55101</v>
      </c>
      <c r="O13" s="43" t="e">
        <f t="shared" ca="1" si="0"/>
        <v>#VALUE!</v>
      </c>
      <c r="P13" s="47">
        <f>IFERROR(VLOOKUP(C13,Machined!C:F,3,0),"")</f>
        <v>0</v>
      </c>
      <c r="Q13" s="48">
        <f t="shared" si="1"/>
        <v>0</v>
      </c>
    </row>
    <row r="14" spans="1:17" s="2" customFormat="1" ht="12.75" customHeight="1">
      <c r="A14" s="127">
        <v>10</v>
      </c>
      <c r="B14" s="21">
        <v>1</v>
      </c>
      <c r="C14" s="108" t="s">
        <v>816</v>
      </c>
      <c r="D14" s="277" t="str">
        <f>VLOOKUP(C14,Machined!C:Q,2,0)</f>
        <v>Diverter Guard</v>
      </c>
      <c r="E14" s="278"/>
      <c r="F14" s="131" t="str">
        <f>VLOOKUP(C14,Machined!C:R,7,0)</f>
        <v>Polycarb</v>
      </c>
      <c r="G14" s="131" t="str">
        <f>VLOOKUP(C14,Machined!C:R,10,0)</f>
        <v>CURBELL PLASTICS</v>
      </c>
      <c r="H14" s="131" t="str">
        <f>VLOOKUP(C14,Machined!C:R,11,0)</f>
        <v>3 WEEKS FROM 9/27</v>
      </c>
      <c r="I14" s="131"/>
      <c r="J14" s="42">
        <f>VLOOKUP(C14,Machined!C:R,12,0)</f>
        <v>45194</v>
      </c>
      <c r="K14" s="42">
        <f>VLOOKUP(C14,Machined!C:R,13,0)</f>
        <v>45196</v>
      </c>
      <c r="L14" s="42">
        <f>VLOOKUP(C14,Machined!C:R,14,0)</f>
        <v>45219</v>
      </c>
      <c r="M14" s="42">
        <f>VLOOKUP(C14,Machined!C:R,15,0)</f>
        <v>45219</v>
      </c>
      <c r="N14" s="43">
        <f>VLOOKUP(C14,Machined!C:R,16,0)</f>
        <v>55166</v>
      </c>
      <c r="O14" s="43" t="e">
        <f t="shared" ca="1" si="0"/>
        <v>#VALUE!</v>
      </c>
      <c r="P14" s="47">
        <f>IFERROR(VLOOKUP(C14,Machined!C:F,3,0),"")</f>
        <v>333.5</v>
      </c>
      <c r="Q14" s="48">
        <f t="shared" si="1"/>
        <v>333.5</v>
      </c>
    </row>
    <row r="15" spans="1:17" s="2" customFormat="1" ht="12.75" customHeight="1">
      <c r="A15" s="143"/>
      <c r="B15" s="26"/>
      <c r="C15" s="26"/>
      <c r="D15" s="272"/>
      <c r="E15" s="273"/>
      <c r="F15" s="26"/>
      <c r="G15" s="26"/>
      <c r="H15" s="274"/>
      <c r="I15" s="275"/>
      <c r="J15" s="27"/>
      <c r="K15" s="27"/>
      <c r="L15" s="27"/>
      <c r="M15" s="28"/>
      <c r="N15" s="29"/>
      <c r="O15" s="29"/>
      <c r="P15" s="141"/>
      <c r="Q15" s="142"/>
    </row>
    <row r="16" spans="1:17" s="2" customFormat="1" ht="12.75" customHeight="1">
      <c r="A16" s="4">
        <v>301</v>
      </c>
      <c r="B16" s="2">
        <v>1</v>
      </c>
      <c r="C16" s="114" t="s">
        <v>817</v>
      </c>
      <c r="D16" s="268" t="str">
        <f>VLOOKUP(C16,Purchased!A:B,2,0)</f>
        <v>SMC Magnet Coupled Rodless Cylinder</v>
      </c>
      <c r="E16" s="269"/>
      <c r="F16" s="112" t="str">
        <f>VLOOKUP(C16,Purchased!A:Q,9,0)</f>
        <v>SMC</v>
      </c>
      <c r="G16" s="112" t="str">
        <f>VLOOKUP(C16,Purchased!A:Q,10,0)</f>
        <v>AAP</v>
      </c>
      <c r="H16" s="112" t="str">
        <f>VLOOKUP(C16,Purchased!A:Q,12,0)</f>
        <v xml:space="preserve"> </v>
      </c>
      <c r="I16" s="113"/>
      <c r="J16" s="44" t="str">
        <f>VLOOKUP(C16,Purchased!A:Q,13,0)</f>
        <v>N/A</v>
      </c>
      <c r="K16" s="44">
        <f>VLOOKUP(C16,Purchased!A:Q,14,0)</f>
        <v>45042</v>
      </c>
      <c r="L16" s="44">
        <f>VLOOKUP(C16,Purchased!A:Q,15,0)</f>
        <v>45098</v>
      </c>
      <c r="M16" s="44">
        <f>VLOOKUP(C16,Purchased!A:Q,16,0)</f>
        <v>45139</v>
      </c>
      <c r="N16" s="45">
        <f>VLOOKUP(C16,Purchased!A:Q,17,0)</f>
        <v>54862</v>
      </c>
      <c r="O16" s="45" t="e">
        <f t="shared" ref="O16:O24" ca="1" si="2">B16*$L$2</f>
        <v>#VALUE!</v>
      </c>
      <c r="P16" s="49">
        <f>IFERROR(VLOOKUP(C16,Purchased!A:E,3,FALSE),"")</f>
        <v>1019.8487</v>
      </c>
      <c r="Q16" s="50">
        <f t="shared" ref="Q16:Q24" si="3">IFERROR(B16*P16,"")</f>
        <v>1019.8487</v>
      </c>
    </row>
    <row r="17" spans="1:17" s="2" customFormat="1" ht="12" customHeight="1">
      <c r="A17" s="4">
        <f t="shared" ref="A17:A28" si="4">A16+1</f>
        <v>302</v>
      </c>
      <c r="B17" s="2">
        <v>1</v>
      </c>
      <c r="C17" s="114" t="s">
        <v>818</v>
      </c>
      <c r="D17" s="268" t="str">
        <f>VLOOKUP(C17,Purchased!A:B,2,0)</f>
        <v xml:space="preserve">KEYENCE PR-G4ACP Diffuse reflective long distance </v>
      </c>
      <c r="E17" s="269"/>
      <c r="F17" s="112" t="str">
        <f>VLOOKUP(C17,Purchased!A:Q,9,0)</f>
        <v>KEYENCE</v>
      </c>
      <c r="G17" s="112" t="str">
        <f>VLOOKUP(C17,Purchased!A:Q,10,0)</f>
        <v>KEYENCE</v>
      </c>
      <c r="H17" s="112" t="str">
        <f>VLOOKUP(C17,Purchased!A:Q,12,0)</f>
        <v xml:space="preserve"> </v>
      </c>
      <c r="I17" s="113"/>
      <c r="J17" s="44">
        <f>VLOOKUP(C17,Purchased!A:Q,13,0)</f>
        <v>45154</v>
      </c>
      <c r="K17" s="44">
        <f>VLOOKUP(C17,Purchased!A:Q,14,0)</f>
        <v>45161</v>
      </c>
      <c r="L17" s="44">
        <f>VLOOKUP(C17,Purchased!A:Q,15,0)</f>
        <v>45191</v>
      </c>
      <c r="M17" s="44">
        <f>VLOOKUP(C17,Purchased!A:Q,16,0)</f>
        <v>45184</v>
      </c>
      <c r="N17" s="45">
        <f>VLOOKUP(C17,Purchased!A:Q,17,0)</f>
        <v>55077</v>
      </c>
      <c r="O17" s="45" t="e">
        <f t="shared" ca="1" si="2"/>
        <v>#VALUE!</v>
      </c>
      <c r="P17" s="49">
        <f>IFERROR(VLOOKUP(C17,Purchased!A:E,3,FALSE),"")</f>
        <v>168</v>
      </c>
      <c r="Q17" s="50">
        <f t="shared" si="3"/>
        <v>168</v>
      </c>
    </row>
    <row r="18" spans="1:17" s="2" customFormat="1" ht="12" customHeight="1">
      <c r="A18" s="4">
        <f t="shared" si="4"/>
        <v>303</v>
      </c>
      <c r="B18" s="2">
        <v>4</v>
      </c>
      <c r="C18" s="114" t="s">
        <v>819</v>
      </c>
      <c r="D18" s="268" t="str">
        <f>VLOOKUP(C18,Purchased!A:B,2,0)</f>
        <v>316 Stainless Steel Dowel Pin 10mm Diameter, 20mm Long</v>
      </c>
      <c r="E18" s="269"/>
      <c r="F18" s="112" t="str">
        <f>VLOOKUP(C18,Purchased!A:Q,9,0)</f>
        <v>MCM</v>
      </c>
      <c r="G18" s="112" t="str">
        <f>VLOOKUP(C18,Purchased!A:Q,10,0)</f>
        <v>MCM</v>
      </c>
      <c r="H18" s="112" t="str">
        <f>VLOOKUP(C18,Purchased!A:Q,12,0)</f>
        <v xml:space="preserve"> </v>
      </c>
      <c r="I18" s="113"/>
      <c r="J18" s="44" t="str">
        <f>VLOOKUP(C18,Purchased!A:Q,13,0)</f>
        <v>N/A</v>
      </c>
      <c r="K18" s="44">
        <f>VLOOKUP(C18,Purchased!A:Q,14,0)</f>
        <v>45162</v>
      </c>
      <c r="L18" s="44">
        <f>VLOOKUP(C18,Purchased!A:Q,15,0)</f>
        <v>45184</v>
      </c>
      <c r="M18" s="44">
        <f>VLOOKUP(C18,Purchased!A:Q,16,0)</f>
        <v>45163</v>
      </c>
      <c r="N18" s="45">
        <f>VLOOKUP(C18,Purchased!A:Q,17,0)</f>
        <v>55089</v>
      </c>
      <c r="O18" s="45" t="e">
        <f t="shared" ca="1" si="2"/>
        <v>#VALUE!</v>
      </c>
      <c r="P18" s="49">
        <f>IFERROR(VLOOKUP(C18,Purchased!A:E,3,FALSE),"")</f>
        <v>3.09</v>
      </c>
      <c r="Q18" s="50">
        <f t="shared" si="3"/>
        <v>12.36</v>
      </c>
    </row>
    <row r="19" spans="1:17" s="2" customFormat="1" ht="12" customHeight="1">
      <c r="A19" s="4">
        <f t="shared" si="4"/>
        <v>304</v>
      </c>
      <c r="B19" s="2">
        <v>2</v>
      </c>
      <c r="C19" s="114" t="s">
        <v>185</v>
      </c>
      <c r="D19" s="268" t="str">
        <f>VLOOKUP(C19,Purchased!A:B,2,0)</f>
        <v>SMC FITTING, MALE ELBOW</v>
      </c>
      <c r="E19" s="269"/>
      <c r="F19" s="112" t="str">
        <f>VLOOKUP(C19,Purchased!A:Q,9,0)</f>
        <v>SMC</v>
      </c>
      <c r="G19" s="112" t="str">
        <f>VLOOKUP(C19,Purchased!A:Q,10,0)</f>
        <v>AAP</v>
      </c>
      <c r="H19" s="112" t="str">
        <f>VLOOKUP(C19,Purchased!A:Q,12,0)</f>
        <v xml:space="preserve"> </v>
      </c>
      <c r="I19" s="113"/>
      <c r="J19" s="44" t="str">
        <f>VLOOKUP(C19,Purchased!A:Q,13,0)</f>
        <v>N/A</v>
      </c>
      <c r="K19" s="44">
        <f>VLOOKUP(C19,Purchased!A:Q,14,0)</f>
        <v>45162</v>
      </c>
      <c r="L19" s="44">
        <f>VLOOKUP(C19,Purchased!A:Q,15,0)</f>
        <v>45184</v>
      </c>
      <c r="M19" s="44">
        <f>VLOOKUP(C19,Purchased!A:Q,16,0)</f>
        <v>45180</v>
      </c>
      <c r="N19" s="45" t="str">
        <f>VLOOKUP(C19,Purchased!A:Q,17,0)</f>
        <v>10x55037, 20x55073, 10x55270</v>
      </c>
      <c r="O19" s="45" t="e">
        <f t="shared" ca="1" si="2"/>
        <v>#VALUE!</v>
      </c>
      <c r="P19" s="49">
        <f>IFERROR(VLOOKUP(C19,Purchased!A:E,3,FALSE),"")</f>
        <v>2.2932999999999999</v>
      </c>
      <c r="Q19" s="50">
        <f t="shared" si="3"/>
        <v>4.5865999999999998</v>
      </c>
    </row>
    <row r="20" spans="1:17" s="2" customFormat="1" ht="12" customHeight="1">
      <c r="A20" s="4">
        <f t="shared" si="4"/>
        <v>305</v>
      </c>
      <c r="B20" s="2">
        <v>2</v>
      </c>
      <c r="C20" s="114" t="s">
        <v>820</v>
      </c>
      <c r="D20" s="268" t="str">
        <f>VLOOKUP(C20,Purchased!A:B,2,0)</f>
        <v>SMC SPEED CONTROLLER</v>
      </c>
      <c r="E20" s="269"/>
      <c r="F20" s="112" t="str">
        <f>VLOOKUP(C20,Purchased!A:Q,9,0)</f>
        <v>SMC</v>
      </c>
      <c r="G20" s="112" t="str">
        <f>VLOOKUP(C20,Purchased!A:Q,10,0)</f>
        <v>AAP</v>
      </c>
      <c r="H20" s="112" t="str">
        <f>VLOOKUP(C20,Purchased!A:Q,12,0)</f>
        <v xml:space="preserve"> </v>
      </c>
      <c r="I20" s="113"/>
      <c r="J20" s="44" t="str">
        <f>VLOOKUP(C20,Purchased!A:Q,13,0)</f>
        <v>N/A</v>
      </c>
      <c r="K20" s="44">
        <f>VLOOKUP(C20,Purchased!A:Q,14,0)</f>
        <v>45162</v>
      </c>
      <c r="L20" s="44">
        <f>VLOOKUP(C20,Purchased!A:Q,15,0)</f>
        <v>45184</v>
      </c>
      <c r="M20" s="44">
        <f>VLOOKUP(C20,Purchased!A:Q,16,0)</f>
        <v>45180</v>
      </c>
      <c r="N20" s="45">
        <f>VLOOKUP(C20,Purchased!A:Q,17,0)</f>
        <v>55037</v>
      </c>
      <c r="O20" s="45" t="e">
        <f t="shared" ca="1" si="2"/>
        <v>#VALUE!</v>
      </c>
      <c r="P20" s="49">
        <f>IFERROR(VLOOKUP(C20,Purchased!A:E,3,FALSE),"")</f>
        <v>20.3764</v>
      </c>
      <c r="Q20" s="50">
        <f t="shared" si="3"/>
        <v>40.752800000000001</v>
      </c>
    </row>
    <row r="21" spans="1:17" s="2" customFormat="1" ht="12" customHeight="1">
      <c r="A21" s="4">
        <f t="shared" si="4"/>
        <v>306</v>
      </c>
      <c r="B21" s="2">
        <v>2</v>
      </c>
      <c r="C21" s="114" t="s">
        <v>821</v>
      </c>
      <c r="D21" s="268" t="str">
        <f>VLOOKUP(C21,Purchased!A:B,2,0)</f>
        <v>SMC Flange Fitting For Speed Controller</v>
      </c>
      <c r="E21" s="269"/>
      <c r="F21" s="112" t="str">
        <f>VLOOKUP(C21,Purchased!A:Q,9,0)</f>
        <v>SMC</v>
      </c>
      <c r="G21" s="112" t="str">
        <f>VLOOKUP(C21,Purchased!A:Q,10,0)</f>
        <v>AAP</v>
      </c>
      <c r="H21" s="112" t="str">
        <f>VLOOKUP(C21,Purchased!A:Q,12,0)</f>
        <v xml:space="preserve"> </v>
      </c>
      <c r="I21" s="113"/>
      <c r="J21" s="44" t="str">
        <f>VLOOKUP(C21,Purchased!A:Q,13,0)</f>
        <v>N/A</v>
      </c>
      <c r="K21" s="44">
        <f>VLOOKUP(C21,Purchased!A:Q,14,0)</f>
        <v>45162</v>
      </c>
      <c r="L21" s="44">
        <f>VLOOKUP(C21,Purchased!A:Q,15,0)</f>
        <v>45184</v>
      </c>
      <c r="M21" s="44">
        <f>VLOOKUP(C21,Purchased!A:Q,16,0)</f>
        <v>45197</v>
      </c>
      <c r="N21" s="45">
        <f>VLOOKUP(C21,Purchased!A:Q,17,0)</f>
        <v>55073</v>
      </c>
      <c r="O21" s="45" t="e">
        <f t="shared" ca="1" si="2"/>
        <v>#VALUE!</v>
      </c>
      <c r="P21" s="49">
        <f>IFERROR(VLOOKUP(C21,Purchased!A:E,3,FALSE),"")</f>
        <v>2.2410000000000001</v>
      </c>
      <c r="Q21" s="50">
        <f t="shared" si="3"/>
        <v>4.4820000000000002</v>
      </c>
    </row>
    <row r="22" spans="1:17" s="2" customFormat="1" ht="12" customHeight="1">
      <c r="A22" s="4">
        <f t="shared" si="4"/>
        <v>307</v>
      </c>
      <c r="B22" s="2">
        <v>2</v>
      </c>
      <c r="C22" s="114" t="s">
        <v>822</v>
      </c>
      <c r="D22" s="268" t="str">
        <f>VLOOKUP(C22,Purchased!A:B,2,0)</f>
        <v>MCM 94595A238 All Threaded Rod M4x0.7 50mm L</v>
      </c>
      <c r="E22" s="269"/>
      <c r="F22" s="112" t="str">
        <f>VLOOKUP(C22,Purchased!A:Q,9,0)</f>
        <v>MCM</v>
      </c>
      <c r="G22" s="112" t="str">
        <f>VLOOKUP(C22,Purchased!A:Q,10,0)</f>
        <v>MCM</v>
      </c>
      <c r="H22" s="112"/>
      <c r="I22" s="113"/>
      <c r="J22" s="44" t="str">
        <f>VLOOKUP(C22,Purchased!A:Q,13,0)</f>
        <v>N/A</v>
      </c>
      <c r="K22" s="44">
        <f>VLOOKUP(C22,Purchased!A:Q,14,0)</f>
        <v>45162</v>
      </c>
      <c r="L22" s="44">
        <f>VLOOKUP(C22,Purchased!A:Q,15,0)</f>
        <v>45184</v>
      </c>
      <c r="M22" s="44">
        <f>VLOOKUP(C22,Purchased!A:Q,16,0)</f>
        <v>45163</v>
      </c>
      <c r="N22" s="45">
        <f>VLOOKUP(C22,Purchased!A:Q,17,0)</f>
        <v>55089</v>
      </c>
      <c r="O22" s="45" t="e">
        <f t="shared" ca="1" si="2"/>
        <v>#VALUE!</v>
      </c>
      <c r="P22" s="49">
        <f>IFERROR(VLOOKUP(C22,Purchased!A:E,3,FALSE),"")</f>
        <v>8.59</v>
      </c>
      <c r="Q22" s="50">
        <f t="shared" si="3"/>
        <v>17.18</v>
      </c>
    </row>
    <row r="23" spans="1:17" s="2" customFormat="1" ht="12" customHeight="1">
      <c r="A23" s="4">
        <f t="shared" si="4"/>
        <v>308</v>
      </c>
      <c r="B23" s="2">
        <v>4</v>
      </c>
      <c r="C23" s="114" t="s">
        <v>690</v>
      </c>
      <c r="D23" s="268" t="str">
        <f>VLOOKUP(C23,Purchased!A:B,2,0)</f>
        <v>BRX GOTO T-SLOT STONE 10 M8</v>
      </c>
      <c r="E23" s="269"/>
      <c r="F23" s="112" t="str">
        <f>VLOOKUP(C23,Purchased!A:Q,9,0)</f>
        <v>BRX</v>
      </c>
      <c r="G23" s="112" t="str">
        <f>VLOOKUP(C23,Purchased!A:Q,10,0)</f>
        <v>AAP</v>
      </c>
      <c r="H23" s="112" t="str">
        <f>VLOOKUP(C23,Purchased!A:Q,12,0)</f>
        <v xml:space="preserve">  </v>
      </c>
      <c r="I23" s="113"/>
      <c r="J23" s="44">
        <f>VLOOKUP(C23,Purchased!A:Q,13,0)</f>
        <v>45104</v>
      </c>
      <c r="K23" s="44">
        <f>VLOOKUP(C23,Purchased!A:Q,14,0)</f>
        <v>45105</v>
      </c>
      <c r="L23" s="44">
        <f>VLOOKUP(C23,Purchased!A:Q,15,0)</f>
        <v>45133</v>
      </c>
      <c r="M23" s="44">
        <f>VLOOKUP(C23,Purchased!A:Q,16,0)</f>
        <v>45133</v>
      </c>
      <c r="N23" s="45">
        <f>VLOOKUP(C23,Purchased!A:Q,17,0)</f>
        <v>54968</v>
      </c>
      <c r="O23" s="45" t="e">
        <f t="shared" ca="1" si="2"/>
        <v>#VALUE!</v>
      </c>
      <c r="P23" s="49">
        <f>IFERROR(VLOOKUP(C23,Purchased!A:E,3,FALSE),"")</f>
        <v>0.98570000000000002</v>
      </c>
      <c r="Q23" s="50">
        <f t="shared" si="3"/>
        <v>3.9428000000000001</v>
      </c>
    </row>
    <row r="24" spans="1:17" s="2" customFormat="1" ht="12" customHeight="1">
      <c r="A24" s="4">
        <f t="shared" si="4"/>
        <v>309</v>
      </c>
      <c r="B24" s="2">
        <v>2</v>
      </c>
      <c r="C24" s="114" t="s">
        <v>477</v>
      </c>
      <c r="D24" s="268" t="str">
        <f>VLOOKUP(C24,Purchased!A:B,2,0)</f>
        <v>MURR M8 Female, 0deg A-Coded, 3-Pin, w/ Cable</v>
      </c>
      <c r="E24" s="269"/>
      <c r="F24" s="112" t="str">
        <f>VLOOKUP(C24,Purchased!A:Q,9,0)</f>
        <v>MURR</v>
      </c>
      <c r="G24" s="112" t="str">
        <f>VLOOKUP(C24,Purchased!A:Q,10,0)</f>
        <v>MURR</v>
      </c>
      <c r="H24" s="112" t="str">
        <f>VLOOKUP(C24,Purchased!A:Q,12,0)</f>
        <v xml:space="preserve">  </v>
      </c>
      <c r="I24" s="113"/>
      <c r="J24" s="44">
        <f>VLOOKUP(C24,Purchased!A:Q,13,0)</f>
        <v>45161</v>
      </c>
      <c r="K24" s="44">
        <f>VLOOKUP(C24,Purchased!A:Q,14,0)</f>
        <v>45162</v>
      </c>
      <c r="L24" s="44">
        <f>VLOOKUP(C24,Purchased!A:Q,15,0)</f>
        <v>45184</v>
      </c>
      <c r="M24" s="44">
        <f>VLOOKUP(C24,Purchased!A:Q,16,0)</f>
        <v>45184</v>
      </c>
      <c r="N24" s="45">
        <f>VLOOKUP(C24,Purchased!A:Q,17,0)</f>
        <v>55080</v>
      </c>
      <c r="O24" s="45" t="e">
        <f t="shared" ca="1" si="2"/>
        <v>#VALUE!</v>
      </c>
      <c r="P24" s="49">
        <f>IFERROR(VLOOKUP(C24,Purchased!A:E,3,FALSE),"")</f>
        <v>21.52</v>
      </c>
      <c r="Q24" s="50">
        <f t="shared" si="3"/>
        <v>43.04</v>
      </c>
    </row>
    <row r="25" spans="1:17" s="2" customFormat="1" ht="12" customHeight="1">
      <c r="A25" s="4">
        <f t="shared" si="4"/>
        <v>310</v>
      </c>
      <c r="B25" s="2">
        <v>2</v>
      </c>
      <c r="C25" s="114" t="s">
        <v>823</v>
      </c>
      <c r="D25" s="268" t="str">
        <f>VLOOKUP(C25,Purchased!A:B,2,0)</f>
        <v xml:space="preserve">ELESA Wing Nut 8751 CTL.476/40 p-M8x16 </v>
      </c>
      <c r="E25" s="269"/>
      <c r="F25" s="112" t="str">
        <f>VLOOKUP(C25,Purchased!A:Q,9,0)</f>
        <v>ELESA</v>
      </c>
      <c r="G25" s="112" t="str">
        <f>VLOOKUP(C25,Purchased!A:Q,10,0)</f>
        <v>ELESA</v>
      </c>
      <c r="H25" s="112" t="str">
        <f>VLOOKUP(C25,Purchased!A:Q,12,0)</f>
        <v xml:space="preserve"> </v>
      </c>
      <c r="I25" s="113"/>
      <c r="J25" s="44" t="str">
        <f>VLOOKUP(C25,Purchased!A:Q,13,0)</f>
        <v>N/A</v>
      </c>
      <c r="K25" s="44">
        <f>VLOOKUP(C25,Purchased!A:Q,14,0)</f>
        <v>45162</v>
      </c>
      <c r="L25" s="44">
        <f>VLOOKUP(C25,Purchased!A:Q,15,0)</f>
        <v>45184</v>
      </c>
      <c r="M25" s="44">
        <f>VLOOKUP(C25,Purchased!A:Q,16,0)</f>
        <v>45184</v>
      </c>
      <c r="N25" s="45">
        <f>VLOOKUP(C25,Purchased!A:Q,17,0)</f>
        <v>55075</v>
      </c>
      <c r="O25" s="45" t="e">
        <f t="shared" ref="O25" ca="1" si="5">B25*$L$2</f>
        <v>#VALUE!</v>
      </c>
      <c r="P25" s="49">
        <f>IFERROR(VLOOKUP(C25,Purchased!A:E,3,FALSE),"")</f>
        <v>16.350000000000001</v>
      </c>
      <c r="Q25" s="50">
        <f t="shared" ref="Q25" si="6">IFERROR(B25*P25,"")</f>
        <v>32.700000000000003</v>
      </c>
    </row>
    <row r="26" spans="1:17" s="2" customFormat="1" ht="12" customHeight="1">
      <c r="A26" s="4">
        <f t="shared" si="4"/>
        <v>311</v>
      </c>
      <c r="B26" s="2">
        <v>4</v>
      </c>
      <c r="C26" s="114" t="s">
        <v>824</v>
      </c>
      <c r="D26" s="268" t="str">
        <f>VLOOKUP(C26,Purchased!A:B,2,0)</f>
        <v>Plastic-Head Thumb Screws, Knurled, M8 x 1.25 mm Thread, 16 mm Long</v>
      </c>
      <c r="E26" s="269"/>
      <c r="F26" s="112" t="str">
        <f>VLOOKUP(C26,Purchased!A:Q,9,0)</f>
        <v>MCM</v>
      </c>
      <c r="G26" s="112" t="str">
        <f>VLOOKUP(C26,Purchased!A:Q,10,0)</f>
        <v>MCM</v>
      </c>
      <c r="H26" s="112" t="str">
        <f>VLOOKUP(C26,Purchased!A:Q,12,0)</f>
        <v xml:space="preserve"> </v>
      </c>
      <c r="I26" s="113"/>
      <c r="J26" s="44" t="str">
        <f>VLOOKUP(C26,Purchased!A:Q,13,0)</f>
        <v>N/A</v>
      </c>
      <c r="K26" s="44">
        <f>VLOOKUP(C26,Purchased!A:Q,14,0)</f>
        <v>45162</v>
      </c>
      <c r="L26" s="44">
        <f>VLOOKUP(C26,Purchased!A:Q,15,0)</f>
        <v>45184</v>
      </c>
      <c r="M26" s="44">
        <f>VLOOKUP(C26,Purchased!A:Q,16,0)</f>
        <v>45163</v>
      </c>
      <c r="N26" s="45">
        <f>VLOOKUP(C26,Purchased!A:Q,17,0)</f>
        <v>55089</v>
      </c>
      <c r="O26" s="45" t="e">
        <f t="shared" ref="O26" ca="1" si="7">B26*$L$2</f>
        <v>#VALUE!</v>
      </c>
      <c r="P26" s="49">
        <f>IFERROR(VLOOKUP(C26,Purchased!A:E,3,FALSE),"")</f>
        <v>8.4700000000000006</v>
      </c>
      <c r="Q26" s="50">
        <f t="shared" ref="Q26" si="8">IFERROR(B26*P26,"")</f>
        <v>33.880000000000003</v>
      </c>
    </row>
    <row r="27" spans="1:17" s="2" customFormat="1" ht="12" customHeight="1">
      <c r="A27" s="4">
        <f t="shared" si="4"/>
        <v>312</v>
      </c>
      <c r="B27" s="2">
        <v>2</v>
      </c>
      <c r="C27" s="114" t="s">
        <v>825</v>
      </c>
      <c r="D27" s="268" t="str">
        <f>VLOOKUP(C27,Purchased!A:B,2,0)</f>
        <v>SMC ACTUATOR SENSOR</v>
      </c>
      <c r="E27" s="269"/>
      <c r="F27" s="112" t="str">
        <f>VLOOKUP(C27,Purchased!A:Q,9,0)</f>
        <v>SMC</v>
      </c>
      <c r="G27" s="112" t="str">
        <f>VLOOKUP(C27,Purchased!A:Q,10,0)</f>
        <v>AAP</v>
      </c>
      <c r="H27" s="112" t="str">
        <f>VLOOKUP(C27,Purchased!A:Q,12,0)</f>
        <v xml:space="preserve"> </v>
      </c>
      <c r="I27" s="113"/>
      <c r="J27" s="44" t="str">
        <f>VLOOKUP(C27,Purchased!A:Q,13,0)</f>
        <v>N/A</v>
      </c>
      <c r="K27" s="44">
        <f>VLOOKUP(C27,Purchased!A:Q,14,0)</f>
        <v>45162</v>
      </c>
      <c r="L27" s="44">
        <f>VLOOKUP(C27,Purchased!A:Q,15,0)</f>
        <v>45184</v>
      </c>
      <c r="M27" s="44">
        <f>VLOOKUP(C27,Purchased!A:Q,16,0)</f>
        <v>45197</v>
      </c>
      <c r="N27" s="45" t="str">
        <f>VLOOKUP(C27,Purchased!A:Q,17,0)</f>
        <v>2x55073, 2x55169</v>
      </c>
      <c r="O27" s="45" t="e">
        <f t="shared" ref="O27" ca="1" si="9">B27*$L$2</f>
        <v>#VALUE!</v>
      </c>
      <c r="P27" s="49">
        <f>IFERROR(VLOOKUP(C27,Purchased!A:E,3,FALSE),"")</f>
        <v>43.962299999999999</v>
      </c>
      <c r="Q27" s="50">
        <f t="shared" ref="Q27" si="10">IFERROR(B27*P27,"")</f>
        <v>87.924599999999998</v>
      </c>
    </row>
    <row r="28" spans="1:17" s="2" customFormat="1" ht="12" customHeight="1">
      <c r="A28" s="4">
        <f t="shared" si="4"/>
        <v>313</v>
      </c>
      <c r="B28" s="2">
        <v>1</v>
      </c>
      <c r="C28" s="114" t="s">
        <v>625</v>
      </c>
      <c r="D28" s="268" t="str">
        <f>VLOOKUP(C28,Purchased!A:B,2,0)</f>
        <v>MURR M8 Female, 0deg A-Coded, 4-Pin, w/ Cable, 10m, black</v>
      </c>
      <c r="E28" s="269"/>
      <c r="F28" s="112" t="str">
        <f>VLOOKUP(C28,Purchased!A:Q,9,0)</f>
        <v>MURR</v>
      </c>
      <c r="G28" s="112" t="str">
        <f>VLOOKUP(C28,Purchased!A:Q,10,0)</f>
        <v>MURR</v>
      </c>
      <c r="H28" s="112">
        <f>VLOOKUP(C28,Purchased!A:Q,12,0)</f>
        <v>0</v>
      </c>
      <c r="I28" s="113"/>
      <c r="J28" s="44">
        <f>VLOOKUP(C28,Purchased!A:Q,13,0)</f>
        <v>45216</v>
      </c>
      <c r="K28" s="44">
        <f>VLOOKUP(C28,Purchased!A:Q,14,0)</f>
        <v>45219</v>
      </c>
      <c r="L28" s="44">
        <f>VLOOKUP(C28,Purchased!A:Q,15,0)</f>
        <v>45226</v>
      </c>
      <c r="M28" s="44">
        <f>VLOOKUP(C28,Purchased!A:Q,16,0)</f>
        <v>45226</v>
      </c>
      <c r="N28" s="45">
        <f>VLOOKUP(C28,Purchased!A:Q,17,0)</f>
        <v>55194</v>
      </c>
      <c r="O28" s="45" t="e">
        <f t="shared" ref="O28" ca="1" si="11">B28*$L$2</f>
        <v>#VALUE!</v>
      </c>
      <c r="P28" s="49">
        <f>IFERROR(VLOOKUP(C28,Purchased!A:E,3,FALSE),"")</f>
        <v>25</v>
      </c>
      <c r="Q28" s="50">
        <f t="shared" ref="Q28" si="12">IFERROR(B28*P28,"")</f>
        <v>25</v>
      </c>
    </row>
    <row r="29" spans="1:17" s="2" customFormat="1" ht="12.75" customHeight="1">
      <c r="A29" s="25"/>
      <c r="B29" s="26"/>
      <c r="C29" s="26"/>
      <c r="D29" s="272"/>
      <c r="E29" s="273"/>
      <c r="F29" s="26"/>
      <c r="G29" s="26"/>
      <c r="H29" s="274"/>
      <c r="I29" s="275"/>
      <c r="J29" s="27"/>
      <c r="K29" s="27"/>
      <c r="L29" s="27"/>
      <c r="M29" s="28"/>
      <c r="N29" s="29"/>
      <c r="O29" s="29" t="e">
        <f t="shared" ref="O29:O38" ca="1" si="13">B29*$L$2</f>
        <v>#VALUE!</v>
      </c>
      <c r="P29" s="141"/>
      <c r="Q29" s="142"/>
    </row>
    <row r="30" spans="1:17" s="2" customFormat="1" ht="12.75" customHeight="1">
      <c r="A30" s="4">
        <v>501</v>
      </c>
      <c r="B30" s="2">
        <v>2</v>
      </c>
      <c r="C30" s="110" t="s">
        <v>826</v>
      </c>
      <c r="D30" s="268"/>
      <c r="E30" s="276"/>
      <c r="F30" s="112" t="str">
        <f>VLOOKUP(C30,Bolts!A:L,5,0)</f>
        <v xml:space="preserve">  </v>
      </c>
      <c r="G30" s="112" t="str">
        <f>VLOOKUP(C30,Bolts!A:L,6,0)</f>
        <v>Monroe Fasteners</v>
      </c>
      <c r="H30" s="112" t="str">
        <f>VLOOKUP(C30,Bolts!A:L,7,0)</f>
        <v xml:space="preserve">  </v>
      </c>
      <c r="I30" s="112"/>
      <c r="J30" s="44" t="str">
        <f>VLOOKUP(C30,Bolts!A:L,8,0)</f>
        <v xml:space="preserve"> </v>
      </c>
      <c r="K30" s="44" t="str">
        <f>VLOOKUP(C30,Bolts!A:L,9,0)</f>
        <v xml:space="preserve"> </v>
      </c>
      <c r="L30" s="44" t="str">
        <f>VLOOKUP(C30,Bolts!A:L,10,0)</f>
        <v xml:space="preserve"> </v>
      </c>
      <c r="M30" s="44" t="str">
        <f>VLOOKUP(C30,Bolts!A:L,11,0)</f>
        <v xml:space="preserve"> </v>
      </c>
      <c r="N30" s="45" t="str">
        <f>VLOOKUP(C30,Bolts!A:L,12,0)</f>
        <v xml:space="preserve"> </v>
      </c>
      <c r="O30" s="45" t="e">
        <f t="shared" ca="1" si="13"/>
        <v>#VALUE!</v>
      </c>
      <c r="P30" s="49" t="str">
        <f>IFERROR(VLOOKUP(C30,Bolts!A:B,2,FALSE),"")</f>
        <v xml:space="preserve"> </v>
      </c>
      <c r="Q30" s="50" t="str">
        <f t="shared" ref="Q30:Q38" si="14">IFERROR(B30*P30,"")</f>
        <v/>
      </c>
    </row>
    <row r="31" spans="1:17" s="2" customFormat="1" ht="12.75" customHeight="1">
      <c r="A31" s="4">
        <f t="shared" ref="A31:A38" si="15">A30+1</f>
        <v>502</v>
      </c>
      <c r="B31" s="2">
        <v>8</v>
      </c>
      <c r="C31" s="110" t="s">
        <v>827</v>
      </c>
      <c r="D31" s="268"/>
      <c r="E31" s="276"/>
      <c r="F31" s="112" t="str">
        <f>VLOOKUP(C31,Bolts!A:L,5,0)</f>
        <v xml:space="preserve">  </v>
      </c>
      <c r="G31" s="112" t="str">
        <f>VLOOKUP(C31,Bolts!A:L,6,0)</f>
        <v>Monroe Fasteners</v>
      </c>
      <c r="H31" s="112" t="str">
        <f>VLOOKUP(C31,Bolts!A:L,7,0)</f>
        <v xml:space="preserve">  </v>
      </c>
      <c r="I31" s="112"/>
      <c r="J31" s="44" t="str">
        <f>VLOOKUP(C31,Bolts!A:L,8,0)</f>
        <v xml:space="preserve"> </v>
      </c>
      <c r="K31" s="44" t="str">
        <f>VLOOKUP(C31,Bolts!A:L,9,0)</f>
        <v xml:space="preserve"> </v>
      </c>
      <c r="L31" s="44" t="str">
        <f>VLOOKUP(C31,Bolts!A:L,10,0)</f>
        <v xml:space="preserve"> </v>
      </c>
      <c r="M31" s="44" t="str">
        <f>VLOOKUP(C31,Bolts!A:L,11,0)</f>
        <v xml:space="preserve"> </v>
      </c>
      <c r="N31" s="45" t="str">
        <f>VLOOKUP(C31,Bolts!A:L,12,0)</f>
        <v xml:space="preserve"> </v>
      </c>
      <c r="O31" s="45" t="e">
        <f t="shared" ca="1" si="13"/>
        <v>#VALUE!</v>
      </c>
      <c r="P31" s="49" t="str">
        <f>IFERROR(VLOOKUP(C31,Bolts!A:B,2,FALSE),"")</f>
        <v xml:space="preserve"> </v>
      </c>
      <c r="Q31" s="50" t="str">
        <f t="shared" si="14"/>
        <v/>
      </c>
    </row>
    <row r="32" spans="1:17" s="2" customFormat="1" ht="12" customHeight="1">
      <c r="A32" s="4">
        <f t="shared" si="15"/>
        <v>503</v>
      </c>
      <c r="B32" s="2">
        <v>4</v>
      </c>
      <c r="C32" s="110" t="s">
        <v>450</v>
      </c>
      <c r="D32" s="268"/>
      <c r="E32" s="276"/>
      <c r="F32" s="112" t="str">
        <f>VLOOKUP(C32,Bolts!A:L,5,0)</f>
        <v xml:space="preserve">  </v>
      </c>
      <c r="G32" s="112" t="str">
        <f>VLOOKUP(C32,Bolts!A:L,6,0)</f>
        <v>Monroe Fasteners</v>
      </c>
      <c r="H32" s="112" t="str">
        <f>VLOOKUP(C32,Bolts!A:L,7,0)</f>
        <v xml:space="preserve">  </v>
      </c>
      <c r="I32" s="112"/>
      <c r="J32" s="44" t="str">
        <f>VLOOKUP(C32,Bolts!A:L,8,0)</f>
        <v xml:space="preserve"> </v>
      </c>
      <c r="K32" s="44" t="str">
        <f>VLOOKUP(C32,Bolts!A:L,9,0)</f>
        <v xml:space="preserve"> </v>
      </c>
      <c r="L32" s="44" t="str">
        <f>VLOOKUP(C32,Bolts!A:L,10,0)</f>
        <v xml:space="preserve"> </v>
      </c>
      <c r="M32" s="44" t="str">
        <f>VLOOKUP(C32,Bolts!A:L,11,0)</f>
        <v xml:space="preserve"> </v>
      </c>
      <c r="N32" s="45" t="str">
        <f>VLOOKUP(C32,Bolts!A:L,12,0)</f>
        <v xml:space="preserve"> </v>
      </c>
      <c r="O32" s="45" t="e">
        <f t="shared" ca="1" si="13"/>
        <v>#VALUE!</v>
      </c>
      <c r="P32" s="49" t="str">
        <f>IFERROR(VLOOKUP(C32,Bolts!A:B,2,FALSE),"")</f>
        <v xml:space="preserve"> </v>
      </c>
      <c r="Q32" s="50" t="str">
        <f t="shared" si="14"/>
        <v/>
      </c>
    </row>
    <row r="33" spans="1:17" s="2" customFormat="1" ht="12" customHeight="1">
      <c r="A33" s="4">
        <f t="shared" si="15"/>
        <v>504</v>
      </c>
      <c r="B33" s="2">
        <v>4</v>
      </c>
      <c r="C33" s="110" t="s">
        <v>452</v>
      </c>
      <c r="D33" s="268"/>
      <c r="E33" s="276"/>
      <c r="F33" s="112" t="str">
        <f>VLOOKUP(C33,Bolts!A:L,5,0)</f>
        <v xml:space="preserve">  </v>
      </c>
      <c r="G33" s="112" t="str">
        <f>VLOOKUP(C33,Bolts!A:L,6,0)</f>
        <v>Monroe Fasteners</v>
      </c>
      <c r="H33" s="112" t="str">
        <f>VLOOKUP(C33,Bolts!A:L,7,0)</f>
        <v xml:space="preserve">  </v>
      </c>
      <c r="I33" s="112"/>
      <c r="J33" s="44" t="str">
        <f>VLOOKUP(C33,Bolts!A:L,8,0)</f>
        <v xml:space="preserve"> </v>
      </c>
      <c r="K33" s="44" t="str">
        <f>VLOOKUP(C33,Bolts!A:L,9,0)</f>
        <v xml:space="preserve"> </v>
      </c>
      <c r="L33" s="44" t="str">
        <f>VLOOKUP(C33,Bolts!A:L,10,0)</f>
        <v xml:space="preserve"> </v>
      </c>
      <c r="M33" s="44" t="str">
        <f>VLOOKUP(C33,Bolts!A:L,11,0)</f>
        <v xml:space="preserve"> </v>
      </c>
      <c r="N33" s="45" t="str">
        <f>VLOOKUP(C33,Bolts!A:L,12,0)</f>
        <v xml:space="preserve"> </v>
      </c>
      <c r="O33" s="45" t="e">
        <f t="shared" ca="1" si="13"/>
        <v>#VALUE!</v>
      </c>
      <c r="P33" s="49" t="str">
        <f>IFERROR(VLOOKUP(C33,Bolts!A:B,2,FALSE),"")</f>
        <v xml:space="preserve"> </v>
      </c>
      <c r="Q33" s="50" t="str">
        <f t="shared" si="14"/>
        <v/>
      </c>
    </row>
    <row r="34" spans="1:17" s="2" customFormat="1" ht="12" customHeight="1">
      <c r="A34" s="4">
        <f t="shared" si="15"/>
        <v>505</v>
      </c>
      <c r="B34" s="2">
        <v>8</v>
      </c>
      <c r="C34" s="110" t="s">
        <v>540</v>
      </c>
      <c r="D34" s="268"/>
      <c r="E34" s="276"/>
      <c r="F34" s="112" t="str">
        <f>VLOOKUP(C34,Bolts!A:L,5,0)</f>
        <v xml:space="preserve">  </v>
      </c>
      <c r="G34" s="112" t="str">
        <f>VLOOKUP(C34,Bolts!A:L,6,0)</f>
        <v>Monroe Fasteners</v>
      </c>
      <c r="H34" s="112" t="str">
        <f>VLOOKUP(C34,Bolts!A:L,7,0)</f>
        <v xml:space="preserve">  </v>
      </c>
      <c r="I34" s="112"/>
      <c r="J34" s="44" t="str">
        <f>VLOOKUP(C34,Bolts!A:L,8,0)</f>
        <v xml:space="preserve"> </v>
      </c>
      <c r="K34" s="44" t="str">
        <f>VLOOKUP(C34,Bolts!A:L,9,0)</f>
        <v xml:space="preserve"> </v>
      </c>
      <c r="L34" s="44" t="str">
        <f>VLOOKUP(C34,Bolts!A:L,10,0)</f>
        <v xml:space="preserve"> </v>
      </c>
      <c r="M34" s="44" t="str">
        <f>VLOOKUP(C34,Bolts!A:L,11,0)</f>
        <v xml:space="preserve"> </v>
      </c>
      <c r="N34" s="45" t="str">
        <f>VLOOKUP(C34,Bolts!A:L,12,0)</f>
        <v xml:space="preserve"> </v>
      </c>
      <c r="O34" s="45" t="e">
        <f t="shared" ca="1" si="13"/>
        <v>#VALUE!</v>
      </c>
      <c r="P34" s="49" t="str">
        <f>IFERROR(VLOOKUP(C34,Bolts!A:B,2,FALSE),"")</f>
        <v xml:space="preserve"> </v>
      </c>
      <c r="Q34" s="50" t="str">
        <f t="shared" si="14"/>
        <v/>
      </c>
    </row>
    <row r="35" spans="1:17" s="2" customFormat="1" ht="12" customHeight="1">
      <c r="A35" s="4">
        <f t="shared" si="15"/>
        <v>506</v>
      </c>
      <c r="B35" s="2">
        <v>13</v>
      </c>
      <c r="C35" s="110" t="s">
        <v>828</v>
      </c>
      <c r="D35" s="268"/>
      <c r="E35" s="276"/>
      <c r="F35" s="112" t="str">
        <f>VLOOKUP(C35,Bolts!A:L,5,0)</f>
        <v xml:space="preserve">  </v>
      </c>
      <c r="G35" s="112" t="str">
        <f>VLOOKUP(C35,Bolts!A:L,6,0)</f>
        <v>Monroe Fasteners</v>
      </c>
      <c r="H35" s="112" t="str">
        <f>VLOOKUP(C35,Bolts!A:L,7,0)</f>
        <v xml:space="preserve">  </v>
      </c>
      <c r="I35" s="112"/>
      <c r="J35" s="44" t="str">
        <f>VLOOKUP(C35,Bolts!A:L,8,0)</f>
        <v xml:space="preserve"> </v>
      </c>
      <c r="K35" s="44" t="str">
        <f>VLOOKUP(C35,Bolts!A:L,9,0)</f>
        <v xml:space="preserve"> </v>
      </c>
      <c r="L35" s="44" t="str">
        <f>VLOOKUP(C35,Bolts!A:L,10,0)</f>
        <v xml:space="preserve"> </v>
      </c>
      <c r="M35" s="44" t="str">
        <f>VLOOKUP(C35,Bolts!A:L,11,0)</f>
        <v xml:space="preserve"> </v>
      </c>
      <c r="N35" s="45" t="str">
        <f>VLOOKUP(C35,Bolts!A:L,12,0)</f>
        <v xml:space="preserve"> </v>
      </c>
      <c r="O35" s="45" t="e">
        <f t="shared" ca="1" si="13"/>
        <v>#VALUE!</v>
      </c>
      <c r="P35" s="49" t="str">
        <f>IFERROR(VLOOKUP(C35,Bolts!A:B,2,FALSE),"")</f>
        <v xml:space="preserve"> </v>
      </c>
      <c r="Q35" s="50" t="str">
        <f t="shared" si="14"/>
        <v/>
      </c>
    </row>
    <row r="36" spans="1:17" s="2" customFormat="1" ht="12" customHeight="1">
      <c r="A36" s="4">
        <f t="shared" si="15"/>
        <v>507</v>
      </c>
      <c r="B36" s="2">
        <v>4</v>
      </c>
      <c r="C36" s="110" t="s">
        <v>829</v>
      </c>
      <c r="D36" s="268"/>
      <c r="E36" s="276"/>
      <c r="F36" s="112" t="str">
        <f>VLOOKUP(C36,Bolts!A:L,5,0)</f>
        <v xml:space="preserve">  </v>
      </c>
      <c r="G36" s="112" t="str">
        <f>VLOOKUP(C36,Bolts!A:L,6,0)</f>
        <v>Monroe Fasteners</v>
      </c>
      <c r="H36" s="112" t="str">
        <f>VLOOKUP(C36,Bolts!A:L,7,0)</f>
        <v xml:space="preserve">  </v>
      </c>
      <c r="I36" s="112"/>
      <c r="J36" s="44" t="str">
        <f>VLOOKUP(C36,Bolts!A:L,8,0)</f>
        <v xml:space="preserve"> </v>
      </c>
      <c r="K36" s="44" t="str">
        <f>VLOOKUP(C36,Bolts!A:L,9,0)</f>
        <v xml:space="preserve"> </v>
      </c>
      <c r="L36" s="44" t="str">
        <f>VLOOKUP(C36,Bolts!A:L,10,0)</f>
        <v xml:space="preserve"> </v>
      </c>
      <c r="M36" s="44" t="str">
        <f>VLOOKUP(C36,Bolts!A:L,11,0)</f>
        <v xml:space="preserve"> </v>
      </c>
      <c r="N36" s="45" t="str">
        <f>VLOOKUP(C36,Bolts!A:L,12,0)</f>
        <v xml:space="preserve"> </v>
      </c>
      <c r="O36" s="45" t="e">
        <f t="shared" ca="1" si="13"/>
        <v>#VALUE!</v>
      </c>
      <c r="P36" s="49" t="str">
        <f>IFERROR(VLOOKUP(C36,Bolts!A:B,2,FALSE),"")</f>
        <v xml:space="preserve"> </v>
      </c>
      <c r="Q36" s="50" t="str">
        <f t="shared" si="14"/>
        <v/>
      </c>
    </row>
    <row r="37" spans="1:17" s="2" customFormat="1" ht="12" customHeight="1">
      <c r="A37" s="4">
        <f t="shared" si="15"/>
        <v>508</v>
      </c>
      <c r="B37" s="2">
        <v>4</v>
      </c>
      <c r="C37" s="110" t="s">
        <v>830</v>
      </c>
      <c r="D37" s="268"/>
      <c r="E37" s="276"/>
      <c r="F37" s="112" t="str">
        <f>VLOOKUP(C37,Bolts!A:L,5,0)</f>
        <v xml:space="preserve">  </v>
      </c>
      <c r="G37" s="112" t="str">
        <f>VLOOKUP(C37,Bolts!A:L,6,0)</f>
        <v>Monroe Fasteners</v>
      </c>
      <c r="H37" s="112" t="str">
        <f>VLOOKUP(C37,Bolts!A:L,7,0)</f>
        <v xml:space="preserve">  </v>
      </c>
      <c r="I37" s="112"/>
      <c r="J37" s="44" t="str">
        <f>VLOOKUP(C37,Bolts!A:L,8,0)</f>
        <v xml:space="preserve"> </v>
      </c>
      <c r="K37" s="44" t="str">
        <f>VLOOKUP(C37,Bolts!A:L,9,0)</f>
        <v xml:space="preserve"> </v>
      </c>
      <c r="L37" s="44" t="str">
        <f>VLOOKUP(C37,Bolts!A:L,10,0)</f>
        <v xml:space="preserve"> </v>
      </c>
      <c r="M37" s="44" t="str">
        <f>VLOOKUP(C37,Bolts!A:L,11,0)</f>
        <v xml:space="preserve"> </v>
      </c>
      <c r="N37" s="45" t="str">
        <f>VLOOKUP(C37,Bolts!A:L,12,0)</f>
        <v xml:space="preserve"> </v>
      </c>
      <c r="O37" s="45" t="e">
        <f t="shared" ca="1" si="13"/>
        <v>#VALUE!</v>
      </c>
      <c r="P37" s="49" t="str">
        <f>IFERROR(VLOOKUP(C37,Bolts!A:B,2,FALSE),"")</f>
        <v xml:space="preserve"> </v>
      </c>
      <c r="Q37" s="50" t="str">
        <f t="shared" si="14"/>
        <v/>
      </c>
    </row>
    <row r="38" spans="1:17" s="2" customFormat="1" ht="12" customHeight="1">
      <c r="A38" s="4">
        <f t="shared" si="15"/>
        <v>509</v>
      </c>
      <c r="B38" s="2">
        <v>4</v>
      </c>
      <c r="C38" s="110" t="s">
        <v>831</v>
      </c>
      <c r="D38" s="268"/>
      <c r="E38" s="276"/>
      <c r="F38" s="112" t="str">
        <f>VLOOKUP(C38,Bolts!A:L,5,0)</f>
        <v xml:space="preserve">  </v>
      </c>
      <c r="G38" s="112" t="str">
        <f>VLOOKUP(C38,Bolts!A:L,6,0)</f>
        <v>Monroe Fasteners</v>
      </c>
      <c r="H38" s="112" t="str">
        <f>VLOOKUP(C38,Bolts!A:L,7,0)</f>
        <v xml:space="preserve">  </v>
      </c>
      <c r="I38" s="112"/>
      <c r="J38" s="44" t="str">
        <f>VLOOKUP(C38,Bolts!A:L,8,0)</f>
        <v xml:space="preserve"> </v>
      </c>
      <c r="K38" s="44" t="str">
        <f>VLOOKUP(C38,Bolts!A:L,9,0)</f>
        <v xml:space="preserve"> </v>
      </c>
      <c r="L38" s="44" t="str">
        <f>VLOOKUP(C38,Bolts!A:L,10,0)</f>
        <v xml:space="preserve"> </v>
      </c>
      <c r="M38" s="44" t="str">
        <f>VLOOKUP(C38,Bolts!A:L,11,0)</f>
        <v xml:space="preserve"> </v>
      </c>
      <c r="N38" s="45" t="str">
        <f>VLOOKUP(C38,Bolts!A:L,12,0)</f>
        <v xml:space="preserve"> </v>
      </c>
      <c r="O38" s="45" t="e">
        <f t="shared" ca="1" si="13"/>
        <v>#VALUE!</v>
      </c>
      <c r="P38" s="49" t="str">
        <f>IFERROR(VLOOKUP(C38,Bolts!A:B,2,FALSE),"")</f>
        <v xml:space="preserve"> </v>
      </c>
      <c r="Q38" s="50" t="str">
        <f t="shared" si="14"/>
        <v/>
      </c>
    </row>
    <row r="39" spans="1:17" s="2" customFormat="1" ht="12" customHeight="1">
      <c r="A39" s="4">
        <v>510</v>
      </c>
      <c r="B39" s="2">
        <v>13</v>
      </c>
      <c r="C39" s="110" t="s">
        <v>595</v>
      </c>
      <c r="D39" s="164"/>
      <c r="E39" s="165"/>
      <c r="F39" s="112" t="str">
        <f>VLOOKUP(C39,Bolts!A:L,5,0)</f>
        <v xml:space="preserve">  </v>
      </c>
      <c r="G39" s="112" t="str">
        <f>VLOOKUP(C39,Bolts!A:L,6,0)</f>
        <v>Monroe Fasteners</v>
      </c>
      <c r="H39" s="112" t="str">
        <f>VLOOKUP(C39,Bolts!A:L,7,0)</f>
        <v xml:space="preserve">  </v>
      </c>
      <c r="I39" s="112"/>
      <c r="J39" s="44" t="str">
        <f>VLOOKUP(C39,Bolts!A:L,8,0)</f>
        <v xml:space="preserve"> </v>
      </c>
      <c r="K39" s="44" t="str">
        <f>VLOOKUP(C39,Bolts!A:L,9,0)</f>
        <v xml:space="preserve"> </v>
      </c>
      <c r="L39" s="44" t="str">
        <f>VLOOKUP(C39,Bolts!A:L,10,0)</f>
        <v xml:space="preserve"> </v>
      </c>
      <c r="M39" s="44" t="str">
        <f>VLOOKUP(C39,Bolts!A:L,11,0)</f>
        <v xml:space="preserve"> </v>
      </c>
      <c r="N39" s="45" t="str">
        <f>VLOOKUP(C39,Bolts!A:L,12,0)</f>
        <v xml:space="preserve"> </v>
      </c>
      <c r="O39" s="45" t="e">
        <f ca="1">B39*$L$2</f>
        <v>#VALUE!</v>
      </c>
      <c r="P39" s="49" t="str">
        <f>IFERROR(VLOOKUP(C39,Bolts!A:B,2,FALSE),"")</f>
        <v xml:space="preserve"> </v>
      </c>
      <c r="Q39" s="50" t="str">
        <f>IFERROR(B39*P39,"")</f>
        <v/>
      </c>
    </row>
    <row r="40" spans="1:17" s="2" customFormat="1" ht="12" customHeight="1" thickBot="1">
      <c r="A40" s="4">
        <v>511</v>
      </c>
      <c r="B40" s="2">
        <v>4</v>
      </c>
      <c r="C40" s="110" t="s">
        <v>515</v>
      </c>
      <c r="D40" s="164"/>
      <c r="E40" s="165"/>
      <c r="F40" s="112" t="str">
        <f>VLOOKUP(C40,Bolts!A:L,5,0)</f>
        <v xml:space="preserve">  </v>
      </c>
      <c r="G40" s="112" t="str">
        <f>VLOOKUP(C40,Bolts!A:L,6,0)</f>
        <v>Monroe Fasteners</v>
      </c>
      <c r="H40" s="112" t="str">
        <f>VLOOKUP(C40,Bolts!A:L,7,0)</f>
        <v xml:space="preserve">  </v>
      </c>
      <c r="I40" s="112"/>
      <c r="J40" s="44" t="str">
        <f>VLOOKUP(C40,Bolts!A:L,8,0)</f>
        <v xml:space="preserve"> </v>
      </c>
      <c r="K40" s="44" t="str">
        <f>VLOOKUP(C40,Bolts!A:L,9,0)</f>
        <v xml:space="preserve"> </v>
      </c>
      <c r="L40" s="44" t="str">
        <f>VLOOKUP(C40,Bolts!A:L,10,0)</f>
        <v xml:space="preserve"> </v>
      </c>
      <c r="M40" s="44" t="str">
        <f>VLOOKUP(C40,Bolts!A:L,11,0)</f>
        <v xml:space="preserve"> </v>
      </c>
      <c r="N40" s="45" t="str">
        <f>VLOOKUP(C40,Bolts!A:L,12,0)</f>
        <v xml:space="preserve"> </v>
      </c>
      <c r="O40" s="45" t="e">
        <f ca="1">B40*$L$2</f>
        <v>#VALUE!</v>
      </c>
      <c r="P40" s="49" t="str">
        <f>IFERROR(VLOOKUP(C40,Bolts!A:B,2,FALSE),"")</f>
        <v xml:space="preserve"> </v>
      </c>
      <c r="Q40" s="50" t="str">
        <f>IFERROR(B40*P40,"")</f>
        <v/>
      </c>
    </row>
    <row r="41" spans="1:17" s="2" customFormat="1" ht="12.75" customHeight="1" thickBot="1">
      <c r="A41" s="34"/>
      <c r="B41" s="35"/>
      <c r="C41" s="35"/>
      <c r="D41" s="256"/>
      <c r="E41" s="257"/>
      <c r="F41" s="35"/>
      <c r="G41" s="35"/>
      <c r="H41" s="294"/>
      <c r="I41" s="295"/>
      <c r="J41" s="36"/>
      <c r="K41" s="36"/>
      <c r="L41" s="36"/>
      <c r="M41" s="37"/>
      <c r="N41" s="38"/>
      <c r="O41" s="38"/>
      <c r="P41" s="89" t="s">
        <v>43</v>
      </c>
      <c r="Q41" s="94">
        <f>SUM(Q5:Q40)</f>
        <v>2095.3275000000003</v>
      </c>
    </row>
    <row r="42" spans="1:17" s="2" customFormat="1" ht="12" customHeight="1">
      <c r="D42" s="22"/>
      <c r="E42" s="22"/>
      <c r="J42" s="8"/>
      <c r="K42" s="8"/>
      <c r="L42" s="8"/>
      <c r="M42" s="8"/>
      <c r="N42" s="5"/>
      <c r="O42" s="5"/>
      <c r="P42" s="88"/>
      <c r="Q42" s="95"/>
    </row>
    <row r="43" spans="1:17" s="2" customFormat="1" ht="12" customHeight="1">
      <c r="D43" s="22"/>
      <c r="E43" s="22"/>
      <c r="J43" s="5"/>
      <c r="K43" s="5"/>
      <c r="L43" s="5"/>
      <c r="M43" s="5"/>
      <c r="N43" s="5"/>
      <c r="O43" s="5"/>
      <c r="P43" s="88"/>
      <c r="Q43" s="95"/>
    </row>
    <row r="44" spans="1:17" s="2" customFormat="1" ht="12" customHeight="1">
      <c r="D44" s="22"/>
      <c r="E44" s="22"/>
      <c r="J44" s="5"/>
      <c r="K44" s="5"/>
      <c r="L44" s="5"/>
      <c r="M44" s="5"/>
      <c r="N44" s="5"/>
      <c r="O44" s="5"/>
      <c r="P44" s="88"/>
      <c r="Q44" s="95"/>
    </row>
    <row r="45" spans="1:17" s="2" customFormat="1" ht="12" customHeight="1">
      <c r="D45" s="22"/>
      <c r="E45" s="22"/>
      <c r="J45" s="5"/>
      <c r="K45" s="5"/>
      <c r="L45" s="5"/>
      <c r="M45" s="5"/>
      <c r="N45" s="5"/>
      <c r="O45" s="5"/>
      <c r="P45" s="88"/>
      <c r="Q45" s="95"/>
    </row>
    <row r="46" spans="1:17" s="2" customFormat="1" ht="12" customHeight="1">
      <c r="D46" s="22"/>
      <c r="E46" s="22"/>
      <c r="J46" s="5"/>
      <c r="K46" s="5"/>
      <c r="L46" s="5"/>
      <c r="M46" s="5"/>
      <c r="N46" s="5"/>
      <c r="O46" s="5"/>
      <c r="P46" s="88"/>
      <c r="Q46" s="95"/>
    </row>
    <row r="47" spans="1:17" s="2" customFormat="1" ht="12" customHeight="1">
      <c r="D47" s="22"/>
      <c r="E47" s="22"/>
      <c r="J47" s="5"/>
      <c r="K47" s="5"/>
      <c r="L47" s="5"/>
      <c r="M47" s="5"/>
      <c r="N47" s="5"/>
      <c r="O47" s="5"/>
      <c r="P47" s="88"/>
      <c r="Q47" s="95"/>
    </row>
    <row r="48" spans="1:17" s="2" customFormat="1" ht="12" customHeight="1">
      <c r="D48" s="22"/>
      <c r="E48" s="22"/>
      <c r="J48" s="5"/>
      <c r="K48" s="5"/>
      <c r="L48" s="5"/>
      <c r="M48" s="5"/>
      <c r="N48" s="5"/>
      <c r="O48" s="5"/>
      <c r="P48" s="88"/>
      <c r="Q48" s="95"/>
    </row>
    <row r="49" spans="4:17" s="2" customFormat="1" ht="12" customHeight="1">
      <c r="D49" s="22"/>
      <c r="E49" s="22"/>
      <c r="J49" s="5"/>
      <c r="K49" s="5"/>
      <c r="L49" s="5"/>
      <c r="M49" s="5"/>
      <c r="N49" s="5"/>
      <c r="O49" s="5"/>
      <c r="P49" s="88"/>
      <c r="Q49" s="95"/>
    </row>
    <row r="50" spans="4:17" s="2" customFormat="1" ht="12" customHeight="1">
      <c r="D50" s="22"/>
      <c r="E50" s="22"/>
      <c r="J50" s="5"/>
      <c r="K50" s="5"/>
      <c r="L50" s="5"/>
      <c r="M50" s="5"/>
      <c r="N50" s="5"/>
      <c r="O50" s="5"/>
      <c r="P50" s="88"/>
      <c r="Q50" s="95"/>
    </row>
    <row r="51" spans="4:17" s="2" customFormat="1" ht="12" customHeight="1">
      <c r="D51" s="22"/>
      <c r="E51" s="22"/>
      <c r="J51" s="5"/>
      <c r="K51" s="5"/>
      <c r="L51" s="5"/>
      <c r="M51" s="5"/>
      <c r="N51" s="5"/>
      <c r="O51" s="5"/>
      <c r="P51" s="88"/>
      <c r="Q51" s="95"/>
    </row>
    <row r="52" spans="4:17" s="2" customFormat="1" ht="12" customHeight="1">
      <c r="D52" s="22"/>
      <c r="E52" s="22"/>
      <c r="J52" s="5"/>
      <c r="K52" s="5"/>
      <c r="L52" s="5"/>
      <c r="M52" s="5"/>
      <c r="N52" s="5"/>
      <c r="O52" s="5"/>
      <c r="P52" s="88"/>
      <c r="Q52" s="95"/>
    </row>
    <row r="53" spans="4:17" s="2" customFormat="1" ht="12" customHeight="1">
      <c r="D53" s="22"/>
      <c r="E53" s="22"/>
      <c r="J53" s="5"/>
      <c r="K53" s="5"/>
      <c r="L53" s="5"/>
      <c r="M53" s="5"/>
      <c r="N53" s="5"/>
      <c r="O53" s="5"/>
      <c r="P53" s="88"/>
      <c r="Q53" s="95"/>
    </row>
    <row r="54" spans="4:17" s="2" customFormat="1" ht="12" customHeight="1">
      <c r="D54" s="22"/>
      <c r="E54" s="22"/>
      <c r="J54" s="5"/>
      <c r="K54" s="5"/>
      <c r="L54" s="5"/>
      <c r="M54" s="5"/>
      <c r="N54" s="5"/>
      <c r="O54" s="5"/>
      <c r="P54" s="88"/>
      <c r="Q54" s="95"/>
    </row>
    <row r="55" spans="4:17" s="2" customFormat="1" ht="12" customHeight="1">
      <c r="D55" s="22"/>
      <c r="E55" s="22"/>
      <c r="J55" s="5"/>
      <c r="K55" s="5"/>
      <c r="L55" s="5"/>
      <c r="M55" s="5"/>
      <c r="N55" s="5"/>
      <c r="O55" s="5"/>
      <c r="P55" s="88"/>
      <c r="Q55" s="95"/>
    </row>
    <row r="56" spans="4:17" s="2" customFormat="1" ht="12" customHeight="1">
      <c r="D56" s="22"/>
      <c r="E56" s="22"/>
      <c r="J56" s="5"/>
      <c r="K56" s="5"/>
      <c r="L56" s="5"/>
      <c r="M56" s="5"/>
      <c r="N56" s="5"/>
      <c r="O56" s="5"/>
      <c r="P56" s="88"/>
      <c r="Q56" s="95"/>
    </row>
    <row r="57" spans="4:17" s="2" customFormat="1" ht="12" customHeight="1">
      <c r="D57" s="22"/>
      <c r="E57" s="22"/>
      <c r="J57" s="5"/>
      <c r="K57" s="5"/>
      <c r="L57" s="5"/>
      <c r="M57" s="5"/>
      <c r="N57" s="5"/>
      <c r="O57" s="5"/>
      <c r="P57" s="88"/>
      <c r="Q57" s="95"/>
    </row>
    <row r="58" spans="4:17" s="2" customFormat="1" ht="12" customHeight="1">
      <c r="D58" s="22"/>
      <c r="E58" s="22"/>
      <c r="J58" s="5"/>
      <c r="K58" s="5"/>
      <c r="L58" s="5"/>
      <c r="M58" s="5"/>
      <c r="N58" s="5"/>
      <c r="O58" s="5"/>
      <c r="P58" s="88"/>
      <c r="Q58" s="95"/>
    </row>
    <row r="59" spans="4:17" s="2" customFormat="1" ht="12" customHeight="1">
      <c r="D59" s="22"/>
      <c r="E59" s="22"/>
      <c r="J59" s="5"/>
      <c r="K59" s="5"/>
      <c r="L59" s="5"/>
      <c r="M59" s="5"/>
      <c r="N59" s="5"/>
      <c r="O59" s="5"/>
      <c r="P59" s="88"/>
      <c r="Q59" s="95"/>
    </row>
    <row r="60" spans="4:17" s="2" customFormat="1" ht="12" customHeight="1">
      <c r="D60" s="22"/>
      <c r="E60" s="22"/>
      <c r="J60" s="5"/>
      <c r="K60" s="5"/>
      <c r="L60" s="5"/>
      <c r="M60" s="5"/>
      <c r="N60" s="5"/>
      <c r="O60" s="5"/>
      <c r="P60" s="88"/>
      <c r="Q60" s="95"/>
    </row>
    <row r="61" spans="4:17" s="2" customFormat="1" ht="12" customHeight="1">
      <c r="D61" s="22"/>
      <c r="E61" s="22"/>
      <c r="J61" s="5"/>
      <c r="K61" s="5"/>
      <c r="L61" s="5"/>
      <c r="M61" s="5"/>
      <c r="N61" s="5"/>
      <c r="O61" s="5"/>
      <c r="P61" s="88"/>
      <c r="Q61" s="95"/>
    </row>
    <row r="62" spans="4:17" s="2" customFormat="1" ht="12" customHeight="1">
      <c r="D62" s="22"/>
      <c r="E62" s="22"/>
      <c r="J62" s="5"/>
      <c r="K62" s="5"/>
      <c r="L62" s="5"/>
      <c r="M62" s="5"/>
      <c r="N62" s="5"/>
      <c r="O62" s="5"/>
      <c r="P62" s="88"/>
      <c r="Q62" s="95"/>
    </row>
    <row r="63" spans="4:17" s="2" customFormat="1" ht="12" customHeight="1">
      <c r="D63" s="22"/>
      <c r="E63" s="22"/>
      <c r="J63" s="5"/>
      <c r="K63" s="5"/>
      <c r="L63" s="5"/>
      <c r="M63" s="5"/>
      <c r="N63" s="5"/>
      <c r="O63" s="5"/>
      <c r="P63" s="88"/>
      <c r="Q63" s="95"/>
    </row>
    <row r="64" spans="4:17" s="2" customFormat="1" ht="12" customHeight="1">
      <c r="D64" s="22"/>
      <c r="E64" s="22"/>
      <c r="J64" s="5"/>
      <c r="K64" s="5"/>
      <c r="L64" s="5"/>
      <c r="M64" s="5"/>
      <c r="N64" s="5"/>
      <c r="O64" s="5"/>
      <c r="P64" s="88"/>
      <c r="Q64" s="95"/>
    </row>
    <row r="65" spans="4:17" s="2" customFormat="1" ht="12" customHeight="1">
      <c r="D65" s="22"/>
      <c r="E65" s="22"/>
      <c r="J65" s="5"/>
      <c r="K65" s="5"/>
      <c r="L65" s="5"/>
      <c r="M65" s="5"/>
      <c r="N65" s="5"/>
      <c r="O65" s="5"/>
      <c r="P65" s="88"/>
      <c r="Q65" s="95"/>
    </row>
    <row r="66" spans="4:17" s="2" customFormat="1" ht="12" customHeight="1">
      <c r="D66" s="22"/>
      <c r="E66" s="22"/>
      <c r="J66" s="5"/>
      <c r="K66" s="5"/>
      <c r="L66" s="5"/>
      <c r="M66" s="5"/>
      <c r="N66" s="5"/>
      <c r="O66" s="5"/>
      <c r="P66" s="88"/>
      <c r="Q66" s="95"/>
    </row>
    <row r="67" spans="4:17" s="2" customFormat="1" ht="12" customHeight="1">
      <c r="D67" s="22"/>
      <c r="E67" s="22"/>
      <c r="J67" s="5"/>
      <c r="K67" s="5"/>
      <c r="L67" s="5"/>
      <c r="M67" s="5"/>
      <c r="N67" s="5"/>
      <c r="O67" s="5"/>
      <c r="P67" s="88"/>
      <c r="Q67" s="95"/>
    </row>
    <row r="68" spans="4:17" s="2" customFormat="1" ht="12" customHeight="1">
      <c r="D68" s="22"/>
      <c r="E68" s="22"/>
      <c r="J68" s="5"/>
      <c r="K68" s="5"/>
      <c r="L68" s="5"/>
      <c r="M68" s="5"/>
      <c r="N68" s="5"/>
      <c r="O68" s="5"/>
      <c r="P68" s="88"/>
      <c r="Q68" s="95"/>
    </row>
    <row r="69" spans="4:17" s="2" customFormat="1" ht="12" customHeight="1">
      <c r="D69" s="22"/>
      <c r="E69" s="22"/>
      <c r="J69" s="5"/>
      <c r="K69" s="5"/>
      <c r="L69" s="5"/>
      <c r="M69" s="5"/>
      <c r="N69" s="5"/>
      <c r="O69" s="5"/>
      <c r="P69" s="88"/>
      <c r="Q69" s="95"/>
    </row>
    <row r="70" spans="4:17" s="2" customFormat="1" ht="12" customHeight="1">
      <c r="D70" s="22"/>
      <c r="E70" s="22"/>
      <c r="J70" s="5"/>
      <c r="K70" s="5"/>
      <c r="L70" s="5"/>
      <c r="M70" s="5"/>
      <c r="N70" s="5"/>
      <c r="O70" s="5"/>
      <c r="P70" s="88"/>
      <c r="Q70" s="95"/>
    </row>
    <row r="71" spans="4:17" s="2" customFormat="1" ht="12" customHeight="1">
      <c r="D71" s="22"/>
      <c r="E71" s="22"/>
      <c r="J71" s="5"/>
      <c r="K71" s="5"/>
      <c r="L71" s="5"/>
      <c r="M71" s="5"/>
      <c r="N71" s="5"/>
      <c r="O71" s="5"/>
      <c r="P71" s="88"/>
      <c r="Q71" s="95"/>
    </row>
    <row r="72" spans="4:17" s="2" customFormat="1" ht="12" customHeight="1">
      <c r="D72" s="22"/>
      <c r="E72" s="22"/>
      <c r="J72" s="5"/>
      <c r="K72" s="5"/>
      <c r="L72" s="5"/>
      <c r="M72" s="5"/>
      <c r="N72" s="5"/>
      <c r="O72" s="5"/>
      <c r="P72" s="88"/>
      <c r="Q72" s="95"/>
    </row>
    <row r="73" spans="4:17" s="2" customFormat="1" ht="12" customHeight="1">
      <c r="D73" s="22"/>
      <c r="E73" s="22"/>
      <c r="J73" s="5"/>
      <c r="K73" s="5"/>
      <c r="L73" s="5"/>
      <c r="M73" s="5"/>
      <c r="N73" s="5"/>
      <c r="O73" s="5"/>
      <c r="P73" s="88"/>
      <c r="Q73" s="95"/>
    </row>
    <row r="74" spans="4:17" s="2" customFormat="1" ht="12" customHeight="1">
      <c r="D74" s="22"/>
      <c r="E74" s="22"/>
      <c r="J74" s="5"/>
      <c r="K74" s="5"/>
      <c r="L74" s="5"/>
      <c r="M74" s="5"/>
      <c r="N74" s="5"/>
      <c r="O74" s="5"/>
      <c r="P74" s="88"/>
      <c r="Q74" s="95"/>
    </row>
    <row r="75" spans="4:17" s="2" customFormat="1" ht="12" customHeight="1">
      <c r="D75" s="22"/>
      <c r="E75" s="22"/>
      <c r="J75" s="5"/>
      <c r="K75" s="5"/>
      <c r="L75" s="5"/>
      <c r="M75" s="5"/>
      <c r="N75" s="5"/>
      <c r="O75" s="5"/>
      <c r="P75" s="88"/>
      <c r="Q75" s="95"/>
    </row>
    <row r="76" spans="4:17" s="2" customFormat="1" ht="12" customHeight="1">
      <c r="D76" s="22"/>
      <c r="E76" s="22"/>
      <c r="J76" s="5"/>
      <c r="K76" s="5"/>
      <c r="L76" s="5"/>
      <c r="M76" s="5"/>
      <c r="N76" s="5"/>
      <c r="O76" s="5"/>
      <c r="P76" s="88"/>
      <c r="Q76" s="95"/>
    </row>
    <row r="77" spans="4:17" s="2" customFormat="1" ht="12" customHeight="1">
      <c r="D77" s="22"/>
      <c r="E77" s="22"/>
      <c r="J77" s="5"/>
      <c r="K77" s="5"/>
      <c r="L77" s="5"/>
      <c r="M77" s="5"/>
      <c r="N77" s="5"/>
      <c r="O77" s="5"/>
      <c r="P77" s="88"/>
      <c r="Q77" s="95"/>
    </row>
    <row r="78" spans="4:17" s="2" customFormat="1" ht="12" customHeight="1">
      <c r="D78" s="22"/>
      <c r="E78" s="22"/>
      <c r="J78" s="5"/>
      <c r="K78" s="5"/>
      <c r="L78" s="5"/>
      <c r="M78" s="5"/>
      <c r="N78" s="5"/>
      <c r="O78" s="5"/>
      <c r="P78" s="88"/>
      <c r="Q78" s="95"/>
    </row>
    <row r="79" spans="4:17" s="2" customFormat="1" ht="12" customHeight="1">
      <c r="D79" s="22"/>
      <c r="E79" s="22"/>
      <c r="J79" s="5"/>
      <c r="K79" s="5"/>
      <c r="L79" s="5"/>
      <c r="M79" s="5"/>
      <c r="N79" s="5"/>
      <c r="O79" s="5"/>
      <c r="P79" s="88"/>
      <c r="Q79" s="95"/>
    </row>
    <row r="80" spans="4:17" s="2" customFormat="1" ht="12" customHeight="1">
      <c r="D80" s="22"/>
      <c r="E80" s="22"/>
      <c r="J80" s="5"/>
      <c r="K80" s="5"/>
      <c r="L80" s="5"/>
      <c r="M80" s="5"/>
      <c r="N80" s="5"/>
      <c r="O80" s="5"/>
      <c r="P80" s="88"/>
      <c r="Q80" s="96"/>
    </row>
    <row r="81" spans="1:17" s="2" customFormat="1" ht="12" customHeight="1">
      <c r="D81" s="22"/>
      <c r="E81" s="22"/>
      <c r="J81" s="5"/>
      <c r="K81" s="5"/>
      <c r="L81" s="5"/>
      <c r="M81" s="5"/>
      <c r="N81" s="5"/>
      <c r="O81" s="5"/>
      <c r="P81" s="88"/>
      <c r="Q81" s="96"/>
    </row>
    <row r="82" spans="1:17" s="2" customFormat="1" ht="12" customHeight="1">
      <c r="D82" s="22"/>
      <c r="E82" s="22"/>
      <c r="J82" s="5"/>
      <c r="K82" s="5"/>
      <c r="L82" s="5"/>
      <c r="M82" s="5"/>
      <c r="N82" s="5"/>
      <c r="O82" s="5"/>
      <c r="P82" s="88"/>
      <c r="Q82" s="96"/>
    </row>
    <row r="83" spans="1:17" s="2" customFormat="1" ht="12" customHeight="1">
      <c r="D83" s="22"/>
      <c r="E83" s="22"/>
      <c r="J83" s="5"/>
      <c r="K83" s="5"/>
      <c r="L83" s="5"/>
      <c r="M83" s="5"/>
      <c r="N83" s="5"/>
      <c r="O83" s="5"/>
      <c r="P83" s="88"/>
      <c r="Q83" s="96"/>
    </row>
    <row r="84" spans="1:17" s="2" customFormat="1" ht="12" customHeight="1">
      <c r="A84"/>
      <c r="B84"/>
      <c r="C84"/>
      <c r="D84" s="23"/>
      <c r="E84" s="23"/>
      <c r="F84"/>
      <c r="G84"/>
      <c r="H84"/>
      <c r="I84"/>
      <c r="J84" s="19"/>
      <c r="K84" s="19"/>
      <c r="L84" s="19"/>
      <c r="M84" s="19"/>
      <c r="N84" s="19"/>
      <c r="O84" s="19"/>
      <c r="P84" s="90"/>
      <c r="Q84" s="96"/>
    </row>
    <row r="85" spans="1:17" s="2" customFormat="1" ht="12" customHeight="1">
      <c r="A85"/>
      <c r="B85"/>
      <c r="C85"/>
      <c r="D85" s="23"/>
      <c r="E85" s="23"/>
      <c r="F85"/>
      <c r="G85"/>
      <c r="H85"/>
      <c r="I85"/>
      <c r="J85" s="19"/>
      <c r="K85" s="19"/>
      <c r="L85" s="19"/>
      <c r="M85" s="19"/>
      <c r="N85" s="19"/>
      <c r="O85" s="19"/>
      <c r="P85" s="90"/>
      <c r="Q85" s="96"/>
    </row>
    <row r="86" spans="1:17" s="2" customFormat="1" ht="12" customHeight="1">
      <c r="A86"/>
      <c r="B86"/>
      <c r="C86"/>
      <c r="D86" s="23"/>
      <c r="E86" s="23"/>
      <c r="F86"/>
      <c r="G86"/>
      <c r="H86"/>
      <c r="I86"/>
      <c r="J86" s="19"/>
      <c r="K86" s="19"/>
      <c r="L86" s="19"/>
      <c r="M86" s="19"/>
      <c r="N86" s="19"/>
      <c r="O86" s="19"/>
      <c r="P86" s="90"/>
      <c r="Q86" s="96"/>
    </row>
    <row r="87" spans="1:17" s="2" customFormat="1" ht="12" customHeight="1">
      <c r="A87"/>
      <c r="B87"/>
      <c r="C87"/>
      <c r="D87" s="23"/>
      <c r="E87" s="23"/>
      <c r="F87"/>
      <c r="G87"/>
      <c r="H87"/>
      <c r="I87"/>
      <c r="J87" s="19"/>
      <c r="K87" s="19"/>
      <c r="L87" s="19"/>
      <c r="M87" s="19"/>
      <c r="N87" s="19"/>
      <c r="O87" s="19"/>
      <c r="P87" s="90"/>
      <c r="Q87" s="96"/>
    </row>
    <row r="88" spans="1:17" s="2" customFormat="1" ht="12" customHeight="1">
      <c r="A88"/>
      <c r="B88"/>
      <c r="C88"/>
      <c r="D88" s="23"/>
      <c r="E88" s="23"/>
      <c r="F88"/>
      <c r="G88"/>
      <c r="H88"/>
      <c r="I88"/>
      <c r="J88" s="19"/>
      <c r="K88" s="19"/>
      <c r="L88" s="19"/>
      <c r="M88" s="19"/>
      <c r="N88" s="19"/>
      <c r="O88" s="19"/>
      <c r="P88" s="90"/>
      <c r="Q88" s="96"/>
    </row>
    <row r="89" spans="1:17">
      <c r="Q89" s="96"/>
    </row>
    <row r="90" spans="1:17">
      <c r="Q90" s="96"/>
    </row>
    <row r="91" spans="1:17">
      <c r="Q91" s="96"/>
    </row>
    <row r="92" spans="1:17">
      <c r="Q92" s="96"/>
    </row>
    <row r="93" spans="1:17">
      <c r="Q93" s="96"/>
    </row>
    <row r="94" spans="1:17">
      <c r="Q94" s="96"/>
    </row>
    <row r="95" spans="1:17">
      <c r="Q95" s="96"/>
    </row>
    <row r="96" spans="1:17">
      <c r="Q96" s="96"/>
    </row>
    <row r="97" spans="17:17">
      <c r="Q97" s="96"/>
    </row>
    <row r="98" spans="17:17">
      <c r="Q98" s="96"/>
    </row>
    <row r="99" spans="17:17">
      <c r="Q99" s="96"/>
    </row>
    <row r="100" spans="17:17">
      <c r="Q100" s="96"/>
    </row>
    <row r="101" spans="17:17">
      <c r="Q101" s="96"/>
    </row>
    <row r="102" spans="17:17">
      <c r="Q102" s="96"/>
    </row>
    <row r="103" spans="17:17">
      <c r="Q103" s="96"/>
    </row>
    <row r="104" spans="17:17">
      <c r="Q104" s="96"/>
    </row>
    <row r="105" spans="17:17">
      <c r="Q105" s="96"/>
    </row>
    <row r="106" spans="17:17">
      <c r="Q106" s="96"/>
    </row>
    <row r="107" spans="17:17">
      <c r="Q107" s="96"/>
    </row>
    <row r="108" spans="17:17">
      <c r="Q108" s="96"/>
    </row>
    <row r="145" ht="12" customHeight="1"/>
    <row r="146" ht="12" customHeight="1"/>
    <row r="147" ht="12" customHeight="1"/>
    <row r="148" ht="12" customHeight="1"/>
    <row r="149" ht="12" customHeight="1"/>
    <row r="150" ht="12" customHeight="1"/>
    <row r="151" ht="12" customHeight="1"/>
    <row r="152" ht="12" customHeight="1"/>
    <row r="153" ht="12" customHeight="1"/>
    <row r="154" ht="12" customHeight="1"/>
    <row r="155" ht="12" customHeight="1"/>
    <row r="156" ht="12" customHeight="1"/>
    <row r="157" ht="12" customHeight="1"/>
    <row r="158" ht="12" customHeight="1"/>
    <row r="159" ht="12" customHeight="1"/>
    <row r="160" ht="12" customHeight="1"/>
    <row r="161" ht="12" customHeight="1"/>
    <row r="162" ht="12" customHeight="1"/>
    <row r="163" ht="12" customHeight="1"/>
    <row r="164" ht="12" customHeight="1"/>
    <row r="165" ht="12" customHeight="1"/>
    <row r="166" ht="12" customHeight="1"/>
    <row r="167" ht="12" customHeight="1"/>
    <row r="168" ht="12" customHeight="1"/>
    <row r="169" ht="12" customHeight="1"/>
    <row r="170" ht="12" customHeight="1"/>
    <row r="171" ht="12" customHeight="1"/>
    <row r="172" ht="12" customHeight="1"/>
    <row r="173" ht="12" customHeight="1"/>
    <row r="174" ht="12" customHeight="1"/>
    <row r="175" ht="12" customHeight="1"/>
    <row r="176" ht="12" customHeight="1"/>
    <row r="177" ht="12" customHeight="1"/>
    <row r="178" ht="12" customHeight="1"/>
    <row r="179" ht="12" customHeight="1"/>
    <row r="180" ht="12" customHeight="1"/>
    <row r="181" ht="12" customHeight="1"/>
    <row r="182" ht="12" customHeight="1"/>
    <row r="183" ht="12" customHeight="1"/>
    <row r="184" ht="12" customHeight="1"/>
    <row r="185" ht="12" customHeight="1"/>
    <row r="186" ht="12" customHeight="1"/>
    <row r="187" ht="12" customHeight="1"/>
    <row r="188" ht="12" customHeight="1"/>
    <row r="189" ht="12" customHeight="1"/>
    <row r="190" ht="12" customHeight="1"/>
    <row r="191" ht="12" customHeight="1"/>
    <row r="192" ht="12" customHeight="1"/>
    <row r="193" ht="12" customHeight="1"/>
    <row r="194" ht="12" customHeight="1"/>
  </sheetData>
  <mergeCells count="41">
    <mergeCell ref="D28:E28"/>
    <mergeCell ref="D41:E41"/>
    <mergeCell ref="H41:I41"/>
    <mergeCell ref="D38:E38"/>
    <mergeCell ref="D25:E25"/>
    <mergeCell ref="D34:E34"/>
    <mergeCell ref="D35:E35"/>
    <mergeCell ref="D29:E29"/>
    <mergeCell ref="D36:E36"/>
    <mergeCell ref="D37:E37"/>
    <mergeCell ref="H29:I29"/>
    <mergeCell ref="D30:E30"/>
    <mergeCell ref="D31:E31"/>
    <mergeCell ref="D32:E32"/>
    <mergeCell ref="D33:E33"/>
    <mergeCell ref="D26:E26"/>
    <mergeCell ref="D27:E27"/>
    <mergeCell ref="D16:E16"/>
    <mergeCell ref="D17:E17"/>
    <mergeCell ref="D24:E24"/>
    <mergeCell ref="D18:E18"/>
    <mergeCell ref="D19:E19"/>
    <mergeCell ref="D20:E20"/>
    <mergeCell ref="D21:E21"/>
    <mergeCell ref="D22:E22"/>
    <mergeCell ref="D23:E23"/>
    <mergeCell ref="D12:E12"/>
    <mergeCell ref="D13:E13"/>
    <mergeCell ref="D14:E14"/>
    <mergeCell ref="D15:E15"/>
    <mergeCell ref="H15:I15"/>
    <mergeCell ref="D7:E7"/>
    <mergeCell ref="D8:E8"/>
    <mergeCell ref="D9:E9"/>
    <mergeCell ref="D10:E10"/>
    <mergeCell ref="D11:E11"/>
    <mergeCell ref="D1:E1"/>
    <mergeCell ref="D4:E4"/>
    <mergeCell ref="H4:I4"/>
    <mergeCell ref="D5:E5"/>
    <mergeCell ref="D6:E6"/>
  </mergeCells>
  <conditionalFormatting sqref="M5:M14 M30:M40">
    <cfRule type="cellIs" dxfId="372" priority="3" stopIfTrue="1" operator="lessThanOrEqual">
      <formula>$L5</formula>
    </cfRule>
    <cfRule type="cellIs" dxfId="371" priority="4" operator="greaterThan">
      <formula>L5</formula>
    </cfRule>
  </conditionalFormatting>
  <conditionalFormatting sqref="M16:M28">
    <cfRule type="cellIs" dxfId="370" priority="5" stopIfTrue="1" operator="lessThanOrEqual">
      <formula>$L16</formula>
    </cfRule>
    <cfRule type="cellIs" dxfId="369" priority="6" operator="greaterThan">
      <formula>L16</formula>
    </cfRule>
  </conditionalFormatting>
  <pageMargins left="0.7" right="0.7" top="0.75" bottom="0.75" header="0.3" footer="0.3"/>
  <pageSetup paperSize="3" fitToHeight="0" orientation="landscape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BD81B75-8720-4814-88F8-B9376870BDE6}">
          <x14:formula1>
            <xm:f>Bolts!$A:$A</xm:f>
          </x14:formula1>
          <xm:sqref>C30:C40</xm:sqref>
        </x14:dataValidation>
        <x14:dataValidation type="list" allowBlank="1" showInputMessage="1" showErrorMessage="1" xr:uid="{8BB14F4C-0779-4BE4-B0FD-7CD2953D5BE5}">
          <x14:formula1>
            <xm:f>Purchased!$A:$A</xm:f>
          </x14:formula1>
          <xm:sqref>C16:C28</xm:sqref>
        </x14:dataValidation>
        <x14:dataValidation type="list" allowBlank="1" showInputMessage="1" showErrorMessage="1" xr:uid="{FC5DB417-562B-4E85-84FB-9FB60150D802}">
          <x14:formula1>
            <xm:f>Machined!$C:$C</xm:f>
          </x14:formula1>
          <xm:sqref>C5:C14</xm:sqref>
        </x14:dataValidation>
      </x14:dataValidations>
    </ext>
  </extLst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FEB330-016F-4C27-B632-5C9C56B86298}">
  <sheetPr codeName="Sheet75">
    <tabColor theme="3" tint="0.79998168889431442"/>
    <pageSetUpPr fitToPage="1"/>
  </sheetPr>
  <dimension ref="A1:Q191"/>
  <sheetViews>
    <sheetView zoomScaleNormal="100" workbookViewId="0">
      <selection activeCell="C20" sqref="C20"/>
    </sheetView>
  </sheetViews>
  <sheetFormatPr defaultColWidth="9.140625" defaultRowHeight="15"/>
  <cols>
    <col min="1" max="1" width="5.7109375" customWidth="1"/>
    <col min="2" max="2" width="5.42578125" bestFit="1" customWidth="1"/>
    <col min="3" max="3" width="30.7109375" customWidth="1"/>
    <col min="4" max="5" width="20.7109375" style="23" customWidth="1"/>
    <col min="6" max="6" width="16.85546875" bestFit="1" customWidth="1"/>
    <col min="7" max="7" width="9.7109375" customWidth="1"/>
    <col min="8" max="8" width="8.7109375" customWidth="1"/>
    <col min="9" max="9" width="20.7109375" customWidth="1"/>
    <col min="10" max="13" width="11.7109375" style="19" customWidth="1"/>
    <col min="14" max="14" width="11.85546875" style="19" bestFit="1" customWidth="1"/>
    <col min="15" max="15" width="7.7109375" style="19" customWidth="1"/>
    <col min="16" max="16" width="10.7109375" style="90" customWidth="1"/>
    <col min="17" max="17" width="10.7109375" style="97" customWidth="1"/>
  </cols>
  <sheetData>
    <row r="1" spans="1:17" s="55" customFormat="1" ht="12" customHeight="1">
      <c r="A1" s="68" t="s">
        <v>0</v>
      </c>
      <c r="B1" s="69"/>
      <c r="C1" s="69"/>
      <c r="D1" s="262" t="s">
        <v>1</v>
      </c>
      <c r="E1" s="263"/>
      <c r="F1" s="70"/>
      <c r="G1" s="69"/>
      <c r="H1" s="70"/>
      <c r="I1" s="71"/>
      <c r="J1" s="72"/>
      <c r="K1" s="72"/>
      <c r="L1" s="72"/>
      <c r="M1" s="72"/>
      <c r="N1" s="72"/>
      <c r="O1" s="72"/>
      <c r="P1" s="85"/>
      <c r="Q1" s="91"/>
    </row>
    <row r="2" spans="1:17" s="55" customFormat="1" ht="12" customHeight="1">
      <c r="A2" s="74" t="s">
        <v>48</v>
      </c>
      <c r="B2" s="58"/>
      <c r="C2" s="57" t="e">
        <f ca="1">VLOOKUP(E3,Assemblies!B:F,4,0)</f>
        <v>#VALUE!</v>
      </c>
      <c r="D2" s="75" t="s">
        <v>3</v>
      </c>
      <c r="E2" s="76" t="e">
        <f ca="1">'GF12'!E2</f>
        <v>#VALUE!</v>
      </c>
      <c r="F2" s="77" t="s">
        <v>4</v>
      </c>
      <c r="G2" s="58" t="str">
        <f>'GF12'!G2</f>
        <v>GH</v>
      </c>
      <c r="H2" s="77" t="s">
        <v>6</v>
      </c>
      <c r="I2" s="59">
        <f>'GF12'!I2</f>
        <v>44775</v>
      </c>
      <c r="J2" s="39"/>
      <c r="K2" s="40" t="s">
        <v>49</v>
      </c>
      <c r="L2" s="41" t="e">
        <f ca="1">VLOOKUP(C2,Assemblies!E:G,3,0)</f>
        <v>#VALUE!</v>
      </c>
      <c r="M2" s="78"/>
      <c r="N2" s="78"/>
      <c r="O2" s="78"/>
      <c r="P2" s="86"/>
      <c r="Q2" s="92"/>
    </row>
    <row r="3" spans="1:17" s="55" customFormat="1" ht="12" customHeight="1" thickBot="1">
      <c r="A3" s="74" t="s">
        <v>7</v>
      </c>
      <c r="B3" s="58"/>
      <c r="C3" s="57" t="e">
        <f ca="1">VLOOKUP(E3,Assemblies!B:F,5,0)</f>
        <v>#VALUE!</v>
      </c>
      <c r="D3" s="75" t="s">
        <v>50</v>
      </c>
      <c r="E3" s="76" t="e">
        <f ca="1">MID(CELL("filename",A1),FIND("]",CELL("filename",A1))+1,256)</f>
        <v>#VALUE!</v>
      </c>
      <c r="F3" s="77" t="s">
        <v>11</v>
      </c>
      <c r="G3" s="58" t="str">
        <f>'GF12'!G3</f>
        <v>GH</v>
      </c>
      <c r="H3" s="77" t="s">
        <v>6</v>
      </c>
      <c r="I3" s="59">
        <f>'GF12'!I3</f>
        <v>44775</v>
      </c>
      <c r="J3" s="78"/>
      <c r="K3" s="78"/>
      <c r="L3" s="78"/>
      <c r="M3" s="78"/>
      <c r="N3" s="78"/>
      <c r="O3" s="78"/>
      <c r="P3" s="86"/>
      <c r="Q3" s="92"/>
    </row>
    <row r="4" spans="1:17" s="56" customFormat="1" ht="12.75" customHeight="1" thickBot="1">
      <c r="A4" s="80" t="s">
        <v>12</v>
      </c>
      <c r="B4" s="81" t="s">
        <v>13</v>
      </c>
      <c r="C4" s="81" t="s">
        <v>14</v>
      </c>
      <c r="D4" s="270" t="s">
        <v>15</v>
      </c>
      <c r="E4" s="271"/>
      <c r="F4" s="104" t="s">
        <v>16</v>
      </c>
      <c r="G4" s="81" t="s">
        <v>17</v>
      </c>
      <c r="H4" s="260" t="s">
        <v>18</v>
      </c>
      <c r="I4" s="261"/>
      <c r="J4" s="81" t="s">
        <v>51</v>
      </c>
      <c r="K4" s="81" t="s">
        <v>20</v>
      </c>
      <c r="L4" s="81" t="s">
        <v>21</v>
      </c>
      <c r="M4" s="81" t="s">
        <v>52</v>
      </c>
      <c r="N4" s="81" t="s">
        <v>22</v>
      </c>
      <c r="O4" s="81" t="s">
        <v>53</v>
      </c>
      <c r="P4" s="107" t="s">
        <v>26</v>
      </c>
      <c r="Q4" s="82" t="s">
        <v>27</v>
      </c>
    </row>
    <row r="5" spans="1:17" s="2" customFormat="1" ht="12.75" customHeight="1">
      <c r="A5" s="127">
        <v>1</v>
      </c>
      <c r="B5" s="21">
        <v>4</v>
      </c>
      <c r="C5" s="108" t="s">
        <v>832</v>
      </c>
      <c r="D5" s="277" t="str">
        <f>VLOOKUP(C5,Machined!C:Q,2,0)</f>
        <v>Spout Rail Bracket</v>
      </c>
      <c r="E5" s="278"/>
      <c r="F5" s="131" t="str">
        <f>VLOOKUP(C5,Machined!C:R,7,0)</f>
        <v>6061-T6 Alum</v>
      </c>
      <c r="G5" s="131" t="str">
        <f>VLOOKUP(C5,Machined!C:R,10,0)</f>
        <v>XOMETRY</v>
      </c>
      <c r="H5" s="131" t="str">
        <f>VLOOKUP(C5,Machined!C:R,11,0)</f>
        <v xml:space="preserve">  </v>
      </c>
      <c r="I5" s="131"/>
      <c r="J5" s="42">
        <f>VLOOKUP(C5,Machined!C:R,12,0)</f>
        <v>45161</v>
      </c>
      <c r="K5" s="42">
        <f>VLOOKUP(C5,Machined!C:R,13,0)</f>
        <v>45161</v>
      </c>
      <c r="L5" s="42">
        <f>VLOOKUP(C5,Machined!C:R,14,0)</f>
        <v>45181</v>
      </c>
      <c r="M5" s="42">
        <f>VLOOKUP(C5,Machined!C:R,15,0)</f>
        <v>45181</v>
      </c>
      <c r="N5" s="43">
        <f>VLOOKUP(C5,Machined!C:R,16,0)</f>
        <v>55095</v>
      </c>
      <c r="O5" s="43" t="e">
        <f t="shared" ref="O5:O13" ca="1" si="0">B5*$L$2</f>
        <v>#VALUE!</v>
      </c>
      <c r="P5" s="47">
        <f>IFERROR(VLOOKUP(C5,Machined!C:F,3,0),"")</f>
        <v>37.89</v>
      </c>
      <c r="Q5" s="48">
        <f t="shared" ref="Q5:Q13" si="1">IFERROR(B5*P5,"")</f>
        <v>151.56</v>
      </c>
    </row>
    <row r="6" spans="1:17" s="2" customFormat="1" ht="12.75" customHeight="1">
      <c r="A6" s="127">
        <v>2</v>
      </c>
      <c r="B6" s="21">
        <v>2</v>
      </c>
      <c r="C6" s="108" t="s">
        <v>833</v>
      </c>
      <c r="D6" s="277" t="str">
        <f>VLOOKUP(C6,Machined!C:Q,2,0)</f>
        <v>Spout A-Side Rail 1</v>
      </c>
      <c r="E6" s="278"/>
      <c r="F6" s="131" t="str">
        <f>VLOOKUP(C6,Machined!C:R,7,0)</f>
        <v>AISI 304, 1/16 in</v>
      </c>
      <c r="G6" s="131" t="str">
        <f>VLOOKUP(C6,Machined!C:R,10,0)</f>
        <v>WESCO BHT</v>
      </c>
      <c r="H6" s="131" t="str">
        <f>VLOOKUP(C6,Machined!C:R,11,0)</f>
        <v xml:space="preserve">  </v>
      </c>
      <c r="I6" s="131"/>
      <c r="J6" s="42">
        <f>VLOOKUP(C6,Machined!C:R,12,0)</f>
        <v>45159</v>
      </c>
      <c r="K6" s="42">
        <f>VLOOKUP(C6,Machined!C:R,13,0)</f>
        <v>45161</v>
      </c>
      <c r="L6" s="42">
        <f>VLOOKUP(C6,Machined!C:R,14,0)</f>
        <v>45191</v>
      </c>
      <c r="M6" s="42">
        <f>VLOOKUP(C6,Machined!C:R,15,0)</f>
        <v>45191</v>
      </c>
      <c r="N6" s="43">
        <f>VLOOKUP(C6,Machined!C:R,16,0)</f>
        <v>55092</v>
      </c>
      <c r="O6" s="43" t="e">
        <f t="shared" ca="1" si="0"/>
        <v>#VALUE!</v>
      </c>
      <c r="P6" s="47">
        <f>IFERROR(VLOOKUP(C6,Machined!C:F,3,0),"")</f>
        <v>62.17</v>
      </c>
      <c r="Q6" s="48">
        <f t="shared" si="1"/>
        <v>124.34</v>
      </c>
    </row>
    <row r="7" spans="1:17" s="2" customFormat="1" ht="12.75" customHeight="1">
      <c r="A7" s="127">
        <v>3</v>
      </c>
      <c r="B7" s="21">
        <v>2</v>
      </c>
      <c r="C7" s="108" t="s">
        <v>834</v>
      </c>
      <c r="D7" s="277" t="str">
        <f>VLOOKUP(C7,Machined!C:Q,2,0)</f>
        <v>Spout A-Side Rail 2</v>
      </c>
      <c r="E7" s="278"/>
      <c r="F7" s="131" t="str">
        <f>VLOOKUP(C7,Machined!C:R,7,0)</f>
        <v>AISI 304, 1/16 in</v>
      </c>
      <c r="G7" s="131" t="str">
        <f>VLOOKUP(C7,Machined!C:R,10,0)</f>
        <v>WESCO BHT</v>
      </c>
      <c r="H7" s="131" t="str">
        <f>VLOOKUP(C7,Machined!C:R,11,0)</f>
        <v xml:space="preserve">  </v>
      </c>
      <c r="I7" s="131"/>
      <c r="J7" s="42">
        <f>VLOOKUP(C7,Machined!C:R,12,0)</f>
        <v>45159</v>
      </c>
      <c r="K7" s="42">
        <f>VLOOKUP(C7,Machined!C:R,13,0)</f>
        <v>45161</v>
      </c>
      <c r="L7" s="42">
        <f>VLOOKUP(C7,Machined!C:R,14,0)</f>
        <v>45191</v>
      </c>
      <c r="M7" s="42">
        <f>VLOOKUP(C7,Machined!C:R,15,0)</f>
        <v>45191</v>
      </c>
      <c r="N7" s="43">
        <f>VLOOKUP(C7,Machined!C:R,16,0)</f>
        <v>55092</v>
      </c>
      <c r="O7" s="43" t="e">
        <f t="shared" ca="1" si="0"/>
        <v>#VALUE!</v>
      </c>
      <c r="P7" s="47">
        <f>IFERROR(VLOOKUP(C7,Machined!C:F,3,0),"")</f>
        <v>61.67</v>
      </c>
      <c r="Q7" s="48">
        <f t="shared" si="1"/>
        <v>123.34</v>
      </c>
    </row>
    <row r="8" spans="1:17" s="2" customFormat="1" ht="12.75" customHeight="1">
      <c r="A8" s="127">
        <v>4</v>
      </c>
      <c r="B8" s="21">
        <v>2</v>
      </c>
      <c r="C8" s="108" t="s">
        <v>835</v>
      </c>
      <c r="D8" s="277" t="str">
        <f>VLOOKUP(C8,Machined!C:Q,2,0)</f>
        <v>Spout Rail-Center</v>
      </c>
      <c r="E8" s="278"/>
      <c r="F8" s="131" t="str">
        <f>VLOOKUP(C8,Machined!C:R,7,0)</f>
        <v>AISI 304, 1/16 in</v>
      </c>
      <c r="G8" s="131" t="str">
        <f>VLOOKUP(C8,Machined!C:R,10,0)</f>
        <v>WESCO BHT</v>
      </c>
      <c r="H8" s="131" t="str">
        <f>VLOOKUP(C8,Machined!C:R,11,0)</f>
        <v xml:space="preserve">  </v>
      </c>
      <c r="I8" s="131"/>
      <c r="J8" s="42">
        <f>VLOOKUP(C8,Machined!C:R,12,0)</f>
        <v>45159</v>
      </c>
      <c r="K8" s="42">
        <f>VLOOKUP(C8,Machined!C:R,13,0)</f>
        <v>45161</v>
      </c>
      <c r="L8" s="42">
        <f>VLOOKUP(C8,Machined!C:R,14,0)</f>
        <v>45191</v>
      </c>
      <c r="M8" s="42">
        <f>VLOOKUP(C8,Machined!C:R,15,0)</f>
        <v>45191</v>
      </c>
      <c r="N8" s="43">
        <f>VLOOKUP(C8,Machined!C:R,16,0)</f>
        <v>55092</v>
      </c>
      <c r="O8" s="43" t="e">
        <f t="shared" ca="1" si="0"/>
        <v>#VALUE!</v>
      </c>
      <c r="P8" s="47">
        <f>IFERROR(VLOOKUP(C8,Machined!C:F,3,0),"")</f>
        <v>41.74</v>
      </c>
      <c r="Q8" s="48">
        <f t="shared" si="1"/>
        <v>83.48</v>
      </c>
    </row>
    <row r="9" spans="1:17" s="2" customFormat="1" ht="12.75" customHeight="1">
      <c r="A9" s="127">
        <v>5</v>
      </c>
      <c r="B9" s="21">
        <v>2</v>
      </c>
      <c r="C9" s="108" t="s">
        <v>836</v>
      </c>
      <c r="D9" s="277" t="str">
        <f>VLOOKUP(C9,Machined!C:Q,2,0)</f>
        <v>Spout Rail Slide Bracket</v>
      </c>
      <c r="E9" s="278"/>
      <c r="F9" s="131" t="str">
        <f>VLOOKUP(C9,Machined!C:R,7,0)</f>
        <v>Delrin - White</v>
      </c>
      <c r="G9" s="131" t="str">
        <f>VLOOKUP(C9,Machined!C:R,10,0)</f>
        <v>NULINE</v>
      </c>
      <c r="H9" s="131" t="str">
        <f>VLOOKUP(C9,Machined!C:R,11,0)</f>
        <v xml:space="preserve">  </v>
      </c>
      <c r="I9" s="131"/>
      <c r="J9" s="42" t="str">
        <f>VLOOKUP(C9,Machined!C:R,12,0)</f>
        <v>N/A</v>
      </c>
      <c r="K9" s="42" t="str">
        <f>VLOOKUP(C9,Machined!C:R,13,0)</f>
        <v>N/A</v>
      </c>
      <c r="L9" s="42" t="str">
        <f>VLOOKUP(C9,Machined!C:R,14,0)</f>
        <v>N/A</v>
      </c>
      <c r="M9" s="42" t="str">
        <f>VLOOKUP(C9,Machined!C:R,15,0)</f>
        <v>N/A</v>
      </c>
      <c r="N9" s="43" t="str">
        <f>VLOOKUP(C9,Machined!C:R,16,0)</f>
        <v>N/A</v>
      </c>
      <c r="O9" s="43" t="e">
        <f t="shared" ca="1" si="0"/>
        <v>#VALUE!</v>
      </c>
      <c r="P9" s="47">
        <f>IFERROR(VLOOKUP(C9,Machined!C:F,3,0),"")</f>
        <v>0</v>
      </c>
      <c r="Q9" s="48">
        <f t="shared" si="1"/>
        <v>0</v>
      </c>
    </row>
    <row r="10" spans="1:17" s="2" customFormat="1" ht="12.75" customHeight="1">
      <c r="A10" s="127">
        <v>6</v>
      </c>
      <c r="B10" s="21">
        <v>1</v>
      </c>
      <c r="C10" s="108" t="s">
        <v>837</v>
      </c>
      <c r="D10" s="277" t="str">
        <f>VLOOKUP(C10,Machined!C:Q,2,0)</f>
        <v>Spout Rail Tie</v>
      </c>
      <c r="E10" s="278"/>
      <c r="F10" s="131" t="str">
        <f>VLOOKUP(C10,Machined!C:R,7,0)</f>
        <v>6061-T6 Alum</v>
      </c>
      <c r="G10" s="131" t="str">
        <f>VLOOKUP(C10,Machined!C:R,10,0)</f>
        <v>NULINE</v>
      </c>
      <c r="H10" s="131" t="str">
        <f>VLOOKUP(C10,Machined!C:R,11,0)</f>
        <v xml:space="preserve">  </v>
      </c>
      <c r="I10" s="131"/>
      <c r="J10" s="42" t="str">
        <f>VLOOKUP(C10,Machined!C:R,12,0)</f>
        <v>N/A</v>
      </c>
      <c r="K10" s="42" t="str">
        <f>VLOOKUP(C10,Machined!C:R,13,0)</f>
        <v>N/A</v>
      </c>
      <c r="L10" s="42" t="str">
        <f>VLOOKUP(C10,Machined!C:R,14,0)</f>
        <v>N/A</v>
      </c>
      <c r="M10" s="42" t="str">
        <f>VLOOKUP(C10,Machined!C:R,15,0)</f>
        <v>N/A</v>
      </c>
      <c r="N10" s="43" t="str">
        <f>VLOOKUP(C10,Machined!C:R,16,0)</f>
        <v>N/A</v>
      </c>
      <c r="O10" s="43" t="e">
        <f t="shared" ca="1" si="0"/>
        <v>#VALUE!</v>
      </c>
      <c r="P10" s="47">
        <f>IFERROR(VLOOKUP(C10,Machined!C:F,3,0),"")</f>
        <v>0</v>
      </c>
      <c r="Q10" s="48">
        <f t="shared" si="1"/>
        <v>0</v>
      </c>
    </row>
    <row r="11" spans="1:17" s="2" customFormat="1" ht="12.75" customHeight="1">
      <c r="A11" s="127">
        <v>7</v>
      </c>
      <c r="B11" s="21">
        <v>3</v>
      </c>
      <c r="C11" s="108" t="s">
        <v>838</v>
      </c>
      <c r="D11" s="277" t="str">
        <f>VLOOKUP(C11,Machined!C:Q,2,0)</f>
        <v>Extrusion Bracket</v>
      </c>
      <c r="E11" s="278"/>
      <c r="F11" s="131" t="str">
        <f>VLOOKUP(C11,Machined!C:R,7,0)</f>
        <v>6061-T6 Alum</v>
      </c>
      <c r="G11" s="131" t="str">
        <f>VLOOKUP(C11,Machined!C:R,10,0)</f>
        <v>XOMETRY</v>
      </c>
      <c r="H11" s="131" t="str">
        <f>VLOOKUP(C11,Machined!C:R,11,0)</f>
        <v xml:space="preserve">  </v>
      </c>
      <c r="I11" s="131"/>
      <c r="J11" s="42">
        <f>VLOOKUP(C11,Machined!C:R,12,0)</f>
        <v>45161</v>
      </c>
      <c r="K11" s="42">
        <f>VLOOKUP(C11,Machined!C:R,13,0)</f>
        <v>45161</v>
      </c>
      <c r="L11" s="42">
        <f>VLOOKUP(C11,Machined!C:R,14,0)</f>
        <v>45181</v>
      </c>
      <c r="M11" s="42">
        <f>VLOOKUP(C11,Machined!C:R,15,0)</f>
        <v>45181</v>
      </c>
      <c r="N11" s="43">
        <f>VLOOKUP(C11,Machined!C:R,16,0)</f>
        <v>55095</v>
      </c>
      <c r="O11" s="43" t="e">
        <f t="shared" ca="1" si="0"/>
        <v>#VALUE!</v>
      </c>
      <c r="P11" s="47">
        <f>IFERROR(VLOOKUP(C11,Machined!C:F,3,0),"")</f>
        <v>27.97</v>
      </c>
      <c r="Q11" s="48">
        <f t="shared" si="1"/>
        <v>83.91</v>
      </c>
    </row>
    <row r="12" spans="1:17" s="2" customFormat="1" ht="12.75" customHeight="1">
      <c r="A12" s="127">
        <v>8</v>
      </c>
      <c r="B12" s="21">
        <v>6</v>
      </c>
      <c r="C12" s="108" t="s">
        <v>839</v>
      </c>
      <c r="D12" s="277" t="str">
        <f>VLOOKUP(C12,Machined!C:Q,2,0)</f>
        <v>Conveyor Bracket</v>
      </c>
      <c r="E12" s="278"/>
      <c r="F12" s="131" t="str">
        <f>VLOOKUP(C12,Machined!C:R,7,0)</f>
        <v>6061-T6 Alum</v>
      </c>
      <c r="G12" s="131" t="str">
        <f>VLOOKUP(C12,Machined!C:R,10,0)</f>
        <v>XOMETRY</v>
      </c>
      <c r="H12" s="131" t="str">
        <f>VLOOKUP(C12,Machined!C:R,11,0)</f>
        <v xml:space="preserve">  </v>
      </c>
      <c r="I12" s="131"/>
      <c r="J12" s="42">
        <f>VLOOKUP(C12,Machined!C:R,12,0)</f>
        <v>45161</v>
      </c>
      <c r="K12" s="42">
        <f>VLOOKUP(C12,Machined!C:R,13,0)</f>
        <v>45161</v>
      </c>
      <c r="L12" s="42">
        <f>VLOOKUP(C12,Machined!C:R,14,0)</f>
        <v>45181</v>
      </c>
      <c r="M12" s="42">
        <f>VLOOKUP(C12,Machined!C:R,15,0)</f>
        <v>45181</v>
      </c>
      <c r="N12" s="43">
        <f>VLOOKUP(C12,Machined!C:R,16,0)</f>
        <v>55095</v>
      </c>
      <c r="O12" s="43" t="e">
        <f t="shared" ca="1" si="0"/>
        <v>#VALUE!</v>
      </c>
      <c r="P12" s="47">
        <f>IFERROR(VLOOKUP(C12,Machined!C:F,3,0),"")</f>
        <v>26.98</v>
      </c>
      <c r="Q12" s="48">
        <f t="shared" si="1"/>
        <v>161.88</v>
      </c>
    </row>
    <row r="13" spans="1:17" s="2" customFormat="1" ht="12.75" customHeight="1">
      <c r="A13" s="127">
        <v>9</v>
      </c>
      <c r="B13" s="21">
        <v>2</v>
      </c>
      <c r="C13" s="108" t="s">
        <v>840</v>
      </c>
      <c r="D13" s="277" t="str">
        <f>VLOOKUP(C13,Machined!C:Q,2,0)</f>
        <v>Fiber Optic Bracket</v>
      </c>
      <c r="E13" s="278"/>
      <c r="F13" s="131" t="str">
        <f>VLOOKUP(C13,Machined!C:R,7,0)</f>
        <v>6061-T6 Alum</v>
      </c>
      <c r="G13" s="131" t="str">
        <f>VLOOKUP(C13,Machined!C:R,10,0)</f>
        <v>XOMETRY</v>
      </c>
      <c r="H13" s="131" t="str">
        <f>VLOOKUP(C13,Machined!C:R,11,0)</f>
        <v xml:space="preserve">  </v>
      </c>
      <c r="I13" s="131"/>
      <c r="J13" s="42">
        <f>VLOOKUP(C13,Machined!C:R,12,0)</f>
        <v>45161</v>
      </c>
      <c r="K13" s="42">
        <f>VLOOKUP(C13,Machined!C:R,13,0)</f>
        <v>45161</v>
      </c>
      <c r="L13" s="42">
        <f>VLOOKUP(C13,Machined!C:R,14,0)</f>
        <v>45181</v>
      </c>
      <c r="M13" s="42">
        <f>VLOOKUP(C13,Machined!C:R,15,0)</f>
        <v>45181</v>
      </c>
      <c r="N13" s="43">
        <f>VLOOKUP(C13,Machined!C:R,16,0)</f>
        <v>55095</v>
      </c>
      <c r="O13" s="43" t="e">
        <f t="shared" ca="1" si="0"/>
        <v>#VALUE!</v>
      </c>
      <c r="P13" s="47">
        <f>IFERROR(VLOOKUP(C13,Machined!C:F,3,0),"")</f>
        <v>45.87</v>
      </c>
      <c r="Q13" s="48">
        <f t="shared" si="1"/>
        <v>91.74</v>
      </c>
    </row>
    <row r="14" spans="1:17" s="2" customFormat="1" ht="12.75" customHeight="1">
      <c r="A14" s="143"/>
      <c r="B14" s="26"/>
      <c r="C14" s="26"/>
      <c r="D14" s="272"/>
      <c r="E14" s="273"/>
      <c r="F14" s="26"/>
      <c r="G14" s="26"/>
      <c r="H14" s="274"/>
      <c r="I14" s="275"/>
      <c r="J14" s="27"/>
      <c r="K14" s="27"/>
      <c r="L14" s="27"/>
      <c r="M14" s="28"/>
      <c r="N14" s="29"/>
      <c r="O14" s="29"/>
      <c r="P14" s="141"/>
      <c r="Q14" s="142"/>
    </row>
    <row r="15" spans="1:17" s="2" customFormat="1" ht="12.75" customHeight="1">
      <c r="A15" s="4">
        <v>301</v>
      </c>
      <c r="B15" s="2">
        <v>1</v>
      </c>
      <c r="C15" s="114" t="s">
        <v>841</v>
      </c>
      <c r="D15" s="268" t="str">
        <f>VLOOKUP(C15,Purchased!A:B,2,0)</f>
        <v>Dorner End Drive Conveyor (A Side)
2200 Series end drive conveyor with V-guide belt
tracking, 2.75in (70mm) wide x 5.04ft (1536mm)
long, drive shaft in position B with type 01 - low
side profile on both sides and belt type 01, FDA
Accumulation with fused finger splice.</v>
      </c>
      <c r="E15" s="269"/>
      <c r="F15" s="112" t="str">
        <f>VLOOKUP(C15,Purchased!A:Q,9,0)</f>
        <v>Dorner</v>
      </c>
      <c r="G15" s="112" t="str">
        <f>VLOOKUP(C15,Purchased!A:Q,10,0)</f>
        <v>AAP</v>
      </c>
      <c r="H15" s="112" t="str">
        <f>VLOOKUP(C15,Purchased!A:Q,12,0)</f>
        <v xml:space="preserve"> </v>
      </c>
      <c r="I15" s="113"/>
      <c r="J15" s="44" t="str">
        <f>VLOOKUP(C15,Purchased!A:Q,13,0)</f>
        <v>N/A</v>
      </c>
      <c r="K15" s="44">
        <f>VLOOKUP(C15,Purchased!A:Q,14,0)</f>
        <v>45085</v>
      </c>
      <c r="L15" s="44">
        <f>VLOOKUP(C15,Purchased!A:Q,15,0)</f>
        <v>45110</v>
      </c>
      <c r="M15" s="44">
        <f>VLOOKUP(C15,Purchased!A:Q,16,0)</f>
        <v>45110</v>
      </c>
      <c r="N15" s="45">
        <f>VLOOKUP(C15,Purchased!A:Q,17,0)</f>
        <v>54924</v>
      </c>
      <c r="O15" s="45" t="e">
        <f t="shared" ref="O15:O25" ca="1" si="2">B15*$L$2</f>
        <v>#VALUE!</v>
      </c>
      <c r="P15" s="49">
        <f>IFERROR(VLOOKUP(C15,Purchased!A:E,3,FALSE),"")</f>
        <v>1231.5119999999999</v>
      </c>
      <c r="Q15" s="50">
        <f t="shared" ref="Q15:Q25" si="3">IFERROR(B15*P15,"")</f>
        <v>1231.5119999999999</v>
      </c>
    </row>
    <row r="16" spans="1:17" s="2" customFormat="1" ht="12" customHeight="1">
      <c r="A16" s="4">
        <f t="shared" ref="A16:A26" si="4">A15+1</f>
        <v>302</v>
      </c>
      <c r="B16" s="2">
        <v>1</v>
      </c>
      <c r="C16" s="114" t="s">
        <v>842</v>
      </c>
      <c r="D16" s="268" t="str">
        <f>VLOOKUP(C16,Purchased!A:B,2,0)</f>
        <v>Dorner Bottom Mount Pkg (A Side)
2200 Series Standard Load 90 Degree flush
Bottom mount package for a end drive conveyor,
mounted in the B position, 28:16 pulley ratio.
Uncrated weight = 6lb (3kg).</v>
      </c>
      <c r="E16" s="269"/>
      <c r="F16" s="112" t="str">
        <f>VLOOKUP(C16,Purchased!A:Q,9,0)</f>
        <v>Dorner</v>
      </c>
      <c r="G16" s="112" t="str">
        <f>VLOOKUP(C16,Purchased!A:Q,10,0)</f>
        <v>AAP</v>
      </c>
      <c r="H16" s="112" t="str">
        <f>VLOOKUP(C16,Purchased!A:Q,12,0)</f>
        <v xml:space="preserve"> </v>
      </c>
      <c r="I16" s="113"/>
      <c r="J16" s="44" t="str">
        <f>VLOOKUP(C16,Purchased!A:Q,13,0)</f>
        <v>N/A</v>
      </c>
      <c r="K16" s="44">
        <f>VLOOKUP(C16,Purchased!A:Q,14,0)</f>
        <v>45085</v>
      </c>
      <c r="L16" s="44">
        <f>VLOOKUP(C16,Purchased!A:Q,15,0)</f>
        <v>45110</v>
      </c>
      <c r="M16" s="44">
        <f>VLOOKUP(C16,Purchased!A:Q,16,0)</f>
        <v>45110</v>
      </c>
      <c r="N16" s="45">
        <f>VLOOKUP(C16,Purchased!A:Q,17,0)</f>
        <v>54924</v>
      </c>
      <c r="O16" s="45" t="e">
        <f t="shared" ca="1" si="2"/>
        <v>#VALUE!</v>
      </c>
      <c r="P16" s="49">
        <f>IFERROR(VLOOKUP(C16,Purchased!A:E,3,FALSE),"")</f>
        <v>409.8125</v>
      </c>
      <c r="Q16" s="50">
        <f t="shared" si="3"/>
        <v>409.8125</v>
      </c>
    </row>
    <row r="17" spans="1:17" s="2" customFormat="1" ht="12" customHeight="1">
      <c r="A17" s="4">
        <f t="shared" si="4"/>
        <v>303</v>
      </c>
      <c r="B17" s="2">
        <v>1</v>
      </c>
      <c r="C17" s="114" t="s">
        <v>843</v>
      </c>
      <c r="D17" s="268" t="str">
        <f>VLOOKUP(C17,Purchased!A:B,2,0)</f>
        <v>Dorner 2200 Series standard load 90 Degree (A and B Side)</v>
      </c>
      <c r="E17" s="269"/>
      <c r="F17" s="112" t="str">
        <f>VLOOKUP(C17,Purchased!A:Q,9,0)</f>
        <v>Dorner</v>
      </c>
      <c r="G17" s="112" t="str">
        <f>VLOOKUP(C17,Purchased!A:Q,10,0)</f>
        <v>AAP</v>
      </c>
      <c r="H17" s="112" t="str">
        <f>VLOOKUP(C17,Purchased!A:Q,12,0)</f>
        <v xml:space="preserve"> </v>
      </c>
      <c r="I17" s="113"/>
      <c r="J17" s="44" t="str">
        <f>VLOOKUP(C17,Purchased!A:Q,13,0)</f>
        <v>N/A</v>
      </c>
      <c r="K17" s="44">
        <f>VLOOKUP(C17,Purchased!A:Q,14,0)</f>
        <v>45085</v>
      </c>
      <c r="L17" s="44">
        <f>VLOOKUP(C17,Purchased!A:Q,15,0)</f>
        <v>45110</v>
      </c>
      <c r="M17" s="44">
        <f>VLOOKUP(C17,Purchased!A:Q,16,0)</f>
        <v>45110</v>
      </c>
      <c r="N17" s="45">
        <f>VLOOKUP(C17,Purchased!A:Q,17,0)</f>
        <v>54924</v>
      </c>
      <c r="O17" s="45" t="e">
        <f t="shared" ca="1" si="2"/>
        <v>#VALUE!</v>
      </c>
      <c r="P17" s="49">
        <f>IFERROR(VLOOKUP(C17,Purchased!A:E,3,FALSE),"")</f>
        <v>823.61540000000002</v>
      </c>
      <c r="Q17" s="50">
        <f t="shared" si="3"/>
        <v>823.61540000000002</v>
      </c>
    </row>
    <row r="18" spans="1:17" s="2" customFormat="1" ht="12" customHeight="1">
      <c r="A18" s="4">
        <f t="shared" si="4"/>
        <v>304</v>
      </c>
      <c r="B18" s="2">
        <v>12</v>
      </c>
      <c r="C18" s="114" t="s">
        <v>262</v>
      </c>
      <c r="D18" s="268" t="str">
        <f>VLOOKUP(C18,Purchased!A:B,2,0)</f>
        <v>BRX GOTO T-NUT 10 M6</v>
      </c>
      <c r="E18" s="269"/>
      <c r="F18" s="112" t="str">
        <f>VLOOKUP(C18,Purchased!A:Q,9,0)</f>
        <v>BRX</v>
      </c>
      <c r="G18" s="112" t="str">
        <f>VLOOKUP(C18,Purchased!A:Q,10,0)</f>
        <v>AAP</v>
      </c>
      <c r="H18" s="112" t="str">
        <f>VLOOKUP(C18,Purchased!A:Q,12,0)</f>
        <v xml:space="preserve">  </v>
      </c>
      <c r="I18" s="113"/>
      <c r="J18" s="44">
        <f>VLOOKUP(C18,Purchased!A:Q,13,0)</f>
        <v>45104</v>
      </c>
      <c r="K18" s="44">
        <f>VLOOKUP(C18,Purchased!A:Q,14,0)</f>
        <v>45105</v>
      </c>
      <c r="L18" s="44">
        <f>VLOOKUP(C18,Purchased!A:Q,15,0)</f>
        <v>45133</v>
      </c>
      <c r="M18" s="44">
        <f>VLOOKUP(C18,Purchased!A:Q,16,0)</f>
        <v>45133</v>
      </c>
      <c r="N18" s="45" t="str">
        <f>VLOOKUP(C18,Purchased!A:Q,17,0)</f>
        <v>54968, 55147, 55270</v>
      </c>
      <c r="O18" s="45" t="e">
        <f t="shared" ca="1" si="2"/>
        <v>#VALUE!</v>
      </c>
      <c r="P18" s="49">
        <f>IFERROR(VLOOKUP(C18,Purchased!A:E,3,FALSE),"")</f>
        <v>0.64290000000000003</v>
      </c>
      <c r="Q18" s="50">
        <f t="shared" si="3"/>
        <v>7.7148000000000003</v>
      </c>
    </row>
    <row r="19" spans="1:17" s="2" customFormat="1" ht="12" customHeight="1">
      <c r="A19" s="4">
        <f t="shared" si="4"/>
        <v>305</v>
      </c>
      <c r="B19" s="2">
        <v>8</v>
      </c>
      <c r="C19" s="114" t="s">
        <v>844</v>
      </c>
      <c r="D19" s="268" t="str">
        <f>VLOOKUP(C19,Purchased!A:B,2,0)</f>
        <v>DORNER 300150M M6x1.0 T-Bar</v>
      </c>
      <c r="E19" s="269"/>
      <c r="F19" s="112" t="str">
        <f>VLOOKUP(C19,Purchased!A:Q,9,0)</f>
        <v>DORNER</v>
      </c>
      <c r="G19" s="112" t="str">
        <f>VLOOKUP(C19,Purchased!A:Q,10,0)</f>
        <v>AAP</v>
      </c>
      <c r="H19" s="112" t="str">
        <f>VLOOKUP(C19,Purchased!A:Q,12,0)</f>
        <v xml:space="preserve"> </v>
      </c>
      <c r="I19" s="113"/>
      <c r="J19" s="44" t="str">
        <f>VLOOKUP(C19,Purchased!A:Q,13,0)</f>
        <v>N/A</v>
      </c>
      <c r="K19" s="44">
        <f>VLOOKUP(C19,Purchased!A:Q,14,0)</f>
        <v>45162</v>
      </c>
      <c r="L19" s="44">
        <f>VLOOKUP(C19,Purchased!A:Q,15,0)</f>
        <v>45184</v>
      </c>
      <c r="M19" s="44">
        <f>VLOOKUP(C19,Purchased!A:Q,16,0)</f>
        <v>45197</v>
      </c>
      <c r="N19" s="45">
        <f>VLOOKUP(C19,Purchased!A:Q,17,0)</f>
        <v>55073</v>
      </c>
      <c r="O19" s="45" t="e">
        <f t="shared" ca="1" si="2"/>
        <v>#VALUE!</v>
      </c>
      <c r="P19" s="49">
        <f>IFERROR(VLOOKUP(C19,Purchased!A:E,3,FALSE),"")</f>
        <v>9.8908000000000005</v>
      </c>
      <c r="Q19" s="50">
        <f t="shared" si="3"/>
        <v>79.126400000000004</v>
      </c>
    </row>
    <row r="20" spans="1:17" s="2" customFormat="1" ht="12" customHeight="1">
      <c r="A20" s="4">
        <f t="shared" si="4"/>
        <v>306</v>
      </c>
      <c r="B20" s="2">
        <v>6</v>
      </c>
      <c r="C20" s="114" t="s">
        <v>845</v>
      </c>
      <c r="D20" s="268" t="str">
        <f>VLOOKUP(C20,Purchased!A:B,2,0)</f>
        <v>Nylon Plastic Washer for M6 Screw Size, 6.5 mm ID, 17.8 mm OD, Off-White, 25pk</v>
      </c>
      <c r="E20" s="269"/>
      <c r="F20" s="112" t="str">
        <f>VLOOKUP(C20,Purchased!A:Q,9,0)</f>
        <v>MCM</v>
      </c>
      <c r="G20" s="112" t="str">
        <f>VLOOKUP(C20,Purchased!A:Q,10,0)</f>
        <v>MCM</v>
      </c>
      <c r="H20" s="112" t="str">
        <f>VLOOKUP(C20,Purchased!A:Q,12,0)</f>
        <v xml:space="preserve"> </v>
      </c>
      <c r="I20" s="113"/>
      <c r="J20" s="44" t="str">
        <f>VLOOKUP(C20,Purchased!A:Q,13,0)</f>
        <v>N/A</v>
      </c>
      <c r="K20" s="44">
        <f>VLOOKUP(C20,Purchased!A:Q,14,0)</f>
        <v>45162</v>
      </c>
      <c r="L20" s="44">
        <f>VLOOKUP(C20,Purchased!A:Q,15,0)</f>
        <v>45184</v>
      </c>
      <c r="M20" s="44">
        <f>VLOOKUP(C20,Purchased!A:Q,16,0)</f>
        <v>45163</v>
      </c>
      <c r="N20" s="45">
        <f>VLOOKUP(C20,Purchased!A:Q,17,0)</f>
        <v>55089</v>
      </c>
      <c r="O20" s="45" t="e">
        <f t="shared" ca="1" si="2"/>
        <v>#VALUE!</v>
      </c>
      <c r="P20" s="49">
        <f>IFERROR(VLOOKUP(C20,Purchased!A:E,3,FALSE),"")</f>
        <v>5.5</v>
      </c>
      <c r="Q20" s="50">
        <f t="shared" si="3"/>
        <v>33</v>
      </c>
    </row>
    <row r="21" spans="1:17" s="2" customFormat="1" ht="12" customHeight="1">
      <c r="A21" s="4">
        <f t="shared" si="4"/>
        <v>307</v>
      </c>
      <c r="B21" s="2">
        <v>8</v>
      </c>
      <c r="C21" s="114" t="s">
        <v>846</v>
      </c>
      <c r="D21" s="268" t="str">
        <f>VLOOKUP(C21,Purchased!A:B,2,0)</f>
        <v>316 Stainless Steel Ultra-Low-Profile Socket Head Screw M4 x 0.70 mm Thread, 8 mm Long</v>
      </c>
      <c r="E21" s="269"/>
      <c r="F21" s="112" t="str">
        <f>VLOOKUP(C21,Purchased!A:Q,9,0)</f>
        <v>MCM</v>
      </c>
      <c r="G21" s="112" t="str">
        <f>VLOOKUP(C21,Purchased!A:Q,10,0)</f>
        <v>MCM</v>
      </c>
      <c r="H21" s="112" t="str">
        <f>VLOOKUP(C21,Purchased!A:Q,12,0)</f>
        <v xml:space="preserve"> </v>
      </c>
      <c r="I21" s="113"/>
      <c r="J21" s="44" t="str">
        <f>VLOOKUP(C21,Purchased!A:Q,13,0)</f>
        <v>N/A</v>
      </c>
      <c r="K21" s="44">
        <f>VLOOKUP(C21,Purchased!A:Q,14,0)</f>
        <v>45162</v>
      </c>
      <c r="L21" s="44">
        <f>VLOOKUP(C21,Purchased!A:Q,15,0)</f>
        <v>45184</v>
      </c>
      <c r="M21" s="44">
        <f>VLOOKUP(C21,Purchased!A:Q,16,0)</f>
        <v>45163</v>
      </c>
      <c r="N21" s="45">
        <f>VLOOKUP(C21,Purchased!A:Q,17,0)</f>
        <v>55088</v>
      </c>
      <c r="O21" s="45" t="e">
        <f t="shared" ca="1" si="2"/>
        <v>#VALUE!</v>
      </c>
      <c r="P21" s="49">
        <f>IFERROR(VLOOKUP(C21,Purchased!A:E,3,FALSE),"")</f>
        <v>4.07</v>
      </c>
      <c r="Q21" s="50">
        <f t="shared" si="3"/>
        <v>32.56</v>
      </c>
    </row>
    <row r="22" spans="1:17" s="2" customFormat="1" ht="12" customHeight="1">
      <c r="A22" s="4">
        <f t="shared" si="4"/>
        <v>308</v>
      </c>
      <c r="B22" s="2">
        <v>8</v>
      </c>
      <c r="C22" s="114" t="s">
        <v>847</v>
      </c>
      <c r="D22" s="268" t="str">
        <f>VLOOKUP(C22,Purchased!A:B,2,0)</f>
        <v>Press-Fit Studs 18-8 Stainless Steel, M5 x 0.8 mm Thread, 15 mm Long, PEM Fhs-M5-15, 25pk</v>
      </c>
      <c r="E22" s="269"/>
      <c r="F22" s="112" t="str">
        <f>VLOOKUP(C22,Purchased!A:Q,9,0)</f>
        <v>MCM</v>
      </c>
      <c r="G22" s="112" t="str">
        <f>VLOOKUP(C22,Purchased!A:Q,10,0)</f>
        <v>MCM</v>
      </c>
      <c r="H22" s="112" t="str">
        <f>VLOOKUP(C22,Purchased!A:Q,12,0)</f>
        <v xml:space="preserve"> </v>
      </c>
      <c r="I22" s="113"/>
      <c r="J22" s="44" t="str">
        <f>VLOOKUP(C22,Purchased!A:Q,13,0)</f>
        <v>N/A</v>
      </c>
      <c r="K22" s="44">
        <f>VLOOKUP(C22,Purchased!A:Q,14,0)</f>
        <v>45162</v>
      </c>
      <c r="L22" s="44">
        <f>VLOOKUP(C22,Purchased!A:Q,15,0)</f>
        <v>45184</v>
      </c>
      <c r="M22" s="44">
        <f>VLOOKUP(C22,Purchased!A:Q,16,0)</f>
        <v>45163</v>
      </c>
      <c r="N22" s="45">
        <f>VLOOKUP(C22,Purchased!A:Q,17,0)</f>
        <v>55089</v>
      </c>
      <c r="O22" s="45" t="e">
        <f t="shared" ca="1" si="2"/>
        <v>#VALUE!</v>
      </c>
      <c r="P22" s="49">
        <f>IFERROR(VLOOKUP(C22,Purchased!A:E,3,FALSE),"")</f>
        <v>11.45</v>
      </c>
      <c r="Q22" s="50">
        <f t="shared" si="3"/>
        <v>91.6</v>
      </c>
    </row>
    <row r="23" spans="1:17" s="2" customFormat="1" ht="12" customHeight="1">
      <c r="A23" s="4">
        <f t="shared" si="4"/>
        <v>309</v>
      </c>
      <c r="B23" s="2">
        <v>8</v>
      </c>
      <c r="C23" s="114" t="s">
        <v>848</v>
      </c>
      <c r="D23" s="268" t="str">
        <f>VLOOKUP(C23,Purchased!A:B,2,0)</f>
        <v>Nylon Plastic Washer for M5 Screw Size, 5.3 mm ID, 11 mm OD, Off-White, 100pk</v>
      </c>
      <c r="E23" s="269"/>
      <c r="F23" s="112" t="str">
        <f>VLOOKUP(C23,Purchased!A:Q,9,0)</f>
        <v>MCM</v>
      </c>
      <c r="G23" s="112" t="str">
        <f>VLOOKUP(C23,Purchased!A:Q,10,0)</f>
        <v>MCM</v>
      </c>
      <c r="H23" s="112" t="str">
        <f>VLOOKUP(C23,Purchased!A:Q,12,0)</f>
        <v xml:space="preserve"> </v>
      </c>
      <c r="I23" s="113"/>
      <c r="J23" s="44" t="str">
        <f>VLOOKUP(C23,Purchased!A:Q,13,0)</f>
        <v>N/A</v>
      </c>
      <c r="K23" s="44">
        <f>VLOOKUP(C23,Purchased!A:Q,14,0)</f>
        <v>45162</v>
      </c>
      <c r="L23" s="44">
        <f>VLOOKUP(C23,Purchased!A:Q,15,0)</f>
        <v>45184</v>
      </c>
      <c r="M23" s="44">
        <f>VLOOKUP(C23,Purchased!A:Q,16,0)</f>
        <v>45163</v>
      </c>
      <c r="N23" s="45">
        <f>VLOOKUP(C23,Purchased!A:Q,17,0)</f>
        <v>55089</v>
      </c>
      <c r="O23" s="45" t="e">
        <f t="shared" ca="1" si="2"/>
        <v>#VALUE!</v>
      </c>
      <c r="P23" s="49">
        <f>IFERROR(VLOOKUP(C23,Purchased!A:E,3,FALSE),"")</f>
        <v>6.8</v>
      </c>
      <c r="Q23" s="50">
        <f t="shared" si="3"/>
        <v>54.4</v>
      </c>
    </row>
    <row r="24" spans="1:17" s="2" customFormat="1" ht="12" customHeight="1">
      <c r="A24" s="4">
        <f t="shared" si="4"/>
        <v>310</v>
      </c>
      <c r="B24" s="2">
        <v>8</v>
      </c>
      <c r="C24" s="114" t="s">
        <v>849</v>
      </c>
      <c r="D24" s="268" t="str">
        <f>VLOOKUP(C24,Purchased!A:B,2,0)</f>
        <v>18-8 Stainless Steel Nylon-Insert Locknut M5 x 0.8 mm Thread, 8 mm Wide, 5 mm High, 100pk</v>
      </c>
      <c r="E24" s="269"/>
      <c r="F24" s="112" t="str">
        <f>VLOOKUP(C24,Purchased!A:Q,9,0)</f>
        <v>MCM</v>
      </c>
      <c r="G24" s="112" t="str">
        <f>VLOOKUP(C24,Purchased!A:Q,10,0)</f>
        <v>MCM</v>
      </c>
      <c r="H24" s="112" t="str">
        <f>VLOOKUP(C24,Purchased!A:Q,12,0)</f>
        <v xml:space="preserve"> </v>
      </c>
      <c r="I24" s="113"/>
      <c r="J24" s="44" t="str">
        <f>VLOOKUP(C24,Purchased!A:Q,13,0)</f>
        <v>N/A</v>
      </c>
      <c r="K24" s="44">
        <f>VLOOKUP(C24,Purchased!A:Q,14,0)</f>
        <v>45162</v>
      </c>
      <c r="L24" s="44">
        <f>VLOOKUP(C24,Purchased!A:Q,15,0)</f>
        <v>45184</v>
      </c>
      <c r="M24" s="44">
        <f>VLOOKUP(C24,Purchased!A:Q,16,0)</f>
        <v>45163</v>
      </c>
      <c r="N24" s="45">
        <f>VLOOKUP(C24,Purchased!A:Q,17,0)</f>
        <v>55089</v>
      </c>
      <c r="O24" s="45" t="e">
        <f t="shared" ca="1" si="2"/>
        <v>#VALUE!</v>
      </c>
      <c r="P24" s="49">
        <f>IFERROR(VLOOKUP(C24,Purchased!A:E,3,FALSE),"")</f>
        <v>8.77</v>
      </c>
      <c r="Q24" s="50">
        <f t="shared" si="3"/>
        <v>70.16</v>
      </c>
    </row>
    <row r="25" spans="1:17" s="2" customFormat="1" ht="12" customHeight="1">
      <c r="A25" s="4">
        <f t="shared" si="4"/>
        <v>311</v>
      </c>
      <c r="B25" s="2">
        <v>1</v>
      </c>
      <c r="C25" s="114" t="s">
        <v>850</v>
      </c>
      <c r="D25" s="268" t="str">
        <f>VLOOKUP(C25,Purchased!A:B,2,0)</f>
        <v>KEYENCE FU-E40 Digital Fiber Optic Distance Sensor</v>
      </c>
      <c r="E25" s="269"/>
      <c r="F25" s="112" t="str">
        <f>VLOOKUP(C25,Purchased!A:Q,9,0)</f>
        <v>KEYENCE</v>
      </c>
      <c r="G25" s="112" t="str">
        <f>VLOOKUP(C25,Purchased!A:Q,10,0)</f>
        <v>KEYENCE</v>
      </c>
      <c r="H25" s="112" t="str">
        <f>VLOOKUP(C25,Purchased!A:Q,12,0)</f>
        <v xml:space="preserve"> </v>
      </c>
      <c r="I25" s="113"/>
      <c r="J25" s="44">
        <f>VLOOKUP(C25,Purchased!A:Q,13,0)</f>
        <v>45154</v>
      </c>
      <c r="K25" s="44">
        <f>VLOOKUP(C25,Purchased!A:Q,14,0)</f>
        <v>45161</v>
      </c>
      <c r="L25" s="44">
        <f>VLOOKUP(C25,Purchased!A:Q,15,0)</f>
        <v>45191</v>
      </c>
      <c r="M25" s="44">
        <f>VLOOKUP(C25,Purchased!A:Q,16,0)</f>
        <v>45184</v>
      </c>
      <c r="N25" s="45">
        <f>VLOOKUP(C25,Purchased!A:Q,17,0)</f>
        <v>55077</v>
      </c>
      <c r="O25" s="45" t="e">
        <f t="shared" ca="1" si="2"/>
        <v>#VALUE!</v>
      </c>
      <c r="P25" s="49">
        <f>IFERROR(VLOOKUP(C25,Purchased!A:E,3,FALSE),"")</f>
        <v>436</v>
      </c>
      <c r="Q25" s="50">
        <f t="shared" si="3"/>
        <v>436</v>
      </c>
    </row>
    <row r="26" spans="1:17" s="2" customFormat="1" ht="12" customHeight="1">
      <c r="A26" s="4">
        <f t="shared" si="4"/>
        <v>312</v>
      </c>
      <c r="B26" s="2">
        <v>4</v>
      </c>
      <c r="C26" s="114" t="s">
        <v>851</v>
      </c>
      <c r="D26" s="268" t="str">
        <f>VLOOKUP(C26,Purchased!A:B,2,0)</f>
        <v>DORNER M6 TWIST-IN T-NUT</v>
      </c>
      <c r="E26" s="269"/>
      <c r="F26" s="112" t="str">
        <f>VLOOKUP(C26,Purchased!A:Q,9,0)</f>
        <v>DORNER</v>
      </c>
      <c r="G26" s="112" t="str">
        <f>VLOOKUP(C26,Purchased!A:Q,10,0)</f>
        <v>AAP</v>
      </c>
      <c r="H26" s="112" t="str">
        <f>VLOOKUP(C26,Purchased!A:Q,12,0)</f>
        <v>50 IN NULINE STOCK</v>
      </c>
      <c r="I26" s="113"/>
      <c r="J26" s="44" t="str">
        <f>VLOOKUP(C26,Purchased!A:Q,13,0)</f>
        <v>N/A</v>
      </c>
      <c r="K26" s="44" t="str">
        <f>VLOOKUP(C26,Purchased!A:Q,14,0)</f>
        <v>N/A</v>
      </c>
      <c r="L26" s="44" t="str">
        <f>VLOOKUP(C26,Purchased!A:Q,15,0)</f>
        <v>N/A</v>
      </c>
      <c r="M26" s="44" t="str">
        <f>VLOOKUP(C26,Purchased!A:Q,16,0)</f>
        <v>N/A</v>
      </c>
      <c r="N26" s="45" t="str">
        <f>VLOOKUP(C26,Purchased!A:Q,17,0)</f>
        <v>N/A</v>
      </c>
      <c r="O26" s="45" t="e">
        <f t="shared" ref="O26" ca="1" si="5">B26*$L$2</f>
        <v>#VALUE!</v>
      </c>
      <c r="P26" s="49">
        <f>IFERROR(VLOOKUP(C26,Purchased!A:E,3,FALSE),"")</f>
        <v>0</v>
      </c>
      <c r="Q26" s="50">
        <f t="shared" ref="Q26" si="6">IFERROR(B26*P26,"")</f>
        <v>0</v>
      </c>
    </row>
    <row r="27" spans="1:17" s="2" customFormat="1" ht="12.75" customHeight="1">
      <c r="A27" s="25"/>
      <c r="B27" s="26"/>
      <c r="C27" s="26"/>
      <c r="D27" s="272"/>
      <c r="E27" s="273"/>
      <c r="F27" s="26"/>
      <c r="G27" s="26"/>
      <c r="H27" s="274"/>
      <c r="I27" s="275"/>
      <c r="J27" s="27"/>
      <c r="K27" s="27"/>
      <c r="L27" s="27"/>
      <c r="M27" s="28"/>
      <c r="N27" s="29"/>
      <c r="O27" s="29" t="e">
        <f t="shared" ref="O27:O35" ca="1" si="7">B27*$L$2</f>
        <v>#VALUE!</v>
      </c>
      <c r="P27" s="141"/>
      <c r="Q27" s="142"/>
    </row>
    <row r="28" spans="1:17" s="2" customFormat="1" ht="12.75" customHeight="1">
      <c r="A28" s="4">
        <v>501</v>
      </c>
      <c r="B28" s="2">
        <v>12</v>
      </c>
      <c r="C28" s="110" t="s">
        <v>287</v>
      </c>
      <c r="D28" s="268"/>
      <c r="E28" s="276"/>
      <c r="F28" s="112" t="str">
        <f>VLOOKUP(C28,Bolts!A:L,5,0)</f>
        <v xml:space="preserve">  </v>
      </c>
      <c r="G28" s="112" t="str">
        <f>VLOOKUP(C28,Bolts!A:L,6,0)</f>
        <v>Monroe Fasteners</v>
      </c>
      <c r="H28" s="112" t="str">
        <f>VLOOKUP(C28,Bolts!A:L,7,0)</f>
        <v xml:space="preserve">  </v>
      </c>
      <c r="I28" s="112"/>
      <c r="J28" s="44" t="str">
        <f>VLOOKUP(C28,Bolts!A:L,8,0)</f>
        <v xml:space="preserve"> </v>
      </c>
      <c r="K28" s="44" t="str">
        <f>VLOOKUP(C28,Bolts!A:L,9,0)</f>
        <v xml:space="preserve"> </v>
      </c>
      <c r="L28" s="44" t="str">
        <f>VLOOKUP(C28,Bolts!A:L,10,0)</f>
        <v xml:space="preserve"> </v>
      </c>
      <c r="M28" s="44" t="str">
        <f>VLOOKUP(C28,Bolts!A:L,11,0)</f>
        <v xml:space="preserve"> </v>
      </c>
      <c r="N28" s="45" t="str">
        <f>VLOOKUP(C28,Bolts!A:L,12,0)</f>
        <v xml:space="preserve"> </v>
      </c>
      <c r="O28" s="45" t="e">
        <f t="shared" ca="1" si="7"/>
        <v>#VALUE!</v>
      </c>
      <c r="P28" s="49" t="str">
        <f>IFERROR(VLOOKUP(C28,Bolts!A:B,2,FALSE),"")</f>
        <v xml:space="preserve"> </v>
      </c>
      <c r="Q28" s="50" t="str">
        <f t="shared" ref="Q28:Q35" si="8">IFERROR(B28*P28,"")</f>
        <v/>
      </c>
    </row>
    <row r="29" spans="1:17" s="2" customFormat="1" ht="12.75" customHeight="1">
      <c r="A29" s="4">
        <f t="shared" ref="A29:A37" si="9">A28+1</f>
        <v>502</v>
      </c>
      <c r="B29" s="2">
        <v>12</v>
      </c>
      <c r="C29" s="110" t="s">
        <v>342</v>
      </c>
      <c r="D29" s="268"/>
      <c r="E29" s="276"/>
      <c r="F29" s="112" t="str">
        <f>VLOOKUP(C29,Bolts!A:L,5,0)</f>
        <v xml:space="preserve">  </v>
      </c>
      <c r="G29" s="112" t="str">
        <f>VLOOKUP(C29,Bolts!A:L,6,0)</f>
        <v>Monroe Fasteners</v>
      </c>
      <c r="H29" s="112" t="str">
        <f>VLOOKUP(C29,Bolts!A:L,7,0)</f>
        <v xml:space="preserve">  </v>
      </c>
      <c r="I29" s="112"/>
      <c r="J29" s="44" t="str">
        <f>VLOOKUP(C29,Bolts!A:L,8,0)</f>
        <v xml:space="preserve"> </v>
      </c>
      <c r="K29" s="44" t="str">
        <f>VLOOKUP(C29,Bolts!A:L,9,0)</f>
        <v xml:space="preserve"> </v>
      </c>
      <c r="L29" s="44" t="str">
        <f>VLOOKUP(C29,Bolts!A:L,10,0)</f>
        <v xml:space="preserve"> </v>
      </c>
      <c r="M29" s="44" t="str">
        <f>VLOOKUP(C29,Bolts!A:L,11,0)</f>
        <v xml:space="preserve"> </v>
      </c>
      <c r="N29" s="45" t="str">
        <f>VLOOKUP(C29,Bolts!A:L,12,0)</f>
        <v xml:space="preserve"> </v>
      </c>
      <c r="O29" s="45" t="e">
        <f t="shared" ca="1" si="7"/>
        <v>#VALUE!</v>
      </c>
      <c r="P29" s="49" t="str">
        <f>IFERROR(VLOOKUP(C29,Bolts!A:B,2,FALSE),"")</f>
        <v xml:space="preserve"> </v>
      </c>
      <c r="Q29" s="50" t="str">
        <f t="shared" si="8"/>
        <v/>
      </c>
    </row>
    <row r="30" spans="1:17" s="2" customFormat="1" ht="12" customHeight="1">
      <c r="A30" s="4">
        <f t="shared" si="9"/>
        <v>503</v>
      </c>
      <c r="B30" s="2">
        <v>12</v>
      </c>
      <c r="C30" s="110" t="s">
        <v>344</v>
      </c>
      <c r="D30" s="268"/>
      <c r="E30" s="276"/>
      <c r="F30" s="112" t="str">
        <f>VLOOKUP(C30,Bolts!A:L,5,0)</f>
        <v xml:space="preserve">  </v>
      </c>
      <c r="G30" s="112" t="str">
        <f>VLOOKUP(C30,Bolts!A:L,6,0)</f>
        <v>Monroe Fasteners</v>
      </c>
      <c r="H30" s="112" t="str">
        <f>VLOOKUP(C30,Bolts!A:L,7,0)</f>
        <v xml:space="preserve">  </v>
      </c>
      <c r="I30" s="112"/>
      <c r="J30" s="44" t="str">
        <f>VLOOKUP(C30,Bolts!A:L,8,0)</f>
        <v xml:space="preserve"> </v>
      </c>
      <c r="K30" s="44" t="str">
        <f>VLOOKUP(C30,Bolts!A:L,9,0)</f>
        <v xml:space="preserve"> </v>
      </c>
      <c r="L30" s="44" t="str">
        <f>VLOOKUP(C30,Bolts!A:L,10,0)</f>
        <v xml:space="preserve"> </v>
      </c>
      <c r="M30" s="44" t="str">
        <f>VLOOKUP(C30,Bolts!A:L,11,0)</f>
        <v xml:space="preserve"> </v>
      </c>
      <c r="N30" s="45" t="str">
        <f>VLOOKUP(C30,Bolts!A:L,12,0)</f>
        <v xml:space="preserve"> </v>
      </c>
      <c r="O30" s="45" t="e">
        <f t="shared" ca="1" si="7"/>
        <v>#VALUE!</v>
      </c>
      <c r="P30" s="49" t="str">
        <f>IFERROR(VLOOKUP(C30,Bolts!A:B,2,FALSE),"")</f>
        <v xml:space="preserve"> </v>
      </c>
      <c r="Q30" s="50" t="str">
        <f t="shared" si="8"/>
        <v/>
      </c>
    </row>
    <row r="31" spans="1:17" s="2" customFormat="1" ht="12" customHeight="1">
      <c r="A31" s="4">
        <f t="shared" si="9"/>
        <v>504</v>
      </c>
      <c r="B31" s="2">
        <v>4</v>
      </c>
      <c r="C31" s="110" t="s">
        <v>827</v>
      </c>
      <c r="D31" s="268"/>
      <c r="E31" s="276"/>
      <c r="F31" s="112" t="str">
        <f>VLOOKUP(C31,Bolts!A:L,5,0)</f>
        <v xml:space="preserve">  </v>
      </c>
      <c r="G31" s="112" t="str">
        <f>VLOOKUP(C31,Bolts!A:L,6,0)</f>
        <v>Monroe Fasteners</v>
      </c>
      <c r="H31" s="112" t="str">
        <f>VLOOKUP(C31,Bolts!A:L,7,0)</f>
        <v xml:space="preserve">  </v>
      </c>
      <c r="I31" s="112"/>
      <c r="J31" s="44" t="str">
        <f>VLOOKUP(C31,Bolts!A:L,8,0)</f>
        <v xml:space="preserve"> </v>
      </c>
      <c r="K31" s="44" t="str">
        <f>VLOOKUP(C31,Bolts!A:L,9,0)</f>
        <v xml:space="preserve"> </v>
      </c>
      <c r="L31" s="44" t="str">
        <f>VLOOKUP(C31,Bolts!A:L,10,0)</f>
        <v xml:space="preserve"> </v>
      </c>
      <c r="M31" s="44" t="str">
        <f>VLOOKUP(C31,Bolts!A:L,11,0)</f>
        <v xml:space="preserve"> </v>
      </c>
      <c r="N31" s="45" t="str">
        <f>VLOOKUP(C31,Bolts!A:L,12,0)</f>
        <v xml:space="preserve"> </v>
      </c>
      <c r="O31" s="45" t="e">
        <f t="shared" ca="1" si="7"/>
        <v>#VALUE!</v>
      </c>
      <c r="P31" s="49" t="str">
        <f>IFERROR(VLOOKUP(C31,Bolts!A:B,2,FALSE),"")</f>
        <v xml:space="preserve"> </v>
      </c>
      <c r="Q31" s="50" t="str">
        <f t="shared" si="8"/>
        <v/>
      </c>
    </row>
    <row r="32" spans="1:17" s="2" customFormat="1" ht="12" customHeight="1">
      <c r="A32" s="4">
        <f t="shared" si="9"/>
        <v>505</v>
      </c>
      <c r="B32" s="2">
        <v>4</v>
      </c>
      <c r="C32" s="110" t="s">
        <v>852</v>
      </c>
      <c r="D32" s="268"/>
      <c r="E32" s="276"/>
      <c r="F32" s="112" t="str">
        <f>VLOOKUP(C32,Bolts!A:L,5,0)</f>
        <v xml:space="preserve">  </v>
      </c>
      <c r="G32" s="112" t="str">
        <f>VLOOKUP(C32,Bolts!A:L,6,0)</f>
        <v>Monroe Fasteners</v>
      </c>
      <c r="H32" s="112" t="str">
        <f>VLOOKUP(C32,Bolts!A:L,7,0)</f>
        <v xml:space="preserve">  </v>
      </c>
      <c r="I32" s="112"/>
      <c r="J32" s="44" t="str">
        <f>VLOOKUP(C32,Bolts!A:L,8,0)</f>
        <v xml:space="preserve"> </v>
      </c>
      <c r="K32" s="44" t="str">
        <f>VLOOKUP(C32,Bolts!A:L,9,0)</f>
        <v xml:space="preserve"> </v>
      </c>
      <c r="L32" s="44" t="str">
        <f>VLOOKUP(C32,Bolts!A:L,10,0)</f>
        <v xml:space="preserve"> </v>
      </c>
      <c r="M32" s="44" t="str">
        <f>VLOOKUP(C32,Bolts!A:L,11,0)</f>
        <v xml:space="preserve"> </v>
      </c>
      <c r="N32" s="45" t="str">
        <f>VLOOKUP(C32,Bolts!A:L,12,0)</f>
        <v xml:space="preserve"> </v>
      </c>
      <c r="O32" s="45" t="e">
        <f t="shared" ca="1" si="7"/>
        <v>#VALUE!</v>
      </c>
      <c r="P32" s="49" t="str">
        <f>IFERROR(VLOOKUP(C32,Bolts!A:B,2,FALSE),"")</f>
        <v xml:space="preserve"> </v>
      </c>
      <c r="Q32" s="50" t="str">
        <f t="shared" si="8"/>
        <v/>
      </c>
    </row>
    <row r="33" spans="1:17" s="2" customFormat="1" ht="12" customHeight="1">
      <c r="A33" s="4">
        <f t="shared" si="9"/>
        <v>506</v>
      </c>
      <c r="B33" s="2">
        <v>18</v>
      </c>
      <c r="C33" s="110" t="s">
        <v>278</v>
      </c>
      <c r="D33" s="268"/>
      <c r="E33" s="276"/>
      <c r="F33" s="112" t="str">
        <f>VLOOKUP(C33,Bolts!A:L,5,0)</f>
        <v xml:space="preserve">  </v>
      </c>
      <c r="G33" s="112" t="str">
        <f>VLOOKUP(C33,Bolts!A:L,6,0)</f>
        <v>Monroe Fasteners</v>
      </c>
      <c r="H33" s="112" t="str">
        <f>VLOOKUP(C33,Bolts!A:L,7,0)</f>
        <v xml:space="preserve">  </v>
      </c>
      <c r="I33" s="112"/>
      <c r="J33" s="44" t="str">
        <f>VLOOKUP(C33,Bolts!A:L,8,0)</f>
        <v xml:space="preserve"> </v>
      </c>
      <c r="K33" s="44" t="str">
        <f>VLOOKUP(C33,Bolts!A:L,9,0)</f>
        <v xml:space="preserve"> </v>
      </c>
      <c r="L33" s="44" t="str">
        <f>VLOOKUP(C33,Bolts!A:L,10,0)</f>
        <v xml:space="preserve"> </v>
      </c>
      <c r="M33" s="44" t="str">
        <f>VLOOKUP(C33,Bolts!A:L,11,0)</f>
        <v xml:space="preserve"> </v>
      </c>
      <c r="N33" s="45" t="str">
        <f>VLOOKUP(C33,Bolts!A:L,12,0)</f>
        <v xml:space="preserve"> </v>
      </c>
      <c r="O33" s="45" t="e">
        <f t="shared" ca="1" si="7"/>
        <v>#VALUE!</v>
      </c>
      <c r="P33" s="49" t="str">
        <f>IFERROR(VLOOKUP(C33,Bolts!A:B,2,FALSE),"")</f>
        <v xml:space="preserve"> </v>
      </c>
      <c r="Q33" s="50" t="str">
        <f t="shared" si="8"/>
        <v/>
      </c>
    </row>
    <row r="34" spans="1:17" s="2" customFormat="1" ht="12" customHeight="1">
      <c r="A34" s="4">
        <f t="shared" si="9"/>
        <v>507</v>
      </c>
      <c r="B34" s="2">
        <v>2</v>
      </c>
      <c r="C34" s="110" t="s">
        <v>853</v>
      </c>
      <c r="D34" s="268"/>
      <c r="E34" s="276"/>
      <c r="F34" s="112" t="str">
        <f>VLOOKUP(C34,Bolts!A:L,5,0)</f>
        <v xml:space="preserve">  </v>
      </c>
      <c r="G34" s="112" t="str">
        <f>VLOOKUP(C34,Bolts!A:L,6,0)</f>
        <v>Monroe Fasteners</v>
      </c>
      <c r="H34" s="112" t="str">
        <f>VLOOKUP(C34,Bolts!A:L,7,0)</f>
        <v xml:space="preserve">  </v>
      </c>
      <c r="I34" s="112"/>
      <c r="J34" s="44" t="str">
        <f>VLOOKUP(C34,Bolts!A:L,8,0)</f>
        <v xml:space="preserve"> </v>
      </c>
      <c r="K34" s="44" t="str">
        <f>VLOOKUP(C34,Bolts!A:L,9,0)</f>
        <v xml:space="preserve"> </v>
      </c>
      <c r="L34" s="44" t="str">
        <f>VLOOKUP(C34,Bolts!A:L,10,0)</f>
        <v xml:space="preserve"> </v>
      </c>
      <c r="M34" s="44" t="str">
        <f>VLOOKUP(C34,Bolts!A:L,11,0)</f>
        <v xml:space="preserve"> </v>
      </c>
      <c r="N34" s="45" t="str">
        <f>VLOOKUP(C34,Bolts!A:L,12,0)</f>
        <v xml:space="preserve"> </v>
      </c>
      <c r="O34" s="45" t="e">
        <f t="shared" ca="1" si="7"/>
        <v>#VALUE!</v>
      </c>
      <c r="P34" s="49" t="str">
        <f>IFERROR(VLOOKUP(C34,Bolts!A:B,2,FALSE),"")</f>
        <v xml:space="preserve"> </v>
      </c>
      <c r="Q34" s="50" t="str">
        <f t="shared" si="8"/>
        <v/>
      </c>
    </row>
    <row r="35" spans="1:17" s="2" customFormat="1" ht="12" customHeight="1">
      <c r="A35" s="4">
        <f t="shared" si="9"/>
        <v>508</v>
      </c>
      <c r="B35" s="2">
        <v>21</v>
      </c>
      <c r="C35" s="110" t="s">
        <v>289</v>
      </c>
      <c r="D35" s="268"/>
      <c r="E35" s="276"/>
      <c r="F35" s="112" t="str">
        <f>VLOOKUP(C35,Bolts!A:L,5,0)</f>
        <v xml:space="preserve">  </v>
      </c>
      <c r="G35" s="112" t="str">
        <f>VLOOKUP(C35,Bolts!A:L,6,0)</f>
        <v>Monroe Fasteners</v>
      </c>
      <c r="H35" s="112" t="str">
        <f>VLOOKUP(C35,Bolts!A:L,7,0)</f>
        <v xml:space="preserve">  </v>
      </c>
      <c r="I35" s="112"/>
      <c r="J35" s="44" t="str">
        <f>VLOOKUP(C35,Bolts!A:L,8,0)</f>
        <v xml:space="preserve"> </v>
      </c>
      <c r="K35" s="44" t="str">
        <f>VLOOKUP(C35,Bolts!A:L,9,0)</f>
        <v xml:space="preserve"> </v>
      </c>
      <c r="L35" s="44" t="str">
        <f>VLOOKUP(C35,Bolts!A:L,10,0)</f>
        <v xml:space="preserve"> </v>
      </c>
      <c r="M35" s="44" t="str">
        <f>VLOOKUP(C35,Bolts!A:L,11,0)</f>
        <v xml:space="preserve"> </v>
      </c>
      <c r="N35" s="45" t="str">
        <f>VLOOKUP(C35,Bolts!A:L,12,0)</f>
        <v xml:space="preserve"> </v>
      </c>
      <c r="O35" s="45" t="e">
        <f t="shared" ca="1" si="7"/>
        <v>#VALUE!</v>
      </c>
      <c r="P35" s="49" t="str">
        <f>IFERROR(VLOOKUP(C35,Bolts!A:B,2,FALSE),"")</f>
        <v xml:space="preserve"> </v>
      </c>
      <c r="Q35" s="50" t="str">
        <f t="shared" si="8"/>
        <v/>
      </c>
    </row>
    <row r="36" spans="1:17" s="2" customFormat="1" ht="12" customHeight="1">
      <c r="A36" s="4">
        <f t="shared" si="9"/>
        <v>509</v>
      </c>
      <c r="B36" s="2">
        <v>4</v>
      </c>
      <c r="C36" s="110" t="s">
        <v>267</v>
      </c>
      <c r="D36" s="268"/>
      <c r="E36" s="276"/>
      <c r="F36" s="112" t="str">
        <f>VLOOKUP(C36,Bolts!A:L,5,0)</f>
        <v xml:space="preserve">  </v>
      </c>
      <c r="G36" s="112" t="str">
        <f>VLOOKUP(C36,Bolts!A:L,6,0)</f>
        <v>Monroe Fasteners</v>
      </c>
      <c r="H36" s="112" t="str">
        <f>VLOOKUP(C36,Bolts!A:L,7,0)</f>
        <v xml:space="preserve">  </v>
      </c>
      <c r="I36" s="112"/>
      <c r="J36" s="44" t="str">
        <f>VLOOKUP(C36,Bolts!A:L,8,0)</f>
        <v xml:space="preserve"> </v>
      </c>
      <c r="K36" s="44" t="str">
        <f>VLOOKUP(C36,Bolts!A:L,9,0)</f>
        <v xml:space="preserve"> </v>
      </c>
      <c r="L36" s="44" t="str">
        <f>VLOOKUP(C36,Bolts!A:L,10,0)</f>
        <v xml:space="preserve"> </v>
      </c>
      <c r="M36" s="44" t="str">
        <f>VLOOKUP(C36,Bolts!A:L,11,0)</f>
        <v xml:space="preserve"> </v>
      </c>
      <c r="N36" s="45" t="str">
        <f>VLOOKUP(C36,Bolts!A:L,12,0)</f>
        <v xml:space="preserve"> </v>
      </c>
      <c r="O36" s="45" t="e">
        <f t="shared" ref="O36" ca="1" si="10">B36*$L$2</f>
        <v>#VALUE!</v>
      </c>
      <c r="P36" s="49" t="str">
        <f>IFERROR(VLOOKUP(C36,Bolts!A:B,2,FALSE),"")</f>
        <v xml:space="preserve"> </v>
      </c>
      <c r="Q36" s="50" t="str">
        <f t="shared" ref="Q36" si="11">IFERROR(B36*P36,"")</f>
        <v/>
      </c>
    </row>
    <row r="37" spans="1:17" s="2" customFormat="1" ht="12" customHeight="1" thickBot="1">
      <c r="A37" s="4">
        <f t="shared" si="9"/>
        <v>510</v>
      </c>
      <c r="B37" s="2">
        <v>1</v>
      </c>
      <c r="C37" s="110" t="s">
        <v>312</v>
      </c>
      <c r="D37" s="268"/>
      <c r="E37" s="276"/>
      <c r="F37" s="112" t="str">
        <f>VLOOKUP(C37,Bolts!A:L,5,0)</f>
        <v xml:space="preserve">  </v>
      </c>
      <c r="G37" s="112" t="str">
        <f>VLOOKUP(C37,Bolts!A:L,6,0)</f>
        <v>Monroe Fasteners</v>
      </c>
      <c r="H37" s="112" t="str">
        <f>VLOOKUP(C37,Bolts!A:L,7,0)</f>
        <v xml:space="preserve">  </v>
      </c>
      <c r="I37" s="112"/>
      <c r="J37" s="44" t="str">
        <f>VLOOKUP(C37,Bolts!A:L,8,0)</f>
        <v xml:space="preserve"> </v>
      </c>
      <c r="K37" s="44" t="str">
        <f>VLOOKUP(C37,Bolts!A:L,9,0)</f>
        <v xml:space="preserve"> </v>
      </c>
      <c r="L37" s="44" t="str">
        <f>VLOOKUP(C37,Bolts!A:L,10,0)</f>
        <v xml:space="preserve"> </v>
      </c>
      <c r="M37" s="44" t="str">
        <f>VLOOKUP(C37,Bolts!A:L,11,0)</f>
        <v xml:space="preserve"> </v>
      </c>
      <c r="N37" s="45" t="str">
        <f>VLOOKUP(C37,Bolts!A:L,12,0)</f>
        <v xml:space="preserve"> </v>
      </c>
      <c r="O37" s="45" t="e">
        <f t="shared" ref="O37" ca="1" si="12">B37*$L$2</f>
        <v>#VALUE!</v>
      </c>
      <c r="P37" s="49" t="str">
        <f>IFERROR(VLOOKUP(C37,Bolts!A:B,2,FALSE),"")</f>
        <v xml:space="preserve"> </v>
      </c>
      <c r="Q37" s="50" t="str">
        <f t="shared" ref="Q37" si="13">IFERROR(B37*P37,"")</f>
        <v/>
      </c>
    </row>
    <row r="38" spans="1:17" s="2" customFormat="1" ht="12.75" customHeight="1" thickBot="1">
      <c r="A38" s="34"/>
      <c r="B38" s="35"/>
      <c r="C38" s="35"/>
      <c r="D38" s="256"/>
      <c r="E38" s="257"/>
      <c r="F38" s="35"/>
      <c r="G38" s="35"/>
      <c r="H38" s="294"/>
      <c r="I38" s="295"/>
      <c r="J38" s="36"/>
      <c r="K38" s="36"/>
      <c r="L38" s="36"/>
      <c r="M38" s="37"/>
      <c r="N38" s="38"/>
      <c r="O38" s="38"/>
      <c r="P38" s="89" t="s">
        <v>43</v>
      </c>
      <c r="Q38" s="94">
        <f>SUM(Q5:Q37)</f>
        <v>4089.7511</v>
      </c>
    </row>
    <row r="39" spans="1:17" s="2" customFormat="1" ht="12" customHeight="1">
      <c r="D39" s="22"/>
      <c r="E39" s="22"/>
      <c r="J39" s="8"/>
      <c r="K39" s="8"/>
      <c r="L39" s="8"/>
      <c r="M39" s="8"/>
      <c r="N39" s="5"/>
      <c r="O39" s="5"/>
      <c r="P39" s="88"/>
      <c r="Q39" s="95"/>
    </row>
    <row r="40" spans="1:17" s="2" customFormat="1" ht="12" customHeight="1">
      <c r="D40" s="22"/>
      <c r="E40" s="22"/>
      <c r="J40" s="5"/>
      <c r="K40" s="5"/>
      <c r="L40" s="5"/>
      <c r="M40" s="5"/>
      <c r="N40" s="5"/>
      <c r="O40" s="5"/>
      <c r="P40" s="88"/>
      <c r="Q40" s="95"/>
    </row>
    <row r="41" spans="1:17" s="2" customFormat="1" ht="12" customHeight="1">
      <c r="D41" s="22"/>
      <c r="E41" s="22"/>
      <c r="J41" s="5"/>
      <c r="K41" s="5"/>
      <c r="L41" s="5"/>
      <c r="M41" s="5"/>
      <c r="N41" s="5"/>
      <c r="O41" s="5"/>
      <c r="P41" s="88"/>
      <c r="Q41" s="95"/>
    </row>
    <row r="42" spans="1:17" s="2" customFormat="1" ht="12" customHeight="1">
      <c r="D42" s="22"/>
      <c r="E42" s="22"/>
      <c r="J42" s="5"/>
      <c r="K42" s="5"/>
      <c r="L42" s="5"/>
      <c r="M42" s="5"/>
      <c r="N42" s="5"/>
      <c r="O42" s="5"/>
      <c r="P42" s="88"/>
      <c r="Q42" s="95"/>
    </row>
    <row r="43" spans="1:17" s="2" customFormat="1" ht="12" customHeight="1">
      <c r="D43" s="22"/>
      <c r="E43" s="22"/>
      <c r="J43" s="5"/>
      <c r="K43" s="5"/>
      <c r="L43" s="5"/>
      <c r="M43" s="5"/>
      <c r="N43" s="5"/>
      <c r="O43" s="5"/>
      <c r="P43" s="88"/>
      <c r="Q43" s="95"/>
    </row>
    <row r="44" spans="1:17" s="2" customFormat="1" ht="12" customHeight="1">
      <c r="D44" s="22"/>
      <c r="E44" s="22"/>
      <c r="J44" s="5"/>
      <c r="K44" s="5"/>
      <c r="L44" s="5"/>
      <c r="M44" s="5"/>
      <c r="N44" s="5"/>
      <c r="O44" s="5"/>
      <c r="P44" s="88"/>
      <c r="Q44" s="95"/>
    </row>
    <row r="45" spans="1:17" s="2" customFormat="1" ht="12" customHeight="1">
      <c r="D45" s="22"/>
      <c r="E45" s="22"/>
      <c r="J45" s="5"/>
      <c r="K45" s="5"/>
      <c r="L45" s="5"/>
      <c r="M45" s="5"/>
      <c r="N45" s="5"/>
      <c r="O45" s="5"/>
      <c r="P45" s="88"/>
      <c r="Q45" s="95"/>
    </row>
    <row r="46" spans="1:17" s="2" customFormat="1" ht="12" customHeight="1">
      <c r="D46" s="22"/>
      <c r="E46" s="22"/>
      <c r="J46" s="5"/>
      <c r="K46" s="5"/>
      <c r="L46" s="5"/>
      <c r="M46" s="5"/>
      <c r="N46" s="5"/>
      <c r="O46" s="5"/>
      <c r="P46" s="88"/>
      <c r="Q46" s="95"/>
    </row>
    <row r="47" spans="1:17" s="2" customFormat="1" ht="12" customHeight="1">
      <c r="D47" s="22"/>
      <c r="E47" s="22"/>
      <c r="J47" s="5"/>
      <c r="K47" s="5"/>
      <c r="L47" s="5"/>
      <c r="M47" s="5"/>
      <c r="N47" s="5"/>
      <c r="O47" s="5"/>
      <c r="P47" s="88"/>
      <c r="Q47" s="95"/>
    </row>
    <row r="48" spans="1:17" s="2" customFormat="1" ht="12" customHeight="1">
      <c r="D48" s="22"/>
      <c r="E48" s="22"/>
      <c r="J48" s="5"/>
      <c r="K48" s="5"/>
      <c r="L48" s="5"/>
      <c r="M48" s="5"/>
      <c r="N48" s="5"/>
      <c r="O48" s="5"/>
      <c r="P48" s="88"/>
      <c r="Q48" s="95"/>
    </row>
    <row r="49" spans="4:17" s="2" customFormat="1" ht="12" customHeight="1">
      <c r="D49" s="22"/>
      <c r="E49" s="22"/>
      <c r="J49" s="5"/>
      <c r="K49" s="5"/>
      <c r="L49" s="5"/>
      <c r="M49" s="5"/>
      <c r="N49" s="5"/>
      <c r="O49" s="5"/>
      <c r="P49" s="88"/>
      <c r="Q49" s="95"/>
    </row>
    <row r="50" spans="4:17" s="2" customFormat="1" ht="12" customHeight="1">
      <c r="D50" s="22"/>
      <c r="E50" s="22"/>
      <c r="J50" s="5"/>
      <c r="K50" s="5"/>
      <c r="L50" s="5"/>
      <c r="M50" s="5"/>
      <c r="N50" s="5"/>
      <c r="O50" s="5"/>
      <c r="P50" s="88"/>
      <c r="Q50" s="95"/>
    </row>
    <row r="51" spans="4:17" s="2" customFormat="1" ht="12" customHeight="1">
      <c r="D51" s="22"/>
      <c r="E51" s="22"/>
      <c r="J51" s="5"/>
      <c r="K51" s="5"/>
      <c r="L51" s="5"/>
      <c r="M51" s="5"/>
      <c r="N51" s="5"/>
      <c r="O51" s="5"/>
      <c r="P51" s="88"/>
      <c r="Q51" s="95"/>
    </row>
    <row r="52" spans="4:17" s="2" customFormat="1" ht="12" customHeight="1">
      <c r="D52" s="22"/>
      <c r="E52" s="22"/>
      <c r="J52" s="5"/>
      <c r="K52" s="5"/>
      <c r="L52" s="5"/>
      <c r="M52" s="5"/>
      <c r="N52" s="5"/>
      <c r="O52" s="5"/>
      <c r="P52" s="88"/>
      <c r="Q52" s="95"/>
    </row>
    <row r="53" spans="4:17" s="2" customFormat="1" ht="12" customHeight="1">
      <c r="D53" s="22"/>
      <c r="E53" s="22"/>
      <c r="J53" s="5"/>
      <c r="K53" s="5"/>
      <c r="L53" s="5"/>
      <c r="M53" s="5"/>
      <c r="N53" s="5"/>
      <c r="O53" s="5"/>
      <c r="P53" s="88"/>
      <c r="Q53" s="95"/>
    </row>
    <row r="54" spans="4:17" s="2" customFormat="1" ht="12" customHeight="1">
      <c r="D54" s="22"/>
      <c r="E54" s="22"/>
      <c r="J54" s="5"/>
      <c r="K54" s="5"/>
      <c r="L54" s="5"/>
      <c r="M54" s="5"/>
      <c r="N54" s="5"/>
      <c r="O54" s="5"/>
      <c r="P54" s="88"/>
      <c r="Q54" s="95"/>
    </row>
    <row r="55" spans="4:17" s="2" customFormat="1" ht="12" customHeight="1">
      <c r="D55" s="22"/>
      <c r="E55" s="22"/>
      <c r="J55" s="5"/>
      <c r="K55" s="5"/>
      <c r="L55" s="5"/>
      <c r="M55" s="5"/>
      <c r="N55" s="5"/>
      <c r="O55" s="5"/>
      <c r="P55" s="88"/>
      <c r="Q55" s="95"/>
    </row>
    <row r="56" spans="4:17" s="2" customFormat="1" ht="12" customHeight="1">
      <c r="D56" s="22"/>
      <c r="E56" s="22"/>
      <c r="J56" s="5"/>
      <c r="K56" s="5"/>
      <c r="L56" s="5"/>
      <c r="M56" s="5"/>
      <c r="N56" s="5"/>
      <c r="O56" s="5"/>
      <c r="P56" s="88"/>
      <c r="Q56" s="95"/>
    </row>
    <row r="57" spans="4:17" s="2" customFormat="1" ht="12" customHeight="1">
      <c r="D57" s="22"/>
      <c r="E57" s="22"/>
      <c r="J57" s="5"/>
      <c r="K57" s="5"/>
      <c r="L57" s="5"/>
      <c r="M57" s="5"/>
      <c r="N57" s="5"/>
      <c r="O57" s="5"/>
      <c r="P57" s="88"/>
      <c r="Q57" s="95"/>
    </row>
    <row r="58" spans="4:17" s="2" customFormat="1" ht="12" customHeight="1">
      <c r="D58" s="22"/>
      <c r="E58" s="22"/>
      <c r="J58" s="5"/>
      <c r="K58" s="5"/>
      <c r="L58" s="5"/>
      <c r="M58" s="5"/>
      <c r="N58" s="5"/>
      <c r="O58" s="5"/>
      <c r="P58" s="88"/>
      <c r="Q58" s="95"/>
    </row>
    <row r="59" spans="4:17" s="2" customFormat="1" ht="12" customHeight="1">
      <c r="D59" s="22"/>
      <c r="E59" s="22"/>
      <c r="J59" s="5"/>
      <c r="K59" s="5"/>
      <c r="L59" s="5"/>
      <c r="M59" s="5"/>
      <c r="N59" s="5"/>
      <c r="O59" s="5"/>
      <c r="P59" s="88"/>
      <c r="Q59" s="95"/>
    </row>
    <row r="60" spans="4:17" s="2" customFormat="1" ht="12" customHeight="1">
      <c r="D60" s="22"/>
      <c r="E60" s="22"/>
      <c r="J60" s="5"/>
      <c r="K60" s="5"/>
      <c r="L60" s="5"/>
      <c r="M60" s="5"/>
      <c r="N60" s="5"/>
      <c r="O60" s="5"/>
      <c r="P60" s="88"/>
      <c r="Q60" s="95"/>
    </row>
    <row r="61" spans="4:17" s="2" customFormat="1" ht="12" customHeight="1">
      <c r="D61" s="22"/>
      <c r="E61" s="22"/>
      <c r="J61" s="5"/>
      <c r="K61" s="5"/>
      <c r="L61" s="5"/>
      <c r="M61" s="5"/>
      <c r="N61" s="5"/>
      <c r="O61" s="5"/>
      <c r="P61" s="88"/>
      <c r="Q61" s="95"/>
    </row>
    <row r="62" spans="4:17" s="2" customFormat="1" ht="12" customHeight="1">
      <c r="D62" s="22"/>
      <c r="E62" s="22"/>
      <c r="J62" s="5"/>
      <c r="K62" s="5"/>
      <c r="L62" s="5"/>
      <c r="M62" s="5"/>
      <c r="N62" s="5"/>
      <c r="O62" s="5"/>
      <c r="P62" s="88"/>
      <c r="Q62" s="95"/>
    </row>
    <row r="63" spans="4:17" s="2" customFormat="1" ht="12" customHeight="1">
      <c r="D63" s="22"/>
      <c r="E63" s="22"/>
      <c r="J63" s="5"/>
      <c r="K63" s="5"/>
      <c r="L63" s="5"/>
      <c r="M63" s="5"/>
      <c r="N63" s="5"/>
      <c r="O63" s="5"/>
      <c r="P63" s="88"/>
      <c r="Q63" s="95"/>
    </row>
    <row r="64" spans="4:17" s="2" customFormat="1" ht="12" customHeight="1">
      <c r="D64" s="22"/>
      <c r="E64" s="22"/>
      <c r="J64" s="5"/>
      <c r="K64" s="5"/>
      <c r="L64" s="5"/>
      <c r="M64" s="5"/>
      <c r="N64" s="5"/>
      <c r="O64" s="5"/>
      <c r="P64" s="88"/>
      <c r="Q64" s="95"/>
    </row>
    <row r="65" spans="4:17" s="2" customFormat="1" ht="12" customHeight="1">
      <c r="D65" s="22"/>
      <c r="E65" s="22"/>
      <c r="J65" s="5"/>
      <c r="K65" s="5"/>
      <c r="L65" s="5"/>
      <c r="M65" s="5"/>
      <c r="N65" s="5"/>
      <c r="O65" s="5"/>
      <c r="P65" s="88"/>
      <c r="Q65" s="95"/>
    </row>
    <row r="66" spans="4:17" s="2" customFormat="1" ht="12" customHeight="1">
      <c r="D66" s="22"/>
      <c r="E66" s="22"/>
      <c r="J66" s="5"/>
      <c r="K66" s="5"/>
      <c r="L66" s="5"/>
      <c r="M66" s="5"/>
      <c r="N66" s="5"/>
      <c r="O66" s="5"/>
      <c r="P66" s="88"/>
      <c r="Q66" s="95"/>
    </row>
    <row r="67" spans="4:17" s="2" customFormat="1" ht="12" customHeight="1">
      <c r="D67" s="22"/>
      <c r="E67" s="22"/>
      <c r="J67" s="5"/>
      <c r="K67" s="5"/>
      <c r="L67" s="5"/>
      <c r="M67" s="5"/>
      <c r="N67" s="5"/>
      <c r="O67" s="5"/>
      <c r="P67" s="88"/>
      <c r="Q67" s="95"/>
    </row>
    <row r="68" spans="4:17" s="2" customFormat="1" ht="12" customHeight="1">
      <c r="D68" s="22"/>
      <c r="E68" s="22"/>
      <c r="J68" s="5"/>
      <c r="K68" s="5"/>
      <c r="L68" s="5"/>
      <c r="M68" s="5"/>
      <c r="N68" s="5"/>
      <c r="O68" s="5"/>
      <c r="P68" s="88"/>
      <c r="Q68" s="95"/>
    </row>
    <row r="69" spans="4:17" s="2" customFormat="1" ht="12" customHeight="1">
      <c r="D69" s="22"/>
      <c r="E69" s="22"/>
      <c r="J69" s="5"/>
      <c r="K69" s="5"/>
      <c r="L69" s="5"/>
      <c r="M69" s="5"/>
      <c r="N69" s="5"/>
      <c r="O69" s="5"/>
      <c r="P69" s="88"/>
      <c r="Q69" s="95"/>
    </row>
    <row r="70" spans="4:17" s="2" customFormat="1" ht="12" customHeight="1">
      <c r="D70" s="22"/>
      <c r="E70" s="22"/>
      <c r="J70" s="5"/>
      <c r="K70" s="5"/>
      <c r="L70" s="5"/>
      <c r="M70" s="5"/>
      <c r="N70" s="5"/>
      <c r="O70" s="5"/>
      <c r="P70" s="88"/>
      <c r="Q70" s="95"/>
    </row>
    <row r="71" spans="4:17" s="2" customFormat="1" ht="12" customHeight="1">
      <c r="D71" s="22"/>
      <c r="E71" s="22"/>
      <c r="J71" s="5"/>
      <c r="K71" s="5"/>
      <c r="L71" s="5"/>
      <c r="M71" s="5"/>
      <c r="N71" s="5"/>
      <c r="O71" s="5"/>
      <c r="P71" s="88"/>
      <c r="Q71" s="95"/>
    </row>
    <row r="72" spans="4:17" s="2" customFormat="1" ht="12" customHeight="1">
      <c r="D72" s="22"/>
      <c r="E72" s="22"/>
      <c r="J72" s="5"/>
      <c r="K72" s="5"/>
      <c r="L72" s="5"/>
      <c r="M72" s="5"/>
      <c r="N72" s="5"/>
      <c r="O72" s="5"/>
      <c r="P72" s="88"/>
      <c r="Q72" s="95"/>
    </row>
    <row r="73" spans="4:17" s="2" customFormat="1" ht="12" customHeight="1">
      <c r="D73" s="22"/>
      <c r="E73" s="22"/>
      <c r="J73" s="5"/>
      <c r="K73" s="5"/>
      <c r="L73" s="5"/>
      <c r="M73" s="5"/>
      <c r="N73" s="5"/>
      <c r="O73" s="5"/>
      <c r="P73" s="88"/>
      <c r="Q73" s="95"/>
    </row>
    <row r="74" spans="4:17" s="2" customFormat="1" ht="12" customHeight="1">
      <c r="D74" s="22"/>
      <c r="E74" s="22"/>
      <c r="J74" s="5"/>
      <c r="K74" s="5"/>
      <c r="L74" s="5"/>
      <c r="M74" s="5"/>
      <c r="N74" s="5"/>
      <c r="O74" s="5"/>
      <c r="P74" s="88"/>
      <c r="Q74" s="95"/>
    </row>
    <row r="75" spans="4:17" s="2" customFormat="1" ht="12" customHeight="1">
      <c r="D75" s="22"/>
      <c r="E75" s="22"/>
      <c r="J75" s="5"/>
      <c r="K75" s="5"/>
      <c r="L75" s="5"/>
      <c r="M75" s="5"/>
      <c r="N75" s="5"/>
      <c r="O75" s="5"/>
      <c r="P75" s="88"/>
      <c r="Q75" s="95"/>
    </row>
    <row r="76" spans="4:17" s="2" customFormat="1" ht="12" customHeight="1">
      <c r="D76" s="22"/>
      <c r="E76" s="22"/>
      <c r="J76" s="5"/>
      <c r="K76" s="5"/>
      <c r="L76" s="5"/>
      <c r="M76" s="5"/>
      <c r="N76" s="5"/>
      <c r="O76" s="5"/>
      <c r="P76" s="88"/>
      <c r="Q76" s="95"/>
    </row>
    <row r="77" spans="4:17" s="2" customFormat="1" ht="12" customHeight="1">
      <c r="D77" s="22"/>
      <c r="E77" s="22"/>
      <c r="J77" s="5"/>
      <c r="K77" s="5"/>
      <c r="L77" s="5"/>
      <c r="M77" s="5"/>
      <c r="N77" s="5"/>
      <c r="O77" s="5"/>
      <c r="P77" s="88"/>
      <c r="Q77" s="96"/>
    </row>
    <row r="78" spans="4:17" s="2" customFormat="1" ht="12" customHeight="1">
      <c r="D78" s="22"/>
      <c r="E78" s="22"/>
      <c r="J78" s="5"/>
      <c r="K78" s="5"/>
      <c r="L78" s="5"/>
      <c r="M78" s="5"/>
      <c r="N78" s="5"/>
      <c r="O78" s="5"/>
      <c r="P78" s="88"/>
      <c r="Q78" s="96"/>
    </row>
    <row r="79" spans="4:17" s="2" customFormat="1" ht="12" customHeight="1">
      <c r="D79" s="22"/>
      <c r="E79" s="22"/>
      <c r="J79" s="5"/>
      <c r="K79" s="5"/>
      <c r="L79" s="5"/>
      <c r="M79" s="5"/>
      <c r="N79" s="5"/>
      <c r="O79" s="5"/>
      <c r="P79" s="88"/>
      <c r="Q79" s="96"/>
    </row>
    <row r="80" spans="4:17" s="2" customFormat="1" ht="12" customHeight="1">
      <c r="D80" s="22"/>
      <c r="E80" s="22"/>
      <c r="J80" s="5"/>
      <c r="K80" s="5"/>
      <c r="L80" s="5"/>
      <c r="M80" s="5"/>
      <c r="N80" s="5"/>
      <c r="O80" s="5"/>
      <c r="P80" s="88"/>
      <c r="Q80" s="96"/>
    </row>
    <row r="81" spans="1:17" s="2" customFormat="1" ht="12" customHeight="1">
      <c r="A81"/>
      <c r="B81"/>
      <c r="C81"/>
      <c r="D81" s="23"/>
      <c r="E81" s="23"/>
      <c r="F81"/>
      <c r="G81"/>
      <c r="H81"/>
      <c r="I81"/>
      <c r="J81" s="19"/>
      <c r="K81" s="19"/>
      <c r="L81" s="19"/>
      <c r="M81" s="19"/>
      <c r="N81" s="19"/>
      <c r="O81" s="19"/>
      <c r="P81" s="90"/>
      <c r="Q81" s="96"/>
    </row>
    <row r="82" spans="1:17" s="2" customFormat="1" ht="12" customHeight="1">
      <c r="A82"/>
      <c r="B82"/>
      <c r="C82"/>
      <c r="D82" s="23"/>
      <c r="E82" s="23"/>
      <c r="F82"/>
      <c r="G82"/>
      <c r="H82"/>
      <c r="I82"/>
      <c r="J82" s="19"/>
      <c r="K82" s="19"/>
      <c r="L82" s="19"/>
      <c r="M82" s="19"/>
      <c r="N82" s="19"/>
      <c r="O82" s="19"/>
      <c r="P82" s="90"/>
      <c r="Q82" s="96"/>
    </row>
    <row r="83" spans="1:17" s="2" customFormat="1" ht="12" customHeight="1">
      <c r="A83"/>
      <c r="B83"/>
      <c r="C83"/>
      <c r="D83" s="23"/>
      <c r="E83" s="23"/>
      <c r="F83"/>
      <c r="G83"/>
      <c r="H83"/>
      <c r="I83"/>
      <c r="J83" s="19"/>
      <c r="K83" s="19"/>
      <c r="L83" s="19"/>
      <c r="M83" s="19"/>
      <c r="N83" s="19"/>
      <c r="O83" s="19"/>
      <c r="P83" s="90"/>
      <c r="Q83" s="96"/>
    </row>
    <row r="84" spans="1:17" s="2" customFormat="1" ht="12" customHeight="1">
      <c r="A84"/>
      <c r="B84"/>
      <c r="C84"/>
      <c r="D84" s="23"/>
      <c r="E84" s="23"/>
      <c r="F84"/>
      <c r="G84"/>
      <c r="H84"/>
      <c r="I84"/>
      <c r="J84" s="19"/>
      <c r="K84" s="19"/>
      <c r="L84" s="19"/>
      <c r="M84" s="19"/>
      <c r="N84" s="19"/>
      <c r="O84" s="19"/>
      <c r="P84" s="90"/>
      <c r="Q84" s="96"/>
    </row>
    <row r="85" spans="1:17" s="2" customFormat="1" ht="12" customHeight="1">
      <c r="A85"/>
      <c r="B85"/>
      <c r="C85"/>
      <c r="D85" s="23"/>
      <c r="E85" s="23"/>
      <c r="F85"/>
      <c r="G85"/>
      <c r="H85"/>
      <c r="I85"/>
      <c r="J85" s="19"/>
      <c r="K85" s="19"/>
      <c r="L85" s="19"/>
      <c r="M85" s="19"/>
      <c r="N85" s="19"/>
      <c r="O85" s="19"/>
      <c r="P85" s="90"/>
      <c r="Q85" s="96"/>
    </row>
    <row r="86" spans="1:17">
      <c r="Q86" s="96"/>
    </row>
    <row r="87" spans="1:17">
      <c r="Q87" s="96"/>
    </row>
    <row r="88" spans="1:17">
      <c r="Q88" s="96"/>
    </row>
    <row r="89" spans="1:17">
      <c r="Q89" s="96"/>
    </row>
    <row r="90" spans="1:17">
      <c r="Q90" s="96"/>
    </row>
    <row r="91" spans="1:17">
      <c r="Q91" s="96"/>
    </row>
    <row r="92" spans="1:17">
      <c r="Q92" s="96"/>
    </row>
    <row r="93" spans="1:17">
      <c r="Q93" s="96"/>
    </row>
    <row r="94" spans="1:17">
      <c r="Q94" s="96"/>
    </row>
    <row r="95" spans="1:17">
      <c r="Q95" s="96"/>
    </row>
    <row r="96" spans="1:17">
      <c r="Q96" s="96"/>
    </row>
    <row r="97" spans="17:17">
      <c r="Q97" s="96"/>
    </row>
    <row r="98" spans="17:17">
      <c r="Q98" s="96"/>
    </row>
    <row r="99" spans="17:17">
      <c r="Q99" s="96"/>
    </row>
    <row r="100" spans="17:17">
      <c r="Q100" s="96"/>
    </row>
    <row r="101" spans="17:17">
      <c r="Q101" s="96"/>
    </row>
    <row r="102" spans="17:17">
      <c r="Q102" s="96"/>
    </row>
    <row r="103" spans="17:17">
      <c r="Q103" s="96"/>
    </row>
    <row r="104" spans="17:17">
      <c r="Q104" s="96"/>
    </row>
    <row r="105" spans="17:17">
      <c r="Q105" s="96"/>
    </row>
    <row r="142" ht="12" customHeight="1"/>
    <row r="143" ht="12" customHeight="1"/>
    <row r="144" ht="12" customHeight="1"/>
    <row r="145" ht="12" customHeight="1"/>
    <row r="146" ht="12" customHeight="1"/>
    <row r="147" ht="12" customHeight="1"/>
    <row r="148" ht="12" customHeight="1"/>
    <row r="149" ht="12" customHeight="1"/>
    <row r="150" ht="12" customHeight="1"/>
    <row r="151" ht="12" customHeight="1"/>
    <row r="152" ht="12" customHeight="1"/>
    <row r="153" ht="12" customHeight="1"/>
    <row r="154" ht="12" customHeight="1"/>
    <row r="155" ht="12" customHeight="1"/>
    <row r="156" ht="12" customHeight="1"/>
    <row r="157" ht="12" customHeight="1"/>
    <row r="158" ht="12" customHeight="1"/>
    <row r="159" ht="12" customHeight="1"/>
    <row r="160" ht="12" customHeight="1"/>
    <row r="161" ht="12" customHeight="1"/>
    <row r="162" ht="12" customHeight="1"/>
    <row r="163" ht="12" customHeight="1"/>
    <row r="164" ht="12" customHeight="1"/>
    <row r="165" ht="12" customHeight="1"/>
    <row r="166" ht="12" customHeight="1"/>
    <row r="167" ht="12" customHeight="1"/>
    <row r="168" ht="12" customHeight="1"/>
    <row r="169" ht="12" customHeight="1"/>
    <row r="170" ht="12" customHeight="1"/>
    <row r="171" ht="12" customHeight="1"/>
    <row r="172" ht="12" customHeight="1"/>
    <row r="173" ht="12" customHeight="1"/>
    <row r="174" ht="12" customHeight="1"/>
    <row r="175" ht="12" customHeight="1"/>
    <row r="176" ht="12" customHeight="1"/>
    <row r="177" ht="12" customHeight="1"/>
    <row r="178" ht="12" customHeight="1"/>
    <row r="179" ht="12" customHeight="1"/>
    <row r="180" ht="12" customHeight="1"/>
    <row r="181" ht="12" customHeight="1"/>
    <row r="182" ht="12" customHeight="1"/>
    <row r="183" ht="12" customHeight="1"/>
    <row r="184" ht="12" customHeight="1"/>
    <row r="185" ht="12" customHeight="1"/>
    <row r="186" ht="12" customHeight="1"/>
    <row r="187" ht="12" customHeight="1"/>
    <row r="188" ht="12" customHeight="1"/>
    <row r="189" ht="12" customHeight="1"/>
    <row r="190" ht="12" customHeight="1"/>
    <row r="191" ht="12" customHeight="1"/>
  </sheetData>
  <mergeCells count="40">
    <mergeCell ref="D26:E26"/>
    <mergeCell ref="D38:E38"/>
    <mergeCell ref="H38:I38"/>
    <mergeCell ref="D32:E32"/>
    <mergeCell ref="D33:E33"/>
    <mergeCell ref="D27:E27"/>
    <mergeCell ref="D34:E34"/>
    <mergeCell ref="D35:E35"/>
    <mergeCell ref="H27:I27"/>
    <mergeCell ref="D28:E28"/>
    <mergeCell ref="D29:E29"/>
    <mergeCell ref="D30:E30"/>
    <mergeCell ref="D31:E31"/>
    <mergeCell ref="D36:E36"/>
    <mergeCell ref="D37:E37"/>
    <mergeCell ref="D16:E16"/>
    <mergeCell ref="D23:E23"/>
    <mergeCell ref="D24:E24"/>
    <mergeCell ref="D25:E25"/>
    <mergeCell ref="D17:E17"/>
    <mergeCell ref="D18:E18"/>
    <mergeCell ref="D19:E19"/>
    <mergeCell ref="D20:E20"/>
    <mergeCell ref="D21:E21"/>
    <mergeCell ref="D22:E22"/>
    <mergeCell ref="D12:E12"/>
    <mergeCell ref="D13:E13"/>
    <mergeCell ref="D14:E14"/>
    <mergeCell ref="H14:I14"/>
    <mergeCell ref="D15:E15"/>
    <mergeCell ref="D7:E7"/>
    <mergeCell ref="D8:E8"/>
    <mergeCell ref="D9:E9"/>
    <mergeCell ref="D10:E10"/>
    <mergeCell ref="D11:E11"/>
    <mergeCell ref="D1:E1"/>
    <mergeCell ref="D4:E4"/>
    <mergeCell ref="H4:I4"/>
    <mergeCell ref="D5:E5"/>
    <mergeCell ref="D6:E6"/>
  </mergeCells>
  <conditionalFormatting sqref="M5:M13 M28:M37 M15:M26">
    <cfRule type="cellIs" dxfId="368" priority="3" stopIfTrue="1" operator="lessThanOrEqual">
      <formula>$L5</formula>
    </cfRule>
    <cfRule type="cellIs" dxfId="367" priority="4" operator="greaterThan">
      <formula>L5</formula>
    </cfRule>
  </conditionalFormatting>
  <pageMargins left="0.7" right="0.7" top="0.75" bottom="0.75" header="0.3" footer="0.3"/>
  <pageSetup paperSize="3" fitToHeight="0" orientation="landscape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B50B7F4-68E8-4F05-B551-F2E49BA6D6C9}">
          <x14:formula1>
            <xm:f>Bolts!$A:$A</xm:f>
          </x14:formula1>
          <xm:sqref>C28:C37</xm:sqref>
        </x14:dataValidation>
        <x14:dataValidation type="list" allowBlank="1" showInputMessage="1" showErrorMessage="1" xr:uid="{8FCECC11-1877-418C-B725-2DB5316B67F8}">
          <x14:formula1>
            <xm:f>Purchased!$A:$A</xm:f>
          </x14:formula1>
          <xm:sqref>C15:C26</xm:sqref>
        </x14:dataValidation>
        <x14:dataValidation type="list" allowBlank="1" showInputMessage="1" showErrorMessage="1" xr:uid="{5D41EA26-CF47-49EF-86D6-41D4840D8B16}">
          <x14:formula1>
            <xm:f>Machined!$C:$C</xm:f>
          </x14:formula1>
          <xm:sqref>C5:C13</xm:sqref>
        </x14:dataValidation>
      </x14:dataValidations>
    </ext>
  </extLst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4BFAFF-8A48-44D0-BD65-650D8275DC4F}">
  <sheetPr codeName="Sheet76">
    <tabColor theme="3" tint="0.79998168889431442"/>
    <pageSetUpPr fitToPage="1"/>
  </sheetPr>
  <dimension ref="A1:Q191"/>
  <sheetViews>
    <sheetView zoomScaleNormal="100" workbookViewId="0">
      <selection activeCell="C20" sqref="C20"/>
    </sheetView>
  </sheetViews>
  <sheetFormatPr defaultColWidth="9.140625" defaultRowHeight="15"/>
  <cols>
    <col min="1" max="1" width="5.7109375" customWidth="1"/>
    <col min="2" max="2" width="5.42578125" bestFit="1" customWidth="1"/>
    <col min="3" max="3" width="30.7109375" customWidth="1"/>
    <col min="4" max="5" width="20.7109375" style="23" customWidth="1"/>
    <col min="6" max="6" width="16.85546875" bestFit="1" customWidth="1"/>
    <col min="7" max="7" width="9.7109375" customWidth="1"/>
    <col min="8" max="8" width="8.7109375" customWidth="1"/>
    <col min="9" max="9" width="20.7109375" customWidth="1"/>
    <col min="10" max="13" width="11.7109375" style="19" customWidth="1"/>
    <col min="14" max="14" width="11.85546875" style="19" bestFit="1" customWidth="1"/>
    <col min="15" max="15" width="7.7109375" style="19" customWidth="1"/>
    <col min="16" max="16" width="10.7109375" style="90" customWidth="1"/>
    <col min="17" max="17" width="10.7109375" style="97" customWidth="1"/>
  </cols>
  <sheetData>
    <row r="1" spans="1:17" s="55" customFormat="1" ht="12" customHeight="1">
      <c r="A1" s="68" t="s">
        <v>0</v>
      </c>
      <c r="B1" s="69"/>
      <c r="C1" s="69"/>
      <c r="D1" s="262" t="s">
        <v>1</v>
      </c>
      <c r="E1" s="263"/>
      <c r="F1" s="70"/>
      <c r="G1" s="69"/>
      <c r="H1" s="70"/>
      <c r="I1" s="71"/>
      <c r="J1" s="72"/>
      <c r="K1" s="72"/>
      <c r="L1" s="72"/>
      <c r="M1" s="72"/>
      <c r="N1" s="72"/>
      <c r="O1" s="72"/>
      <c r="P1" s="85"/>
      <c r="Q1" s="91"/>
    </row>
    <row r="2" spans="1:17" s="55" customFormat="1" ht="12" customHeight="1">
      <c r="A2" s="74" t="s">
        <v>48</v>
      </c>
      <c r="B2" s="58"/>
      <c r="C2" s="57" t="e">
        <f ca="1">VLOOKUP(E3,Assemblies!B:F,4,0)</f>
        <v>#VALUE!</v>
      </c>
      <c r="D2" s="75" t="s">
        <v>3</v>
      </c>
      <c r="E2" s="76" t="e">
        <f ca="1">'GF12'!E2</f>
        <v>#VALUE!</v>
      </c>
      <c r="F2" s="77" t="s">
        <v>4</v>
      </c>
      <c r="G2" s="58" t="str">
        <f>'GF12'!G2</f>
        <v>GH</v>
      </c>
      <c r="H2" s="77" t="s">
        <v>6</v>
      </c>
      <c r="I2" s="59">
        <f>'GF12'!I2</f>
        <v>44775</v>
      </c>
      <c r="J2" s="39"/>
      <c r="K2" s="40" t="s">
        <v>49</v>
      </c>
      <c r="L2" s="41" t="e">
        <f ca="1">VLOOKUP(C2,Assemblies!E:G,3,0)</f>
        <v>#VALUE!</v>
      </c>
      <c r="M2" s="78"/>
      <c r="N2" s="78"/>
      <c r="O2" s="78"/>
      <c r="P2" s="86"/>
      <c r="Q2" s="92"/>
    </row>
    <row r="3" spans="1:17" s="55" customFormat="1" ht="12" customHeight="1" thickBot="1">
      <c r="A3" s="74" t="s">
        <v>7</v>
      </c>
      <c r="B3" s="58"/>
      <c r="C3" s="57" t="e">
        <f ca="1">VLOOKUP(E3,Assemblies!B:F,5,0)</f>
        <v>#VALUE!</v>
      </c>
      <c r="D3" s="75" t="s">
        <v>50</v>
      </c>
      <c r="E3" s="76" t="e">
        <f ca="1">MID(CELL("filename",A1),FIND("]",CELL("filename",A1))+1,256)</f>
        <v>#VALUE!</v>
      </c>
      <c r="F3" s="77" t="s">
        <v>11</v>
      </c>
      <c r="G3" s="58" t="str">
        <f>'GF12'!G3</f>
        <v>GH</v>
      </c>
      <c r="H3" s="77" t="s">
        <v>6</v>
      </c>
      <c r="I3" s="59">
        <f>'GF12'!I3</f>
        <v>44775</v>
      </c>
      <c r="J3" s="78"/>
      <c r="K3" s="78"/>
      <c r="L3" s="78"/>
      <c r="M3" s="78"/>
      <c r="N3" s="78"/>
      <c r="O3" s="78"/>
      <c r="P3" s="86"/>
      <c r="Q3" s="92"/>
    </row>
    <row r="4" spans="1:17" s="56" customFormat="1" ht="12.75" customHeight="1" thickBot="1">
      <c r="A4" s="80" t="s">
        <v>12</v>
      </c>
      <c r="B4" s="81" t="s">
        <v>13</v>
      </c>
      <c r="C4" s="81" t="s">
        <v>14</v>
      </c>
      <c r="D4" s="270" t="s">
        <v>15</v>
      </c>
      <c r="E4" s="271"/>
      <c r="F4" s="104" t="s">
        <v>16</v>
      </c>
      <c r="G4" s="81" t="s">
        <v>17</v>
      </c>
      <c r="H4" s="260" t="s">
        <v>18</v>
      </c>
      <c r="I4" s="261"/>
      <c r="J4" s="81" t="s">
        <v>51</v>
      </c>
      <c r="K4" s="81" t="s">
        <v>20</v>
      </c>
      <c r="L4" s="81" t="s">
        <v>21</v>
      </c>
      <c r="M4" s="81" t="s">
        <v>52</v>
      </c>
      <c r="N4" s="81" t="s">
        <v>22</v>
      </c>
      <c r="O4" s="81" t="s">
        <v>53</v>
      </c>
      <c r="P4" s="107" t="s">
        <v>26</v>
      </c>
      <c r="Q4" s="82" t="s">
        <v>27</v>
      </c>
    </row>
    <row r="5" spans="1:17" s="2" customFormat="1" ht="12.75" customHeight="1">
      <c r="A5" s="127">
        <v>1</v>
      </c>
      <c r="B5" s="21">
        <v>4</v>
      </c>
      <c r="C5" s="108" t="s">
        <v>832</v>
      </c>
      <c r="D5" s="277" t="str">
        <f>VLOOKUP(C5,Machined!C:Q,2,0)</f>
        <v>Spout Rail Bracket</v>
      </c>
      <c r="E5" s="278"/>
      <c r="F5" s="131" t="str">
        <f>VLOOKUP(C5,Machined!C:R,7,0)</f>
        <v>6061-T6 Alum</v>
      </c>
      <c r="G5" s="131" t="str">
        <f>VLOOKUP(C5,Machined!C:R,10,0)</f>
        <v>XOMETRY</v>
      </c>
      <c r="H5" s="131" t="str">
        <f>VLOOKUP(C5,Machined!C:R,11,0)</f>
        <v xml:space="preserve">  </v>
      </c>
      <c r="I5" s="131"/>
      <c r="J5" s="42">
        <f>VLOOKUP(C5,Machined!C:R,12,0)</f>
        <v>45161</v>
      </c>
      <c r="K5" s="42">
        <f>VLOOKUP(C5,Machined!C:R,13,0)</f>
        <v>45161</v>
      </c>
      <c r="L5" s="42">
        <f>VLOOKUP(C5,Machined!C:R,14,0)</f>
        <v>45181</v>
      </c>
      <c r="M5" s="42">
        <f>VLOOKUP(C5,Machined!C:R,15,0)</f>
        <v>45181</v>
      </c>
      <c r="N5" s="43">
        <f>VLOOKUP(C5,Machined!C:R,16,0)</f>
        <v>55095</v>
      </c>
      <c r="O5" s="43" t="e">
        <f t="shared" ref="O5:O13" ca="1" si="0">B5*$L$2</f>
        <v>#VALUE!</v>
      </c>
      <c r="P5" s="47">
        <f>IFERROR(VLOOKUP(C5,Machined!C:F,3,0),"")</f>
        <v>37.89</v>
      </c>
      <c r="Q5" s="48">
        <f t="shared" ref="Q5:Q13" si="1">IFERROR(B5*P5,"")</f>
        <v>151.56</v>
      </c>
    </row>
    <row r="6" spans="1:17" s="2" customFormat="1" ht="12.75" customHeight="1">
      <c r="A6" s="127">
        <v>2</v>
      </c>
      <c r="B6" s="21">
        <v>2</v>
      </c>
      <c r="C6" s="108" t="s">
        <v>854</v>
      </c>
      <c r="D6" s="277" t="str">
        <f>VLOOKUP(C6,Machined!C:Q,2,0)</f>
        <v>Spout B-Side Rail 1</v>
      </c>
      <c r="E6" s="278"/>
      <c r="F6" s="131" t="str">
        <f>VLOOKUP(C6,Machined!C:R,7,0)</f>
        <v>AISI 304, 1/16 in</v>
      </c>
      <c r="G6" s="131" t="str">
        <f>VLOOKUP(C6,Machined!C:R,10,0)</f>
        <v>WESCO BHT</v>
      </c>
      <c r="H6" s="131" t="str">
        <f>VLOOKUP(C6,Machined!C:R,11,0)</f>
        <v xml:space="preserve">  </v>
      </c>
      <c r="I6" s="131"/>
      <c r="J6" s="42">
        <f>VLOOKUP(C6,Machined!C:R,12,0)</f>
        <v>45159</v>
      </c>
      <c r="K6" s="42">
        <f>VLOOKUP(C6,Machined!C:R,13,0)</f>
        <v>45161</v>
      </c>
      <c r="L6" s="42">
        <f>VLOOKUP(C6,Machined!C:R,14,0)</f>
        <v>45191</v>
      </c>
      <c r="M6" s="42">
        <f>VLOOKUP(C6,Machined!C:R,15,0)</f>
        <v>45191</v>
      </c>
      <c r="N6" s="43">
        <f>VLOOKUP(C6,Machined!C:R,16,0)</f>
        <v>55092</v>
      </c>
      <c r="O6" s="43" t="e">
        <f t="shared" ca="1" si="0"/>
        <v>#VALUE!</v>
      </c>
      <c r="P6" s="47">
        <f>IFERROR(VLOOKUP(C6,Machined!C:F,3,0),"")</f>
        <v>64.5</v>
      </c>
      <c r="Q6" s="48">
        <f t="shared" si="1"/>
        <v>129</v>
      </c>
    </row>
    <row r="7" spans="1:17" s="2" customFormat="1" ht="12.75" customHeight="1">
      <c r="A7" s="127">
        <v>3</v>
      </c>
      <c r="B7" s="21">
        <v>2</v>
      </c>
      <c r="C7" s="108" t="s">
        <v>855</v>
      </c>
      <c r="D7" s="277" t="str">
        <f>VLOOKUP(C7,Machined!C:Q,2,0)</f>
        <v>Spout B-Side Rail 2</v>
      </c>
      <c r="E7" s="278"/>
      <c r="F7" s="131" t="str">
        <f>VLOOKUP(C7,Machined!C:R,7,0)</f>
        <v>AISI 304, 1/16 in</v>
      </c>
      <c r="G7" s="131" t="str">
        <f>VLOOKUP(C7,Machined!C:R,10,0)</f>
        <v>WESCO BHT</v>
      </c>
      <c r="H7" s="131" t="str">
        <f>VLOOKUP(C7,Machined!C:R,11,0)</f>
        <v xml:space="preserve">  </v>
      </c>
      <c r="I7" s="131"/>
      <c r="J7" s="42">
        <f>VLOOKUP(C7,Machined!C:R,12,0)</f>
        <v>45159</v>
      </c>
      <c r="K7" s="42">
        <f>VLOOKUP(C7,Machined!C:R,13,0)</f>
        <v>45161</v>
      </c>
      <c r="L7" s="42">
        <f>VLOOKUP(C7,Machined!C:R,14,0)</f>
        <v>45191</v>
      </c>
      <c r="M7" s="42">
        <f>VLOOKUP(C7,Machined!C:R,15,0)</f>
        <v>45191</v>
      </c>
      <c r="N7" s="43">
        <f>VLOOKUP(C7,Machined!C:R,16,0)</f>
        <v>55092</v>
      </c>
      <c r="O7" s="43" t="e">
        <f t="shared" ca="1" si="0"/>
        <v>#VALUE!</v>
      </c>
      <c r="P7" s="47">
        <f>IFERROR(VLOOKUP(C7,Machined!C:F,3,0),"")</f>
        <v>63.92</v>
      </c>
      <c r="Q7" s="48">
        <f t="shared" si="1"/>
        <v>127.84</v>
      </c>
    </row>
    <row r="8" spans="1:17" s="2" customFormat="1" ht="12.75" customHeight="1">
      <c r="A8" s="127">
        <v>4</v>
      </c>
      <c r="B8" s="21">
        <v>2</v>
      </c>
      <c r="C8" s="108" t="s">
        <v>835</v>
      </c>
      <c r="D8" s="277" t="str">
        <f>VLOOKUP(C8,Machined!C:Q,2,0)</f>
        <v>Spout Rail-Center</v>
      </c>
      <c r="E8" s="278"/>
      <c r="F8" s="131" t="str">
        <f>VLOOKUP(C8,Machined!C:R,7,0)</f>
        <v>AISI 304, 1/16 in</v>
      </c>
      <c r="G8" s="131" t="str">
        <f>VLOOKUP(C8,Machined!C:R,10,0)</f>
        <v>WESCO BHT</v>
      </c>
      <c r="H8" s="131" t="str">
        <f>VLOOKUP(C8,Machined!C:R,11,0)</f>
        <v xml:space="preserve">  </v>
      </c>
      <c r="I8" s="131"/>
      <c r="J8" s="42">
        <f>VLOOKUP(C8,Machined!C:R,12,0)</f>
        <v>45159</v>
      </c>
      <c r="K8" s="42">
        <f>VLOOKUP(C8,Machined!C:R,13,0)</f>
        <v>45161</v>
      </c>
      <c r="L8" s="42">
        <f>VLOOKUP(C8,Machined!C:R,14,0)</f>
        <v>45191</v>
      </c>
      <c r="M8" s="42">
        <f>VLOOKUP(C8,Machined!C:R,15,0)</f>
        <v>45191</v>
      </c>
      <c r="N8" s="43">
        <f>VLOOKUP(C8,Machined!C:R,16,0)</f>
        <v>55092</v>
      </c>
      <c r="O8" s="43" t="e">
        <f t="shared" ca="1" si="0"/>
        <v>#VALUE!</v>
      </c>
      <c r="P8" s="47">
        <f>IFERROR(VLOOKUP(C8,Machined!C:F,3,0),"")</f>
        <v>41.74</v>
      </c>
      <c r="Q8" s="48">
        <f t="shared" si="1"/>
        <v>83.48</v>
      </c>
    </row>
    <row r="9" spans="1:17" s="2" customFormat="1" ht="12.75" customHeight="1">
      <c r="A9" s="127">
        <v>5</v>
      </c>
      <c r="B9" s="21">
        <v>2</v>
      </c>
      <c r="C9" s="108" t="s">
        <v>836</v>
      </c>
      <c r="D9" s="277" t="str">
        <f>VLOOKUP(C9,Machined!C:Q,2,0)</f>
        <v>Spout Rail Slide Bracket</v>
      </c>
      <c r="E9" s="278"/>
      <c r="F9" s="131" t="str">
        <f>VLOOKUP(C9,Machined!C:R,7,0)</f>
        <v>Delrin - White</v>
      </c>
      <c r="G9" s="131" t="str">
        <f>VLOOKUP(C9,Machined!C:R,10,0)</f>
        <v>NULINE</v>
      </c>
      <c r="H9" s="131" t="str">
        <f>VLOOKUP(C9,Machined!C:R,11,0)</f>
        <v xml:space="preserve">  </v>
      </c>
      <c r="I9" s="131"/>
      <c r="J9" s="42" t="str">
        <f>VLOOKUP(C9,Machined!C:R,12,0)</f>
        <v>N/A</v>
      </c>
      <c r="K9" s="42" t="str">
        <f>VLOOKUP(C9,Machined!C:R,13,0)</f>
        <v>N/A</v>
      </c>
      <c r="L9" s="42" t="str">
        <f>VLOOKUP(C9,Machined!C:R,14,0)</f>
        <v>N/A</v>
      </c>
      <c r="M9" s="42" t="str">
        <f>VLOOKUP(C9,Machined!C:R,15,0)</f>
        <v>N/A</v>
      </c>
      <c r="N9" s="43" t="str">
        <f>VLOOKUP(C9,Machined!C:R,16,0)</f>
        <v>N/A</v>
      </c>
      <c r="O9" s="43" t="e">
        <f t="shared" ca="1" si="0"/>
        <v>#VALUE!</v>
      </c>
      <c r="P9" s="47">
        <f>IFERROR(VLOOKUP(C9,Machined!C:F,3,0),"")</f>
        <v>0</v>
      </c>
      <c r="Q9" s="48">
        <f t="shared" si="1"/>
        <v>0</v>
      </c>
    </row>
    <row r="10" spans="1:17" s="2" customFormat="1" ht="12.75" customHeight="1">
      <c r="A10" s="127">
        <v>6</v>
      </c>
      <c r="B10" s="21">
        <v>1</v>
      </c>
      <c r="C10" s="108" t="s">
        <v>837</v>
      </c>
      <c r="D10" s="277" t="str">
        <f>VLOOKUP(C10,Machined!C:Q,2,0)</f>
        <v>Spout Rail Tie</v>
      </c>
      <c r="E10" s="278"/>
      <c r="F10" s="131" t="str">
        <f>VLOOKUP(C10,Machined!C:R,7,0)</f>
        <v>6061-T6 Alum</v>
      </c>
      <c r="G10" s="131" t="str">
        <f>VLOOKUP(C10,Machined!C:R,10,0)</f>
        <v>NULINE</v>
      </c>
      <c r="H10" s="131" t="str">
        <f>VLOOKUP(C10,Machined!C:R,11,0)</f>
        <v xml:space="preserve">  </v>
      </c>
      <c r="I10" s="131"/>
      <c r="J10" s="42" t="str">
        <f>VLOOKUP(C10,Machined!C:R,12,0)</f>
        <v>N/A</v>
      </c>
      <c r="K10" s="42" t="str">
        <f>VLOOKUP(C10,Machined!C:R,13,0)</f>
        <v>N/A</v>
      </c>
      <c r="L10" s="42" t="str">
        <f>VLOOKUP(C10,Machined!C:R,14,0)</f>
        <v>N/A</v>
      </c>
      <c r="M10" s="42" t="str">
        <f>VLOOKUP(C10,Machined!C:R,15,0)</f>
        <v>N/A</v>
      </c>
      <c r="N10" s="43" t="str">
        <f>VLOOKUP(C10,Machined!C:R,16,0)</f>
        <v>N/A</v>
      </c>
      <c r="O10" s="43" t="e">
        <f t="shared" ca="1" si="0"/>
        <v>#VALUE!</v>
      </c>
      <c r="P10" s="47">
        <f>IFERROR(VLOOKUP(C10,Machined!C:F,3,0),"")</f>
        <v>0</v>
      </c>
      <c r="Q10" s="48">
        <f t="shared" si="1"/>
        <v>0</v>
      </c>
    </row>
    <row r="11" spans="1:17" s="2" customFormat="1" ht="12.75" customHeight="1">
      <c r="A11" s="127">
        <v>7</v>
      </c>
      <c r="B11" s="21">
        <v>3</v>
      </c>
      <c r="C11" s="108" t="s">
        <v>838</v>
      </c>
      <c r="D11" s="277" t="str">
        <f>VLOOKUP(C11,Machined!C:Q,2,0)</f>
        <v>Extrusion Bracket</v>
      </c>
      <c r="E11" s="278"/>
      <c r="F11" s="131" t="str">
        <f>VLOOKUP(C11,Machined!C:R,7,0)</f>
        <v>6061-T6 Alum</v>
      </c>
      <c r="G11" s="131" t="str">
        <f>VLOOKUP(C11,Machined!C:R,10,0)</f>
        <v>XOMETRY</v>
      </c>
      <c r="H11" s="131" t="str">
        <f>VLOOKUP(C11,Machined!C:R,11,0)</f>
        <v xml:space="preserve">  </v>
      </c>
      <c r="I11" s="131"/>
      <c r="J11" s="42">
        <f>VLOOKUP(C11,Machined!C:R,12,0)</f>
        <v>45161</v>
      </c>
      <c r="K11" s="42">
        <f>VLOOKUP(C11,Machined!C:R,13,0)</f>
        <v>45161</v>
      </c>
      <c r="L11" s="42">
        <f>VLOOKUP(C11,Machined!C:R,14,0)</f>
        <v>45181</v>
      </c>
      <c r="M11" s="42">
        <f>VLOOKUP(C11,Machined!C:R,15,0)</f>
        <v>45181</v>
      </c>
      <c r="N11" s="43">
        <f>VLOOKUP(C11,Machined!C:R,16,0)</f>
        <v>55095</v>
      </c>
      <c r="O11" s="43" t="e">
        <f t="shared" ca="1" si="0"/>
        <v>#VALUE!</v>
      </c>
      <c r="P11" s="47">
        <f>IFERROR(VLOOKUP(C11,Machined!C:F,3,0),"")</f>
        <v>27.97</v>
      </c>
      <c r="Q11" s="48">
        <f t="shared" si="1"/>
        <v>83.91</v>
      </c>
    </row>
    <row r="12" spans="1:17" s="2" customFormat="1" ht="12.75" customHeight="1">
      <c r="A12" s="127">
        <v>8</v>
      </c>
      <c r="B12" s="21">
        <v>6</v>
      </c>
      <c r="C12" s="108" t="s">
        <v>839</v>
      </c>
      <c r="D12" s="277" t="str">
        <f>VLOOKUP(C12,Machined!C:Q,2,0)</f>
        <v>Conveyor Bracket</v>
      </c>
      <c r="E12" s="278"/>
      <c r="F12" s="131" t="str">
        <f>VLOOKUP(C12,Machined!C:R,7,0)</f>
        <v>6061-T6 Alum</v>
      </c>
      <c r="G12" s="131" t="str">
        <f>VLOOKUP(C12,Machined!C:R,10,0)</f>
        <v>XOMETRY</v>
      </c>
      <c r="H12" s="131" t="str">
        <f>VLOOKUP(C12,Machined!C:R,11,0)</f>
        <v xml:space="preserve">  </v>
      </c>
      <c r="I12" s="131"/>
      <c r="J12" s="42">
        <f>VLOOKUP(C12,Machined!C:R,12,0)</f>
        <v>45161</v>
      </c>
      <c r="K12" s="42">
        <f>VLOOKUP(C12,Machined!C:R,13,0)</f>
        <v>45161</v>
      </c>
      <c r="L12" s="42">
        <f>VLOOKUP(C12,Machined!C:R,14,0)</f>
        <v>45181</v>
      </c>
      <c r="M12" s="42">
        <f>VLOOKUP(C12,Machined!C:R,15,0)</f>
        <v>45181</v>
      </c>
      <c r="N12" s="43">
        <f>VLOOKUP(C12,Machined!C:R,16,0)</f>
        <v>55095</v>
      </c>
      <c r="O12" s="43" t="e">
        <f t="shared" ca="1" si="0"/>
        <v>#VALUE!</v>
      </c>
      <c r="P12" s="47">
        <f>IFERROR(VLOOKUP(C12,Machined!C:F,3,0),"")</f>
        <v>26.98</v>
      </c>
      <c r="Q12" s="48">
        <f t="shared" si="1"/>
        <v>161.88</v>
      </c>
    </row>
    <row r="13" spans="1:17" s="2" customFormat="1" ht="12.75" customHeight="1">
      <c r="A13" s="127">
        <v>9</v>
      </c>
      <c r="B13" s="21">
        <v>2</v>
      </c>
      <c r="C13" s="108" t="s">
        <v>840</v>
      </c>
      <c r="D13" s="277" t="str">
        <f>VLOOKUP(C13,Machined!C:Q,2,0)</f>
        <v>Fiber Optic Bracket</v>
      </c>
      <c r="E13" s="278"/>
      <c r="F13" s="131" t="str">
        <f>VLOOKUP(C13,Machined!C:R,7,0)</f>
        <v>6061-T6 Alum</v>
      </c>
      <c r="G13" s="131" t="str">
        <f>VLOOKUP(C13,Machined!C:R,10,0)</f>
        <v>XOMETRY</v>
      </c>
      <c r="H13" s="131" t="str">
        <f>VLOOKUP(C13,Machined!C:R,11,0)</f>
        <v xml:space="preserve">  </v>
      </c>
      <c r="I13" s="131"/>
      <c r="J13" s="42">
        <f>VLOOKUP(C13,Machined!C:R,12,0)</f>
        <v>45161</v>
      </c>
      <c r="K13" s="42">
        <f>VLOOKUP(C13,Machined!C:R,13,0)</f>
        <v>45161</v>
      </c>
      <c r="L13" s="42">
        <f>VLOOKUP(C13,Machined!C:R,14,0)</f>
        <v>45181</v>
      </c>
      <c r="M13" s="42">
        <f>VLOOKUP(C13,Machined!C:R,15,0)</f>
        <v>45181</v>
      </c>
      <c r="N13" s="43">
        <f>VLOOKUP(C13,Machined!C:R,16,0)</f>
        <v>55095</v>
      </c>
      <c r="O13" s="43" t="e">
        <f t="shared" ca="1" si="0"/>
        <v>#VALUE!</v>
      </c>
      <c r="P13" s="47">
        <f>IFERROR(VLOOKUP(C13,Machined!C:F,3,0),"")</f>
        <v>45.87</v>
      </c>
      <c r="Q13" s="48">
        <f t="shared" si="1"/>
        <v>91.74</v>
      </c>
    </row>
    <row r="14" spans="1:17" s="2" customFormat="1" ht="12.75" customHeight="1">
      <c r="A14" s="143"/>
      <c r="B14" s="26"/>
      <c r="C14" s="26"/>
      <c r="D14" s="272"/>
      <c r="E14" s="273"/>
      <c r="F14" s="26"/>
      <c r="G14" s="26"/>
      <c r="H14" s="274"/>
      <c r="I14" s="275"/>
      <c r="J14" s="27"/>
      <c r="K14" s="27"/>
      <c r="L14" s="27"/>
      <c r="M14" s="28"/>
      <c r="N14" s="29"/>
      <c r="O14" s="29"/>
      <c r="P14" s="141"/>
      <c r="Q14" s="142"/>
    </row>
    <row r="15" spans="1:17" s="2" customFormat="1" ht="12.75" customHeight="1">
      <c r="A15" s="4">
        <v>301</v>
      </c>
      <c r="B15" s="2">
        <v>1</v>
      </c>
      <c r="C15" s="114" t="s">
        <v>856</v>
      </c>
      <c r="D15" s="268" t="str">
        <f>VLOOKUP(C15,Purchased!A:B,2,0)</f>
        <v>Dorner End Drive Conveyor (B Side)
2200 Series end drive conveyor with V-guide belt
tracking, 2.75in (70mm) wide x 6.83ft (2082mm)
long, drive shaft in position C with type 01 - low
side profile on both sides and belt type 01, FDA
Accumulation with fused finger splice.</v>
      </c>
      <c r="E15" s="269"/>
      <c r="F15" s="112" t="str">
        <f>VLOOKUP(C15,Purchased!A:Q,9,0)</f>
        <v>Dorner</v>
      </c>
      <c r="G15" s="112" t="str">
        <f>VLOOKUP(C15,Purchased!A:Q,10,0)</f>
        <v>AAP</v>
      </c>
      <c r="H15" s="112" t="str">
        <f>VLOOKUP(C15,Purchased!A:Q,12,0)</f>
        <v xml:space="preserve"> </v>
      </c>
      <c r="I15" s="113"/>
      <c r="J15" s="44" t="str">
        <f>VLOOKUP(C15,Purchased!A:Q,13,0)</f>
        <v>N/A</v>
      </c>
      <c r="K15" s="44">
        <f>VLOOKUP(C15,Purchased!A:Q,14,0)</f>
        <v>45085</v>
      </c>
      <c r="L15" s="44">
        <f>VLOOKUP(C15,Purchased!A:Q,15,0)</f>
        <v>45110</v>
      </c>
      <c r="M15" s="44">
        <f>VLOOKUP(C15,Purchased!A:Q,16,0)</f>
        <v>45110</v>
      </c>
      <c r="N15" s="45">
        <f>VLOOKUP(C15,Purchased!A:Q,17,0)</f>
        <v>54924</v>
      </c>
      <c r="O15" s="45" t="e">
        <f t="shared" ref="O15:O35" ca="1" si="2">B15*$L$2</f>
        <v>#VALUE!</v>
      </c>
      <c r="P15" s="49">
        <f>IFERROR(VLOOKUP(C15,Purchased!A:E,3,FALSE),"")</f>
        <v>1347.7125000000001</v>
      </c>
      <c r="Q15" s="50">
        <f t="shared" ref="Q15:Q25" si="3">IFERROR(B15*P15,"")</f>
        <v>1347.7125000000001</v>
      </c>
    </row>
    <row r="16" spans="1:17" s="2" customFormat="1" ht="12" customHeight="1">
      <c r="A16" s="4">
        <f t="shared" ref="A16:A26" si="4">A15+1</f>
        <v>302</v>
      </c>
      <c r="B16" s="2">
        <v>1</v>
      </c>
      <c r="C16" s="114" t="s">
        <v>857</v>
      </c>
      <c r="D16" s="268" t="str">
        <f>VLOOKUP(C16,Purchased!A:B,2,0)</f>
        <v>Dorner Bottom Mount Pkg (B Side)
2200 Series Standard Load 90 Degree flush
Bottom mount package for a end drive conveyor,
mounted in the C position, 28:16 pulley ratio.
Uncrated weight = 6lb (3kg).</v>
      </c>
      <c r="E16" s="269"/>
      <c r="F16" s="112" t="str">
        <f>VLOOKUP(C16,Purchased!A:Q,9,0)</f>
        <v>Dorner</v>
      </c>
      <c r="G16" s="112" t="str">
        <f>VLOOKUP(C16,Purchased!A:Q,10,0)</f>
        <v>AAP</v>
      </c>
      <c r="H16" s="112" t="str">
        <f>VLOOKUP(C16,Purchased!A:Q,12,0)</f>
        <v xml:space="preserve"> </v>
      </c>
      <c r="I16" s="113"/>
      <c r="J16" s="44" t="str">
        <f>VLOOKUP(C16,Purchased!A:Q,13,0)</f>
        <v>N/A</v>
      </c>
      <c r="K16" s="44">
        <f>VLOOKUP(C16,Purchased!A:Q,14,0)</f>
        <v>45085</v>
      </c>
      <c r="L16" s="44">
        <f>VLOOKUP(C16,Purchased!A:Q,15,0)</f>
        <v>45110</v>
      </c>
      <c r="M16" s="44">
        <f>VLOOKUP(C16,Purchased!A:Q,16,0)</f>
        <v>45110</v>
      </c>
      <c r="N16" s="45">
        <f>VLOOKUP(C16,Purchased!A:Q,17,0)</f>
        <v>54924</v>
      </c>
      <c r="O16" s="45" t="e">
        <f t="shared" ca="1" si="2"/>
        <v>#VALUE!</v>
      </c>
      <c r="P16" s="49">
        <f>IFERROR(VLOOKUP(C16,Purchased!A:E,3,FALSE),"")</f>
        <v>409.81225000000001</v>
      </c>
      <c r="Q16" s="50">
        <f t="shared" si="3"/>
        <v>409.81225000000001</v>
      </c>
    </row>
    <row r="17" spans="1:17" s="2" customFormat="1" ht="12" customHeight="1">
      <c r="A17" s="4">
        <f t="shared" si="4"/>
        <v>303</v>
      </c>
      <c r="B17" s="2">
        <v>1</v>
      </c>
      <c r="C17" s="114" t="s">
        <v>843</v>
      </c>
      <c r="D17" s="268" t="str">
        <f>VLOOKUP(C17,Purchased!A:B,2,0)</f>
        <v>Dorner 2200 Series standard load 90 Degree (A and B Side)</v>
      </c>
      <c r="E17" s="269"/>
      <c r="F17" s="112" t="str">
        <f>VLOOKUP(C17,Purchased!A:Q,9,0)</f>
        <v>Dorner</v>
      </c>
      <c r="G17" s="112" t="str">
        <f>VLOOKUP(C17,Purchased!A:Q,10,0)</f>
        <v>AAP</v>
      </c>
      <c r="H17" s="112" t="str">
        <f>VLOOKUP(C17,Purchased!A:Q,12,0)</f>
        <v xml:space="preserve"> </v>
      </c>
      <c r="I17" s="113"/>
      <c r="J17" s="44" t="str">
        <f>VLOOKUP(C17,Purchased!A:Q,13,0)</f>
        <v>N/A</v>
      </c>
      <c r="K17" s="44">
        <f>VLOOKUP(C17,Purchased!A:Q,14,0)</f>
        <v>45085</v>
      </c>
      <c r="L17" s="44">
        <f>VLOOKUP(C17,Purchased!A:Q,15,0)</f>
        <v>45110</v>
      </c>
      <c r="M17" s="44">
        <f>VLOOKUP(C17,Purchased!A:Q,16,0)</f>
        <v>45110</v>
      </c>
      <c r="N17" s="45">
        <f>VLOOKUP(C17,Purchased!A:Q,17,0)</f>
        <v>54924</v>
      </c>
      <c r="O17" s="45" t="e">
        <f t="shared" ca="1" si="2"/>
        <v>#VALUE!</v>
      </c>
      <c r="P17" s="49">
        <f>IFERROR(VLOOKUP(C17,Purchased!A:E,3,FALSE),"")</f>
        <v>823.61540000000002</v>
      </c>
      <c r="Q17" s="50">
        <f t="shared" si="3"/>
        <v>823.61540000000002</v>
      </c>
    </row>
    <row r="18" spans="1:17" s="2" customFormat="1" ht="12" customHeight="1">
      <c r="A18" s="4">
        <f t="shared" si="4"/>
        <v>304</v>
      </c>
      <c r="B18" s="2">
        <v>12</v>
      </c>
      <c r="C18" s="114" t="s">
        <v>262</v>
      </c>
      <c r="D18" s="268" t="str">
        <f>VLOOKUP(C18,Purchased!A:B,2,0)</f>
        <v>BRX GOTO T-NUT 10 M6</v>
      </c>
      <c r="E18" s="269"/>
      <c r="F18" s="112" t="str">
        <f>VLOOKUP(C18,Purchased!A:Q,9,0)</f>
        <v>BRX</v>
      </c>
      <c r="G18" s="112" t="str">
        <f>VLOOKUP(C18,Purchased!A:Q,10,0)</f>
        <v>AAP</v>
      </c>
      <c r="H18" s="112" t="str">
        <f>VLOOKUP(C18,Purchased!A:Q,12,0)</f>
        <v xml:space="preserve">  </v>
      </c>
      <c r="I18" s="113"/>
      <c r="J18" s="44">
        <f>VLOOKUP(C18,Purchased!A:Q,13,0)</f>
        <v>45104</v>
      </c>
      <c r="K18" s="44">
        <f>VLOOKUP(C18,Purchased!A:Q,14,0)</f>
        <v>45105</v>
      </c>
      <c r="L18" s="44">
        <f>VLOOKUP(C18,Purchased!A:Q,15,0)</f>
        <v>45133</v>
      </c>
      <c r="M18" s="44">
        <f>VLOOKUP(C18,Purchased!A:Q,16,0)</f>
        <v>45133</v>
      </c>
      <c r="N18" s="45" t="str">
        <f>VLOOKUP(C18,Purchased!A:Q,17,0)</f>
        <v>54968, 55147, 55270</v>
      </c>
      <c r="O18" s="45" t="e">
        <f t="shared" ca="1" si="2"/>
        <v>#VALUE!</v>
      </c>
      <c r="P18" s="49">
        <f>IFERROR(VLOOKUP(C18,Purchased!A:E,3,FALSE),"")</f>
        <v>0.64290000000000003</v>
      </c>
      <c r="Q18" s="50">
        <f t="shared" si="3"/>
        <v>7.7148000000000003</v>
      </c>
    </row>
    <row r="19" spans="1:17" s="2" customFormat="1" ht="12" customHeight="1">
      <c r="A19" s="4">
        <f t="shared" si="4"/>
        <v>305</v>
      </c>
      <c r="B19" s="2">
        <v>8</v>
      </c>
      <c r="C19" s="114" t="s">
        <v>844</v>
      </c>
      <c r="D19" s="268" t="str">
        <f>VLOOKUP(C19,Purchased!A:B,2,0)</f>
        <v>DORNER 300150M M6x1.0 T-Bar</v>
      </c>
      <c r="E19" s="269"/>
      <c r="F19" s="112" t="str">
        <f>VLOOKUP(C19,Purchased!A:Q,9,0)</f>
        <v>DORNER</v>
      </c>
      <c r="G19" s="112" t="str">
        <f>VLOOKUP(C19,Purchased!A:Q,10,0)</f>
        <v>AAP</v>
      </c>
      <c r="H19" s="112" t="str">
        <f>VLOOKUP(C19,Purchased!A:Q,12,0)</f>
        <v xml:space="preserve"> </v>
      </c>
      <c r="I19" s="113"/>
      <c r="J19" s="44" t="str">
        <f>VLOOKUP(C19,Purchased!A:Q,13,0)</f>
        <v>N/A</v>
      </c>
      <c r="K19" s="44">
        <f>VLOOKUP(C19,Purchased!A:Q,14,0)</f>
        <v>45162</v>
      </c>
      <c r="L19" s="44">
        <f>VLOOKUP(C19,Purchased!A:Q,15,0)</f>
        <v>45184</v>
      </c>
      <c r="M19" s="44">
        <f>VLOOKUP(C19,Purchased!A:Q,16,0)</f>
        <v>45197</v>
      </c>
      <c r="N19" s="45">
        <f>VLOOKUP(C19,Purchased!A:Q,17,0)</f>
        <v>55073</v>
      </c>
      <c r="O19" s="45" t="e">
        <f t="shared" ca="1" si="2"/>
        <v>#VALUE!</v>
      </c>
      <c r="P19" s="49">
        <f>IFERROR(VLOOKUP(C19,Purchased!A:E,3,FALSE),"")</f>
        <v>9.8908000000000005</v>
      </c>
      <c r="Q19" s="50">
        <f t="shared" si="3"/>
        <v>79.126400000000004</v>
      </c>
    </row>
    <row r="20" spans="1:17" s="2" customFormat="1" ht="12" customHeight="1">
      <c r="A20" s="4">
        <f t="shared" si="4"/>
        <v>306</v>
      </c>
      <c r="B20" s="2">
        <v>6</v>
      </c>
      <c r="C20" s="114" t="s">
        <v>845</v>
      </c>
      <c r="D20" s="268" t="str">
        <f>VLOOKUP(C20,Purchased!A:B,2,0)</f>
        <v>Nylon Plastic Washer for M6 Screw Size, 6.5 mm ID, 17.8 mm OD, Off-White, 25pk</v>
      </c>
      <c r="E20" s="269"/>
      <c r="F20" s="112" t="str">
        <f>VLOOKUP(C20,Purchased!A:Q,9,0)</f>
        <v>MCM</v>
      </c>
      <c r="G20" s="112" t="str">
        <f>VLOOKUP(C20,Purchased!A:Q,10,0)</f>
        <v>MCM</v>
      </c>
      <c r="H20" s="112" t="str">
        <f>VLOOKUP(C20,Purchased!A:Q,12,0)</f>
        <v xml:space="preserve"> </v>
      </c>
      <c r="I20" s="113"/>
      <c r="J20" s="44" t="str">
        <f>VLOOKUP(C20,Purchased!A:Q,13,0)</f>
        <v>N/A</v>
      </c>
      <c r="K20" s="44">
        <f>VLOOKUP(C20,Purchased!A:Q,14,0)</f>
        <v>45162</v>
      </c>
      <c r="L20" s="44">
        <f>VLOOKUP(C20,Purchased!A:Q,15,0)</f>
        <v>45184</v>
      </c>
      <c r="M20" s="44">
        <f>VLOOKUP(C20,Purchased!A:Q,16,0)</f>
        <v>45163</v>
      </c>
      <c r="N20" s="45">
        <f>VLOOKUP(C20,Purchased!A:Q,17,0)</f>
        <v>55089</v>
      </c>
      <c r="O20" s="45" t="e">
        <f t="shared" ca="1" si="2"/>
        <v>#VALUE!</v>
      </c>
      <c r="P20" s="49">
        <f>IFERROR(VLOOKUP(C20,Purchased!A:E,3,FALSE),"")</f>
        <v>5.5</v>
      </c>
      <c r="Q20" s="50">
        <f t="shared" si="3"/>
        <v>33</v>
      </c>
    </row>
    <row r="21" spans="1:17" s="2" customFormat="1" ht="12" customHeight="1">
      <c r="A21" s="4">
        <f t="shared" si="4"/>
        <v>307</v>
      </c>
      <c r="B21" s="2">
        <v>8</v>
      </c>
      <c r="C21" s="114" t="s">
        <v>846</v>
      </c>
      <c r="D21" s="268" t="str">
        <f>VLOOKUP(C21,Purchased!A:B,2,0)</f>
        <v>316 Stainless Steel Ultra-Low-Profile Socket Head Screw M4 x 0.70 mm Thread, 8 mm Long</v>
      </c>
      <c r="E21" s="269"/>
      <c r="F21" s="112" t="str">
        <f>VLOOKUP(C21,Purchased!A:Q,9,0)</f>
        <v>MCM</v>
      </c>
      <c r="G21" s="112" t="str">
        <f>VLOOKUP(C21,Purchased!A:Q,10,0)</f>
        <v>MCM</v>
      </c>
      <c r="H21" s="112" t="str">
        <f>VLOOKUP(C21,Purchased!A:Q,12,0)</f>
        <v xml:space="preserve"> </v>
      </c>
      <c r="I21" s="113"/>
      <c r="J21" s="44" t="str">
        <f>VLOOKUP(C21,Purchased!A:Q,13,0)</f>
        <v>N/A</v>
      </c>
      <c r="K21" s="44">
        <f>VLOOKUP(C21,Purchased!A:Q,14,0)</f>
        <v>45162</v>
      </c>
      <c r="L21" s="44">
        <f>VLOOKUP(C21,Purchased!A:Q,15,0)</f>
        <v>45184</v>
      </c>
      <c r="M21" s="44">
        <f>VLOOKUP(C21,Purchased!A:Q,16,0)</f>
        <v>45163</v>
      </c>
      <c r="N21" s="45">
        <f>VLOOKUP(C21,Purchased!A:Q,17,0)</f>
        <v>55088</v>
      </c>
      <c r="O21" s="45" t="e">
        <f t="shared" ca="1" si="2"/>
        <v>#VALUE!</v>
      </c>
      <c r="P21" s="49">
        <f>IFERROR(VLOOKUP(C21,Purchased!A:E,3,FALSE),"")</f>
        <v>4.07</v>
      </c>
      <c r="Q21" s="50">
        <f t="shared" si="3"/>
        <v>32.56</v>
      </c>
    </row>
    <row r="22" spans="1:17" s="2" customFormat="1" ht="12" customHeight="1">
      <c r="A22" s="4">
        <f t="shared" si="4"/>
        <v>308</v>
      </c>
      <c r="B22" s="2">
        <v>8</v>
      </c>
      <c r="C22" s="114" t="s">
        <v>847</v>
      </c>
      <c r="D22" s="268" t="str">
        <f>VLOOKUP(C22,Purchased!A:B,2,0)</f>
        <v>Press-Fit Studs 18-8 Stainless Steel, M5 x 0.8 mm Thread, 15 mm Long, PEM Fhs-M5-15, 25pk</v>
      </c>
      <c r="E22" s="269"/>
      <c r="F22" s="112" t="str">
        <f>VLOOKUP(C22,Purchased!A:Q,9,0)</f>
        <v>MCM</v>
      </c>
      <c r="G22" s="112" t="str">
        <f>VLOOKUP(C22,Purchased!A:Q,10,0)</f>
        <v>MCM</v>
      </c>
      <c r="H22" s="112" t="str">
        <f>VLOOKUP(C22,Purchased!A:Q,12,0)</f>
        <v xml:space="preserve"> </v>
      </c>
      <c r="I22" s="113"/>
      <c r="J22" s="44" t="str">
        <f>VLOOKUP(C22,Purchased!A:Q,13,0)</f>
        <v>N/A</v>
      </c>
      <c r="K22" s="44">
        <f>VLOOKUP(C22,Purchased!A:Q,14,0)</f>
        <v>45162</v>
      </c>
      <c r="L22" s="44">
        <f>VLOOKUP(C22,Purchased!A:Q,15,0)</f>
        <v>45184</v>
      </c>
      <c r="M22" s="44">
        <f>VLOOKUP(C22,Purchased!A:Q,16,0)</f>
        <v>45163</v>
      </c>
      <c r="N22" s="45">
        <f>VLOOKUP(C22,Purchased!A:Q,17,0)</f>
        <v>55089</v>
      </c>
      <c r="O22" s="45" t="e">
        <f t="shared" ca="1" si="2"/>
        <v>#VALUE!</v>
      </c>
      <c r="P22" s="49">
        <f>IFERROR(VLOOKUP(C22,Purchased!A:E,3,FALSE),"")</f>
        <v>11.45</v>
      </c>
      <c r="Q22" s="50">
        <f t="shared" si="3"/>
        <v>91.6</v>
      </c>
    </row>
    <row r="23" spans="1:17" s="2" customFormat="1" ht="12" customHeight="1">
      <c r="A23" s="4">
        <f t="shared" si="4"/>
        <v>309</v>
      </c>
      <c r="B23" s="2">
        <v>8</v>
      </c>
      <c r="C23" s="114" t="s">
        <v>848</v>
      </c>
      <c r="D23" s="268" t="str">
        <f>VLOOKUP(C23,Purchased!A:B,2,0)</f>
        <v>Nylon Plastic Washer for M5 Screw Size, 5.3 mm ID, 11 mm OD, Off-White, 100pk</v>
      </c>
      <c r="E23" s="269"/>
      <c r="F23" s="112" t="str">
        <f>VLOOKUP(C23,Purchased!A:Q,9,0)</f>
        <v>MCM</v>
      </c>
      <c r="G23" s="112" t="str">
        <f>VLOOKUP(C23,Purchased!A:Q,10,0)</f>
        <v>MCM</v>
      </c>
      <c r="H23" s="112" t="str">
        <f>VLOOKUP(C23,Purchased!A:Q,12,0)</f>
        <v xml:space="preserve"> </v>
      </c>
      <c r="I23" s="113"/>
      <c r="J23" s="44" t="str">
        <f>VLOOKUP(C23,Purchased!A:Q,13,0)</f>
        <v>N/A</v>
      </c>
      <c r="K23" s="44">
        <f>VLOOKUP(C23,Purchased!A:Q,14,0)</f>
        <v>45162</v>
      </c>
      <c r="L23" s="44">
        <f>VLOOKUP(C23,Purchased!A:Q,15,0)</f>
        <v>45184</v>
      </c>
      <c r="M23" s="44">
        <f>VLOOKUP(C23,Purchased!A:Q,16,0)</f>
        <v>45163</v>
      </c>
      <c r="N23" s="45">
        <f>VLOOKUP(C23,Purchased!A:Q,17,0)</f>
        <v>55089</v>
      </c>
      <c r="O23" s="45" t="e">
        <f t="shared" ca="1" si="2"/>
        <v>#VALUE!</v>
      </c>
      <c r="P23" s="49">
        <f>IFERROR(VLOOKUP(C23,Purchased!A:E,3,FALSE),"")</f>
        <v>6.8</v>
      </c>
      <c r="Q23" s="50">
        <f t="shared" si="3"/>
        <v>54.4</v>
      </c>
    </row>
    <row r="24" spans="1:17" s="2" customFormat="1" ht="12" customHeight="1">
      <c r="A24" s="4">
        <f t="shared" si="4"/>
        <v>310</v>
      </c>
      <c r="B24" s="2">
        <v>8</v>
      </c>
      <c r="C24" s="114" t="s">
        <v>849</v>
      </c>
      <c r="D24" s="268" t="str">
        <f>VLOOKUP(C24,Purchased!A:B,2,0)</f>
        <v>18-8 Stainless Steel Nylon-Insert Locknut M5 x 0.8 mm Thread, 8 mm Wide, 5 mm High, 100pk</v>
      </c>
      <c r="E24" s="269"/>
      <c r="F24" s="112" t="str">
        <f>VLOOKUP(C24,Purchased!A:Q,9,0)</f>
        <v>MCM</v>
      </c>
      <c r="G24" s="112" t="str">
        <f>VLOOKUP(C24,Purchased!A:Q,10,0)</f>
        <v>MCM</v>
      </c>
      <c r="H24" s="112" t="str">
        <f>VLOOKUP(C24,Purchased!A:Q,12,0)</f>
        <v xml:space="preserve"> </v>
      </c>
      <c r="I24" s="113"/>
      <c r="J24" s="44" t="str">
        <f>VLOOKUP(C24,Purchased!A:Q,13,0)</f>
        <v>N/A</v>
      </c>
      <c r="K24" s="44">
        <f>VLOOKUP(C24,Purchased!A:Q,14,0)</f>
        <v>45162</v>
      </c>
      <c r="L24" s="44">
        <f>VLOOKUP(C24,Purchased!A:Q,15,0)</f>
        <v>45184</v>
      </c>
      <c r="M24" s="44">
        <f>VLOOKUP(C24,Purchased!A:Q,16,0)</f>
        <v>45163</v>
      </c>
      <c r="N24" s="45">
        <f>VLOOKUP(C24,Purchased!A:Q,17,0)</f>
        <v>55089</v>
      </c>
      <c r="O24" s="45" t="e">
        <f t="shared" ca="1" si="2"/>
        <v>#VALUE!</v>
      </c>
      <c r="P24" s="49">
        <f>IFERROR(VLOOKUP(C24,Purchased!A:E,3,FALSE),"")</f>
        <v>8.77</v>
      </c>
      <c r="Q24" s="50">
        <f t="shared" si="3"/>
        <v>70.16</v>
      </c>
    </row>
    <row r="25" spans="1:17" s="2" customFormat="1" ht="12" customHeight="1">
      <c r="A25" s="4">
        <f t="shared" si="4"/>
        <v>311</v>
      </c>
      <c r="B25" s="2">
        <v>1</v>
      </c>
      <c r="C25" s="114" t="s">
        <v>850</v>
      </c>
      <c r="D25" s="268" t="str">
        <f>VLOOKUP(C25,Purchased!A:B,2,0)</f>
        <v>KEYENCE FU-E40 Digital Fiber Optic Distance Sensor</v>
      </c>
      <c r="E25" s="269"/>
      <c r="F25" s="112" t="str">
        <f>VLOOKUP(C25,Purchased!A:Q,9,0)</f>
        <v>KEYENCE</v>
      </c>
      <c r="G25" s="112" t="str">
        <f>VLOOKUP(C25,Purchased!A:Q,10,0)</f>
        <v>KEYENCE</v>
      </c>
      <c r="H25" s="112" t="str">
        <f>VLOOKUP(C25,Purchased!A:Q,12,0)</f>
        <v xml:space="preserve"> </v>
      </c>
      <c r="I25" s="113"/>
      <c r="J25" s="44">
        <f>VLOOKUP(C25,Purchased!A:Q,13,0)</f>
        <v>45154</v>
      </c>
      <c r="K25" s="44">
        <f>VLOOKUP(C25,Purchased!A:Q,14,0)</f>
        <v>45161</v>
      </c>
      <c r="L25" s="44">
        <f>VLOOKUP(C25,Purchased!A:Q,15,0)</f>
        <v>45191</v>
      </c>
      <c r="M25" s="44">
        <f>VLOOKUP(C25,Purchased!A:Q,16,0)</f>
        <v>45184</v>
      </c>
      <c r="N25" s="45">
        <f>VLOOKUP(C25,Purchased!A:Q,17,0)</f>
        <v>55077</v>
      </c>
      <c r="O25" s="45" t="e">
        <f t="shared" ca="1" si="2"/>
        <v>#VALUE!</v>
      </c>
      <c r="P25" s="49">
        <f>IFERROR(VLOOKUP(C25,Purchased!A:E,3,FALSE),"")</f>
        <v>436</v>
      </c>
      <c r="Q25" s="50">
        <f t="shared" si="3"/>
        <v>436</v>
      </c>
    </row>
    <row r="26" spans="1:17" s="2" customFormat="1" ht="12" customHeight="1">
      <c r="A26" s="4">
        <f t="shared" si="4"/>
        <v>312</v>
      </c>
      <c r="B26" s="2">
        <v>4</v>
      </c>
      <c r="C26" s="114" t="s">
        <v>851</v>
      </c>
      <c r="D26" s="268" t="str">
        <f>VLOOKUP(C26,Purchased!A:B,2,0)</f>
        <v>DORNER M6 TWIST-IN T-NUT</v>
      </c>
      <c r="E26" s="269"/>
      <c r="F26" s="112" t="str">
        <f>VLOOKUP(C26,Purchased!A:Q,9,0)</f>
        <v>DORNER</v>
      </c>
      <c r="G26" s="112" t="str">
        <f>VLOOKUP(C26,Purchased!A:Q,10,0)</f>
        <v>AAP</v>
      </c>
      <c r="H26" s="112" t="str">
        <f>VLOOKUP(C26,Purchased!A:Q,12,0)</f>
        <v>50 IN NULINE STOCK</v>
      </c>
      <c r="I26" s="113"/>
      <c r="J26" s="44" t="str">
        <f>VLOOKUP(C26,Purchased!A:Q,13,0)</f>
        <v>N/A</v>
      </c>
      <c r="K26" s="44" t="str">
        <f>VLOOKUP(C26,Purchased!A:Q,14,0)</f>
        <v>N/A</v>
      </c>
      <c r="L26" s="44" t="str">
        <f>VLOOKUP(C26,Purchased!A:Q,15,0)</f>
        <v>N/A</v>
      </c>
      <c r="M26" s="44" t="str">
        <f>VLOOKUP(C26,Purchased!A:Q,16,0)</f>
        <v>N/A</v>
      </c>
      <c r="N26" s="45" t="str">
        <f>VLOOKUP(C26,Purchased!A:Q,17,0)</f>
        <v>N/A</v>
      </c>
      <c r="O26" s="45" t="e">
        <f t="shared" ref="O26" ca="1" si="5">B26*$L$2</f>
        <v>#VALUE!</v>
      </c>
      <c r="P26" s="49">
        <f>IFERROR(VLOOKUP(C26,Purchased!A:E,3,FALSE),"")</f>
        <v>0</v>
      </c>
      <c r="Q26" s="50">
        <f t="shared" ref="Q26" si="6">IFERROR(B26*P26,"")</f>
        <v>0</v>
      </c>
    </row>
    <row r="27" spans="1:17" s="2" customFormat="1" ht="12.75" customHeight="1">
      <c r="A27" s="25"/>
      <c r="B27" s="26"/>
      <c r="C27" s="26"/>
      <c r="D27" s="272"/>
      <c r="E27" s="273"/>
      <c r="F27" s="26"/>
      <c r="G27" s="26"/>
      <c r="H27" s="274"/>
      <c r="I27" s="275"/>
      <c r="J27" s="27"/>
      <c r="K27" s="27"/>
      <c r="L27" s="27"/>
      <c r="M27" s="28"/>
      <c r="N27" s="29"/>
      <c r="O27" s="29"/>
      <c r="P27" s="141"/>
      <c r="Q27" s="142"/>
    </row>
    <row r="28" spans="1:17" s="2" customFormat="1" ht="12.75" customHeight="1">
      <c r="A28" s="4">
        <v>501</v>
      </c>
      <c r="B28" s="2">
        <v>12</v>
      </c>
      <c r="C28" s="110" t="s">
        <v>287</v>
      </c>
      <c r="D28" s="268"/>
      <c r="E28" s="276"/>
      <c r="F28" s="112" t="str">
        <f>VLOOKUP(C28,Bolts!A:L,5,0)</f>
        <v xml:space="preserve">  </v>
      </c>
      <c r="G28" s="112" t="str">
        <f>VLOOKUP(C28,Bolts!A:L,6,0)</f>
        <v>Monroe Fasteners</v>
      </c>
      <c r="H28" s="112" t="str">
        <f>VLOOKUP(C28,Bolts!A:L,7,0)</f>
        <v xml:space="preserve">  </v>
      </c>
      <c r="I28" s="112"/>
      <c r="J28" s="44" t="str">
        <f>VLOOKUP(C28,Bolts!A:L,8,0)</f>
        <v xml:space="preserve"> </v>
      </c>
      <c r="K28" s="44" t="str">
        <f>VLOOKUP(C28,Bolts!A:L,9,0)</f>
        <v xml:space="preserve"> </v>
      </c>
      <c r="L28" s="44" t="str">
        <f>VLOOKUP(C28,Bolts!A:L,10,0)</f>
        <v xml:space="preserve"> </v>
      </c>
      <c r="M28" s="44" t="str">
        <f>VLOOKUP(C28,Bolts!A:L,11,0)</f>
        <v xml:space="preserve"> </v>
      </c>
      <c r="N28" s="45" t="str">
        <f>VLOOKUP(C28,Bolts!A:L,12,0)</f>
        <v xml:space="preserve"> </v>
      </c>
      <c r="O28" s="45" t="e">
        <f t="shared" ca="1" si="2"/>
        <v>#VALUE!</v>
      </c>
      <c r="P28" s="49" t="str">
        <f>IFERROR(VLOOKUP(C28,Bolts!A:B,2,FALSE),"")</f>
        <v xml:space="preserve"> </v>
      </c>
      <c r="Q28" s="50" t="str">
        <f t="shared" ref="Q28:Q35" si="7">IFERROR(B28*P28,"")</f>
        <v/>
      </c>
    </row>
    <row r="29" spans="1:17" s="2" customFormat="1" ht="12.75" customHeight="1">
      <c r="A29" s="4">
        <f t="shared" ref="A29:A37" si="8">A28+1</f>
        <v>502</v>
      </c>
      <c r="B29" s="2">
        <v>12</v>
      </c>
      <c r="C29" s="110" t="s">
        <v>342</v>
      </c>
      <c r="D29" s="268"/>
      <c r="E29" s="276"/>
      <c r="F29" s="112" t="str">
        <f>VLOOKUP(C29,Bolts!A:L,5,0)</f>
        <v xml:space="preserve">  </v>
      </c>
      <c r="G29" s="112" t="str">
        <f>VLOOKUP(C29,Bolts!A:L,6,0)</f>
        <v>Monroe Fasteners</v>
      </c>
      <c r="H29" s="112" t="str">
        <f>VLOOKUP(C29,Bolts!A:L,7,0)</f>
        <v xml:space="preserve">  </v>
      </c>
      <c r="I29" s="112"/>
      <c r="J29" s="44" t="str">
        <f>VLOOKUP(C29,Bolts!A:L,8,0)</f>
        <v xml:space="preserve"> </v>
      </c>
      <c r="K29" s="44" t="str">
        <f>VLOOKUP(C29,Bolts!A:L,9,0)</f>
        <v xml:space="preserve"> </v>
      </c>
      <c r="L29" s="44" t="str">
        <f>VLOOKUP(C29,Bolts!A:L,10,0)</f>
        <v xml:space="preserve"> </v>
      </c>
      <c r="M29" s="44" t="str">
        <f>VLOOKUP(C29,Bolts!A:L,11,0)</f>
        <v xml:space="preserve"> </v>
      </c>
      <c r="N29" s="45" t="str">
        <f>VLOOKUP(C29,Bolts!A:L,12,0)</f>
        <v xml:space="preserve"> </v>
      </c>
      <c r="O29" s="45" t="e">
        <f t="shared" ca="1" si="2"/>
        <v>#VALUE!</v>
      </c>
      <c r="P29" s="49" t="str">
        <f>IFERROR(VLOOKUP(C29,Bolts!A:B,2,FALSE),"")</f>
        <v xml:space="preserve"> </v>
      </c>
      <c r="Q29" s="50" t="str">
        <f t="shared" si="7"/>
        <v/>
      </c>
    </row>
    <row r="30" spans="1:17" s="2" customFormat="1" ht="12" customHeight="1">
      <c r="A30" s="4">
        <f t="shared" si="8"/>
        <v>503</v>
      </c>
      <c r="B30" s="2">
        <v>12</v>
      </c>
      <c r="C30" s="110" t="s">
        <v>344</v>
      </c>
      <c r="D30" s="268"/>
      <c r="E30" s="276"/>
      <c r="F30" s="112" t="str">
        <f>VLOOKUP(C30,Bolts!A:L,5,0)</f>
        <v xml:space="preserve">  </v>
      </c>
      <c r="G30" s="112" t="str">
        <f>VLOOKUP(C30,Bolts!A:L,6,0)</f>
        <v>Monroe Fasteners</v>
      </c>
      <c r="H30" s="112" t="str">
        <f>VLOOKUP(C30,Bolts!A:L,7,0)</f>
        <v xml:space="preserve">  </v>
      </c>
      <c r="I30" s="112"/>
      <c r="J30" s="44" t="str">
        <f>VLOOKUP(C30,Bolts!A:L,8,0)</f>
        <v xml:space="preserve"> </v>
      </c>
      <c r="K30" s="44" t="str">
        <f>VLOOKUP(C30,Bolts!A:L,9,0)</f>
        <v xml:space="preserve"> </v>
      </c>
      <c r="L30" s="44" t="str">
        <f>VLOOKUP(C30,Bolts!A:L,10,0)</f>
        <v xml:space="preserve"> </v>
      </c>
      <c r="M30" s="44" t="str">
        <f>VLOOKUP(C30,Bolts!A:L,11,0)</f>
        <v xml:space="preserve"> </v>
      </c>
      <c r="N30" s="45" t="str">
        <f>VLOOKUP(C30,Bolts!A:L,12,0)</f>
        <v xml:space="preserve"> </v>
      </c>
      <c r="O30" s="45" t="e">
        <f t="shared" ca="1" si="2"/>
        <v>#VALUE!</v>
      </c>
      <c r="P30" s="49" t="str">
        <f>IFERROR(VLOOKUP(C30,Bolts!A:B,2,FALSE),"")</f>
        <v xml:space="preserve"> </v>
      </c>
      <c r="Q30" s="50" t="str">
        <f t="shared" si="7"/>
        <v/>
      </c>
    </row>
    <row r="31" spans="1:17" s="2" customFormat="1" ht="12" customHeight="1">
      <c r="A31" s="4">
        <f t="shared" si="8"/>
        <v>504</v>
      </c>
      <c r="B31" s="2">
        <v>4</v>
      </c>
      <c r="C31" s="110" t="s">
        <v>827</v>
      </c>
      <c r="D31" s="268"/>
      <c r="E31" s="276"/>
      <c r="F31" s="112" t="str">
        <f>VLOOKUP(C31,Bolts!A:L,5,0)</f>
        <v xml:space="preserve">  </v>
      </c>
      <c r="G31" s="112" t="str">
        <f>VLOOKUP(C31,Bolts!A:L,6,0)</f>
        <v>Monroe Fasteners</v>
      </c>
      <c r="H31" s="112" t="str">
        <f>VLOOKUP(C31,Bolts!A:L,7,0)</f>
        <v xml:space="preserve">  </v>
      </c>
      <c r="I31" s="112"/>
      <c r="J31" s="44" t="str">
        <f>VLOOKUP(C31,Bolts!A:L,8,0)</f>
        <v xml:space="preserve"> </v>
      </c>
      <c r="K31" s="44" t="str">
        <f>VLOOKUP(C31,Bolts!A:L,9,0)</f>
        <v xml:space="preserve"> </v>
      </c>
      <c r="L31" s="44" t="str">
        <f>VLOOKUP(C31,Bolts!A:L,10,0)</f>
        <v xml:space="preserve"> </v>
      </c>
      <c r="M31" s="44" t="str">
        <f>VLOOKUP(C31,Bolts!A:L,11,0)</f>
        <v xml:space="preserve"> </v>
      </c>
      <c r="N31" s="45" t="str">
        <f>VLOOKUP(C31,Bolts!A:L,12,0)</f>
        <v xml:space="preserve"> </v>
      </c>
      <c r="O31" s="45" t="e">
        <f t="shared" ca="1" si="2"/>
        <v>#VALUE!</v>
      </c>
      <c r="P31" s="49" t="str">
        <f>IFERROR(VLOOKUP(C31,Bolts!A:B,2,FALSE),"")</f>
        <v xml:space="preserve"> </v>
      </c>
      <c r="Q31" s="50" t="str">
        <f t="shared" si="7"/>
        <v/>
      </c>
    </row>
    <row r="32" spans="1:17" s="2" customFormat="1" ht="12" customHeight="1">
      <c r="A32" s="4">
        <f t="shared" si="8"/>
        <v>505</v>
      </c>
      <c r="B32" s="2">
        <v>4</v>
      </c>
      <c r="C32" s="110" t="s">
        <v>852</v>
      </c>
      <c r="D32" s="268"/>
      <c r="E32" s="276"/>
      <c r="F32" s="112" t="str">
        <f>VLOOKUP(C32,Bolts!A:L,5,0)</f>
        <v xml:space="preserve">  </v>
      </c>
      <c r="G32" s="112" t="str">
        <f>VLOOKUP(C32,Bolts!A:L,6,0)</f>
        <v>Monroe Fasteners</v>
      </c>
      <c r="H32" s="112" t="str">
        <f>VLOOKUP(C32,Bolts!A:L,7,0)</f>
        <v xml:space="preserve">  </v>
      </c>
      <c r="I32" s="112"/>
      <c r="J32" s="44" t="str">
        <f>VLOOKUP(C32,Bolts!A:L,8,0)</f>
        <v xml:space="preserve"> </v>
      </c>
      <c r="K32" s="44" t="str">
        <f>VLOOKUP(C32,Bolts!A:L,9,0)</f>
        <v xml:space="preserve"> </v>
      </c>
      <c r="L32" s="44" t="str">
        <f>VLOOKUP(C32,Bolts!A:L,10,0)</f>
        <v xml:space="preserve"> </v>
      </c>
      <c r="M32" s="44" t="str">
        <f>VLOOKUP(C32,Bolts!A:L,11,0)</f>
        <v xml:space="preserve"> </v>
      </c>
      <c r="N32" s="45" t="str">
        <f>VLOOKUP(C32,Bolts!A:L,12,0)</f>
        <v xml:space="preserve"> </v>
      </c>
      <c r="O32" s="45" t="e">
        <f t="shared" ca="1" si="2"/>
        <v>#VALUE!</v>
      </c>
      <c r="P32" s="49" t="str">
        <f>IFERROR(VLOOKUP(C32,Bolts!A:B,2,FALSE),"")</f>
        <v xml:space="preserve"> </v>
      </c>
      <c r="Q32" s="50" t="str">
        <f t="shared" si="7"/>
        <v/>
      </c>
    </row>
    <row r="33" spans="1:17" s="2" customFormat="1" ht="12" customHeight="1">
      <c r="A33" s="4">
        <f t="shared" si="8"/>
        <v>506</v>
      </c>
      <c r="B33" s="2">
        <v>18</v>
      </c>
      <c r="C33" s="110" t="s">
        <v>278</v>
      </c>
      <c r="D33" s="268"/>
      <c r="E33" s="276"/>
      <c r="F33" s="112" t="str">
        <f>VLOOKUP(C33,Bolts!A:L,5,0)</f>
        <v xml:space="preserve">  </v>
      </c>
      <c r="G33" s="112" t="str">
        <f>VLOOKUP(C33,Bolts!A:L,6,0)</f>
        <v>Monroe Fasteners</v>
      </c>
      <c r="H33" s="112" t="str">
        <f>VLOOKUP(C33,Bolts!A:L,7,0)</f>
        <v xml:space="preserve">  </v>
      </c>
      <c r="I33" s="112"/>
      <c r="J33" s="44" t="str">
        <f>VLOOKUP(C33,Bolts!A:L,8,0)</f>
        <v xml:space="preserve"> </v>
      </c>
      <c r="K33" s="44" t="str">
        <f>VLOOKUP(C33,Bolts!A:L,9,0)</f>
        <v xml:space="preserve"> </v>
      </c>
      <c r="L33" s="44" t="str">
        <f>VLOOKUP(C33,Bolts!A:L,10,0)</f>
        <v xml:space="preserve"> </v>
      </c>
      <c r="M33" s="44" t="str">
        <f>VLOOKUP(C33,Bolts!A:L,11,0)</f>
        <v xml:space="preserve"> </v>
      </c>
      <c r="N33" s="45" t="str">
        <f>VLOOKUP(C33,Bolts!A:L,12,0)</f>
        <v xml:space="preserve"> </v>
      </c>
      <c r="O33" s="45" t="e">
        <f t="shared" ca="1" si="2"/>
        <v>#VALUE!</v>
      </c>
      <c r="P33" s="49" t="str">
        <f>IFERROR(VLOOKUP(C33,Bolts!A:B,2,FALSE),"")</f>
        <v xml:space="preserve"> </v>
      </c>
      <c r="Q33" s="50" t="str">
        <f t="shared" si="7"/>
        <v/>
      </c>
    </row>
    <row r="34" spans="1:17" s="2" customFormat="1" ht="12" customHeight="1">
      <c r="A34" s="4">
        <f t="shared" si="8"/>
        <v>507</v>
      </c>
      <c r="B34" s="2">
        <v>2</v>
      </c>
      <c r="C34" s="110" t="s">
        <v>853</v>
      </c>
      <c r="D34" s="268"/>
      <c r="E34" s="276"/>
      <c r="F34" s="112" t="str">
        <f>VLOOKUP(C34,Bolts!A:L,5,0)</f>
        <v xml:space="preserve">  </v>
      </c>
      <c r="G34" s="112" t="str">
        <f>VLOOKUP(C34,Bolts!A:L,6,0)</f>
        <v>Monroe Fasteners</v>
      </c>
      <c r="H34" s="112" t="str">
        <f>VLOOKUP(C34,Bolts!A:L,7,0)</f>
        <v xml:space="preserve">  </v>
      </c>
      <c r="I34" s="112"/>
      <c r="J34" s="44" t="str">
        <f>VLOOKUP(C34,Bolts!A:L,8,0)</f>
        <v xml:space="preserve"> </v>
      </c>
      <c r="K34" s="44" t="str">
        <f>VLOOKUP(C34,Bolts!A:L,9,0)</f>
        <v xml:space="preserve"> </v>
      </c>
      <c r="L34" s="44" t="str">
        <f>VLOOKUP(C34,Bolts!A:L,10,0)</f>
        <v xml:space="preserve"> </v>
      </c>
      <c r="M34" s="44" t="str">
        <f>VLOOKUP(C34,Bolts!A:L,11,0)</f>
        <v xml:space="preserve"> </v>
      </c>
      <c r="N34" s="45" t="str">
        <f>VLOOKUP(C34,Bolts!A:L,12,0)</f>
        <v xml:space="preserve"> </v>
      </c>
      <c r="O34" s="45" t="e">
        <f t="shared" ca="1" si="2"/>
        <v>#VALUE!</v>
      </c>
      <c r="P34" s="49" t="str">
        <f>IFERROR(VLOOKUP(C34,Bolts!A:B,2,FALSE),"")</f>
        <v xml:space="preserve"> </v>
      </c>
      <c r="Q34" s="50" t="str">
        <f t="shared" si="7"/>
        <v/>
      </c>
    </row>
    <row r="35" spans="1:17" s="2" customFormat="1" ht="12" customHeight="1">
      <c r="A35" s="4">
        <f t="shared" si="8"/>
        <v>508</v>
      </c>
      <c r="B35" s="2">
        <v>21</v>
      </c>
      <c r="C35" s="110" t="s">
        <v>289</v>
      </c>
      <c r="D35" s="268"/>
      <c r="E35" s="276"/>
      <c r="F35" s="112" t="str">
        <f>VLOOKUP(C35,Bolts!A:L,5,0)</f>
        <v xml:space="preserve">  </v>
      </c>
      <c r="G35" s="112" t="str">
        <f>VLOOKUP(C35,Bolts!A:L,6,0)</f>
        <v>Monroe Fasteners</v>
      </c>
      <c r="H35" s="112" t="str">
        <f>VLOOKUP(C35,Bolts!A:L,7,0)</f>
        <v xml:space="preserve">  </v>
      </c>
      <c r="I35" s="112"/>
      <c r="J35" s="44" t="str">
        <f>VLOOKUP(C35,Bolts!A:L,8,0)</f>
        <v xml:space="preserve"> </v>
      </c>
      <c r="K35" s="44" t="str">
        <f>VLOOKUP(C35,Bolts!A:L,9,0)</f>
        <v xml:space="preserve"> </v>
      </c>
      <c r="L35" s="44" t="str">
        <f>VLOOKUP(C35,Bolts!A:L,10,0)</f>
        <v xml:space="preserve"> </v>
      </c>
      <c r="M35" s="44" t="str">
        <f>VLOOKUP(C35,Bolts!A:L,11,0)</f>
        <v xml:space="preserve"> </v>
      </c>
      <c r="N35" s="45" t="str">
        <f>VLOOKUP(C35,Bolts!A:L,12,0)</f>
        <v xml:space="preserve"> </v>
      </c>
      <c r="O35" s="45" t="e">
        <f t="shared" ca="1" si="2"/>
        <v>#VALUE!</v>
      </c>
      <c r="P35" s="49" t="str">
        <f>IFERROR(VLOOKUP(C35,Bolts!A:B,2,FALSE),"")</f>
        <v xml:space="preserve"> </v>
      </c>
      <c r="Q35" s="50" t="str">
        <f t="shared" si="7"/>
        <v/>
      </c>
    </row>
    <row r="36" spans="1:17" s="2" customFormat="1" ht="12" customHeight="1">
      <c r="A36" s="4">
        <f t="shared" si="8"/>
        <v>509</v>
      </c>
      <c r="B36" s="2">
        <v>4</v>
      </c>
      <c r="C36" s="110" t="s">
        <v>267</v>
      </c>
      <c r="D36" s="268"/>
      <c r="E36" s="276"/>
      <c r="F36" s="112" t="str">
        <f>VLOOKUP(C36,Bolts!A:L,5,0)</f>
        <v xml:space="preserve">  </v>
      </c>
      <c r="G36" s="112" t="str">
        <f>VLOOKUP(C36,Bolts!A:L,6,0)</f>
        <v>Monroe Fasteners</v>
      </c>
      <c r="H36" s="112" t="str">
        <f>VLOOKUP(C36,Bolts!A:L,7,0)</f>
        <v xml:space="preserve">  </v>
      </c>
      <c r="I36" s="112"/>
      <c r="J36" s="44" t="str">
        <f>VLOOKUP(C36,Bolts!A:L,8,0)</f>
        <v xml:space="preserve"> </v>
      </c>
      <c r="K36" s="44" t="str">
        <f>VLOOKUP(C36,Bolts!A:L,9,0)</f>
        <v xml:space="preserve"> </v>
      </c>
      <c r="L36" s="44" t="str">
        <f>VLOOKUP(C36,Bolts!A:L,10,0)</f>
        <v xml:space="preserve"> </v>
      </c>
      <c r="M36" s="44" t="str">
        <f>VLOOKUP(C36,Bolts!A:L,11,0)</f>
        <v xml:space="preserve"> </v>
      </c>
      <c r="N36" s="45" t="str">
        <f>VLOOKUP(C36,Bolts!A:L,12,0)</f>
        <v xml:space="preserve"> </v>
      </c>
      <c r="O36" s="45" t="e">
        <f t="shared" ref="O36:O37" ca="1" si="9">B36*$L$2</f>
        <v>#VALUE!</v>
      </c>
      <c r="P36" s="49" t="str">
        <f>IFERROR(VLOOKUP(C36,Bolts!A:B,2,FALSE),"")</f>
        <v xml:space="preserve"> </v>
      </c>
      <c r="Q36" s="50" t="str">
        <f t="shared" ref="Q36:Q37" si="10">IFERROR(B36*P36,"")</f>
        <v/>
      </c>
    </row>
    <row r="37" spans="1:17" s="2" customFormat="1" ht="12" customHeight="1" thickBot="1">
      <c r="A37" s="4">
        <f t="shared" si="8"/>
        <v>510</v>
      </c>
      <c r="B37" s="2">
        <v>1</v>
      </c>
      <c r="C37" s="110" t="s">
        <v>312</v>
      </c>
      <c r="D37" s="268"/>
      <c r="E37" s="276"/>
      <c r="F37" s="112" t="str">
        <f>VLOOKUP(C37,Bolts!A:L,5,0)</f>
        <v xml:space="preserve">  </v>
      </c>
      <c r="G37" s="112" t="str">
        <f>VLOOKUP(C37,Bolts!A:L,6,0)</f>
        <v>Monroe Fasteners</v>
      </c>
      <c r="H37" s="112" t="str">
        <f>VLOOKUP(C37,Bolts!A:L,7,0)</f>
        <v xml:space="preserve">  </v>
      </c>
      <c r="I37" s="112"/>
      <c r="J37" s="44" t="str">
        <f>VLOOKUP(C37,Bolts!A:L,8,0)</f>
        <v xml:space="preserve"> </v>
      </c>
      <c r="K37" s="44" t="str">
        <f>VLOOKUP(C37,Bolts!A:L,9,0)</f>
        <v xml:space="preserve"> </v>
      </c>
      <c r="L37" s="44" t="str">
        <f>VLOOKUP(C37,Bolts!A:L,10,0)</f>
        <v xml:space="preserve"> </v>
      </c>
      <c r="M37" s="44" t="str">
        <f>VLOOKUP(C37,Bolts!A:L,11,0)</f>
        <v xml:space="preserve"> </v>
      </c>
      <c r="N37" s="45" t="str">
        <f>VLOOKUP(C37,Bolts!A:L,12,0)</f>
        <v xml:space="preserve"> </v>
      </c>
      <c r="O37" s="45" t="e">
        <f t="shared" ca="1" si="9"/>
        <v>#VALUE!</v>
      </c>
      <c r="P37" s="49" t="str">
        <f>IFERROR(VLOOKUP(C37,Bolts!A:B,2,FALSE),"")</f>
        <v xml:space="preserve"> </v>
      </c>
      <c r="Q37" s="50" t="str">
        <f t="shared" si="10"/>
        <v/>
      </c>
    </row>
    <row r="38" spans="1:17" s="2" customFormat="1" ht="12.75" customHeight="1" thickBot="1">
      <c r="A38" s="34"/>
      <c r="B38" s="35"/>
      <c r="C38" s="35"/>
      <c r="D38" s="256"/>
      <c r="E38" s="257"/>
      <c r="F38" s="35"/>
      <c r="G38" s="35"/>
      <c r="H38" s="294"/>
      <c r="I38" s="295"/>
      <c r="J38" s="36"/>
      <c r="K38" s="36"/>
      <c r="L38" s="36"/>
      <c r="M38" s="37"/>
      <c r="N38" s="38"/>
      <c r="O38" s="38"/>
      <c r="P38" s="89" t="s">
        <v>43</v>
      </c>
      <c r="Q38" s="94">
        <f>SUM(Q5:Q37)</f>
        <v>4215.1113500000001</v>
      </c>
    </row>
    <row r="39" spans="1:17" s="2" customFormat="1" ht="12" customHeight="1">
      <c r="D39" s="22"/>
      <c r="E39" s="22"/>
      <c r="J39" s="8"/>
      <c r="K39" s="8"/>
      <c r="L39" s="8"/>
      <c r="M39" s="8"/>
      <c r="N39" s="5"/>
      <c r="O39" s="5"/>
      <c r="P39" s="88"/>
      <c r="Q39" s="95"/>
    </row>
    <row r="40" spans="1:17" s="2" customFormat="1" ht="12" customHeight="1">
      <c r="D40" s="22"/>
      <c r="E40" s="22"/>
      <c r="J40" s="5"/>
      <c r="K40" s="5"/>
      <c r="L40" s="5"/>
      <c r="M40" s="5"/>
      <c r="N40" s="5"/>
      <c r="O40" s="5"/>
      <c r="P40" s="88"/>
      <c r="Q40" s="95"/>
    </row>
    <row r="41" spans="1:17" s="2" customFormat="1" ht="12" customHeight="1">
      <c r="B41" s="22"/>
      <c r="G41" s="5"/>
      <c r="H41" s="5"/>
      <c r="I41" s="5"/>
      <c r="J41" s="5"/>
      <c r="K41" s="5"/>
      <c r="L41" s="5"/>
      <c r="M41" s="88"/>
      <c r="N41" s="95"/>
    </row>
    <row r="42" spans="1:17" s="2" customFormat="1" ht="12" customHeight="1">
      <c r="B42" s="22"/>
      <c r="G42" s="5"/>
      <c r="H42" s="5"/>
      <c r="I42" s="5"/>
      <c r="J42" s="5"/>
      <c r="K42" s="5"/>
      <c r="L42" s="5"/>
      <c r="M42" s="88"/>
      <c r="N42" s="95"/>
    </row>
    <row r="43" spans="1:17" s="2" customFormat="1" ht="12" customHeight="1">
      <c r="B43" s="22"/>
      <c r="G43" s="5"/>
      <c r="H43" s="5"/>
      <c r="I43" s="5"/>
      <c r="J43" s="5"/>
      <c r="K43" s="5"/>
      <c r="L43" s="5"/>
      <c r="M43" s="88"/>
      <c r="N43" s="95"/>
    </row>
    <row r="44" spans="1:17" s="2" customFormat="1" ht="12" customHeight="1">
      <c r="B44" s="22"/>
      <c r="G44" s="5"/>
      <c r="H44" s="5"/>
      <c r="I44" s="5"/>
      <c r="J44" s="5"/>
      <c r="K44" s="5"/>
      <c r="L44" s="5"/>
      <c r="M44" s="88"/>
      <c r="N44" s="95"/>
    </row>
    <row r="45" spans="1:17" s="2" customFormat="1" ht="12" customHeight="1">
      <c r="B45" s="22"/>
      <c r="G45" s="5"/>
      <c r="H45" s="5"/>
      <c r="I45" s="5"/>
      <c r="J45" s="5"/>
      <c r="K45" s="5"/>
      <c r="L45" s="5"/>
      <c r="M45" s="88"/>
      <c r="N45" s="95"/>
    </row>
    <row r="46" spans="1:17" s="2" customFormat="1" ht="12" customHeight="1">
      <c r="B46" s="22"/>
      <c r="G46" s="5"/>
      <c r="H46" s="5"/>
      <c r="I46" s="5"/>
      <c r="J46" s="5"/>
      <c r="K46" s="5"/>
      <c r="L46" s="5"/>
      <c r="M46" s="88"/>
      <c r="N46" s="95"/>
    </row>
    <row r="47" spans="1:17" s="2" customFormat="1" ht="12" customHeight="1">
      <c r="B47" s="22"/>
      <c r="G47" s="5"/>
      <c r="H47" s="5"/>
      <c r="I47" s="5"/>
      <c r="J47" s="5"/>
      <c r="K47" s="5"/>
      <c r="L47" s="5"/>
      <c r="M47" s="88"/>
      <c r="N47" s="95"/>
    </row>
    <row r="48" spans="1:17" s="2" customFormat="1" ht="12" customHeight="1">
      <c r="B48" s="22"/>
      <c r="G48" s="5"/>
      <c r="H48" s="5"/>
      <c r="I48" s="5"/>
      <c r="J48" s="5"/>
      <c r="K48" s="5"/>
      <c r="L48" s="5"/>
      <c r="M48" s="88"/>
      <c r="N48" s="95"/>
    </row>
    <row r="49" spans="2:17" s="2" customFormat="1" ht="12" customHeight="1">
      <c r="B49" s="22"/>
      <c r="G49" s="5"/>
      <c r="H49" s="5"/>
      <c r="I49" s="5"/>
      <c r="J49" s="5"/>
      <c r="K49" s="5"/>
      <c r="L49" s="5"/>
      <c r="M49" s="88"/>
      <c r="N49" s="95"/>
    </row>
    <row r="50" spans="2:17" s="2" customFormat="1" ht="12" customHeight="1">
      <c r="B50" s="22"/>
      <c r="G50" s="5"/>
      <c r="H50" s="5"/>
      <c r="I50" s="5"/>
      <c r="J50" s="5"/>
      <c r="K50" s="5"/>
      <c r="L50" s="5"/>
      <c r="M50" s="88"/>
      <c r="N50" s="95"/>
    </row>
    <row r="51" spans="2:17" s="2" customFormat="1" ht="12" customHeight="1">
      <c r="B51" s="22"/>
      <c r="G51" s="5"/>
      <c r="H51" s="5"/>
      <c r="I51" s="5"/>
      <c r="J51" s="5"/>
      <c r="K51" s="5"/>
      <c r="L51" s="5"/>
      <c r="M51" s="88"/>
      <c r="N51" s="95"/>
    </row>
    <row r="52" spans="2:17" s="2" customFormat="1" ht="12" customHeight="1">
      <c r="B52" s="22"/>
      <c r="G52" s="5"/>
      <c r="H52" s="5"/>
      <c r="I52" s="5"/>
      <c r="J52" s="5"/>
      <c r="K52" s="5"/>
      <c r="L52" s="5"/>
      <c r="M52" s="88"/>
      <c r="N52" s="95"/>
    </row>
    <row r="53" spans="2:17" s="2" customFormat="1" ht="12" customHeight="1">
      <c r="B53" s="22"/>
      <c r="G53" s="5"/>
      <c r="H53" s="5"/>
      <c r="I53" s="5"/>
      <c r="J53" s="5"/>
      <c r="K53" s="5"/>
      <c r="L53" s="5"/>
      <c r="M53" s="88"/>
      <c r="N53" s="95"/>
    </row>
    <row r="54" spans="2:17" s="2" customFormat="1" ht="12" customHeight="1">
      <c r="D54" s="22"/>
      <c r="E54" s="22"/>
      <c r="J54" s="5"/>
      <c r="K54" s="5"/>
      <c r="L54" s="5"/>
      <c r="M54" s="5"/>
      <c r="N54" s="5"/>
      <c r="O54" s="5"/>
      <c r="P54" s="88"/>
      <c r="Q54" s="95"/>
    </row>
    <row r="55" spans="2:17" s="2" customFormat="1" ht="12" customHeight="1">
      <c r="D55" s="22"/>
      <c r="E55" s="22"/>
      <c r="J55" s="5"/>
      <c r="K55" s="5"/>
      <c r="L55" s="5"/>
      <c r="M55" s="5"/>
      <c r="N55" s="5"/>
      <c r="O55" s="5"/>
      <c r="P55" s="88"/>
      <c r="Q55" s="95"/>
    </row>
    <row r="56" spans="2:17" s="2" customFormat="1" ht="12" customHeight="1">
      <c r="D56" s="22"/>
      <c r="E56" s="22"/>
      <c r="J56" s="5"/>
      <c r="K56" s="5"/>
      <c r="L56" s="5"/>
      <c r="M56" s="5"/>
      <c r="N56" s="5"/>
      <c r="O56" s="5"/>
      <c r="P56" s="88"/>
      <c r="Q56" s="95"/>
    </row>
    <row r="57" spans="2:17" s="2" customFormat="1" ht="12" customHeight="1">
      <c r="D57" s="22"/>
      <c r="E57" s="22"/>
      <c r="J57" s="5"/>
      <c r="K57" s="5"/>
      <c r="L57" s="5"/>
      <c r="M57" s="5"/>
      <c r="N57" s="5"/>
      <c r="O57" s="5"/>
      <c r="P57" s="88"/>
      <c r="Q57" s="95"/>
    </row>
    <row r="58" spans="2:17" s="2" customFormat="1" ht="12" customHeight="1">
      <c r="D58" s="22"/>
      <c r="E58" s="22"/>
      <c r="J58" s="5"/>
      <c r="K58" s="5"/>
      <c r="L58" s="5"/>
      <c r="M58" s="5"/>
      <c r="N58" s="5"/>
      <c r="O58" s="5"/>
      <c r="P58" s="88"/>
      <c r="Q58" s="95"/>
    </row>
    <row r="59" spans="2:17" s="2" customFormat="1" ht="12" customHeight="1">
      <c r="D59" s="22"/>
      <c r="E59" s="22"/>
      <c r="J59" s="5"/>
      <c r="K59" s="5"/>
      <c r="L59" s="5"/>
      <c r="M59" s="5"/>
      <c r="N59" s="5"/>
      <c r="O59" s="5"/>
      <c r="P59" s="88"/>
      <c r="Q59" s="95"/>
    </row>
    <row r="60" spans="2:17" s="2" customFormat="1" ht="12" customHeight="1">
      <c r="D60" s="22"/>
      <c r="E60" s="22"/>
      <c r="J60" s="5"/>
      <c r="K60" s="5"/>
      <c r="L60" s="5"/>
      <c r="M60" s="5"/>
      <c r="N60" s="5"/>
      <c r="O60" s="5"/>
      <c r="P60" s="88"/>
      <c r="Q60" s="95"/>
    </row>
    <row r="61" spans="2:17" s="2" customFormat="1" ht="12" customHeight="1">
      <c r="D61" s="22"/>
      <c r="E61" s="22"/>
      <c r="J61" s="5"/>
      <c r="K61" s="5"/>
      <c r="L61" s="5"/>
      <c r="M61" s="5"/>
      <c r="N61" s="5"/>
      <c r="O61" s="5"/>
      <c r="P61" s="88"/>
      <c r="Q61" s="95"/>
    </row>
    <row r="62" spans="2:17" s="2" customFormat="1" ht="12" customHeight="1">
      <c r="D62" s="22"/>
      <c r="E62" s="22"/>
      <c r="J62" s="5"/>
      <c r="K62" s="5"/>
      <c r="L62" s="5"/>
      <c r="M62" s="5"/>
      <c r="N62" s="5"/>
      <c r="O62" s="5"/>
      <c r="P62" s="88"/>
      <c r="Q62" s="95"/>
    </row>
    <row r="63" spans="2:17" s="2" customFormat="1" ht="12" customHeight="1">
      <c r="D63" s="22"/>
      <c r="E63" s="22"/>
      <c r="J63" s="5"/>
      <c r="K63" s="5"/>
      <c r="L63" s="5"/>
      <c r="M63" s="5"/>
      <c r="N63" s="5"/>
      <c r="O63" s="5"/>
      <c r="P63" s="88"/>
      <c r="Q63" s="95"/>
    </row>
    <row r="64" spans="2:17" s="2" customFormat="1" ht="12" customHeight="1">
      <c r="D64" s="22"/>
      <c r="E64" s="22"/>
      <c r="J64" s="5"/>
      <c r="K64" s="5"/>
      <c r="L64" s="5"/>
      <c r="M64" s="5"/>
      <c r="N64" s="5"/>
      <c r="O64" s="5"/>
      <c r="P64" s="88"/>
      <c r="Q64" s="95"/>
    </row>
    <row r="65" spans="4:17" s="2" customFormat="1" ht="12" customHeight="1">
      <c r="D65" s="22"/>
      <c r="E65" s="22"/>
      <c r="J65" s="5"/>
      <c r="K65" s="5"/>
      <c r="L65" s="5"/>
      <c r="M65" s="5"/>
      <c r="N65" s="5"/>
      <c r="O65" s="5"/>
      <c r="P65" s="88"/>
      <c r="Q65" s="95"/>
    </row>
    <row r="66" spans="4:17" s="2" customFormat="1" ht="12" customHeight="1">
      <c r="D66" s="22"/>
      <c r="E66" s="22"/>
      <c r="J66" s="5"/>
      <c r="K66" s="5"/>
      <c r="L66" s="5"/>
      <c r="M66" s="5"/>
      <c r="N66" s="5"/>
      <c r="O66" s="5"/>
      <c r="P66" s="88"/>
      <c r="Q66" s="95"/>
    </row>
    <row r="67" spans="4:17" s="2" customFormat="1" ht="12" customHeight="1">
      <c r="D67" s="22"/>
      <c r="E67" s="22"/>
      <c r="J67" s="5"/>
      <c r="K67" s="5"/>
      <c r="L67" s="5"/>
      <c r="M67" s="5"/>
      <c r="N67" s="5"/>
      <c r="O67" s="5"/>
      <c r="P67" s="88"/>
      <c r="Q67" s="95"/>
    </row>
    <row r="68" spans="4:17" s="2" customFormat="1" ht="12" customHeight="1">
      <c r="D68" s="22"/>
      <c r="E68" s="22"/>
      <c r="J68" s="5"/>
      <c r="K68" s="5"/>
      <c r="L68" s="5"/>
      <c r="M68" s="5"/>
      <c r="N68" s="5"/>
      <c r="O68" s="5"/>
      <c r="P68" s="88"/>
      <c r="Q68" s="95"/>
    </row>
    <row r="69" spans="4:17" s="2" customFormat="1" ht="12" customHeight="1">
      <c r="D69" s="22"/>
      <c r="E69" s="22"/>
      <c r="J69" s="5"/>
      <c r="K69" s="5"/>
      <c r="L69" s="5"/>
      <c r="M69" s="5"/>
      <c r="N69" s="5"/>
      <c r="O69" s="5"/>
      <c r="P69" s="88"/>
      <c r="Q69" s="95"/>
    </row>
    <row r="70" spans="4:17" s="2" customFormat="1" ht="12" customHeight="1">
      <c r="D70" s="22"/>
      <c r="E70" s="22"/>
      <c r="J70" s="5"/>
      <c r="K70" s="5"/>
      <c r="L70" s="5"/>
      <c r="M70" s="5"/>
      <c r="N70" s="5"/>
      <c r="O70" s="5"/>
      <c r="P70" s="88"/>
      <c r="Q70" s="95"/>
    </row>
    <row r="71" spans="4:17" s="2" customFormat="1" ht="12" customHeight="1">
      <c r="D71" s="22"/>
      <c r="E71" s="22"/>
      <c r="J71" s="5"/>
      <c r="K71" s="5"/>
      <c r="L71" s="5"/>
      <c r="M71" s="5"/>
      <c r="N71" s="5"/>
      <c r="O71" s="5"/>
      <c r="P71" s="88"/>
      <c r="Q71" s="95"/>
    </row>
    <row r="72" spans="4:17" s="2" customFormat="1" ht="12" customHeight="1">
      <c r="D72" s="22"/>
      <c r="E72" s="22"/>
      <c r="J72" s="5"/>
      <c r="K72" s="5"/>
      <c r="L72" s="5"/>
      <c r="M72" s="5"/>
      <c r="N72" s="5"/>
      <c r="O72" s="5"/>
      <c r="P72" s="88"/>
      <c r="Q72" s="95"/>
    </row>
    <row r="73" spans="4:17" s="2" customFormat="1" ht="12" customHeight="1">
      <c r="D73" s="22"/>
      <c r="E73" s="22"/>
      <c r="J73" s="5"/>
      <c r="K73" s="5"/>
      <c r="L73" s="5"/>
      <c r="M73" s="5"/>
      <c r="N73" s="5"/>
      <c r="O73" s="5"/>
      <c r="P73" s="88"/>
      <c r="Q73" s="95"/>
    </row>
    <row r="74" spans="4:17" s="2" customFormat="1" ht="12" customHeight="1">
      <c r="D74" s="22"/>
      <c r="E74" s="22"/>
      <c r="J74" s="5"/>
      <c r="K74" s="5"/>
      <c r="L74" s="5"/>
      <c r="M74" s="5"/>
      <c r="N74" s="5"/>
      <c r="O74" s="5"/>
      <c r="P74" s="88"/>
      <c r="Q74" s="95"/>
    </row>
    <row r="75" spans="4:17" s="2" customFormat="1" ht="12" customHeight="1">
      <c r="D75" s="22"/>
      <c r="E75" s="22"/>
      <c r="J75" s="5"/>
      <c r="K75" s="5"/>
      <c r="L75" s="5"/>
      <c r="M75" s="5"/>
      <c r="N75" s="5"/>
      <c r="O75" s="5"/>
      <c r="P75" s="88"/>
      <c r="Q75" s="95"/>
    </row>
    <row r="76" spans="4:17" s="2" customFormat="1" ht="12" customHeight="1">
      <c r="D76" s="22"/>
      <c r="E76" s="22"/>
      <c r="J76" s="5"/>
      <c r="K76" s="5"/>
      <c r="L76" s="5"/>
      <c r="M76" s="5"/>
      <c r="N76" s="5"/>
      <c r="O76" s="5"/>
      <c r="P76" s="88"/>
      <c r="Q76" s="95"/>
    </row>
    <row r="77" spans="4:17" s="2" customFormat="1" ht="12" customHeight="1">
      <c r="D77" s="22"/>
      <c r="E77" s="22"/>
      <c r="J77" s="5"/>
      <c r="K77" s="5"/>
      <c r="L77" s="5"/>
      <c r="M77" s="5"/>
      <c r="N77" s="5"/>
      <c r="O77" s="5"/>
      <c r="P77" s="88"/>
      <c r="Q77" s="96"/>
    </row>
    <row r="78" spans="4:17" s="2" customFormat="1" ht="12" customHeight="1">
      <c r="D78" s="22"/>
      <c r="E78" s="22"/>
      <c r="J78" s="5"/>
      <c r="K78" s="5"/>
      <c r="L78" s="5"/>
      <c r="M78" s="5"/>
      <c r="N78" s="5"/>
      <c r="O78" s="5"/>
      <c r="P78" s="88"/>
      <c r="Q78" s="96"/>
    </row>
    <row r="79" spans="4:17" s="2" customFormat="1" ht="12" customHeight="1">
      <c r="D79" s="22"/>
      <c r="E79" s="22"/>
      <c r="J79" s="5"/>
      <c r="K79" s="5"/>
      <c r="L79" s="5"/>
      <c r="M79" s="5"/>
      <c r="N79" s="5"/>
      <c r="O79" s="5"/>
      <c r="P79" s="88"/>
      <c r="Q79" s="96"/>
    </row>
    <row r="80" spans="4:17" s="2" customFormat="1" ht="12" customHeight="1">
      <c r="D80" s="22"/>
      <c r="E80" s="22"/>
      <c r="J80" s="5"/>
      <c r="K80" s="5"/>
      <c r="L80" s="5"/>
      <c r="M80" s="5"/>
      <c r="N80" s="5"/>
      <c r="O80" s="5"/>
      <c r="P80" s="88"/>
      <c r="Q80" s="96"/>
    </row>
    <row r="81" spans="1:17" s="2" customFormat="1" ht="12" customHeight="1">
      <c r="A81"/>
      <c r="B81"/>
      <c r="C81"/>
      <c r="D81" s="23"/>
      <c r="E81" s="23"/>
      <c r="F81"/>
      <c r="G81"/>
      <c r="H81"/>
      <c r="I81"/>
      <c r="J81" s="19"/>
      <c r="K81" s="19"/>
      <c r="L81" s="19"/>
      <c r="M81" s="19"/>
      <c r="N81" s="19"/>
      <c r="O81" s="19"/>
      <c r="P81" s="90"/>
      <c r="Q81" s="96"/>
    </row>
    <row r="82" spans="1:17" s="2" customFormat="1" ht="12" customHeight="1">
      <c r="A82"/>
      <c r="B82"/>
      <c r="C82"/>
      <c r="D82" s="23"/>
      <c r="E82" s="23"/>
      <c r="F82"/>
      <c r="G82"/>
      <c r="H82"/>
      <c r="I82"/>
      <c r="J82" s="19"/>
      <c r="K82" s="19"/>
      <c r="L82" s="19"/>
      <c r="M82" s="19"/>
      <c r="N82" s="19"/>
      <c r="O82" s="19"/>
      <c r="P82" s="90"/>
      <c r="Q82" s="96"/>
    </row>
    <row r="83" spans="1:17" s="2" customFormat="1" ht="12" customHeight="1">
      <c r="A83"/>
      <c r="B83"/>
      <c r="C83"/>
      <c r="D83" s="23"/>
      <c r="E83" s="23"/>
      <c r="F83"/>
      <c r="G83"/>
      <c r="H83"/>
      <c r="I83"/>
      <c r="J83" s="19"/>
      <c r="K83" s="19"/>
      <c r="L83" s="19"/>
      <c r="M83" s="19"/>
      <c r="N83" s="19"/>
      <c r="O83" s="19"/>
      <c r="P83" s="90"/>
      <c r="Q83" s="96"/>
    </row>
    <row r="84" spans="1:17" s="2" customFormat="1" ht="12" customHeight="1">
      <c r="A84"/>
      <c r="B84"/>
      <c r="C84"/>
      <c r="D84" s="23"/>
      <c r="E84" s="23"/>
      <c r="F84"/>
      <c r="G84"/>
      <c r="H84"/>
      <c r="I84"/>
      <c r="J84" s="19"/>
      <c r="K84" s="19"/>
      <c r="L84" s="19"/>
      <c r="M84" s="19"/>
      <c r="N84" s="19"/>
      <c r="O84" s="19"/>
      <c r="P84" s="90"/>
      <c r="Q84" s="96"/>
    </row>
    <row r="85" spans="1:17" s="2" customFormat="1" ht="12" customHeight="1">
      <c r="A85"/>
      <c r="B85"/>
      <c r="C85"/>
      <c r="D85" s="23"/>
      <c r="E85" s="23"/>
      <c r="F85"/>
      <c r="G85"/>
      <c r="H85"/>
      <c r="I85"/>
      <c r="J85" s="19"/>
      <c r="K85" s="19"/>
      <c r="L85" s="19"/>
      <c r="M85" s="19"/>
      <c r="N85" s="19"/>
      <c r="O85" s="19"/>
      <c r="P85" s="90"/>
      <c r="Q85" s="96"/>
    </row>
    <row r="86" spans="1:17">
      <c r="Q86" s="96"/>
    </row>
    <row r="87" spans="1:17">
      <c r="Q87" s="96"/>
    </row>
    <row r="88" spans="1:17">
      <c r="Q88" s="96"/>
    </row>
    <row r="89" spans="1:17">
      <c r="Q89" s="96"/>
    </row>
    <row r="90" spans="1:17">
      <c r="Q90" s="96"/>
    </row>
    <row r="91" spans="1:17">
      <c r="Q91" s="96"/>
    </row>
    <row r="92" spans="1:17">
      <c r="Q92" s="96"/>
    </row>
    <row r="93" spans="1:17">
      <c r="Q93" s="96"/>
    </row>
    <row r="94" spans="1:17">
      <c r="Q94" s="96"/>
    </row>
    <row r="95" spans="1:17">
      <c r="Q95" s="96"/>
    </row>
    <row r="96" spans="1:17">
      <c r="Q96" s="96"/>
    </row>
    <row r="97" spans="17:17">
      <c r="Q97" s="96"/>
    </row>
    <row r="98" spans="17:17">
      <c r="Q98" s="96"/>
    </row>
    <row r="99" spans="17:17">
      <c r="Q99" s="96"/>
    </row>
    <row r="100" spans="17:17">
      <c r="Q100" s="96"/>
    </row>
    <row r="101" spans="17:17">
      <c r="Q101" s="96"/>
    </row>
    <row r="102" spans="17:17">
      <c r="Q102" s="96"/>
    </row>
    <row r="103" spans="17:17">
      <c r="Q103" s="96"/>
    </row>
    <row r="104" spans="17:17">
      <c r="Q104" s="96"/>
    </row>
    <row r="105" spans="17:17">
      <c r="Q105" s="96"/>
    </row>
    <row r="142" ht="12" customHeight="1"/>
    <row r="143" ht="12" customHeight="1"/>
    <row r="144" ht="12" customHeight="1"/>
    <row r="145" ht="12" customHeight="1"/>
    <row r="146" ht="12" customHeight="1"/>
    <row r="147" ht="12" customHeight="1"/>
    <row r="148" ht="12" customHeight="1"/>
    <row r="149" ht="12" customHeight="1"/>
    <row r="150" ht="12" customHeight="1"/>
    <row r="151" ht="12" customHeight="1"/>
    <row r="152" ht="12" customHeight="1"/>
    <row r="153" ht="12" customHeight="1"/>
    <row r="154" ht="12" customHeight="1"/>
    <row r="155" ht="12" customHeight="1"/>
    <row r="156" ht="12" customHeight="1"/>
    <row r="157" ht="12" customHeight="1"/>
    <row r="158" ht="12" customHeight="1"/>
    <row r="159" ht="12" customHeight="1"/>
    <row r="160" ht="12" customHeight="1"/>
    <row r="161" ht="12" customHeight="1"/>
    <row r="162" ht="12" customHeight="1"/>
    <row r="163" ht="12" customHeight="1"/>
    <row r="164" ht="12" customHeight="1"/>
    <row r="165" ht="12" customHeight="1"/>
    <row r="166" ht="12" customHeight="1"/>
    <row r="167" ht="12" customHeight="1"/>
    <row r="168" ht="12" customHeight="1"/>
    <row r="169" ht="12" customHeight="1"/>
    <row r="170" ht="12" customHeight="1"/>
    <row r="171" ht="12" customHeight="1"/>
    <row r="172" ht="12" customHeight="1"/>
    <row r="173" ht="12" customHeight="1"/>
    <row r="174" ht="12" customHeight="1"/>
    <row r="175" ht="12" customHeight="1"/>
    <row r="176" ht="12" customHeight="1"/>
    <row r="177" ht="12" customHeight="1"/>
    <row r="178" ht="12" customHeight="1"/>
    <row r="179" ht="12" customHeight="1"/>
    <row r="180" ht="12" customHeight="1"/>
    <row r="181" ht="12" customHeight="1"/>
    <row r="182" ht="12" customHeight="1"/>
    <row r="183" ht="12" customHeight="1"/>
    <row r="184" ht="12" customHeight="1"/>
    <row r="185" ht="12" customHeight="1"/>
    <row r="186" ht="12" customHeight="1"/>
    <row r="187" ht="12" customHeight="1"/>
    <row r="188" ht="12" customHeight="1"/>
    <row r="189" ht="12" customHeight="1"/>
    <row r="190" ht="12" customHeight="1"/>
    <row r="191" ht="12" customHeight="1"/>
  </sheetData>
  <mergeCells count="40">
    <mergeCell ref="H4:I4"/>
    <mergeCell ref="D5:E5"/>
    <mergeCell ref="D6:E6"/>
    <mergeCell ref="D7:E7"/>
    <mergeCell ref="D8:E8"/>
    <mergeCell ref="D11:E11"/>
    <mergeCell ref="D12:E12"/>
    <mergeCell ref="D13:E13"/>
    <mergeCell ref="D10:E10"/>
    <mergeCell ref="D1:E1"/>
    <mergeCell ref="D4:E4"/>
    <mergeCell ref="D9:E9"/>
    <mergeCell ref="D22:E22"/>
    <mergeCell ref="D14:E14"/>
    <mergeCell ref="H14:I14"/>
    <mergeCell ref="D15:E15"/>
    <mergeCell ref="D16:E16"/>
    <mergeCell ref="D17:E17"/>
    <mergeCell ref="D18:E18"/>
    <mergeCell ref="D19:E19"/>
    <mergeCell ref="D20:E20"/>
    <mergeCell ref="D21:E21"/>
    <mergeCell ref="D27:E27"/>
    <mergeCell ref="H27:I27"/>
    <mergeCell ref="D23:E23"/>
    <mergeCell ref="D24:E24"/>
    <mergeCell ref="D25:E25"/>
    <mergeCell ref="D26:E26"/>
    <mergeCell ref="D38:E38"/>
    <mergeCell ref="H38:I38"/>
    <mergeCell ref="D34:E34"/>
    <mergeCell ref="D35:E35"/>
    <mergeCell ref="D28:E28"/>
    <mergeCell ref="D29:E29"/>
    <mergeCell ref="D30:E30"/>
    <mergeCell ref="D31:E31"/>
    <mergeCell ref="D32:E32"/>
    <mergeCell ref="D33:E33"/>
    <mergeCell ref="D36:E36"/>
    <mergeCell ref="D37:E37"/>
  </mergeCells>
  <conditionalFormatting sqref="M5:M13 M15:M26 M28:M37">
    <cfRule type="cellIs" dxfId="366" priority="3" stopIfTrue="1" operator="lessThanOrEqual">
      <formula>$L5</formula>
    </cfRule>
    <cfRule type="cellIs" dxfId="365" priority="4" operator="greaterThan">
      <formula>L5</formula>
    </cfRule>
  </conditionalFormatting>
  <pageMargins left="0.7" right="0.7" top="0.75" bottom="0.75" header="0.3" footer="0.3"/>
  <pageSetup paperSize="3" fitToHeight="0" orientation="landscape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EAA6461-C5BB-43B0-8CAD-9A7841DC24E7}">
          <x14:formula1>
            <xm:f>Bolts!$A:$A</xm:f>
          </x14:formula1>
          <xm:sqref>C28:C37</xm:sqref>
        </x14:dataValidation>
        <x14:dataValidation type="list" allowBlank="1" showInputMessage="1" showErrorMessage="1" xr:uid="{FD8B7CC5-BAC5-45BA-BF88-7B3F6A3E3891}">
          <x14:formula1>
            <xm:f>Purchased!$A:$A</xm:f>
          </x14:formula1>
          <xm:sqref>C15:C26</xm:sqref>
        </x14:dataValidation>
        <x14:dataValidation type="list" allowBlank="1" showInputMessage="1" showErrorMessage="1" xr:uid="{39F54D8B-6DF8-4BF5-AA9D-B1049B082238}">
          <x14:formula1>
            <xm:f>Machined!$C:$C</xm:f>
          </x14:formula1>
          <xm:sqref>C5:C13</xm:sqref>
        </x14:dataValidation>
      </x14:dataValidations>
    </ext>
  </extLst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B01117-DAD6-40DE-9B36-7A5B31EB670F}">
  <sheetPr codeName="Sheet77">
    <tabColor theme="3" tint="0.79998168889431442"/>
    <pageSetUpPr fitToPage="1"/>
  </sheetPr>
  <dimension ref="A1:R171"/>
  <sheetViews>
    <sheetView zoomScaleNormal="100" workbookViewId="0">
      <selection activeCell="F31" sqref="F31"/>
    </sheetView>
  </sheetViews>
  <sheetFormatPr defaultColWidth="9.140625" defaultRowHeight="15"/>
  <cols>
    <col min="1" max="1" width="5.7109375" customWidth="1"/>
    <col min="2" max="2" width="5.42578125" bestFit="1" customWidth="1"/>
    <col min="3" max="3" width="30.7109375" customWidth="1"/>
    <col min="4" max="5" width="20.7109375" style="23" customWidth="1"/>
    <col min="6" max="6" width="16.85546875" bestFit="1" customWidth="1"/>
    <col min="7" max="7" width="9.7109375" customWidth="1"/>
    <col min="8" max="8" width="8.7109375" customWidth="1"/>
    <col min="9" max="9" width="20.7109375" customWidth="1"/>
    <col min="10" max="13" width="11.7109375" style="19" customWidth="1"/>
    <col min="14" max="14" width="11.85546875" style="19" bestFit="1" customWidth="1"/>
    <col min="15" max="15" width="7.7109375" style="19" customWidth="1"/>
    <col min="16" max="16" width="10.7109375" style="90" customWidth="1"/>
    <col min="17" max="17" width="10.7109375" style="97" customWidth="1"/>
  </cols>
  <sheetData>
    <row r="1" spans="1:18" s="55" customFormat="1" ht="12" customHeight="1">
      <c r="A1" s="68" t="s">
        <v>0</v>
      </c>
      <c r="B1" s="69"/>
      <c r="C1" s="69"/>
      <c r="D1" s="262" t="s">
        <v>1</v>
      </c>
      <c r="E1" s="263"/>
      <c r="F1" s="70"/>
      <c r="G1" s="69"/>
      <c r="H1" s="70"/>
      <c r="I1" s="71"/>
      <c r="J1" s="72"/>
      <c r="K1" s="72"/>
      <c r="L1" s="72"/>
      <c r="M1" s="72"/>
      <c r="N1" s="72"/>
      <c r="O1" s="72"/>
      <c r="P1" s="85"/>
      <c r="Q1" s="91"/>
    </row>
    <row r="2" spans="1:18" s="55" customFormat="1" ht="12" customHeight="1">
      <c r="A2" s="74" t="s">
        <v>48</v>
      </c>
      <c r="B2" s="58"/>
      <c r="C2" s="57" t="e">
        <f ca="1">VLOOKUP(E3,Assemblies!B:F,4,0)</f>
        <v>#VALUE!</v>
      </c>
      <c r="D2" s="75" t="s">
        <v>3</v>
      </c>
      <c r="E2" s="76" t="e">
        <f ca="1">'GF12'!E2</f>
        <v>#VALUE!</v>
      </c>
      <c r="F2" s="77" t="s">
        <v>4</v>
      </c>
      <c r="G2" s="58" t="str">
        <f>'GF12'!G2</f>
        <v>GH</v>
      </c>
      <c r="H2" s="77" t="s">
        <v>6</v>
      </c>
      <c r="I2" s="59">
        <f>'GF12'!I2</f>
        <v>44775</v>
      </c>
      <c r="J2" s="39"/>
      <c r="K2" s="40" t="s">
        <v>49</v>
      </c>
      <c r="L2" s="41" t="e">
        <f ca="1">VLOOKUP(C2,Assemblies!E:G,3,0)</f>
        <v>#VALUE!</v>
      </c>
      <c r="M2" s="78"/>
      <c r="N2" s="78"/>
      <c r="O2" s="78"/>
      <c r="P2" s="86"/>
      <c r="Q2" s="92"/>
    </row>
    <row r="3" spans="1:18" s="55" customFormat="1" ht="12" customHeight="1" thickBot="1">
      <c r="A3" s="74" t="s">
        <v>7</v>
      </c>
      <c r="B3" s="58"/>
      <c r="C3" s="57" t="e">
        <f ca="1">VLOOKUP(E3,Assemblies!B:F,5,0)</f>
        <v>#VALUE!</v>
      </c>
      <c r="D3" s="75" t="s">
        <v>50</v>
      </c>
      <c r="E3" s="76" t="e">
        <f ca="1">MID(CELL("filename",A1),FIND("]",CELL("filename",A1))+1,256)</f>
        <v>#VALUE!</v>
      </c>
      <c r="F3" s="77" t="s">
        <v>11</v>
      </c>
      <c r="G3" s="58" t="str">
        <f>'GF12'!G3</f>
        <v>GH</v>
      </c>
      <c r="H3" s="77" t="s">
        <v>6</v>
      </c>
      <c r="I3" s="59">
        <f>'GF12'!I3</f>
        <v>44775</v>
      </c>
      <c r="J3" s="78"/>
      <c r="K3" s="78"/>
      <c r="L3" s="78"/>
      <c r="M3" s="78"/>
      <c r="N3" s="78"/>
      <c r="O3" s="78"/>
      <c r="P3" s="86"/>
      <c r="Q3" s="92"/>
    </row>
    <row r="4" spans="1:18" s="56" customFormat="1" ht="12.75" customHeight="1" thickBot="1">
      <c r="A4" s="80" t="s">
        <v>12</v>
      </c>
      <c r="B4" s="81" t="s">
        <v>13</v>
      </c>
      <c r="C4" s="81" t="s">
        <v>14</v>
      </c>
      <c r="D4" s="270" t="s">
        <v>15</v>
      </c>
      <c r="E4" s="271"/>
      <c r="F4" s="104" t="s">
        <v>16</v>
      </c>
      <c r="G4" s="81" t="s">
        <v>17</v>
      </c>
      <c r="H4" s="260" t="s">
        <v>18</v>
      </c>
      <c r="I4" s="261"/>
      <c r="J4" s="81" t="s">
        <v>51</v>
      </c>
      <c r="K4" s="81" t="s">
        <v>20</v>
      </c>
      <c r="L4" s="81" t="s">
        <v>21</v>
      </c>
      <c r="M4" s="81" t="s">
        <v>52</v>
      </c>
      <c r="N4" s="81" t="s">
        <v>22</v>
      </c>
      <c r="O4" s="81" t="s">
        <v>53</v>
      </c>
      <c r="P4" s="107" t="s">
        <v>26</v>
      </c>
      <c r="Q4" s="82" t="s">
        <v>27</v>
      </c>
    </row>
    <row r="5" spans="1:18" s="21" customFormat="1" ht="12.75" customHeight="1">
      <c r="A5" s="25"/>
      <c r="B5" s="26"/>
      <c r="C5" s="26"/>
      <c r="D5" s="272"/>
      <c r="E5" s="273"/>
      <c r="F5" s="26"/>
      <c r="G5" s="26"/>
      <c r="H5" s="274"/>
      <c r="I5" s="275"/>
      <c r="J5" s="27"/>
      <c r="K5" s="27"/>
      <c r="L5" s="27"/>
      <c r="M5" s="28"/>
      <c r="N5" s="29"/>
      <c r="O5" s="29"/>
      <c r="P5" s="141"/>
      <c r="Q5" s="142"/>
      <c r="R5" s="20"/>
    </row>
    <row r="6" spans="1:18" s="2" customFormat="1" ht="12.75" customHeight="1">
      <c r="A6" s="127">
        <v>1</v>
      </c>
      <c r="B6" s="21">
        <v>2</v>
      </c>
      <c r="C6" s="108" t="s">
        <v>858</v>
      </c>
      <c r="D6" s="277" t="str">
        <f>VLOOKUP(C6,Machined!C:Q,2,0)</f>
        <v>Spout Pre-Diverter Rail</v>
      </c>
      <c r="E6" s="278"/>
      <c r="F6" s="131" t="str">
        <f>VLOOKUP(C6,Machined!C:R,7,0)</f>
        <v>AISI 304, 1/16 in</v>
      </c>
      <c r="G6" s="131" t="str">
        <f>VLOOKUP(C6,Machined!C:R,10,0)</f>
        <v>WESCO BHT</v>
      </c>
      <c r="H6" s="131" t="str">
        <f>VLOOKUP(C6,Machined!C:R,11,0)</f>
        <v xml:space="preserve">  </v>
      </c>
      <c r="I6" s="131"/>
      <c r="J6" s="42">
        <f>VLOOKUP(C6,Machined!C:R,12,0)</f>
        <v>45159</v>
      </c>
      <c r="K6" s="42">
        <f>VLOOKUP(C6,Machined!C:R,13,0)</f>
        <v>45161</v>
      </c>
      <c r="L6" s="42">
        <f>VLOOKUP(C6,Machined!C:R,14,0)</f>
        <v>45191</v>
      </c>
      <c r="M6" s="42">
        <f>VLOOKUP(C6,Machined!C:R,15,0)</f>
        <v>45191</v>
      </c>
      <c r="N6" s="43">
        <f>VLOOKUP(C6,Machined!C:R,16,0)</f>
        <v>55092</v>
      </c>
      <c r="O6" s="43" t="e">
        <f t="shared" ref="O6:O9" ca="1" si="0">B6*$L$2</f>
        <v>#VALUE!</v>
      </c>
      <c r="P6" s="47">
        <f>IFERROR(VLOOKUP(C6,Machined!C:F,3,0),"")</f>
        <v>65.08</v>
      </c>
      <c r="Q6" s="48">
        <f t="shared" ref="Q6:Q9" si="1">IFERROR(B6*P6,"")</f>
        <v>130.16</v>
      </c>
    </row>
    <row r="7" spans="1:18" s="2" customFormat="1" ht="12.75" customHeight="1">
      <c r="A7" s="127">
        <v>2</v>
      </c>
      <c r="B7" s="21">
        <v>4</v>
      </c>
      <c r="C7" s="108" t="s">
        <v>832</v>
      </c>
      <c r="D7" s="277" t="str">
        <f>VLOOKUP(C7,Machined!C:Q,2,0)</f>
        <v>Spout Rail Bracket</v>
      </c>
      <c r="E7" s="278"/>
      <c r="F7" s="131" t="str">
        <f>VLOOKUP(C7,Machined!C:R,7,0)</f>
        <v>6061-T6 Alum</v>
      </c>
      <c r="G7" s="131" t="str">
        <f>VLOOKUP(C7,Machined!C:R,10,0)</f>
        <v>XOMETRY</v>
      </c>
      <c r="H7" s="131" t="str">
        <f>VLOOKUP(C7,Machined!C:R,11,0)</f>
        <v xml:space="preserve">  </v>
      </c>
      <c r="I7" s="131"/>
      <c r="J7" s="42">
        <f>VLOOKUP(C7,Machined!C:R,12,0)</f>
        <v>45161</v>
      </c>
      <c r="K7" s="42">
        <f>VLOOKUP(C7,Machined!C:R,13,0)</f>
        <v>45161</v>
      </c>
      <c r="L7" s="42">
        <f>VLOOKUP(C7,Machined!C:R,14,0)</f>
        <v>45181</v>
      </c>
      <c r="M7" s="42">
        <f>VLOOKUP(C7,Machined!C:R,15,0)</f>
        <v>45181</v>
      </c>
      <c r="N7" s="43">
        <f>VLOOKUP(C7,Machined!C:R,16,0)</f>
        <v>55095</v>
      </c>
      <c r="O7" s="43" t="e">
        <f t="shared" ca="1" si="0"/>
        <v>#VALUE!</v>
      </c>
      <c r="P7" s="47">
        <f>IFERROR(VLOOKUP(C7,Machined!C:F,3,0),"")</f>
        <v>37.89</v>
      </c>
      <c r="Q7" s="48">
        <f t="shared" si="1"/>
        <v>151.56</v>
      </c>
    </row>
    <row r="8" spans="1:18" s="2" customFormat="1" ht="12.75" customHeight="1">
      <c r="A8" s="127">
        <v>3</v>
      </c>
      <c r="B8" s="21">
        <v>2</v>
      </c>
      <c r="C8" s="108" t="s">
        <v>838</v>
      </c>
      <c r="D8" s="277" t="str">
        <f>VLOOKUP(C8,Machined!C:Q,2,0)</f>
        <v>Extrusion Bracket</v>
      </c>
      <c r="E8" s="278"/>
      <c r="F8" s="131" t="str">
        <f>VLOOKUP(C8,Machined!C:R,7,0)</f>
        <v>6061-T6 Alum</v>
      </c>
      <c r="G8" s="131" t="str">
        <f>VLOOKUP(C8,Machined!C:R,10,0)</f>
        <v>XOMETRY</v>
      </c>
      <c r="H8" s="131" t="str">
        <f>VLOOKUP(C8,Machined!C:R,11,0)</f>
        <v xml:space="preserve">  </v>
      </c>
      <c r="I8" s="131"/>
      <c r="J8" s="42">
        <f>VLOOKUP(C8,Machined!C:R,12,0)</f>
        <v>45161</v>
      </c>
      <c r="K8" s="42">
        <f>VLOOKUP(C8,Machined!C:R,13,0)</f>
        <v>45161</v>
      </c>
      <c r="L8" s="42">
        <f>VLOOKUP(C8,Machined!C:R,14,0)</f>
        <v>45181</v>
      </c>
      <c r="M8" s="42">
        <f>VLOOKUP(C8,Machined!C:R,15,0)</f>
        <v>45181</v>
      </c>
      <c r="N8" s="43">
        <f>VLOOKUP(C8,Machined!C:R,16,0)</f>
        <v>55095</v>
      </c>
      <c r="O8" s="43" t="e">
        <f t="shared" ca="1" si="0"/>
        <v>#VALUE!</v>
      </c>
      <c r="P8" s="47">
        <f>IFERROR(VLOOKUP(C8,Machined!C:F,3,0),"")</f>
        <v>27.97</v>
      </c>
      <c r="Q8" s="48">
        <f t="shared" si="1"/>
        <v>55.94</v>
      </c>
    </row>
    <row r="9" spans="1:18" s="2" customFormat="1" ht="12.75" customHeight="1">
      <c r="A9" s="127">
        <v>4</v>
      </c>
      <c r="B9" s="21">
        <v>4</v>
      </c>
      <c r="C9" s="108" t="s">
        <v>839</v>
      </c>
      <c r="D9" s="277" t="str">
        <f>VLOOKUP(C9,Machined!C:Q,2,0)</f>
        <v>Conveyor Bracket</v>
      </c>
      <c r="E9" s="278"/>
      <c r="F9" s="131" t="str">
        <f>VLOOKUP(C9,Machined!C:R,7,0)</f>
        <v>6061-T6 Alum</v>
      </c>
      <c r="G9" s="131" t="str">
        <f>VLOOKUP(C9,Machined!C:R,10,0)</f>
        <v>XOMETRY</v>
      </c>
      <c r="H9" s="131" t="str">
        <f>VLOOKUP(C9,Machined!C:R,11,0)</f>
        <v xml:space="preserve">  </v>
      </c>
      <c r="I9" s="131"/>
      <c r="J9" s="42">
        <f>VLOOKUP(C9,Machined!C:R,12,0)</f>
        <v>45161</v>
      </c>
      <c r="K9" s="42">
        <f>VLOOKUP(C9,Machined!C:R,13,0)</f>
        <v>45161</v>
      </c>
      <c r="L9" s="42">
        <f>VLOOKUP(C9,Machined!C:R,14,0)</f>
        <v>45181</v>
      </c>
      <c r="M9" s="42">
        <f>VLOOKUP(C9,Machined!C:R,15,0)</f>
        <v>45181</v>
      </c>
      <c r="N9" s="43">
        <f>VLOOKUP(C9,Machined!C:R,16,0)</f>
        <v>55095</v>
      </c>
      <c r="O9" s="43" t="e">
        <f t="shared" ca="1" si="0"/>
        <v>#VALUE!</v>
      </c>
      <c r="P9" s="47">
        <f>IFERROR(VLOOKUP(C9,Machined!C:F,3,0),"")</f>
        <v>26.98</v>
      </c>
      <c r="Q9" s="48">
        <f t="shared" si="1"/>
        <v>107.92</v>
      </c>
    </row>
    <row r="10" spans="1:18" s="2" customFormat="1" ht="12.75" customHeight="1">
      <c r="A10" s="143"/>
      <c r="B10" s="26"/>
      <c r="C10" s="26"/>
      <c r="D10" s="272"/>
      <c r="E10" s="273"/>
      <c r="F10" s="26"/>
      <c r="G10" s="26"/>
      <c r="H10" s="274"/>
      <c r="I10" s="275"/>
      <c r="J10" s="27"/>
      <c r="K10" s="27"/>
      <c r="L10" s="27"/>
      <c r="M10" s="28"/>
      <c r="N10" s="29"/>
      <c r="O10" s="29"/>
      <c r="P10" s="141"/>
      <c r="Q10" s="142"/>
    </row>
    <row r="11" spans="1:18" s="2" customFormat="1" ht="12.75" customHeight="1">
      <c r="A11" s="4">
        <v>301</v>
      </c>
      <c r="B11" s="2">
        <v>1</v>
      </c>
      <c r="C11" s="114" t="s">
        <v>859</v>
      </c>
      <c r="D11" s="268" t="str">
        <f>VLOOKUP(C11,Purchased!A:B,2,0)</f>
        <v>2200 Series mid drive conveyor (Pre-Diverter)
V-guide belt tracking, 2.75in (70mm) wide x
2.52ft (768mm) long, drive shaft in position D
with type 01 - low side profile on both sides and
belt type 01, FDA Accumulation with fused
finger splice. Configuration includes standard
drive and idler tail.</v>
      </c>
      <c r="E11" s="269"/>
      <c r="F11" s="112" t="str">
        <f>VLOOKUP(C11,Purchased!A:Q,9,0)</f>
        <v>Dorner</v>
      </c>
      <c r="G11" s="112" t="str">
        <f>VLOOKUP(C11,Purchased!A:Q,10,0)</f>
        <v>AAP</v>
      </c>
      <c r="H11" s="112" t="str">
        <f>VLOOKUP(C11,Purchased!A:Q,12,0)</f>
        <v xml:space="preserve"> </v>
      </c>
      <c r="I11" s="113"/>
      <c r="J11" s="44" t="str">
        <f>VLOOKUP(C11,Purchased!A:Q,13,0)</f>
        <v>N/A</v>
      </c>
      <c r="K11" s="44">
        <f>VLOOKUP(C11,Purchased!A:Q,14,0)</f>
        <v>45085</v>
      </c>
      <c r="L11" s="44">
        <f>VLOOKUP(C11,Purchased!A:Q,15,0)</f>
        <v>45110</v>
      </c>
      <c r="M11" s="44">
        <f>VLOOKUP(C11,Purchased!A:Q,16,0)</f>
        <v>45110</v>
      </c>
      <c r="N11" s="45">
        <f>VLOOKUP(C11,Purchased!A:Q,17,0)</f>
        <v>54924</v>
      </c>
      <c r="O11" s="45" t="e">
        <f t="shared" ref="O11:O22" ca="1" si="2">B11*$L$2</f>
        <v>#VALUE!</v>
      </c>
      <c r="P11" s="49">
        <f>IFERROR(VLOOKUP(C11,Purchased!A:E,3,FALSE),"")</f>
        <v>1828.075</v>
      </c>
      <c r="Q11" s="50">
        <f t="shared" ref="Q11:Q16" si="3">IFERROR(B11*P11,"")</f>
        <v>1828.075</v>
      </c>
    </row>
    <row r="12" spans="1:18" s="2" customFormat="1" ht="12" customHeight="1">
      <c r="A12" s="4">
        <f t="shared" ref="A12:A17" si="4">A11+1</f>
        <v>302</v>
      </c>
      <c r="B12" s="2">
        <v>1</v>
      </c>
      <c r="C12" s="114" t="s">
        <v>860</v>
      </c>
      <c r="D12" s="268" t="str">
        <f>VLOOKUP(C12,Purchased!A:B,2,0)</f>
        <v>Dorner Bottom Mount Pkg (Pre-Diverter)
2200 Series Standard Load 90 Degree bottom
mount package for a mid drive conveyor,
mounted in the D position, 28:28 pulley ratio.
Uncrated weight = 5lb (2kg).</v>
      </c>
      <c r="E12" s="269"/>
      <c r="F12" s="112" t="str">
        <f>VLOOKUP(C12,Purchased!A:Q,9,0)</f>
        <v>Dorner</v>
      </c>
      <c r="G12" s="112" t="str">
        <f>VLOOKUP(C12,Purchased!A:Q,10,0)</f>
        <v>AAP</v>
      </c>
      <c r="H12" s="112" t="str">
        <f>VLOOKUP(C12,Purchased!A:Q,12,0)</f>
        <v xml:space="preserve"> </v>
      </c>
      <c r="I12" s="113"/>
      <c r="J12" s="44" t="str">
        <f>VLOOKUP(C12,Purchased!A:Q,13,0)</f>
        <v>N/A</v>
      </c>
      <c r="K12" s="44">
        <f>VLOOKUP(C12,Purchased!A:Q,14,0)</f>
        <v>45085</v>
      </c>
      <c r="L12" s="44">
        <f>VLOOKUP(C12,Purchased!A:Q,15,0)</f>
        <v>45110</v>
      </c>
      <c r="M12" s="44">
        <f>VLOOKUP(C12,Purchased!A:Q,16,0)</f>
        <v>45110</v>
      </c>
      <c r="N12" s="45">
        <f>VLOOKUP(C12,Purchased!A:Q,17,0)</f>
        <v>54924</v>
      </c>
      <c r="O12" s="45" t="e">
        <f t="shared" ca="1" si="2"/>
        <v>#VALUE!</v>
      </c>
      <c r="P12" s="49">
        <f>IFERROR(VLOOKUP(C12,Purchased!A:E,3,FALSE),"")</f>
        <v>379.72500000000002</v>
      </c>
      <c r="Q12" s="50">
        <f t="shared" si="3"/>
        <v>379.72500000000002</v>
      </c>
    </row>
    <row r="13" spans="1:18" s="2" customFormat="1" ht="12" customHeight="1">
      <c r="A13" s="4">
        <f t="shared" si="4"/>
        <v>303</v>
      </c>
      <c r="B13" s="2">
        <v>1</v>
      </c>
      <c r="C13" s="114" t="s">
        <v>861</v>
      </c>
      <c r="D13" s="268" t="str">
        <f>VLOOKUP(C13,Purchased!A:B,2,0)</f>
        <v>Dorner Gear Motor (Pre-Diverter)
Standard load 90 Degree VFD Variable Speed
gearmotor, .38 Hp (.28kw), 230/460 volt, 43
RPM. Order variable speed controller separately.
Uncrated weight = 15lb (7kg).</v>
      </c>
      <c r="E13" s="269"/>
      <c r="F13" s="112" t="str">
        <f>VLOOKUP(C13,Purchased!A:Q,9,0)</f>
        <v>Dorner</v>
      </c>
      <c r="G13" s="112" t="str">
        <f>VLOOKUP(C13,Purchased!A:Q,10,0)</f>
        <v>AAP</v>
      </c>
      <c r="H13" s="112" t="str">
        <f>VLOOKUP(C13,Purchased!A:Q,12,0)</f>
        <v xml:space="preserve"> </v>
      </c>
      <c r="I13" s="113"/>
      <c r="J13" s="44" t="str">
        <f>VLOOKUP(C13,Purchased!A:Q,13,0)</f>
        <v>N/A</v>
      </c>
      <c r="K13" s="44">
        <f>VLOOKUP(C13,Purchased!A:Q,14,0)</f>
        <v>45085</v>
      </c>
      <c r="L13" s="44">
        <f>VLOOKUP(C13,Purchased!A:Q,15,0)</f>
        <v>45110</v>
      </c>
      <c r="M13" s="44">
        <f>VLOOKUP(C13,Purchased!A:Q,16,0)</f>
        <v>45110</v>
      </c>
      <c r="N13" s="45">
        <f>VLOOKUP(C13,Purchased!A:Q,17,0)</f>
        <v>54924</v>
      </c>
      <c r="O13" s="45" t="e">
        <f t="shared" ca="1" si="2"/>
        <v>#VALUE!</v>
      </c>
      <c r="P13" s="49">
        <f>IFERROR(VLOOKUP(C13,Purchased!A:E,3,FALSE),"")</f>
        <v>688</v>
      </c>
      <c r="Q13" s="50">
        <f t="shared" si="3"/>
        <v>688</v>
      </c>
    </row>
    <row r="14" spans="1:18" s="2" customFormat="1" ht="12" customHeight="1">
      <c r="A14" s="4">
        <f t="shared" si="4"/>
        <v>304</v>
      </c>
      <c r="B14" s="2">
        <v>8</v>
      </c>
      <c r="C14" s="114" t="s">
        <v>262</v>
      </c>
      <c r="D14" s="268" t="str">
        <f>VLOOKUP(C14,Purchased!A:B,2,0)</f>
        <v>BRX GOTO T-NUT 10 M6</v>
      </c>
      <c r="E14" s="269"/>
      <c r="F14" s="112" t="str">
        <f>VLOOKUP(C14,Purchased!A:Q,9,0)</f>
        <v>BRX</v>
      </c>
      <c r="G14" s="112" t="str">
        <f>VLOOKUP(C14,Purchased!A:Q,10,0)</f>
        <v>AAP</v>
      </c>
      <c r="H14" s="112" t="str">
        <f>VLOOKUP(C14,Purchased!A:Q,12,0)</f>
        <v xml:space="preserve">  </v>
      </c>
      <c r="I14" s="113"/>
      <c r="J14" s="44">
        <f>VLOOKUP(C14,Purchased!A:Q,13,0)</f>
        <v>45104</v>
      </c>
      <c r="K14" s="44">
        <f>VLOOKUP(C14,Purchased!A:Q,14,0)</f>
        <v>45105</v>
      </c>
      <c r="L14" s="44">
        <f>VLOOKUP(C14,Purchased!A:Q,15,0)</f>
        <v>45133</v>
      </c>
      <c r="M14" s="44">
        <f>VLOOKUP(C14,Purchased!A:Q,16,0)</f>
        <v>45133</v>
      </c>
      <c r="N14" s="45" t="str">
        <f>VLOOKUP(C14,Purchased!A:Q,17,0)</f>
        <v>54968, 55147, 55270</v>
      </c>
      <c r="O14" s="45" t="e">
        <f t="shared" ca="1" si="2"/>
        <v>#VALUE!</v>
      </c>
      <c r="P14" s="49">
        <f>IFERROR(VLOOKUP(C14,Purchased!A:E,3,FALSE),"")</f>
        <v>0.64290000000000003</v>
      </c>
      <c r="Q14" s="50">
        <f t="shared" si="3"/>
        <v>5.1432000000000002</v>
      </c>
    </row>
    <row r="15" spans="1:18" s="2" customFormat="1" ht="12" customHeight="1">
      <c r="A15" s="4">
        <f t="shared" si="4"/>
        <v>305</v>
      </c>
      <c r="B15" s="2">
        <v>4</v>
      </c>
      <c r="C15" s="114" t="s">
        <v>846</v>
      </c>
      <c r="D15" s="268" t="str">
        <f>VLOOKUP(C15,Purchased!A:B,2,0)</f>
        <v>316 Stainless Steel Ultra-Low-Profile Socket Head Screw M4 x 0.70 mm Thread, 8 mm Long</v>
      </c>
      <c r="E15" s="269"/>
      <c r="F15" s="112" t="str">
        <f>VLOOKUP(C15,Purchased!A:Q,9,0)</f>
        <v>MCM</v>
      </c>
      <c r="G15" s="112" t="str">
        <f>VLOOKUP(C15,Purchased!A:Q,10,0)</f>
        <v>MCM</v>
      </c>
      <c r="H15" s="112" t="str">
        <f>VLOOKUP(C15,Purchased!A:Q,12,0)</f>
        <v xml:space="preserve"> </v>
      </c>
      <c r="I15" s="113"/>
      <c r="J15" s="44" t="str">
        <f>VLOOKUP(C15,Purchased!A:Q,13,0)</f>
        <v>N/A</v>
      </c>
      <c r="K15" s="44">
        <f>VLOOKUP(C15,Purchased!A:Q,14,0)</f>
        <v>45162</v>
      </c>
      <c r="L15" s="44">
        <f>VLOOKUP(C15,Purchased!A:Q,15,0)</f>
        <v>45184</v>
      </c>
      <c r="M15" s="44">
        <f>VLOOKUP(C15,Purchased!A:Q,16,0)</f>
        <v>45163</v>
      </c>
      <c r="N15" s="45">
        <f>VLOOKUP(C15,Purchased!A:Q,17,0)</f>
        <v>55088</v>
      </c>
      <c r="O15" s="45" t="e">
        <f t="shared" ca="1" si="2"/>
        <v>#VALUE!</v>
      </c>
      <c r="P15" s="49">
        <f>IFERROR(VLOOKUP(C15,Purchased!A:E,3,FALSE),"")</f>
        <v>4.07</v>
      </c>
      <c r="Q15" s="50">
        <f t="shared" si="3"/>
        <v>16.28</v>
      </c>
    </row>
    <row r="16" spans="1:18" s="2" customFormat="1" ht="12" customHeight="1">
      <c r="A16" s="4">
        <f t="shared" si="4"/>
        <v>306</v>
      </c>
      <c r="B16" s="2">
        <v>4</v>
      </c>
      <c r="C16" s="114" t="s">
        <v>844</v>
      </c>
      <c r="D16" s="268" t="str">
        <f>VLOOKUP(C16,Purchased!A:B,2,0)</f>
        <v>DORNER 300150M M6x1.0 T-Bar</v>
      </c>
      <c r="E16" s="269"/>
      <c r="F16" s="112" t="str">
        <f>VLOOKUP(C16,Purchased!A:Q,9,0)</f>
        <v>DORNER</v>
      </c>
      <c r="G16" s="112" t="str">
        <f>VLOOKUP(C16,Purchased!A:Q,10,0)</f>
        <v>AAP</v>
      </c>
      <c r="H16" s="112" t="str">
        <f>VLOOKUP(C16,Purchased!A:Q,12,0)</f>
        <v xml:space="preserve"> </v>
      </c>
      <c r="I16" s="113"/>
      <c r="J16" s="44" t="str">
        <f>VLOOKUP(C16,Purchased!A:Q,13,0)</f>
        <v>N/A</v>
      </c>
      <c r="K16" s="44">
        <f>VLOOKUP(C16,Purchased!A:Q,14,0)</f>
        <v>45162</v>
      </c>
      <c r="L16" s="44">
        <f>VLOOKUP(C16,Purchased!A:Q,15,0)</f>
        <v>45184</v>
      </c>
      <c r="M16" s="44">
        <f>VLOOKUP(C16,Purchased!A:Q,16,0)</f>
        <v>45197</v>
      </c>
      <c r="N16" s="45">
        <f>VLOOKUP(C16,Purchased!A:Q,17,0)</f>
        <v>55073</v>
      </c>
      <c r="O16" s="45" t="e">
        <f t="shared" ca="1" si="2"/>
        <v>#VALUE!</v>
      </c>
      <c r="P16" s="49">
        <f>IFERROR(VLOOKUP(C16,Purchased!A:E,3,FALSE),"")</f>
        <v>9.8908000000000005</v>
      </c>
      <c r="Q16" s="50">
        <f t="shared" si="3"/>
        <v>39.563200000000002</v>
      </c>
    </row>
    <row r="17" spans="1:17" s="2" customFormat="1" ht="12" customHeight="1">
      <c r="A17" s="4">
        <f t="shared" si="4"/>
        <v>307</v>
      </c>
      <c r="B17" s="2">
        <v>4</v>
      </c>
      <c r="C17" s="114" t="s">
        <v>851</v>
      </c>
      <c r="D17" s="268" t="str">
        <f>VLOOKUP(C17,Purchased!A:B,2,0)</f>
        <v>DORNER M6 TWIST-IN T-NUT</v>
      </c>
      <c r="E17" s="269"/>
      <c r="F17" s="112" t="str">
        <f>VLOOKUP(C17,Purchased!A:Q,9,0)</f>
        <v>DORNER</v>
      </c>
      <c r="G17" s="112" t="str">
        <f>VLOOKUP(C17,Purchased!A:Q,10,0)</f>
        <v>AAP</v>
      </c>
      <c r="H17" s="112" t="str">
        <f>VLOOKUP(C17,Purchased!A:Q,12,0)</f>
        <v>50 IN NULINE STOCK</v>
      </c>
      <c r="I17" s="113"/>
      <c r="J17" s="44" t="str">
        <f>VLOOKUP(C17,Purchased!A:Q,13,0)</f>
        <v>N/A</v>
      </c>
      <c r="K17" s="44" t="str">
        <f>VLOOKUP(C17,Purchased!A:Q,14,0)</f>
        <v>N/A</v>
      </c>
      <c r="L17" s="44" t="str">
        <f>VLOOKUP(C17,Purchased!A:Q,15,0)</f>
        <v>N/A</v>
      </c>
      <c r="M17" s="44" t="str">
        <f>VLOOKUP(C17,Purchased!A:Q,16,0)</f>
        <v>N/A</v>
      </c>
      <c r="N17" s="45" t="str">
        <f>VLOOKUP(C17,Purchased!A:Q,17,0)</f>
        <v>N/A</v>
      </c>
      <c r="O17" s="45" t="e">
        <f t="shared" ref="O17" ca="1" si="5">B17*$L$2</f>
        <v>#VALUE!</v>
      </c>
      <c r="P17" s="49">
        <f>IFERROR(VLOOKUP(C17,Purchased!A:E,3,FALSE),"")</f>
        <v>0</v>
      </c>
      <c r="Q17" s="50">
        <f t="shared" ref="Q17" si="6">IFERROR(B17*P17,"")</f>
        <v>0</v>
      </c>
    </row>
    <row r="18" spans="1:17" s="2" customFormat="1" ht="12.75" customHeight="1">
      <c r="A18" s="25"/>
      <c r="B18" s="26"/>
      <c r="C18" s="26"/>
      <c r="D18" s="272"/>
      <c r="E18" s="273"/>
      <c r="F18" s="26"/>
      <c r="G18" s="26"/>
      <c r="H18" s="274"/>
      <c r="I18" s="275"/>
      <c r="J18" s="27"/>
      <c r="K18" s="27"/>
      <c r="L18" s="27"/>
      <c r="M18" s="28"/>
      <c r="N18" s="29"/>
      <c r="O18" s="29" t="e">
        <f t="shared" ca="1" si="2"/>
        <v>#VALUE!</v>
      </c>
      <c r="P18" s="141"/>
      <c r="Q18" s="142"/>
    </row>
    <row r="19" spans="1:17" s="2" customFormat="1" ht="12.75" customHeight="1">
      <c r="A19" s="4">
        <v>501</v>
      </c>
      <c r="B19" s="2">
        <v>8</v>
      </c>
      <c r="C19" s="110" t="s">
        <v>287</v>
      </c>
      <c r="D19" s="268"/>
      <c r="E19" s="276"/>
      <c r="F19" s="112" t="str">
        <f>VLOOKUP(C19,Bolts!A:L,5,0)</f>
        <v xml:space="preserve">  </v>
      </c>
      <c r="G19" s="112" t="str">
        <f>VLOOKUP(C19,Bolts!A:L,6,0)</f>
        <v>Monroe Fasteners</v>
      </c>
      <c r="H19" s="112" t="str">
        <f>VLOOKUP(C19,Bolts!A:L,7,0)</f>
        <v xml:space="preserve">  </v>
      </c>
      <c r="I19" s="112"/>
      <c r="J19" s="44" t="str">
        <f>VLOOKUP(C19,Bolts!A:L,8,0)</f>
        <v xml:space="preserve"> </v>
      </c>
      <c r="K19" s="44" t="str">
        <f>VLOOKUP(C19,Bolts!A:L,9,0)</f>
        <v xml:space="preserve"> </v>
      </c>
      <c r="L19" s="44" t="str">
        <f>VLOOKUP(C19,Bolts!A:L,10,0)</f>
        <v xml:space="preserve"> </v>
      </c>
      <c r="M19" s="44" t="str">
        <f>VLOOKUP(C19,Bolts!A:L,11,0)</f>
        <v xml:space="preserve"> </v>
      </c>
      <c r="N19" s="45" t="str">
        <f>VLOOKUP(C19,Bolts!A:L,12,0)</f>
        <v xml:space="preserve"> </v>
      </c>
      <c r="O19" s="45" t="e">
        <f t="shared" ca="1" si="2"/>
        <v>#VALUE!</v>
      </c>
      <c r="P19" s="49" t="str">
        <f>IFERROR(VLOOKUP(C19,Bolts!A:B,2,FALSE),"")</f>
        <v xml:space="preserve"> </v>
      </c>
      <c r="Q19" s="50" t="str">
        <f t="shared" ref="Q19:Q22" si="7">IFERROR(B19*P19,"")</f>
        <v/>
      </c>
    </row>
    <row r="20" spans="1:17" s="2" customFormat="1" ht="12.75" customHeight="1">
      <c r="A20" s="4">
        <f t="shared" ref="A20:A23" si="8">A19+1</f>
        <v>502</v>
      </c>
      <c r="B20" s="2">
        <v>8</v>
      </c>
      <c r="C20" s="110" t="s">
        <v>342</v>
      </c>
      <c r="D20" s="268"/>
      <c r="E20" s="276"/>
      <c r="F20" s="112" t="str">
        <f>VLOOKUP(C20,Bolts!A:L,5,0)</f>
        <v xml:space="preserve">  </v>
      </c>
      <c r="G20" s="112" t="str">
        <f>VLOOKUP(C20,Bolts!A:L,6,0)</f>
        <v>Monroe Fasteners</v>
      </c>
      <c r="H20" s="112" t="str">
        <f>VLOOKUP(C20,Bolts!A:L,7,0)</f>
        <v xml:space="preserve">  </v>
      </c>
      <c r="I20" s="112"/>
      <c r="J20" s="44" t="str">
        <f>VLOOKUP(C20,Bolts!A:L,8,0)</f>
        <v xml:space="preserve"> </v>
      </c>
      <c r="K20" s="44" t="str">
        <f>VLOOKUP(C20,Bolts!A:L,9,0)</f>
        <v xml:space="preserve"> </v>
      </c>
      <c r="L20" s="44" t="str">
        <f>VLOOKUP(C20,Bolts!A:L,10,0)</f>
        <v xml:space="preserve"> </v>
      </c>
      <c r="M20" s="44" t="str">
        <f>VLOOKUP(C20,Bolts!A:L,11,0)</f>
        <v xml:space="preserve"> </v>
      </c>
      <c r="N20" s="45" t="str">
        <f>VLOOKUP(C20,Bolts!A:L,12,0)</f>
        <v xml:space="preserve"> </v>
      </c>
      <c r="O20" s="45" t="e">
        <f t="shared" ca="1" si="2"/>
        <v>#VALUE!</v>
      </c>
      <c r="P20" s="49" t="str">
        <f>IFERROR(VLOOKUP(C20,Bolts!A:B,2,FALSE),"")</f>
        <v xml:space="preserve"> </v>
      </c>
      <c r="Q20" s="50" t="str">
        <f t="shared" si="7"/>
        <v/>
      </c>
    </row>
    <row r="21" spans="1:17" s="2" customFormat="1" ht="12" customHeight="1">
      <c r="A21" s="4">
        <f t="shared" si="8"/>
        <v>503</v>
      </c>
      <c r="B21" s="2">
        <v>8</v>
      </c>
      <c r="C21" s="110" t="s">
        <v>344</v>
      </c>
      <c r="D21" s="268"/>
      <c r="E21" s="276"/>
      <c r="F21" s="112" t="str">
        <f>VLOOKUP(C21,Bolts!A:L,5,0)</f>
        <v xml:space="preserve">  </v>
      </c>
      <c r="G21" s="112" t="str">
        <f>VLOOKUP(C21,Bolts!A:L,6,0)</f>
        <v>Monroe Fasteners</v>
      </c>
      <c r="H21" s="112" t="str">
        <f>VLOOKUP(C21,Bolts!A:L,7,0)</f>
        <v xml:space="preserve">  </v>
      </c>
      <c r="I21" s="112"/>
      <c r="J21" s="44" t="str">
        <f>VLOOKUP(C21,Bolts!A:L,8,0)</f>
        <v xml:space="preserve"> </v>
      </c>
      <c r="K21" s="44" t="str">
        <f>VLOOKUP(C21,Bolts!A:L,9,0)</f>
        <v xml:space="preserve"> </v>
      </c>
      <c r="L21" s="44" t="str">
        <f>VLOOKUP(C21,Bolts!A:L,10,0)</f>
        <v xml:space="preserve"> </v>
      </c>
      <c r="M21" s="44" t="str">
        <f>VLOOKUP(C21,Bolts!A:L,11,0)</f>
        <v xml:space="preserve"> </v>
      </c>
      <c r="N21" s="45" t="str">
        <f>VLOOKUP(C21,Bolts!A:L,12,0)</f>
        <v xml:space="preserve"> </v>
      </c>
      <c r="O21" s="45" t="e">
        <f t="shared" ca="1" si="2"/>
        <v>#VALUE!</v>
      </c>
      <c r="P21" s="49" t="str">
        <f>IFERROR(VLOOKUP(C21,Bolts!A:B,2,FALSE),"")</f>
        <v xml:space="preserve"> </v>
      </c>
      <c r="Q21" s="50" t="str">
        <f t="shared" si="7"/>
        <v/>
      </c>
    </row>
    <row r="22" spans="1:17" s="2" customFormat="1" ht="12" customHeight="1">
      <c r="A22" s="4">
        <f t="shared" si="8"/>
        <v>504</v>
      </c>
      <c r="B22" s="2">
        <v>12</v>
      </c>
      <c r="C22" s="110" t="s">
        <v>278</v>
      </c>
      <c r="D22" s="268"/>
      <c r="E22" s="276"/>
      <c r="F22" s="112" t="str">
        <f>VLOOKUP(C22,Bolts!A:L,5,0)</f>
        <v xml:space="preserve">  </v>
      </c>
      <c r="G22" s="112" t="str">
        <f>VLOOKUP(C22,Bolts!A:L,6,0)</f>
        <v>Monroe Fasteners</v>
      </c>
      <c r="H22" s="112" t="str">
        <f>VLOOKUP(C22,Bolts!A:L,7,0)</f>
        <v xml:space="preserve">  </v>
      </c>
      <c r="I22" s="112"/>
      <c r="J22" s="44" t="str">
        <f>VLOOKUP(C22,Bolts!A:L,8,0)</f>
        <v xml:space="preserve"> </v>
      </c>
      <c r="K22" s="44" t="str">
        <f>VLOOKUP(C22,Bolts!A:L,9,0)</f>
        <v xml:space="preserve"> </v>
      </c>
      <c r="L22" s="44" t="str">
        <f>VLOOKUP(C22,Bolts!A:L,10,0)</f>
        <v xml:space="preserve"> </v>
      </c>
      <c r="M22" s="44" t="str">
        <f>VLOOKUP(C22,Bolts!A:L,11,0)</f>
        <v xml:space="preserve"> </v>
      </c>
      <c r="N22" s="45" t="str">
        <f>VLOOKUP(C22,Bolts!A:L,12,0)</f>
        <v xml:space="preserve"> </v>
      </c>
      <c r="O22" s="45" t="e">
        <f t="shared" ca="1" si="2"/>
        <v>#VALUE!</v>
      </c>
      <c r="P22" s="49" t="str">
        <f>IFERROR(VLOOKUP(C22,Bolts!A:B,2,FALSE),"")</f>
        <v xml:space="preserve"> </v>
      </c>
      <c r="Q22" s="50" t="str">
        <f t="shared" si="7"/>
        <v/>
      </c>
    </row>
    <row r="23" spans="1:17" s="2" customFormat="1" ht="12" customHeight="1" thickBot="1">
      <c r="A23" s="4">
        <f t="shared" si="8"/>
        <v>505</v>
      </c>
      <c r="B23" s="2">
        <v>8</v>
      </c>
      <c r="C23" s="110" t="s">
        <v>289</v>
      </c>
      <c r="D23" s="164"/>
      <c r="E23" s="165"/>
      <c r="F23" s="112" t="str">
        <f>VLOOKUP(C23,Bolts!A:L,5,0)</f>
        <v xml:space="preserve">  </v>
      </c>
      <c r="G23" s="112" t="str">
        <f>VLOOKUP(C23,Bolts!A:L,6,0)</f>
        <v>Monroe Fasteners</v>
      </c>
      <c r="H23" s="112" t="str">
        <f>VLOOKUP(C23,Bolts!A:L,7,0)</f>
        <v xml:space="preserve">  </v>
      </c>
      <c r="I23" s="112"/>
      <c r="J23" s="44" t="str">
        <f>VLOOKUP(C23,Bolts!A:L,8,0)</f>
        <v xml:space="preserve"> </v>
      </c>
      <c r="K23" s="44" t="str">
        <f>VLOOKUP(C23,Bolts!A:L,9,0)</f>
        <v xml:space="preserve"> </v>
      </c>
      <c r="L23" s="44" t="str">
        <f>VLOOKUP(C23,Bolts!A:L,10,0)</f>
        <v xml:space="preserve"> </v>
      </c>
      <c r="M23" s="44" t="str">
        <f>VLOOKUP(C23,Bolts!A:L,11,0)</f>
        <v xml:space="preserve"> </v>
      </c>
      <c r="N23" s="45" t="str">
        <f>VLOOKUP(C23,Bolts!A:L,12,0)</f>
        <v xml:space="preserve"> </v>
      </c>
      <c r="O23" s="45" t="e">
        <f t="shared" ref="O23" ca="1" si="9">B23*$L$2</f>
        <v>#VALUE!</v>
      </c>
      <c r="P23" s="49" t="str">
        <f>IFERROR(VLOOKUP(C23,Bolts!A:B,2,FALSE),"")</f>
        <v xml:space="preserve"> </v>
      </c>
      <c r="Q23" s="50" t="str">
        <f t="shared" ref="Q23" si="10">IFERROR(B23*P23,"")</f>
        <v/>
      </c>
    </row>
    <row r="24" spans="1:17" s="2" customFormat="1" ht="12.75" customHeight="1" thickBot="1">
      <c r="A24" s="34"/>
      <c r="B24" s="35"/>
      <c r="C24" s="35"/>
      <c r="D24" s="256"/>
      <c r="E24" s="257"/>
      <c r="F24" s="35"/>
      <c r="G24" s="35"/>
      <c r="H24" s="294"/>
      <c r="I24" s="295"/>
      <c r="J24" s="36"/>
      <c r="K24" s="36"/>
      <c r="L24" s="36"/>
      <c r="M24" s="37"/>
      <c r="N24" s="38"/>
      <c r="O24" s="38"/>
      <c r="P24" s="89" t="s">
        <v>43</v>
      </c>
      <c r="Q24" s="94">
        <f>SUM(Q5:Q23)</f>
        <v>3402.3664000000003</v>
      </c>
    </row>
    <row r="25" spans="1:17" s="2" customFormat="1" ht="12" customHeight="1">
      <c r="D25" s="22"/>
      <c r="E25" s="22"/>
      <c r="J25" s="8"/>
      <c r="K25" s="8"/>
      <c r="L25" s="8"/>
      <c r="M25" s="8"/>
      <c r="N25" s="5"/>
      <c r="O25" s="5"/>
      <c r="P25" s="88"/>
      <c r="Q25" s="95"/>
    </row>
    <row r="26" spans="1:17" s="2" customFormat="1" ht="12" customHeight="1">
      <c r="D26" s="22"/>
      <c r="E26" s="22"/>
      <c r="J26" s="5"/>
      <c r="K26" s="5"/>
      <c r="L26" s="5"/>
      <c r="M26" s="5"/>
      <c r="N26" s="5"/>
      <c r="O26" s="5"/>
      <c r="P26" s="88"/>
      <c r="Q26" s="95"/>
    </row>
    <row r="27" spans="1:17" s="2" customFormat="1" ht="12" customHeight="1">
      <c r="B27" s="22"/>
      <c r="G27" s="5"/>
      <c r="H27" s="5"/>
      <c r="I27" s="5"/>
      <c r="J27" s="5"/>
      <c r="K27" s="5"/>
      <c r="L27" s="5"/>
      <c r="M27" s="88"/>
      <c r="N27" s="95"/>
    </row>
    <row r="28" spans="1:17" s="2" customFormat="1" ht="12" customHeight="1">
      <c r="D28" s="22"/>
      <c r="I28" s="5"/>
      <c r="J28" s="5"/>
      <c r="K28" s="5"/>
      <c r="L28" s="5"/>
      <c r="M28" s="5"/>
      <c r="N28" s="5"/>
      <c r="O28" s="88"/>
      <c r="P28" s="95"/>
    </row>
    <row r="29" spans="1:17" s="2" customFormat="1" ht="12" customHeight="1">
      <c r="D29" s="22"/>
      <c r="I29" s="5"/>
      <c r="J29" s="5"/>
      <c r="K29" s="5"/>
      <c r="L29" s="5"/>
      <c r="M29" s="5"/>
      <c r="N29" s="5"/>
      <c r="O29" s="88"/>
      <c r="P29" s="95"/>
    </row>
    <row r="30" spans="1:17" s="2" customFormat="1" ht="12" customHeight="1">
      <c r="D30" s="22"/>
      <c r="I30" s="5"/>
      <c r="J30" s="5"/>
      <c r="K30" s="5"/>
      <c r="L30" s="5"/>
      <c r="M30" s="5"/>
      <c r="N30" s="5"/>
      <c r="O30" s="88"/>
      <c r="P30" s="95"/>
    </row>
    <row r="31" spans="1:17" s="2" customFormat="1" ht="12" customHeight="1">
      <c r="D31" s="22"/>
      <c r="E31" s="22"/>
      <c r="J31" s="5"/>
      <c r="K31" s="5"/>
      <c r="L31" s="5"/>
      <c r="M31" s="5"/>
      <c r="N31" s="5"/>
      <c r="O31" s="5"/>
      <c r="P31" s="88"/>
      <c r="Q31" s="95"/>
    </row>
    <row r="32" spans="1:17" s="2" customFormat="1" ht="12" customHeight="1">
      <c r="D32" s="22"/>
      <c r="E32" s="22"/>
      <c r="J32" s="5"/>
      <c r="K32" s="5"/>
      <c r="L32" s="5"/>
      <c r="M32" s="5"/>
      <c r="N32" s="5"/>
      <c r="O32" s="5"/>
      <c r="P32" s="88"/>
      <c r="Q32" s="95"/>
    </row>
    <row r="33" spans="4:17" s="2" customFormat="1" ht="12" customHeight="1">
      <c r="D33" s="22"/>
      <c r="E33" s="22"/>
      <c r="J33" s="5"/>
      <c r="K33" s="5"/>
      <c r="L33" s="5"/>
      <c r="M33" s="5"/>
      <c r="N33" s="5"/>
      <c r="O33" s="5"/>
      <c r="P33" s="88"/>
      <c r="Q33" s="95"/>
    </row>
    <row r="34" spans="4:17" s="2" customFormat="1" ht="12" customHeight="1">
      <c r="D34" s="22"/>
      <c r="E34" s="22"/>
      <c r="J34" s="5"/>
      <c r="K34" s="5"/>
      <c r="L34" s="5"/>
      <c r="M34" s="5"/>
      <c r="N34" s="5"/>
      <c r="O34" s="5"/>
      <c r="P34" s="88"/>
      <c r="Q34" s="95"/>
    </row>
    <row r="35" spans="4:17" s="2" customFormat="1" ht="12" customHeight="1">
      <c r="D35" s="22"/>
      <c r="E35" s="22"/>
      <c r="J35" s="5"/>
      <c r="K35" s="5"/>
      <c r="L35" s="5"/>
      <c r="M35" s="5"/>
      <c r="N35" s="5"/>
      <c r="O35" s="5"/>
      <c r="P35" s="88"/>
      <c r="Q35" s="95"/>
    </row>
    <row r="36" spans="4:17" s="2" customFormat="1" ht="12" customHeight="1">
      <c r="D36" s="22"/>
      <c r="E36" s="22"/>
      <c r="J36" s="5"/>
      <c r="K36" s="5"/>
      <c r="L36" s="5"/>
      <c r="M36" s="5"/>
      <c r="N36" s="5"/>
      <c r="O36" s="5"/>
      <c r="P36" s="88"/>
      <c r="Q36" s="95"/>
    </row>
    <row r="37" spans="4:17" s="2" customFormat="1" ht="12" customHeight="1">
      <c r="D37" s="22"/>
      <c r="E37" s="22"/>
      <c r="J37" s="5"/>
      <c r="K37" s="5"/>
      <c r="L37" s="5"/>
      <c r="M37" s="5"/>
      <c r="N37" s="5"/>
      <c r="O37" s="5"/>
      <c r="P37" s="88"/>
      <c r="Q37" s="95"/>
    </row>
    <row r="38" spans="4:17" s="2" customFormat="1" ht="12" customHeight="1">
      <c r="D38" s="22"/>
      <c r="E38" s="22"/>
      <c r="J38" s="5"/>
      <c r="K38" s="5"/>
      <c r="L38" s="5"/>
      <c r="M38" s="5"/>
      <c r="N38" s="5"/>
      <c r="O38" s="5"/>
      <c r="P38" s="88"/>
      <c r="Q38" s="95"/>
    </row>
    <row r="39" spans="4:17" s="2" customFormat="1" ht="12" customHeight="1">
      <c r="D39" s="22"/>
      <c r="E39" s="22"/>
      <c r="J39" s="5"/>
      <c r="K39" s="5"/>
      <c r="L39" s="5"/>
      <c r="M39" s="5"/>
      <c r="N39" s="5"/>
      <c r="O39" s="5"/>
      <c r="P39" s="88"/>
      <c r="Q39" s="95"/>
    </row>
    <row r="40" spans="4:17" s="2" customFormat="1" ht="12" customHeight="1">
      <c r="D40" s="22"/>
      <c r="E40" s="22"/>
      <c r="J40" s="5"/>
      <c r="K40" s="5"/>
      <c r="L40" s="5"/>
      <c r="M40" s="5"/>
      <c r="N40" s="5"/>
      <c r="O40" s="5"/>
      <c r="P40" s="88"/>
      <c r="Q40" s="95"/>
    </row>
    <row r="41" spans="4:17" s="2" customFormat="1" ht="12" customHeight="1">
      <c r="D41" s="22"/>
      <c r="E41" s="22"/>
      <c r="J41" s="5"/>
      <c r="K41" s="5"/>
      <c r="L41" s="5"/>
      <c r="M41" s="5"/>
      <c r="N41" s="5"/>
      <c r="O41" s="5"/>
      <c r="P41" s="88"/>
      <c r="Q41" s="95"/>
    </row>
    <row r="42" spans="4:17" s="2" customFormat="1" ht="12" customHeight="1">
      <c r="D42" s="22"/>
      <c r="E42" s="22"/>
      <c r="J42" s="5"/>
      <c r="K42" s="5"/>
      <c r="L42" s="5"/>
      <c r="M42" s="5"/>
      <c r="N42" s="5"/>
      <c r="O42" s="5"/>
      <c r="P42" s="88"/>
      <c r="Q42" s="95"/>
    </row>
    <row r="43" spans="4:17" s="2" customFormat="1" ht="12" customHeight="1">
      <c r="D43" s="22"/>
      <c r="E43" s="22"/>
      <c r="J43" s="5"/>
      <c r="K43" s="5"/>
      <c r="L43" s="5"/>
      <c r="M43" s="5"/>
      <c r="N43" s="5"/>
      <c r="O43" s="5"/>
      <c r="P43" s="88"/>
      <c r="Q43" s="95"/>
    </row>
    <row r="44" spans="4:17" s="2" customFormat="1" ht="12" customHeight="1">
      <c r="D44" s="22"/>
      <c r="E44" s="22"/>
      <c r="J44" s="5"/>
      <c r="K44" s="5"/>
      <c r="L44" s="5"/>
      <c r="M44" s="5"/>
      <c r="N44" s="5"/>
      <c r="O44" s="5"/>
      <c r="P44" s="88"/>
      <c r="Q44" s="95"/>
    </row>
    <row r="45" spans="4:17" s="2" customFormat="1" ht="12" customHeight="1">
      <c r="D45" s="22"/>
      <c r="E45" s="22"/>
      <c r="J45" s="5"/>
      <c r="K45" s="5"/>
      <c r="L45" s="5"/>
      <c r="M45" s="5"/>
      <c r="N45" s="5"/>
      <c r="O45" s="5"/>
      <c r="P45" s="88"/>
      <c r="Q45" s="95"/>
    </row>
    <row r="46" spans="4:17" s="2" customFormat="1" ht="12" customHeight="1">
      <c r="D46" s="22"/>
      <c r="E46" s="22"/>
      <c r="J46" s="5"/>
      <c r="K46" s="5"/>
      <c r="L46" s="5"/>
      <c r="M46" s="5"/>
      <c r="N46" s="5"/>
      <c r="O46" s="5"/>
      <c r="P46" s="88"/>
      <c r="Q46" s="95"/>
    </row>
    <row r="47" spans="4:17" s="2" customFormat="1" ht="12" customHeight="1">
      <c r="D47" s="22"/>
      <c r="E47" s="22"/>
      <c r="J47" s="5"/>
      <c r="K47" s="5"/>
      <c r="L47" s="5"/>
      <c r="M47" s="5"/>
      <c r="N47" s="5"/>
      <c r="O47" s="5"/>
      <c r="P47" s="88"/>
      <c r="Q47" s="95"/>
    </row>
    <row r="48" spans="4:17" s="2" customFormat="1" ht="12" customHeight="1">
      <c r="D48" s="22"/>
      <c r="E48" s="22"/>
      <c r="J48" s="5"/>
      <c r="K48" s="5"/>
      <c r="L48" s="5"/>
      <c r="M48" s="5"/>
      <c r="N48" s="5"/>
      <c r="O48" s="5"/>
      <c r="P48" s="88"/>
      <c r="Q48" s="95"/>
    </row>
    <row r="49" spans="1:17" s="2" customFormat="1" ht="12" customHeight="1">
      <c r="D49" s="22"/>
      <c r="E49" s="22"/>
      <c r="J49" s="5"/>
      <c r="K49" s="5"/>
      <c r="L49" s="5"/>
      <c r="M49" s="5"/>
      <c r="N49" s="5"/>
      <c r="O49" s="5"/>
      <c r="P49" s="88"/>
      <c r="Q49" s="95"/>
    </row>
    <row r="50" spans="1:17" s="2" customFormat="1" ht="12" customHeight="1">
      <c r="D50" s="22"/>
      <c r="E50" s="22"/>
      <c r="J50" s="5"/>
      <c r="K50" s="5"/>
      <c r="L50" s="5"/>
      <c r="M50" s="5"/>
      <c r="N50" s="5"/>
      <c r="O50" s="5"/>
      <c r="P50" s="88"/>
      <c r="Q50" s="95"/>
    </row>
    <row r="51" spans="1:17" s="2" customFormat="1" ht="12" customHeight="1">
      <c r="D51" s="22"/>
      <c r="E51" s="22"/>
      <c r="J51" s="5"/>
      <c r="K51" s="5"/>
      <c r="L51" s="5"/>
      <c r="M51" s="5"/>
      <c r="N51" s="5"/>
      <c r="O51" s="5"/>
      <c r="P51" s="88"/>
      <c r="Q51" s="95"/>
    </row>
    <row r="52" spans="1:17" s="2" customFormat="1" ht="12" customHeight="1">
      <c r="D52" s="22"/>
      <c r="E52" s="22"/>
      <c r="J52" s="5"/>
      <c r="K52" s="5"/>
      <c r="L52" s="5"/>
      <c r="M52" s="5"/>
      <c r="N52" s="5"/>
      <c r="O52" s="5"/>
      <c r="P52" s="88"/>
      <c r="Q52" s="95"/>
    </row>
    <row r="53" spans="1:17" s="2" customFormat="1" ht="12" customHeight="1">
      <c r="D53" s="22"/>
      <c r="E53" s="22"/>
      <c r="J53" s="5"/>
      <c r="K53" s="5"/>
      <c r="L53" s="5"/>
      <c r="M53" s="5"/>
      <c r="N53" s="5"/>
      <c r="O53" s="5"/>
      <c r="P53" s="88"/>
      <c r="Q53" s="95"/>
    </row>
    <row r="54" spans="1:17" s="2" customFormat="1" ht="12" customHeight="1">
      <c r="D54" s="22"/>
      <c r="E54" s="22"/>
      <c r="J54" s="5"/>
      <c r="K54" s="5"/>
      <c r="L54" s="5"/>
      <c r="M54" s="5"/>
      <c r="N54" s="5"/>
      <c r="O54" s="5"/>
      <c r="P54" s="88"/>
      <c r="Q54" s="95"/>
    </row>
    <row r="55" spans="1:17" s="2" customFormat="1" ht="12" customHeight="1">
      <c r="D55" s="22"/>
      <c r="E55" s="22"/>
      <c r="J55" s="5"/>
      <c r="K55" s="5"/>
      <c r="L55" s="5"/>
      <c r="M55" s="5"/>
      <c r="N55" s="5"/>
      <c r="O55" s="5"/>
      <c r="P55" s="88"/>
      <c r="Q55" s="95"/>
    </row>
    <row r="56" spans="1:17" s="2" customFormat="1" ht="12" customHeight="1">
      <c r="D56" s="22"/>
      <c r="E56" s="22"/>
      <c r="J56" s="5"/>
      <c r="K56" s="5"/>
      <c r="L56" s="5"/>
      <c r="M56" s="5"/>
      <c r="N56" s="5"/>
      <c r="O56" s="5"/>
      <c r="P56" s="88"/>
      <c r="Q56" s="95"/>
    </row>
    <row r="57" spans="1:17" s="2" customFormat="1" ht="12" customHeight="1">
      <c r="D57" s="22"/>
      <c r="E57" s="22"/>
      <c r="J57" s="5"/>
      <c r="K57" s="5"/>
      <c r="L57" s="5"/>
      <c r="M57" s="5"/>
      <c r="N57" s="5"/>
      <c r="O57" s="5"/>
      <c r="P57" s="88"/>
      <c r="Q57" s="96"/>
    </row>
    <row r="58" spans="1:17" s="2" customFormat="1" ht="12" customHeight="1">
      <c r="B58"/>
      <c r="C58"/>
      <c r="D58" s="22"/>
      <c r="E58" s="22"/>
      <c r="J58" s="5"/>
      <c r="K58" s="5"/>
      <c r="L58" s="5"/>
      <c r="M58" s="5"/>
      <c r="N58" s="5"/>
      <c r="O58" s="5"/>
      <c r="P58" s="88"/>
      <c r="Q58" s="96"/>
    </row>
    <row r="59" spans="1:17" s="2" customFormat="1" ht="12" customHeight="1">
      <c r="B59"/>
      <c r="C59"/>
      <c r="D59" s="22"/>
      <c r="E59" s="22"/>
      <c r="J59" s="5"/>
      <c r="K59" s="5"/>
      <c r="L59" s="5"/>
      <c r="M59" s="5"/>
      <c r="N59" s="5"/>
      <c r="O59" s="5"/>
      <c r="P59" s="88"/>
      <c r="Q59" s="96"/>
    </row>
    <row r="60" spans="1:17" s="2" customFormat="1" ht="12" customHeight="1">
      <c r="B60"/>
      <c r="C60"/>
      <c r="D60" s="22"/>
      <c r="E60" s="22"/>
      <c r="J60" s="5"/>
      <c r="K60" s="5"/>
      <c r="L60" s="5"/>
      <c r="M60" s="5"/>
      <c r="N60" s="5"/>
      <c r="O60" s="5"/>
      <c r="P60" s="88"/>
      <c r="Q60" s="96"/>
    </row>
    <row r="61" spans="1:17" s="2" customFormat="1" ht="12" customHeight="1">
      <c r="A61"/>
      <c r="B61"/>
      <c r="C61"/>
      <c r="D61" s="23"/>
      <c r="E61" s="23"/>
      <c r="F61"/>
      <c r="G61"/>
      <c r="H61"/>
      <c r="I61"/>
      <c r="J61" s="19"/>
      <c r="K61" s="19"/>
      <c r="L61" s="19"/>
      <c r="M61" s="19"/>
      <c r="N61" s="19"/>
      <c r="O61" s="19"/>
      <c r="P61" s="90"/>
      <c r="Q61" s="96"/>
    </row>
    <row r="62" spans="1:17" s="2" customFormat="1" ht="12" customHeight="1">
      <c r="A62"/>
      <c r="B62"/>
      <c r="C62"/>
      <c r="D62" s="23"/>
      <c r="E62" s="23"/>
      <c r="F62"/>
      <c r="G62"/>
      <c r="H62"/>
      <c r="I62"/>
      <c r="J62" s="19"/>
      <c r="K62" s="19"/>
      <c r="L62" s="19"/>
      <c r="M62" s="19"/>
      <c r="N62" s="19"/>
      <c r="O62" s="19"/>
      <c r="P62" s="90"/>
      <c r="Q62" s="96"/>
    </row>
    <row r="63" spans="1:17" s="2" customFormat="1" ht="12" customHeight="1">
      <c r="A63"/>
      <c r="B63"/>
      <c r="C63"/>
      <c r="D63" s="23"/>
      <c r="E63" s="23"/>
      <c r="F63"/>
      <c r="G63"/>
      <c r="H63"/>
      <c r="I63"/>
      <c r="J63" s="19"/>
      <c r="K63" s="19"/>
      <c r="L63" s="19"/>
      <c r="M63" s="19"/>
      <c r="N63" s="19"/>
      <c r="O63" s="19"/>
      <c r="P63" s="90"/>
      <c r="Q63" s="96"/>
    </row>
    <row r="64" spans="1:17" s="2" customFormat="1" ht="12" customHeight="1">
      <c r="A64"/>
      <c r="B64"/>
      <c r="C64"/>
      <c r="D64" s="23"/>
      <c r="E64" s="23"/>
      <c r="F64"/>
      <c r="G64"/>
      <c r="H64"/>
      <c r="I64"/>
      <c r="J64" s="19"/>
      <c r="K64" s="19"/>
      <c r="L64" s="19"/>
      <c r="M64" s="19"/>
      <c r="N64" s="19"/>
      <c r="O64" s="19"/>
      <c r="P64" s="90"/>
      <c r="Q64" s="96"/>
    </row>
    <row r="65" spans="1:17" s="2" customFormat="1" ht="12" customHeight="1">
      <c r="A65"/>
      <c r="B65"/>
      <c r="C65"/>
      <c r="D65" s="23"/>
      <c r="E65" s="23"/>
      <c r="F65"/>
      <c r="G65"/>
      <c r="H65"/>
      <c r="I65"/>
      <c r="J65" s="19"/>
      <c r="K65" s="19"/>
      <c r="L65" s="19"/>
      <c r="M65" s="19"/>
      <c r="N65" s="19"/>
      <c r="O65" s="19"/>
      <c r="P65" s="90"/>
      <c r="Q65" s="96"/>
    </row>
    <row r="66" spans="1:17">
      <c r="Q66" s="96"/>
    </row>
    <row r="67" spans="1:17">
      <c r="Q67" s="96"/>
    </row>
    <row r="68" spans="1:17">
      <c r="Q68" s="96"/>
    </row>
    <row r="69" spans="1:17">
      <c r="Q69" s="96"/>
    </row>
    <row r="70" spans="1:17">
      <c r="Q70" s="96"/>
    </row>
    <row r="71" spans="1:17">
      <c r="Q71" s="96"/>
    </row>
    <row r="72" spans="1:17">
      <c r="Q72" s="96"/>
    </row>
    <row r="73" spans="1:17">
      <c r="Q73" s="96"/>
    </row>
    <row r="74" spans="1:17">
      <c r="Q74" s="96"/>
    </row>
    <row r="75" spans="1:17">
      <c r="Q75" s="96"/>
    </row>
    <row r="76" spans="1:17">
      <c r="Q76" s="96"/>
    </row>
    <row r="77" spans="1:17">
      <c r="Q77" s="96"/>
    </row>
    <row r="78" spans="1:17">
      <c r="Q78" s="96"/>
    </row>
    <row r="79" spans="1:17">
      <c r="Q79" s="96"/>
    </row>
    <row r="80" spans="1:17">
      <c r="Q80" s="96"/>
    </row>
    <row r="81" spans="17:17">
      <c r="Q81" s="96"/>
    </row>
    <row r="82" spans="17:17">
      <c r="Q82" s="96"/>
    </row>
    <row r="83" spans="17:17">
      <c r="Q83" s="96"/>
    </row>
    <row r="84" spans="17:17">
      <c r="Q84" s="96"/>
    </row>
    <row r="85" spans="17:17">
      <c r="Q85" s="96"/>
    </row>
    <row r="122" ht="12" customHeight="1"/>
    <row r="123" ht="12" customHeight="1"/>
    <row r="124" ht="12" customHeight="1"/>
    <row r="125" ht="12" customHeight="1"/>
    <row r="126" ht="12" customHeight="1"/>
    <row r="127" ht="12" customHeight="1"/>
    <row r="128" ht="12" customHeight="1"/>
    <row r="129" ht="12" customHeight="1"/>
    <row r="130" ht="12" customHeight="1"/>
    <row r="131" ht="12" customHeight="1"/>
    <row r="132" ht="12" customHeight="1"/>
    <row r="133" ht="12" customHeight="1"/>
    <row r="134" ht="12" customHeight="1"/>
    <row r="135" ht="12" customHeight="1"/>
    <row r="136" ht="12" customHeight="1"/>
    <row r="137" ht="12" customHeight="1"/>
    <row r="138" ht="12" customHeight="1"/>
    <row r="139" ht="12" customHeight="1"/>
    <row r="140" ht="12" customHeight="1"/>
    <row r="141" ht="12" customHeight="1"/>
    <row r="142" ht="12" customHeight="1"/>
    <row r="143" ht="12" customHeight="1"/>
    <row r="144" ht="12" customHeight="1"/>
    <row r="145" ht="12" customHeight="1"/>
    <row r="146" ht="12" customHeight="1"/>
    <row r="147" ht="12" customHeight="1"/>
    <row r="148" ht="12" customHeight="1"/>
    <row r="149" ht="12" customHeight="1"/>
    <row r="150" ht="12" customHeight="1"/>
    <row r="151" ht="12" customHeight="1"/>
    <row r="152" ht="12" customHeight="1"/>
    <row r="153" ht="12" customHeight="1"/>
    <row r="154" ht="12" customHeight="1"/>
    <row r="155" ht="12" customHeight="1"/>
    <row r="156" ht="12" customHeight="1"/>
    <row r="157" ht="12" customHeight="1"/>
    <row r="158" ht="12" customHeight="1"/>
    <row r="159" ht="12" customHeight="1"/>
    <row r="160" ht="12" customHeight="1"/>
    <row r="161" ht="12" customHeight="1"/>
    <row r="162" ht="12" customHeight="1"/>
    <row r="163" ht="12" customHeight="1"/>
    <row r="164" ht="12" customHeight="1"/>
    <row r="165" ht="12" customHeight="1"/>
    <row r="166" ht="12" customHeight="1"/>
    <row r="167" ht="12" customHeight="1"/>
    <row r="168" ht="12" customHeight="1"/>
    <row r="169" ht="12" customHeight="1"/>
    <row r="170" ht="12" customHeight="1"/>
    <row r="171" ht="12" customHeight="1"/>
  </sheetData>
  <mergeCells count="26">
    <mergeCell ref="D10:E10"/>
    <mergeCell ref="H10:I10"/>
    <mergeCell ref="D11:E11"/>
    <mergeCell ref="D12:E12"/>
    <mergeCell ref="D1:E1"/>
    <mergeCell ref="D4:E4"/>
    <mergeCell ref="H4:I4"/>
    <mergeCell ref="D6:E6"/>
    <mergeCell ref="D7:E7"/>
    <mergeCell ref="D8:E8"/>
    <mergeCell ref="D9:E9"/>
    <mergeCell ref="D5:E5"/>
    <mergeCell ref="H5:I5"/>
    <mergeCell ref="D24:E24"/>
    <mergeCell ref="H24:I24"/>
    <mergeCell ref="D18:E18"/>
    <mergeCell ref="H18:I18"/>
    <mergeCell ref="D13:E13"/>
    <mergeCell ref="D14:E14"/>
    <mergeCell ref="D15:E15"/>
    <mergeCell ref="D16:E16"/>
    <mergeCell ref="D19:E19"/>
    <mergeCell ref="D20:E20"/>
    <mergeCell ref="D21:E21"/>
    <mergeCell ref="D22:E22"/>
    <mergeCell ref="D17:E17"/>
  </mergeCells>
  <conditionalFormatting sqref="M6:M9 M19:M23 M11:M17">
    <cfRule type="cellIs" dxfId="364" priority="3" stopIfTrue="1" operator="lessThanOrEqual">
      <formula>$L6</formula>
    </cfRule>
    <cfRule type="cellIs" dxfId="363" priority="4" operator="greaterThan">
      <formula>L6</formula>
    </cfRule>
  </conditionalFormatting>
  <pageMargins left="0.7" right="0.7" top="0.75" bottom="0.75" header="0.3" footer="0.3"/>
  <pageSetup paperSize="3" fitToHeight="0" orientation="landscape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44D4BA7-5986-49FE-90BC-8DECA84A622A}">
          <x14:formula1>
            <xm:f>Bolts!$A:$A</xm:f>
          </x14:formula1>
          <xm:sqref>C19:C23</xm:sqref>
        </x14:dataValidation>
        <x14:dataValidation type="list" allowBlank="1" showInputMessage="1" showErrorMessage="1" xr:uid="{29F07D16-6455-4437-AAEE-3AC12ADCAE12}">
          <x14:formula1>
            <xm:f>Purchased!$A:$A</xm:f>
          </x14:formula1>
          <xm:sqref>C11:C17</xm:sqref>
        </x14:dataValidation>
        <x14:dataValidation type="list" allowBlank="1" showInputMessage="1" showErrorMessage="1" xr:uid="{A1BE515B-1FC2-4C6C-A3F6-B65DEB5D3B40}">
          <x14:formula1>
            <xm:f>Machined!$C:$C</xm:f>
          </x14:formula1>
          <xm:sqref>C6:C9</xm:sqref>
        </x14:dataValidation>
      </x14:dataValidations>
    </ext>
  </extLst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D4AC10-35C7-4513-BB51-7D1CF08BF40F}">
  <sheetPr codeName="Sheet78">
    <tabColor theme="3" tint="0.59999389629810485"/>
    <pageSetUpPr fitToPage="1"/>
  </sheetPr>
  <dimension ref="A1:Q165"/>
  <sheetViews>
    <sheetView zoomScaleNormal="100" workbookViewId="0">
      <selection activeCell="P9" sqref="P9"/>
    </sheetView>
  </sheetViews>
  <sheetFormatPr defaultColWidth="9.140625" defaultRowHeight="15"/>
  <cols>
    <col min="1" max="1" width="5.7109375" customWidth="1"/>
    <col min="2" max="2" width="5.42578125" bestFit="1" customWidth="1"/>
    <col min="3" max="3" width="30.7109375" customWidth="1"/>
    <col min="4" max="5" width="20.7109375" style="23" customWidth="1"/>
    <col min="6" max="6" width="16.85546875" bestFit="1" customWidth="1"/>
    <col min="7" max="7" width="9.7109375" customWidth="1"/>
    <col min="8" max="8" width="8.7109375" customWidth="1"/>
    <col min="9" max="9" width="20.7109375" customWidth="1"/>
    <col min="10" max="13" width="11.7109375" style="19" customWidth="1"/>
    <col min="14" max="14" width="11.85546875" style="19" bestFit="1" customWidth="1"/>
    <col min="15" max="15" width="7.7109375" style="19" customWidth="1"/>
    <col min="16" max="16" width="10.7109375" style="90" customWidth="1"/>
    <col min="17" max="17" width="10.7109375" style="97" customWidth="1"/>
  </cols>
  <sheetData>
    <row r="1" spans="1:17" s="55" customFormat="1" ht="12" customHeight="1">
      <c r="A1" s="68" t="s">
        <v>0</v>
      </c>
      <c r="B1" s="69"/>
      <c r="C1" s="69"/>
      <c r="D1" s="262" t="s">
        <v>1</v>
      </c>
      <c r="E1" s="263"/>
      <c r="F1" s="70"/>
      <c r="G1" s="69"/>
      <c r="H1" s="70"/>
      <c r="I1" s="71"/>
      <c r="J1" s="72"/>
      <c r="K1" s="72"/>
      <c r="L1" s="72"/>
      <c r="M1" s="72"/>
      <c r="N1" s="72"/>
      <c r="O1" s="72"/>
      <c r="P1" s="85"/>
      <c r="Q1" s="91"/>
    </row>
    <row r="2" spans="1:17" s="55" customFormat="1" ht="12" customHeight="1">
      <c r="A2" s="74" t="s">
        <v>48</v>
      </c>
      <c r="B2" s="58"/>
      <c r="C2" s="57" t="e">
        <f ca="1">VLOOKUP(E3,Assemblies!B:F,4,0)</f>
        <v>#VALUE!</v>
      </c>
      <c r="D2" s="75" t="s">
        <v>3</v>
      </c>
      <c r="E2" s="76" t="e">
        <f ca="1">'GF12'!E2</f>
        <v>#VALUE!</v>
      </c>
      <c r="F2" s="77" t="s">
        <v>4</v>
      </c>
      <c r="G2" s="58" t="str">
        <f>'GF12'!G2</f>
        <v>GH</v>
      </c>
      <c r="H2" s="77" t="s">
        <v>6</v>
      </c>
      <c r="I2" s="59">
        <f>'GF12'!I2</f>
        <v>44775</v>
      </c>
      <c r="J2" s="39"/>
      <c r="K2" s="40" t="s">
        <v>49</v>
      </c>
      <c r="L2" s="41" t="e">
        <f ca="1">VLOOKUP(C2,Assemblies!E:G,3,0)</f>
        <v>#VALUE!</v>
      </c>
      <c r="M2" s="78"/>
      <c r="N2" s="78"/>
      <c r="O2" s="78"/>
      <c r="P2" s="86"/>
      <c r="Q2" s="92"/>
    </row>
    <row r="3" spans="1:17" s="55" customFormat="1" ht="12" customHeight="1" thickBot="1">
      <c r="A3" s="74" t="s">
        <v>7</v>
      </c>
      <c r="B3" s="58"/>
      <c r="C3" s="57" t="e">
        <f ca="1">VLOOKUP(E3,Assemblies!B:F,5,0)</f>
        <v>#VALUE!</v>
      </c>
      <c r="D3" s="75" t="s">
        <v>50</v>
      </c>
      <c r="E3" s="76" t="e">
        <f ca="1">MID(CELL("filename",A1),FIND("]",CELL("filename",A1))+1,256)</f>
        <v>#VALUE!</v>
      </c>
      <c r="F3" s="77" t="s">
        <v>11</v>
      </c>
      <c r="G3" s="58" t="str">
        <f>'GF12'!G3</f>
        <v>GH</v>
      </c>
      <c r="H3" s="77" t="s">
        <v>6</v>
      </c>
      <c r="I3" s="59">
        <f>'GF12'!I3</f>
        <v>44775</v>
      </c>
      <c r="J3" s="78"/>
      <c r="K3" s="78"/>
      <c r="L3" s="78"/>
      <c r="M3" s="78"/>
      <c r="N3" s="78"/>
      <c r="O3" s="78"/>
      <c r="P3" s="86"/>
      <c r="Q3" s="92"/>
    </row>
    <row r="4" spans="1:17" s="56" customFormat="1" ht="12.75" customHeight="1" thickBot="1">
      <c r="A4" s="80" t="s">
        <v>12</v>
      </c>
      <c r="B4" s="81" t="s">
        <v>13</v>
      </c>
      <c r="C4" s="81" t="s">
        <v>14</v>
      </c>
      <c r="D4" s="270" t="s">
        <v>15</v>
      </c>
      <c r="E4" s="271"/>
      <c r="F4" s="104" t="s">
        <v>16</v>
      </c>
      <c r="G4" s="81" t="s">
        <v>17</v>
      </c>
      <c r="H4" s="260" t="s">
        <v>18</v>
      </c>
      <c r="I4" s="261"/>
      <c r="J4" s="81" t="s">
        <v>51</v>
      </c>
      <c r="K4" s="81" t="s">
        <v>20</v>
      </c>
      <c r="L4" s="81" t="s">
        <v>21</v>
      </c>
      <c r="M4" s="81" t="s">
        <v>52</v>
      </c>
      <c r="N4" s="81" t="s">
        <v>22</v>
      </c>
      <c r="O4" s="81" t="s">
        <v>53</v>
      </c>
      <c r="P4" s="107" t="s">
        <v>26</v>
      </c>
      <c r="Q4" s="82" t="s">
        <v>27</v>
      </c>
    </row>
    <row r="5" spans="1:17" s="21" customFormat="1" ht="12.75" customHeight="1">
      <c r="A5" s="66" t="s">
        <v>54</v>
      </c>
      <c r="B5" s="1">
        <v>1</v>
      </c>
      <c r="C5" s="67" t="s">
        <v>862</v>
      </c>
      <c r="D5" s="277" t="e">
        <f ca="1">VLOOKUP(C5,Assemblies!E:S,2,0)</f>
        <v>#N/A</v>
      </c>
      <c r="E5" s="278"/>
      <c r="F5" s="32"/>
      <c r="G5" s="32"/>
      <c r="H5" s="292"/>
      <c r="I5" s="293"/>
      <c r="J5" s="28"/>
      <c r="K5" s="28"/>
      <c r="L5" s="28"/>
      <c r="M5" s="28"/>
      <c r="N5" s="33"/>
      <c r="O5" s="46" t="e">
        <f t="shared" ref="O5:O10" ca="1" si="0">B5*$L$2</f>
        <v>#VALUE!</v>
      </c>
      <c r="P5" s="87">
        <f>'341'!Q74</f>
        <v>8199.0596845423297</v>
      </c>
      <c r="Q5" s="93">
        <f t="shared" ref="Q5:Q10" si="1">B5*P5</f>
        <v>8199.0596845423297</v>
      </c>
    </row>
    <row r="6" spans="1:17" s="21" customFormat="1" ht="12.75" customHeight="1">
      <c r="A6" s="66" t="s">
        <v>56</v>
      </c>
      <c r="B6" s="1">
        <v>2</v>
      </c>
      <c r="C6" s="67" t="s">
        <v>863</v>
      </c>
      <c r="D6" s="277" t="e">
        <f ca="1">VLOOKUP(C6,Assemblies!E:S,2,0)</f>
        <v>#N/A</v>
      </c>
      <c r="E6" s="278"/>
      <c r="F6" s="32"/>
      <c r="G6" s="32"/>
      <c r="H6" s="292"/>
      <c r="I6" s="293"/>
      <c r="J6" s="28"/>
      <c r="K6" s="28"/>
      <c r="L6" s="28"/>
      <c r="M6" s="28"/>
      <c r="N6" s="33"/>
      <c r="O6" s="46" t="e">
        <f t="shared" ca="1" si="0"/>
        <v>#VALUE!</v>
      </c>
      <c r="P6" s="87">
        <f>'342'!Q78</f>
        <v>2502.6355999999992</v>
      </c>
      <c r="Q6" s="93">
        <f t="shared" si="1"/>
        <v>5005.2711999999983</v>
      </c>
    </row>
    <row r="7" spans="1:17" s="21" customFormat="1" ht="12.75" customHeight="1">
      <c r="A7" s="66" t="s">
        <v>58</v>
      </c>
      <c r="B7" s="1">
        <v>1</v>
      </c>
      <c r="C7" s="67" t="s">
        <v>864</v>
      </c>
      <c r="D7" s="277" t="e">
        <f ca="1">VLOOKUP(C7,Assemblies!E:S,2,0)</f>
        <v>#N/A</v>
      </c>
      <c r="E7" s="278"/>
      <c r="F7" s="32"/>
      <c r="G7" s="32"/>
      <c r="H7" s="292"/>
      <c r="I7" s="293"/>
      <c r="J7" s="28"/>
      <c r="K7" s="28"/>
      <c r="L7" s="28"/>
      <c r="M7" s="28"/>
      <c r="N7" s="33"/>
      <c r="O7" s="46" t="e">
        <f t="shared" ca="1" si="0"/>
        <v>#VALUE!</v>
      </c>
      <c r="P7" s="87">
        <f>'343'!Q74</f>
        <v>3612.3694999999993</v>
      </c>
      <c r="Q7" s="93">
        <f t="shared" si="1"/>
        <v>3612.3694999999993</v>
      </c>
    </row>
    <row r="8" spans="1:17" s="21" customFormat="1" ht="12.75" customHeight="1">
      <c r="A8" s="66" t="s">
        <v>60</v>
      </c>
      <c r="B8" s="1">
        <v>1</v>
      </c>
      <c r="C8" s="67" t="s">
        <v>865</v>
      </c>
      <c r="D8" s="277" t="e">
        <f ca="1">VLOOKUP(C8,Assemblies!E:S,2,0)</f>
        <v>#N/A</v>
      </c>
      <c r="E8" s="278"/>
      <c r="F8" s="32"/>
      <c r="G8" s="32"/>
      <c r="H8" s="292"/>
      <c r="I8" s="293"/>
      <c r="J8" s="28"/>
      <c r="K8" s="28"/>
      <c r="L8" s="28"/>
      <c r="M8" s="28"/>
      <c r="N8" s="33"/>
      <c r="O8" s="46" t="e">
        <f t="shared" ca="1" si="0"/>
        <v>#VALUE!</v>
      </c>
      <c r="P8" s="87">
        <f>'344'!Q74</f>
        <v>3613.2694999999994</v>
      </c>
      <c r="Q8" s="93">
        <f t="shared" si="1"/>
        <v>3613.2694999999994</v>
      </c>
    </row>
    <row r="9" spans="1:17" s="21" customFormat="1" ht="12.75" customHeight="1">
      <c r="A9" s="66" t="s">
        <v>62</v>
      </c>
      <c r="B9" s="1">
        <v>1</v>
      </c>
      <c r="C9" s="67" t="s">
        <v>866</v>
      </c>
      <c r="D9" s="277" t="e">
        <f ca="1">VLOOKUP(C9,Assemblies!E:S,2,0)</f>
        <v>#N/A</v>
      </c>
      <c r="E9" s="278"/>
      <c r="F9" s="32"/>
      <c r="G9" s="32"/>
      <c r="H9" s="292"/>
      <c r="I9" s="293"/>
      <c r="J9" s="28"/>
      <c r="K9" s="28"/>
      <c r="L9" s="28"/>
      <c r="M9" s="28"/>
      <c r="N9" s="33"/>
      <c r="O9" s="46" t="e">
        <f t="shared" ca="1" si="0"/>
        <v>#VALUE!</v>
      </c>
      <c r="P9" s="87">
        <f>'345'!Q20</f>
        <v>309.78000000000003</v>
      </c>
      <c r="Q9" s="93">
        <f t="shared" si="1"/>
        <v>309.78000000000003</v>
      </c>
    </row>
    <row r="10" spans="1:17" s="21" customFormat="1" ht="12.75" customHeight="1">
      <c r="A10" s="66" t="s">
        <v>64</v>
      </c>
      <c r="B10" s="1">
        <v>1</v>
      </c>
      <c r="C10" s="67" t="s">
        <v>867</v>
      </c>
      <c r="D10" s="277" t="e">
        <f ca="1">VLOOKUP(C10,Assemblies!E:S,2,0)</f>
        <v>#N/A</v>
      </c>
      <c r="E10" s="278"/>
      <c r="F10" s="32"/>
      <c r="G10" s="32"/>
      <c r="H10" s="292"/>
      <c r="I10" s="293"/>
      <c r="J10" s="28"/>
      <c r="K10" s="28"/>
      <c r="L10" s="28"/>
      <c r="M10" s="28"/>
      <c r="N10" s="33"/>
      <c r="O10" s="46" t="e">
        <f t="shared" ca="1" si="0"/>
        <v>#VALUE!</v>
      </c>
      <c r="P10" s="87">
        <f>'346'!Q34</f>
        <v>722.97159999999997</v>
      </c>
      <c r="Q10" s="93">
        <f t="shared" si="1"/>
        <v>722.97159999999997</v>
      </c>
    </row>
    <row r="11" spans="1:17" s="21" customFormat="1" ht="12.75" customHeight="1" thickBot="1">
      <c r="A11" s="66" t="s">
        <v>66</v>
      </c>
      <c r="B11" s="1">
        <v>1</v>
      </c>
      <c r="C11" s="67" t="s">
        <v>868</v>
      </c>
      <c r="D11" s="277" t="e">
        <f ca="1">VLOOKUP(C11,Assemblies!E:S,2,0)</f>
        <v>#N/A</v>
      </c>
      <c r="E11" s="278"/>
      <c r="F11" s="32"/>
      <c r="G11" s="32"/>
      <c r="H11" s="292"/>
      <c r="I11" s="293"/>
      <c r="J11" s="28"/>
      <c r="K11" s="28"/>
      <c r="L11" s="28"/>
      <c r="M11" s="28"/>
      <c r="N11" s="33"/>
      <c r="O11" s="46" t="e">
        <f t="shared" ref="O11" ca="1" si="2">B11*$L$2</f>
        <v>#VALUE!</v>
      </c>
      <c r="P11" s="87">
        <f>'540'!Q23</f>
        <v>565.46280000000002</v>
      </c>
      <c r="Q11" s="93">
        <f t="shared" ref="Q11" si="3">B11*P11</f>
        <v>565.46280000000002</v>
      </c>
    </row>
    <row r="12" spans="1:17" s="2" customFormat="1" ht="12.75" customHeight="1" thickBot="1">
      <c r="A12" s="34"/>
      <c r="B12" s="35"/>
      <c r="C12" s="35"/>
      <c r="D12" s="256"/>
      <c r="E12" s="257"/>
      <c r="F12" s="35"/>
      <c r="G12" s="35"/>
      <c r="H12" s="294"/>
      <c r="I12" s="295"/>
      <c r="J12" s="36"/>
      <c r="K12" s="36"/>
      <c r="L12" s="36"/>
      <c r="M12" s="37"/>
      <c r="N12" s="38"/>
      <c r="O12" s="38"/>
      <c r="P12" s="89" t="s">
        <v>43</v>
      </c>
      <c r="Q12" s="94">
        <f>SUM(Q5:Q11)</f>
        <v>22028.184284542327</v>
      </c>
    </row>
    <row r="13" spans="1:17" s="2" customFormat="1" ht="12" customHeight="1">
      <c r="D13" s="22"/>
      <c r="E13" s="22"/>
      <c r="J13" s="8"/>
      <c r="K13" s="8"/>
      <c r="L13" s="8"/>
      <c r="M13" s="8"/>
      <c r="N13" s="5"/>
      <c r="O13" s="5"/>
      <c r="P13" s="88"/>
      <c r="Q13" s="95"/>
    </row>
    <row r="14" spans="1:17" s="2" customFormat="1" ht="12" customHeight="1">
      <c r="D14" s="22"/>
      <c r="E14" s="22"/>
      <c r="J14" s="5"/>
      <c r="K14" s="5"/>
      <c r="L14" s="5"/>
      <c r="M14" s="5"/>
      <c r="N14" s="5"/>
      <c r="O14" s="5"/>
      <c r="P14" s="88"/>
      <c r="Q14" s="95"/>
    </row>
    <row r="15" spans="1:17" s="2" customFormat="1" ht="12" customHeight="1">
      <c r="D15" s="22"/>
      <c r="E15" s="22"/>
      <c r="J15" s="5"/>
      <c r="K15" s="5"/>
      <c r="L15" s="5"/>
      <c r="M15" s="5"/>
      <c r="N15" s="5"/>
      <c r="O15" s="5"/>
      <c r="P15" s="88"/>
      <c r="Q15" s="95"/>
    </row>
    <row r="16" spans="1:17" s="2" customFormat="1" ht="12" customHeight="1">
      <c r="D16" s="22"/>
      <c r="E16" s="22"/>
      <c r="J16" s="5"/>
      <c r="K16" s="5"/>
      <c r="L16" s="5"/>
      <c r="M16" s="5"/>
      <c r="N16" s="5"/>
      <c r="O16" s="5"/>
      <c r="P16" s="88"/>
      <c r="Q16" s="95"/>
    </row>
    <row r="17" spans="4:17" s="2" customFormat="1" ht="12" customHeight="1">
      <c r="D17" s="22"/>
      <c r="E17" s="22"/>
      <c r="J17" s="5"/>
      <c r="K17" s="5"/>
      <c r="L17" s="5"/>
      <c r="M17" s="5"/>
      <c r="N17" s="5"/>
      <c r="O17" s="5"/>
      <c r="P17" s="88"/>
      <c r="Q17" s="95"/>
    </row>
    <row r="18" spans="4:17" s="2" customFormat="1" ht="12" customHeight="1">
      <c r="D18" s="22"/>
      <c r="E18" s="22"/>
      <c r="J18" s="5"/>
      <c r="K18" s="5"/>
      <c r="L18" s="5"/>
      <c r="M18" s="5"/>
      <c r="N18" s="5"/>
      <c r="O18" s="5"/>
      <c r="P18" s="88"/>
      <c r="Q18" s="95"/>
    </row>
    <row r="19" spans="4:17" s="2" customFormat="1" ht="12" customHeight="1">
      <c r="D19" s="22"/>
      <c r="E19" s="22"/>
      <c r="J19" s="5"/>
      <c r="K19" s="5"/>
      <c r="L19" s="5"/>
      <c r="M19" s="5"/>
      <c r="N19" s="5"/>
      <c r="O19" s="5"/>
      <c r="P19" s="88"/>
      <c r="Q19" s="95"/>
    </row>
    <row r="20" spans="4:17" s="2" customFormat="1" ht="12" customHeight="1">
      <c r="D20" s="22"/>
      <c r="E20" s="22"/>
      <c r="J20" s="5"/>
      <c r="K20" s="5"/>
      <c r="L20" s="5"/>
      <c r="M20" s="5"/>
      <c r="N20" s="5"/>
      <c r="O20" s="5"/>
      <c r="P20" s="88"/>
      <c r="Q20" s="95"/>
    </row>
    <row r="21" spans="4:17" s="2" customFormat="1" ht="12" customHeight="1">
      <c r="D21" s="22"/>
      <c r="E21" s="22"/>
      <c r="J21" s="5"/>
      <c r="K21" s="5"/>
      <c r="L21" s="5"/>
      <c r="M21" s="5"/>
      <c r="N21" s="5"/>
      <c r="O21" s="5"/>
      <c r="P21" s="88"/>
      <c r="Q21" s="95"/>
    </row>
    <row r="22" spans="4:17" s="2" customFormat="1" ht="12" customHeight="1">
      <c r="D22" s="22"/>
      <c r="E22" s="22"/>
      <c r="J22" s="5"/>
      <c r="K22" s="5"/>
      <c r="L22" s="5"/>
      <c r="M22" s="5"/>
      <c r="N22" s="5"/>
      <c r="O22" s="5"/>
      <c r="P22" s="88"/>
      <c r="Q22" s="95"/>
    </row>
    <row r="23" spans="4:17" s="2" customFormat="1" ht="12" customHeight="1">
      <c r="D23" s="22"/>
      <c r="E23" s="22"/>
      <c r="J23" s="5"/>
      <c r="K23" s="5"/>
      <c r="L23" s="5"/>
      <c r="M23" s="5"/>
      <c r="N23" s="5"/>
      <c r="O23" s="5"/>
      <c r="P23" s="88"/>
      <c r="Q23" s="95"/>
    </row>
    <row r="24" spans="4:17" s="2" customFormat="1" ht="12" customHeight="1">
      <c r="D24" s="22"/>
      <c r="E24" s="22"/>
      <c r="J24" s="5"/>
      <c r="K24" s="5"/>
      <c r="L24" s="5"/>
      <c r="M24" s="5"/>
      <c r="N24" s="5"/>
      <c r="O24" s="5"/>
      <c r="P24" s="88"/>
      <c r="Q24" s="95"/>
    </row>
    <row r="25" spans="4:17" s="2" customFormat="1" ht="12" customHeight="1">
      <c r="D25" s="22"/>
      <c r="E25" s="22"/>
      <c r="J25" s="5"/>
      <c r="K25" s="5"/>
      <c r="L25" s="5"/>
      <c r="M25" s="5"/>
      <c r="N25" s="5"/>
      <c r="O25" s="5"/>
      <c r="P25" s="88"/>
      <c r="Q25" s="95"/>
    </row>
    <row r="26" spans="4:17" s="2" customFormat="1" ht="12" customHeight="1">
      <c r="D26" s="22"/>
      <c r="E26" s="22"/>
      <c r="J26" s="5"/>
      <c r="K26" s="5"/>
      <c r="L26" s="5"/>
      <c r="M26" s="5"/>
      <c r="N26" s="5"/>
      <c r="O26" s="5"/>
      <c r="P26" s="88"/>
      <c r="Q26" s="95"/>
    </row>
    <row r="27" spans="4:17" s="2" customFormat="1" ht="12" customHeight="1">
      <c r="D27" s="22"/>
      <c r="E27" s="22"/>
      <c r="J27" s="5"/>
      <c r="K27" s="5"/>
      <c r="L27" s="5"/>
      <c r="M27" s="5"/>
      <c r="N27" s="5"/>
      <c r="O27" s="5"/>
      <c r="P27" s="88"/>
      <c r="Q27" s="95"/>
    </row>
    <row r="28" spans="4:17" s="2" customFormat="1" ht="12" customHeight="1">
      <c r="D28" s="22"/>
      <c r="E28" s="22"/>
      <c r="J28" s="5"/>
      <c r="K28" s="5"/>
      <c r="L28" s="5"/>
      <c r="M28" s="5"/>
      <c r="N28" s="5"/>
      <c r="O28" s="5"/>
      <c r="P28" s="88"/>
      <c r="Q28" s="95"/>
    </row>
    <row r="29" spans="4:17" s="2" customFormat="1" ht="12" customHeight="1">
      <c r="D29" s="22"/>
      <c r="E29" s="22"/>
      <c r="J29" s="5"/>
      <c r="K29" s="5"/>
      <c r="L29" s="5"/>
      <c r="M29" s="5"/>
      <c r="N29" s="5"/>
      <c r="O29" s="5"/>
      <c r="P29" s="88"/>
      <c r="Q29" s="95"/>
    </row>
    <row r="30" spans="4:17" s="2" customFormat="1" ht="12" customHeight="1">
      <c r="D30" s="22"/>
      <c r="E30" s="22"/>
      <c r="J30" s="5"/>
      <c r="K30" s="5"/>
      <c r="L30" s="5"/>
      <c r="M30" s="5"/>
      <c r="N30" s="5"/>
      <c r="O30" s="5"/>
      <c r="P30" s="88"/>
      <c r="Q30" s="95"/>
    </row>
    <row r="31" spans="4:17" s="2" customFormat="1" ht="12" customHeight="1">
      <c r="D31" s="22"/>
      <c r="E31" s="22"/>
      <c r="J31" s="5"/>
      <c r="K31" s="5"/>
      <c r="L31" s="5"/>
      <c r="M31" s="5"/>
      <c r="N31" s="5"/>
      <c r="O31" s="5"/>
      <c r="P31" s="88"/>
      <c r="Q31" s="95"/>
    </row>
    <row r="32" spans="4:17" s="2" customFormat="1" ht="12" customHeight="1">
      <c r="D32" s="22"/>
      <c r="E32" s="22"/>
      <c r="J32" s="5"/>
      <c r="K32" s="5"/>
      <c r="L32" s="5"/>
      <c r="M32" s="5"/>
      <c r="N32" s="5"/>
      <c r="O32" s="5"/>
      <c r="P32" s="88"/>
      <c r="Q32" s="95"/>
    </row>
    <row r="33" spans="4:17" s="2" customFormat="1" ht="12" customHeight="1">
      <c r="D33" s="22"/>
      <c r="E33" s="22"/>
      <c r="J33" s="5"/>
      <c r="K33" s="5"/>
      <c r="L33" s="5"/>
      <c r="M33" s="5"/>
      <c r="N33" s="5"/>
      <c r="O33" s="5"/>
      <c r="P33" s="88"/>
      <c r="Q33" s="95"/>
    </row>
    <row r="34" spans="4:17" s="2" customFormat="1" ht="12" customHeight="1">
      <c r="D34" s="22"/>
      <c r="E34" s="22"/>
      <c r="J34" s="5"/>
      <c r="K34" s="5"/>
      <c r="L34" s="5"/>
      <c r="M34" s="5"/>
      <c r="N34" s="5"/>
      <c r="O34" s="5"/>
      <c r="P34" s="88"/>
      <c r="Q34" s="95"/>
    </row>
    <row r="35" spans="4:17" s="2" customFormat="1" ht="12" customHeight="1">
      <c r="D35" s="22"/>
      <c r="E35" s="22"/>
      <c r="J35" s="5"/>
      <c r="K35" s="5"/>
      <c r="L35" s="5"/>
      <c r="M35" s="5"/>
      <c r="N35" s="5"/>
      <c r="O35" s="5"/>
      <c r="P35" s="88"/>
      <c r="Q35" s="95"/>
    </row>
    <row r="36" spans="4:17" s="2" customFormat="1" ht="12" customHeight="1">
      <c r="D36" s="22"/>
      <c r="E36" s="22"/>
      <c r="J36" s="5"/>
      <c r="K36" s="5"/>
      <c r="L36" s="5"/>
      <c r="M36" s="5"/>
      <c r="N36" s="5"/>
      <c r="O36" s="5"/>
      <c r="P36" s="88"/>
      <c r="Q36" s="95"/>
    </row>
    <row r="37" spans="4:17" s="2" customFormat="1" ht="12" customHeight="1">
      <c r="D37" s="22"/>
      <c r="E37" s="22"/>
      <c r="J37" s="5"/>
      <c r="K37" s="5"/>
      <c r="L37" s="5"/>
      <c r="M37" s="5"/>
      <c r="N37" s="5"/>
      <c r="O37" s="5"/>
      <c r="P37" s="88"/>
      <c r="Q37" s="95"/>
    </row>
    <row r="38" spans="4:17" s="2" customFormat="1" ht="12" customHeight="1">
      <c r="D38" s="22"/>
      <c r="E38" s="22"/>
      <c r="J38" s="5"/>
      <c r="K38" s="5"/>
      <c r="L38" s="5"/>
      <c r="M38" s="5"/>
      <c r="N38" s="5"/>
      <c r="O38" s="5"/>
      <c r="P38" s="88"/>
      <c r="Q38" s="95"/>
    </row>
    <row r="39" spans="4:17" s="2" customFormat="1" ht="12" customHeight="1">
      <c r="D39" s="22"/>
      <c r="E39" s="22"/>
      <c r="J39" s="5"/>
      <c r="K39" s="5"/>
      <c r="L39" s="5"/>
      <c r="M39" s="5"/>
      <c r="N39" s="5"/>
      <c r="O39" s="5"/>
      <c r="P39" s="88"/>
      <c r="Q39" s="95"/>
    </row>
    <row r="40" spans="4:17" s="2" customFormat="1" ht="12" customHeight="1">
      <c r="D40" s="22"/>
      <c r="E40" s="22"/>
      <c r="J40" s="5"/>
      <c r="K40" s="5"/>
      <c r="L40" s="5"/>
      <c r="M40" s="5"/>
      <c r="N40" s="5"/>
      <c r="O40" s="5"/>
      <c r="P40" s="88"/>
      <c r="Q40" s="95"/>
    </row>
    <row r="41" spans="4:17" s="2" customFormat="1" ht="12" customHeight="1">
      <c r="D41" s="22"/>
      <c r="E41" s="22"/>
      <c r="J41" s="5"/>
      <c r="K41" s="5"/>
      <c r="L41" s="5"/>
      <c r="M41" s="5"/>
      <c r="N41" s="5"/>
      <c r="O41" s="5"/>
      <c r="P41" s="88"/>
      <c r="Q41" s="95"/>
    </row>
    <row r="42" spans="4:17" s="2" customFormat="1" ht="12" customHeight="1">
      <c r="D42" s="22"/>
      <c r="E42" s="22"/>
      <c r="J42" s="5"/>
      <c r="K42" s="5"/>
      <c r="L42" s="5"/>
      <c r="M42" s="5"/>
      <c r="N42" s="5"/>
      <c r="O42" s="5"/>
      <c r="P42" s="88"/>
      <c r="Q42" s="95"/>
    </row>
    <row r="43" spans="4:17" s="2" customFormat="1" ht="12" customHeight="1">
      <c r="D43" s="22"/>
      <c r="E43" s="22"/>
      <c r="J43" s="5"/>
      <c r="K43" s="5"/>
      <c r="L43" s="5"/>
      <c r="M43" s="5"/>
      <c r="N43" s="5"/>
      <c r="O43" s="5"/>
      <c r="P43" s="88"/>
      <c r="Q43" s="95"/>
    </row>
    <row r="44" spans="4:17" s="2" customFormat="1" ht="12" customHeight="1">
      <c r="D44" s="22"/>
      <c r="E44" s="22"/>
      <c r="J44" s="5"/>
      <c r="K44" s="5"/>
      <c r="L44" s="5"/>
      <c r="M44" s="5"/>
      <c r="N44" s="5"/>
      <c r="O44" s="5"/>
      <c r="P44" s="88"/>
      <c r="Q44" s="95"/>
    </row>
    <row r="45" spans="4:17" s="2" customFormat="1" ht="12" customHeight="1">
      <c r="D45" s="22"/>
      <c r="E45" s="22"/>
      <c r="J45" s="5"/>
      <c r="K45" s="5"/>
      <c r="L45" s="5"/>
      <c r="M45" s="5"/>
      <c r="N45" s="5"/>
      <c r="O45" s="5"/>
      <c r="P45" s="88"/>
      <c r="Q45" s="95"/>
    </row>
    <row r="46" spans="4:17" s="2" customFormat="1" ht="12" customHeight="1">
      <c r="D46" s="22"/>
      <c r="E46" s="22"/>
      <c r="J46" s="5"/>
      <c r="K46" s="5"/>
      <c r="L46" s="5"/>
      <c r="M46" s="5"/>
      <c r="N46" s="5"/>
      <c r="O46" s="5"/>
      <c r="P46" s="88"/>
      <c r="Q46" s="95"/>
    </row>
    <row r="47" spans="4:17" s="2" customFormat="1" ht="12" customHeight="1">
      <c r="D47" s="22"/>
      <c r="E47" s="22"/>
      <c r="J47" s="5"/>
      <c r="K47" s="5"/>
      <c r="L47" s="5"/>
      <c r="M47" s="5"/>
      <c r="N47" s="5"/>
      <c r="O47" s="5"/>
      <c r="P47" s="88"/>
      <c r="Q47" s="95"/>
    </row>
    <row r="48" spans="4:17" s="2" customFormat="1" ht="12" customHeight="1">
      <c r="D48" s="22"/>
      <c r="E48" s="22"/>
      <c r="J48" s="5"/>
      <c r="K48" s="5"/>
      <c r="L48" s="5"/>
      <c r="M48" s="5"/>
      <c r="N48" s="5"/>
      <c r="O48" s="5"/>
      <c r="P48" s="88"/>
      <c r="Q48" s="95"/>
    </row>
    <row r="49" spans="1:17" s="2" customFormat="1" ht="12" customHeight="1">
      <c r="D49" s="22"/>
      <c r="E49" s="22"/>
      <c r="J49" s="5"/>
      <c r="K49" s="5"/>
      <c r="L49" s="5"/>
      <c r="M49" s="5"/>
      <c r="N49" s="5"/>
      <c r="O49" s="5"/>
      <c r="P49" s="88"/>
      <c r="Q49" s="95"/>
    </row>
    <row r="50" spans="1:17" s="2" customFormat="1" ht="12" customHeight="1">
      <c r="D50" s="22"/>
      <c r="E50" s="22"/>
      <c r="J50" s="5"/>
      <c r="K50" s="5"/>
      <c r="L50" s="5"/>
      <c r="M50" s="5"/>
      <c r="N50" s="5"/>
      <c r="O50" s="5"/>
      <c r="P50" s="88"/>
      <c r="Q50" s="95"/>
    </row>
    <row r="51" spans="1:17" s="2" customFormat="1" ht="12" customHeight="1">
      <c r="D51" s="22"/>
      <c r="E51" s="22"/>
      <c r="J51" s="5"/>
      <c r="K51" s="5"/>
      <c r="L51" s="5"/>
      <c r="M51" s="5"/>
      <c r="N51" s="5"/>
      <c r="O51" s="5"/>
      <c r="P51" s="88"/>
      <c r="Q51" s="96"/>
    </row>
    <row r="52" spans="1:17" s="2" customFormat="1" ht="12" customHeight="1">
      <c r="D52" s="22"/>
      <c r="E52" s="22"/>
      <c r="J52" s="5"/>
      <c r="K52" s="5"/>
      <c r="L52" s="5"/>
      <c r="M52" s="5"/>
      <c r="N52" s="5"/>
      <c r="O52" s="5"/>
      <c r="P52" s="88"/>
      <c r="Q52" s="96"/>
    </row>
    <row r="53" spans="1:17" s="2" customFormat="1" ht="12" customHeight="1">
      <c r="D53" s="22"/>
      <c r="E53" s="22"/>
      <c r="J53" s="5"/>
      <c r="K53" s="5"/>
      <c r="L53" s="5"/>
      <c r="M53" s="5"/>
      <c r="N53" s="5"/>
      <c r="O53" s="5"/>
      <c r="P53" s="88"/>
      <c r="Q53" s="96"/>
    </row>
    <row r="54" spans="1:17" s="2" customFormat="1" ht="12" customHeight="1">
      <c r="D54" s="22"/>
      <c r="E54" s="22"/>
      <c r="J54" s="5"/>
      <c r="K54" s="5"/>
      <c r="L54" s="5"/>
      <c r="M54" s="5"/>
      <c r="N54" s="5"/>
      <c r="O54" s="5"/>
      <c r="P54" s="88"/>
      <c r="Q54" s="96"/>
    </row>
    <row r="55" spans="1:17" s="2" customFormat="1" ht="12" customHeight="1">
      <c r="A55"/>
      <c r="B55"/>
      <c r="C55"/>
      <c r="D55" s="23"/>
      <c r="E55" s="23"/>
      <c r="F55"/>
      <c r="G55"/>
      <c r="H55"/>
      <c r="I55"/>
      <c r="J55" s="19"/>
      <c r="K55" s="19"/>
      <c r="L55" s="19"/>
      <c r="M55" s="19"/>
      <c r="N55" s="19"/>
      <c r="O55" s="19"/>
      <c r="P55" s="90"/>
      <c r="Q55" s="96"/>
    </row>
    <row r="56" spans="1:17" s="2" customFormat="1" ht="12" customHeight="1">
      <c r="A56"/>
      <c r="B56"/>
      <c r="C56"/>
      <c r="D56" s="23"/>
      <c r="E56" s="23"/>
      <c r="F56"/>
      <c r="G56"/>
      <c r="H56"/>
      <c r="I56"/>
      <c r="J56" s="19"/>
      <c r="K56" s="19"/>
      <c r="L56" s="19"/>
      <c r="M56" s="19"/>
      <c r="N56" s="19"/>
      <c r="O56" s="19"/>
      <c r="P56" s="90"/>
      <c r="Q56" s="96"/>
    </row>
    <row r="57" spans="1:17" s="2" customFormat="1" ht="12" customHeight="1">
      <c r="A57"/>
      <c r="B57"/>
      <c r="C57"/>
      <c r="D57" s="23"/>
      <c r="E57" s="23"/>
      <c r="F57"/>
      <c r="G57"/>
      <c r="H57"/>
      <c r="I57"/>
      <c r="J57" s="19"/>
      <c r="K57" s="19"/>
      <c r="L57" s="19"/>
      <c r="M57" s="19"/>
      <c r="N57" s="19"/>
      <c r="O57" s="19"/>
      <c r="P57" s="90"/>
      <c r="Q57" s="96"/>
    </row>
    <row r="58" spans="1:17" s="2" customFormat="1" ht="12" customHeight="1">
      <c r="A58"/>
      <c r="B58"/>
      <c r="C58"/>
      <c r="D58" s="23"/>
      <c r="E58" s="23"/>
      <c r="F58"/>
      <c r="G58"/>
      <c r="H58"/>
      <c r="I58"/>
      <c r="J58" s="19"/>
      <c r="K58" s="19"/>
      <c r="L58" s="19"/>
      <c r="M58" s="19"/>
      <c r="N58" s="19"/>
      <c r="O58" s="19"/>
      <c r="P58" s="90"/>
      <c r="Q58" s="96"/>
    </row>
    <row r="59" spans="1:17" s="2" customFormat="1" ht="12" customHeight="1">
      <c r="A59"/>
      <c r="B59"/>
      <c r="C59"/>
      <c r="D59" s="23"/>
      <c r="E59" s="23"/>
      <c r="F59"/>
      <c r="G59"/>
      <c r="H59"/>
      <c r="I59"/>
      <c r="J59" s="19"/>
      <c r="K59" s="19"/>
      <c r="L59" s="19"/>
      <c r="M59" s="19"/>
      <c r="N59" s="19"/>
      <c r="O59" s="19"/>
      <c r="P59" s="90"/>
      <c r="Q59" s="96"/>
    </row>
    <row r="60" spans="1:17">
      <c r="Q60" s="96"/>
    </row>
    <row r="61" spans="1:17">
      <c r="Q61" s="96"/>
    </row>
    <row r="62" spans="1:17">
      <c r="Q62" s="96"/>
    </row>
    <row r="63" spans="1:17">
      <c r="Q63" s="96"/>
    </row>
    <row r="64" spans="1:17">
      <c r="Q64" s="96"/>
    </row>
    <row r="65" spans="17:17">
      <c r="Q65" s="96"/>
    </row>
    <row r="66" spans="17:17">
      <c r="Q66" s="96"/>
    </row>
    <row r="67" spans="17:17">
      <c r="Q67" s="96"/>
    </row>
    <row r="68" spans="17:17">
      <c r="Q68" s="96"/>
    </row>
    <row r="69" spans="17:17">
      <c r="Q69" s="96"/>
    </row>
    <row r="70" spans="17:17">
      <c r="Q70" s="96"/>
    </row>
    <row r="71" spans="17:17">
      <c r="Q71" s="96"/>
    </row>
    <row r="72" spans="17:17">
      <c r="Q72" s="96"/>
    </row>
    <row r="73" spans="17:17">
      <c r="Q73" s="96"/>
    </row>
    <row r="74" spans="17:17">
      <c r="Q74" s="96"/>
    </row>
    <row r="75" spans="17:17">
      <c r="Q75" s="96"/>
    </row>
    <row r="76" spans="17:17">
      <c r="Q76" s="96"/>
    </row>
    <row r="77" spans="17:17">
      <c r="Q77" s="96"/>
    </row>
    <row r="78" spans="17:17">
      <c r="Q78" s="96"/>
    </row>
    <row r="79" spans="17:17">
      <c r="Q79" s="96"/>
    </row>
    <row r="116" ht="12" customHeight="1"/>
    <row r="117" ht="12" customHeight="1"/>
    <row r="118" ht="12" customHeight="1"/>
    <row r="119" ht="12" customHeight="1"/>
    <row r="120" ht="12" customHeight="1"/>
    <row r="121" ht="12" customHeight="1"/>
    <row r="122" ht="12" customHeight="1"/>
    <row r="123" ht="12" customHeight="1"/>
    <row r="124" ht="12" customHeight="1"/>
    <row r="125" ht="12" customHeight="1"/>
    <row r="126" ht="12" customHeight="1"/>
    <row r="127" ht="12" customHeight="1"/>
    <row r="128" ht="12" customHeight="1"/>
    <row r="129" ht="12" customHeight="1"/>
    <row r="130" ht="12" customHeight="1"/>
    <row r="131" ht="12" customHeight="1"/>
    <row r="132" ht="12" customHeight="1"/>
    <row r="133" ht="12" customHeight="1"/>
    <row r="134" ht="12" customHeight="1"/>
    <row r="135" ht="12" customHeight="1"/>
    <row r="136" ht="12" customHeight="1"/>
    <row r="137" ht="12" customHeight="1"/>
    <row r="138" ht="12" customHeight="1"/>
    <row r="139" ht="12" customHeight="1"/>
    <row r="140" ht="12" customHeight="1"/>
    <row r="141" ht="12" customHeight="1"/>
    <row r="142" ht="12" customHeight="1"/>
    <row r="143" ht="12" customHeight="1"/>
    <row r="144" ht="12" customHeight="1"/>
    <row r="145" ht="12" customHeight="1"/>
    <row r="146" ht="12" customHeight="1"/>
    <row r="147" ht="12" customHeight="1"/>
    <row r="148" ht="12" customHeight="1"/>
    <row r="149" ht="12" customHeight="1"/>
    <row r="150" ht="12" customHeight="1"/>
    <row r="151" ht="12" customHeight="1"/>
    <row r="152" ht="12" customHeight="1"/>
    <row r="153" ht="12" customHeight="1"/>
    <row r="154" ht="12" customHeight="1"/>
    <row r="155" ht="12" customHeight="1"/>
    <row r="156" ht="12" customHeight="1"/>
    <row r="157" ht="12" customHeight="1"/>
    <row r="158" ht="12" customHeight="1"/>
    <row r="159" ht="12" customHeight="1"/>
    <row r="160" ht="12" customHeight="1"/>
    <row r="161" ht="12" customHeight="1"/>
    <row r="162" ht="12" customHeight="1"/>
    <row r="163" ht="12" customHeight="1"/>
    <row r="164" ht="12" customHeight="1"/>
    <row r="165" ht="12" customHeight="1"/>
  </sheetData>
  <mergeCells count="19">
    <mergeCell ref="D6:E6"/>
    <mergeCell ref="H6:I6"/>
    <mergeCell ref="D1:E1"/>
    <mergeCell ref="D4:E4"/>
    <mergeCell ref="H4:I4"/>
    <mergeCell ref="D5:E5"/>
    <mergeCell ref="H5:I5"/>
    <mergeCell ref="D12:E12"/>
    <mergeCell ref="H12:I12"/>
    <mergeCell ref="D10:E10"/>
    <mergeCell ref="H10:I10"/>
    <mergeCell ref="D7:E7"/>
    <mergeCell ref="H7:I7"/>
    <mergeCell ref="D8:E8"/>
    <mergeCell ref="H8:I8"/>
    <mergeCell ref="D9:E9"/>
    <mergeCell ref="H9:I9"/>
    <mergeCell ref="D11:E11"/>
    <mergeCell ref="H11:I11"/>
  </mergeCells>
  <pageMargins left="0.7" right="0.7" top="0.75" bottom="0.75" header="0.3" footer="0.3"/>
  <pageSetup paperSize="3" fitToHeight="0" orientation="landscape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966C357B-AEDB-4BC4-A518-2E3DDCFD2CB5}">
          <x14:formula1>
            <xm:f>Assemblies!$E:$E</xm:f>
          </x14:formula1>
          <xm:sqref>C5:C11</xm:sqref>
        </x14:dataValidation>
      </x14:dataValidations>
    </ext>
  </extLst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576BB0-129A-4519-BF31-1E214A83EAD0}">
  <sheetPr codeName="Sheet79">
    <tabColor theme="3" tint="0.79998168889431442"/>
    <pageSetUpPr fitToPage="1"/>
  </sheetPr>
  <dimension ref="A1:Q227"/>
  <sheetViews>
    <sheetView topLeftCell="A32" zoomScaleNormal="100" workbookViewId="0">
      <selection activeCell="D59" sqref="D59:E59"/>
    </sheetView>
  </sheetViews>
  <sheetFormatPr defaultColWidth="9.140625" defaultRowHeight="15"/>
  <cols>
    <col min="1" max="1" width="5.7109375" customWidth="1"/>
    <col min="2" max="2" width="5.42578125" bestFit="1" customWidth="1"/>
    <col min="3" max="3" width="30.7109375" customWidth="1"/>
    <col min="4" max="5" width="20.7109375" style="23" customWidth="1"/>
    <col min="6" max="6" width="16.85546875" bestFit="1" customWidth="1"/>
    <col min="7" max="7" width="9.7109375" customWidth="1"/>
    <col min="8" max="8" width="8.7109375" customWidth="1"/>
    <col min="9" max="9" width="20.7109375" customWidth="1"/>
    <col min="10" max="13" width="11.7109375" style="19" customWidth="1"/>
    <col min="14" max="14" width="11.85546875" style="19" bestFit="1" customWidth="1"/>
    <col min="15" max="15" width="7.7109375" style="19" customWidth="1"/>
    <col min="16" max="16" width="10.7109375" style="90" customWidth="1"/>
    <col min="17" max="17" width="10.7109375" style="97" customWidth="1"/>
  </cols>
  <sheetData>
    <row r="1" spans="1:17" s="55" customFormat="1" ht="12" customHeight="1">
      <c r="A1" s="68" t="s">
        <v>0</v>
      </c>
      <c r="B1" s="69"/>
      <c r="C1" s="69"/>
      <c r="D1" s="262" t="s">
        <v>1</v>
      </c>
      <c r="E1" s="263"/>
      <c r="F1" s="70"/>
      <c r="G1" s="69"/>
      <c r="H1" s="70"/>
      <c r="I1" s="71"/>
      <c r="J1" s="72"/>
      <c r="K1" s="72"/>
      <c r="L1" s="72"/>
      <c r="M1" s="72"/>
      <c r="N1" s="72"/>
      <c r="O1" s="72"/>
      <c r="P1" s="85"/>
      <c r="Q1" s="91"/>
    </row>
    <row r="2" spans="1:17" s="55" customFormat="1" ht="12" customHeight="1">
      <c r="A2" s="74" t="s">
        <v>48</v>
      </c>
      <c r="B2" s="58"/>
      <c r="C2" s="57" t="e">
        <f ca="1">VLOOKUP(E3,Assemblies!B:F,4,0)</f>
        <v>#VALUE!</v>
      </c>
      <c r="D2" s="75" t="s">
        <v>3</v>
      </c>
      <c r="E2" s="76" t="e">
        <f ca="1">'GF12'!E2</f>
        <v>#VALUE!</v>
      </c>
      <c r="F2" s="77" t="s">
        <v>4</v>
      </c>
      <c r="G2" s="58" t="str">
        <f>'GF12'!G2</f>
        <v>GH</v>
      </c>
      <c r="H2" s="77" t="s">
        <v>6</v>
      </c>
      <c r="I2" s="59">
        <f>'GF12'!I2</f>
        <v>44775</v>
      </c>
      <c r="J2" s="39"/>
      <c r="K2" s="40" t="s">
        <v>49</v>
      </c>
      <c r="L2" s="41" t="e">
        <f ca="1">VLOOKUP(C2,Assemblies!E:G,3,0)</f>
        <v>#VALUE!</v>
      </c>
      <c r="M2" s="78"/>
      <c r="N2" s="78"/>
      <c r="O2" s="78"/>
      <c r="P2" s="86"/>
      <c r="Q2" s="92"/>
    </row>
    <row r="3" spans="1:17" s="55" customFormat="1" ht="12" customHeight="1" thickBot="1">
      <c r="A3" s="74" t="s">
        <v>7</v>
      </c>
      <c r="B3" s="58"/>
      <c r="C3" s="57" t="e">
        <f ca="1">VLOOKUP(E3,Assemblies!B:F,5,0)</f>
        <v>#VALUE!</v>
      </c>
      <c r="D3" s="75" t="s">
        <v>50</v>
      </c>
      <c r="E3" s="76" t="e">
        <f ca="1">MID(CELL("filename",A1),FIND("]",CELL("filename",A1))+1,256)</f>
        <v>#VALUE!</v>
      </c>
      <c r="F3" s="77" t="s">
        <v>11</v>
      </c>
      <c r="G3" s="58" t="str">
        <f>'GF12'!G3</f>
        <v>GH</v>
      </c>
      <c r="H3" s="77" t="s">
        <v>6</v>
      </c>
      <c r="I3" s="59">
        <f>'GF12'!I3</f>
        <v>44775</v>
      </c>
      <c r="J3" s="78"/>
      <c r="K3" s="78"/>
      <c r="L3" s="78"/>
      <c r="M3" s="78"/>
      <c r="N3" s="78"/>
      <c r="O3" s="78"/>
      <c r="P3" s="86"/>
      <c r="Q3" s="92"/>
    </row>
    <row r="4" spans="1:17" s="56" customFormat="1" ht="12.75" customHeight="1" thickBot="1">
      <c r="A4" s="80" t="s">
        <v>12</v>
      </c>
      <c r="B4" s="81" t="s">
        <v>13</v>
      </c>
      <c r="C4" s="81" t="s">
        <v>14</v>
      </c>
      <c r="D4" s="270" t="s">
        <v>15</v>
      </c>
      <c r="E4" s="271"/>
      <c r="F4" s="104" t="s">
        <v>16</v>
      </c>
      <c r="G4" s="81" t="s">
        <v>17</v>
      </c>
      <c r="H4" s="260" t="s">
        <v>18</v>
      </c>
      <c r="I4" s="261"/>
      <c r="J4" s="81" t="s">
        <v>51</v>
      </c>
      <c r="K4" s="81" t="s">
        <v>20</v>
      </c>
      <c r="L4" s="81" t="s">
        <v>21</v>
      </c>
      <c r="M4" s="81" t="s">
        <v>52</v>
      </c>
      <c r="N4" s="81" t="s">
        <v>22</v>
      </c>
      <c r="O4" s="81" t="s">
        <v>53</v>
      </c>
      <c r="P4" s="107" t="s">
        <v>26</v>
      </c>
      <c r="Q4" s="82" t="s">
        <v>27</v>
      </c>
    </row>
    <row r="5" spans="1:17" s="2" customFormat="1" ht="12.75" customHeight="1">
      <c r="A5" s="127">
        <v>1</v>
      </c>
      <c r="B5" s="21">
        <v>4</v>
      </c>
      <c r="C5" s="108" t="s">
        <v>869</v>
      </c>
      <c r="D5" s="277" t="str">
        <f>VLOOKUP(C5,Machined!C:Q,2,0)</f>
        <v>SPOUT CROSSWEB RAIL PLATE</v>
      </c>
      <c r="E5" s="278"/>
      <c r="F5" s="131" t="str">
        <f>VLOOKUP(C5,Machined!C:R,7,0)</f>
        <v xml:space="preserve">MIC 6 </v>
      </c>
      <c r="G5" s="131" t="str">
        <f>VLOOKUP(C5,Machined!C:R,10,0)</f>
        <v>DETAILED MACH</v>
      </c>
      <c r="H5" s="131" t="str">
        <f>VLOOKUP(C5,Machined!C:R,11,0)</f>
        <v>shipped 9/29/23</v>
      </c>
      <c r="I5" s="131"/>
      <c r="J5" s="42">
        <f>VLOOKUP(C5,Machined!C:R,12,0)</f>
        <v>45156</v>
      </c>
      <c r="K5" s="42">
        <f>VLOOKUP(C5,Machined!C:R,13,0)</f>
        <v>45162</v>
      </c>
      <c r="L5" s="42">
        <f>VLOOKUP(C5,Machined!C:R,14,0)</f>
        <v>45190</v>
      </c>
      <c r="M5" s="42">
        <f>VLOOKUP(C5,Machined!C:R,15,0)</f>
        <v>45190</v>
      </c>
      <c r="N5" s="43">
        <f>VLOOKUP(C5,Machined!C:R,16,0)</f>
        <v>55101</v>
      </c>
      <c r="O5" s="43" t="e">
        <f t="shared" ref="O5:O14" ca="1" si="0">B5*$L$2</f>
        <v>#VALUE!</v>
      </c>
      <c r="P5" s="47">
        <f>IFERROR(VLOOKUP(C5,Machined!C:F,3,0),"")</f>
        <v>0</v>
      </c>
      <c r="Q5" s="48">
        <f t="shared" ref="Q5:Q14" si="1">IFERROR(B5*P5,"")</f>
        <v>0</v>
      </c>
    </row>
    <row r="6" spans="1:17" s="2" customFormat="1" ht="12.75" customHeight="1">
      <c r="A6" s="127">
        <v>2</v>
      </c>
      <c r="B6" s="21">
        <v>2</v>
      </c>
      <c r="C6" s="108" t="s">
        <v>870</v>
      </c>
      <c r="D6" s="277" t="str">
        <f>VLOOKUP(C6,Machined!C:Q,2,0)</f>
        <v>CAP, SPOUT LEAD SCREW PLATE</v>
      </c>
      <c r="E6" s="278"/>
      <c r="F6" s="131" t="str">
        <f>VLOOKUP(C6,Machined!C:R,7,0)</f>
        <v xml:space="preserve">MIC 6 </v>
      </c>
      <c r="G6" s="131" t="str">
        <f>VLOOKUP(C6,Machined!C:R,10,0)</f>
        <v>DETAILED MACH</v>
      </c>
      <c r="H6" s="131" t="str">
        <f>VLOOKUP(C6,Machined!C:R,11,0)</f>
        <v xml:space="preserve">  </v>
      </c>
      <c r="I6" s="131"/>
      <c r="J6" s="42">
        <f>VLOOKUP(C6,Machined!C:R,12,0)</f>
        <v>45156</v>
      </c>
      <c r="K6" s="42">
        <f>VLOOKUP(C6,Machined!C:R,13,0)</f>
        <v>45162</v>
      </c>
      <c r="L6" s="42">
        <f>VLOOKUP(C6,Machined!C:R,14,0)</f>
        <v>45190</v>
      </c>
      <c r="M6" s="42">
        <f>VLOOKUP(C6,Machined!C:R,15,0)</f>
        <v>45190</v>
      </c>
      <c r="N6" s="43">
        <f>VLOOKUP(C6,Machined!C:R,16,0)</f>
        <v>55101</v>
      </c>
      <c r="O6" s="43" t="e">
        <f t="shared" ca="1" si="0"/>
        <v>#VALUE!</v>
      </c>
      <c r="P6" s="47">
        <f>IFERROR(VLOOKUP(C6,Machined!C:F,3,0),"")</f>
        <v>0</v>
      </c>
      <c r="Q6" s="48">
        <f t="shared" si="1"/>
        <v>0</v>
      </c>
    </row>
    <row r="7" spans="1:17" s="2" customFormat="1" ht="12.75" customHeight="1">
      <c r="A7" s="127">
        <v>3</v>
      </c>
      <c r="B7" s="21">
        <v>2</v>
      </c>
      <c r="C7" s="108" t="s">
        <v>871</v>
      </c>
      <c r="D7" s="277" t="str">
        <f>VLOOKUP(C7,Machined!C:Q,2,0)</f>
        <v>CAP, SPOUT LEAD SCREW END PLATE</v>
      </c>
      <c r="E7" s="278"/>
      <c r="F7" s="131" t="str">
        <f>VLOOKUP(C7,Machined!C:R,7,0)</f>
        <v>MIC 6</v>
      </c>
      <c r="G7" s="131" t="str">
        <f>VLOOKUP(C7,Machined!C:R,10,0)</f>
        <v>DETAILED MACH</v>
      </c>
      <c r="H7" s="131" t="str">
        <f>VLOOKUP(C7,Machined!C:R,11,0)</f>
        <v xml:space="preserve">  </v>
      </c>
      <c r="I7" s="131"/>
      <c r="J7" s="42">
        <f>VLOOKUP(C7,Machined!C:R,12,0)</f>
        <v>45156</v>
      </c>
      <c r="K7" s="42">
        <f>VLOOKUP(C7,Machined!C:R,13,0)</f>
        <v>45162</v>
      </c>
      <c r="L7" s="42">
        <f>VLOOKUP(C7,Machined!C:R,14,0)</f>
        <v>45190</v>
      </c>
      <c r="M7" s="42">
        <f>VLOOKUP(C7,Machined!C:R,15,0)</f>
        <v>45190</v>
      </c>
      <c r="N7" s="43">
        <f>VLOOKUP(C7,Machined!C:R,16,0)</f>
        <v>55101</v>
      </c>
      <c r="O7" s="43" t="e">
        <f t="shared" ca="1" si="0"/>
        <v>#VALUE!</v>
      </c>
      <c r="P7" s="47">
        <f>IFERROR(VLOOKUP(C7,Machined!C:F,3,0),"")</f>
        <v>0</v>
      </c>
      <c r="Q7" s="48">
        <f t="shared" si="1"/>
        <v>0</v>
      </c>
    </row>
    <row r="8" spans="1:17" s="2" customFormat="1" ht="12.75" customHeight="1">
      <c r="A8" s="127">
        <v>4</v>
      </c>
      <c r="B8" s="21">
        <v>1</v>
      </c>
      <c r="C8" s="108" t="s">
        <v>872</v>
      </c>
      <c r="D8" s="277" t="str">
        <f>VLOOKUP(C8,Machined!C:Q,2,0)</f>
        <v>GEARSHAFT SUPPORT 
BLOCK</v>
      </c>
      <c r="E8" s="278"/>
      <c r="F8" s="131" t="str">
        <f>VLOOKUP(C8,Machined!C:R,7,0)</f>
        <v>6061-T6 Alum</v>
      </c>
      <c r="G8" s="131" t="str">
        <f>VLOOKUP(C8,Machined!C:R,10,0)</f>
        <v>DETAILED MACH</v>
      </c>
      <c r="H8" s="131" t="str">
        <f>VLOOKUP(C8,Machined!C:R,11,0)</f>
        <v>shipped 9/29/23</v>
      </c>
      <c r="I8" s="131"/>
      <c r="J8" s="42">
        <f>VLOOKUP(C8,Machined!C:R,12,0)</f>
        <v>45156</v>
      </c>
      <c r="K8" s="42">
        <f>VLOOKUP(C8,Machined!C:R,13,0)</f>
        <v>45162</v>
      </c>
      <c r="L8" s="42">
        <f>VLOOKUP(C8,Machined!C:R,14,0)</f>
        <v>45190</v>
      </c>
      <c r="M8" s="42">
        <f>VLOOKUP(C8,Machined!C:R,15,0)</f>
        <v>45190</v>
      </c>
      <c r="N8" s="43">
        <f>VLOOKUP(C8,Machined!C:R,16,0)</f>
        <v>55101</v>
      </c>
      <c r="O8" s="43" t="e">
        <f t="shared" ca="1" si="0"/>
        <v>#VALUE!</v>
      </c>
      <c r="P8" s="47">
        <f>IFERROR(VLOOKUP(C8,Machined!C:F,3,0),"")</f>
        <v>0</v>
      </c>
      <c r="Q8" s="48">
        <f t="shared" si="1"/>
        <v>0</v>
      </c>
    </row>
    <row r="9" spans="1:17" s="2" customFormat="1" ht="12.75" customHeight="1">
      <c r="A9" s="127">
        <v>5</v>
      </c>
      <c r="B9" s="21">
        <v>2</v>
      </c>
      <c r="C9" s="108" t="s">
        <v>873</v>
      </c>
      <c r="D9" s="277" t="str">
        <f>VLOOKUP(C9,Machined!C:Q,2,0)</f>
        <v>SPOUT STATION SIDE PLATE</v>
      </c>
      <c r="E9" s="278"/>
      <c r="F9" s="131" t="str">
        <f>VLOOKUP(C9,Machined!C:R,7,0)</f>
        <v xml:space="preserve">MIC 6 </v>
      </c>
      <c r="G9" s="131" t="str">
        <f>VLOOKUP(C9,Machined!C:R,10,0)</f>
        <v>DETAILED MACH</v>
      </c>
      <c r="H9" s="131" t="str">
        <f>VLOOKUP(C9,Machined!C:R,11,0)</f>
        <v>shipped 9/29/23</v>
      </c>
      <c r="I9" s="131"/>
      <c r="J9" s="42">
        <f>VLOOKUP(C9,Machined!C:R,12,0)</f>
        <v>45156</v>
      </c>
      <c r="K9" s="42">
        <f>VLOOKUP(C9,Machined!C:R,13,0)</f>
        <v>45162</v>
      </c>
      <c r="L9" s="42">
        <f>VLOOKUP(C9,Machined!C:R,14,0)</f>
        <v>45190</v>
      </c>
      <c r="M9" s="42">
        <f>VLOOKUP(C9,Machined!C:R,15,0)</f>
        <v>45190</v>
      </c>
      <c r="N9" s="43">
        <f>VLOOKUP(C9,Machined!C:R,16,0)</f>
        <v>55101</v>
      </c>
      <c r="O9" s="43" t="e">
        <f t="shared" ca="1" si="0"/>
        <v>#VALUE!</v>
      </c>
      <c r="P9" s="47">
        <f>IFERROR(VLOOKUP(C9,Machined!C:F,3,0),"")</f>
        <v>0</v>
      </c>
      <c r="Q9" s="48">
        <f t="shared" si="1"/>
        <v>0</v>
      </c>
    </row>
    <row r="10" spans="1:17" s="2" customFormat="1" ht="12.75" customHeight="1">
      <c r="A10" s="127">
        <v>6</v>
      </c>
      <c r="B10" s="21">
        <v>1</v>
      </c>
      <c r="C10" s="108" t="s">
        <v>874</v>
      </c>
      <c r="D10" s="277" t="str">
        <f>VLOOKUP(C10,Machined!C:Q,2,0)</f>
        <v>JOINING GEARSHAFT, 12MM</v>
      </c>
      <c r="E10" s="278"/>
      <c r="F10" s="131" t="str">
        <f>VLOOKUP(C10,Machined!C:R,7,0)</f>
        <v>303 SS - TG&amp;P</v>
      </c>
      <c r="G10" s="131" t="str">
        <f>VLOOKUP(C10,Machined!C:R,10,0)</f>
        <v>ALEXANDRIA, Nuline</v>
      </c>
      <c r="H10" s="131" t="str">
        <f>VLOOKUP(C10,Machined!C:R,11,0)</f>
        <v xml:space="preserve"> </v>
      </c>
      <c r="I10" s="131"/>
      <c r="J10" s="42" t="str">
        <f>VLOOKUP(C10,Machined!C:R,12,0)</f>
        <v>N/A</v>
      </c>
      <c r="K10" s="42" t="str">
        <f>VLOOKUP(C10,Machined!C:R,13,0)</f>
        <v>N/A</v>
      </c>
      <c r="L10" s="42" t="str">
        <f>VLOOKUP(C10,Machined!C:R,14,0)</f>
        <v>N/A</v>
      </c>
      <c r="M10" s="42" t="str">
        <f>VLOOKUP(C10,Machined!C:R,15,0)</f>
        <v>N/A</v>
      </c>
      <c r="N10" s="43">
        <f>VLOOKUP(C10,Machined!C:R,16,0)</f>
        <v>55018</v>
      </c>
      <c r="O10" s="43" t="e">
        <f t="shared" ca="1" si="0"/>
        <v>#VALUE!</v>
      </c>
      <c r="P10" s="47">
        <f>IFERROR(VLOOKUP(C10,Machined!C:F,3,0),"")</f>
        <v>48.52</v>
      </c>
      <c r="Q10" s="48">
        <f t="shared" si="1"/>
        <v>48.52</v>
      </c>
    </row>
    <row r="11" spans="1:17" s="2" customFormat="1" ht="12.75" customHeight="1">
      <c r="A11" s="127">
        <v>7</v>
      </c>
      <c r="B11" s="21">
        <v>1</v>
      </c>
      <c r="C11" s="108" t="s">
        <v>875</v>
      </c>
      <c r="D11" s="277" t="str">
        <f>VLOOKUP(C11,Machined!C:Q,2,0)</f>
        <v>IDLER GEARSHAFT, CROSS SEAL</v>
      </c>
      <c r="E11" s="278"/>
      <c r="F11" s="131" t="str">
        <f>VLOOKUP(C11,Machined!C:R,7,0)</f>
        <v>303 SS - TG&amp;P</v>
      </c>
      <c r="G11" s="131" t="str">
        <f>VLOOKUP(C11,Machined!C:R,10,0)</f>
        <v>ALEXANDRIA, Big Sky</v>
      </c>
      <c r="H11" s="131" t="str">
        <f>VLOOKUP(C11,Machined!C:R,11,0)</f>
        <v xml:space="preserve">  </v>
      </c>
      <c r="I11" s="131"/>
      <c r="J11" s="42" t="str">
        <f>VLOOKUP(C11,Machined!C:R,12,0)</f>
        <v>N/A</v>
      </c>
      <c r="K11" s="42">
        <f>VLOOKUP(C11,Machined!C:R,13,0)</f>
        <v>45161</v>
      </c>
      <c r="L11" s="42">
        <f>VLOOKUP(C11,Machined!C:R,14,0)</f>
        <v>45180</v>
      </c>
      <c r="M11" s="42">
        <f>VLOOKUP(C11,Machined!C:R,15,0)</f>
        <v>45180</v>
      </c>
      <c r="N11" s="43" t="str">
        <f>VLOOKUP(C11,Machined!C:R,16,0)</f>
        <v>55018, 55091</v>
      </c>
      <c r="O11" s="43" t="e">
        <f t="shared" ca="1" si="0"/>
        <v>#VALUE!</v>
      </c>
      <c r="P11" s="47">
        <f>IFERROR(VLOOKUP(C11,Machined!C:F,3,0),"")</f>
        <v>35.86</v>
      </c>
      <c r="Q11" s="48">
        <f t="shared" si="1"/>
        <v>35.86</v>
      </c>
    </row>
    <row r="12" spans="1:17" s="2" customFormat="1" ht="12.75" customHeight="1">
      <c r="A12" s="127">
        <v>8</v>
      </c>
      <c r="B12" s="21">
        <v>4</v>
      </c>
      <c r="C12" s="108" t="s">
        <v>876</v>
      </c>
      <c r="D12" s="277" t="str">
        <f>VLOOKUP(C12,Machined!C:Q,2,0)</f>
        <v>BRL 15mm RUNNER BLOCK SPACER</v>
      </c>
      <c r="E12" s="278"/>
      <c r="F12" s="131" t="str">
        <f>VLOOKUP(C12,Machined!C:R,7,0)</f>
        <v>6061-T6 Alum</v>
      </c>
      <c r="G12" s="131" t="str">
        <f>VLOOKUP(C12,Machined!C:R,10,0)</f>
        <v>FRONTIER</v>
      </c>
      <c r="H12" s="131" t="str">
        <f>VLOOKUP(C12,Machined!C:R,11,0)</f>
        <v xml:space="preserve">  </v>
      </c>
      <c r="I12" s="131"/>
      <c r="J12" s="42">
        <f>VLOOKUP(C12,Machined!C:R,12,0)</f>
        <v>45139</v>
      </c>
      <c r="K12" s="42">
        <f>VLOOKUP(C12,Machined!C:R,13,0)</f>
        <v>45140</v>
      </c>
      <c r="L12" s="42">
        <f>VLOOKUP(C12,Machined!C:R,14,0)</f>
        <v>45170</v>
      </c>
      <c r="M12" s="42">
        <f>VLOOKUP(C12,Machined!C:R,15,0)</f>
        <v>45170</v>
      </c>
      <c r="N12" s="43">
        <f>VLOOKUP(C12,Machined!C:R,16,0)</f>
        <v>55025</v>
      </c>
      <c r="O12" s="43" t="e">
        <f t="shared" ca="1" si="0"/>
        <v>#VALUE!</v>
      </c>
      <c r="P12" s="47">
        <f>IFERROR(VLOOKUP(C12,Machined!C:F,3,0),"")</f>
        <v>0</v>
      </c>
      <c r="Q12" s="48">
        <f t="shared" si="1"/>
        <v>0</v>
      </c>
    </row>
    <row r="13" spans="1:17" s="2" customFormat="1" ht="12.75" customHeight="1">
      <c r="A13" s="127">
        <v>9</v>
      </c>
      <c r="B13" s="21">
        <v>2</v>
      </c>
      <c r="C13" s="108" t="s">
        <v>877</v>
      </c>
      <c r="D13" s="277" t="str">
        <f>VLOOKUP(C13,Machined!C:Q,2,0)</f>
        <v>ZIMMER 15mm BRAKE SPACER</v>
      </c>
      <c r="E13" s="278"/>
      <c r="F13" s="131" t="str">
        <f>VLOOKUP(C13,Machined!C:R,7,0)</f>
        <v>6061-T6 Alum</v>
      </c>
      <c r="G13" s="131" t="str">
        <f>VLOOKUP(C13,Machined!C:R,10,0)</f>
        <v>FRONTIER</v>
      </c>
      <c r="H13" s="131" t="str">
        <f>VLOOKUP(C13,Machined!C:R,11,0)</f>
        <v xml:space="preserve">  </v>
      </c>
      <c r="I13" s="131"/>
      <c r="J13" s="42">
        <f>VLOOKUP(C13,Machined!C:R,12,0)</f>
        <v>45139</v>
      </c>
      <c r="K13" s="42">
        <f>VLOOKUP(C13,Machined!C:R,13,0)</f>
        <v>45140</v>
      </c>
      <c r="L13" s="42">
        <f>VLOOKUP(C13,Machined!C:R,14,0)</f>
        <v>45170</v>
      </c>
      <c r="M13" s="42">
        <f>VLOOKUP(C13,Machined!C:R,15,0)</f>
        <v>45170</v>
      </c>
      <c r="N13" s="43">
        <f>VLOOKUP(C13,Machined!C:R,16,0)</f>
        <v>55025</v>
      </c>
      <c r="O13" s="43" t="e">
        <f t="shared" ca="1" si="0"/>
        <v>#VALUE!</v>
      </c>
      <c r="P13" s="47">
        <f>IFERROR(VLOOKUP(C13,Machined!C:F,3,0),"")</f>
        <v>0</v>
      </c>
      <c r="Q13" s="48">
        <f t="shared" si="1"/>
        <v>0</v>
      </c>
    </row>
    <row r="14" spans="1:17" s="2" customFormat="1" ht="12.75" customHeight="1">
      <c r="A14" s="127">
        <v>10</v>
      </c>
      <c r="B14" s="21">
        <v>4</v>
      </c>
      <c r="C14" s="108" t="s">
        <v>878</v>
      </c>
      <c r="D14" s="277" t="str">
        <f>VLOOKUP(C14,Machined!C:Q,2,0)</f>
        <v>EXTENSION PLATE SPACER</v>
      </c>
      <c r="E14" s="278"/>
      <c r="F14" s="131" t="str">
        <f>VLOOKUP(C14,Machined!C:R,7,0)</f>
        <v>6061-T6 Alum</v>
      </c>
      <c r="G14" s="131" t="str">
        <f>VLOOKUP(C14,Machined!C:R,10,0)</f>
        <v>DETAILED MACH</v>
      </c>
      <c r="H14" s="131" t="str">
        <f>VLOOKUP(C14,Machined!C:R,11,0)</f>
        <v>shipped 9/29/23</v>
      </c>
      <c r="I14" s="131"/>
      <c r="J14" s="42">
        <f>VLOOKUP(C14,Machined!C:R,12,0)</f>
        <v>45156</v>
      </c>
      <c r="K14" s="42">
        <f>VLOOKUP(C14,Machined!C:R,13,0)</f>
        <v>45162</v>
      </c>
      <c r="L14" s="42">
        <f>VLOOKUP(C14,Machined!C:R,14,0)</f>
        <v>45190</v>
      </c>
      <c r="M14" s="42">
        <f>VLOOKUP(C14,Machined!C:R,15,0)</f>
        <v>45190</v>
      </c>
      <c r="N14" s="43">
        <f>VLOOKUP(C14,Machined!C:R,16,0)</f>
        <v>55101</v>
      </c>
      <c r="O14" s="43" t="e">
        <f t="shared" ca="1" si="0"/>
        <v>#VALUE!</v>
      </c>
      <c r="P14" s="47">
        <f>IFERROR(VLOOKUP(C14,Machined!C:F,3,0),"")</f>
        <v>0</v>
      </c>
      <c r="Q14" s="48">
        <f t="shared" si="1"/>
        <v>0</v>
      </c>
    </row>
    <row r="15" spans="1:17" s="2" customFormat="1" ht="12.75" customHeight="1">
      <c r="A15" s="242">
        <v>11</v>
      </c>
      <c r="B15" s="243">
        <v>5</v>
      </c>
      <c r="C15" s="108" t="s">
        <v>879</v>
      </c>
      <c r="D15" s="277" t="str">
        <f>VLOOKUP(C15,Machined!C:Q,2,0)</f>
        <v>TENSIONER CAP WASHER</v>
      </c>
      <c r="E15" s="278"/>
      <c r="F15" s="131" t="str">
        <f>VLOOKUP(C15,Machined!C:R,7,0)</f>
        <v>303 SS - TG&amp;P</v>
      </c>
      <c r="G15" s="131" t="str">
        <f>VLOOKUP(C15,Machined!C:R,10,0)</f>
        <v>XOMETRY</v>
      </c>
      <c r="H15" s="131">
        <f>VLOOKUP(C15,Machined!C:R,11,0)</f>
        <v>0</v>
      </c>
      <c r="I15" s="131"/>
      <c r="J15" s="42">
        <f>VLOOKUP(C15,Machined!C:R,12,0)</f>
        <v>45228</v>
      </c>
      <c r="K15" s="42">
        <f>VLOOKUP(C15,Machined!C:R,13,0)</f>
        <v>45228</v>
      </c>
      <c r="L15" s="42">
        <f>VLOOKUP(C15,Machined!C:R,14,0)</f>
        <v>45238</v>
      </c>
      <c r="M15" s="42">
        <f>VLOOKUP(C15,Machined!C:R,15,0)</f>
        <v>45237</v>
      </c>
      <c r="N15" s="43">
        <f>VLOOKUP(C15,Machined!C:R,16,0)</f>
        <v>55254</v>
      </c>
      <c r="O15" s="43" t="e">
        <f t="shared" ref="O15:O16" ca="1" si="2">B15*$L$2</f>
        <v>#VALUE!</v>
      </c>
      <c r="P15" s="47">
        <f>IFERROR(VLOOKUP(C15,Machined!C:F,3,0),"")</f>
        <v>1.98</v>
      </c>
      <c r="Q15" s="48">
        <f t="shared" ref="Q15:Q16" si="3">IFERROR(B15*P15,"")</f>
        <v>9.9</v>
      </c>
    </row>
    <row r="16" spans="1:17" s="2" customFormat="1" ht="12.75" customHeight="1">
      <c r="A16" s="242">
        <v>12</v>
      </c>
      <c r="B16" s="243">
        <v>5</v>
      </c>
      <c r="C16" s="108" t="s">
        <v>880</v>
      </c>
      <c r="D16" s="277" t="str">
        <f>VLOOKUP(C16,Machined!C:Q,2,0)</f>
        <v>TENSIONER CAP BRACKET</v>
      </c>
      <c r="E16" s="278"/>
      <c r="F16" s="131" t="str">
        <f>VLOOKUP(C16,Machined!C:R,7,0)</f>
        <v>303 SS - TG&amp;P</v>
      </c>
      <c r="G16" s="131" t="str">
        <f>VLOOKUP(C16,Machined!C:R,10,0)</f>
        <v>XOMETRY</v>
      </c>
      <c r="H16" s="131">
        <f>VLOOKUP(C16,Machined!C:R,11,0)</f>
        <v>0</v>
      </c>
      <c r="I16" s="131"/>
      <c r="J16" s="42">
        <f>VLOOKUP(C16,Machined!C:R,12,0)</f>
        <v>45228</v>
      </c>
      <c r="K16" s="42">
        <f>VLOOKUP(C16,Machined!C:R,13,0)</f>
        <v>45228</v>
      </c>
      <c r="L16" s="42">
        <f>VLOOKUP(C16,Machined!C:R,14,0)</f>
        <v>45238</v>
      </c>
      <c r="M16" s="42">
        <f>VLOOKUP(C16,Machined!C:R,15,0)</f>
        <v>45237</v>
      </c>
      <c r="N16" s="43">
        <f>VLOOKUP(C16,Machined!C:R,16,0)</f>
        <v>55254</v>
      </c>
      <c r="O16" s="43" t="e">
        <f t="shared" ca="1" si="2"/>
        <v>#VALUE!</v>
      </c>
      <c r="P16" s="47">
        <f>IFERROR(VLOOKUP(C16,Machined!C:F,3,0),"")</f>
        <v>2.38</v>
      </c>
      <c r="Q16" s="48">
        <f t="shared" si="3"/>
        <v>11.899999999999999</v>
      </c>
    </row>
    <row r="17" spans="1:17" s="2" customFormat="1" ht="12.75" customHeight="1">
      <c r="A17" s="143"/>
      <c r="B17" s="26"/>
      <c r="C17" s="26"/>
      <c r="D17" s="272"/>
      <c r="E17" s="273"/>
      <c r="F17" s="26"/>
      <c r="G17" s="26"/>
      <c r="H17" s="274"/>
      <c r="I17" s="275"/>
      <c r="J17" s="27"/>
      <c r="K17" s="27"/>
      <c r="L17" s="27"/>
      <c r="M17" s="28"/>
      <c r="N17" s="29"/>
      <c r="O17" s="29"/>
      <c r="P17" s="141"/>
      <c r="Q17" s="142"/>
    </row>
    <row r="18" spans="1:17" s="2" customFormat="1" ht="12.75" customHeight="1">
      <c r="A18" s="4">
        <v>301</v>
      </c>
      <c r="B18" s="2">
        <v>4</v>
      </c>
      <c r="C18" s="114" t="s">
        <v>881</v>
      </c>
      <c r="D18" s="268" t="str">
        <f>VLOOKUP(C18,Purchased!A:B,2,0)</f>
        <v xml:space="preserve">BRL 15mm Ball Rail, assy 340, spout lift and spout seal </v>
      </c>
      <c r="E18" s="269"/>
      <c r="F18" s="112" t="str">
        <f>VLOOKUP(C18,Purchased!A:Q,9,0)</f>
        <v>BRL</v>
      </c>
      <c r="G18" s="112" t="str">
        <f>VLOOKUP(C18,Purchased!A:Q,10,0)</f>
        <v>AAP</v>
      </c>
      <c r="H18" s="112" t="str">
        <f>VLOOKUP(C18,Purchased!A:Q,12,0)</f>
        <v xml:space="preserve"> </v>
      </c>
      <c r="I18" s="113"/>
      <c r="J18" s="44">
        <f>VLOOKUP(C18,Purchased!A:Q,13,0)</f>
        <v>45093</v>
      </c>
      <c r="K18" s="44">
        <f>VLOOKUP(C18,Purchased!A:Q,14,0)</f>
        <v>45093</v>
      </c>
      <c r="L18" s="44">
        <f>VLOOKUP(C18,Purchased!A:Q,15,0)</f>
        <v>45184</v>
      </c>
      <c r="M18" s="44">
        <f>VLOOKUP(C18,Purchased!A:Q,16,0)</f>
        <v>45184</v>
      </c>
      <c r="N18" s="45">
        <f>VLOOKUP(C18,Purchased!A:Q,17,0)</f>
        <v>54942</v>
      </c>
      <c r="O18" s="45" t="e">
        <f t="shared" ref="O18:O61" ca="1" si="4">B18*$L$2</f>
        <v>#VALUE!</v>
      </c>
      <c r="P18" s="49">
        <f>IFERROR(VLOOKUP(C18,Purchased!A:E,3,FALSE),"")</f>
        <v>466.46</v>
      </c>
      <c r="Q18" s="50">
        <f t="shared" ref="Q18:Q49" si="5">IFERROR(B18*P18,"")</f>
        <v>1865.84</v>
      </c>
    </row>
    <row r="19" spans="1:17" s="2" customFormat="1" ht="12" customHeight="1">
      <c r="A19" s="4">
        <f t="shared" ref="A19:A53" si="6">A18+1</f>
        <v>302</v>
      </c>
      <c r="B19" s="2">
        <v>2</v>
      </c>
      <c r="C19" s="114" t="s">
        <v>882</v>
      </c>
      <c r="D19" s="268" t="str">
        <f>VLOOKUP(C19,Purchased!A:B,2,0)</f>
        <v>XL Series Timing Belt Trade No. 630xL037</v>
      </c>
      <c r="E19" s="269"/>
      <c r="F19" s="112" t="str">
        <f>VLOOKUP(C19,Purchased!A:Q,9,0)</f>
        <v>MCM</v>
      </c>
      <c r="G19" s="112" t="str">
        <f>VLOOKUP(C19,Purchased!A:Q,10,0)</f>
        <v>MCM</v>
      </c>
      <c r="H19" s="112" t="str">
        <f>VLOOKUP(C19,Purchased!A:Q,12,0)</f>
        <v xml:space="preserve"> </v>
      </c>
      <c r="I19" s="113"/>
      <c r="J19" s="44" t="str">
        <f>VLOOKUP(C19,Purchased!A:Q,13,0)</f>
        <v>N/A</v>
      </c>
      <c r="K19" s="44">
        <f>VLOOKUP(C19,Purchased!A:Q,14,0)</f>
        <v>45196</v>
      </c>
      <c r="L19" s="44">
        <f>VLOOKUP(C19,Purchased!A:Q,15,0)</f>
        <v>45197</v>
      </c>
      <c r="M19" s="44">
        <f>VLOOKUP(C19,Purchased!A:Q,16,0)</f>
        <v>45197</v>
      </c>
      <c r="N19" s="45">
        <f>VLOOKUP(C19,Purchased!A:Q,17,0)</f>
        <v>55167</v>
      </c>
      <c r="O19" s="45" t="e">
        <f t="shared" ca="1" si="4"/>
        <v>#VALUE!</v>
      </c>
      <c r="P19" s="49">
        <f>IFERROR(VLOOKUP(C19,Purchased!A:E,3,FALSE),"")</f>
        <v>22.11</v>
      </c>
      <c r="Q19" s="50">
        <f t="shared" si="5"/>
        <v>44.22</v>
      </c>
    </row>
    <row r="20" spans="1:17" s="2" customFormat="1" ht="12" customHeight="1">
      <c r="A20" s="4">
        <f t="shared" si="6"/>
        <v>303</v>
      </c>
      <c r="B20" s="2">
        <v>4</v>
      </c>
      <c r="C20" s="114" t="s">
        <v>883</v>
      </c>
      <c r="D20" s="268" t="str">
        <f>VLOOKUP(C20,Purchased!A:B,2,0)</f>
        <v>Corrosion-Resistant Timing Belt Pulley XL, Hub, 2 Flanges, 9.5mm Maximum Width, 57mm OD, 8mm Shaft</v>
      </c>
      <c r="E20" s="269"/>
      <c r="F20" s="112" t="str">
        <f>VLOOKUP(C20,Purchased!A:Q,9,0)</f>
        <v>MCM</v>
      </c>
      <c r="G20" s="112" t="str">
        <f>VLOOKUP(C20,Purchased!A:Q,10,0)</f>
        <v>MCM</v>
      </c>
      <c r="H20" s="112" t="str">
        <f>VLOOKUP(C20,Purchased!A:Q,12,0)</f>
        <v xml:space="preserve"> </v>
      </c>
      <c r="I20" s="113"/>
      <c r="J20" s="44" t="str">
        <f>VLOOKUP(C20,Purchased!A:Q,13,0)</f>
        <v>N/A</v>
      </c>
      <c r="K20" s="44">
        <f>VLOOKUP(C20,Purchased!A:Q,14,0)</f>
        <v>45196</v>
      </c>
      <c r="L20" s="44">
        <f>VLOOKUP(C20,Purchased!A:Q,15,0)</f>
        <v>45197</v>
      </c>
      <c r="M20" s="44">
        <f>VLOOKUP(C20,Purchased!A:Q,16,0)</f>
        <v>45197</v>
      </c>
      <c r="N20" s="45">
        <f>VLOOKUP(C20,Purchased!A:Q,17,0)</f>
        <v>55167</v>
      </c>
      <c r="O20" s="45" t="e">
        <f t="shared" ca="1" si="4"/>
        <v>#VALUE!</v>
      </c>
      <c r="P20" s="49">
        <f>IFERROR(VLOOKUP(C20,Purchased!A:E,3,FALSE),"")</f>
        <v>24.49</v>
      </c>
      <c r="Q20" s="50">
        <f t="shared" si="5"/>
        <v>97.96</v>
      </c>
    </row>
    <row r="21" spans="1:17" s="2" customFormat="1" ht="12" customHeight="1">
      <c r="A21" s="4">
        <f t="shared" si="6"/>
        <v>304</v>
      </c>
      <c r="B21" s="2">
        <v>2</v>
      </c>
      <c r="C21" s="114" t="s">
        <v>884</v>
      </c>
      <c r="D21" s="268" t="str">
        <f>VLOOKUP(C21,Purchased!A:B,2,0)</f>
        <v>XL Series Timing Belt Trade No. 480xL037</v>
      </c>
      <c r="E21" s="269"/>
      <c r="F21" s="112" t="str">
        <f>VLOOKUP(C21,Purchased!A:Q,9,0)</f>
        <v>MCM</v>
      </c>
      <c r="G21" s="112" t="str">
        <f>VLOOKUP(C21,Purchased!A:Q,10,0)</f>
        <v>MCM</v>
      </c>
      <c r="H21" s="112" t="str">
        <f>VLOOKUP(C21,Purchased!A:Q,12,0)</f>
        <v xml:space="preserve"> </v>
      </c>
      <c r="I21" s="113"/>
      <c r="J21" s="44" t="str">
        <f>VLOOKUP(C21,Purchased!A:Q,13,0)</f>
        <v>N/A</v>
      </c>
      <c r="K21" s="44">
        <f>VLOOKUP(C21,Purchased!A:Q,14,0)</f>
        <v>45196</v>
      </c>
      <c r="L21" s="44">
        <f>VLOOKUP(C21,Purchased!A:Q,15,0)</f>
        <v>45197</v>
      </c>
      <c r="M21" s="44">
        <f>VLOOKUP(C21,Purchased!A:Q,16,0)</f>
        <v>45197</v>
      </c>
      <c r="N21" s="45">
        <f>VLOOKUP(C21,Purchased!A:Q,17,0)</f>
        <v>55167</v>
      </c>
      <c r="O21" s="45" t="e">
        <f t="shared" ca="1" si="4"/>
        <v>#VALUE!</v>
      </c>
      <c r="P21" s="49">
        <f>IFERROR(VLOOKUP(C21,Purchased!A:E,3,FALSE),"")</f>
        <v>17.02</v>
      </c>
      <c r="Q21" s="50">
        <f t="shared" si="5"/>
        <v>34.04</v>
      </c>
    </row>
    <row r="22" spans="1:17" s="2" customFormat="1" ht="12" customHeight="1">
      <c r="A22" s="4">
        <f t="shared" si="6"/>
        <v>305</v>
      </c>
      <c r="B22" s="2">
        <v>2</v>
      </c>
      <c r="C22" s="114" t="s">
        <v>885</v>
      </c>
      <c r="D22" s="268" t="str">
        <f>VLOOKUP(C22,Purchased!A:B,2,0)</f>
        <v>Corrosion-Resistant Timing Belt Pulley XL Series, Hub, 2 Flanges, 9.5mm Maximum Belt Width, 35mm OD</v>
      </c>
      <c r="E22" s="269"/>
      <c r="F22" s="112" t="str">
        <f>VLOOKUP(C22,Purchased!A:Q,9,0)</f>
        <v>MCM</v>
      </c>
      <c r="G22" s="112" t="str">
        <f>VLOOKUP(C22,Purchased!A:Q,10,0)</f>
        <v>MCM</v>
      </c>
      <c r="H22" s="112" t="str">
        <f>VLOOKUP(C22,Purchased!A:Q,12,0)</f>
        <v xml:space="preserve"> </v>
      </c>
      <c r="I22" s="113"/>
      <c r="J22" s="44" t="str">
        <f>VLOOKUP(C22,Purchased!A:Q,13,0)</f>
        <v>N/A</v>
      </c>
      <c r="K22" s="44">
        <f>VLOOKUP(C22,Purchased!A:Q,14,0)</f>
        <v>45196</v>
      </c>
      <c r="L22" s="44">
        <f>VLOOKUP(C22,Purchased!A:Q,15,0)</f>
        <v>45197</v>
      </c>
      <c r="M22" s="44">
        <f>VLOOKUP(C22,Purchased!A:Q,16,0)</f>
        <v>45197</v>
      </c>
      <c r="N22" s="45">
        <f>VLOOKUP(C22,Purchased!A:Q,17,0)</f>
        <v>55167</v>
      </c>
      <c r="O22" s="45" t="e">
        <f t="shared" ca="1" si="4"/>
        <v>#VALUE!</v>
      </c>
      <c r="P22" s="49">
        <f>IFERROR(VLOOKUP(C22,Purchased!A:E,3,FALSE),"")</f>
        <v>14.84</v>
      </c>
      <c r="Q22" s="50">
        <f t="shared" si="5"/>
        <v>29.68</v>
      </c>
    </row>
    <row r="23" spans="1:17" s="2" customFormat="1" ht="12" customHeight="1">
      <c r="A23" s="4">
        <f t="shared" si="6"/>
        <v>306</v>
      </c>
      <c r="B23" s="2">
        <v>4</v>
      </c>
      <c r="C23" s="114" t="s">
        <v>886</v>
      </c>
      <c r="D23" s="268" t="str">
        <f>VLOOKUP(C23,Purchased!A:B,2,0)</f>
        <v>IGUS Custom Machined Lead Screw</v>
      </c>
      <c r="E23" s="269"/>
      <c r="F23" s="112" t="str">
        <f>VLOOKUP(C23,Purchased!A:Q,9,0)</f>
        <v>IGUS</v>
      </c>
      <c r="G23" s="112" t="str">
        <f>VLOOKUP(C23,Purchased!A:Q,10,0)</f>
        <v>IGUS</v>
      </c>
      <c r="H23" s="112" t="str">
        <f>VLOOKUP(C23,Purchased!A:Q,12,0)</f>
        <v xml:space="preserve"> </v>
      </c>
      <c r="I23" s="113"/>
      <c r="J23" s="44">
        <f>VLOOKUP(C23,Purchased!A:Q,13,0)</f>
        <v>45154</v>
      </c>
      <c r="K23" s="44">
        <f>VLOOKUP(C23,Purchased!A:Q,14,0)</f>
        <v>45161</v>
      </c>
      <c r="L23" s="44">
        <f>VLOOKUP(C23,Purchased!A:Q,15,0)</f>
        <v>45191</v>
      </c>
      <c r="M23" s="44">
        <f>VLOOKUP(C23,Purchased!A:Q,16,0)</f>
        <v>45208</v>
      </c>
      <c r="N23" s="45">
        <f>VLOOKUP(C23,Purchased!A:Q,17,0)</f>
        <v>55076</v>
      </c>
      <c r="O23" s="45" t="e">
        <f t="shared" ca="1" si="4"/>
        <v>#VALUE!</v>
      </c>
      <c r="P23" s="49">
        <f>IFERROR(VLOOKUP(C23,Purchased!A:E,3,FALSE),"")</f>
        <v>174.39</v>
      </c>
      <c r="Q23" s="50">
        <f t="shared" si="5"/>
        <v>697.56</v>
      </c>
    </row>
    <row r="24" spans="1:17" s="2" customFormat="1" ht="12" customHeight="1">
      <c r="A24" s="4">
        <f t="shared" si="6"/>
        <v>307</v>
      </c>
      <c r="B24" s="2">
        <v>58</v>
      </c>
      <c r="C24" s="114" t="s">
        <v>286</v>
      </c>
      <c r="D24" s="268" t="str">
        <f>VLOOKUP(C24,Purchased!A:B,2,0)</f>
        <v>BRX GOTO T-NUT 10 M5</v>
      </c>
      <c r="E24" s="269"/>
      <c r="F24" s="112" t="str">
        <f>VLOOKUP(C24,Purchased!A:Q,9,0)</f>
        <v>BRX</v>
      </c>
      <c r="G24" s="112" t="str">
        <f>VLOOKUP(C24,Purchased!A:Q,10,0)</f>
        <v>AAP</v>
      </c>
      <c r="H24" s="112">
        <f>VLOOKUP(C24,Purchased!A:Q,12,0)</f>
        <v>0</v>
      </c>
      <c r="I24" s="113"/>
      <c r="J24" s="44">
        <f>VLOOKUP(C24,Purchased!A:Q,13,0)</f>
        <v>45104</v>
      </c>
      <c r="K24" s="44">
        <f>VLOOKUP(C24,Purchased!A:Q,14,0)</f>
        <v>45105</v>
      </c>
      <c r="L24" s="44">
        <f>VLOOKUP(C24,Purchased!A:Q,15,0)</f>
        <v>45133</v>
      </c>
      <c r="M24" s="44">
        <f>VLOOKUP(C24,Purchased!A:Q,16,0)</f>
        <v>45133</v>
      </c>
      <c r="N24" s="45" t="str">
        <f>VLOOKUP(C24,Purchased!A:Q,17,0)</f>
        <v>50x54968, 200x55147, 150x55169</v>
      </c>
      <c r="O24" s="45" t="e">
        <f t="shared" ca="1" si="4"/>
        <v>#VALUE!</v>
      </c>
      <c r="P24" s="49">
        <f>IFERROR(VLOOKUP(C24,Purchased!A:E,3,FALSE),"")</f>
        <v>0.64290000000000003</v>
      </c>
      <c r="Q24" s="50">
        <f t="shared" si="5"/>
        <v>37.288200000000003</v>
      </c>
    </row>
    <row r="25" spans="1:17" s="2" customFormat="1" ht="12" customHeight="1">
      <c r="A25" s="4">
        <f t="shared" si="6"/>
        <v>308</v>
      </c>
      <c r="B25" s="240">
        <v>48</v>
      </c>
      <c r="C25" s="114" t="s">
        <v>262</v>
      </c>
      <c r="D25" s="268" t="str">
        <f>VLOOKUP(C25,Purchased!A:B,2,0)</f>
        <v>BRX GOTO T-NUT 10 M6</v>
      </c>
      <c r="E25" s="269"/>
      <c r="F25" s="112" t="str">
        <f>VLOOKUP(C25,Purchased!A:Q,9,0)</f>
        <v>BRX</v>
      </c>
      <c r="G25" s="112" t="str">
        <f>VLOOKUP(C25,Purchased!A:Q,10,0)</f>
        <v>AAP</v>
      </c>
      <c r="H25" s="112" t="str">
        <f>VLOOKUP(C25,Purchased!A:Q,12,0)</f>
        <v xml:space="preserve">  </v>
      </c>
      <c r="I25" s="113"/>
      <c r="J25" s="44">
        <f>VLOOKUP(C25,Purchased!A:Q,13,0)</f>
        <v>45104</v>
      </c>
      <c r="K25" s="44">
        <f>VLOOKUP(C25,Purchased!A:Q,14,0)</f>
        <v>45105</v>
      </c>
      <c r="L25" s="44">
        <f>VLOOKUP(C25,Purchased!A:Q,15,0)</f>
        <v>45133</v>
      </c>
      <c r="M25" s="44">
        <f>VLOOKUP(C25,Purchased!A:Q,16,0)</f>
        <v>45133</v>
      </c>
      <c r="N25" s="45" t="str">
        <f>VLOOKUP(C25,Purchased!A:Q,17,0)</f>
        <v>54968, 55147, 55270</v>
      </c>
      <c r="O25" s="45" t="e">
        <f t="shared" ca="1" si="4"/>
        <v>#VALUE!</v>
      </c>
      <c r="P25" s="49">
        <f>IFERROR(VLOOKUP(C25,Purchased!A:E,3,FALSE),"")</f>
        <v>0.64290000000000003</v>
      </c>
      <c r="Q25" s="50">
        <f t="shared" si="5"/>
        <v>30.859200000000001</v>
      </c>
    </row>
    <row r="26" spans="1:17" s="2" customFormat="1" ht="12" customHeight="1">
      <c r="A26" s="4">
        <f t="shared" si="6"/>
        <v>309</v>
      </c>
      <c r="B26" s="2">
        <v>90</v>
      </c>
      <c r="C26" s="114" t="s">
        <v>244</v>
      </c>
      <c r="D26" s="268" t="str">
        <f>VLOOKUP(C26,Purchased!A:B,2,0)</f>
        <v>BRX GOTO QUICK CONNECTOR N10 0°</v>
      </c>
      <c r="E26" s="269"/>
      <c r="F26" s="112" t="str">
        <f>VLOOKUP(C26,Purchased!A:Q,9,0)</f>
        <v>BRX</v>
      </c>
      <c r="G26" s="112" t="str">
        <f>VLOOKUP(C26,Purchased!A:Q,10,0)</f>
        <v>AAP</v>
      </c>
      <c r="H26" s="112" t="str">
        <f>VLOOKUP(C26,Purchased!A:Q,12,0)</f>
        <v>17 in stock</v>
      </c>
      <c r="I26" s="113"/>
      <c r="J26" s="44" t="str">
        <f>VLOOKUP(C26,Purchased!A:Q,13,0)</f>
        <v>N/A</v>
      </c>
      <c r="K26" s="44">
        <f>VLOOKUP(C26,Purchased!A:Q,14,0)</f>
        <v>45089</v>
      </c>
      <c r="L26" s="44">
        <f>VLOOKUP(C26,Purchased!A:Q,15,0)</f>
        <v>45124</v>
      </c>
      <c r="M26" s="44">
        <f>VLOOKUP(C26,Purchased!A:Q,16,0)</f>
        <v>45124</v>
      </c>
      <c r="N26" s="45" t="str">
        <f>VLOOKUP(C26,Purchased!A:Q,17,0)</f>
        <v>500x54927, 500x55060</v>
      </c>
      <c r="O26" s="45" t="e">
        <f t="shared" ca="1" si="4"/>
        <v>#VALUE!</v>
      </c>
      <c r="P26" s="49">
        <f>IFERROR(VLOOKUP(C26,Purchased!A:E,3,FALSE),"")</f>
        <v>5.2857000000000003</v>
      </c>
      <c r="Q26" s="50">
        <f t="shared" si="5"/>
        <v>475.71300000000002</v>
      </c>
    </row>
    <row r="27" spans="1:17" s="2" customFormat="1" ht="12" customHeight="1">
      <c r="A27" s="4">
        <f t="shared" si="6"/>
        <v>310</v>
      </c>
      <c r="B27" s="2">
        <v>16</v>
      </c>
      <c r="C27" s="114" t="s">
        <v>243</v>
      </c>
      <c r="D27" s="268" t="str">
        <f>VLOOKUP(C27,Purchased!A:B,2,0)</f>
        <v>BRX GOTO QUICK CONNECTOR N10 90°</v>
      </c>
      <c r="E27" s="269"/>
      <c r="F27" s="112" t="str">
        <f>VLOOKUP(C27,Purchased!A:Q,9,0)</f>
        <v>BRX</v>
      </c>
      <c r="G27" s="112" t="str">
        <f>VLOOKUP(C27,Purchased!A:Q,10,0)</f>
        <v>AAP</v>
      </c>
      <c r="H27" s="112" t="str">
        <f>VLOOKUP(C27,Purchased!A:Q,12,0)</f>
        <v xml:space="preserve">  </v>
      </c>
      <c r="I27" s="113"/>
      <c r="J27" s="44" t="str">
        <f>VLOOKUP(C27,Purchased!A:Q,13,0)</f>
        <v>N/A</v>
      </c>
      <c r="K27" s="44">
        <f>VLOOKUP(C27,Purchased!A:Q,14,0)</f>
        <v>45089</v>
      </c>
      <c r="L27" s="44">
        <f>VLOOKUP(C27,Purchased!A:Q,15,0)</f>
        <v>45124</v>
      </c>
      <c r="M27" s="44">
        <f>VLOOKUP(C27,Purchased!A:Q,16,0)</f>
        <v>45124</v>
      </c>
      <c r="N27" s="45">
        <f>VLOOKUP(C27,Purchased!A:Q,17,0)</f>
        <v>54927</v>
      </c>
      <c r="O27" s="45" t="e">
        <f t="shared" ca="1" si="4"/>
        <v>#VALUE!</v>
      </c>
      <c r="P27" s="49">
        <f>IFERROR(VLOOKUP(C27,Purchased!A:E,3,FALSE),"")</f>
        <v>5.2857000000000003</v>
      </c>
      <c r="Q27" s="50">
        <f t="shared" si="5"/>
        <v>84.571200000000005</v>
      </c>
    </row>
    <row r="28" spans="1:17" s="2" customFormat="1" ht="12" customHeight="1">
      <c r="A28" s="4">
        <f t="shared" si="6"/>
        <v>311</v>
      </c>
      <c r="B28" s="2">
        <v>8</v>
      </c>
      <c r="C28" s="114" t="s">
        <v>245</v>
      </c>
      <c r="D28" s="268" t="str">
        <f>VLOOKUP(C28,Purchased!A:B,2,0)</f>
        <v>BRX 3842548758 Cover Cap 90x90 Grey</v>
      </c>
      <c r="E28" s="269"/>
      <c r="F28" s="112" t="str">
        <f>VLOOKUP(C28,Purchased!A:Q,9,0)</f>
        <v>BRX</v>
      </c>
      <c r="G28" s="112" t="str">
        <f>VLOOKUP(C28,Purchased!A:Q,10,0)</f>
        <v>AAP</v>
      </c>
      <c r="H28" s="112" t="str">
        <f>VLOOKUP(C28,Purchased!A:Q,12,0)</f>
        <v xml:space="preserve"> </v>
      </c>
      <c r="I28" s="113"/>
      <c r="J28" s="44" t="str">
        <f>VLOOKUP(C28,Purchased!A:Q,13,0)</f>
        <v>N/A</v>
      </c>
      <c r="K28" s="44">
        <f>VLOOKUP(C28,Purchased!A:Q,14,0)</f>
        <v>45162</v>
      </c>
      <c r="L28" s="44">
        <f>VLOOKUP(C28,Purchased!A:Q,15,0)</f>
        <v>45184</v>
      </c>
      <c r="M28" s="44">
        <f>VLOOKUP(C28,Purchased!A:Q,16,0)</f>
        <v>45197</v>
      </c>
      <c r="N28" s="45">
        <f>VLOOKUP(C28,Purchased!A:Q,17,0)</f>
        <v>55073</v>
      </c>
      <c r="O28" s="45" t="e">
        <f t="shared" ca="1" si="4"/>
        <v>#VALUE!</v>
      </c>
      <c r="P28" s="49">
        <f>IFERROR(VLOOKUP(C28,Purchased!A:E,3,FALSE),"")</f>
        <v>3.2429000000000001</v>
      </c>
      <c r="Q28" s="50">
        <f t="shared" si="5"/>
        <v>25.943200000000001</v>
      </c>
    </row>
    <row r="29" spans="1:17" s="2" customFormat="1" ht="12" customHeight="1">
      <c r="A29" s="4">
        <f t="shared" si="6"/>
        <v>312</v>
      </c>
      <c r="B29" s="2">
        <v>4</v>
      </c>
      <c r="C29" s="114" t="s">
        <v>887</v>
      </c>
      <c r="D29" s="268" t="str">
        <f>VLOOKUP(C29,Purchased!A:B,2,0)</f>
        <v>BRL 15mm runner block</v>
      </c>
      <c r="E29" s="269"/>
      <c r="F29" s="112" t="str">
        <f>VLOOKUP(C29,Purchased!A:Q,9,0)</f>
        <v>BRL</v>
      </c>
      <c r="G29" s="112" t="str">
        <f>VLOOKUP(C29,Purchased!A:Q,10,0)</f>
        <v>AAP</v>
      </c>
      <c r="H29" s="112" t="str">
        <f>VLOOKUP(C29,Purchased!A:Q,12,0)</f>
        <v xml:space="preserve"> </v>
      </c>
      <c r="I29" s="113"/>
      <c r="J29" s="44">
        <f>VLOOKUP(C29,Purchased!A:Q,13,0)</f>
        <v>45093</v>
      </c>
      <c r="K29" s="44">
        <f>VLOOKUP(C29,Purchased!A:Q,14,0)</f>
        <v>45093</v>
      </c>
      <c r="L29" s="44">
        <f>VLOOKUP(C29,Purchased!A:Q,15,0)</f>
        <v>45184</v>
      </c>
      <c r="M29" s="44">
        <f>VLOOKUP(C29,Purchased!A:Q,16,0)</f>
        <v>45184</v>
      </c>
      <c r="N29" s="45">
        <f>VLOOKUP(C29,Purchased!A:Q,17,0)</f>
        <v>54942</v>
      </c>
      <c r="O29" s="45" t="e">
        <f t="shared" ca="1" si="4"/>
        <v>#VALUE!</v>
      </c>
      <c r="P29" s="49">
        <f>IFERROR(VLOOKUP(C29,Purchased!A:E,3,FALSE),"")</f>
        <v>103.7362</v>
      </c>
      <c r="Q29" s="50">
        <f t="shared" si="5"/>
        <v>414.94479999999999</v>
      </c>
    </row>
    <row r="30" spans="1:17" s="2" customFormat="1" ht="12" customHeight="1">
      <c r="A30" s="4">
        <f t="shared" si="6"/>
        <v>313</v>
      </c>
      <c r="B30" s="2">
        <v>8</v>
      </c>
      <c r="C30" s="114" t="s">
        <v>263</v>
      </c>
      <c r="D30" s="268" t="str">
        <f>VLOOKUP(C30,Purchased!A:B,2,0)</f>
        <v>Dowel Pin 52100 Alloy Steel, 10 mm Diameter, 20 mm Long, 10pk</v>
      </c>
      <c r="E30" s="269"/>
      <c r="F30" s="112" t="str">
        <f>VLOOKUP(C30,Purchased!A:Q,9,0)</f>
        <v>MCM</v>
      </c>
      <c r="G30" s="112" t="str">
        <f>VLOOKUP(C30,Purchased!A:Q,10,0)</f>
        <v>MCM</v>
      </c>
      <c r="H30" s="112" t="str">
        <f>VLOOKUP(C30,Purchased!A:Q,12,0)</f>
        <v>Pack of 10</v>
      </c>
      <c r="I30" s="113"/>
      <c r="J30" s="44" t="str">
        <f>VLOOKUP(C30,Purchased!A:Q,13,0)</f>
        <v>N/A</v>
      </c>
      <c r="K30" s="44">
        <f>VLOOKUP(C30,Purchased!A:Q,14,0)</f>
        <v>45162</v>
      </c>
      <c r="L30" s="44">
        <f>VLOOKUP(C30,Purchased!A:Q,15,0)</f>
        <v>45184</v>
      </c>
      <c r="M30" s="44">
        <f>VLOOKUP(C30,Purchased!A:Q,16,0)</f>
        <v>45163</v>
      </c>
      <c r="N30" s="45">
        <f>VLOOKUP(C30,Purchased!A:Q,17,0)</f>
        <v>55088</v>
      </c>
      <c r="O30" s="45" t="e">
        <f t="shared" ca="1" si="4"/>
        <v>#VALUE!</v>
      </c>
      <c r="P30" s="49">
        <f>IFERROR(VLOOKUP(C30,Purchased!A:E,3,FALSE),"")</f>
        <v>10.57</v>
      </c>
      <c r="Q30" s="50">
        <f t="shared" si="5"/>
        <v>84.56</v>
      </c>
    </row>
    <row r="31" spans="1:17" s="2" customFormat="1" ht="12" customHeight="1">
      <c r="A31" s="4">
        <f t="shared" si="6"/>
        <v>314</v>
      </c>
      <c r="B31" s="2">
        <v>4</v>
      </c>
      <c r="C31" s="114" t="s">
        <v>888</v>
      </c>
      <c r="D31" s="268" t="str">
        <f>VLOOKUP(C31,Purchased!A:B,2,0)</f>
        <v>Clamping Shaft Collar for 8 mm Shaft Diameter, Zinc Plated 1215 Carbon Steel</v>
      </c>
      <c r="E31" s="269"/>
      <c r="F31" s="112" t="str">
        <f>VLOOKUP(C31,Purchased!A:Q,9,0)</f>
        <v>MCM</v>
      </c>
      <c r="G31" s="112" t="str">
        <f>VLOOKUP(C31,Purchased!A:Q,10,0)</f>
        <v>MCM</v>
      </c>
      <c r="H31" s="112" t="str">
        <f>VLOOKUP(C31,Purchased!A:Q,12,0)</f>
        <v xml:space="preserve"> </v>
      </c>
      <c r="I31" s="113"/>
      <c r="J31" s="44" t="str">
        <f>VLOOKUP(C31,Purchased!A:Q,13,0)</f>
        <v>N/A</v>
      </c>
      <c r="K31" s="44">
        <f>VLOOKUP(C31,Purchased!A:Q,14,0)</f>
        <v>45162</v>
      </c>
      <c r="L31" s="44">
        <f>VLOOKUP(C31,Purchased!A:Q,15,0)</f>
        <v>45184</v>
      </c>
      <c r="M31" s="44">
        <f>VLOOKUP(C31,Purchased!A:Q,16,0)</f>
        <v>45166</v>
      </c>
      <c r="N31" s="45" t="str">
        <f>VLOOKUP(C31,Purchased!A:Q,17,0)</f>
        <v>5x55087, 1x55167</v>
      </c>
      <c r="O31" s="45" t="e">
        <f t="shared" ca="1" si="4"/>
        <v>#VALUE!</v>
      </c>
      <c r="P31" s="49">
        <f>IFERROR(VLOOKUP(C31,Purchased!A:E,3,FALSE),"")</f>
        <v>10.36</v>
      </c>
      <c r="Q31" s="50">
        <f t="shared" si="5"/>
        <v>41.44</v>
      </c>
    </row>
    <row r="32" spans="1:17" s="2" customFormat="1" ht="12" customHeight="1">
      <c r="A32" s="4">
        <f t="shared" si="6"/>
        <v>315</v>
      </c>
      <c r="B32" s="2">
        <v>8</v>
      </c>
      <c r="C32" s="114" t="s">
        <v>889</v>
      </c>
      <c r="D32" s="268" t="str">
        <f>VLOOKUP(C32,Purchased!A:B,2,0)</f>
        <v>Dowel Pin 52100 Alloy Steel, 8 mm Diameter, 50 mm Long, 10pk</v>
      </c>
      <c r="E32" s="269"/>
      <c r="F32" s="112" t="str">
        <f>VLOOKUP(C32,Purchased!A:Q,9,0)</f>
        <v>MCM</v>
      </c>
      <c r="G32" s="112" t="str">
        <f>VLOOKUP(C32,Purchased!A:Q,10,0)</f>
        <v>MCM</v>
      </c>
      <c r="H32" s="112" t="str">
        <f>VLOOKUP(C32,Purchased!A:Q,12,0)</f>
        <v xml:space="preserve"> </v>
      </c>
      <c r="I32" s="113"/>
      <c r="J32" s="44" t="str">
        <f>VLOOKUP(C32,Purchased!A:Q,13,0)</f>
        <v>N/A</v>
      </c>
      <c r="K32" s="44">
        <f>VLOOKUP(C32,Purchased!A:Q,14,0)</f>
        <v>45162</v>
      </c>
      <c r="L32" s="44">
        <f>VLOOKUP(C32,Purchased!A:Q,15,0)</f>
        <v>45189</v>
      </c>
      <c r="M32" s="44">
        <f>VLOOKUP(C32,Purchased!A:Q,16,0)</f>
        <v>45189</v>
      </c>
      <c r="N32" s="45" t="str">
        <f>VLOOKUP(C32,Purchased!A:Q,17,0)</f>
        <v>55088, 55152</v>
      </c>
      <c r="O32" s="45" t="e">
        <f t="shared" ca="1" si="4"/>
        <v>#VALUE!</v>
      </c>
      <c r="P32" s="49">
        <f>IFERROR(VLOOKUP(C32,Purchased!A:E,3,FALSE),"")</f>
        <v>13.02</v>
      </c>
      <c r="Q32" s="50">
        <f t="shared" si="5"/>
        <v>104.16</v>
      </c>
    </row>
    <row r="33" spans="1:17" s="2" customFormat="1" ht="12" customHeight="1">
      <c r="A33" s="4">
        <f t="shared" si="6"/>
        <v>316</v>
      </c>
      <c r="B33" s="240">
        <v>25</v>
      </c>
      <c r="C33" s="114" t="s">
        <v>698</v>
      </c>
      <c r="D33" s="268" t="str">
        <f>VLOOKUP(C33,Purchased!A:B,2,0)</f>
        <v>Zinc-Plated Class 10.9 Steel Washer, M10 Screw Size, 50pk</v>
      </c>
      <c r="E33" s="269"/>
      <c r="F33" s="112" t="str">
        <f>VLOOKUP(C33,Purchased!A:Q,9,0)</f>
        <v>MCM</v>
      </c>
      <c r="G33" s="112" t="str">
        <f>VLOOKUP(C33,Purchased!A:Q,10,0)</f>
        <v>MCM</v>
      </c>
      <c r="H33" s="112" t="str">
        <f>VLOOKUP(C33,Purchased!A:Q,12,0)</f>
        <v xml:space="preserve"> </v>
      </c>
      <c r="I33" s="113"/>
      <c r="J33" s="44" t="str">
        <f>VLOOKUP(C33,Purchased!A:Q,13,0)</f>
        <v>N/A</v>
      </c>
      <c r="K33" s="44">
        <f>VLOOKUP(C33,Purchased!A:Q,14,0)</f>
        <v>45162</v>
      </c>
      <c r="L33" s="44">
        <f>VLOOKUP(C33,Purchased!A:Q,15,0)</f>
        <v>45184</v>
      </c>
      <c r="M33" s="44">
        <f>VLOOKUP(C33,Purchased!A:Q,16,0)</f>
        <v>45163</v>
      </c>
      <c r="N33" s="45">
        <f>VLOOKUP(C33,Purchased!A:Q,17,0)</f>
        <v>55088</v>
      </c>
      <c r="O33" s="45" t="e">
        <f t="shared" ca="1" si="4"/>
        <v>#VALUE!</v>
      </c>
      <c r="P33" s="49">
        <f>IFERROR(VLOOKUP(C33,Purchased!A:E,3,FALSE),"")</f>
        <v>12.41</v>
      </c>
      <c r="Q33" s="50">
        <f t="shared" si="5"/>
        <v>310.25</v>
      </c>
    </row>
    <row r="34" spans="1:17" s="2" customFormat="1" ht="12" customHeight="1">
      <c r="A34" s="4">
        <f t="shared" si="6"/>
        <v>317</v>
      </c>
      <c r="B34" s="2">
        <v>5</v>
      </c>
      <c r="C34" s="109" t="s">
        <v>890</v>
      </c>
      <c r="D34" s="268" t="str">
        <f>VLOOKUP(C34,Purchased!A:B,2,0)</f>
        <v>Medium-Strength Steel Thin Hex Nut, Fine-Thread, Zinc-Plated, M10 x 1.25 mm Thread, 100pk</v>
      </c>
      <c r="E34" s="269"/>
      <c r="F34" s="112" t="str">
        <f>VLOOKUP(C34,Purchased!A:Q,9,0)</f>
        <v>MCM</v>
      </c>
      <c r="G34" s="112" t="str">
        <f>VLOOKUP(C34,Purchased!A:Q,10,0)</f>
        <v>MCM</v>
      </c>
      <c r="H34" s="112" t="str">
        <f>VLOOKUP(C34,Purchased!A:Q,12,0)</f>
        <v xml:space="preserve"> </v>
      </c>
      <c r="I34" s="113"/>
      <c r="J34" s="44" t="str">
        <f>VLOOKUP(C34,Purchased!A:Q,13,0)</f>
        <v>N/A</v>
      </c>
      <c r="K34" s="44">
        <f>VLOOKUP(C34,Purchased!A:Q,14,0)</f>
        <v>45162</v>
      </c>
      <c r="L34" s="44">
        <f>VLOOKUP(C34,Purchased!A:Q,15,0)</f>
        <v>45184</v>
      </c>
      <c r="M34" s="44">
        <f>VLOOKUP(C34,Purchased!A:Q,16,0)</f>
        <v>45163</v>
      </c>
      <c r="N34" s="45">
        <f>VLOOKUP(C34,Purchased!A:Q,17,0)</f>
        <v>55088</v>
      </c>
      <c r="O34" s="45" t="e">
        <f t="shared" ca="1" si="4"/>
        <v>#VALUE!</v>
      </c>
      <c r="P34" s="49">
        <f>IFERROR(VLOOKUP(C34,Purchased!A:E,3,FALSE),"")</f>
        <v>15.75</v>
      </c>
      <c r="Q34" s="50">
        <f t="shared" si="5"/>
        <v>78.75</v>
      </c>
    </row>
    <row r="35" spans="1:17" s="2" customFormat="1" ht="12" customHeight="1">
      <c r="A35" s="4">
        <f t="shared" si="6"/>
        <v>318</v>
      </c>
      <c r="B35" s="2">
        <v>5</v>
      </c>
      <c r="C35" s="109" t="s">
        <v>697</v>
      </c>
      <c r="D35" s="268" t="str">
        <f>VLOOKUP(C35,Purchased!A:B,2,0)</f>
        <v>Threaded Steel Track Roller, Flat without Seal, 26mm Roller Diameter, 12mm Roller Width</v>
      </c>
      <c r="E35" s="269"/>
      <c r="F35" s="112" t="str">
        <f>VLOOKUP(C35,Purchased!A:Q,9,0)</f>
        <v>MOTION</v>
      </c>
      <c r="G35" s="112" t="str">
        <f>VLOOKUP(C35,Purchased!A:Q,10,0)</f>
        <v>MOTION</v>
      </c>
      <c r="H35" s="112" t="str">
        <f>VLOOKUP(C35,Purchased!A:Q,12,0)</f>
        <v>MCM=6314K320</v>
      </c>
      <c r="I35" s="113"/>
      <c r="J35" s="44" t="str">
        <f>VLOOKUP(C35,Purchased!A:Q,13,0)</f>
        <v>N/A</v>
      </c>
      <c r="K35" s="44">
        <f>VLOOKUP(C35,Purchased!A:Q,14,0)</f>
        <v>45162</v>
      </c>
      <c r="L35" s="44">
        <f>VLOOKUP(C35,Purchased!A:Q,15,0)</f>
        <v>45184</v>
      </c>
      <c r="M35" s="44">
        <f>VLOOKUP(C35,Purchased!A:Q,16,0)</f>
        <v>45169</v>
      </c>
      <c r="N35" s="45">
        <f>VLOOKUP(C35,Purchased!A:Q,17,0)</f>
        <v>55097</v>
      </c>
      <c r="O35" s="45" t="e">
        <f t="shared" ca="1" si="4"/>
        <v>#VALUE!</v>
      </c>
      <c r="P35" s="49">
        <f>IFERROR(VLOOKUP(C35,Purchased!A:E,3,FALSE),"")</f>
        <v>26.09</v>
      </c>
      <c r="Q35" s="50">
        <f t="shared" si="5"/>
        <v>130.44999999999999</v>
      </c>
    </row>
    <row r="36" spans="1:17" s="2" customFormat="1" ht="12" customHeight="1">
      <c r="A36" s="4">
        <f t="shared" si="6"/>
        <v>319</v>
      </c>
      <c r="B36" s="2">
        <v>1</v>
      </c>
      <c r="C36" s="109" t="s">
        <v>755</v>
      </c>
      <c r="D36" s="268" t="str">
        <f>VLOOKUP(C36,Purchased!A:B,2,0)</f>
        <v>Two-Piece Shaft Coupling Steel, for 12 mm x 12 mm Diameter Round Shaft</v>
      </c>
      <c r="E36" s="269"/>
      <c r="F36" s="112" t="str">
        <f>VLOOKUP(C36,Purchased!A:Q,9,0)</f>
        <v>MOTION</v>
      </c>
      <c r="G36" s="112" t="str">
        <f>VLOOKUP(C36,Purchased!A:Q,10,0)</f>
        <v>MOTION</v>
      </c>
      <c r="H36" s="112" t="str">
        <f>VLOOKUP(C36,Purchased!A:Q,12,0)</f>
        <v>MCM=6508T54</v>
      </c>
      <c r="I36" s="113"/>
      <c r="J36" s="44" t="str">
        <f>VLOOKUP(C36,Purchased!A:Q,13,0)</f>
        <v>N/A</v>
      </c>
      <c r="K36" s="44">
        <f>VLOOKUP(C36,Purchased!A:Q,14,0)</f>
        <v>45161</v>
      </c>
      <c r="L36" s="44">
        <f>VLOOKUP(C36,Purchased!A:Q,15,0)</f>
        <v>45191</v>
      </c>
      <c r="M36" s="44">
        <f>VLOOKUP(C36,Purchased!A:Q,16,0)</f>
        <v>45191</v>
      </c>
      <c r="N36" s="45" t="str">
        <f>VLOOKUP(C36,Purchased!A:Q,17,0)</f>
        <v>7x55079</v>
      </c>
      <c r="O36" s="45" t="e">
        <f t="shared" ca="1" si="4"/>
        <v>#VALUE!</v>
      </c>
      <c r="P36" s="49">
        <f>IFERROR(VLOOKUP(C36,Purchased!A:E,3,FALSE),"")</f>
        <v>44.78</v>
      </c>
      <c r="Q36" s="50">
        <f t="shared" si="5"/>
        <v>44.78</v>
      </c>
    </row>
    <row r="37" spans="1:17" s="2" customFormat="1" ht="12" customHeight="1">
      <c r="A37" s="4">
        <f t="shared" si="6"/>
        <v>320</v>
      </c>
      <c r="B37" s="2">
        <v>12</v>
      </c>
      <c r="C37" s="109" t="s">
        <v>474</v>
      </c>
      <c r="D37" s="268" t="str">
        <f>VLOOKUP(C37,Purchased!A:B,2,0)</f>
        <v>Ball Bearing Open, Trade Number 608, for 8 mm Shaft Diameter</v>
      </c>
      <c r="E37" s="269"/>
      <c r="F37" s="112" t="str">
        <f>VLOOKUP(C37,Purchased!A:Q,9,0)</f>
        <v>MCM</v>
      </c>
      <c r="G37" s="112" t="str">
        <f>VLOOKUP(C37,Purchased!A:Q,10,0)</f>
        <v>MCM</v>
      </c>
      <c r="H37" s="112" t="str">
        <f>VLOOKUP(C37,Purchased!A:Q,12,0)</f>
        <v xml:space="preserve"> </v>
      </c>
      <c r="I37" s="113"/>
      <c r="J37" s="44" t="str">
        <f>VLOOKUP(C37,Purchased!A:Q,13,0)</f>
        <v>N/A</v>
      </c>
      <c r="K37" s="44">
        <f>VLOOKUP(C37,Purchased!A:Q,14,0)</f>
        <v>45162</v>
      </c>
      <c r="L37" s="44">
        <f>VLOOKUP(C37,Purchased!A:Q,15,0)</f>
        <v>45189</v>
      </c>
      <c r="M37" s="44">
        <f>VLOOKUP(C37,Purchased!A:Q,16,0)</f>
        <v>45189</v>
      </c>
      <c r="N37" s="45" t="str">
        <f>VLOOKUP(C37,Purchased!A:Q,17,0)</f>
        <v>55087, 55152</v>
      </c>
      <c r="O37" s="45" t="e">
        <f t="shared" ca="1" si="4"/>
        <v>#VALUE!</v>
      </c>
      <c r="P37" s="49">
        <f>IFERROR(VLOOKUP(C37,Purchased!A:E,3,FALSE),"")</f>
        <v>4.82</v>
      </c>
      <c r="Q37" s="50">
        <f t="shared" si="5"/>
        <v>57.84</v>
      </c>
    </row>
    <row r="38" spans="1:17" s="2" customFormat="1" ht="12" customHeight="1">
      <c r="A38" s="4">
        <f t="shared" si="6"/>
        <v>321</v>
      </c>
      <c r="B38" s="2">
        <v>2</v>
      </c>
      <c r="C38" s="109" t="s">
        <v>891</v>
      </c>
      <c r="D38" s="268" t="str">
        <f>VLOOKUP(C38,Purchased!A:B,2,0)</f>
        <v>Clamping Shaft Collar for 20 mm Diameter, Black-Oxide 1215 Carbon Steel</v>
      </c>
      <c r="E38" s="269"/>
      <c r="F38" s="112" t="str">
        <f>VLOOKUP(C38,Purchased!A:Q,9,0)</f>
        <v>MOTION</v>
      </c>
      <c r="G38" s="112" t="str">
        <f>VLOOKUP(C38,Purchased!A:Q,10,0)</f>
        <v>MOTION</v>
      </c>
      <c r="H38" s="112" t="str">
        <f>VLOOKUP(C38,Purchased!A:Q,12,0)</f>
        <v>MCM=57445K73</v>
      </c>
      <c r="I38" s="113"/>
      <c r="J38" s="44" t="str">
        <f>VLOOKUP(C38,Purchased!A:Q,13,0)</f>
        <v>N/A</v>
      </c>
      <c r="K38" s="44">
        <f>VLOOKUP(C38,Purchased!A:Q,14,0)</f>
        <v>45161</v>
      </c>
      <c r="L38" s="44">
        <f>VLOOKUP(C38,Purchased!A:Q,15,0)</f>
        <v>45191</v>
      </c>
      <c r="M38" s="44">
        <f>VLOOKUP(C38,Purchased!A:Q,16,0)</f>
        <v>45191</v>
      </c>
      <c r="N38" s="45">
        <f>VLOOKUP(C38,Purchased!A:Q,17,0)</f>
        <v>55079</v>
      </c>
      <c r="O38" s="45" t="e">
        <f t="shared" ca="1" si="4"/>
        <v>#VALUE!</v>
      </c>
      <c r="P38" s="49">
        <f>IFERROR(VLOOKUP(C38,Purchased!A:E,3,FALSE),"")</f>
        <v>6.24</v>
      </c>
      <c r="Q38" s="50">
        <f t="shared" si="5"/>
        <v>12.48</v>
      </c>
    </row>
    <row r="39" spans="1:17" s="2" customFormat="1" ht="12" customHeight="1">
      <c r="A39" s="4">
        <f t="shared" si="6"/>
        <v>322</v>
      </c>
      <c r="B39" s="2">
        <v>6</v>
      </c>
      <c r="C39" s="114" t="s">
        <v>892</v>
      </c>
      <c r="D39" s="268" t="str">
        <f>VLOOKUP(C39,Purchased!A:B,2,0)</f>
        <v>1008-1010 Carbon Steel Ring Shims 0.5 mm Thick, 20 mm ID, 50k</v>
      </c>
      <c r="E39" s="269"/>
      <c r="F39" s="112" t="str">
        <f>VLOOKUP(C39,Purchased!A:Q,9,0)</f>
        <v>MCM</v>
      </c>
      <c r="G39" s="112" t="str">
        <f>VLOOKUP(C39,Purchased!A:Q,10,0)</f>
        <v>MCM</v>
      </c>
      <c r="H39" s="112" t="str">
        <f>VLOOKUP(C39,Purchased!A:Q,12,0)</f>
        <v xml:space="preserve"> </v>
      </c>
      <c r="I39" s="113"/>
      <c r="J39" s="44" t="str">
        <f>VLOOKUP(C39,Purchased!A:Q,13,0)</f>
        <v>N/A</v>
      </c>
      <c r="K39" s="44">
        <f>VLOOKUP(C39,Purchased!A:Q,14,0)</f>
        <v>45162</v>
      </c>
      <c r="L39" s="44">
        <f>VLOOKUP(C39,Purchased!A:Q,15,0)</f>
        <v>45184</v>
      </c>
      <c r="M39" s="44">
        <f>VLOOKUP(C39,Purchased!A:Q,16,0)</f>
        <v>45166</v>
      </c>
      <c r="N39" s="45">
        <f>VLOOKUP(C39,Purchased!A:Q,17,0)</f>
        <v>55087</v>
      </c>
      <c r="O39" s="45" t="e">
        <f t="shared" ca="1" si="4"/>
        <v>#VALUE!</v>
      </c>
      <c r="P39" s="49">
        <f>IFERROR(VLOOKUP(C39,Purchased!A:E,3,FALSE),"")</f>
        <v>11.43</v>
      </c>
      <c r="Q39" s="50">
        <f t="shared" si="5"/>
        <v>68.58</v>
      </c>
    </row>
    <row r="40" spans="1:17" s="2" customFormat="1" ht="12" customHeight="1">
      <c r="A40" s="4">
        <f t="shared" si="6"/>
        <v>323</v>
      </c>
      <c r="B40" s="2">
        <v>4</v>
      </c>
      <c r="C40" s="114" t="s">
        <v>893</v>
      </c>
      <c r="D40" s="268" t="str">
        <f>VLOOKUP(C40,Purchased!A:B,2,0)</f>
        <v>Ball Bearing, Shielded, Trade No. 16004-2Z, for 20 mm Shaft Diameter</v>
      </c>
      <c r="E40" s="269"/>
      <c r="F40" s="112" t="str">
        <f>VLOOKUP(C40,Purchased!A:Q,9,0)</f>
        <v>MOTION</v>
      </c>
      <c r="G40" s="112" t="str">
        <f>VLOOKUP(C40,Purchased!A:Q,10,0)</f>
        <v>MOTION</v>
      </c>
      <c r="H40" s="112" t="str">
        <f>VLOOKUP(C40,Purchased!A:Q,12,0)</f>
        <v>MCM=5972K266</v>
      </c>
      <c r="I40" s="113"/>
      <c r="J40" s="44" t="str">
        <f>VLOOKUP(C40,Purchased!A:Q,13,0)</f>
        <v>N/A</v>
      </c>
      <c r="K40" s="44">
        <f>VLOOKUP(C40,Purchased!A:Q,14,0)</f>
        <v>45161</v>
      </c>
      <c r="L40" s="44">
        <f>VLOOKUP(C40,Purchased!A:Q,15,0)</f>
        <v>45191</v>
      </c>
      <c r="M40" s="44">
        <f>VLOOKUP(C40,Purchased!A:Q,16,0)</f>
        <v>45191</v>
      </c>
      <c r="N40" s="45">
        <f>VLOOKUP(C40,Purchased!A:Q,17,0)</f>
        <v>55079</v>
      </c>
      <c r="O40" s="45" t="e">
        <f t="shared" ca="1" si="4"/>
        <v>#VALUE!</v>
      </c>
      <c r="P40" s="49">
        <f>IFERROR(VLOOKUP(C40,Purchased!A:E,3,FALSE),"")</f>
        <v>27.09</v>
      </c>
      <c r="Q40" s="50">
        <f t="shared" si="5"/>
        <v>108.36</v>
      </c>
    </row>
    <row r="41" spans="1:17" s="2" customFormat="1" ht="12" customHeight="1">
      <c r="A41" s="241">
        <f t="shared" si="6"/>
        <v>324</v>
      </c>
      <c r="B41" s="240">
        <v>15</v>
      </c>
      <c r="C41" s="114" t="s">
        <v>894</v>
      </c>
      <c r="D41" s="268" t="str">
        <f>VLOOKUP(C41,Purchased!A:B,2,0)</f>
        <v>Medium-Strength Zinc-Plated Steel Thin Hex Nut, Class 04, M10 x 1.5 mm Thread</v>
      </c>
      <c r="E41" s="269"/>
      <c r="F41" s="112" t="str">
        <f>VLOOKUP(C41,Purchased!A:Q,9,0)</f>
        <v>MCM</v>
      </c>
      <c r="G41" s="112" t="str">
        <f>VLOOKUP(C41,Purchased!A:Q,10,0)</f>
        <v>MCM</v>
      </c>
      <c r="H41" s="112" t="str">
        <f>VLOOKUP(C41,Purchased!A:Q,12,0)</f>
        <v>100+ in NuLine Stock</v>
      </c>
      <c r="I41" s="113"/>
      <c r="J41" s="44" t="str">
        <f>VLOOKUP(C41,Purchased!A:Q,13,0)</f>
        <v>N/A</v>
      </c>
      <c r="K41" s="44" t="str">
        <f>VLOOKUP(C41,Purchased!A:Q,14,0)</f>
        <v>N/A</v>
      </c>
      <c r="L41" s="44" t="str">
        <f>VLOOKUP(C41,Purchased!A:Q,15,0)</f>
        <v>N/A</v>
      </c>
      <c r="M41" s="44" t="str">
        <f>VLOOKUP(C41,Purchased!A:Q,16,0)</f>
        <v>N/A</v>
      </c>
      <c r="N41" s="45" t="str">
        <f>VLOOKUP(C41,Purchased!A:Q,17,0)</f>
        <v>N/A</v>
      </c>
      <c r="O41" s="45" t="e">
        <f t="shared" ref="O41" ca="1" si="7">B41*$L$2</f>
        <v>#VALUE!</v>
      </c>
      <c r="P41" s="49">
        <f>IFERROR(VLOOKUP(C41,Purchased!A:E,3,FALSE),"")</f>
        <v>12.85</v>
      </c>
      <c r="Q41" s="50">
        <f t="shared" ref="Q41" si="8">IFERROR(B41*P41,"")</f>
        <v>192.75</v>
      </c>
    </row>
    <row r="42" spans="1:17" s="2" customFormat="1" ht="12" customHeight="1">
      <c r="A42" s="4">
        <f t="shared" si="6"/>
        <v>325</v>
      </c>
      <c r="B42" s="2">
        <v>1</v>
      </c>
      <c r="C42" s="114" t="s">
        <v>895</v>
      </c>
      <c r="D42" s="268" t="str">
        <f>VLOOKUP(C42,Purchased!A:B,2,0)</f>
        <v>Ball Bearing Shielded, Trade No. 6001-2Z, for 12 mm Shaft Diameter</v>
      </c>
      <c r="E42" s="269"/>
      <c r="F42" s="112" t="str">
        <f>VLOOKUP(C42,Purchased!A:Q,9,0)</f>
        <v>MCM</v>
      </c>
      <c r="G42" s="112" t="str">
        <f>VLOOKUP(C42,Purchased!A:Q,10,0)</f>
        <v>MCM</v>
      </c>
      <c r="H42" s="112" t="str">
        <f>VLOOKUP(C42,Purchased!A:Q,12,0)</f>
        <v xml:space="preserve"> </v>
      </c>
      <c r="I42" s="113"/>
      <c r="J42" s="44" t="str">
        <f>VLOOKUP(C42,Purchased!A:Q,13,0)</f>
        <v>N/A</v>
      </c>
      <c r="K42" s="44">
        <f>VLOOKUP(C42,Purchased!A:Q,14,0)</f>
        <v>45162</v>
      </c>
      <c r="L42" s="44">
        <f>VLOOKUP(C42,Purchased!A:Q,15,0)</f>
        <v>45184</v>
      </c>
      <c r="M42" s="44">
        <f>VLOOKUP(C42,Purchased!A:Q,16,0)</f>
        <v>45166</v>
      </c>
      <c r="N42" s="45">
        <f>VLOOKUP(C42,Purchased!A:Q,17,0)</f>
        <v>55087</v>
      </c>
      <c r="O42" s="45" t="e">
        <f t="shared" ca="1" si="4"/>
        <v>#VALUE!</v>
      </c>
      <c r="P42" s="49">
        <f>IFERROR(VLOOKUP(C42,Purchased!A:E,3,FALSE),"")</f>
        <v>8.42</v>
      </c>
      <c r="Q42" s="50">
        <f t="shared" si="5"/>
        <v>8.42</v>
      </c>
    </row>
    <row r="43" spans="1:17" s="2" customFormat="1" ht="12" customHeight="1">
      <c r="A43" s="4">
        <f t="shared" si="6"/>
        <v>326</v>
      </c>
      <c r="B43" s="2">
        <v>5</v>
      </c>
      <c r="C43" s="114" t="s">
        <v>896</v>
      </c>
      <c r="D43" s="268" t="str">
        <f>VLOOKUP(C43,Purchased!A:B,2,0)</f>
        <v>MISUMI Flat Spacers - NICKEL PLATED STEEL, 20MM OD, 10MM ID, 4.5MM THICK</v>
      </c>
      <c r="E43" s="269"/>
      <c r="F43" s="112" t="str">
        <f>VLOOKUP(C43,Purchased!A:Q,9,0)</f>
        <v>MISUMI</v>
      </c>
      <c r="G43" s="112" t="str">
        <f>VLOOKUP(C43,Purchased!A:Q,10,0)</f>
        <v>MISUMI</v>
      </c>
      <c r="H43" s="112" t="str">
        <f>VLOOKUP(C43,Purchased!A:Q,12,0)</f>
        <v xml:space="preserve"> </v>
      </c>
      <c r="I43" s="113"/>
      <c r="J43" s="44" t="str">
        <f>VLOOKUP(C43,Purchased!A:Q,13,0)</f>
        <v>N/A</v>
      </c>
      <c r="K43" s="44">
        <f>VLOOKUP(C43,Purchased!A:Q,14,0)</f>
        <v>45161</v>
      </c>
      <c r="L43" s="44">
        <f>VLOOKUP(C43,Purchased!A:Q,15,0)</f>
        <v>45191</v>
      </c>
      <c r="M43" s="44">
        <f>VLOOKUP(C43,Purchased!A:Q,16,0)</f>
        <v>45176</v>
      </c>
      <c r="N43" s="45" t="str">
        <f>VLOOKUP(C43,Purchased!A:Q,17,0)</f>
        <v>7x55078, 2x55168</v>
      </c>
      <c r="O43" s="45" t="e">
        <f t="shared" ca="1" si="4"/>
        <v>#VALUE!</v>
      </c>
      <c r="P43" s="49">
        <f>IFERROR(VLOOKUP(C43,Purchased!A:E,3,FALSE),"")</f>
        <v>15.49</v>
      </c>
      <c r="Q43" s="50">
        <f t="shared" si="5"/>
        <v>77.45</v>
      </c>
    </row>
    <row r="44" spans="1:17" s="2" customFormat="1" ht="12" customHeight="1">
      <c r="A44" s="4">
        <f t="shared" si="6"/>
        <v>327</v>
      </c>
      <c r="B44" s="2">
        <v>6</v>
      </c>
      <c r="C44" s="114" t="s">
        <v>897</v>
      </c>
      <c r="D44" s="268" t="str">
        <f>VLOOKUP(C44,Purchased!A:B,2,0)</f>
        <v>Flat Spacers - Configurable Length</v>
      </c>
      <c r="E44" s="269"/>
      <c r="F44" s="112" t="str">
        <f>VLOOKUP(C44,Purchased!A:Q,9,0)</f>
        <v>MISUMI</v>
      </c>
      <c r="G44" s="112" t="str">
        <f>VLOOKUP(C44,Purchased!A:Q,10,0)</f>
        <v>MISUMI</v>
      </c>
      <c r="H44" s="112" t="str">
        <f>VLOOKUP(C44,Purchased!A:Q,12,0)</f>
        <v xml:space="preserve"> </v>
      </c>
      <c r="I44" s="113"/>
      <c r="J44" s="44" t="str">
        <f>VLOOKUP(C44,Purchased!A:Q,13,0)</f>
        <v>N/A</v>
      </c>
      <c r="K44" s="44">
        <f>VLOOKUP(C44,Purchased!A:Q,14,0)</f>
        <v>45196</v>
      </c>
      <c r="L44" s="44">
        <f>VLOOKUP(C44,Purchased!A:Q,15,0)</f>
        <v>45203</v>
      </c>
      <c r="M44" s="44">
        <f>VLOOKUP(C44,Purchased!A:Q,16,0)</f>
        <v>45205</v>
      </c>
      <c r="N44" s="45">
        <f>VLOOKUP(C44,Purchased!A:Q,17,0)</f>
        <v>55168</v>
      </c>
      <c r="O44" s="45" t="e">
        <f t="shared" ca="1" si="4"/>
        <v>#VALUE!</v>
      </c>
      <c r="P44" s="49">
        <f>IFERROR(VLOOKUP(C44,Purchased!A:E,3,FALSE),"")</f>
        <v>15.49</v>
      </c>
      <c r="Q44" s="50">
        <f t="shared" si="5"/>
        <v>92.94</v>
      </c>
    </row>
    <row r="45" spans="1:17" s="2" customFormat="1" ht="12" customHeight="1">
      <c r="A45" s="4">
        <f t="shared" si="6"/>
        <v>328</v>
      </c>
      <c r="B45" s="2">
        <v>1</v>
      </c>
      <c r="C45" s="114" t="s">
        <v>898</v>
      </c>
      <c r="D45" s="268" t="str">
        <f>VLOOKUP(C45,Purchased!A:B,2,0)</f>
        <v>Two-Piece Shaft Coupling, Steel, for 12 mm x 12 mm Diameter Round Shaft</v>
      </c>
      <c r="E45" s="269"/>
      <c r="F45" s="112" t="str">
        <f>VLOOKUP(C45,Purchased!A:Q,9,0)</f>
        <v>MCM</v>
      </c>
      <c r="G45" s="112" t="str">
        <f>VLOOKUP(C45,Purchased!A:Q,10,0)</f>
        <v>MCM</v>
      </c>
      <c r="H45" s="112">
        <f>VLOOKUP(C45,Purchased!A:Q,12,0)</f>
        <v>0</v>
      </c>
      <c r="I45" s="113"/>
      <c r="J45" s="44" t="str">
        <f>VLOOKUP(C45,Purchased!A:Q,13,0)</f>
        <v>N/A</v>
      </c>
      <c r="K45" s="44">
        <f>VLOOKUP(C45,Purchased!A:Q,14,0)</f>
        <v>45216</v>
      </c>
      <c r="L45" s="44">
        <f>VLOOKUP(C45,Purchased!A:Q,15,0)</f>
        <v>45217</v>
      </c>
      <c r="M45" s="44">
        <f>VLOOKUP(C45,Purchased!A:Q,16,0)</f>
        <v>45217</v>
      </c>
      <c r="N45" s="45">
        <f>VLOOKUP(C45,Purchased!A:Q,17,0)</f>
        <v>55215</v>
      </c>
      <c r="O45" s="45" t="e">
        <f t="shared" ref="O45" ca="1" si="9">B45*$L$2</f>
        <v>#VALUE!</v>
      </c>
      <c r="P45" s="49">
        <f>IFERROR(VLOOKUP(C45,Purchased!A:E,3,FALSE),"")</f>
        <v>86.9</v>
      </c>
      <c r="Q45" s="50">
        <f t="shared" ref="Q45" si="10">IFERROR(B45*P45,"")</f>
        <v>86.9</v>
      </c>
    </row>
    <row r="46" spans="1:17" s="2" customFormat="1" ht="12" customHeight="1">
      <c r="A46" s="4">
        <f t="shared" si="6"/>
        <v>329</v>
      </c>
      <c r="B46" s="2">
        <v>2</v>
      </c>
      <c r="C46" s="114" t="s">
        <v>899</v>
      </c>
      <c r="D46" s="268" t="str">
        <f>VLOOKUP(C46,Purchased!A:B,2,0)</f>
        <v>MISUMI Spur Gear Pressure Angle 20, Module 2.0, 20mm Shaft</v>
      </c>
      <c r="E46" s="269"/>
      <c r="F46" s="112" t="str">
        <f>VLOOKUP(C46,Purchased!A:Q,9,0)</f>
        <v>MISUMI</v>
      </c>
      <c r="G46" s="112" t="str">
        <f>VLOOKUP(C46,Purchased!A:Q,10,0)</f>
        <v>MISUMI</v>
      </c>
      <c r="H46" s="112" t="str">
        <f>VLOOKUP(C46,Purchased!A:Q,12,0)</f>
        <v xml:space="preserve"> </v>
      </c>
      <c r="I46" s="113"/>
      <c r="J46" s="44" t="str">
        <f>VLOOKUP(C46,Purchased!A:Q,13,0)</f>
        <v>N/A</v>
      </c>
      <c r="K46" s="44">
        <f>VLOOKUP(C46,Purchased!A:Q,14,0)</f>
        <v>45140</v>
      </c>
      <c r="L46" s="44">
        <f>VLOOKUP(C46,Purchased!A:Q,15,0)</f>
        <v>45153</v>
      </c>
      <c r="M46" s="44">
        <f>VLOOKUP(C46,Purchased!A:Q,16,0)</f>
        <v>45156</v>
      </c>
      <c r="N46" s="45">
        <f>VLOOKUP(C46,Purchased!A:Q,17,0)</f>
        <v>55026</v>
      </c>
      <c r="O46" s="45" t="e">
        <f t="shared" ca="1" si="4"/>
        <v>#VALUE!</v>
      </c>
      <c r="P46" s="49">
        <f>IFERROR(VLOOKUP(C46,Purchased!A:E,3,FALSE),"")</f>
        <v>46.29</v>
      </c>
      <c r="Q46" s="50">
        <f t="shared" si="5"/>
        <v>92.58</v>
      </c>
    </row>
    <row r="47" spans="1:17" s="2" customFormat="1" ht="12" customHeight="1">
      <c r="A47" s="4">
        <f t="shared" si="6"/>
        <v>330</v>
      </c>
      <c r="B47" s="2">
        <v>2</v>
      </c>
      <c r="C47" s="114" t="s">
        <v>900</v>
      </c>
      <c r="D47" s="268" t="str">
        <f>VLOOKUP(C47,Purchased!A:B,2,0)</f>
        <v>MKS Series Pneumatic clamp for 25mm bosch profile rail</v>
      </c>
      <c r="E47" s="269"/>
      <c r="F47" s="112" t="str">
        <f>VLOOKUP(C47,Purchased!A:Q,9,0)</f>
        <v>ZIMMER</v>
      </c>
      <c r="G47" s="112" t="str">
        <f>VLOOKUP(C47,Purchased!A:Q,10,0)</f>
        <v>ZIMMER</v>
      </c>
      <c r="H47" s="112" t="str">
        <f>VLOOKUP(C47,Purchased!A:Q,12,0)</f>
        <v xml:space="preserve"> </v>
      </c>
      <c r="I47" s="113"/>
      <c r="J47" s="44" t="str">
        <f>VLOOKUP(C47,Purchased!A:Q,13,0)</f>
        <v>N/A</v>
      </c>
      <c r="K47" s="44">
        <f>VLOOKUP(C47,Purchased!A:Q,14,0)</f>
        <v>45117</v>
      </c>
      <c r="L47" s="44">
        <f>VLOOKUP(C47,Purchased!A:Q,15,0)</f>
        <v>45147</v>
      </c>
      <c r="M47" s="44">
        <f>VLOOKUP(C47,Purchased!A:Q,16,0)</f>
        <v>45180</v>
      </c>
      <c r="N47" s="45">
        <f>VLOOKUP(C47,Purchased!A:Q,17,0)</f>
        <v>54979</v>
      </c>
      <c r="O47" s="45" t="e">
        <f t="shared" ca="1" si="4"/>
        <v>#VALUE!</v>
      </c>
      <c r="P47" s="49">
        <f>IFERROR(VLOOKUP(C47,Purchased!A:E,3,FALSE),"")</f>
        <v>428.1</v>
      </c>
      <c r="Q47" s="50">
        <f t="shared" si="5"/>
        <v>856.2</v>
      </c>
    </row>
    <row r="48" spans="1:17" s="2" customFormat="1" ht="12" customHeight="1">
      <c r="A48" s="4">
        <f t="shared" si="6"/>
        <v>331</v>
      </c>
      <c r="B48" s="2">
        <v>2</v>
      </c>
      <c r="C48" s="114" t="s">
        <v>793</v>
      </c>
      <c r="D48" s="268" t="str">
        <f>VLOOKUP(C48,Purchased!A:B,2,0)</f>
        <v>SMC FITTING, MALE CONNECTOR</v>
      </c>
      <c r="E48" s="269"/>
      <c r="F48" s="112" t="str">
        <f>VLOOKUP(C48,Purchased!A:Q,9,0)</f>
        <v>SMC</v>
      </c>
      <c r="G48" s="112" t="str">
        <f>VLOOKUP(C48,Purchased!A:Q,10,0)</f>
        <v>AAP</v>
      </c>
      <c r="H48" s="112" t="str">
        <f>VLOOKUP(C48,Purchased!A:Q,12,0)</f>
        <v xml:space="preserve">  </v>
      </c>
      <c r="I48" s="113"/>
      <c r="J48" s="44" t="str">
        <f>VLOOKUP(C48,Purchased!A:Q,13,0)</f>
        <v>N/A</v>
      </c>
      <c r="K48" s="44">
        <f>VLOOKUP(C48,Purchased!A:Q,14,0)</f>
        <v>45162</v>
      </c>
      <c r="L48" s="44">
        <f>VLOOKUP(C48,Purchased!A:Q,15,0)</f>
        <v>45184</v>
      </c>
      <c r="M48" s="44">
        <f>VLOOKUP(C48,Purchased!A:Q,16,0)</f>
        <v>45180</v>
      </c>
      <c r="N48" s="45">
        <f>VLOOKUP(C48,Purchased!A:Q,17,0)</f>
        <v>55037</v>
      </c>
      <c r="O48" s="45" t="e">
        <f t="shared" ca="1" si="4"/>
        <v>#VALUE!</v>
      </c>
      <c r="P48" s="49">
        <f>IFERROR(VLOOKUP(C48,Purchased!A:E,3,FALSE),"")</f>
        <v>0.84379999999999999</v>
      </c>
      <c r="Q48" s="50">
        <f t="shared" si="5"/>
        <v>1.6876</v>
      </c>
    </row>
    <row r="49" spans="1:17" s="2" customFormat="1" ht="12.75" customHeight="1">
      <c r="A49" s="4">
        <f t="shared" si="6"/>
        <v>332</v>
      </c>
      <c r="B49" s="2">
        <v>1</v>
      </c>
      <c r="C49" s="114" t="s">
        <v>901</v>
      </c>
      <c r="D49" s="268" t="str">
        <f>VLOOKUP(C49,Purchased!A:B,2,0)</f>
        <v>SMC FITTING, UNION TEE</v>
      </c>
      <c r="E49" s="269"/>
      <c r="F49" s="112" t="str">
        <f>VLOOKUP(C49,Purchased!A:Q,9,0)</f>
        <v>SMC</v>
      </c>
      <c r="G49" s="112" t="str">
        <f>VLOOKUP(C49,Purchased!A:Q,10,0)</f>
        <v>AAP</v>
      </c>
      <c r="H49" s="112" t="str">
        <f>VLOOKUP(C49,Purchased!A:Q,12,0)</f>
        <v xml:space="preserve"> </v>
      </c>
      <c r="I49" s="113"/>
      <c r="J49" s="44" t="str">
        <f>VLOOKUP(C49,Purchased!A:Q,13,0)</f>
        <v>N/A</v>
      </c>
      <c r="K49" s="44">
        <f>VLOOKUP(C49,Purchased!A:Q,14,0)</f>
        <v>45162</v>
      </c>
      <c r="L49" s="44">
        <f>VLOOKUP(C49,Purchased!A:Q,15,0)</f>
        <v>45184</v>
      </c>
      <c r="M49" s="44">
        <f>VLOOKUP(C49,Purchased!A:Q,16,0)</f>
        <v>45180</v>
      </c>
      <c r="N49" s="45">
        <f>VLOOKUP(C49,Purchased!A:Q,17,0)</f>
        <v>55037</v>
      </c>
      <c r="O49" s="45" t="e">
        <f t="shared" ca="1" si="4"/>
        <v>#VALUE!</v>
      </c>
      <c r="P49" s="49">
        <f>IFERROR(VLOOKUP(C49,Purchased!A:E,3,FALSE),"")</f>
        <v>1.6877</v>
      </c>
      <c r="Q49" s="50">
        <f t="shared" si="5"/>
        <v>1.6877</v>
      </c>
    </row>
    <row r="50" spans="1:17" s="2" customFormat="1" ht="12.75" customHeight="1">
      <c r="A50" s="4">
        <f t="shared" si="6"/>
        <v>333</v>
      </c>
      <c r="B50" s="2">
        <v>2</v>
      </c>
      <c r="C50" s="114" t="s">
        <v>310</v>
      </c>
      <c r="D50" s="268" t="str">
        <f>VLOOKUP(C50,Purchased!A:B,2,0)</f>
        <v>BRX 45X45 GREY END CAP</v>
      </c>
      <c r="E50" s="269"/>
      <c r="F50" s="112" t="str">
        <f>VLOOKUP(C50,Purchased!A:Q,9,0)</f>
        <v>BRX</v>
      </c>
      <c r="G50" s="112" t="str">
        <f>VLOOKUP(C50,Purchased!A:Q,10,0)</f>
        <v>AAP</v>
      </c>
      <c r="H50" s="112" t="str">
        <f>VLOOKUP(C50,Purchased!A:Q,12,0)</f>
        <v xml:space="preserve"> </v>
      </c>
      <c r="I50" s="113"/>
      <c r="J50" s="44" t="str">
        <f>VLOOKUP(C50,Purchased!A:Q,13,0)</f>
        <v>N/A</v>
      </c>
      <c r="K50" s="44">
        <f>VLOOKUP(C50,Purchased!A:Q,14,0)</f>
        <v>45196</v>
      </c>
      <c r="L50" s="44">
        <f>VLOOKUP(C50,Purchased!A:Q,15,0)</f>
        <v>45203</v>
      </c>
      <c r="M50" s="44">
        <f>VLOOKUP(C50,Purchased!A:Q,16,0)</f>
        <v>0</v>
      </c>
      <c r="N50" s="45">
        <f>VLOOKUP(C50,Purchased!A:Q,17,0)</f>
        <v>55169</v>
      </c>
      <c r="O50" s="45" t="e">
        <f t="shared" ref="O50" ca="1" si="11">B50*$L$2</f>
        <v>#VALUE!</v>
      </c>
      <c r="P50" s="49">
        <f>IFERROR(VLOOKUP(C50,Purchased!A:E,3,FALSE),"")</f>
        <v>1.0428999999999999</v>
      </c>
      <c r="Q50" s="50">
        <f t="shared" ref="Q50" si="12">IFERROR(B50*P50,"")</f>
        <v>2.0857999999999999</v>
      </c>
    </row>
    <row r="51" spans="1:17" s="2" customFormat="1" ht="12.75" customHeight="1">
      <c r="A51" s="4">
        <f t="shared" si="6"/>
        <v>334</v>
      </c>
      <c r="B51" s="2">
        <v>1</v>
      </c>
      <c r="C51" s="114" t="s">
        <v>902</v>
      </c>
      <c r="D51" s="268" t="str">
        <f>VLOOKUP(C51,Purchased!A:B,2,0)</f>
        <v>Clamping Shaft Collar for 12 mm Diameter, Black-Oxide 1215 Carbon Steel</v>
      </c>
      <c r="E51" s="269"/>
      <c r="F51" s="112" t="str">
        <f>VLOOKUP(C51,Purchased!A:Q,9,0)</f>
        <v>MCM</v>
      </c>
      <c r="G51" s="112" t="str">
        <f>VLOOKUP(C51,Purchased!A:Q,10,0)</f>
        <v>MCM</v>
      </c>
      <c r="H51" s="112">
        <f>VLOOKUP(C51,Purchased!A:Q,12,0)</f>
        <v>0</v>
      </c>
      <c r="I51" s="113"/>
      <c r="J51" s="44" t="str">
        <f>VLOOKUP(C51,Purchased!A:Q,13,0)</f>
        <v>N/A</v>
      </c>
      <c r="K51" s="44">
        <f>VLOOKUP(C51,Purchased!A:Q,14,0)</f>
        <v>45216</v>
      </c>
      <c r="L51" s="44">
        <f>VLOOKUP(C51,Purchased!A:Q,15,0)</f>
        <v>45217</v>
      </c>
      <c r="M51" s="44">
        <f>VLOOKUP(C51,Purchased!A:Q,16,0)</f>
        <v>45217</v>
      </c>
      <c r="N51" s="45">
        <f>VLOOKUP(C51,Purchased!A:Q,17,0)</f>
        <v>55215</v>
      </c>
      <c r="O51" s="45" t="e">
        <f t="shared" ref="O51" ca="1" si="13">B51*$L$2</f>
        <v>#VALUE!</v>
      </c>
      <c r="P51" s="49">
        <f>IFERROR(VLOOKUP(C51,Purchased!A:E,3,FALSE),"")</f>
        <v>8.9700000000000006</v>
      </c>
      <c r="Q51" s="50">
        <f t="shared" ref="Q51" si="14">IFERROR(B51*P51,"")</f>
        <v>8.9700000000000006</v>
      </c>
    </row>
    <row r="52" spans="1:17" s="2" customFormat="1" ht="12.75" customHeight="1">
      <c r="A52" s="4">
        <f t="shared" si="6"/>
        <v>335</v>
      </c>
      <c r="B52" s="2">
        <v>1</v>
      </c>
      <c r="C52" s="114" t="s">
        <v>903</v>
      </c>
      <c r="D52" s="268" t="str">
        <f>VLOOKUP(C52,Purchased!A:B,2,0)</f>
        <v>316 Stainless Steel Ring Shim 0.5mm Thick, 12mm ID, 10pk</v>
      </c>
      <c r="E52" s="269"/>
      <c r="F52" s="112" t="str">
        <f>VLOOKUP(C52,Purchased!A:Q,9,0)</f>
        <v>MCM</v>
      </c>
      <c r="G52" s="112" t="str">
        <f>VLOOKUP(C52,Purchased!A:Q,10,0)</f>
        <v>MCM</v>
      </c>
      <c r="H52" s="112" t="str">
        <f>VLOOKUP(C52,Purchased!A:Q,12,0)</f>
        <v>Pack of 10</v>
      </c>
      <c r="I52" s="113"/>
      <c r="J52" s="44" t="str">
        <f>VLOOKUP(C52,Purchased!A:Q,13,0)</f>
        <v>N/A</v>
      </c>
      <c r="K52" s="44">
        <f>VLOOKUP(C52,Purchased!A:Q,14,0)</f>
        <v>45162</v>
      </c>
      <c r="L52" s="44">
        <f>VLOOKUP(C52,Purchased!A:Q,15,0)</f>
        <v>45184</v>
      </c>
      <c r="M52" s="44">
        <f>VLOOKUP(C52,Purchased!A:Q,16,0)</f>
        <v>45163</v>
      </c>
      <c r="N52" s="45">
        <f>VLOOKUP(C52,Purchased!A:Q,17,0)</f>
        <v>55088</v>
      </c>
      <c r="O52" s="45" t="e">
        <f t="shared" ref="O52" ca="1" si="15">B52*$L$2</f>
        <v>#VALUE!</v>
      </c>
      <c r="P52" s="49">
        <f>IFERROR(VLOOKUP(C52,Purchased!A:E,3,FALSE),"")</f>
        <v>12.97</v>
      </c>
      <c r="Q52" s="50">
        <f t="shared" ref="Q52" si="16">IFERROR(B52*P52,"")</f>
        <v>12.97</v>
      </c>
    </row>
    <row r="53" spans="1:17" s="2" customFormat="1" ht="12.75" customHeight="1">
      <c r="A53" s="241">
        <f t="shared" si="6"/>
        <v>336</v>
      </c>
      <c r="B53" s="240">
        <v>5</v>
      </c>
      <c r="C53" s="114" t="s">
        <v>904</v>
      </c>
      <c r="D53" s="268" t="str">
        <f>VLOOKUP(C53,Purchased!A:B,2,0)</f>
        <v>Button Head Hex Drive Screws, Zinc-Plated Alloy Steel, M10 x 1.5 mm Thread, 40 mm Long</v>
      </c>
      <c r="E53" s="269"/>
      <c r="F53" s="112" t="str">
        <f>VLOOKUP(C53,Purchased!A:Q,9,0)</f>
        <v>MCM</v>
      </c>
      <c r="G53" s="112" t="str">
        <f>VLOOKUP(C53,Purchased!A:Q,10,0)</f>
        <v>MCM</v>
      </c>
      <c r="H53" s="112">
        <f>VLOOKUP(C53,Purchased!A:Q,12,0)</f>
        <v>0</v>
      </c>
      <c r="I53" s="113"/>
      <c r="J53" s="44" t="str">
        <f>VLOOKUP(C53,Purchased!A:Q,13,0)</f>
        <v>N/A</v>
      </c>
      <c r="K53" s="44">
        <f>VLOOKUP(C53,Purchased!A:Q,14,0)</f>
        <v>45229</v>
      </c>
      <c r="L53" s="44">
        <f>VLOOKUP(C53,Purchased!A:Q,15,0)</f>
        <v>45230</v>
      </c>
      <c r="M53" s="44">
        <f>VLOOKUP(C53,Purchased!A:Q,16,0)</f>
        <v>45230</v>
      </c>
      <c r="N53" s="45">
        <f>VLOOKUP(C53,Purchased!A:Q,17,0)</f>
        <v>55262</v>
      </c>
      <c r="O53" s="45" t="e">
        <f t="shared" ref="O53" ca="1" si="17">B53*$L$2</f>
        <v>#VALUE!</v>
      </c>
      <c r="P53" s="49">
        <f>IFERROR(VLOOKUP(C53,Purchased!A:E,3,FALSE),"")</f>
        <v>12.35</v>
      </c>
      <c r="Q53" s="50">
        <f t="shared" ref="Q53" si="18">IFERROR(B53*P53,"")</f>
        <v>61.75</v>
      </c>
    </row>
    <row r="54" spans="1:17" s="2" customFormat="1" ht="12.75" customHeight="1">
      <c r="A54" s="241">
        <v>337</v>
      </c>
      <c r="B54" s="240">
        <v>8</v>
      </c>
      <c r="C54" s="114" t="s">
        <v>905</v>
      </c>
      <c r="D54" s="268" t="str">
        <f>VLOOKUP(C54,Purchased!A:B,2,0)</f>
        <v>Clamping Two-Piece Shaft Collar for 12mm Diameter, Chrome Plated 1215 Carbon Steel</v>
      </c>
      <c r="E54" s="269"/>
      <c r="F54" s="112" t="str">
        <f>VLOOKUP(C54,Purchased!A:Q,9,0)</f>
        <v>MCM</v>
      </c>
      <c r="G54" s="112" t="str">
        <f>VLOOKUP(C54,Purchased!A:Q,10,0)</f>
        <v>MCM</v>
      </c>
      <c r="H54" s="112">
        <f>VLOOKUP(C54,Purchased!A:Q,12,0)</f>
        <v>0</v>
      </c>
      <c r="I54" s="113"/>
      <c r="J54" s="44" t="str">
        <f>VLOOKUP(C54,Purchased!A:Q,13,0)</f>
        <v>N/A</v>
      </c>
      <c r="K54" s="44">
        <f>VLOOKUP(C54,Purchased!A:Q,14,0)</f>
        <v>45229</v>
      </c>
      <c r="L54" s="44">
        <f>VLOOKUP(C54,Purchased!A:Q,15,0)</f>
        <v>45230</v>
      </c>
      <c r="M54" s="44">
        <f>VLOOKUP(C54,Purchased!A:Q,16,0)</f>
        <v>45230</v>
      </c>
      <c r="N54" s="45">
        <f>VLOOKUP(C54,Purchased!A:Q,17,0)</f>
        <v>55262</v>
      </c>
      <c r="O54" s="45" t="e">
        <f t="shared" ref="O54" ca="1" si="19">B54*$L$2</f>
        <v>#VALUE!</v>
      </c>
      <c r="P54" s="49">
        <f>IFERROR(VLOOKUP(C54,Purchased!A:E,3,FALSE),"")</f>
        <v>16.03</v>
      </c>
      <c r="Q54" s="50">
        <f t="shared" ref="Q54" si="20">IFERROR(B54*P54,"")</f>
        <v>128.24</v>
      </c>
    </row>
    <row r="55" spans="1:17" s="2" customFormat="1" ht="12.75" customHeight="1">
      <c r="A55" s="25"/>
      <c r="B55" s="26"/>
      <c r="C55" s="26"/>
      <c r="D55" s="272"/>
      <c r="E55" s="273"/>
      <c r="F55" s="26"/>
      <c r="G55" s="26"/>
      <c r="H55" s="274"/>
      <c r="I55" s="275"/>
      <c r="J55" s="27"/>
      <c r="K55" s="27"/>
      <c r="L55" s="27"/>
      <c r="M55" s="28"/>
      <c r="N55" s="29"/>
      <c r="O55" s="29" t="e">
        <f t="shared" ca="1" si="4"/>
        <v>#VALUE!</v>
      </c>
      <c r="P55" s="141"/>
      <c r="Q55" s="142"/>
    </row>
    <row r="56" spans="1:17" s="2" customFormat="1" ht="12.75" customHeight="1">
      <c r="A56" s="4">
        <v>501</v>
      </c>
      <c r="B56" s="2">
        <v>8</v>
      </c>
      <c r="C56" s="110" t="s">
        <v>906</v>
      </c>
      <c r="D56" s="268"/>
      <c r="E56" s="276"/>
      <c r="F56" s="112" t="str">
        <f>VLOOKUP(C56,Bolts!A:L,5,0)</f>
        <v xml:space="preserve">  </v>
      </c>
      <c r="G56" s="112" t="str">
        <f>VLOOKUP(C56,Bolts!A:L,6,0)</f>
        <v>Monroe Fasteners</v>
      </c>
      <c r="H56" s="112" t="str">
        <f>VLOOKUP(C56,Bolts!A:L,7,0)</f>
        <v xml:space="preserve">  </v>
      </c>
      <c r="I56" s="112"/>
      <c r="J56" s="44" t="str">
        <f>VLOOKUP(C56,Bolts!A:L,8,0)</f>
        <v xml:space="preserve"> </v>
      </c>
      <c r="K56" s="44" t="str">
        <f>VLOOKUP(C56,Bolts!A:L,9,0)</f>
        <v xml:space="preserve"> </v>
      </c>
      <c r="L56" s="44" t="str">
        <f>VLOOKUP(C56,Bolts!A:L,10,0)</f>
        <v xml:space="preserve"> </v>
      </c>
      <c r="M56" s="44" t="str">
        <f>VLOOKUP(C56,Bolts!A:L,11,0)</f>
        <v xml:space="preserve"> </v>
      </c>
      <c r="N56" s="45" t="str">
        <f>VLOOKUP(C56,Bolts!A:L,12,0)</f>
        <v xml:space="preserve"> </v>
      </c>
      <c r="O56" s="45" t="e">
        <f t="shared" ca="1" si="4"/>
        <v>#VALUE!</v>
      </c>
      <c r="P56" s="49" t="str">
        <f>IFERROR(VLOOKUP(C56,Bolts!A:B,2,FALSE),"")</f>
        <v xml:space="preserve"> </v>
      </c>
      <c r="Q56" s="50" t="str">
        <f t="shared" ref="Q56:Q61" si="21">IFERROR(B56*P56,"")</f>
        <v/>
      </c>
    </row>
    <row r="57" spans="1:17" s="2" customFormat="1" ht="12.75" customHeight="1">
      <c r="A57" s="4">
        <f t="shared" ref="A57:A63" si="22">A56+1</f>
        <v>502</v>
      </c>
      <c r="B57" s="2">
        <v>16</v>
      </c>
      <c r="C57" s="110" t="s">
        <v>668</v>
      </c>
      <c r="D57" s="268"/>
      <c r="E57" s="276"/>
      <c r="F57" s="112" t="str">
        <f>VLOOKUP(C57,Bolts!A:L,5,0)</f>
        <v xml:space="preserve">  </v>
      </c>
      <c r="G57" s="112" t="str">
        <f>VLOOKUP(C57,Bolts!A:L,6,0)</f>
        <v>Monroe Fasteners</v>
      </c>
      <c r="H57" s="112" t="str">
        <f>VLOOKUP(C57,Bolts!A:L,7,0)</f>
        <v xml:space="preserve">  </v>
      </c>
      <c r="I57" s="112"/>
      <c r="J57" s="44" t="str">
        <f>VLOOKUP(C57,Bolts!A:L,8,0)</f>
        <v xml:space="preserve"> </v>
      </c>
      <c r="K57" s="44" t="str">
        <f>VLOOKUP(C57,Bolts!A:L,9,0)</f>
        <v xml:space="preserve"> </v>
      </c>
      <c r="L57" s="44" t="str">
        <f>VLOOKUP(C57,Bolts!A:L,10,0)</f>
        <v xml:space="preserve"> </v>
      </c>
      <c r="M57" s="44" t="str">
        <f>VLOOKUP(C57,Bolts!A:L,11,0)</f>
        <v xml:space="preserve"> </v>
      </c>
      <c r="N57" s="45" t="str">
        <f>VLOOKUP(C57,Bolts!A:L,12,0)</f>
        <v xml:space="preserve"> </v>
      </c>
      <c r="O57" s="45" t="e">
        <f t="shared" ca="1" si="4"/>
        <v>#VALUE!</v>
      </c>
      <c r="P57" s="49" t="str">
        <f>IFERROR(VLOOKUP(C57,Bolts!A:B,2,FALSE),"")</f>
        <v xml:space="preserve"> </v>
      </c>
      <c r="Q57" s="50" t="str">
        <f t="shared" si="21"/>
        <v/>
      </c>
    </row>
    <row r="58" spans="1:17" s="2" customFormat="1" ht="12" customHeight="1">
      <c r="A58" s="4">
        <f t="shared" si="22"/>
        <v>503</v>
      </c>
      <c r="B58" s="2">
        <v>58</v>
      </c>
      <c r="C58" s="110" t="s">
        <v>738</v>
      </c>
      <c r="D58" s="268"/>
      <c r="E58" s="276"/>
      <c r="F58" s="112" t="str">
        <f>VLOOKUP(C58,Bolts!A:L,5,0)</f>
        <v xml:space="preserve">  </v>
      </c>
      <c r="G58" s="112" t="str">
        <f>VLOOKUP(C58,Bolts!A:L,6,0)</f>
        <v>Monroe Fasteners</v>
      </c>
      <c r="H58" s="112" t="str">
        <f>VLOOKUP(C58,Bolts!A:L,7,0)</f>
        <v xml:space="preserve">  </v>
      </c>
      <c r="I58" s="112"/>
      <c r="J58" s="44" t="str">
        <f>VLOOKUP(C58,Bolts!A:L,8,0)</f>
        <v xml:space="preserve"> </v>
      </c>
      <c r="K58" s="44" t="str">
        <f>VLOOKUP(C58,Bolts!A:L,9,0)</f>
        <v xml:space="preserve"> </v>
      </c>
      <c r="L58" s="44" t="str">
        <f>VLOOKUP(C58,Bolts!A:L,10,0)</f>
        <v xml:space="preserve"> </v>
      </c>
      <c r="M58" s="44" t="str">
        <f>VLOOKUP(C58,Bolts!A:L,11,0)</f>
        <v xml:space="preserve"> </v>
      </c>
      <c r="N58" s="45" t="str">
        <f>VLOOKUP(C58,Bolts!A:L,12,0)</f>
        <v xml:space="preserve"> </v>
      </c>
      <c r="O58" s="45" t="e">
        <f t="shared" ca="1" si="4"/>
        <v>#VALUE!</v>
      </c>
      <c r="P58" s="49" t="str">
        <f>IFERROR(VLOOKUP(C58,Bolts!A:B,2,FALSE),"")</f>
        <v xml:space="preserve"> </v>
      </c>
      <c r="Q58" s="50" t="str">
        <f t="shared" si="21"/>
        <v/>
      </c>
    </row>
    <row r="59" spans="1:17" s="2" customFormat="1" ht="12" customHeight="1">
      <c r="A59" s="4">
        <f t="shared" si="22"/>
        <v>504</v>
      </c>
      <c r="B59" s="2">
        <v>16</v>
      </c>
      <c r="C59" s="110" t="s">
        <v>278</v>
      </c>
      <c r="D59" s="268"/>
      <c r="E59" s="276"/>
      <c r="F59" s="112" t="str">
        <f>VLOOKUP(C59,Bolts!A:L,5,0)</f>
        <v xml:space="preserve">  </v>
      </c>
      <c r="G59" s="112" t="str">
        <f>VLOOKUP(C59,Bolts!A:L,6,0)</f>
        <v>Monroe Fasteners</v>
      </c>
      <c r="H59" s="112" t="str">
        <f>VLOOKUP(C59,Bolts!A:L,7,0)</f>
        <v xml:space="preserve">  </v>
      </c>
      <c r="I59" s="112"/>
      <c r="J59" s="44" t="str">
        <f>VLOOKUP(C59,Bolts!A:L,8,0)</f>
        <v xml:space="preserve"> </v>
      </c>
      <c r="K59" s="44" t="str">
        <f>VLOOKUP(C59,Bolts!A:L,9,0)</f>
        <v xml:space="preserve"> </v>
      </c>
      <c r="L59" s="44" t="str">
        <f>VLOOKUP(C59,Bolts!A:L,10,0)</f>
        <v xml:space="preserve"> </v>
      </c>
      <c r="M59" s="44" t="str">
        <f>VLOOKUP(C59,Bolts!A:L,11,0)</f>
        <v xml:space="preserve"> </v>
      </c>
      <c r="N59" s="45" t="str">
        <f>VLOOKUP(C59,Bolts!A:L,12,0)</f>
        <v xml:space="preserve"> </v>
      </c>
      <c r="O59" s="45" t="e">
        <f t="shared" ca="1" si="4"/>
        <v>#VALUE!</v>
      </c>
      <c r="P59" s="49" t="str">
        <f>IFERROR(VLOOKUP(C59,Bolts!A:B,2,FALSE),"")</f>
        <v xml:space="preserve"> </v>
      </c>
      <c r="Q59" s="50" t="str">
        <f t="shared" si="21"/>
        <v/>
      </c>
    </row>
    <row r="60" spans="1:17" s="2" customFormat="1" ht="12" customHeight="1">
      <c r="A60" s="4">
        <f t="shared" si="22"/>
        <v>505</v>
      </c>
      <c r="B60" s="2">
        <v>16</v>
      </c>
      <c r="C60" s="110" t="s">
        <v>479</v>
      </c>
      <c r="D60" s="268"/>
      <c r="E60" s="276"/>
      <c r="F60" s="112" t="str">
        <f>VLOOKUP(C60,Bolts!A:L,5,0)</f>
        <v xml:space="preserve">  </v>
      </c>
      <c r="G60" s="112" t="str">
        <f>VLOOKUP(C60,Bolts!A:L,6,0)</f>
        <v>Monroe Fasteners</v>
      </c>
      <c r="H60" s="112" t="str">
        <f>VLOOKUP(C60,Bolts!A:L,7,0)</f>
        <v xml:space="preserve">  </v>
      </c>
      <c r="I60" s="112"/>
      <c r="J60" s="44" t="str">
        <f>VLOOKUP(C60,Bolts!A:L,8,0)</f>
        <v xml:space="preserve"> </v>
      </c>
      <c r="K60" s="44" t="str">
        <f>VLOOKUP(C60,Bolts!A:L,9,0)</f>
        <v xml:space="preserve"> </v>
      </c>
      <c r="L60" s="44" t="str">
        <f>VLOOKUP(C60,Bolts!A:L,10,0)</f>
        <v xml:space="preserve"> </v>
      </c>
      <c r="M60" s="44" t="str">
        <f>VLOOKUP(C60,Bolts!A:L,11,0)</f>
        <v xml:space="preserve"> </v>
      </c>
      <c r="N60" s="45" t="str">
        <f>VLOOKUP(C60,Bolts!A:L,12,0)</f>
        <v xml:space="preserve"> </v>
      </c>
      <c r="O60" s="45" t="e">
        <f t="shared" ref="O60" ca="1" si="23">B60*$L$2</f>
        <v>#VALUE!</v>
      </c>
      <c r="P60" s="49" t="str">
        <f>IFERROR(VLOOKUP(C60,Bolts!A:B,2,FALSE),"")</f>
        <v xml:space="preserve"> </v>
      </c>
      <c r="Q60" s="50" t="str">
        <f t="shared" ref="Q60" si="24">IFERROR(B60*P60,"")</f>
        <v/>
      </c>
    </row>
    <row r="61" spans="1:17" s="2" customFormat="1" ht="12" customHeight="1">
      <c r="A61" s="4">
        <f t="shared" si="22"/>
        <v>506</v>
      </c>
      <c r="B61" s="2">
        <v>16</v>
      </c>
      <c r="C61" s="110" t="s">
        <v>907</v>
      </c>
      <c r="D61" s="268"/>
      <c r="E61" s="276"/>
      <c r="F61" s="112" t="str">
        <f>VLOOKUP(C61,Bolts!A:L,5,0)</f>
        <v xml:space="preserve">  </v>
      </c>
      <c r="G61" s="112" t="str">
        <f>VLOOKUP(C61,Bolts!A:L,6,0)</f>
        <v>Monroe Fasteners</v>
      </c>
      <c r="H61" s="112" t="str">
        <f>VLOOKUP(C61,Bolts!A:L,7,0)</f>
        <v xml:space="preserve">  </v>
      </c>
      <c r="I61" s="112"/>
      <c r="J61" s="44" t="str">
        <f>VLOOKUP(C61,Bolts!A:L,8,0)</f>
        <v xml:space="preserve"> </v>
      </c>
      <c r="K61" s="44" t="str">
        <f>VLOOKUP(C61,Bolts!A:L,9,0)</f>
        <v xml:space="preserve"> </v>
      </c>
      <c r="L61" s="44" t="str">
        <f>VLOOKUP(C61,Bolts!A:L,10,0)</f>
        <v xml:space="preserve"> </v>
      </c>
      <c r="M61" s="44" t="str">
        <f>VLOOKUP(C61,Bolts!A:L,11,0)</f>
        <v xml:space="preserve"> </v>
      </c>
      <c r="N61" s="45" t="str">
        <f>VLOOKUP(C61,Bolts!A:L,12,0)</f>
        <v xml:space="preserve"> </v>
      </c>
      <c r="O61" s="45" t="e">
        <f t="shared" ca="1" si="4"/>
        <v>#VALUE!</v>
      </c>
      <c r="P61" s="49" t="str">
        <f>IFERROR(VLOOKUP(C61,Bolts!A:B,2,FALSE),"")</f>
        <v xml:space="preserve"> </v>
      </c>
      <c r="Q61" s="50" t="str">
        <f t="shared" si="21"/>
        <v/>
      </c>
    </row>
    <row r="62" spans="1:17" s="2" customFormat="1" ht="12" customHeight="1">
      <c r="A62" s="4">
        <f t="shared" si="22"/>
        <v>507</v>
      </c>
      <c r="B62" s="2">
        <v>8</v>
      </c>
      <c r="C62" s="110" t="s">
        <v>908</v>
      </c>
      <c r="D62" s="268"/>
      <c r="E62" s="276"/>
      <c r="F62" s="112" t="str">
        <f>VLOOKUP(C62,Bolts!A:L,5,0)</f>
        <v xml:space="preserve">  </v>
      </c>
      <c r="G62" s="112" t="str">
        <f>VLOOKUP(C62,Bolts!A:L,6,0)</f>
        <v>Monroe Fasteners</v>
      </c>
      <c r="H62" s="112" t="str">
        <f>VLOOKUP(C62,Bolts!A:L,7,0)</f>
        <v xml:space="preserve">  </v>
      </c>
      <c r="I62" s="112"/>
      <c r="J62" s="44" t="str">
        <f>VLOOKUP(C62,Bolts!A:L,8,0)</f>
        <v xml:space="preserve"> </v>
      </c>
      <c r="K62" s="44" t="str">
        <f>VLOOKUP(C62,Bolts!A:L,9,0)</f>
        <v xml:space="preserve"> </v>
      </c>
      <c r="L62" s="44" t="str">
        <f>VLOOKUP(C62,Bolts!A:L,10,0)</f>
        <v xml:space="preserve"> </v>
      </c>
      <c r="M62" s="44" t="str">
        <f>VLOOKUP(C62,Bolts!A:L,11,0)</f>
        <v xml:space="preserve"> </v>
      </c>
      <c r="N62" s="45" t="str">
        <f>VLOOKUP(C62,Bolts!A:L,12,0)</f>
        <v xml:space="preserve"> </v>
      </c>
      <c r="O62" s="45" t="e">
        <f t="shared" ref="O62" ca="1" si="25">B62*$L$2</f>
        <v>#VALUE!</v>
      </c>
      <c r="P62" s="49" t="str">
        <f>IFERROR(VLOOKUP(C62,Bolts!A:B,2,FALSE),"")</f>
        <v xml:space="preserve"> </v>
      </c>
      <c r="Q62" s="50" t="str">
        <f t="shared" ref="Q62" si="26">IFERROR(B62*P62,"")</f>
        <v/>
      </c>
    </row>
    <row r="63" spans="1:17" s="2" customFormat="1" ht="12" customHeight="1">
      <c r="A63" s="4">
        <f t="shared" si="22"/>
        <v>508</v>
      </c>
      <c r="B63" s="2">
        <v>40</v>
      </c>
      <c r="C63" s="110" t="s">
        <v>454</v>
      </c>
      <c r="D63" s="268"/>
      <c r="E63" s="276"/>
      <c r="F63" s="112" t="str">
        <f>VLOOKUP(C63,Bolts!A:L,5,0)</f>
        <v xml:space="preserve">  </v>
      </c>
      <c r="G63" s="112" t="str">
        <f>VLOOKUP(C63,Bolts!A:L,6,0)</f>
        <v>Monroe Fasteners</v>
      </c>
      <c r="H63" s="112" t="str">
        <f>VLOOKUP(C63,Bolts!A:L,7,0)</f>
        <v xml:space="preserve">  </v>
      </c>
      <c r="I63" s="112"/>
      <c r="J63" s="44" t="str">
        <f>VLOOKUP(C63,Bolts!A:L,8,0)</f>
        <v xml:space="preserve"> </v>
      </c>
      <c r="K63" s="44" t="str">
        <f>VLOOKUP(C63,Bolts!A:L,9,0)</f>
        <v xml:space="preserve"> </v>
      </c>
      <c r="L63" s="44" t="str">
        <f>VLOOKUP(C63,Bolts!A:L,10,0)</f>
        <v xml:space="preserve"> </v>
      </c>
      <c r="M63" s="44" t="str">
        <f>VLOOKUP(C63,Bolts!A:L,11,0)</f>
        <v xml:space="preserve"> </v>
      </c>
      <c r="N63" s="45" t="str">
        <f>VLOOKUP(C63,Bolts!A:L,12,0)</f>
        <v xml:space="preserve"> </v>
      </c>
      <c r="O63" s="45" t="e">
        <f t="shared" ref="O63" ca="1" si="27">B63*$L$2</f>
        <v>#VALUE!</v>
      </c>
      <c r="P63" s="49" t="str">
        <f>IFERROR(VLOOKUP(C63,Bolts!A:B,2,FALSE),"")</f>
        <v xml:space="preserve"> </v>
      </c>
      <c r="Q63" s="50" t="str">
        <f t="shared" ref="Q63" si="28">IFERROR(B63*P63,"")</f>
        <v/>
      </c>
    </row>
    <row r="64" spans="1:17" s="2" customFormat="1" ht="12.75" customHeight="1">
      <c r="A64" s="25"/>
      <c r="B64" s="26"/>
      <c r="C64" s="26"/>
      <c r="D64" s="272"/>
      <c r="E64" s="273"/>
      <c r="F64" s="26"/>
      <c r="G64" s="26"/>
      <c r="H64" s="274"/>
      <c r="I64" s="275"/>
      <c r="J64" s="27"/>
      <c r="K64" s="27"/>
      <c r="L64" s="27"/>
      <c r="M64" s="28"/>
      <c r="N64" s="29"/>
      <c r="O64" s="29"/>
      <c r="P64" s="141"/>
      <c r="Q64" s="142"/>
    </row>
    <row r="65" spans="1:17" s="2" customFormat="1" ht="12.75" customHeight="1">
      <c r="A65" s="4">
        <v>701</v>
      </c>
      <c r="B65" s="2">
        <v>4</v>
      </c>
      <c r="C65" s="111" t="s">
        <v>909</v>
      </c>
      <c r="D65" s="268" t="str">
        <f>VLOOKUP(C65,Extrusion!B:C,2,0)</f>
        <v>Assy. 341</v>
      </c>
      <c r="E65" s="269"/>
      <c r="F65" s="112" t="str">
        <f>VLOOKUP(C65,Extrusion!B:M,6,0)</f>
        <v>BOSCH</v>
      </c>
      <c r="G65" s="112" t="str">
        <f>VLOOKUP(C65,Extrusion!B:M,7,0)</f>
        <v>NULINE</v>
      </c>
      <c r="H65" s="112" t="str">
        <f>VLOOKUP(C65,Extrusion!B:M,8,0)</f>
        <v xml:space="preserve"> </v>
      </c>
      <c r="I65" s="113"/>
      <c r="J65" s="44" t="str">
        <f>VLOOKUP(C65,Extrusion!B:M,9,0)</f>
        <v>N/A</v>
      </c>
      <c r="K65" s="44">
        <f>VLOOKUP(C65,Extrusion!B:M,10,0)</f>
        <v>44894</v>
      </c>
      <c r="L65" s="44">
        <f>VLOOKUP(C65,Extrusion!B:M,11,0)</f>
        <v>44970</v>
      </c>
      <c r="M65" s="44">
        <f>VLOOKUP(C65,Extrusion!B:M,12,0)</f>
        <v>44970</v>
      </c>
      <c r="N65" s="45">
        <f>VLOOKUP(C65,Extrusion!B:N,13,0)</f>
        <v>54598</v>
      </c>
      <c r="O65" s="45" t="e">
        <f t="shared" ref="O65:O71" ca="1" si="29">B65*$L$2</f>
        <v>#VALUE!</v>
      </c>
      <c r="P65" s="49">
        <f>IFERROR(VLOOKUP(C65,Extrusion!B:F,5,0),"")</f>
        <v>34.118212460000002</v>
      </c>
      <c r="Q65" s="50">
        <f t="shared" ref="Q65:Q71" si="30">IFERROR(B65*P65,"")</f>
        <v>136.47284984000001</v>
      </c>
    </row>
    <row r="66" spans="1:17" s="2" customFormat="1" ht="12" customHeight="1">
      <c r="A66" s="4">
        <f t="shared" ref="A66:A73" si="31">A65+1</f>
        <v>702</v>
      </c>
      <c r="B66" s="2">
        <v>2</v>
      </c>
      <c r="C66" s="111" t="s">
        <v>910</v>
      </c>
      <c r="D66" s="268" t="str">
        <f>VLOOKUP(C66,Extrusion!B:C,2,0)</f>
        <v>Assy. 341</v>
      </c>
      <c r="E66" s="269"/>
      <c r="F66" s="112" t="str">
        <f>VLOOKUP(C66,Extrusion!B:M,6,0)</f>
        <v>BOSCH</v>
      </c>
      <c r="G66" s="112" t="str">
        <f>VLOOKUP(C66,Extrusion!B:M,7,0)</f>
        <v>NULINE</v>
      </c>
      <c r="H66" s="112" t="str">
        <f>VLOOKUP(C66,Extrusion!B:M,8,0)</f>
        <v xml:space="preserve"> </v>
      </c>
      <c r="I66" s="113"/>
      <c r="J66" s="44" t="str">
        <f>VLOOKUP(C66,Extrusion!B:M,9,0)</f>
        <v>N/A</v>
      </c>
      <c r="K66" s="44">
        <f>VLOOKUP(C66,Extrusion!B:M,10,0)</f>
        <v>44894</v>
      </c>
      <c r="L66" s="44">
        <f>VLOOKUP(C66,Extrusion!B:M,11,0)</f>
        <v>44970</v>
      </c>
      <c r="M66" s="44">
        <f>VLOOKUP(C66,Extrusion!B:M,12,0)</f>
        <v>44970</v>
      </c>
      <c r="N66" s="45">
        <f>VLOOKUP(C66,Extrusion!B:N,13,0)</f>
        <v>54598</v>
      </c>
      <c r="O66" s="45" t="e">
        <f t="shared" ca="1" si="29"/>
        <v>#VALUE!</v>
      </c>
      <c r="P66" s="49">
        <f>IFERROR(VLOOKUP(C66,Extrusion!B:F,5,0),"")</f>
        <v>118.91555135666667</v>
      </c>
      <c r="Q66" s="50">
        <f t="shared" si="30"/>
        <v>237.83110271333334</v>
      </c>
    </row>
    <row r="67" spans="1:17" s="2" customFormat="1" ht="12" customHeight="1">
      <c r="A67" s="4">
        <f t="shared" si="31"/>
        <v>703</v>
      </c>
      <c r="B67" s="2">
        <v>4</v>
      </c>
      <c r="C67" s="111" t="s">
        <v>911</v>
      </c>
      <c r="D67" s="268" t="str">
        <f>VLOOKUP(C67,Extrusion!B:C,2,0)</f>
        <v>Assy. 341</v>
      </c>
      <c r="E67" s="269"/>
      <c r="F67" s="112" t="str">
        <f>VLOOKUP(C67,Extrusion!B:M,6,0)</f>
        <v>BOSCH</v>
      </c>
      <c r="G67" s="112" t="str">
        <f>VLOOKUP(C67,Extrusion!B:M,7,0)</f>
        <v>NULINE</v>
      </c>
      <c r="H67" s="112" t="str">
        <f>VLOOKUP(C67,Extrusion!B:M,8,0)</f>
        <v xml:space="preserve"> </v>
      </c>
      <c r="I67" s="113"/>
      <c r="J67" s="44" t="str">
        <f>VLOOKUP(C67,Extrusion!B:M,9,0)</f>
        <v>N/A</v>
      </c>
      <c r="K67" s="44">
        <f>VLOOKUP(C67,Extrusion!B:M,10,0)</f>
        <v>44894</v>
      </c>
      <c r="L67" s="44">
        <f>VLOOKUP(C67,Extrusion!B:M,11,0)</f>
        <v>44970</v>
      </c>
      <c r="M67" s="44">
        <f>VLOOKUP(C67,Extrusion!B:M,12,0)</f>
        <v>44970</v>
      </c>
      <c r="N67" s="45">
        <f>VLOOKUP(C67,Extrusion!B:N,13,0)</f>
        <v>54598</v>
      </c>
      <c r="O67" s="45" t="e">
        <f t="shared" ca="1" si="29"/>
        <v>#VALUE!</v>
      </c>
      <c r="P67" s="49">
        <f>IFERROR(VLOOKUP(C67,Extrusion!B:F,5,0),"")</f>
        <v>85.253259499999999</v>
      </c>
      <c r="Q67" s="50">
        <f t="shared" si="30"/>
        <v>341.01303799999999</v>
      </c>
    </row>
    <row r="68" spans="1:17" s="2" customFormat="1" ht="12" customHeight="1">
      <c r="A68" s="4">
        <f t="shared" si="31"/>
        <v>704</v>
      </c>
      <c r="B68" s="2">
        <v>2</v>
      </c>
      <c r="C68" s="111" t="s">
        <v>912</v>
      </c>
      <c r="D68" s="268" t="str">
        <f>VLOOKUP(C68,Extrusion!B:C,2,0)</f>
        <v>Assy. 341</v>
      </c>
      <c r="E68" s="269"/>
      <c r="F68" s="112" t="str">
        <f>VLOOKUP(C68,Extrusion!B:M,6,0)</f>
        <v>BOSCH</v>
      </c>
      <c r="G68" s="112" t="str">
        <f>VLOOKUP(C68,Extrusion!B:M,7,0)</f>
        <v>NULINE</v>
      </c>
      <c r="H68" s="112" t="str">
        <f>VLOOKUP(C68,Extrusion!B:M,8,0)</f>
        <v xml:space="preserve"> </v>
      </c>
      <c r="I68" s="113"/>
      <c r="J68" s="44" t="str">
        <f>VLOOKUP(C68,Extrusion!B:M,9,0)</f>
        <v>N/A</v>
      </c>
      <c r="K68" s="44">
        <f>VLOOKUP(C68,Extrusion!B:M,10,0)</f>
        <v>44894</v>
      </c>
      <c r="L68" s="44">
        <f>VLOOKUP(C68,Extrusion!B:M,11,0)</f>
        <v>44970</v>
      </c>
      <c r="M68" s="44">
        <f>VLOOKUP(C68,Extrusion!B:M,12,0)</f>
        <v>44970</v>
      </c>
      <c r="N68" s="45">
        <f>VLOOKUP(C68,Extrusion!B:N,13,0)</f>
        <v>54598</v>
      </c>
      <c r="O68" s="45" t="e">
        <f t="shared" ca="1" si="29"/>
        <v>#VALUE!</v>
      </c>
      <c r="P68" s="49">
        <f>IFERROR(VLOOKUP(C68,Extrusion!B:F,5,0),"")</f>
        <v>63.86628433333334</v>
      </c>
      <c r="Q68" s="50">
        <f t="shared" si="30"/>
        <v>127.73256866666668</v>
      </c>
    </row>
    <row r="69" spans="1:17" s="2" customFormat="1" ht="12" customHeight="1">
      <c r="A69" s="4">
        <f t="shared" si="31"/>
        <v>705</v>
      </c>
      <c r="B69" s="2">
        <v>2</v>
      </c>
      <c r="C69" s="111" t="s">
        <v>913</v>
      </c>
      <c r="D69" s="268" t="str">
        <f>VLOOKUP(C69,Extrusion!B:C,2,0)</f>
        <v>Assy. 341</v>
      </c>
      <c r="E69" s="269"/>
      <c r="F69" s="112" t="str">
        <f>VLOOKUP(C69,Extrusion!B:M,6,0)</f>
        <v>BOSCH</v>
      </c>
      <c r="G69" s="112" t="str">
        <f>VLOOKUP(C69,Extrusion!B:M,7,0)</f>
        <v>NULINE</v>
      </c>
      <c r="H69" s="112" t="str">
        <f>VLOOKUP(C69,Extrusion!B:M,8,0)</f>
        <v xml:space="preserve"> </v>
      </c>
      <c r="I69" s="113"/>
      <c r="J69" s="44" t="str">
        <f>VLOOKUP(C69,Extrusion!B:M,9,0)</f>
        <v>N/A</v>
      </c>
      <c r="K69" s="44">
        <f>VLOOKUP(C69,Extrusion!B:M,10,0)</f>
        <v>44894</v>
      </c>
      <c r="L69" s="44">
        <f>VLOOKUP(C69,Extrusion!B:M,11,0)</f>
        <v>44970</v>
      </c>
      <c r="M69" s="44">
        <f>VLOOKUP(C69,Extrusion!B:M,12,0)</f>
        <v>44970</v>
      </c>
      <c r="N69" s="45">
        <f>VLOOKUP(C69,Extrusion!B:N,13,0)</f>
        <v>54598</v>
      </c>
      <c r="O69" s="45" t="e">
        <f t="shared" ca="1" si="29"/>
        <v>#VALUE!</v>
      </c>
      <c r="P69" s="49">
        <f>IFERROR(VLOOKUP(C69,Extrusion!B:F,5,0),"")</f>
        <v>85.520175474499993</v>
      </c>
      <c r="Q69" s="50">
        <f t="shared" si="30"/>
        <v>171.04035094899999</v>
      </c>
    </row>
    <row r="70" spans="1:17" s="2" customFormat="1" ht="12" customHeight="1">
      <c r="A70" s="4">
        <f t="shared" si="31"/>
        <v>706</v>
      </c>
      <c r="B70" s="2">
        <v>4</v>
      </c>
      <c r="C70" s="111" t="s">
        <v>914</v>
      </c>
      <c r="D70" s="268" t="str">
        <f>VLOOKUP(C70,Extrusion!B:C,2,0)</f>
        <v>Assy. 341</v>
      </c>
      <c r="E70" s="269"/>
      <c r="F70" s="112" t="str">
        <f>VLOOKUP(C70,Extrusion!B:M,6,0)</f>
        <v>BOSCH</v>
      </c>
      <c r="G70" s="112" t="str">
        <f>VLOOKUP(C70,Extrusion!B:M,7,0)</f>
        <v>NULINE</v>
      </c>
      <c r="H70" s="112" t="str">
        <f>VLOOKUP(C70,Extrusion!B:M,8,0)</f>
        <v xml:space="preserve"> </v>
      </c>
      <c r="I70" s="113"/>
      <c r="J70" s="44" t="str">
        <f>VLOOKUP(C70,Extrusion!B:M,9,0)</f>
        <v>N/A</v>
      </c>
      <c r="K70" s="44">
        <f>VLOOKUP(C70,Extrusion!B:M,10,0)</f>
        <v>44894</v>
      </c>
      <c r="L70" s="44">
        <f>VLOOKUP(C70,Extrusion!B:M,11,0)</f>
        <v>44970</v>
      </c>
      <c r="M70" s="44">
        <f>VLOOKUP(C70,Extrusion!B:M,12,0)</f>
        <v>44970</v>
      </c>
      <c r="N70" s="45">
        <f>VLOOKUP(C70,Extrusion!B:N,13,0)</f>
        <v>54598</v>
      </c>
      <c r="O70" s="45" t="e">
        <f t="shared" ca="1" si="29"/>
        <v>#VALUE!</v>
      </c>
      <c r="P70" s="49">
        <f>IFERROR(VLOOKUP(C70,Extrusion!B:F,5,0),"")</f>
        <v>133.54747059333334</v>
      </c>
      <c r="Q70" s="50">
        <f t="shared" si="30"/>
        <v>534.18988237333338</v>
      </c>
    </row>
    <row r="71" spans="1:17" s="2" customFormat="1" ht="12" customHeight="1">
      <c r="A71" s="4">
        <f t="shared" si="31"/>
        <v>707</v>
      </c>
      <c r="B71" s="2">
        <v>2</v>
      </c>
      <c r="C71" s="111" t="s">
        <v>915</v>
      </c>
      <c r="D71" s="268" t="str">
        <f>VLOOKUP(C71,Extrusion!B:C,2,0)</f>
        <v>Assy .341</v>
      </c>
      <c r="E71" s="269"/>
      <c r="F71" s="112" t="str">
        <f>VLOOKUP(C71,Extrusion!B:M,6,0)</f>
        <v>BOSCH</v>
      </c>
      <c r="G71" s="112" t="str">
        <f>VLOOKUP(C71,Extrusion!B:M,7,0)</f>
        <v>NULINE</v>
      </c>
      <c r="H71" s="112">
        <f>VLOOKUP(C71,Extrusion!B:M,8,0)</f>
        <v>0</v>
      </c>
      <c r="I71" s="113"/>
      <c r="J71" s="44" t="str">
        <f>VLOOKUP(C71,Extrusion!B:M,9,0)</f>
        <v>N/A</v>
      </c>
      <c r="K71" s="44">
        <f>VLOOKUP(C71,Extrusion!B:M,10,0)</f>
        <v>44894</v>
      </c>
      <c r="L71" s="44">
        <f>VLOOKUP(C71,Extrusion!B:M,11,0)</f>
        <v>44970</v>
      </c>
      <c r="M71" s="44">
        <f>VLOOKUP(C71,Extrusion!B:M,12,0)</f>
        <v>44970</v>
      </c>
      <c r="N71" s="45">
        <f>VLOOKUP(C71,Extrusion!B:N,13,0)</f>
        <v>54598</v>
      </c>
      <c r="O71" s="45" t="e">
        <f t="shared" ca="1" si="29"/>
        <v>#VALUE!</v>
      </c>
      <c r="P71" s="49">
        <f>IFERROR(VLOOKUP(C71,Extrusion!B:F,5,0),"")</f>
        <v>19.849595999999998</v>
      </c>
      <c r="Q71" s="50">
        <f t="shared" si="30"/>
        <v>39.699191999999996</v>
      </c>
    </row>
    <row r="72" spans="1:17" s="2" customFormat="1" ht="12" customHeight="1">
      <c r="A72" s="4">
        <f t="shared" si="31"/>
        <v>708</v>
      </c>
      <c r="B72" s="2">
        <v>1</v>
      </c>
      <c r="C72" s="111" t="s">
        <v>916</v>
      </c>
      <c r="D72" s="268" t="str">
        <f>VLOOKUP(C72,Extrusion!B:C,2,0)</f>
        <v>Assy. 341</v>
      </c>
      <c r="E72" s="269"/>
      <c r="F72" s="112" t="str">
        <f>VLOOKUP(C72,Extrusion!B:M,6,0)</f>
        <v>BOSCH</v>
      </c>
      <c r="G72" s="112" t="str">
        <f>VLOOKUP(C72,Extrusion!B:M,7,0)</f>
        <v>NULINE</v>
      </c>
      <c r="H72" s="112" t="str">
        <f>VLOOKUP(C72,Extrusion!B:M,8,0)</f>
        <v xml:space="preserve"> </v>
      </c>
      <c r="I72" s="113"/>
      <c r="J72" s="44" t="str">
        <f>VLOOKUP(C72,Extrusion!B:M,9,0)</f>
        <v>N/A</v>
      </c>
      <c r="K72" s="44">
        <f>VLOOKUP(C72,Extrusion!B:M,10,0)</f>
        <v>44894</v>
      </c>
      <c r="L72" s="44">
        <f>VLOOKUP(C72,Extrusion!B:M,11,0)</f>
        <v>44970</v>
      </c>
      <c r="M72" s="44">
        <f>VLOOKUP(C72,Extrusion!B:M,12,0)</f>
        <v>44970</v>
      </c>
      <c r="N72" s="45">
        <f>VLOOKUP(C72,Extrusion!B:N,13,0)</f>
        <v>54598</v>
      </c>
      <c r="O72" s="45" t="e">
        <f t="shared" ref="O72:O73" ca="1" si="32">B72*$L$2</f>
        <v>#VALUE!</v>
      </c>
      <c r="P72" s="49">
        <f>IFERROR(VLOOKUP(C72,Extrusion!B:F,5,0),"")</f>
        <v>43.464319536666665</v>
      </c>
      <c r="Q72" s="50">
        <f t="shared" ref="Q72:Q73" si="33">IFERROR(B72*P72,"")</f>
        <v>43.464319536666665</v>
      </c>
    </row>
    <row r="73" spans="1:17" s="2" customFormat="1" ht="12" customHeight="1" thickBot="1">
      <c r="A73" s="4">
        <f t="shared" si="31"/>
        <v>709</v>
      </c>
      <c r="B73" s="2">
        <v>1</v>
      </c>
      <c r="C73" s="111" t="s">
        <v>917</v>
      </c>
      <c r="D73" s="268" t="str">
        <f>VLOOKUP(C73,Extrusion!B:C,2,0)</f>
        <v>Assy .341</v>
      </c>
      <c r="E73" s="269"/>
      <c r="F73" s="112" t="str">
        <f>VLOOKUP(C73,Extrusion!B:M,6,0)</f>
        <v>BOSCH</v>
      </c>
      <c r="G73" s="112" t="str">
        <f>VLOOKUP(C73,Extrusion!B:M,7,0)</f>
        <v>NULINE</v>
      </c>
      <c r="H73" s="112" t="str">
        <f>VLOOKUP(C73,Extrusion!B:M,8,0)</f>
        <v xml:space="preserve"> </v>
      </c>
      <c r="I73" s="113"/>
      <c r="J73" s="44" t="str">
        <f>VLOOKUP(C73,Extrusion!B:M,9,0)</f>
        <v>N/A</v>
      </c>
      <c r="K73" s="44">
        <f>VLOOKUP(C73,Extrusion!B:M,10,0)</f>
        <v>44894</v>
      </c>
      <c r="L73" s="44">
        <f>VLOOKUP(C73,Extrusion!B:M,11,0)</f>
        <v>44970</v>
      </c>
      <c r="M73" s="44">
        <f>VLOOKUP(C73,Extrusion!B:M,12,0)</f>
        <v>44970</v>
      </c>
      <c r="N73" s="45">
        <f>VLOOKUP(C73,Extrusion!B:N,13,0)</f>
        <v>54598</v>
      </c>
      <c r="O73" s="45" t="e">
        <f t="shared" ca="1" si="32"/>
        <v>#VALUE!</v>
      </c>
      <c r="P73" s="49">
        <f>IFERROR(VLOOKUP(C73,Extrusion!B:F,5,0),"")</f>
        <v>47.302619983333329</v>
      </c>
      <c r="Q73" s="50">
        <f t="shared" si="33"/>
        <v>47.302619983333329</v>
      </c>
    </row>
    <row r="74" spans="1:17" s="2" customFormat="1" ht="12.75" customHeight="1" thickBot="1">
      <c r="A74" s="34"/>
      <c r="B74" s="35"/>
      <c r="C74" s="35"/>
      <c r="D74" s="256"/>
      <c r="E74" s="257"/>
      <c r="F74" s="35"/>
      <c r="G74" s="35"/>
      <c r="H74" s="294"/>
      <c r="I74" s="295"/>
      <c r="J74" s="36"/>
      <c r="K74" s="36"/>
      <c r="L74" s="36"/>
      <c r="M74" s="37"/>
      <c r="N74" s="38"/>
      <c r="O74" s="38"/>
      <c r="P74" s="89" t="s">
        <v>43</v>
      </c>
      <c r="Q74" s="94">
        <f>SUM(Q5:Q71)</f>
        <v>8199.0596845423297</v>
      </c>
    </row>
    <row r="75" spans="1:17" s="2" customFormat="1" ht="12" customHeight="1">
      <c r="D75" s="22"/>
      <c r="E75" s="22"/>
      <c r="J75" s="8"/>
      <c r="K75" s="8"/>
      <c r="L75" s="8"/>
      <c r="M75" s="8"/>
      <c r="N75" s="5"/>
      <c r="O75" s="5"/>
      <c r="P75" s="88"/>
      <c r="Q75" s="95"/>
    </row>
    <row r="76" spans="1:17" s="2" customFormat="1" ht="12" customHeight="1">
      <c r="C76" s="22"/>
      <c r="H76" s="5"/>
      <c r="I76" s="5"/>
      <c r="J76" s="5"/>
      <c r="K76" s="5"/>
      <c r="L76" s="5"/>
      <c r="M76" s="5"/>
      <c r="N76" s="88"/>
      <c r="O76" s="95"/>
    </row>
    <row r="77" spans="1:17" s="2" customFormat="1" ht="12" customHeight="1">
      <c r="D77" s="22"/>
      <c r="E77" s="22"/>
      <c r="J77" s="5"/>
      <c r="K77" s="5"/>
      <c r="L77" s="5"/>
      <c r="M77" s="5"/>
      <c r="N77" s="5"/>
      <c r="O77" s="5"/>
      <c r="P77" s="88"/>
      <c r="Q77" s="95"/>
    </row>
    <row r="78" spans="1:17" s="2" customFormat="1" ht="12" customHeight="1">
      <c r="D78" s="22"/>
      <c r="E78" s="22"/>
      <c r="J78" s="5"/>
      <c r="K78" s="5"/>
      <c r="L78" s="5"/>
      <c r="M78" s="5"/>
      <c r="N78" s="5"/>
      <c r="O78" s="5"/>
      <c r="P78" s="88"/>
      <c r="Q78" s="95"/>
    </row>
    <row r="79" spans="1:17" s="2" customFormat="1" ht="12" customHeight="1">
      <c r="D79" s="22"/>
      <c r="E79" s="22"/>
      <c r="J79" s="5"/>
      <c r="K79" s="5"/>
      <c r="L79" s="5"/>
      <c r="M79" s="5"/>
      <c r="N79" s="5"/>
      <c r="O79" s="5"/>
      <c r="P79" s="88"/>
      <c r="Q79" s="95"/>
    </row>
    <row r="80" spans="1:17" s="2" customFormat="1" ht="12" customHeight="1">
      <c r="D80" s="22"/>
      <c r="E80" s="22"/>
      <c r="J80" s="5"/>
      <c r="K80" s="5"/>
      <c r="L80" s="5"/>
      <c r="M80" s="5"/>
      <c r="N80" s="5"/>
      <c r="O80" s="5"/>
      <c r="P80" s="88"/>
      <c r="Q80" s="95"/>
    </row>
    <row r="81" spans="4:17" s="2" customFormat="1" ht="12" customHeight="1">
      <c r="D81" s="22"/>
      <c r="E81" s="22"/>
      <c r="J81" s="5"/>
      <c r="K81" s="5"/>
      <c r="L81" s="5"/>
      <c r="M81" s="5"/>
      <c r="N81" s="5"/>
      <c r="O81" s="5"/>
      <c r="P81" s="88"/>
      <c r="Q81" s="95"/>
    </row>
    <row r="82" spans="4:17" s="2" customFormat="1" ht="12" customHeight="1">
      <c r="D82" s="22"/>
      <c r="E82" s="22"/>
      <c r="J82" s="5"/>
      <c r="K82" s="5"/>
      <c r="L82" s="5"/>
      <c r="M82" s="5"/>
      <c r="N82" s="5"/>
      <c r="O82" s="5"/>
      <c r="P82" s="88"/>
      <c r="Q82" s="95"/>
    </row>
    <row r="83" spans="4:17" s="2" customFormat="1" ht="12" customHeight="1">
      <c r="D83" s="22"/>
      <c r="E83" s="22"/>
      <c r="J83" s="5"/>
      <c r="K83" s="5"/>
      <c r="L83" s="5"/>
      <c r="M83" s="5"/>
      <c r="N83" s="5"/>
      <c r="O83" s="5"/>
      <c r="P83" s="88"/>
      <c r="Q83" s="95"/>
    </row>
    <row r="84" spans="4:17" s="2" customFormat="1" ht="12" customHeight="1">
      <c r="D84" s="22"/>
      <c r="E84" s="22"/>
      <c r="J84" s="5"/>
      <c r="K84" s="5"/>
      <c r="L84" s="5"/>
      <c r="M84" s="5"/>
      <c r="N84" s="5"/>
      <c r="O84" s="5"/>
      <c r="P84" s="88"/>
      <c r="Q84" s="95"/>
    </row>
    <row r="85" spans="4:17" s="2" customFormat="1" ht="12" customHeight="1">
      <c r="D85" s="22"/>
      <c r="E85" s="22"/>
      <c r="J85" s="5"/>
      <c r="K85" s="5"/>
      <c r="L85" s="5"/>
      <c r="M85" s="5"/>
      <c r="N85" s="5"/>
      <c r="O85" s="5"/>
      <c r="P85" s="88"/>
      <c r="Q85" s="95"/>
    </row>
    <row r="86" spans="4:17" s="2" customFormat="1" ht="12" customHeight="1">
      <c r="D86" s="22"/>
      <c r="E86" s="22"/>
      <c r="J86" s="5"/>
      <c r="K86" s="5"/>
      <c r="L86" s="5"/>
      <c r="M86" s="5"/>
      <c r="N86" s="5"/>
      <c r="O86" s="5"/>
      <c r="P86" s="88"/>
      <c r="Q86" s="95"/>
    </row>
    <row r="87" spans="4:17" s="2" customFormat="1" ht="12" customHeight="1">
      <c r="D87" s="22"/>
      <c r="E87" s="22"/>
      <c r="J87" s="5"/>
      <c r="K87" s="5"/>
      <c r="L87" s="5"/>
      <c r="M87" s="5"/>
      <c r="N87" s="5"/>
      <c r="O87" s="5"/>
      <c r="P87" s="88"/>
      <c r="Q87" s="95"/>
    </row>
    <row r="88" spans="4:17" s="2" customFormat="1" ht="12" customHeight="1">
      <c r="D88" s="22"/>
      <c r="E88" s="22"/>
      <c r="J88" s="5"/>
      <c r="K88" s="5"/>
      <c r="L88" s="5"/>
      <c r="M88" s="5"/>
      <c r="N88" s="5"/>
      <c r="O88" s="5"/>
      <c r="P88" s="88"/>
      <c r="Q88" s="95"/>
    </row>
    <row r="89" spans="4:17" s="2" customFormat="1" ht="12" customHeight="1">
      <c r="D89" s="22"/>
      <c r="E89" s="22"/>
      <c r="J89" s="5"/>
      <c r="K89" s="5"/>
      <c r="L89" s="5"/>
      <c r="M89" s="5"/>
      <c r="N89" s="5"/>
      <c r="O89" s="5"/>
      <c r="P89" s="88"/>
      <c r="Q89" s="95"/>
    </row>
    <row r="90" spans="4:17" s="2" customFormat="1" ht="12" customHeight="1">
      <c r="D90" s="22"/>
      <c r="E90" s="22"/>
      <c r="J90" s="5"/>
      <c r="K90" s="5"/>
      <c r="L90" s="5"/>
      <c r="M90" s="5"/>
      <c r="N90" s="5"/>
      <c r="O90" s="5"/>
      <c r="P90" s="88"/>
      <c r="Q90" s="95"/>
    </row>
    <row r="91" spans="4:17" s="2" customFormat="1" ht="12" customHeight="1">
      <c r="D91" s="22"/>
      <c r="E91" s="22"/>
      <c r="J91" s="5"/>
      <c r="K91" s="5"/>
      <c r="L91" s="5"/>
      <c r="M91" s="5"/>
      <c r="N91" s="5"/>
      <c r="O91" s="5"/>
      <c r="P91" s="88"/>
      <c r="Q91" s="95"/>
    </row>
    <row r="92" spans="4:17" s="2" customFormat="1" ht="12" customHeight="1">
      <c r="D92" s="22"/>
      <c r="E92" s="22"/>
      <c r="J92" s="5"/>
      <c r="K92" s="5"/>
      <c r="L92" s="5"/>
      <c r="M92" s="5"/>
      <c r="N92" s="5"/>
      <c r="O92" s="5"/>
      <c r="P92" s="88"/>
      <c r="Q92" s="95"/>
    </row>
    <row r="93" spans="4:17" s="2" customFormat="1" ht="12" customHeight="1">
      <c r="D93" s="22"/>
      <c r="E93" s="22"/>
      <c r="J93" s="5"/>
      <c r="K93" s="5"/>
      <c r="L93" s="5"/>
      <c r="M93" s="5"/>
      <c r="N93" s="5"/>
      <c r="O93" s="5"/>
      <c r="P93" s="88"/>
      <c r="Q93" s="95"/>
    </row>
    <row r="94" spans="4:17" s="2" customFormat="1" ht="12" customHeight="1">
      <c r="D94" s="22"/>
      <c r="E94" s="22"/>
      <c r="J94" s="5"/>
      <c r="K94" s="5"/>
      <c r="L94" s="5"/>
      <c r="M94" s="5"/>
      <c r="N94" s="5"/>
      <c r="O94" s="5"/>
      <c r="P94" s="88"/>
      <c r="Q94" s="95"/>
    </row>
    <row r="95" spans="4:17" s="2" customFormat="1" ht="12" customHeight="1">
      <c r="D95" s="22"/>
      <c r="E95" s="22"/>
      <c r="J95" s="5"/>
      <c r="K95" s="5"/>
      <c r="L95" s="5"/>
      <c r="M95" s="5"/>
      <c r="N95" s="5"/>
      <c r="O95" s="5"/>
      <c r="P95" s="88"/>
      <c r="Q95" s="95"/>
    </row>
    <row r="96" spans="4:17" s="2" customFormat="1" ht="12" customHeight="1">
      <c r="D96" s="22"/>
      <c r="E96" s="22"/>
      <c r="J96" s="5"/>
      <c r="K96" s="5"/>
      <c r="L96" s="5"/>
      <c r="M96" s="5"/>
      <c r="N96" s="5"/>
      <c r="O96" s="5"/>
      <c r="P96" s="88"/>
      <c r="Q96" s="95"/>
    </row>
    <row r="97" spans="4:17" s="2" customFormat="1" ht="12" customHeight="1">
      <c r="D97" s="22"/>
      <c r="E97" s="22"/>
      <c r="J97" s="5"/>
      <c r="K97" s="5"/>
      <c r="L97" s="5"/>
      <c r="M97" s="5"/>
      <c r="N97" s="5"/>
      <c r="O97" s="5"/>
      <c r="P97" s="88"/>
      <c r="Q97" s="95"/>
    </row>
    <row r="98" spans="4:17" s="2" customFormat="1" ht="12" customHeight="1">
      <c r="D98" s="22"/>
      <c r="E98" s="22"/>
      <c r="J98" s="5"/>
      <c r="K98" s="5"/>
      <c r="L98" s="5"/>
      <c r="M98" s="5"/>
      <c r="N98" s="5"/>
      <c r="O98" s="5"/>
      <c r="P98" s="88"/>
      <c r="Q98" s="95"/>
    </row>
    <row r="99" spans="4:17" s="2" customFormat="1" ht="12" customHeight="1">
      <c r="D99" s="22"/>
      <c r="E99" s="22"/>
      <c r="J99" s="5"/>
      <c r="K99" s="5"/>
      <c r="L99" s="5"/>
      <c r="M99" s="5"/>
      <c r="N99" s="5"/>
      <c r="O99" s="5"/>
      <c r="P99" s="88"/>
      <c r="Q99" s="95"/>
    </row>
    <row r="100" spans="4:17" s="2" customFormat="1" ht="12" customHeight="1">
      <c r="D100" s="22"/>
      <c r="E100" s="22"/>
      <c r="J100" s="5"/>
      <c r="K100" s="5"/>
      <c r="L100" s="5"/>
      <c r="M100" s="5"/>
      <c r="N100" s="5"/>
      <c r="O100" s="5"/>
      <c r="P100" s="88"/>
      <c r="Q100" s="95"/>
    </row>
    <row r="101" spans="4:17" s="2" customFormat="1" ht="12" customHeight="1">
      <c r="D101" s="22"/>
      <c r="E101" s="22"/>
      <c r="J101" s="5"/>
      <c r="K101" s="5"/>
      <c r="L101" s="5"/>
      <c r="M101" s="5"/>
      <c r="N101" s="5"/>
      <c r="O101" s="5"/>
      <c r="P101" s="88"/>
      <c r="Q101" s="95"/>
    </row>
    <row r="102" spans="4:17" s="2" customFormat="1" ht="12" customHeight="1">
      <c r="D102" s="22"/>
      <c r="E102" s="22"/>
      <c r="J102" s="5"/>
      <c r="K102" s="5"/>
      <c r="L102" s="5"/>
      <c r="M102" s="5"/>
      <c r="N102" s="5"/>
      <c r="O102" s="5"/>
      <c r="P102" s="88"/>
      <c r="Q102" s="95"/>
    </row>
    <row r="103" spans="4:17" s="2" customFormat="1" ht="12" customHeight="1">
      <c r="D103" s="22"/>
      <c r="E103" s="22"/>
      <c r="J103" s="5"/>
      <c r="K103" s="5"/>
      <c r="L103" s="5"/>
      <c r="M103" s="5"/>
      <c r="N103" s="5"/>
      <c r="O103" s="5"/>
      <c r="P103" s="88"/>
      <c r="Q103" s="95"/>
    </row>
    <row r="104" spans="4:17" s="2" customFormat="1" ht="12" customHeight="1">
      <c r="D104" s="22"/>
      <c r="E104" s="22"/>
      <c r="J104" s="5"/>
      <c r="K104" s="5"/>
      <c r="L104" s="5"/>
      <c r="M104" s="5"/>
      <c r="N104" s="5"/>
      <c r="O104" s="5"/>
      <c r="P104" s="88"/>
      <c r="Q104" s="95"/>
    </row>
    <row r="105" spans="4:17" s="2" customFormat="1" ht="12" customHeight="1">
      <c r="D105" s="22"/>
      <c r="E105" s="22"/>
      <c r="J105" s="5"/>
      <c r="K105" s="5"/>
      <c r="L105" s="5"/>
      <c r="M105" s="5"/>
      <c r="N105" s="5"/>
      <c r="O105" s="5"/>
      <c r="P105" s="88"/>
      <c r="Q105" s="95"/>
    </row>
    <row r="106" spans="4:17" s="2" customFormat="1" ht="12" customHeight="1">
      <c r="D106" s="22"/>
      <c r="E106" s="22"/>
      <c r="J106" s="5"/>
      <c r="K106" s="5"/>
      <c r="L106" s="5"/>
      <c r="M106" s="5"/>
      <c r="N106" s="5"/>
      <c r="O106" s="5"/>
      <c r="P106" s="88"/>
      <c r="Q106" s="95"/>
    </row>
    <row r="107" spans="4:17" s="2" customFormat="1" ht="12" customHeight="1">
      <c r="D107" s="22"/>
      <c r="E107" s="22"/>
      <c r="J107" s="5"/>
      <c r="K107" s="5"/>
      <c r="L107" s="5"/>
      <c r="M107" s="5"/>
      <c r="N107" s="5"/>
      <c r="O107" s="5"/>
      <c r="P107" s="88"/>
      <c r="Q107" s="95"/>
    </row>
    <row r="108" spans="4:17" s="2" customFormat="1" ht="12" customHeight="1">
      <c r="D108" s="22"/>
      <c r="E108" s="22"/>
      <c r="J108" s="5"/>
      <c r="K108" s="5"/>
      <c r="L108" s="5"/>
      <c r="M108" s="5"/>
      <c r="N108" s="5"/>
      <c r="O108" s="5"/>
      <c r="P108" s="88"/>
      <c r="Q108" s="95"/>
    </row>
    <row r="109" spans="4:17" s="2" customFormat="1" ht="12" customHeight="1">
      <c r="D109" s="22"/>
      <c r="E109" s="22"/>
      <c r="J109" s="5"/>
      <c r="K109" s="5"/>
      <c r="L109" s="5"/>
      <c r="M109" s="5"/>
      <c r="N109" s="5"/>
      <c r="O109" s="5"/>
      <c r="P109" s="88"/>
      <c r="Q109" s="95"/>
    </row>
    <row r="110" spans="4:17" s="2" customFormat="1" ht="12" customHeight="1">
      <c r="D110" s="22"/>
      <c r="E110" s="22"/>
      <c r="J110" s="5"/>
      <c r="K110" s="5"/>
      <c r="L110" s="5"/>
      <c r="M110" s="5"/>
      <c r="N110" s="5"/>
      <c r="O110" s="5"/>
      <c r="P110" s="88"/>
      <c r="Q110" s="95"/>
    </row>
    <row r="111" spans="4:17" s="2" customFormat="1" ht="12" customHeight="1">
      <c r="D111" s="22"/>
      <c r="E111" s="22"/>
      <c r="J111" s="5"/>
      <c r="K111" s="5"/>
      <c r="L111" s="5"/>
      <c r="M111" s="5"/>
      <c r="N111" s="5"/>
      <c r="O111" s="5"/>
      <c r="P111" s="88"/>
      <c r="Q111" s="95"/>
    </row>
    <row r="112" spans="4:17" s="2" customFormat="1" ht="12" customHeight="1">
      <c r="D112" s="22"/>
      <c r="E112" s="22"/>
      <c r="J112" s="5"/>
      <c r="K112" s="5"/>
      <c r="L112" s="5"/>
      <c r="M112" s="5"/>
      <c r="N112" s="5"/>
      <c r="O112" s="5"/>
      <c r="P112" s="88"/>
      <c r="Q112" s="95"/>
    </row>
    <row r="113" spans="1:17" s="2" customFormat="1" ht="12" customHeight="1">
      <c r="D113" s="22"/>
      <c r="E113" s="22"/>
      <c r="J113" s="5"/>
      <c r="K113" s="5"/>
      <c r="L113" s="5"/>
      <c r="M113" s="5"/>
      <c r="N113" s="5"/>
      <c r="O113" s="5"/>
      <c r="P113" s="88"/>
      <c r="Q113" s="96"/>
    </row>
    <row r="114" spans="1:17" s="2" customFormat="1" ht="12" customHeight="1">
      <c r="D114" s="22"/>
      <c r="E114" s="22"/>
      <c r="J114" s="5"/>
      <c r="K114" s="5"/>
      <c r="L114" s="5"/>
      <c r="M114" s="5"/>
      <c r="N114" s="5"/>
      <c r="O114" s="5"/>
      <c r="P114" s="88"/>
      <c r="Q114" s="96"/>
    </row>
    <row r="115" spans="1:17" s="2" customFormat="1" ht="12" customHeight="1">
      <c r="D115" s="22"/>
      <c r="E115" s="22"/>
      <c r="J115" s="5"/>
      <c r="K115" s="5"/>
      <c r="L115" s="5"/>
      <c r="M115" s="5"/>
      <c r="N115" s="5"/>
      <c r="O115" s="5"/>
      <c r="P115" s="88"/>
      <c r="Q115" s="96"/>
    </row>
    <row r="116" spans="1:17" s="2" customFormat="1" ht="12" customHeight="1">
      <c r="D116" s="22"/>
      <c r="E116" s="22"/>
      <c r="J116" s="5"/>
      <c r="K116" s="5"/>
      <c r="L116" s="5"/>
      <c r="M116" s="5"/>
      <c r="N116" s="5"/>
      <c r="O116" s="5"/>
      <c r="P116" s="88"/>
      <c r="Q116" s="96"/>
    </row>
    <row r="117" spans="1:17" s="2" customFormat="1" ht="12" customHeight="1">
      <c r="A117"/>
      <c r="B117"/>
      <c r="C117"/>
      <c r="D117" s="23"/>
      <c r="E117" s="23"/>
      <c r="F117"/>
      <c r="G117"/>
      <c r="H117"/>
      <c r="I117"/>
      <c r="J117" s="19"/>
      <c r="K117" s="19"/>
      <c r="L117" s="19"/>
      <c r="M117" s="19"/>
      <c r="N117" s="19"/>
      <c r="O117" s="19"/>
      <c r="P117" s="90"/>
      <c r="Q117" s="96"/>
    </row>
    <row r="118" spans="1:17" s="2" customFormat="1" ht="12" customHeight="1">
      <c r="A118"/>
      <c r="B118"/>
      <c r="C118"/>
      <c r="D118" s="23"/>
      <c r="E118" s="23"/>
      <c r="F118"/>
      <c r="G118"/>
      <c r="H118"/>
      <c r="I118"/>
      <c r="J118" s="19"/>
      <c r="K118" s="19"/>
      <c r="L118" s="19"/>
      <c r="M118" s="19"/>
      <c r="N118" s="19"/>
      <c r="O118" s="19"/>
      <c r="P118" s="90"/>
      <c r="Q118" s="96"/>
    </row>
    <row r="119" spans="1:17" s="2" customFormat="1" ht="12" customHeight="1">
      <c r="A119"/>
      <c r="B119"/>
      <c r="C119"/>
      <c r="D119" s="23"/>
      <c r="E119" s="23"/>
      <c r="F119"/>
      <c r="G119"/>
      <c r="H119"/>
      <c r="I119"/>
      <c r="J119" s="19"/>
      <c r="K119" s="19"/>
      <c r="L119" s="19"/>
      <c r="M119" s="19"/>
      <c r="N119" s="19"/>
      <c r="O119" s="19"/>
      <c r="P119" s="90"/>
      <c r="Q119" s="96"/>
    </row>
    <row r="120" spans="1:17" s="2" customFormat="1" ht="12" customHeight="1">
      <c r="A120"/>
      <c r="B120"/>
      <c r="C120"/>
      <c r="D120" s="23"/>
      <c r="E120" s="23"/>
      <c r="F120"/>
      <c r="G120"/>
      <c r="H120"/>
      <c r="I120"/>
      <c r="J120" s="19"/>
      <c r="K120" s="19"/>
      <c r="L120" s="19"/>
      <c r="M120" s="19"/>
      <c r="N120" s="19"/>
      <c r="O120" s="19"/>
      <c r="P120" s="90"/>
      <c r="Q120" s="96"/>
    </row>
    <row r="121" spans="1:17" s="2" customFormat="1" ht="12" customHeight="1">
      <c r="A121"/>
      <c r="B121"/>
      <c r="C121"/>
      <c r="D121" s="23"/>
      <c r="E121" s="23"/>
      <c r="F121"/>
      <c r="G121"/>
      <c r="H121"/>
      <c r="I121"/>
      <c r="J121" s="19"/>
      <c r="K121" s="19"/>
      <c r="L121" s="19"/>
      <c r="M121" s="19"/>
      <c r="N121" s="19"/>
      <c r="O121" s="19"/>
      <c r="P121" s="90"/>
      <c r="Q121" s="96"/>
    </row>
    <row r="122" spans="1:17">
      <c r="Q122" s="96"/>
    </row>
    <row r="123" spans="1:17">
      <c r="Q123" s="96"/>
    </row>
    <row r="124" spans="1:17">
      <c r="Q124" s="96"/>
    </row>
    <row r="125" spans="1:17">
      <c r="Q125" s="96"/>
    </row>
    <row r="126" spans="1:17">
      <c r="Q126" s="96"/>
    </row>
    <row r="127" spans="1:17">
      <c r="Q127" s="96"/>
    </row>
    <row r="128" spans="1:17">
      <c r="Q128" s="96"/>
    </row>
    <row r="129" spans="17:17">
      <c r="Q129" s="96"/>
    </row>
    <row r="130" spans="17:17">
      <c r="Q130" s="96"/>
    </row>
    <row r="131" spans="17:17">
      <c r="Q131" s="96"/>
    </row>
    <row r="132" spans="17:17">
      <c r="Q132" s="96"/>
    </row>
    <row r="133" spans="17:17">
      <c r="Q133" s="96"/>
    </row>
    <row r="134" spans="17:17">
      <c r="Q134" s="96"/>
    </row>
    <row r="135" spans="17:17">
      <c r="Q135" s="96"/>
    </row>
    <row r="136" spans="17:17">
      <c r="Q136" s="96"/>
    </row>
    <row r="137" spans="17:17">
      <c r="Q137" s="96"/>
    </row>
    <row r="138" spans="17:17">
      <c r="Q138" s="96"/>
    </row>
    <row r="139" spans="17:17">
      <c r="Q139" s="96"/>
    </row>
    <row r="140" spans="17:17">
      <c r="Q140" s="96"/>
    </row>
    <row r="141" spans="17:17">
      <c r="Q141" s="96"/>
    </row>
    <row r="178" ht="12" customHeight="1"/>
    <row r="179" ht="12" customHeight="1"/>
    <row r="180" ht="12" customHeight="1"/>
    <row r="181" ht="12" customHeight="1"/>
    <row r="182" ht="12" customHeight="1"/>
    <row r="183" ht="12" customHeight="1"/>
    <row r="184" ht="12" customHeight="1"/>
    <row r="185" ht="12" customHeight="1"/>
    <row r="186" ht="12" customHeight="1"/>
    <row r="187" ht="12" customHeight="1"/>
    <row r="188" ht="12" customHeight="1"/>
    <row r="189" ht="12" customHeight="1"/>
    <row r="190" ht="12" customHeight="1"/>
    <row r="191" ht="12" customHeight="1"/>
    <row r="192" ht="12" customHeight="1"/>
    <row r="193" ht="12" customHeight="1"/>
    <row r="194" ht="12" customHeight="1"/>
    <row r="195" ht="12" customHeight="1"/>
    <row r="196" ht="12" customHeight="1"/>
    <row r="197" ht="12" customHeight="1"/>
    <row r="198" ht="12" customHeight="1"/>
    <row r="199" ht="12" customHeight="1"/>
    <row r="200" ht="12" customHeight="1"/>
    <row r="201" ht="12" customHeight="1"/>
    <row r="202" ht="12" customHeight="1"/>
    <row r="203" ht="12" customHeight="1"/>
    <row r="204" ht="12" customHeight="1"/>
    <row r="205" ht="12" customHeight="1"/>
    <row r="206" ht="12" customHeight="1"/>
    <row r="207" ht="12" customHeight="1"/>
    <row r="208" ht="12" customHeight="1"/>
    <row r="209" ht="12" customHeight="1"/>
    <row r="210" ht="12" customHeight="1"/>
    <row r="211" ht="12" customHeight="1"/>
    <row r="212" ht="12" customHeight="1"/>
    <row r="213" ht="12" customHeight="1"/>
    <row r="214" ht="12" customHeight="1"/>
    <row r="215" ht="12" customHeight="1"/>
    <row r="216" ht="12" customHeight="1"/>
    <row r="217" ht="12" customHeight="1"/>
    <row r="218" ht="12" customHeight="1"/>
    <row r="219" ht="12" customHeight="1"/>
    <row r="220" ht="12" customHeight="1"/>
    <row r="221" ht="12" customHeight="1"/>
    <row r="222" ht="12" customHeight="1"/>
    <row r="223" ht="12" customHeight="1"/>
    <row r="224" ht="12" customHeight="1"/>
    <row r="225" ht="12" customHeight="1"/>
    <row r="226" ht="12" customHeight="1"/>
    <row r="227" ht="12" customHeight="1"/>
  </sheetData>
  <mergeCells count="77">
    <mergeCell ref="D54:E54"/>
    <mergeCell ref="H4:I4"/>
    <mergeCell ref="D11:E11"/>
    <mergeCell ref="D5:E5"/>
    <mergeCell ref="D6:E6"/>
    <mergeCell ref="D7:E7"/>
    <mergeCell ref="D8:E8"/>
    <mergeCell ref="D9:E9"/>
    <mergeCell ref="D12:E12"/>
    <mergeCell ref="D13:E13"/>
    <mergeCell ref="D14:E14"/>
    <mergeCell ref="D10:E10"/>
    <mergeCell ref="H17:I17"/>
    <mergeCell ref="D34:E34"/>
    <mergeCell ref="D35:E35"/>
    <mergeCell ref="D36:E36"/>
    <mergeCell ref="D1:E1"/>
    <mergeCell ref="D4:E4"/>
    <mergeCell ref="D37:E37"/>
    <mergeCell ref="D38:E38"/>
    <mergeCell ref="D17:E17"/>
    <mergeCell ref="D18:E18"/>
    <mergeCell ref="D19:E19"/>
    <mergeCell ref="D26:E26"/>
    <mergeCell ref="D20:E20"/>
    <mergeCell ref="D21:E21"/>
    <mergeCell ref="D22:E22"/>
    <mergeCell ref="D23:E23"/>
    <mergeCell ref="D24:E24"/>
    <mergeCell ref="D25:E25"/>
    <mergeCell ref="D32:E32"/>
    <mergeCell ref="D33:E33"/>
    <mergeCell ref="D27:E27"/>
    <mergeCell ref="D28:E28"/>
    <mergeCell ref="D29:E29"/>
    <mergeCell ref="D30:E30"/>
    <mergeCell ref="D31:E31"/>
    <mergeCell ref="D39:E39"/>
    <mergeCell ref="D40:E40"/>
    <mergeCell ref="D41:E41"/>
    <mergeCell ref="D42:E42"/>
    <mergeCell ref="D47:E47"/>
    <mergeCell ref="D44:E44"/>
    <mergeCell ref="D45:E45"/>
    <mergeCell ref="D46:E46"/>
    <mergeCell ref="D43:E43"/>
    <mergeCell ref="D48:E48"/>
    <mergeCell ref="D15:E15"/>
    <mergeCell ref="D16:E16"/>
    <mergeCell ref="D53:E53"/>
    <mergeCell ref="D74:E74"/>
    <mergeCell ref="D61:E61"/>
    <mergeCell ref="D55:E55"/>
    <mergeCell ref="D69:E69"/>
    <mergeCell ref="D49:E49"/>
    <mergeCell ref="D60:E60"/>
    <mergeCell ref="D62:E62"/>
    <mergeCell ref="D50:E50"/>
    <mergeCell ref="D51:E51"/>
    <mergeCell ref="D52:E52"/>
    <mergeCell ref="D63:E63"/>
    <mergeCell ref="D56:E56"/>
    <mergeCell ref="H55:I55"/>
    <mergeCell ref="H74:I74"/>
    <mergeCell ref="H64:I64"/>
    <mergeCell ref="D65:E65"/>
    <mergeCell ref="D66:E66"/>
    <mergeCell ref="D67:E67"/>
    <mergeCell ref="D68:E68"/>
    <mergeCell ref="D70:E70"/>
    <mergeCell ref="D71:E71"/>
    <mergeCell ref="D64:E64"/>
    <mergeCell ref="D72:E72"/>
    <mergeCell ref="D73:E73"/>
    <mergeCell ref="D57:E57"/>
    <mergeCell ref="D58:E58"/>
    <mergeCell ref="D59:E59"/>
  </mergeCells>
  <conditionalFormatting sqref="M56:M63 M5:M16 M18:M54">
    <cfRule type="cellIs" dxfId="362" priority="5" stopIfTrue="1" operator="lessThanOrEqual">
      <formula>$L5</formula>
    </cfRule>
    <cfRule type="cellIs" dxfId="361" priority="6" operator="greaterThan">
      <formula>L5</formula>
    </cfRule>
  </conditionalFormatting>
  <conditionalFormatting sqref="M65:M73">
    <cfRule type="cellIs" dxfId="360" priority="1" stopIfTrue="1" operator="lessThanOrEqual">
      <formula>$L65</formula>
    </cfRule>
    <cfRule type="cellIs" dxfId="359" priority="2" operator="greaterThan">
      <formula>L65</formula>
    </cfRule>
  </conditionalFormatting>
  <pageMargins left="0.7" right="0.7" top="0.75" bottom="0.75" header="0.3" footer="0.3"/>
  <pageSetup paperSize="3" fitToHeight="0" orientation="landscape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169019A6-7FFF-4A35-8116-1141ACD4A8E7}">
          <x14:formula1>
            <xm:f>Bolts!$A:$A</xm:f>
          </x14:formula1>
          <xm:sqref>C56:C63</xm:sqref>
        </x14:dataValidation>
        <x14:dataValidation type="list" allowBlank="1" showInputMessage="1" showErrorMessage="1" xr:uid="{DF8E4132-D09A-4B27-A4F0-2FFAB0015DB3}">
          <x14:formula1>
            <xm:f>Purchased!$A:$A</xm:f>
          </x14:formula1>
          <xm:sqref>C18:C54</xm:sqref>
        </x14:dataValidation>
        <x14:dataValidation type="list" allowBlank="1" showInputMessage="1" showErrorMessage="1" xr:uid="{350DACC8-44E0-4649-8497-ACC0E6971291}">
          <x14:formula1>
            <xm:f>Extrusion!$B:$B</xm:f>
          </x14:formula1>
          <xm:sqref>C65:C73</xm:sqref>
        </x14:dataValidation>
        <x14:dataValidation type="list" allowBlank="1" showInputMessage="1" showErrorMessage="1" xr:uid="{A187C3ED-5727-4FBB-8760-F988F4DF6510}">
          <x14:formula1>
            <xm:f>Machined!$C:$C</xm:f>
          </x14:formula1>
          <xm:sqref>C5:C16</xm:sqref>
        </x14:dataValidation>
      </x14:dataValidations>
    </ext>
  </extLst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411BB1-9669-4AFC-9F1B-5CB72CCA89F2}">
  <sheetPr codeName="Sheet80">
    <tabColor theme="3" tint="0.79998168889431442"/>
    <pageSetUpPr fitToPage="1"/>
  </sheetPr>
  <dimension ref="A1:Q231"/>
  <sheetViews>
    <sheetView topLeftCell="A14" zoomScaleNormal="100" workbookViewId="0">
      <selection activeCell="C59" sqref="C59"/>
    </sheetView>
  </sheetViews>
  <sheetFormatPr defaultColWidth="9.140625" defaultRowHeight="15"/>
  <cols>
    <col min="1" max="1" width="5.7109375" customWidth="1"/>
    <col min="2" max="2" width="5.42578125" bestFit="1" customWidth="1"/>
    <col min="3" max="3" width="30.7109375" customWidth="1"/>
    <col min="4" max="4" width="21.7109375" style="23" customWidth="1"/>
    <col min="5" max="5" width="20.7109375" style="23" customWidth="1"/>
    <col min="6" max="6" width="16.85546875" bestFit="1" customWidth="1"/>
    <col min="7" max="7" width="9.7109375" customWidth="1"/>
    <col min="8" max="8" width="8.7109375" customWidth="1"/>
    <col min="9" max="9" width="20.7109375" customWidth="1"/>
    <col min="10" max="13" width="11.7109375" style="19" customWidth="1"/>
    <col min="14" max="14" width="11.85546875" style="19" bestFit="1" customWidth="1"/>
    <col min="15" max="15" width="7.7109375" style="19" customWidth="1"/>
    <col min="16" max="16" width="10.7109375" style="90" customWidth="1"/>
    <col min="17" max="17" width="10.7109375" style="97" customWidth="1"/>
  </cols>
  <sheetData>
    <row r="1" spans="1:17" s="55" customFormat="1" ht="12" customHeight="1">
      <c r="A1" s="68" t="s">
        <v>0</v>
      </c>
      <c r="B1" s="69"/>
      <c r="C1" s="69"/>
      <c r="D1" s="262" t="s">
        <v>1</v>
      </c>
      <c r="E1" s="263"/>
      <c r="F1" s="70"/>
      <c r="G1" s="69"/>
      <c r="H1" s="70"/>
      <c r="I1" s="71"/>
      <c r="J1" s="72"/>
      <c r="K1" s="72"/>
      <c r="L1" s="72"/>
      <c r="M1" s="72"/>
      <c r="N1" s="72"/>
      <c r="O1" s="72"/>
      <c r="P1" s="85"/>
      <c r="Q1" s="91"/>
    </row>
    <row r="2" spans="1:17" s="55" customFormat="1" ht="12" customHeight="1">
      <c r="A2" s="74" t="s">
        <v>48</v>
      </c>
      <c r="B2" s="58"/>
      <c r="C2" s="57" t="e">
        <f ca="1">VLOOKUP(E3,Assemblies!B:F,4,0)</f>
        <v>#VALUE!</v>
      </c>
      <c r="D2" s="75" t="s">
        <v>3</v>
      </c>
      <c r="E2" s="76" t="e">
        <f ca="1">'GF12'!E2</f>
        <v>#VALUE!</v>
      </c>
      <c r="F2" s="77" t="s">
        <v>4</v>
      </c>
      <c r="G2" s="58" t="str">
        <f>'GF12'!G2</f>
        <v>GH</v>
      </c>
      <c r="H2" s="77" t="s">
        <v>6</v>
      </c>
      <c r="I2" s="59">
        <f>'GF12'!I2</f>
        <v>44775</v>
      </c>
      <c r="J2" s="39"/>
      <c r="K2" s="40" t="s">
        <v>49</v>
      </c>
      <c r="L2" s="41" t="e">
        <f ca="1">VLOOKUP(C2,Assemblies!E:G,3,0)</f>
        <v>#VALUE!</v>
      </c>
      <c r="M2" s="78"/>
      <c r="N2" s="78"/>
      <c r="O2" s="78"/>
      <c r="P2" s="86"/>
      <c r="Q2" s="92"/>
    </row>
    <row r="3" spans="1:17" s="55" customFormat="1" ht="12" customHeight="1" thickBot="1">
      <c r="A3" s="74" t="s">
        <v>7</v>
      </c>
      <c r="B3" s="58"/>
      <c r="C3" s="57" t="e">
        <f ca="1">VLOOKUP(E3,Assemblies!B:F,5,0)</f>
        <v>#VALUE!</v>
      </c>
      <c r="D3" s="75" t="s">
        <v>50</v>
      </c>
      <c r="E3" s="76" t="e">
        <f ca="1">MID(CELL("filename",A1),FIND("]",CELL("filename",A1))+1,256)</f>
        <v>#VALUE!</v>
      </c>
      <c r="F3" s="77" t="s">
        <v>11</v>
      </c>
      <c r="G3" s="58" t="str">
        <f>'GF12'!G3</f>
        <v>GH</v>
      </c>
      <c r="H3" s="77" t="s">
        <v>6</v>
      </c>
      <c r="I3" s="59">
        <f>'GF12'!I3</f>
        <v>44775</v>
      </c>
      <c r="J3" s="78"/>
      <c r="K3" s="78"/>
      <c r="L3" s="78"/>
      <c r="M3" s="78"/>
      <c r="N3" s="78"/>
      <c r="O3" s="78"/>
      <c r="P3" s="86"/>
      <c r="Q3" s="92"/>
    </row>
    <row r="4" spans="1:17" s="56" customFormat="1" ht="12.75" customHeight="1" thickBot="1">
      <c r="A4" s="80" t="s">
        <v>12</v>
      </c>
      <c r="B4" s="81" t="s">
        <v>13</v>
      </c>
      <c r="C4" s="81" t="s">
        <v>14</v>
      </c>
      <c r="D4" s="270" t="s">
        <v>15</v>
      </c>
      <c r="E4" s="271"/>
      <c r="F4" s="104" t="s">
        <v>16</v>
      </c>
      <c r="G4" s="81" t="s">
        <v>17</v>
      </c>
      <c r="H4" s="260" t="s">
        <v>18</v>
      </c>
      <c r="I4" s="261"/>
      <c r="J4" s="81" t="s">
        <v>51</v>
      </c>
      <c r="K4" s="81" t="s">
        <v>20</v>
      </c>
      <c r="L4" s="81" t="s">
        <v>21</v>
      </c>
      <c r="M4" s="81" t="s">
        <v>52</v>
      </c>
      <c r="N4" s="81" t="s">
        <v>22</v>
      </c>
      <c r="O4" s="81" t="s">
        <v>53</v>
      </c>
      <c r="P4" s="107" t="s">
        <v>26</v>
      </c>
      <c r="Q4" s="82" t="s">
        <v>27</v>
      </c>
    </row>
    <row r="5" spans="1:17" s="2" customFormat="1" ht="12.75" customHeight="1">
      <c r="A5" s="127">
        <v>1</v>
      </c>
      <c r="B5" s="21">
        <v>1</v>
      </c>
      <c r="C5" s="108" t="s">
        <v>918</v>
      </c>
      <c r="D5" s="298" t="str">
        <f>VLOOKUP(C5,Machined!C:Q,2,0)</f>
        <v>CYLINDER MOUNT PLATE - 
UPPER</v>
      </c>
      <c r="E5" s="299"/>
      <c r="F5" s="131" t="str">
        <f>VLOOKUP(C5,Machined!C:R,7,0)</f>
        <v>MIC 6</v>
      </c>
      <c r="G5" s="131" t="str">
        <f>VLOOKUP(C5,Machined!C:R,10,0)</f>
        <v>DETAILED MACH</v>
      </c>
      <c r="H5" s="131" t="str">
        <f>VLOOKUP(C5,Machined!C:R,11,0)</f>
        <v>shipped 9/29/23</v>
      </c>
      <c r="I5" s="131"/>
      <c r="J5" s="42">
        <f>VLOOKUP(C5,Machined!C:R,12,0)</f>
        <v>45156</v>
      </c>
      <c r="K5" s="42">
        <f>VLOOKUP(C5,Machined!C:R,13,0)</f>
        <v>45162</v>
      </c>
      <c r="L5" s="42">
        <f>VLOOKUP(C5,Machined!C:R,14,0)</f>
        <v>45190</v>
      </c>
      <c r="M5" s="42">
        <f>VLOOKUP(C5,Machined!C:R,15,0)</f>
        <v>45190</v>
      </c>
      <c r="N5" s="43">
        <f>VLOOKUP(C5,Machined!C:R,16,0)</f>
        <v>55101</v>
      </c>
      <c r="O5" s="43" t="e">
        <f t="shared" ref="O5:O20" ca="1" si="0">B5*$L$2</f>
        <v>#VALUE!</v>
      </c>
      <c r="P5" s="47">
        <f>IFERROR(VLOOKUP(C5,Machined!C:F,3,0),"")</f>
        <v>0</v>
      </c>
      <c r="Q5" s="48">
        <f t="shared" ref="Q5:Q20" si="1">IFERROR(B5*P5,"")</f>
        <v>0</v>
      </c>
    </row>
    <row r="6" spans="1:17" s="2" customFormat="1" ht="12.75" customHeight="1">
      <c r="A6" s="127">
        <v>2</v>
      </c>
      <c r="B6" s="21">
        <v>1</v>
      </c>
      <c r="C6" s="108" t="s">
        <v>919</v>
      </c>
      <c r="D6" s="298" t="str">
        <f>VLOOKUP(C6,Machined!C:Q,2,0)</f>
        <v>Spout Seal Head</v>
      </c>
      <c r="E6" s="299"/>
      <c r="F6" s="131" t="str">
        <f>VLOOKUP(C6,Machined!C:R,7,0)</f>
        <v>6061-T6 Alum</v>
      </c>
      <c r="G6" s="131" t="str">
        <f>VLOOKUP(C6,Machined!C:R,10,0)</f>
        <v>BIG SKY</v>
      </c>
      <c r="H6" s="131" t="str">
        <f>VLOOKUP(C6,Machined!C:R,11,0)</f>
        <v xml:space="preserve">  </v>
      </c>
      <c r="I6" s="131"/>
      <c r="J6" s="42">
        <f>VLOOKUP(C6,Machined!C:R,12,0)</f>
        <v>45161</v>
      </c>
      <c r="K6" s="42">
        <f>VLOOKUP(C6,Machined!C:R,13,0)</f>
        <v>45161</v>
      </c>
      <c r="L6" s="42">
        <f>VLOOKUP(C6,Machined!C:R,14,0)</f>
        <v>45184</v>
      </c>
      <c r="M6" s="42">
        <f>VLOOKUP(C6,Machined!C:R,15,0)</f>
        <v>45184</v>
      </c>
      <c r="N6" s="43">
        <f>VLOOKUP(C6,Machined!C:R,16,0)</f>
        <v>55093</v>
      </c>
      <c r="O6" s="43" t="e">
        <f t="shared" ca="1" si="0"/>
        <v>#VALUE!</v>
      </c>
      <c r="P6" s="47">
        <f>IFERROR(VLOOKUP(C6,Machined!C:F,3,0),"")</f>
        <v>0</v>
      </c>
      <c r="Q6" s="48">
        <f t="shared" si="1"/>
        <v>0</v>
      </c>
    </row>
    <row r="7" spans="1:17" s="2" customFormat="1" ht="12.75" customHeight="1">
      <c r="A7" s="127">
        <v>3</v>
      </c>
      <c r="B7" s="21">
        <v>1</v>
      </c>
      <c r="C7" s="108" t="s">
        <v>920</v>
      </c>
      <c r="D7" s="298" t="str">
        <f>VLOOKUP(C7,Machined!C:Q,2,0)</f>
        <v>P1B Spout Pilot</v>
      </c>
      <c r="E7" s="299"/>
      <c r="F7" s="131" t="str">
        <f>VLOOKUP(C7,Machined!C:R,7,0)</f>
        <v>GLASS FILLED PTFE</v>
      </c>
      <c r="G7" s="131" t="str">
        <f>VLOOKUP(C7,Machined!C:R,10,0)</f>
        <v>BEMOX</v>
      </c>
      <c r="H7" s="131" t="str">
        <f>VLOOKUP(C7,Machined!C:R,11,0)</f>
        <v xml:space="preserve">  </v>
      </c>
      <c r="I7" s="131"/>
      <c r="J7" s="42">
        <f>VLOOKUP(C7,Machined!C:R,12,0)</f>
        <v>45161</v>
      </c>
      <c r="K7" s="42">
        <f>VLOOKUP(C7,Machined!C:R,13,0)</f>
        <v>45162</v>
      </c>
      <c r="L7" s="42">
        <f>VLOOKUP(C7,Machined!C:R,14,0)</f>
        <v>45192</v>
      </c>
      <c r="M7" s="42">
        <f>VLOOKUP(C7,Machined!C:R,15,0)</f>
        <v>45192</v>
      </c>
      <c r="N7" s="43">
        <f>VLOOKUP(C7,Machined!C:R,16,0)</f>
        <v>55100</v>
      </c>
      <c r="O7" s="43" t="e">
        <f t="shared" ca="1" si="0"/>
        <v>#VALUE!</v>
      </c>
      <c r="P7" s="47">
        <f>IFERROR(VLOOKUP(C7,Machined!C:F,3,0),"")</f>
        <v>0</v>
      </c>
      <c r="Q7" s="48">
        <f t="shared" si="1"/>
        <v>0</v>
      </c>
    </row>
    <row r="8" spans="1:17" s="2" customFormat="1" ht="12.75" customHeight="1">
      <c r="A8" s="127">
        <v>4</v>
      </c>
      <c r="B8" s="21">
        <v>1</v>
      </c>
      <c r="C8" s="108" t="s">
        <v>921</v>
      </c>
      <c r="D8" s="298" t="str">
        <f>VLOOKUP(C8,Machined!C:Q,2,0)</f>
        <v>P1L Spout Pilot</v>
      </c>
      <c r="E8" s="299"/>
      <c r="F8" s="131" t="str">
        <f>VLOOKUP(C8,Machined!C:R,7,0)</f>
        <v>GLASS FILLED PTFE</v>
      </c>
      <c r="G8" s="131" t="str">
        <f>VLOOKUP(C8,Machined!C:R,10,0)</f>
        <v>BEMOX</v>
      </c>
      <c r="H8" s="131" t="str">
        <f>VLOOKUP(C8,Machined!C:R,11,0)</f>
        <v xml:space="preserve">  </v>
      </c>
      <c r="I8" s="131"/>
      <c r="J8" s="42">
        <f>VLOOKUP(C8,Machined!C:R,12,0)</f>
        <v>45161</v>
      </c>
      <c r="K8" s="42">
        <f>VLOOKUP(C8,Machined!C:R,13,0)</f>
        <v>45162</v>
      </c>
      <c r="L8" s="42">
        <f>VLOOKUP(C8,Machined!C:R,14,0)</f>
        <v>45192</v>
      </c>
      <c r="M8" s="42">
        <f>VLOOKUP(C8,Machined!C:R,15,0)</f>
        <v>45192</v>
      </c>
      <c r="N8" s="43">
        <f>VLOOKUP(C8,Machined!C:R,16,0)</f>
        <v>55100</v>
      </c>
      <c r="O8" s="43" t="e">
        <f t="shared" ca="1" si="0"/>
        <v>#VALUE!</v>
      </c>
      <c r="P8" s="47">
        <f>IFERROR(VLOOKUP(C8,Machined!C:F,3,0),"")</f>
        <v>0</v>
      </c>
      <c r="Q8" s="48">
        <f t="shared" si="1"/>
        <v>0</v>
      </c>
    </row>
    <row r="9" spans="1:17" s="2" customFormat="1" ht="12.75" customHeight="1">
      <c r="A9" s="127">
        <v>5</v>
      </c>
      <c r="B9" s="21">
        <v>1</v>
      </c>
      <c r="C9" s="108" t="s">
        <v>922</v>
      </c>
      <c r="D9" s="298" t="str">
        <f>VLOOKUP(C9,Machined!C:Q,2,0)</f>
        <v>SEAL MOUNT PLATE UPPER</v>
      </c>
      <c r="E9" s="299"/>
      <c r="F9" s="131" t="str">
        <f>VLOOKUP(C9,Machined!C:R,7,0)</f>
        <v>6061-T6 Alum</v>
      </c>
      <c r="G9" s="131" t="str">
        <f>VLOOKUP(C9,Machined!C:R,10,0)</f>
        <v>NULINE</v>
      </c>
      <c r="H9" s="131" t="str">
        <f>VLOOKUP(C9,Machined!C:R,11,0)</f>
        <v xml:space="preserve">  </v>
      </c>
      <c r="I9" s="131"/>
      <c r="J9" s="42" t="str">
        <f>VLOOKUP(C9,Machined!C:R,12,0)</f>
        <v>N/A</v>
      </c>
      <c r="K9" s="42" t="str">
        <f>VLOOKUP(C9,Machined!C:R,13,0)</f>
        <v>N/A</v>
      </c>
      <c r="L9" s="42" t="str">
        <f>VLOOKUP(C9,Machined!C:R,14,0)</f>
        <v>N/A</v>
      </c>
      <c r="M9" s="42" t="str">
        <f>VLOOKUP(C9,Machined!C:R,15,0)</f>
        <v>N/A</v>
      </c>
      <c r="N9" s="43" t="str">
        <f>VLOOKUP(C9,Machined!C:R,16,0)</f>
        <v>N/A</v>
      </c>
      <c r="O9" s="43" t="e">
        <f t="shared" ca="1" si="0"/>
        <v>#VALUE!</v>
      </c>
      <c r="P9" s="47">
        <f>IFERROR(VLOOKUP(C9,Machined!C:F,3,0),"")</f>
        <v>0</v>
      </c>
      <c r="Q9" s="48">
        <f t="shared" si="1"/>
        <v>0</v>
      </c>
    </row>
    <row r="10" spans="1:17" s="2" customFormat="1" ht="12.75" customHeight="1">
      <c r="A10" s="127">
        <v>6</v>
      </c>
      <c r="B10" s="21">
        <v>1</v>
      </c>
      <c r="C10" s="108" t="s">
        <v>923</v>
      </c>
      <c r="D10" s="298" t="str">
        <f>VLOOKUP(C10,Machined!C:Q,2,0)</f>
        <v>SEAL MOUNT PLATE LOWER</v>
      </c>
      <c r="E10" s="299"/>
      <c r="F10" s="131" t="str">
        <f>VLOOKUP(C10,Machined!C:R,7,0)</f>
        <v>6061-T6 Alum</v>
      </c>
      <c r="G10" s="131" t="str">
        <f>VLOOKUP(C10,Machined!C:R,10,0)</f>
        <v>BIG SKY</v>
      </c>
      <c r="H10" s="131" t="str">
        <f>VLOOKUP(C10,Machined!C:R,11,0)</f>
        <v xml:space="preserve">  </v>
      </c>
      <c r="I10" s="131"/>
      <c r="J10" s="42">
        <f>VLOOKUP(C10,Machined!C:R,12,0)</f>
        <v>45161</v>
      </c>
      <c r="K10" s="42">
        <f>VLOOKUP(C10,Machined!C:R,13,0)</f>
        <v>45161</v>
      </c>
      <c r="L10" s="42">
        <f>VLOOKUP(C10,Machined!C:R,14,0)</f>
        <v>45184</v>
      </c>
      <c r="M10" s="42">
        <f>VLOOKUP(C10,Machined!C:R,15,0)</f>
        <v>45184</v>
      </c>
      <c r="N10" s="43">
        <f>VLOOKUP(C10,Machined!C:R,16,0)</f>
        <v>55093</v>
      </c>
      <c r="O10" s="43" t="e">
        <f t="shared" ca="1" si="0"/>
        <v>#VALUE!</v>
      </c>
      <c r="P10" s="47">
        <f>IFERROR(VLOOKUP(C10,Machined!C:F,3,0),"")</f>
        <v>0</v>
      </c>
      <c r="Q10" s="48">
        <f t="shared" si="1"/>
        <v>0</v>
      </c>
    </row>
    <row r="11" spans="1:17" s="2" customFormat="1" ht="12.75" customHeight="1">
      <c r="A11" s="127">
        <v>7</v>
      </c>
      <c r="B11" s="21">
        <v>1</v>
      </c>
      <c r="C11" s="108" t="s">
        <v>924</v>
      </c>
      <c r="D11" s="298" t="str">
        <f>VLOOKUP(C11,Machined!C:Q,2,0)</f>
        <v>WEB CLAMP CYLINDER PLATE</v>
      </c>
      <c r="E11" s="299"/>
      <c r="F11" s="131" t="str">
        <f>VLOOKUP(C11,Machined!C:R,7,0)</f>
        <v>6061-T6 Alum</v>
      </c>
      <c r="G11" s="131" t="str">
        <f>VLOOKUP(C11,Machined!C:R,10,0)</f>
        <v>NULINE</v>
      </c>
      <c r="H11" s="131" t="str">
        <f>VLOOKUP(C11,Machined!C:R,11,0)</f>
        <v xml:space="preserve">  </v>
      </c>
      <c r="I11" s="131"/>
      <c r="J11" s="42" t="str">
        <f>VLOOKUP(C11,Machined!C:R,12,0)</f>
        <v>N/A</v>
      </c>
      <c r="K11" s="42" t="str">
        <f>VLOOKUP(C11,Machined!C:R,13,0)</f>
        <v>N/A</v>
      </c>
      <c r="L11" s="42" t="str">
        <f>VLOOKUP(C11,Machined!C:R,14,0)</f>
        <v>N/A</v>
      </c>
      <c r="M11" s="42" t="str">
        <f>VLOOKUP(C11,Machined!C:R,15,0)</f>
        <v>N/A</v>
      </c>
      <c r="N11" s="43" t="str">
        <f>VLOOKUP(C11,Machined!C:R,16,0)</f>
        <v>N/A</v>
      </c>
      <c r="O11" s="43" t="e">
        <f t="shared" ca="1" si="0"/>
        <v>#VALUE!</v>
      </c>
      <c r="P11" s="47">
        <f>IFERROR(VLOOKUP(C11,Machined!C:F,3,0),"")</f>
        <v>0</v>
      </c>
      <c r="Q11" s="48">
        <f t="shared" si="1"/>
        <v>0</v>
      </c>
    </row>
    <row r="12" spans="1:17" s="2" customFormat="1" ht="12.75" customHeight="1">
      <c r="A12" s="127">
        <v>8</v>
      </c>
      <c r="B12" s="21">
        <v>2</v>
      </c>
      <c r="C12" s="108" t="s">
        <v>925</v>
      </c>
      <c r="D12" s="298" t="str">
        <f>VLOOKUP(C12,Machined!C:Q,2,0)</f>
        <v>WEB CLAMP BAR</v>
      </c>
      <c r="E12" s="299"/>
      <c r="F12" s="131" t="str">
        <f>VLOOKUP(C12,Machined!C:R,7,0)</f>
        <v>6061-T6 Alum</v>
      </c>
      <c r="G12" s="131" t="str">
        <f>VLOOKUP(C12,Machined!C:R,10,0)</f>
        <v>NULINE</v>
      </c>
      <c r="H12" s="131" t="str">
        <f>VLOOKUP(C12,Machined!C:R,11,0)</f>
        <v xml:space="preserve">  </v>
      </c>
      <c r="I12" s="131"/>
      <c r="J12" s="42" t="str">
        <f>VLOOKUP(C12,Machined!C:R,12,0)</f>
        <v>N/A</v>
      </c>
      <c r="K12" s="42" t="str">
        <f>VLOOKUP(C12,Machined!C:R,13,0)</f>
        <v>N/A</v>
      </c>
      <c r="L12" s="42" t="str">
        <f>VLOOKUP(C12,Machined!C:R,14,0)</f>
        <v>N/A</v>
      </c>
      <c r="M12" s="42" t="str">
        <f>VLOOKUP(C12,Machined!C:R,15,0)</f>
        <v>N/A</v>
      </c>
      <c r="N12" s="43" t="str">
        <f>VLOOKUP(C12,Machined!C:R,16,0)</f>
        <v>N/A</v>
      </c>
      <c r="O12" s="43" t="e">
        <f t="shared" ca="1" si="0"/>
        <v>#VALUE!</v>
      </c>
      <c r="P12" s="47">
        <f>IFERROR(VLOOKUP(C12,Machined!C:F,3,0),"")</f>
        <v>0</v>
      </c>
      <c r="Q12" s="48">
        <f t="shared" si="1"/>
        <v>0</v>
      </c>
    </row>
    <row r="13" spans="1:17" s="2" customFormat="1" ht="12.75" customHeight="1">
      <c r="A13" s="127">
        <v>9</v>
      </c>
      <c r="B13" s="21">
        <v>2</v>
      </c>
      <c r="C13" s="108" t="s">
        <v>926</v>
      </c>
      <c r="D13" s="298" t="str">
        <f>VLOOKUP(C13,Machined!C:Q,2,0)</f>
        <v>SPOUT WEB CLAMP RUBBER</v>
      </c>
      <c r="E13" s="299"/>
      <c r="F13" s="131" t="str">
        <f>VLOOKUP(C13,Machined!C:R,7,0)</f>
        <v>Silicone</v>
      </c>
      <c r="G13" s="131" t="str">
        <f>VLOOKUP(C13,Machined!C:R,10,0)</f>
        <v>NULINE</v>
      </c>
      <c r="H13" s="131" t="str">
        <f>VLOOKUP(C13,Machined!C:R,11,0)</f>
        <v xml:space="preserve">  </v>
      </c>
      <c r="I13" s="131"/>
      <c r="J13" s="42" t="str">
        <f>VLOOKUP(C13,Machined!C:R,12,0)</f>
        <v>N/A</v>
      </c>
      <c r="K13" s="42" t="str">
        <f>VLOOKUP(C13,Machined!C:R,13,0)</f>
        <v>N/A</v>
      </c>
      <c r="L13" s="42" t="str">
        <f>VLOOKUP(C13,Machined!C:R,14,0)</f>
        <v>N/A</v>
      </c>
      <c r="M13" s="42" t="str">
        <f>VLOOKUP(C13,Machined!C:R,15,0)</f>
        <v>N/A</v>
      </c>
      <c r="N13" s="43" t="str">
        <f>VLOOKUP(C13,Machined!C:R,16,0)</f>
        <v>N/A</v>
      </c>
      <c r="O13" s="43" t="e">
        <f t="shared" ca="1" si="0"/>
        <v>#VALUE!</v>
      </c>
      <c r="P13" s="47">
        <f>IFERROR(VLOOKUP(C13,Machined!C:F,3,0),"")</f>
        <v>0</v>
      </c>
      <c r="Q13" s="48">
        <f t="shared" si="1"/>
        <v>0</v>
      </c>
    </row>
    <row r="14" spans="1:17" s="2" customFormat="1" ht="12.75" customHeight="1">
      <c r="A14" s="127">
        <v>10</v>
      </c>
      <c r="B14" s="21">
        <v>2</v>
      </c>
      <c r="C14" s="108" t="s">
        <v>927</v>
      </c>
      <c r="D14" s="298" t="str">
        <f>VLOOKUP(C14,Machined!C:Q,2,0)</f>
        <v>MODIFIED MCM 4322K183 
TUBE FITTING</v>
      </c>
      <c r="E14" s="299"/>
      <c r="F14" s="131" t="str">
        <f>VLOOKUP(C14,Machined!C:R,7,0)</f>
        <v>PURCHASED</v>
      </c>
      <c r="G14" s="131" t="str">
        <f>VLOOKUP(C14,Machined!C:R,10,0)</f>
        <v>MCM, NULINE</v>
      </c>
      <c r="H14" s="131" t="str">
        <f>VLOOKUP(C14,Machined!C:R,11,0)</f>
        <v xml:space="preserve">  </v>
      </c>
      <c r="I14" s="131"/>
      <c r="J14" s="42">
        <f>VLOOKUP(C14,Machined!C:R,12,0)</f>
        <v>45160</v>
      </c>
      <c r="K14" s="42">
        <f>VLOOKUP(C14,Machined!C:R,13,0)</f>
        <v>45160</v>
      </c>
      <c r="L14" s="42">
        <f>VLOOKUP(C14,Machined!C:R,14,0)</f>
        <v>45161</v>
      </c>
      <c r="M14" s="42">
        <f>VLOOKUP(C14,Machined!C:R,15,0)</f>
        <v>45161</v>
      </c>
      <c r="N14" s="43">
        <f>VLOOKUP(C14,Machined!C:R,16,0)</f>
        <v>55086</v>
      </c>
      <c r="O14" s="43" t="e">
        <f t="shared" ca="1" si="0"/>
        <v>#VALUE!</v>
      </c>
      <c r="P14" s="47">
        <f>IFERROR(VLOOKUP(C14,Machined!C:F,3,0),"")</f>
        <v>19.12</v>
      </c>
      <c r="Q14" s="48">
        <f t="shared" si="1"/>
        <v>38.24</v>
      </c>
    </row>
    <row r="15" spans="1:17" s="2" customFormat="1" ht="12.75" customHeight="1">
      <c r="A15" s="127">
        <f t="shared" ref="A15:A20" si="2">A14+1</f>
        <v>11</v>
      </c>
      <c r="B15" s="21">
        <v>1</v>
      </c>
      <c r="C15" s="108" t="s">
        <v>928</v>
      </c>
      <c r="D15" s="298" t="str">
        <f>VLOOKUP(C15,Machined!C:Q,2,0)</f>
        <v>TEFLON PLATE</v>
      </c>
      <c r="E15" s="299"/>
      <c r="F15" s="131" t="str">
        <f>VLOOKUP(C15,Machined!C:R,7,0)</f>
        <v>1018 CRS</v>
      </c>
      <c r="G15" s="131" t="str">
        <f>VLOOKUP(C15,Machined!C:R,10,0)</f>
        <v>NULINE</v>
      </c>
      <c r="H15" s="131" t="str">
        <f>VLOOKUP(C15,Machined!C:R,11,0)</f>
        <v xml:space="preserve">  </v>
      </c>
      <c r="I15" s="131"/>
      <c r="J15" s="42" t="str">
        <f>VLOOKUP(C15,Machined!C:R,12,0)</f>
        <v>N/A</v>
      </c>
      <c r="K15" s="42" t="str">
        <f>VLOOKUP(C15,Machined!C:R,13,0)</f>
        <v>N/A</v>
      </c>
      <c r="L15" s="42" t="str">
        <f>VLOOKUP(C15,Machined!C:R,14,0)</f>
        <v>N/A</v>
      </c>
      <c r="M15" s="42" t="str">
        <f>VLOOKUP(C15,Machined!C:R,15,0)</f>
        <v>N/A</v>
      </c>
      <c r="N15" s="43" t="str">
        <f>VLOOKUP(C15,Machined!C:R,16,0)</f>
        <v>N/A</v>
      </c>
      <c r="O15" s="43" t="e">
        <f t="shared" ca="1" si="0"/>
        <v>#VALUE!</v>
      </c>
      <c r="P15" s="47">
        <f>IFERROR(VLOOKUP(C15,Machined!C:F,3,0),"")</f>
        <v>0</v>
      </c>
      <c r="Q15" s="48">
        <f t="shared" si="1"/>
        <v>0</v>
      </c>
    </row>
    <row r="16" spans="1:17" s="2" customFormat="1" ht="12.75" customHeight="1">
      <c r="A16" s="127">
        <f t="shared" si="2"/>
        <v>12</v>
      </c>
      <c r="B16" s="21">
        <v>2</v>
      </c>
      <c r="C16" s="108" t="s">
        <v>929</v>
      </c>
      <c r="D16" s="298" t="str">
        <f>VLOOKUP(C16,Machined!C:Q,2,0)</f>
        <v>TEFLON HOLDER - SHORT</v>
      </c>
      <c r="E16" s="299"/>
      <c r="F16" s="131" t="str">
        <f>VLOOKUP(C16,Machined!C:R,7,0)</f>
        <v>AISI 304, 25 Gauge?</v>
      </c>
      <c r="G16" s="131" t="str">
        <f>VLOOKUP(C16,Machined!C:R,10,0)</f>
        <v>WESCO BHT</v>
      </c>
      <c r="H16" s="131" t="str">
        <f>VLOOKUP(C16,Machined!C:R,11,0)</f>
        <v xml:space="preserve">  </v>
      </c>
      <c r="I16" s="131"/>
      <c r="J16" s="42">
        <f>VLOOKUP(C16,Machined!C:R,12,0)</f>
        <v>45159</v>
      </c>
      <c r="K16" s="42">
        <f>VLOOKUP(C16,Machined!C:R,13,0)</f>
        <v>45161</v>
      </c>
      <c r="L16" s="42">
        <f>VLOOKUP(C16,Machined!C:R,14,0)</f>
        <v>45191</v>
      </c>
      <c r="M16" s="42">
        <f>VLOOKUP(C16,Machined!C:R,15,0)</f>
        <v>45191</v>
      </c>
      <c r="N16" s="43">
        <f>VLOOKUP(C16,Machined!C:R,16,0)</f>
        <v>55092</v>
      </c>
      <c r="O16" s="43" t="e">
        <f t="shared" ca="1" si="0"/>
        <v>#VALUE!</v>
      </c>
      <c r="P16" s="47">
        <f>IFERROR(VLOOKUP(C16,Machined!C:F,3,0),"")</f>
        <v>33.229999999999997</v>
      </c>
      <c r="Q16" s="48">
        <f t="shared" si="1"/>
        <v>66.459999999999994</v>
      </c>
    </row>
    <row r="17" spans="1:17" s="2" customFormat="1" ht="12.75" customHeight="1">
      <c r="A17" s="127">
        <f t="shared" si="2"/>
        <v>13</v>
      </c>
      <c r="B17" s="21">
        <v>2</v>
      </c>
      <c r="C17" s="108" t="s">
        <v>930</v>
      </c>
      <c r="D17" s="298" t="str">
        <f>VLOOKUP(C17,Machined!C:Q,2,0)</f>
        <v>TEFLON HOLDER - LONG</v>
      </c>
      <c r="E17" s="299"/>
      <c r="F17" s="131" t="str">
        <f>VLOOKUP(C17,Machined!C:R,7,0)</f>
        <v>AISI 304, 25 Gauge?</v>
      </c>
      <c r="G17" s="131" t="str">
        <f>VLOOKUP(C17,Machined!C:R,10,0)</f>
        <v>WESCO BHT</v>
      </c>
      <c r="H17" s="131" t="str">
        <f>VLOOKUP(C17,Machined!C:R,11,0)</f>
        <v xml:space="preserve">  </v>
      </c>
      <c r="I17" s="131"/>
      <c r="J17" s="42">
        <f>VLOOKUP(C17,Machined!C:R,12,0)</f>
        <v>45159</v>
      </c>
      <c r="K17" s="42">
        <f>VLOOKUP(C17,Machined!C:R,13,0)</f>
        <v>45161</v>
      </c>
      <c r="L17" s="42">
        <f>VLOOKUP(C17,Machined!C:R,14,0)</f>
        <v>45191</v>
      </c>
      <c r="M17" s="42">
        <f>VLOOKUP(C17,Machined!C:R,15,0)</f>
        <v>45191</v>
      </c>
      <c r="N17" s="43">
        <f>VLOOKUP(C17,Machined!C:R,16,0)</f>
        <v>55092</v>
      </c>
      <c r="O17" s="43" t="e">
        <f t="shared" ca="1" si="0"/>
        <v>#VALUE!</v>
      </c>
      <c r="P17" s="47">
        <f>IFERROR(VLOOKUP(C17,Machined!C:F,3,0),"")</f>
        <v>33.44</v>
      </c>
      <c r="Q17" s="48">
        <f t="shared" si="1"/>
        <v>66.88</v>
      </c>
    </row>
    <row r="18" spans="1:17" s="2" customFormat="1" ht="12.75" customHeight="1">
      <c r="A18" s="127">
        <f t="shared" si="2"/>
        <v>14</v>
      </c>
      <c r="B18" s="21">
        <v>2</v>
      </c>
      <c r="C18" s="108" t="s">
        <v>931</v>
      </c>
      <c r="D18" s="298" t="str">
        <f>VLOOKUP(C18,Machined!C:Q,2,0)</f>
        <v>SPOUT LEAD NUT BLOCK</v>
      </c>
      <c r="E18" s="299"/>
      <c r="F18" s="131" t="str">
        <f>VLOOKUP(C18,Machined!C:R,7,0)</f>
        <v>6061-T6 Alum</v>
      </c>
      <c r="G18" s="131" t="str">
        <f>VLOOKUP(C18,Machined!C:R,10,0)</f>
        <v>XOMETRY</v>
      </c>
      <c r="H18" s="131" t="str">
        <f>VLOOKUP(C18,Machined!C:R,11,0)</f>
        <v xml:space="preserve">  </v>
      </c>
      <c r="I18" s="131"/>
      <c r="J18" s="42">
        <f>VLOOKUP(C18,Machined!C:R,12,0)</f>
        <v>45161</v>
      </c>
      <c r="K18" s="42">
        <f>VLOOKUP(C18,Machined!C:R,13,0)</f>
        <v>45161</v>
      </c>
      <c r="L18" s="42">
        <f>VLOOKUP(C18,Machined!C:R,14,0)</f>
        <v>45181</v>
      </c>
      <c r="M18" s="42">
        <f>VLOOKUP(C18,Machined!C:R,15,0)</f>
        <v>45181</v>
      </c>
      <c r="N18" s="43">
        <f>VLOOKUP(C18,Machined!C:R,16,0)</f>
        <v>55095</v>
      </c>
      <c r="O18" s="43" t="e">
        <f t="shared" ca="1" si="0"/>
        <v>#VALUE!</v>
      </c>
      <c r="P18" s="47">
        <f>IFERROR(VLOOKUP(C18,Machined!C:F,3,0),"")</f>
        <v>57.74</v>
      </c>
      <c r="Q18" s="48">
        <f t="shared" si="1"/>
        <v>115.48</v>
      </c>
    </row>
    <row r="19" spans="1:17" s="2" customFormat="1" ht="12.75" customHeight="1">
      <c r="A19" s="127">
        <f t="shared" si="2"/>
        <v>15</v>
      </c>
      <c r="B19" s="21">
        <v>1</v>
      </c>
      <c r="C19" s="108" t="s">
        <v>932</v>
      </c>
      <c r="D19" s="298" t="str">
        <f>VLOOKUP(C19,Machined!C:Q,2,0)</f>
        <v>MODIFIED IGUS JFRM-282835TR12X3 TRAP LEAD NUT</v>
      </c>
      <c r="E19" s="299"/>
      <c r="F19" s="131" t="str">
        <f>VLOOKUP(C19,Machined!C:R,7,0)</f>
        <v>PURCHASED</v>
      </c>
      <c r="G19" s="131" t="str">
        <f>VLOOKUP(C19,Machined!C:R,10,0)</f>
        <v>IGUS, NULINE</v>
      </c>
      <c r="H19" s="131" t="str">
        <f>VLOOKUP(C19,Machined!C:R,11,0)</f>
        <v xml:space="preserve">  </v>
      </c>
      <c r="I19" s="131"/>
      <c r="J19" s="42">
        <f>VLOOKUP(C19,Machined!C:R,12,0)</f>
        <v>45160</v>
      </c>
      <c r="K19" s="42">
        <f>VLOOKUP(C19,Machined!C:R,13,0)</f>
        <v>45160</v>
      </c>
      <c r="L19" s="42">
        <f>VLOOKUP(C19,Machined!C:R,14,0)</f>
        <v>45166</v>
      </c>
      <c r="M19" s="42">
        <f>VLOOKUP(C19,Machined!C:R,15,0)</f>
        <v>45166</v>
      </c>
      <c r="N19" s="43">
        <f>VLOOKUP(C19,Machined!C:R,16,0)</f>
        <v>55085</v>
      </c>
      <c r="O19" s="43" t="e">
        <f t="shared" ca="1" si="0"/>
        <v>#VALUE!</v>
      </c>
      <c r="P19" s="47">
        <f>IFERROR(VLOOKUP(C19,Machined!C:F,3,0),"")</f>
        <v>23.47</v>
      </c>
      <c r="Q19" s="48">
        <f t="shared" si="1"/>
        <v>23.47</v>
      </c>
    </row>
    <row r="20" spans="1:17" s="2" customFormat="1" ht="12.75" customHeight="1">
      <c r="A20" s="127">
        <f t="shared" si="2"/>
        <v>16</v>
      </c>
      <c r="B20" s="21">
        <v>1</v>
      </c>
      <c r="C20" s="108" t="s">
        <v>933</v>
      </c>
      <c r="D20" s="298" t="str">
        <f>VLOOKUP(C20,Machined!C:Q,2,0)</f>
        <v>MODIFIED MCM 69945K139 
POLYCARBONATE 
ENCLOSURE</v>
      </c>
      <c r="E20" s="299"/>
      <c r="F20" s="131" t="str">
        <f>VLOOKUP(C20,Machined!C:R,7,0)</f>
        <v>PURCHASED</v>
      </c>
      <c r="G20" s="131" t="str">
        <f>VLOOKUP(C20,Machined!C:R,10,0)</f>
        <v>MCM, NULINE</v>
      </c>
      <c r="H20" s="131" t="str">
        <f>VLOOKUP(C20,Machined!C:R,11,0)</f>
        <v xml:space="preserve">  </v>
      </c>
      <c r="I20" s="131"/>
      <c r="J20" s="42">
        <f>VLOOKUP(C20,Machined!C:R,12,0)</f>
        <v>45160</v>
      </c>
      <c r="K20" s="42">
        <f>VLOOKUP(C20,Machined!C:R,13,0)</f>
        <v>45160</v>
      </c>
      <c r="L20" s="42">
        <f>VLOOKUP(C20,Machined!C:R,14,0)</f>
        <v>45161</v>
      </c>
      <c r="M20" s="42">
        <f>VLOOKUP(C20,Machined!C:R,15,0)</f>
        <v>45161</v>
      </c>
      <c r="N20" s="43">
        <f>VLOOKUP(C20,Machined!C:R,16,0)</f>
        <v>55086</v>
      </c>
      <c r="O20" s="43" t="e">
        <f t="shared" ca="1" si="0"/>
        <v>#VALUE!</v>
      </c>
      <c r="P20" s="47">
        <f>IFERROR(VLOOKUP(C20,Machined!C:F,3,0),"")</f>
        <v>52.27</v>
      </c>
      <c r="Q20" s="48">
        <f t="shared" si="1"/>
        <v>52.27</v>
      </c>
    </row>
    <row r="21" spans="1:17" s="2" customFormat="1" ht="12.75" customHeight="1">
      <c r="A21" s="143"/>
      <c r="B21" s="26"/>
      <c r="C21" s="26"/>
      <c r="D21" s="272"/>
      <c r="E21" s="273"/>
      <c r="F21" s="26"/>
      <c r="G21" s="26"/>
      <c r="H21" s="274"/>
      <c r="I21" s="275"/>
      <c r="J21" s="27"/>
      <c r="K21" s="27"/>
      <c r="L21" s="27"/>
      <c r="M21" s="28"/>
      <c r="N21" s="29"/>
      <c r="O21" s="29"/>
      <c r="P21" s="141"/>
      <c r="Q21" s="142"/>
    </row>
    <row r="22" spans="1:17" s="2" customFormat="1" ht="12.75" customHeight="1">
      <c r="A22" s="4">
        <v>301</v>
      </c>
      <c r="B22" s="2">
        <v>4</v>
      </c>
      <c r="C22" s="114" t="s">
        <v>934</v>
      </c>
      <c r="D22" s="268" t="str">
        <f>VLOOKUP(C22,Purchased!A:B,2,0)</f>
        <v>BRL 15mm runner block, flanged</v>
      </c>
      <c r="E22" s="269"/>
      <c r="F22" s="112" t="str">
        <f>VLOOKUP(C22,Purchased!A:Q,9,0)</f>
        <v>BRL</v>
      </c>
      <c r="G22" s="112" t="str">
        <f>VLOOKUP(C22,Purchased!A:Q,10,0)</f>
        <v>AAP</v>
      </c>
      <c r="H22" s="112" t="str">
        <f>VLOOKUP(C22,Purchased!A:Q,12,0)</f>
        <v xml:space="preserve"> </v>
      </c>
      <c r="I22" s="113"/>
      <c r="J22" s="44">
        <f>VLOOKUP(C22,Purchased!A:Q,13,0)</f>
        <v>45093</v>
      </c>
      <c r="K22" s="44">
        <f>VLOOKUP(C22,Purchased!A:Q,14,0)</f>
        <v>45093</v>
      </c>
      <c r="L22" s="44">
        <f>VLOOKUP(C22,Purchased!A:Q,15,0)</f>
        <v>45184</v>
      </c>
      <c r="M22" s="44">
        <f>VLOOKUP(C22,Purchased!A:Q,16,0)</f>
        <v>45184</v>
      </c>
      <c r="N22" s="45">
        <f>VLOOKUP(C22,Purchased!A:Q,17,0)</f>
        <v>54942</v>
      </c>
      <c r="O22" s="45" t="e">
        <f t="shared" ref="O22:O70" ca="1" si="3">B22*$L$2</f>
        <v>#VALUE!</v>
      </c>
      <c r="P22" s="49">
        <f>IFERROR(VLOOKUP(C22,Purchased!A:E,3,FALSE),"")</f>
        <v>147.4357</v>
      </c>
      <c r="Q22" s="50">
        <f t="shared" ref="Q22:Q60" si="4">IFERROR(B22*P22,"")</f>
        <v>589.74279999999999</v>
      </c>
    </row>
    <row r="23" spans="1:17" s="2" customFormat="1" ht="12" customHeight="1">
      <c r="A23" s="4">
        <f t="shared" ref="A23:A41" si="5">A22+1</f>
        <v>302</v>
      </c>
      <c r="B23" s="2">
        <v>1</v>
      </c>
      <c r="C23" s="114" t="s">
        <v>935</v>
      </c>
      <c r="D23" s="268" t="str">
        <f>VLOOKUP(C23,Purchased!A:B,2,0)</f>
        <v>SMC Compact Cylinder, CQ2-Z</v>
      </c>
      <c r="E23" s="269"/>
      <c r="F23" s="112" t="str">
        <f>VLOOKUP(C23,Purchased!A:Q,9,0)</f>
        <v>SMC</v>
      </c>
      <c r="G23" s="112" t="str">
        <f>VLOOKUP(C23,Purchased!A:Q,10,0)</f>
        <v>AAP</v>
      </c>
      <c r="H23" s="112" t="str">
        <f>VLOOKUP(C23,Purchased!A:Q,12,0)</f>
        <v xml:space="preserve"> </v>
      </c>
      <c r="I23" s="113"/>
      <c r="J23" s="44" t="str">
        <f>VLOOKUP(C23,Purchased!A:Q,13,0)</f>
        <v>N/A</v>
      </c>
      <c r="K23" s="44">
        <f>VLOOKUP(C23,Purchased!A:Q,14,0)</f>
        <v>45042</v>
      </c>
      <c r="L23" s="44">
        <f>VLOOKUP(C23,Purchased!A:Q,15,0)</f>
        <v>45098</v>
      </c>
      <c r="M23" s="44">
        <f>VLOOKUP(C23,Purchased!A:Q,16,0)</f>
        <v>45137</v>
      </c>
      <c r="N23" s="45">
        <f>VLOOKUP(C23,Purchased!A:Q,17,0)</f>
        <v>54862</v>
      </c>
      <c r="O23" s="45" t="e">
        <f t="shared" ca="1" si="3"/>
        <v>#VALUE!</v>
      </c>
      <c r="P23" s="49">
        <f>IFERROR(VLOOKUP(C23,Purchased!A:E,3,FALSE),"")</f>
        <v>91.715000000000003</v>
      </c>
      <c r="Q23" s="50">
        <f t="shared" si="4"/>
        <v>91.715000000000003</v>
      </c>
    </row>
    <row r="24" spans="1:17" s="2" customFormat="1" ht="12" customHeight="1">
      <c r="A24" s="4">
        <f t="shared" si="5"/>
        <v>303</v>
      </c>
      <c r="B24" s="2">
        <v>1</v>
      </c>
      <c r="C24" s="114" t="s">
        <v>936</v>
      </c>
      <c r="D24" s="268" t="str">
        <f>VLOOKUP(C24,Purchased!A:B,2,0)</f>
        <v>Nozzle Band Heater 2.25" ID x 1-1/2" Wide, 240V x 500W 12" Type A Leads</v>
      </c>
      <c r="E24" s="269"/>
      <c r="F24" s="112" t="str">
        <f>VLOOKUP(C24,Purchased!A:Q,9,0)</f>
        <v>WATLOW</v>
      </c>
      <c r="G24" s="112" t="str">
        <f>VLOOKUP(C24,Purchased!A:Q,10,0)</f>
        <v>VALIN</v>
      </c>
      <c r="H24" s="112" t="str">
        <f>VLOOKUP(C24,Purchased!A:Q,12,0)</f>
        <v xml:space="preserve"> </v>
      </c>
      <c r="I24" s="113"/>
      <c r="J24" s="44">
        <f>VLOOKUP(C24,Purchased!A:Q,13,0)</f>
        <v>45121</v>
      </c>
      <c r="K24" s="44">
        <f>VLOOKUP(C24,Purchased!A:Q,14,0)</f>
        <v>45126</v>
      </c>
      <c r="L24" s="44">
        <f>VLOOKUP(C24,Purchased!A:Q,15,0)</f>
        <v>45156</v>
      </c>
      <c r="M24" s="44">
        <f>VLOOKUP(C24,Purchased!A:Q,16,0)</f>
        <v>45156</v>
      </c>
      <c r="N24" s="45">
        <f>VLOOKUP(C24,Purchased!A:Q,17,0)</f>
        <v>54998</v>
      </c>
      <c r="O24" s="45" t="e">
        <f t="shared" ca="1" si="3"/>
        <v>#VALUE!</v>
      </c>
      <c r="P24" s="49">
        <f>IFERROR(VLOOKUP(C24,Purchased!A:E,3,FALSE),"")</f>
        <v>64.400000000000006</v>
      </c>
      <c r="Q24" s="50">
        <f t="shared" si="4"/>
        <v>64.400000000000006</v>
      </c>
    </row>
    <row r="25" spans="1:17" s="2" customFormat="1" ht="12" customHeight="1">
      <c r="A25" s="4">
        <f t="shared" si="5"/>
        <v>304</v>
      </c>
      <c r="B25" s="2">
        <v>1</v>
      </c>
      <c r="C25" s="114" t="s">
        <v>937</v>
      </c>
      <c r="D25" s="268" t="str">
        <f>VLOOKUP(C25,Purchased!A:B,2,0)</f>
        <v>WATLOW THERMAL COUPLE JACK</v>
      </c>
      <c r="E25" s="269"/>
      <c r="F25" s="112" t="str">
        <f>VLOOKUP(C25,Purchased!A:Q,9,0)</f>
        <v>WATLOW</v>
      </c>
      <c r="G25" s="112" t="str">
        <f>VLOOKUP(C25,Purchased!A:Q,10,0)</f>
        <v>VALIN</v>
      </c>
      <c r="H25" s="112" t="str">
        <f>VLOOKUP(C25,Purchased!A:Q,12,0)</f>
        <v xml:space="preserve">  </v>
      </c>
      <c r="I25" s="113"/>
      <c r="J25" s="44">
        <f>VLOOKUP(C25,Purchased!A:Q,13,0)</f>
        <v>45121</v>
      </c>
      <c r="K25" s="44">
        <f>VLOOKUP(C25,Purchased!A:Q,14,0)</f>
        <v>45126</v>
      </c>
      <c r="L25" s="44">
        <f>VLOOKUP(C25,Purchased!A:Q,15,0)</f>
        <v>45156</v>
      </c>
      <c r="M25" s="44">
        <f>VLOOKUP(C25,Purchased!A:Q,16,0)</f>
        <v>45156</v>
      </c>
      <c r="N25" s="45">
        <f>VLOOKUP(C25,Purchased!A:Q,17,0)</f>
        <v>54998</v>
      </c>
      <c r="O25" s="45" t="e">
        <f t="shared" ca="1" si="3"/>
        <v>#VALUE!</v>
      </c>
      <c r="P25" s="49">
        <f>IFERROR(VLOOKUP(C25,Purchased!A:E,3,FALSE),"")</f>
        <v>23.76</v>
      </c>
      <c r="Q25" s="50">
        <f t="shared" si="4"/>
        <v>23.76</v>
      </c>
    </row>
    <row r="26" spans="1:17" s="2" customFormat="1" ht="12" customHeight="1">
      <c r="A26" s="4">
        <f t="shared" si="5"/>
        <v>305</v>
      </c>
      <c r="B26" s="2">
        <v>1</v>
      </c>
      <c r="C26" s="114" t="s">
        <v>938</v>
      </c>
      <c r="D26" s="268" t="str">
        <f>VLOOKUP(C26,Purchased!A:B,2,0)</f>
        <v>WATLOW THERMAL COUPLE</v>
      </c>
      <c r="E26" s="269"/>
      <c r="F26" s="112" t="str">
        <f>VLOOKUP(C26,Purchased!A:Q,9,0)</f>
        <v>WATLOW</v>
      </c>
      <c r="G26" s="112" t="str">
        <f>VLOOKUP(C26,Purchased!A:Q,10,0)</f>
        <v>VALIN</v>
      </c>
      <c r="H26" s="112" t="str">
        <f>VLOOKUP(C26,Purchased!A:Q,12,0)</f>
        <v xml:space="preserve"> </v>
      </c>
      <c r="I26" s="113"/>
      <c r="J26" s="44">
        <f>VLOOKUP(C26,Purchased!A:Q,13,0)</f>
        <v>45121</v>
      </c>
      <c r="K26" s="44">
        <f>VLOOKUP(C26,Purchased!A:Q,14,0)</f>
        <v>45126</v>
      </c>
      <c r="L26" s="44">
        <f>VLOOKUP(C26,Purchased!A:Q,15,0)</f>
        <v>45156</v>
      </c>
      <c r="M26" s="44">
        <f>VLOOKUP(C26,Purchased!A:Q,16,0)</f>
        <v>45183</v>
      </c>
      <c r="N26" s="45">
        <f>VLOOKUP(C26,Purchased!A:Q,17,0)</f>
        <v>54998</v>
      </c>
      <c r="O26" s="45" t="e">
        <f t="shared" ca="1" si="3"/>
        <v>#VALUE!</v>
      </c>
      <c r="P26" s="49">
        <f>IFERROR(VLOOKUP(C26,Purchased!A:E,3,FALSE),"")</f>
        <v>48.45</v>
      </c>
      <c r="Q26" s="50">
        <f t="shared" si="4"/>
        <v>48.45</v>
      </c>
    </row>
    <row r="27" spans="1:17" s="2" customFormat="1" ht="12" customHeight="1">
      <c r="A27" s="4">
        <f t="shared" si="5"/>
        <v>306</v>
      </c>
      <c r="B27" s="2">
        <v>1</v>
      </c>
      <c r="C27" s="114" t="s">
        <v>939</v>
      </c>
      <c r="D27" s="268" t="str">
        <f>VLOOKUP(C27,Purchased!A:B,2,0)</f>
        <v>High-Polish Quick-Clamp Sanitary Tube Fitting 304 Stainless Steel Clamp with Wing Nut for 2" Tube OD</v>
      </c>
      <c r="E27" s="269"/>
      <c r="F27" s="112" t="str">
        <f>VLOOKUP(C27,Purchased!A:Q,9,0)</f>
        <v>MCM</v>
      </c>
      <c r="G27" s="112" t="str">
        <f>VLOOKUP(C27,Purchased!A:Q,10,0)</f>
        <v>MCM</v>
      </c>
      <c r="H27" s="112" t="str">
        <f>VLOOKUP(C27,Purchased!A:Q,12,0)</f>
        <v xml:space="preserve"> </v>
      </c>
      <c r="I27" s="113"/>
      <c r="J27" s="44" t="str">
        <f>VLOOKUP(C27,Purchased!A:Q,13,0)</f>
        <v>N/A</v>
      </c>
      <c r="K27" s="44">
        <f>VLOOKUP(C27,Purchased!A:Q,14,0)</f>
        <v>45162</v>
      </c>
      <c r="L27" s="44">
        <f>VLOOKUP(C27,Purchased!A:Q,15,0)</f>
        <v>45184</v>
      </c>
      <c r="M27" s="44">
        <f>VLOOKUP(C27,Purchased!A:Q,16,0)</f>
        <v>45166</v>
      </c>
      <c r="N27" s="45">
        <f>VLOOKUP(C27,Purchased!A:Q,17,0)</f>
        <v>55087</v>
      </c>
      <c r="O27" s="45" t="e">
        <f t="shared" ca="1" si="3"/>
        <v>#VALUE!</v>
      </c>
      <c r="P27" s="49">
        <f>IFERROR(VLOOKUP(C27,Purchased!A:E,3,FALSE),"")</f>
        <v>13.99</v>
      </c>
      <c r="Q27" s="50">
        <f t="shared" si="4"/>
        <v>13.99</v>
      </c>
    </row>
    <row r="28" spans="1:17" s="2" customFormat="1" ht="12" customHeight="1">
      <c r="A28" s="4">
        <f t="shared" si="5"/>
        <v>307</v>
      </c>
      <c r="B28" s="2">
        <v>1</v>
      </c>
      <c r="C28" s="114" t="s">
        <v>940</v>
      </c>
      <c r="D28" s="268" t="str">
        <f>VLOOKUP(C28,Purchased!A:B,2,0)</f>
        <v>Mil. Spec. Signal/Power Connector Plug, Internal Thread, 2 Poles, MS3106F10SL-4P</v>
      </c>
      <c r="E28" s="269"/>
      <c r="F28" s="112" t="str">
        <f>VLOOKUP(C28,Purchased!A:Q,9,0)</f>
        <v>MCM</v>
      </c>
      <c r="G28" s="112" t="str">
        <f>VLOOKUP(C28,Purchased!A:Q,10,0)</f>
        <v>MCM</v>
      </c>
      <c r="H28" s="112" t="str">
        <f>VLOOKUP(C28,Purchased!A:Q,12,0)</f>
        <v xml:space="preserve"> </v>
      </c>
      <c r="I28" s="113"/>
      <c r="J28" s="44" t="str">
        <f>VLOOKUP(C28,Purchased!A:Q,13,0)</f>
        <v>N/A</v>
      </c>
      <c r="K28" s="44">
        <f>VLOOKUP(C28,Purchased!A:Q,14,0)</f>
        <v>45162</v>
      </c>
      <c r="L28" s="44">
        <f>VLOOKUP(C28,Purchased!A:Q,15,0)</f>
        <v>45184</v>
      </c>
      <c r="M28" s="44">
        <f>VLOOKUP(C28,Purchased!A:Q,16,0)</f>
        <v>45166</v>
      </c>
      <c r="N28" s="45">
        <f>VLOOKUP(C28,Purchased!A:Q,17,0)</f>
        <v>55087</v>
      </c>
      <c r="O28" s="45" t="e">
        <f t="shared" ca="1" si="3"/>
        <v>#VALUE!</v>
      </c>
      <c r="P28" s="49">
        <f>IFERROR(VLOOKUP(C28,Purchased!A:E,3,FALSE),"")</f>
        <v>51.44</v>
      </c>
      <c r="Q28" s="50">
        <f t="shared" si="4"/>
        <v>51.44</v>
      </c>
    </row>
    <row r="29" spans="1:17" s="2" customFormat="1" ht="12" customHeight="1">
      <c r="A29" s="4">
        <f t="shared" si="5"/>
        <v>308</v>
      </c>
      <c r="B29" s="2">
        <v>1</v>
      </c>
      <c r="C29" s="114" t="s">
        <v>941</v>
      </c>
      <c r="D29" s="268" t="str">
        <f>VLOOKUP(C29,Purchased!A:B,2,0)</f>
        <v>Mil. Spec. Signal/Power Connector Receptacle, External Thread, 2 Poles, MS3102R10SL-4S</v>
      </c>
      <c r="E29" s="269"/>
      <c r="F29" s="112" t="str">
        <f>VLOOKUP(C29,Purchased!A:Q,9,0)</f>
        <v>MCM</v>
      </c>
      <c r="G29" s="112" t="str">
        <f>VLOOKUP(C29,Purchased!A:Q,10,0)</f>
        <v>MCM</v>
      </c>
      <c r="H29" s="112" t="str">
        <f>VLOOKUP(C29,Purchased!A:Q,12,0)</f>
        <v xml:space="preserve"> </v>
      </c>
      <c r="I29" s="113"/>
      <c r="J29" s="44" t="str">
        <f>VLOOKUP(C29,Purchased!A:Q,13,0)</f>
        <v>N/A</v>
      </c>
      <c r="K29" s="44">
        <f>VLOOKUP(C29,Purchased!A:Q,14,0)</f>
        <v>45162</v>
      </c>
      <c r="L29" s="44">
        <f>VLOOKUP(C29,Purchased!A:Q,15,0)</f>
        <v>45184</v>
      </c>
      <c r="M29" s="44">
        <f>VLOOKUP(C29,Purchased!A:Q,16,0)</f>
        <v>45166</v>
      </c>
      <c r="N29" s="45">
        <f>VLOOKUP(C29,Purchased!A:Q,17,0)</f>
        <v>55087</v>
      </c>
      <c r="O29" s="45" t="e">
        <f t="shared" ca="1" si="3"/>
        <v>#VALUE!</v>
      </c>
      <c r="P29" s="49">
        <f>IFERROR(VLOOKUP(C29,Purchased!A:E,3,FALSE),"")</f>
        <v>16.32</v>
      </c>
      <c r="Q29" s="50">
        <f t="shared" si="4"/>
        <v>16.32</v>
      </c>
    </row>
    <row r="30" spans="1:17" s="2" customFormat="1" ht="12" customHeight="1">
      <c r="A30" s="4">
        <f t="shared" si="5"/>
        <v>309</v>
      </c>
      <c r="B30" s="2">
        <v>4</v>
      </c>
      <c r="C30" s="114" t="s">
        <v>942</v>
      </c>
      <c r="D30" s="268" t="str">
        <f>VLOOKUP(C30,Purchased!A:B,2,0)</f>
        <v>Aluminum Unthreaded Spacer 4.500 mm OD, 7 mm Long, for M3 Screw Size</v>
      </c>
      <c r="E30" s="269"/>
      <c r="F30" s="112" t="str">
        <f>VLOOKUP(C30,Purchased!A:Q,9,0)</f>
        <v>MCM</v>
      </c>
      <c r="G30" s="112" t="str">
        <f>VLOOKUP(C30,Purchased!A:Q,10,0)</f>
        <v>MCM</v>
      </c>
      <c r="H30" s="112" t="str">
        <f>VLOOKUP(C30,Purchased!A:Q,12,0)</f>
        <v xml:space="preserve"> </v>
      </c>
      <c r="I30" s="113"/>
      <c r="J30" s="44" t="str">
        <f>VLOOKUP(C30,Purchased!A:Q,13,0)</f>
        <v>N/A</v>
      </c>
      <c r="K30" s="44">
        <f>VLOOKUP(C30,Purchased!A:Q,14,0)</f>
        <v>45162</v>
      </c>
      <c r="L30" s="44">
        <f>VLOOKUP(C30,Purchased!A:Q,15,0)</f>
        <v>45184</v>
      </c>
      <c r="M30" s="44">
        <f>VLOOKUP(C30,Purchased!A:Q,16,0)</f>
        <v>45163</v>
      </c>
      <c r="N30" s="45">
        <f>VLOOKUP(C30,Purchased!A:Q,17,0)</f>
        <v>55089</v>
      </c>
      <c r="O30" s="45" t="e">
        <f t="shared" ca="1" si="3"/>
        <v>#VALUE!</v>
      </c>
      <c r="P30" s="49">
        <f>IFERROR(VLOOKUP(C30,Purchased!A:E,3,FALSE),"")</f>
        <v>1.37</v>
      </c>
      <c r="Q30" s="50">
        <f t="shared" si="4"/>
        <v>5.48</v>
      </c>
    </row>
    <row r="31" spans="1:17" s="2" customFormat="1" ht="12" customHeight="1">
      <c r="A31" s="4">
        <f t="shared" si="5"/>
        <v>310</v>
      </c>
      <c r="B31" s="2">
        <v>4</v>
      </c>
      <c r="C31" s="114" t="s">
        <v>943</v>
      </c>
      <c r="D31" s="268" t="str">
        <f>VLOOKUP(C31,Purchased!A:B,2,0)</f>
        <v>Alloy Steel Cup-Point Set Screw M6 x 1 mm Thread, 20 mm Long, 50pk</v>
      </c>
      <c r="E31" s="269"/>
      <c r="F31" s="112" t="str">
        <f>VLOOKUP(C31,Purchased!A:Q,9,0)</f>
        <v>MCM</v>
      </c>
      <c r="G31" s="112" t="str">
        <f>VLOOKUP(C31,Purchased!A:Q,10,0)</f>
        <v>MCM</v>
      </c>
      <c r="H31" s="112" t="str">
        <f>VLOOKUP(C31,Purchased!A:Q,12,0)</f>
        <v xml:space="preserve"> </v>
      </c>
      <c r="I31" s="113"/>
      <c r="J31" s="44" t="str">
        <f>VLOOKUP(C31,Purchased!A:Q,13,0)</f>
        <v>N/A</v>
      </c>
      <c r="K31" s="44">
        <f>VLOOKUP(C31,Purchased!A:Q,14,0)</f>
        <v>45162</v>
      </c>
      <c r="L31" s="44">
        <f>VLOOKUP(C31,Purchased!A:Q,15,0)</f>
        <v>45184</v>
      </c>
      <c r="M31" s="44">
        <f>VLOOKUP(C31,Purchased!A:Q,16,0)</f>
        <v>45163</v>
      </c>
      <c r="N31" s="45">
        <f>VLOOKUP(C31,Purchased!A:Q,17,0)</f>
        <v>55088</v>
      </c>
      <c r="O31" s="45" t="e">
        <f t="shared" ca="1" si="3"/>
        <v>#VALUE!</v>
      </c>
      <c r="P31" s="49">
        <f>IFERROR(VLOOKUP(C31,Purchased!A:E,3,FALSE),"")</f>
        <v>10.58</v>
      </c>
      <c r="Q31" s="50">
        <f t="shared" si="4"/>
        <v>42.32</v>
      </c>
    </row>
    <row r="32" spans="1:17" s="2" customFormat="1" ht="12" customHeight="1">
      <c r="A32" s="4">
        <f t="shared" si="5"/>
        <v>311</v>
      </c>
      <c r="B32" s="2">
        <v>4</v>
      </c>
      <c r="C32" s="114" t="s">
        <v>944</v>
      </c>
      <c r="D32" s="268" t="str">
        <f>VLOOKUP(C32,Purchased!A:B,2,0)</f>
        <v>18-8 Stainless Steel Precision Shoulder Screw 4 mm Shoulder Diameter, 2 mm Shoulder Length, M3 x 0.5 mm Thread</v>
      </c>
      <c r="E32" s="269"/>
      <c r="F32" s="112" t="str">
        <f>VLOOKUP(C32,Purchased!A:Q,9,0)</f>
        <v>MCM</v>
      </c>
      <c r="G32" s="112" t="str">
        <f>VLOOKUP(C32,Purchased!A:Q,10,0)</f>
        <v>MCM</v>
      </c>
      <c r="H32" s="112" t="str">
        <f>VLOOKUP(C32,Purchased!A:Q,12,0)</f>
        <v xml:space="preserve"> </v>
      </c>
      <c r="I32" s="113"/>
      <c r="J32" s="44" t="str">
        <f>VLOOKUP(C32,Purchased!A:Q,13,0)</f>
        <v>N/A</v>
      </c>
      <c r="K32" s="44">
        <f>VLOOKUP(C32,Purchased!A:Q,14,0)</f>
        <v>45162</v>
      </c>
      <c r="L32" s="44">
        <f>VLOOKUP(C32,Purchased!A:Q,15,0)</f>
        <v>45184</v>
      </c>
      <c r="M32" s="44">
        <f>VLOOKUP(C32,Purchased!A:Q,16,0)</f>
        <v>45163</v>
      </c>
      <c r="N32" s="45">
        <f>VLOOKUP(C32,Purchased!A:Q,17,0)</f>
        <v>55088</v>
      </c>
      <c r="O32" s="45" t="e">
        <f t="shared" ca="1" si="3"/>
        <v>#VALUE!</v>
      </c>
      <c r="P32" s="49">
        <f>IFERROR(VLOOKUP(C32,Purchased!A:E,3,FALSE),"")</f>
        <v>5.32</v>
      </c>
      <c r="Q32" s="50">
        <f t="shared" si="4"/>
        <v>21.28</v>
      </c>
    </row>
    <row r="33" spans="1:17" s="2" customFormat="1" ht="12" customHeight="1">
      <c r="A33" s="4">
        <f t="shared" si="5"/>
        <v>312</v>
      </c>
      <c r="B33" s="2">
        <v>4</v>
      </c>
      <c r="C33" s="114" t="s">
        <v>945</v>
      </c>
      <c r="D33" s="268" t="str">
        <f>VLOOKUP(C33,Purchased!A:B,2,0)</f>
        <v>18-8 Stainless Steel Single-Wave Washer for M4 Screw Size, 4.3 mm ID, 9 mm OD, 100pk</v>
      </c>
      <c r="E33" s="269"/>
      <c r="F33" s="112" t="str">
        <f>VLOOKUP(C33,Purchased!A:Q,9,0)</f>
        <v>MCM</v>
      </c>
      <c r="G33" s="112" t="str">
        <f>VLOOKUP(C33,Purchased!A:Q,10,0)</f>
        <v>MCM</v>
      </c>
      <c r="H33" s="112" t="str">
        <f>VLOOKUP(C33,Purchased!A:Q,12,0)</f>
        <v xml:space="preserve"> </v>
      </c>
      <c r="I33" s="113"/>
      <c r="J33" s="44" t="str">
        <f>VLOOKUP(C33,Purchased!A:Q,13,0)</f>
        <v>N/A</v>
      </c>
      <c r="K33" s="44">
        <f>VLOOKUP(C33,Purchased!A:Q,14,0)</f>
        <v>45162</v>
      </c>
      <c r="L33" s="44">
        <f>VLOOKUP(C33,Purchased!A:Q,15,0)</f>
        <v>45184</v>
      </c>
      <c r="M33" s="44">
        <f>VLOOKUP(C33,Purchased!A:Q,16,0)</f>
        <v>45163</v>
      </c>
      <c r="N33" s="45">
        <f>VLOOKUP(C33,Purchased!A:Q,17,0)</f>
        <v>55089</v>
      </c>
      <c r="O33" s="45" t="e">
        <f t="shared" ca="1" si="3"/>
        <v>#VALUE!</v>
      </c>
      <c r="P33" s="49">
        <f>IFERROR(VLOOKUP(C33,Purchased!A:E,3,FALSE),"")</f>
        <v>7.75</v>
      </c>
      <c r="Q33" s="50">
        <f t="shared" si="4"/>
        <v>31</v>
      </c>
    </row>
    <row r="34" spans="1:17" s="2" customFormat="1" ht="12" customHeight="1">
      <c r="A34" s="4">
        <f t="shared" si="5"/>
        <v>313</v>
      </c>
      <c r="B34" s="2">
        <v>4</v>
      </c>
      <c r="C34" s="114" t="s">
        <v>946</v>
      </c>
      <c r="D34" s="268" t="str">
        <f>VLOOKUP(C34,Purchased!A:B,2,0)</f>
        <v>Encased Neodymium Magnet with Threaded Stud 5 mm Thick, 10 mm OD</v>
      </c>
      <c r="E34" s="269"/>
      <c r="F34" s="112" t="str">
        <f>VLOOKUP(C34,Purchased!A:Q,9,0)</f>
        <v>MCM</v>
      </c>
      <c r="G34" s="112" t="str">
        <f>VLOOKUP(C34,Purchased!A:Q,10,0)</f>
        <v>MCM</v>
      </c>
      <c r="H34" s="112" t="str">
        <f>VLOOKUP(C34,Purchased!A:Q,12,0)</f>
        <v xml:space="preserve"> </v>
      </c>
      <c r="I34" s="113"/>
      <c r="J34" s="44" t="str">
        <f>VLOOKUP(C34,Purchased!A:Q,13,0)</f>
        <v>N/A</v>
      </c>
      <c r="K34" s="44">
        <f>VLOOKUP(C34,Purchased!A:Q,14,0)</f>
        <v>45162</v>
      </c>
      <c r="L34" s="44">
        <f>VLOOKUP(C34,Purchased!A:Q,15,0)</f>
        <v>45184</v>
      </c>
      <c r="M34" s="44">
        <f>VLOOKUP(C34,Purchased!A:Q,16,0)</f>
        <v>45166</v>
      </c>
      <c r="N34" s="45">
        <f>VLOOKUP(C34,Purchased!A:Q,17,0)</f>
        <v>55087</v>
      </c>
      <c r="O34" s="45" t="e">
        <f t="shared" ca="1" si="3"/>
        <v>#VALUE!</v>
      </c>
      <c r="P34" s="49">
        <f>IFERROR(VLOOKUP(C34,Purchased!A:E,3,FALSE),"")</f>
        <v>7.57</v>
      </c>
      <c r="Q34" s="50">
        <f t="shared" si="4"/>
        <v>30.28</v>
      </c>
    </row>
    <row r="35" spans="1:17" s="2" customFormat="1" ht="12" customHeight="1">
      <c r="A35" s="4">
        <f t="shared" si="5"/>
        <v>314</v>
      </c>
      <c r="B35" s="2">
        <v>2</v>
      </c>
      <c r="C35" s="114" t="s">
        <v>947</v>
      </c>
      <c r="D35" s="268" t="str">
        <f>VLOOKUP(C35,Purchased!A:B,2,0)</f>
        <v>Fixed Alignment Linear Ball Bearing Steel, for 12 mm Shaft Diameter, 30 mm Overall Length</v>
      </c>
      <c r="E35" s="269"/>
      <c r="F35" s="112" t="str">
        <f>VLOOKUP(C35,Purchased!A:Q,9,0)</f>
        <v>MOTION</v>
      </c>
      <c r="G35" s="112" t="str">
        <f>VLOOKUP(C35,Purchased!A:Q,10,0)</f>
        <v>MOTION</v>
      </c>
      <c r="H35" s="112" t="str">
        <f>VLOOKUP(C35,Purchased!A:Q,12,0)</f>
        <v>MCM=3766N98</v>
      </c>
      <c r="I35" s="113"/>
      <c r="J35" s="44" t="str">
        <f>VLOOKUP(C35,Purchased!A:Q,13,0)</f>
        <v>N/A</v>
      </c>
      <c r="K35" s="44">
        <f>VLOOKUP(C35,Purchased!A:Q,14,0)</f>
        <v>45161</v>
      </c>
      <c r="L35" s="44">
        <f>VLOOKUP(C35,Purchased!A:Q,15,0)</f>
        <v>45191</v>
      </c>
      <c r="M35" s="44">
        <f>VLOOKUP(C35,Purchased!A:Q,16,0)</f>
        <v>45191</v>
      </c>
      <c r="N35" s="45">
        <f>VLOOKUP(C35,Purchased!A:Q,17,0)</f>
        <v>55079</v>
      </c>
      <c r="O35" s="45" t="e">
        <f t="shared" ca="1" si="3"/>
        <v>#VALUE!</v>
      </c>
      <c r="P35" s="49">
        <f>IFERROR(VLOOKUP(C35,Purchased!A:E,3,FALSE),"")</f>
        <v>20.29</v>
      </c>
      <c r="Q35" s="50">
        <f t="shared" si="4"/>
        <v>40.58</v>
      </c>
    </row>
    <row r="36" spans="1:17" s="2" customFormat="1" ht="12" customHeight="1">
      <c r="A36" s="4">
        <f t="shared" si="5"/>
        <v>315</v>
      </c>
      <c r="B36" s="2">
        <v>2</v>
      </c>
      <c r="C36" s="114" t="s">
        <v>948</v>
      </c>
      <c r="D36" s="268" t="str">
        <f>VLOOKUP(C36,Purchased!A:B,2,0)</f>
        <v>Flange-Mounted Shaft Support for 12 mm Shaft Diameter, 1060 Aluminum</v>
      </c>
      <c r="E36" s="269"/>
      <c r="F36" s="112" t="str">
        <f>VLOOKUP(C36,Purchased!A:Q,9,0)</f>
        <v>MCM</v>
      </c>
      <c r="G36" s="112" t="str">
        <f>VLOOKUP(C36,Purchased!A:Q,10,0)</f>
        <v>MCM</v>
      </c>
      <c r="H36" s="112" t="str">
        <f>VLOOKUP(C36,Purchased!A:Q,12,0)</f>
        <v xml:space="preserve"> </v>
      </c>
      <c r="I36" s="113"/>
      <c r="J36" s="44" t="str">
        <f>VLOOKUP(C36,Purchased!A:Q,13,0)</f>
        <v>N/A</v>
      </c>
      <c r="K36" s="44">
        <f>VLOOKUP(C36,Purchased!A:Q,14,0)</f>
        <v>45162</v>
      </c>
      <c r="L36" s="44">
        <f>VLOOKUP(C36,Purchased!A:Q,15,0)</f>
        <v>45184</v>
      </c>
      <c r="M36" s="44">
        <f>VLOOKUP(C36,Purchased!A:Q,16,0)</f>
        <v>45166</v>
      </c>
      <c r="N36" s="45">
        <f>VLOOKUP(C36,Purchased!A:Q,17,0)</f>
        <v>55087</v>
      </c>
      <c r="O36" s="45" t="e">
        <f t="shared" ca="1" si="3"/>
        <v>#VALUE!</v>
      </c>
      <c r="P36" s="49">
        <f>IFERROR(VLOOKUP(C36,Purchased!A:E,3,FALSE),"")</f>
        <v>20.420000000000002</v>
      </c>
      <c r="Q36" s="50">
        <f t="shared" si="4"/>
        <v>40.840000000000003</v>
      </c>
    </row>
    <row r="37" spans="1:17" s="2" customFormat="1" ht="12" customHeight="1">
      <c r="A37" s="4">
        <f t="shared" si="5"/>
        <v>316</v>
      </c>
      <c r="B37" s="2">
        <v>4</v>
      </c>
      <c r="C37" s="114" t="s">
        <v>949</v>
      </c>
      <c r="D37" s="268" t="str">
        <f>VLOOKUP(C37,Purchased!A:B,2,0)</f>
        <v>External Retaining Ring for 21 mm OD, Zinc-Chromate-Plated Spring Steel, 25pk</v>
      </c>
      <c r="E37" s="269"/>
      <c r="F37" s="112" t="str">
        <f>VLOOKUP(C37,Purchased!A:Q,9,0)</f>
        <v>MCM</v>
      </c>
      <c r="G37" s="112" t="str">
        <f>VLOOKUP(C37,Purchased!A:Q,10,0)</f>
        <v>MCM</v>
      </c>
      <c r="H37" s="112" t="str">
        <f>VLOOKUP(C37,Purchased!A:Q,12,0)</f>
        <v xml:space="preserve"> </v>
      </c>
      <c r="I37" s="113"/>
      <c r="J37" s="44" t="str">
        <f>VLOOKUP(C37,Purchased!A:Q,13,0)</f>
        <v>N/A</v>
      </c>
      <c r="K37" s="44">
        <f>VLOOKUP(C37,Purchased!A:Q,14,0)</f>
        <v>45162</v>
      </c>
      <c r="L37" s="44">
        <f>VLOOKUP(C37,Purchased!A:Q,15,0)</f>
        <v>45184</v>
      </c>
      <c r="M37" s="44">
        <f>VLOOKUP(C37,Purchased!A:Q,16,0)</f>
        <v>45163</v>
      </c>
      <c r="N37" s="45">
        <f>VLOOKUP(C37,Purchased!A:Q,17,0)</f>
        <v>55088</v>
      </c>
      <c r="O37" s="45" t="e">
        <f t="shared" ca="1" si="3"/>
        <v>#VALUE!</v>
      </c>
      <c r="P37" s="49">
        <f>IFERROR(VLOOKUP(C37,Purchased!A:E,3,FALSE),"")</f>
        <v>8.69</v>
      </c>
      <c r="Q37" s="50">
        <f t="shared" si="4"/>
        <v>34.76</v>
      </c>
    </row>
    <row r="38" spans="1:17" s="2" customFormat="1" ht="12" customHeight="1">
      <c r="A38" s="4">
        <f t="shared" si="5"/>
        <v>317</v>
      </c>
      <c r="B38" s="2">
        <v>2</v>
      </c>
      <c r="C38" s="109" t="s">
        <v>950</v>
      </c>
      <c r="D38" s="268" t="str">
        <f>VLOOKUP(C38,Purchased!A:B,2,0)</f>
        <v>Linear Motion Shaft 1566 Carbon Steel, 12 mm Diameter, 250 mm Long</v>
      </c>
      <c r="E38" s="269"/>
      <c r="F38" s="112" t="str">
        <f>VLOOKUP(C38,Purchased!A:Q,9,0)</f>
        <v>MCM</v>
      </c>
      <c r="G38" s="112" t="str">
        <f>VLOOKUP(C38,Purchased!A:Q,10,0)</f>
        <v>MCM</v>
      </c>
      <c r="H38" s="112" t="str">
        <f>VLOOKUP(C38,Purchased!A:Q,12,0)</f>
        <v xml:space="preserve"> </v>
      </c>
      <c r="I38" s="113"/>
      <c r="J38" s="44" t="str">
        <f>VLOOKUP(C38,Purchased!A:Q,13,0)</f>
        <v>N/A</v>
      </c>
      <c r="K38" s="44">
        <f>VLOOKUP(C38,Purchased!A:Q,14,0)</f>
        <v>45162</v>
      </c>
      <c r="L38" s="44">
        <f>VLOOKUP(C38,Purchased!A:Q,15,0)</f>
        <v>45184</v>
      </c>
      <c r="M38" s="44">
        <f>VLOOKUP(C38,Purchased!A:Q,16,0)</f>
        <v>45166</v>
      </c>
      <c r="N38" s="45">
        <f>VLOOKUP(C38,Purchased!A:Q,17,0)</f>
        <v>55087</v>
      </c>
      <c r="O38" s="45" t="e">
        <f t="shared" ca="1" si="3"/>
        <v>#VALUE!</v>
      </c>
      <c r="P38" s="49">
        <f>IFERROR(VLOOKUP(C38,Purchased!A:E,3,FALSE),"")</f>
        <v>9.17</v>
      </c>
      <c r="Q38" s="50">
        <f t="shared" si="4"/>
        <v>18.34</v>
      </c>
    </row>
    <row r="39" spans="1:17" s="2" customFormat="1" ht="12" customHeight="1">
      <c r="A39" s="4">
        <f t="shared" si="5"/>
        <v>318</v>
      </c>
      <c r="B39" s="2">
        <v>1</v>
      </c>
      <c r="C39" s="109" t="s">
        <v>951</v>
      </c>
      <c r="D39" s="268" t="str">
        <f>VLOOKUP(C39,Purchased!A:B,2,0)</f>
        <v>Zinc-Plated Steel Ring-Grip Quick-Release Pin 1/4" Diameter, 2-5/16" Usable Length</v>
      </c>
      <c r="E39" s="269"/>
      <c r="F39" s="112" t="str">
        <f>VLOOKUP(C39,Purchased!A:Q,9,0)</f>
        <v>MCM</v>
      </c>
      <c r="G39" s="112" t="str">
        <f>VLOOKUP(C39,Purchased!A:Q,10,0)</f>
        <v>MCM</v>
      </c>
      <c r="H39" s="112" t="str">
        <f>VLOOKUP(C39,Purchased!A:Q,12,0)</f>
        <v xml:space="preserve"> </v>
      </c>
      <c r="I39" s="113"/>
      <c r="J39" s="44" t="str">
        <f>VLOOKUP(C39,Purchased!A:Q,13,0)</f>
        <v>N/A</v>
      </c>
      <c r="K39" s="44">
        <f>VLOOKUP(C39,Purchased!A:Q,14,0)</f>
        <v>45162</v>
      </c>
      <c r="L39" s="44">
        <f>VLOOKUP(C39,Purchased!A:Q,15,0)</f>
        <v>45184</v>
      </c>
      <c r="M39" s="44">
        <f>VLOOKUP(C39,Purchased!A:Q,16,0)</f>
        <v>45163</v>
      </c>
      <c r="N39" s="45">
        <f>VLOOKUP(C39,Purchased!A:Q,17,0)</f>
        <v>55089</v>
      </c>
      <c r="O39" s="45" t="e">
        <f t="shared" ca="1" si="3"/>
        <v>#VALUE!</v>
      </c>
      <c r="P39" s="49">
        <f>IFERROR(VLOOKUP(C39,Purchased!A:E,3,FALSE),"")</f>
        <v>2.09</v>
      </c>
      <c r="Q39" s="50">
        <f t="shared" si="4"/>
        <v>2.09</v>
      </c>
    </row>
    <row r="40" spans="1:17" s="2" customFormat="1" ht="12" customHeight="1">
      <c r="A40" s="4">
        <f t="shared" si="5"/>
        <v>319</v>
      </c>
      <c r="B40" s="2">
        <v>1</v>
      </c>
      <c r="C40" s="109" t="s">
        <v>952</v>
      </c>
      <c r="D40" s="268" t="str">
        <f>VLOOKUP(C40,Purchased!A:B,2,0)</f>
        <v>Continuous-Flex Plastic Conduit Fitting Straight, for 0.84" OD Snap-in Female x 1/2 NPT Male</v>
      </c>
      <c r="E40" s="269"/>
      <c r="F40" s="112" t="str">
        <f>VLOOKUP(C40,Purchased!A:Q,9,0)</f>
        <v>MCM</v>
      </c>
      <c r="G40" s="112" t="str">
        <f>VLOOKUP(C40,Purchased!A:Q,10,0)</f>
        <v>MCM</v>
      </c>
      <c r="H40" s="112" t="str">
        <f>VLOOKUP(C40,Purchased!A:Q,12,0)</f>
        <v xml:space="preserve"> </v>
      </c>
      <c r="I40" s="113"/>
      <c r="J40" s="44" t="str">
        <f>VLOOKUP(C40,Purchased!A:Q,13,0)</f>
        <v>N/A</v>
      </c>
      <c r="K40" s="44">
        <f>VLOOKUP(C40,Purchased!A:Q,14,0)</f>
        <v>45162</v>
      </c>
      <c r="L40" s="44">
        <f>VLOOKUP(C40,Purchased!A:Q,15,0)</f>
        <v>45184</v>
      </c>
      <c r="M40" s="44">
        <f>VLOOKUP(C40,Purchased!A:Q,16,0)</f>
        <v>45166</v>
      </c>
      <c r="N40" s="45">
        <f>VLOOKUP(C40,Purchased!A:Q,17,0)</f>
        <v>55087</v>
      </c>
      <c r="O40" s="45" t="e">
        <f t="shared" ca="1" si="3"/>
        <v>#VALUE!</v>
      </c>
      <c r="P40" s="49">
        <f>IFERROR(VLOOKUP(C40,Purchased!A:E,3,FALSE),"")</f>
        <v>7.25</v>
      </c>
      <c r="Q40" s="50">
        <f t="shared" si="4"/>
        <v>7.25</v>
      </c>
    </row>
    <row r="41" spans="1:17" s="2" customFormat="1" ht="12" customHeight="1">
      <c r="A41" s="4">
        <f t="shared" si="5"/>
        <v>320</v>
      </c>
      <c r="B41" s="2">
        <v>4</v>
      </c>
      <c r="C41" s="109" t="s">
        <v>953</v>
      </c>
      <c r="D41" s="268" t="str">
        <f>VLOOKUP(C41,Purchased!A:B,2,0)</f>
        <v>18-8 Stainless Steel Socket Head Screw M6 x 1 mm Thread, 140 mm Long</v>
      </c>
      <c r="E41" s="269"/>
      <c r="F41" s="112" t="str">
        <f>VLOOKUP(C41,Purchased!A:Q,9,0)</f>
        <v>MCM</v>
      </c>
      <c r="G41" s="112" t="str">
        <f>VLOOKUP(C41,Purchased!A:Q,10,0)</f>
        <v>MCM</v>
      </c>
      <c r="H41" s="112" t="str">
        <f>VLOOKUP(C41,Purchased!A:Q,12,0)</f>
        <v xml:space="preserve"> </v>
      </c>
      <c r="I41" s="113"/>
      <c r="J41" s="44" t="str">
        <f>VLOOKUP(C41,Purchased!A:Q,13,0)</f>
        <v>N/A</v>
      </c>
      <c r="K41" s="44">
        <f>VLOOKUP(C41,Purchased!A:Q,14,0)</f>
        <v>45162</v>
      </c>
      <c r="L41" s="44">
        <f>VLOOKUP(C41,Purchased!A:Q,15,0)</f>
        <v>45184</v>
      </c>
      <c r="M41" s="44">
        <f>VLOOKUP(C41,Purchased!A:Q,16,0)</f>
        <v>45163</v>
      </c>
      <c r="N41" s="45">
        <f>VLOOKUP(C41,Purchased!A:Q,17,0)</f>
        <v>55088</v>
      </c>
      <c r="O41" s="45" t="e">
        <f t="shared" ca="1" si="3"/>
        <v>#VALUE!</v>
      </c>
      <c r="P41" s="49">
        <f>IFERROR(VLOOKUP(C41,Purchased!A:E,3,FALSE),"")</f>
        <v>3.82</v>
      </c>
      <c r="Q41" s="50">
        <f t="shared" si="4"/>
        <v>15.28</v>
      </c>
    </row>
    <row r="42" spans="1:17" s="2" customFormat="1" ht="12" customHeight="1">
      <c r="A42" s="4">
        <f t="shared" ref="A42:A60" si="6">A41+1</f>
        <v>321</v>
      </c>
      <c r="B42" s="2">
        <v>0.2</v>
      </c>
      <c r="C42" s="109" t="s">
        <v>634</v>
      </c>
      <c r="D42" s="268" t="str">
        <f>VLOOKUP(C42,Purchased!A:B,2,0)</f>
        <v>18-8 Stainless Steel Threaded Rod, M4 x 0.7 mm Thread Size, 1 M Long</v>
      </c>
      <c r="E42" s="269"/>
      <c r="F42" s="112" t="str">
        <f>VLOOKUP(C42,Purchased!A:Q,9,0)</f>
        <v>MCM</v>
      </c>
      <c r="G42" s="112" t="str">
        <f>VLOOKUP(C42,Purchased!A:Q,10,0)</f>
        <v>MCM</v>
      </c>
      <c r="H42" s="112" t="s">
        <v>954</v>
      </c>
      <c r="I42" s="113"/>
      <c r="J42" s="44" t="str">
        <f>VLOOKUP(C42,Purchased!A:Q,13,0)</f>
        <v>N/A</v>
      </c>
      <c r="K42" s="44">
        <f>VLOOKUP(C42,Purchased!A:Q,14,0)</f>
        <v>45162</v>
      </c>
      <c r="L42" s="44">
        <f>VLOOKUP(C42,Purchased!A:Q,15,0)</f>
        <v>45184</v>
      </c>
      <c r="M42" s="44">
        <f>VLOOKUP(C42,Purchased!A:Q,16,0)</f>
        <v>45163</v>
      </c>
      <c r="N42" s="45">
        <f>VLOOKUP(C42,Purchased!A:Q,17,0)</f>
        <v>55088</v>
      </c>
      <c r="O42" s="45" t="e">
        <f t="shared" ca="1" si="3"/>
        <v>#VALUE!</v>
      </c>
      <c r="P42" s="49">
        <f>IFERROR(VLOOKUP(C42,Purchased!A:E,3,FALSE),"")</f>
        <v>9.4</v>
      </c>
      <c r="Q42" s="50">
        <f t="shared" si="4"/>
        <v>1.8800000000000001</v>
      </c>
    </row>
    <row r="43" spans="1:17" s="2" customFormat="1" ht="12" customHeight="1">
      <c r="A43" s="4">
        <f t="shared" si="6"/>
        <v>322</v>
      </c>
      <c r="B43" s="2">
        <v>4</v>
      </c>
      <c r="C43" s="114" t="s">
        <v>955</v>
      </c>
      <c r="D43" s="268" t="str">
        <f>VLOOKUP(C43,Purchased!A:B,2,0)</f>
        <v>Button Head Hex Drive Screw Passivated 18-8 Stainless Steel, M3 x 0.50 mm Thread, 20mm Long, 50pk</v>
      </c>
      <c r="E43" s="269"/>
      <c r="F43" s="112" t="str">
        <f>VLOOKUP(C43,Purchased!A:Q,9,0)</f>
        <v>MCM</v>
      </c>
      <c r="G43" s="112" t="str">
        <f>VLOOKUP(C43,Purchased!A:Q,10,0)</f>
        <v>MCM</v>
      </c>
      <c r="H43" s="112" t="str">
        <f>VLOOKUP(C43,Purchased!A:Q,12,0)</f>
        <v xml:space="preserve"> </v>
      </c>
      <c r="I43" s="113"/>
      <c r="J43" s="44" t="str">
        <f>VLOOKUP(C43,Purchased!A:Q,13,0)</f>
        <v>N/A</v>
      </c>
      <c r="K43" s="44">
        <f>VLOOKUP(C43,Purchased!A:Q,14,0)</f>
        <v>45162</v>
      </c>
      <c r="L43" s="44">
        <f>VLOOKUP(C43,Purchased!A:Q,15,0)</f>
        <v>45184</v>
      </c>
      <c r="M43" s="44">
        <f>VLOOKUP(C43,Purchased!A:Q,16,0)</f>
        <v>45163</v>
      </c>
      <c r="N43" s="45">
        <f>VLOOKUP(C43,Purchased!A:Q,17,0)</f>
        <v>55089</v>
      </c>
      <c r="O43" s="45" t="e">
        <f t="shared" ca="1" si="3"/>
        <v>#VALUE!</v>
      </c>
      <c r="P43" s="49">
        <f>IFERROR(VLOOKUP(C43,Purchased!A:E,3,FALSE),"")</f>
        <v>5.3</v>
      </c>
      <c r="Q43" s="50">
        <f t="shared" si="4"/>
        <v>21.2</v>
      </c>
    </row>
    <row r="44" spans="1:17" s="2" customFormat="1" ht="12" customHeight="1">
      <c r="A44" s="4">
        <f t="shared" si="6"/>
        <v>323</v>
      </c>
      <c r="B44" s="2">
        <v>4</v>
      </c>
      <c r="C44" s="114" t="s">
        <v>476</v>
      </c>
      <c r="D44" s="268" t="str">
        <f>VLOOKUP(C44,Purchased!A:B,2,0)</f>
        <v>SMC Inline Solid PNP Direct</v>
      </c>
      <c r="E44" s="269"/>
      <c r="F44" s="112" t="str">
        <f>VLOOKUP(C44,Purchased!A:Q,9,0)</f>
        <v>SMC</v>
      </c>
      <c r="G44" s="112" t="str">
        <f>VLOOKUP(C44,Purchased!A:Q,10,0)</f>
        <v>AAP</v>
      </c>
      <c r="H44" s="112" t="str">
        <f>VLOOKUP(C44,Purchased!A:Q,12,0)</f>
        <v xml:space="preserve"> </v>
      </c>
      <c r="I44" s="113"/>
      <c r="J44" s="44" t="str">
        <f>VLOOKUP(C44,Purchased!A:Q,13,0)</f>
        <v>N/A</v>
      </c>
      <c r="K44" s="44">
        <f>VLOOKUP(C44,Purchased!A:Q,14,0)</f>
        <v>45162</v>
      </c>
      <c r="L44" s="44">
        <f>VLOOKUP(C44,Purchased!A:Q,15,0)</f>
        <v>45184</v>
      </c>
      <c r="M44" s="44">
        <f>VLOOKUP(C44,Purchased!A:Q,16,0)</f>
        <v>45180</v>
      </c>
      <c r="N44" s="45">
        <f>VLOOKUP(C44,Purchased!A:Q,17,0)</f>
        <v>55037</v>
      </c>
      <c r="O44" s="45" t="e">
        <f t="shared" ca="1" si="3"/>
        <v>#VALUE!</v>
      </c>
      <c r="P44" s="49">
        <f>IFERROR(VLOOKUP(C44,Purchased!A:E,3,FALSE),"")</f>
        <v>37.226700000000001</v>
      </c>
      <c r="Q44" s="50">
        <f t="shared" si="4"/>
        <v>148.9068</v>
      </c>
    </row>
    <row r="45" spans="1:17" s="2" customFormat="1" ht="12" customHeight="1">
      <c r="A45" s="4">
        <f t="shared" si="6"/>
        <v>324</v>
      </c>
      <c r="B45" s="2">
        <v>4</v>
      </c>
      <c r="C45" s="114" t="s">
        <v>956</v>
      </c>
      <c r="D45" s="268" t="str">
        <f>VLOOKUP(C45,Purchased!A:B,2,0)</f>
        <v>SMC Air Cylinder</v>
      </c>
      <c r="E45" s="269"/>
      <c r="F45" s="112" t="str">
        <f>VLOOKUP(C45,Purchased!A:Q,9,0)</f>
        <v>SMC</v>
      </c>
      <c r="G45" s="112" t="str">
        <f>VLOOKUP(C45,Purchased!A:Q,10,0)</f>
        <v>AAP</v>
      </c>
      <c r="H45" s="112" t="str">
        <f>VLOOKUP(C45,Purchased!A:Q,12,0)</f>
        <v xml:space="preserve"> </v>
      </c>
      <c r="I45" s="113"/>
      <c r="J45" s="44" t="str">
        <f>VLOOKUP(C45,Purchased!A:Q,13,0)</f>
        <v>N/A</v>
      </c>
      <c r="K45" s="44">
        <f>VLOOKUP(C45,Purchased!A:Q,14,0)</f>
        <v>45152</v>
      </c>
      <c r="L45" s="44">
        <f>VLOOKUP(C45,Purchased!A:Q,15,0)</f>
        <v>45166</v>
      </c>
      <c r="M45" s="44">
        <f>VLOOKUP(C45,Purchased!A:Q,16,0)</f>
        <v>45166</v>
      </c>
      <c r="N45" s="45">
        <f>VLOOKUP(C45,Purchased!A:Q,17,0)</f>
        <v>55055</v>
      </c>
      <c r="O45" s="45" t="e">
        <f t="shared" ca="1" si="3"/>
        <v>#VALUE!</v>
      </c>
      <c r="P45" s="49">
        <f>IFERROR(VLOOKUP(C45,Purchased!A:E,3,FALSE),"")</f>
        <v>26.629200000000001</v>
      </c>
      <c r="Q45" s="50">
        <f t="shared" si="4"/>
        <v>106.5168</v>
      </c>
    </row>
    <row r="46" spans="1:17" s="2" customFormat="1" ht="12" customHeight="1">
      <c r="A46" s="4">
        <f t="shared" si="6"/>
        <v>325</v>
      </c>
      <c r="B46" s="2">
        <v>4</v>
      </c>
      <c r="C46" s="114" t="s">
        <v>820</v>
      </c>
      <c r="D46" s="268" t="str">
        <f>VLOOKUP(C46,Purchased!A:B,2,0)</f>
        <v>SMC SPEED CONTROLLER</v>
      </c>
      <c r="E46" s="269"/>
      <c r="F46" s="112" t="str">
        <f>VLOOKUP(C46,Purchased!A:Q,9,0)</f>
        <v>SMC</v>
      </c>
      <c r="G46" s="112" t="str">
        <f>VLOOKUP(C46,Purchased!A:Q,10,0)</f>
        <v>AAP</v>
      </c>
      <c r="H46" s="112" t="str">
        <f>VLOOKUP(C46,Purchased!A:Q,12,0)</f>
        <v xml:space="preserve"> </v>
      </c>
      <c r="I46" s="113"/>
      <c r="J46" s="44" t="str">
        <f>VLOOKUP(C46,Purchased!A:Q,13,0)</f>
        <v>N/A</v>
      </c>
      <c r="K46" s="44">
        <f>VLOOKUP(C46,Purchased!A:Q,14,0)</f>
        <v>45162</v>
      </c>
      <c r="L46" s="44">
        <f>VLOOKUP(C46,Purchased!A:Q,15,0)</f>
        <v>45184</v>
      </c>
      <c r="M46" s="44">
        <f>VLOOKUP(C46,Purchased!A:Q,16,0)</f>
        <v>45180</v>
      </c>
      <c r="N46" s="45">
        <f>VLOOKUP(C46,Purchased!A:Q,17,0)</f>
        <v>55037</v>
      </c>
      <c r="O46" s="45" t="e">
        <f t="shared" ca="1" si="3"/>
        <v>#VALUE!</v>
      </c>
      <c r="P46" s="49">
        <f>IFERROR(VLOOKUP(C46,Purchased!A:E,3,FALSE),"")</f>
        <v>20.3764</v>
      </c>
      <c r="Q46" s="50">
        <f t="shared" si="4"/>
        <v>81.505600000000001</v>
      </c>
    </row>
    <row r="47" spans="1:17" s="2" customFormat="1" ht="12" customHeight="1">
      <c r="A47" s="4">
        <f t="shared" si="6"/>
        <v>326</v>
      </c>
      <c r="B47" s="2">
        <v>2</v>
      </c>
      <c r="C47" s="114" t="s">
        <v>821</v>
      </c>
      <c r="D47" s="268" t="str">
        <f>VLOOKUP(C47,Purchased!A:B,2,0)</f>
        <v>SMC Flange Fitting For Speed Controller</v>
      </c>
      <c r="E47" s="269"/>
      <c r="F47" s="112" t="str">
        <f>VLOOKUP(C47,Purchased!A:Q,9,0)</f>
        <v>SMC</v>
      </c>
      <c r="G47" s="112" t="str">
        <f>VLOOKUP(C47,Purchased!A:Q,10,0)</f>
        <v>AAP</v>
      </c>
      <c r="H47" s="112" t="str">
        <f>VLOOKUP(C47,Purchased!A:Q,12,0)</f>
        <v xml:space="preserve"> </v>
      </c>
      <c r="I47" s="113"/>
      <c r="J47" s="44" t="str">
        <f>VLOOKUP(C47,Purchased!A:Q,13,0)</f>
        <v>N/A</v>
      </c>
      <c r="K47" s="44">
        <f>VLOOKUP(C47,Purchased!A:Q,14,0)</f>
        <v>45162</v>
      </c>
      <c r="L47" s="44">
        <f>VLOOKUP(C47,Purchased!A:Q,15,0)</f>
        <v>45184</v>
      </c>
      <c r="M47" s="44">
        <f>VLOOKUP(C47,Purchased!A:Q,16,0)</f>
        <v>45197</v>
      </c>
      <c r="N47" s="45">
        <f>VLOOKUP(C47,Purchased!A:Q,17,0)</f>
        <v>55073</v>
      </c>
      <c r="O47" s="45" t="e">
        <f t="shared" ca="1" si="3"/>
        <v>#VALUE!</v>
      </c>
      <c r="P47" s="49">
        <f>IFERROR(VLOOKUP(C47,Purchased!A:E,3,FALSE),"")</f>
        <v>2.2410000000000001</v>
      </c>
      <c r="Q47" s="50">
        <f t="shared" si="4"/>
        <v>4.4820000000000002</v>
      </c>
    </row>
    <row r="48" spans="1:17" s="2" customFormat="1" ht="12" customHeight="1">
      <c r="A48" s="4">
        <f t="shared" si="6"/>
        <v>327</v>
      </c>
      <c r="B48" s="2">
        <v>1</v>
      </c>
      <c r="C48" s="114" t="s">
        <v>290</v>
      </c>
      <c r="D48" s="268" t="str">
        <f>VLOOKUP(C48,Purchased!A:B,2,0)</f>
        <v>SMC FITTING, UNIFIT</v>
      </c>
      <c r="E48" s="269"/>
      <c r="F48" s="112" t="str">
        <f>VLOOKUP(C48,Purchased!A:Q,9,0)</f>
        <v>SMC</v>
      </c>
      <c r="G48" s="112" t="str">
        <f>VLOOKUP(C48,Purchased!A:Q,10,0)</f>
        <v>AAP</v>
      </c>
      <c r="H48" s="112" t="str">
        <f>VLOOKUP(C48,Purchased!A:Q,12,0)</f>
        <v xml:space="preserve"> </v>
      </c>
      <c r="I48" s="113"/>
      <c r="J48" s="44" t="str">
        <f>VLOOKUP(C48,Purchased!A:Q,13,0)</f>
        <v>N/A</v>
      </c>
      <c r="K48" s="44">
        <f>VLOOKUP(C48,Purchased!A:Q,14,0)</f>
        <v>45162</v>
      </c>
      <c r="L48" s="44">
        <f>VLOOKUP(C48,Purchased!A:Q,15,0)</f>
        <v>45184</v>
      </c>
      <c r="M48" s="44">
        <f>VLOOKUP(C48,Purchased!A:Q,16,0)</f>
        <v>45180</v>
      </c>
      <c r="N48" s="45" t="str">
        <f>VLOOKUP(C48,Purchased!A:Q,17,0)</f>
        <v>20x55037, 10x55270</v>
      </c>
      <c r="O48" s="45" t="e">
        <f t="shared" ca="1" si="3"/>
        <v>#VALUE!</v>
      </c>
      <c r="P48" s="49">
        <f>IFERROR(VLOOKUP(C48,Purchased!A:E,3,FALSE),"")</f>
        <v>1.6323000000000001</v>
      </c>
      <c r="Q48" s="50">
        <f t="shared" si="4"/>
        <v>1.6323000000000001</v>
      </c>
    </row>
    <row r="49" spans="1:17" s="2" customFormat="1" ht="12" customHeight="1">
      <c r="A49" s="4">
        <f t="shared" si="6"/>
        <v>328</v>
      </c>
      <c r="B49" s="2">
        <v>1</v>
      </c>
      <c r="C49" s="114" t="s">
        <v>185</v>
      </c>
      <c r="D49" s="268" t="str">
        <f>VLOOKUP(C49,Purchased!A:B,2,0)</f>
        <v>SMC FITTING, MALE ELBOW</v>
      </c>
      <c r="E49" s="269"/>
      <c r="F49" s="112" t="str">
        <f>VLOOKUP(C49,Purchased!A:Q,9,0)</f>
        <v>SMC</v>
      </c>
      <c r="G49" s="112" t="str">
        <f>VLOOKUP(C49,Purchased!A:Q,10,0)</f>
        <v>AAP</v>
      </c>
      <c r="H49" s="112" t="str">
        <f>VLOOKUP(C49,Purchased!A:Q,12,0)</f>
        <v xml:space="preserve"> </v>
      </c>
      <c r="I49" s="113"/>
      <c r="J49" s="44" t="str">
        <f>VLOOKUP(C49,Purchased!A:Q,13,0)</f>
        <v>N/A</v>
      </c>
      <c r="K49" s="44">
        <f>VLOOKUP(C49,Purchased!A:Q,14,0)</f>
        <v>45162</v>
      </c>
      <c r="L49" s="44">
        <f>VLOOKUP(C49,Purchased!A:Q,15,0)</f>
        <v>45184</v>
      </c>
      <c r="M49" s="44">
        <f>VLOOKUP(C49,Purchased!A:Q,16,0)</f>
        <v>45180</v>
      </c>
      <c r="N49" s="45" t="str">
        <f>VLOOKUP(C49,Purchased!A:Q,17,0)</f>
        <v>10x55037, 20x55073, 10x55270</v>
      </c>
      <c r="O49" s="45" t="e">
        <f t="shared" ca="1" si="3"/>
        <v>#VALUE!</v>
      </c>
      <c r="P49" s="49">
        <f>IFERROR(VLOOKUP(C49,Purchased!A:E,3,FALSE),"")</f>
        <v>2.2932999999999999</v>
      </c>
      <c r="Q49" s="50">
        <f t="shared" si="4"/>
        <v>2.2932999999999999</v>
      </c>
    </row>
    <row r="50" spans="1:17" s="2" customFormat="1" ht="12" customHeight="1">
      <c r="A50" s="4">
        <f t="shared" si="6"/>
        <v>329</v>
      </c>
      <c r="B50" s="2">
        <v>8</v>
      </c>
      <c r="C50" s="114" t="s">
        <v>186</v>
      </c>
      <c r="D50" s="268" t="str">
        <f>VLOOKUP(C50,Purchased!A:B,2,0)</f>
        <v>SMC FITTING, MALE ELBOW</v>
      </c>
      <c r="E50" s="269"/>
      <c r="F50" s="112" t="str">
        <f>VLOOKUP(C50,Purchased!A:Q,9,0)</f>
        <v>SMC</v>
      </c>
      <c r="G50" s="112" t="str">
        <f>VLOOKUP(C50,Purchased!A:Q,10,0)</f>
        <v>AAP</v>
      </c>
      <c r="H50" s="112" t="str">
        <f>VLOOKUP(C50,Purchased!A:Q,12,0)</f>
        <v xml:space="preserve">  </v>
      </c>
      <c r="I50" s="113"/>
      <c r="J50" s="44" t="str">
        <f>VLOOKUP(C50,Purchased!A:Q,13,0)</f>
        <v>N/A</v>
      </c>
      <c r="K50" s="44">
        <f>VLOOKUP(C50,Purchased!A:Q,14,0)</f>
        <v>45162</v>
      </c>
      <c r="L50" s="44">
        <f>VLOOKUP(C50,Purchased!A:Q,15,0)</f>
        <v>45184</v>
      </c>
      <c r="M50" s="44">
        <f>VLOOKUP(C50,Purchased!A:Q,16,0)</f>
        <v>45180</v>
      </c>
      <c r="N50" s="45">
        <f>VLOOKUP(C50,Purchased!A:Q,17,0)</f>
        <v>55037</v>
      </c>
      <c r="O50" s="45" t="e">
        <f t="shared" ca="1" si="3"/>
        <v>#VALUE!</v>
      </c>
      <c r="P50" s="49">
        <f>IFERROR(VLOOKUP(C50,Purchased!A:E,3,FALSE),"")</f>
        <v>1.4248000000000001</v>
      </c>
      <c r="Q50" s="50">
        <f t="shared" si="4"/>
        <v>11.398400000000001</v>
      </c>
    </row>
    <row r="51" spans="1:17" s="2" customFormat="1" ht="12" customHeight="1">
      <c r="A51" s="4">
        <f t="shared" si="6"/>
        <v>330</v>
      </c>
      <c r="B51" s="2">
        <v>4</v>
      </c>
      <c r="C51" s="114" t="s">
        <v>957</v>
      </c>
      <c r="D51" s="268" t="str">
        <f>VLOOKUP(C51,Purchased!A:B,2,0)</f>
        <v>SMC FITTING ,DIFF DIA UNION TEE</v>
      </c>
      <c r="E51" s="269"/>
      <c r="F51" s="112" t="str">
        <f>VLOOKUP(C51,Purchased!A:Q,9,0)</f>
        <v>SMC</v>
      </c>
      <c r="G51" s="112" t="str">
        <f>VLOOKUP(C51,Purchased!A:Q,10,0)</f>
        <v>AAP</v>
      </c>
      <c r="H51" s="112" t="str">
        <f>VLOOKUP(C51,Purchased!A:Q,12,0)</f>
        <v xml:space="preserve"> </v>
      </c>
      <c r="I51" s="113"/>
      <c r="J51" s="44" t="str">
        <f>VLOOKUP(C51,Purchased!A:Q,13,0)</f>
        <v>N/A</v>
      </c>
      <c r="K51" s="44">
        <f>VLOOKUP(C51,Purchased!A:Q,14,0)</f>
        <v>45162</v>
      </c>
      <c r="L51" s="44">
        <f>VLOOKUP(C51,Purchased!A:Q,15,0)</f>
        <v>45184</v>
      </c>
      <c r="M51" s="44">
        <f>VLOOKUP(C51,Purchased!A:Q,16,0)</f>
        <v>45180</v>
      </c>
      <c r="N51" s="45">
        <f>VLOOKUP(C51,Purchased!A:Q,17,0)</f>
        <v>55037</v>
      </c>
      <c r="O51" s="45" t="e">
        <f ca="1">B51*$L$2</f>
        <v>#VALUE!</v>
      </c>
      <c r="P51" s="49">
        <f>IFERROR(VLOOKUP(C51,Purchased!A:E,3,FALSE),"")</f>
        <v>2.3932000000000002</v>
      </c>
      <c r="Q51" s="50">
        <f>IFERROR(B51*P51,"")</f>
        <v>9.5728000000000009</v>
      </c>
    </row>
    <row r="52" spans="1:17" s="2" customFormat="1" ht="12" customHeight="1">
      <c r="A52" s="4">
        <f t="shared" si="6"/>
        <v>331</v>
      </c>
      <c r="B52" s="2">
        <v>2</v>
      </c>
      <c r="C52" s="114" t="s">
        <v>958</v>
      </c>
      <c r="D52" s="268" t="str">
        <f>VLOOKUP(C52,Purchased!A:B,2,0)</f>
        <v>SMC FITTING DIFF DIA Y UNION</v>
      </c>
      <c r="E52" s="269"/>
      <c r="F52" s="112" t="str">
        <f>VLOOKUP(C52,Purchased!A:Q,9,0)</f>
        <v>SMC</v>
      </c>
      <c r="G52" s="112" t="str">
        <f>VLOOKUP(C52,Purchased!A:Q,10,0)</f>
        <v>AAP</v>
      </c>
      <c r="H52" s="112" t="str">
        <f>VLOOKUP(C52,Purchased!A:Q,12,0)</f>
        <v xml:space="preserve"> </v>
      </c>
      <c r="I52" s="113"/>
      <c r="J52" s="44" t="str">
        <f>VLOOKUP(C52,Purchased!A:Q,13,0)</f>
        <v>N/A</v>
      </c>
      <c r="K52" s="44">
        <f>VLOOKUP(C52,Purchased!A:Q,14,0)</f>
        <v>45162</v>
      </c>
      <c r="L52" s="44">
        <f>VLOOKUP(C52,Purchased!A:Q,15,0)</f>
        <v>45184</v>
      </c>
      <c r="M52" s="44">
        <f>VLOOKUP(C52,Purchased!A:Q,16,0)</f>
        <v>45197</v>
      </c>
      <c r="N52" s="45">
        <f>VLOOKUP(C52,Purchased!A:Q,17,0)</f>
        <v>55073</v>
      </c>
      <c r="O52" s="45" t="e">
        <f t="shared" ca="1" si="3"/>
        <v>#VALUE!</v>
      </c>
      <c r="P52" s="49">
        <f>IFERROR(VLOOKUP(C52,Purchased!A:E,3,FALSE),"")</f>
        <v>2.9603000000000002</v>
      </c>
      <c r="Q52" s="50">
        <f t="shared" si="4"/>
        <v>5.9206000000000003</v>
      </c>
    </row>
    <row r="53" spans="1:17" s="2" customFormat="1" ht="12.75" customHeight="1">
      <c r="A53" s="4">
        <f t="shared" si="6"/>
        <v>332</v>
      </c>
      <c r="B53" s="2">
        <v>4</v>
      </c>
      <c r="C53" s="114" t="s">
        <v>959</v>
      </c>
      <c r="D53" s="268" t="str">
        <f>VLOOKUP(C53,Purchased!A:B,2,0)</f>
        <v>SMC FITTING PLUG IN ELBOW</v>
      </c>
      <c r="E53" s="269"/>
      <c r="F53" s="112" t="str">
        <f>VLOOKUP(C53,Purchased!A:Q,9,0)</f>
        <v>SMC</v>
      </c>
      <c r="G53" s="112" t="str">
        <f>VLOOKUP(C53,Purchased!A:Q,10,0)</f>
        <v>AAP</v>
      </c>
      <c r="H53" s="112" t="str">
        <f>VLOOKUP(C53,Purchased!A:Q,12,0)</f>
        <v xml:space="preserve"> </v>
      </c>
      <c r="I53" s="113"/>
      <c r="J53" s="44" t="str">
        <f>VLOOKUP(C53,Purchased!A:Q,13,0)</f>
        <v>N/A</v>
      </c>
      <c r="K53" s="44">
        <f>VLOOKUP(C53,Purchased!A:Q,14,0)</f>
        <v>45162</v>
      </c>
      <c r="L53" s="44">
        <f>VLOOKUP(C53,Purchased!A:Q,15,0)</f>
        <v>45184</v>
      </c>
      <c r="M53" s="44">
        <f>VLOOKUP(C53,Purchased!A:Q,16,0)</f>
        <v>45197</v>
      </c>
      <c r="N53" s="45">
        <f>VLOOKUP(C53,Purchased!A:Q,17,0)</f>
        <v>55073</v>
      </c>
      <c r="O53" s="45" t="e">
        <f t="shared" ca="1" si="3"/>
        <v>#VALUE!</v>
      </c>
      <c r="P53" s="49">
        <f>IFERROR(VLOOKUP(C53,Purchased!A:E,3,FALSE),"")</f>
        <v>1.4248000000000001</v>
      </c>
      <c r="Q53" s="50">
        <f t="shared" si="4"/>
        <v>5.6992000000000003</v>
      </c>
    </row>
    <row r="54" spans="1:17" s="2" customFormat="1" ht="12.75" customHeight="1">
      <c r="A54" s="4">
        <f t="shared" si="6"/>
        <v>333</v>
      </c>
      <c r="B54" s="2">
        <v>4</v>
      </c>
      <c r="C54" s="114" t="s">
        <v>960</v>
      </c>
      <c r="D54" s="268" t="str">
        <f>VLOOKUP(C54,Purchased!A:B,2,0)</f>
        <v xml:space="preserve">MISUMI Mounting Flange </v>
      </c>
      <c r="E54" s="269"/>
      <c r="F54" s="112" t="str">
        <f>VLOOKUP(C54,Purchased!A:Q,9,0)</f>
        <v>MISUMI</v>
      </c>
      <c r="G54" s="112" t="str">
        <f>VLOOKUP(C54,Purchased!A:Q,10,0)</f>
        <v>MISUMI</v>
      </c>
      <c r="H54" s="112" t="str">
        <f>VLOOKUP(C54,Purchased!A:Q,12,0)</f>
        <v xml:space="preserve"> </v>
      </c>
      <c r="I54" s="113"/>
      <c r="J54" s="44" t="str">
        <f>VLOOKUP(C54,Purchased!A:Q,13,0)</f>
        <v>N/A</v>
      </c>
      <c r="K54" s="44">
        <f>VLOOKUP(C54,Purchased!A:Q,14,0)</f>
        <v>45161</v>
      </c>
      <c r="L54" s="44">
        <f>VLOOKUP(C54,Purchased!A:Q,15,0)</f>
        <v>45191</v>
      </c>
      <c r="M54" s="44">
        <f>VLOOKUP(C54,Purchased!A:Q,16,0)</f>
        <v>45176</v>
      </c>
      <c r="N54" s="45">
        <f>VLOOKUP(C54,Purchased!A:Q,17,0)</f>
        <v>55078</v>
      </c>
      <c r="O54" s="45" t="e">
        <f t="shared" ca="1" si="3"/>
        <v>#VALUE!</v>
      </c>
      <c r="P54" s="49">
        <f>IFERROR(VLOOKUP(C54,Purchased!A:E,3,FALSE),"")</f>
        <v>23.3</v>
      </c>
      <c r="Q54" s="50">
        <f t="shared" si="4"/>
        <v>93.2</v>
      </c>
    </row>
    <row r="55" spans="1:17" s="2" customFormat="1" ht="12.75" customHeight="1">
      <c r="A55" s="4">
        <f t="shared" si="6"/>
        <v>334</v>
      </c>
      <c r="B55" s="2">
        <v>4</v>
      </c>
      <c r="C55" s="114" t="s">
        <v>961</v>
      </c>
      <c r="D55" s="268" t="str">
        <f>VLOOKUP(C55,Purchased!A:B,2,0)</f>
        <v xml:space="preserve">MISUMI Circular Post 25mm OD 212mm L </v>
      </c>
      <c r="E55" s="269"/>
      <c r="F55" s="112" t="str">
        <f>VLOOKUP(C55,Purchased!A:Q,9,0)</f>
        <v>MISUMI</v>
      </c>
      <c r="G55" s="112" t="str">
        <f>VLOOKUP(C55,Purchased!A:Q,10,0)</f>
        <v>MISUMI</v>
      </c>
      <c r="H55" s="112" t="str">
        <f>VLOOKUP(C55,Purchased!A:Q,12,0)</f>
        <v xml:space="preserve"> </v>
      </c>
      <c r="I55" s="113"/>
      <c r="J55" s="44" t="str">
        <f>VLOOKUP(C55,Purchased!A:Q,13,0)</f>
        <v>N/A</v>
      </c>
      <c r="K55" s="44">
        <f>VLOOKUP(C55,Purchased!A:Q,14,0)</f>
        <v>45161</v>
      </c>
      <c r="L55" s="44">
        <f>VLOOKUP(C55,Purchased!A:Q,15,0)</f>
        <v>45191</v>
      </c>
      <c r="M55" s="44">
        <f>VLOOKUP(C55,Purchased!A:Q,16,0)</f>
        <v>45176</v>
      </c>
      <c r="N55" s="45">
        <f>VLOOKUP(C55,Purchased!A:Q,17,0)</f>
        <v>55078</v>
      </c>
      <c r="O55" s="45" t="e">
        <f t="shared" ca="1" si="3"/>
        <v>#VALUE!</v>
      </c>
      <c r="P55" s="49">
        <f>IFERROR(VLOOKUP(C55,Purchased!A:E,3,FALSE),"")</f>
        <v>57.16</v>
      </c>
      <c r="Q55" s="50">
        <f t="shared" si="4"/>
        <v>228.64</v>
      </c>
    </row>
    <row r="56" spans="1:17" s="2" customFormat="1" ht="12.75" customHeight="1">
      <c r="A56" s="4">
        <f t="shared" si="6"/>
        <v>335</v>
      </c>
      <c r="B56" s="2">
        <v>4</v>
      </c>
      <c r="C56" s="114" t="s">
        <v>962</v>
      </c>
      <c r="D56" s="268" t="str">
        <f>VLOOKUP(C56,Purchased!A:B,2,0)</f>
        <v>MISUMI Circular Post 10mm OD 98mm L</v>
      </c>
      <c r="E56" s="269"/>
      <c r="F56" s="112" t="str">
        <f>VLOOKUP(C56,Purchased!A:Q,9,0)</f>
        <v>MISUMI</v>
      </c>
      <c r="G56" s="112" t="str">
        <f>VLOOKUP(C56,Purchased!A:Q,10,0)</f>
        <v>MISUMI</v>
      </c>
      <c r="H56" s="112" t="str">
        <f>VLOOKUP(C56,Purchased!A:Q,12,0)</f>
        <v xml:space="preserve"> </v>
      </c>
      <c r="I56" s="113"/>
      <c r="J56" s="44" t="str">
        <f>VLOOKUP(C56,Purchased!A:Q,13,0)</f>
        <v>N/A</v>
      </c>
      <c r="K56" s="44">
        <f>VLOOKUP(C56,Purchased!A:Q,14,0)</f>
        <v>45161</v>
      </c>
      <c r="L56" s="44">
        <f>VLOOKUP(C56,Purchased!A:Q,15,0)</f>
        <v>45191</v>
      </c>
      <c r="M56" s="44">
        <f>VLOOKUP(C56,Purchased!A:Q,16,0)</f>
        <v>45176</v>
      </c>
      <c r="N56" s="45">
        <f>VLOOKUP(C56,Purchased!A:Q,17,0)</f>
        <v>55078</v>
      </c>
      <c r="O56" s="45" t="e">
        <f t="shared" ca="1" si="3"/>
        <v>#VALUE!</v>
      </c>
      <c r="P56" s="49">
        <f>IFERROR(VLOOKUP(C56,Purchased!A:E,3,FALSE),"")</f>
        <v>25.33</v>
      </c>
      <c r="Q56" s="50">
        <f t="shared" si="4"/>
        <v>101.32</v>
      </c>
    </row>
    <row r="57" spans="1:17" s="2" customFormat="1" ht="12.75" customHeight="1">
      <c r="A57" s="4">
        <f t="shared" si="6"/>
        <v>336</v>
      </c>
      <c r="B57" s="2">
        <v>1</v>
      </c>
      <c r="C57" s="114" t="s">
        <v>963</v>
      </c>
      <c r="D57" s="268" t="str">
        <f>VLOOKUP(C57,Purchased!A:B,2,0)</f>
        <v>IGUS  Trap Lead Nut</v>
      </c>
      <c r="E57" s="269"/>
      <c r="F57" s="112" t="str">
        <f>VLOOKUP(C57,Purchased!A:Q,9,0)</f>
        <v>IGUS</v>
      </c>
      <c r="G57" s="112" t="str">
        <f>VLOOKUP(C57,Purchased!A:Q,10,0)</f>
        <v>IGUS</v>
      </c>
      <c r="H57" s="112" t="str">
        <f>VLOOKUP(C57,Purchased!A:Q,12,0)</f>
        <v xml:space="preserve"> </v>
      </c>
      <c r="I57" s="113"/>
      <c r="J57" s="44">
        <f>VLOOKUP(C57,Purchased!A:Q,13,0)</f>
        <v>45154</v>
      </c>
      <c r="K57" s="44">
        <f>VLOOKUP(C57,Purchased!A:Q,14,0)</f>
        <v>45161</v>
      </c>
      <c r="L57" s="44">
        <f>VLOOKUP(C57,Purchased!A:Q,15,0)</f>
        <v>45191</v>
      </c>
      <c r="M57" s="44">
        <f>VLOOKUP(C57,Purchased!A:Q,16,0)</f>
        <v>45208</v>
      </c>
      <c r="N57" s="45">
        <f>VLOOKUP(C57,Purchased!A:Q,17,0)</f>
        <v>55076</v>
      </c>
      <c r="O57" s="45" t="e">
        <f t="shared" ca="1" si="3"/>
        <v>#VALUE!</v>
      </c>
      <c r="P57" s="49">
        <f>IFERROR(VLOOKUP(C57,Purchased!A:E,3,FALSE),"")</f>
        <v>23.47</v>
      </c>
      <c r="Q57" s="50">
        <f t="shared" si="4"/>
        <v>23.47</v>
      </c>
    </row>
    <row r="58" spans="1:17" s="2" customFormat="1" ht="12.75" customHeight="1">
      <c r="A58" s="4">
        <f t="shared" si="6"/>
        <v>337</v>
      </c>
      <c r="B58" s="2">
        <v>1</v>
      </c>
      <c r="C58" s="114" t="s">
        <v>964</v>
      </c>
      <c r="D58" s="268" t="str">
        <f>VLOOKUP(C58,Purchased!A:B,2,0)</f>
        <v>WATLOW BAYONET ADAPTER, 3/8-24 x 7/8</v>
      </c>
      <c r="E58" s="269"/>
      <c r="F58" s="112" t="str">
        <f>VLOOKUP(C58,Purchased!A:Q,9,0)</f>
        <v>WATLOW</v>
      </c>
      <c r="G58" s="112" t="str">
        <f>VLOOKUP(C58,Purchased!A:Q,10,0)</f>
        <v>VALIN</v>
      </c>
      <c r="H58" s="112" t="str">
        <f>VLOOKUP(C58,Purchased!A:Q,12,0)</f>
        <v xml:space="preserve"> </v>
      </c>
      <c r="I58" s="113"/>
      <c r="J58" s="44" t="str">
        <f>VLOOKUP(C58,Purchased!A:Q,13,0)</f>
        <v>N/A</v>
      </c>
      <c r="K58" s="44">
        <f>VLOOKUP(C58,Purchased!A:Q,14,0)</f>
        <v>45161</v>
      </c>
      <c r="L58" s="44">
        <f>VLOOKUP(C58,Purchased!A:Q,15,0)</f>
        <v>45191</v>
      </c>
      <c r="M58" s="44">
        <f>VLOOKUP(C58,Purchased!A:Q,16,0)</f>
        <v>45177</v>
      </c>
      <c r="N58" s="45">
        <f>VLOOKUP(C58,Purchased!A:Q,17,0)</f>
        <v>55082</v>
      </c>
      <c r="O58" s="45" t="e">
        <f t="shared" ca="1" si="3"/>
        <v>#VALUE!</v>
      </c>
      <c r="P58" s="49">
        <f>IFERROR(VLOOKUP(C58,Purchased!A:E,3,FALSE),"")</f>
        <v>8.16</v>
      </c>
      <c r="Q58" s="50">
        <f t="shared" si="4"/>
        <v>8.16</v>
      </c>
    </row>
    <row r="59" spans="1:17" s="2" customFormat="1" ht="12.75" customHeight="1">
      <c r="A59" s="4">
        <f t="shared" si="6"/>
        <v>338</v>
      </c>
      <c r="B59" s="2">
        <v>4</v>
      </c>
      <c r="C59" s="114" t="s">
        <v>477</v>
      </c>
      <c r="D59" s="268" t="str">
        <f>VLOOKUP(C59,Purchased!A:B,2,0)</f>
        <v>MURR M8 Female, 0deg A-Coded, 3-Pin, w/ Cable</v>
      </c>
      <c r="E59" s="269"/>
      <c r="F59" s="112" t="str">
        <f>VLOOKUP(C59,Purchased!A:Q,9,0)</f>
        <v>MURR</v>
      </c>
      <c r="G59" s="112" t="str">
        <f>VLOOKUP(C59,Purchased!A:Q,10,0)</f>
        <v>MURR</v>
      </c>
      <c r="H59" s="112" t="str">
        <f>VLOOKUP(C59,Purchased!A:Q,12,0)</f>
        <v xml:space="preserve">  </v>
      </c>
      <c r="I59" s="113"/>
      <c r="J59" s="44">
        <f>VLOOKUP(C59,Purchased!A:Q,13,0)</f>
        <v>45161</v>
      </c>
      <c r="K59" s="44">
        <f>VLOOKUP(C59,Purchased!A:Q,14,0)</f>
        <v>45162</v>
      </c>
      <c r="L59" s="44">
        <f>VLOOKUP(C59,Purchased!A:Q,15,0)</f>
        <v>45184</v>
      </c>
      <c r="M59" s="44">
        <f>VLOOKUP(C59,Purchased!A:Q,16,0)</f>
        <v>45184</v>
      </c>
      <c r="N59" s="45">
        <f>VLOOKUP(C59,Purchased!A:Q,17,0)</f>
        <v>55080</v>
      </c>
      <c r="O59" s="45" t="e">
        <f t="shared" ca="1" si="3"/>
        <v>#VALUE!</v>
      </c>
      <c r="P59" s="49">
        <f>IFERROR(VLOOKUP(C59,Purchased!A:E,3,FALSE),"")</f>
        <v>21.52</v>
      </c>
      <c r="Q59" s="50">
        <f t="shared" si="4"/>
        <v>86.08</v>
      </c>
    </row>
    <row r="60" spans="1:17" s="2" customFormat="1" ht="12.75" customHeight="1">
      <c r="A60" s="4">
        <f t="shared" si="6"/>
        <v>339</v>
      </c>
      <c r="B60" s="2">
        <v>1</v>
      </c>
      <c r="C60" s="114" t="s">
        <v>965</v>
      </c>
      <c r="D60" s="268" t="str">
        <f>VLOOKUP(C60,Purchased!A:B,2,0)</f>
        <v>Sealcon Thread Adaptor M20 to 1/2 NPT</v>
      </c>
      <c r="E60" s="269"/>
      <c r="F60" s="112" t="str">
        <f>VLOOKUP(C60,Purchased!A:Q,9,0)</f>
        <v>Sealcon</v>
      </c>
      <c r="G60" s="112" t="str">
        <f>VLOOKUP(C60,Purchased!A:Q,10,0)</f>
        <v>Sealcon</v>
      </c>
      <c r="H60" s="112" t="str">
        <f>VLOOKUP(C60,Purchased!A:Q,12,0)</f>
        <v xml:space="preserve"> </v>
      </c>
      <c r="I60" s="113"/>
      <c r="J60" s="44" t="str">
        <f>VLOOKUP(C60,Purchased!A:Q,13,0)</f>
        <v>N/A</v>
      </c>
      <c r="K60" s="44">
        <f>VLOOKUP(C60,Purchased!A:Q,14,0)</f>
        <v>45161</v>
      </c>
      <c r="L60" s="44">
        <f>VLOOKUP(C60,Purchased!A:Q,15,0)</f>
        <v>45191</v>
      </c>
      <c r="M60" s="44">
        <f>VLOOKUP(C60,Purchased!A:Q,16,0)</f>
        <v>45168</v>
      </c>
      <c r="N60" s="45">
        <f>VLOOKUP(C60,Purchased!A:Q,17,0)</f>
        <v>55081</v>
      </c>
      <c r="O60" s="45" t="e">
        <f t="shared" ca="1" si="3"/>
        <v>#VALUE!</v>
      </c>
      <c r="P60" s="49">
        <f>IFERROR(VLOOKUP(C60,Purchased!A:E,3,FALSE),"")</f>
        <v>8.64</v>
      </c>
      <c r="Q60" s="50">
        <f t="shared" si="4"/>
        <v>8.64</v>
      </c>
    </row>
    <row r="61" spans="1:17" s="2" customFormat="1" ht="12.75" customHeight="1">
      <c r="A61" s="25"/>
      <c r="B61" s="26"/>
      <c r="C61" s="26"/>
      <c r="D61" s="272"/>
      <c r="E61" s="273"/>
      <c r="F61" s="26"/>
      <c r="G61" s="26"/>
      <c r="H61" s="274"/>
      <c r="I61" s="275"/>
      <c r="J61" s="27"/>
      <c r="K61" s="27"/>
      <c r="L61" s="27"/>
      <c r="M61" s="28"/>
      <c r="N61" s="29"/>
      <c r="O61" s="29" t="e">
        <f t="shared" ca="1" si="3"/>
        <v>#VALUE!</v>
      </c>
      <c r="P61" s="141"/>
      <c r="Q61" s="142"/>
    </row>
    <row r="62" spans="1:17" s="2" customFormat="1" ht="12.75" customHeight="1">
      <c r="A62" s="4">
        <v>501</v>
      </c>
      <c r="B62" s="2">
        <v>4</v>
      </c>
      <c r="C62" s="110" t="s">
        <v>966</v>
      </c>
      <c r="D62" s="268"/>
      <c r="E62" s="276"/>
      <c r="F62" s="112" t="str">
        <f>VLOOKUP(C62,Bolts!A:L,5,0)</f>
        <v xml:space="preserve">  </v>
      </c>
      <c r="G62" s="112" t="str">
        <f>VLOOKUP(C62,Bolts!A:L,6,0)</f>
        <v>Monroe Fasteners</v>
      </c>
      <c r="H62" s="112" t="str">
        <f>VLOOKUP(C62,Bolts!A:L,7,0)</f>
        <v xml:space="preserve">  </v>
      </c>
      <c r="I62" s="112"/>
      <c r="J62" s="44" t="str">
        <f>VLOOKUP(C62,Bolts!A:L,8,0)</f>
        <v xml:space="preserve"> </v>
      </c>
      <c r="K62" s="44" t="str">
        <f>VLOOKUP(C62,Bolts!A:L,9,0)</f>
        <v xml:space="preserve"> </v>
      </c>
      <c r="L62" s="44" t="str">
        <f>VLOOKUP(C62,Bolts!A:L,10,0)</f>
        <v xml:space="preserve"> </v>
      </c>
      <c r="M62" s="44" t="str">
        <f>VLOOKUP(C62,Bolts!A:L,11,0)</f>
        <v xml:space="preserve"> </v>
      </c>
      <c r="N62" s="45" t="str">
        <f>VLOOKUP(C62,Bolts!A:L,12,0)</f>
        <v xml:space="preserve"> </v>
      </c>
      <c r="O62" s="45" t="e">
        <f t="shared" ca="1" si="3"/>
        <v>#VALUE!</v>
      </c>
      <c r="P62" s="49" t="str">
        <f>IFERROR(VLOOKUP(C62,Bolts!A:B,2,FALSE),"")</f>
        <v xml:space="preserve"> </v>
      </c>
      <c r="Q62" s="50" t="str">
        <f t="shared" ref="Q62:Q71" si="7">IFERROR(B62*P62,"")</f>
        <v/>
      </c>
    </row>
    <row r="63" spans="1:17" s="2" customFormat="1" ht="12.75" customHeight="1">
      <c r="A63" s="4">
        <f t="shared" ref="A63:A77" si="8">A62+1</f>
        <v>502</v>
      </c>
      <c r="B63" s="2">
        <v>4</v>
      </c>
      <c r="C63" s="110" t="s">
        <v>967</v>
      </c>
      <c r="D63" s="268"/>
      <c r="E63" s="276"/>
      <c r="F63" s="112" t="str">
        <f>VLOOKUP(C63,Bolts!A:L,5,0)</f>
        <v xml:space="preserve">  </v>
      </c>
      <c r="G63" s="112" t="str">
        <f>VLOOKUP(C63,Bolts!A:L,6,0)</f>
        <v>Monroe Fasteners</v>
      </c>
      <c r="H63" s="112" t="str">
        <f>VLOOKUP(C63,Bolts!A:L,7,0)</f>
        <v xml:space="preserve">  </v>
      </c>
      <c r="I63" s="112"/>
      <c r="J63" s="44" t="str">
        <f>VLOOKUP(C63,Bolts!A:L,8,0)</f>
        <v xml:space="preserve"> </v>
      </c>
      <c r="K63" s="44" t="str">
        <f>VLOOKUP(C63,Bolts!A:L,9,0)</f>
        <v xml:space="preserve"> </v>
      </c>
      <c r="L63" s="44" t="str">
        <f>VLOOKUP(C63,Bolts!A:L,10,0)</f>
        <v xml:space="preserve"> </v>
      </c>
      <c r="M63" s="44" t="str">
        <f>VLOOKUP(C63,Bolts!A:L,11,0)</f>
        <v xml:space="preserve"> </v>
      </c>
      <c r="N63" s="45" t="str">
        <f>VLOOKUP(C63,Bolts!A:L,12,0)</f>
        <v xml:space="preserve"> </v>
      </c>
      <c r="O63" s="45" t="e">
        <f t="shared" ca="1" si="3"/>
        <v>#VALUE!</v>
      </c>
      <c r="P63" s="49" t="str">
        <f>IFERROR(VLOOKUP(C63,Bolts!A:B,2,FALSE),"")</f>
        <v xml:space="preserve"> </v>
      </c>
      <c r="Q63" s="50" t="str">
        <f t="shared" si="7"/>
        <v/>
      </c>
    </row>
    <row r="64" spans="1:17" s="2" customFormat="1" ht="12" customHeight="1">
      <c r="A64" s="4">
        <f t="shared" si="8"/>
        <v>503</v>
      </c>
      <c r="B64" s="2">
        <v>16</v>
      </c>
      <c r="C64" s="110" t="s">
        <v>636</v>
      </c>
      <c r="D64" s="268"/>
      <c r="E64" s="276"/>
      <c r="F64" s="112" t="str">
        <f>VLOOKUP(C64,Bolts!A:L,5,0)</f>
        <v xml:space="preserve">  </v>
      </c>
      <c r="G64" s="112" t="str">
        <f>VLOOKUP(C64,Bolts!A:L,6,0)</f>
        <v>Monroe Fasteners</v>
      </c>
      <c r="H64" s="112" t="str">
        <f>VLOOKUP(C64,Bolts!A:L,7,0)</f>
        <v xml:space="preserve">  </v>
      </c>
      <c r="I64" s="112"/>
      <c r="J64" s="44" t="str">
        <f>VLOOKUP(C64,Bolts!A:L,8,0)</f>
        <v xml:space="preserve"> </v>
      </c>
      <c r="K64" s="44" t="str">
        <f>VLOOKUP(C64,Bolts!A:L,9,0)</f>
        <v xml:space="preserve"> </v>
      </c>
      <c r="L64" s="44" t="str">
        <f>VLOOKUP(C64,Bolts!A:L,10,0)</f>
        <v xml:space="preserve"> </v>
      </c>
      <c r="M64" s="44" t="str">
        <f>VLOOKUP(C64,Bolts!A:L,11,0)</f>
        <v xml:space="preserve"> </v>
      </c>
      <c r="N64" s="45" t="str">
        <f>VLOOKUP(C64,Bolts!A:L,12,0)</f>
        <v xml:space="preserve"> </v>
      </c>
      <c r="O64" s="45" t="e">
        <f t="shared" ca="1" si="3"/>
        <v>#VALUE!</v>
      </c>
      <c r="P64" s="49" t="str">
        <f>IFERROR(VLOOKUP(C64,Bolts!A:B,2,FALSE),"")</f>
        <v xml:space="preserve"> </v>
      </c>
      <c r="Q64" s="50" t="str">
        <f t="shared" si="7"/>
        <v/>
      </c>
    </row>
    <row r="65" spans="1:17" s="2" customFormat="1" ht="12" customHeight="1">
      <c r="A65" s="4">
        <f t="shared" si="8"/>
        <v>504</v>
      </c>
      <c r="B65" s="2">
        <v>4</v>
      </c>
      <c r="C65" s="110" t="s">
        <v>452</v>
      </c>
      <c r="D65" s="268"/>
      <c r="E65" s="276"/>
      <c r="F65" s="112" t="str">
        <f>VLOOKUP(C65,Bolts!A:L,5,0)</f>
        <v xml:space="preserve">  </v>
      </c>
      <c r="G65" s="112" t="str">
        <f>VLOOKUP(C65,Bolts!A:L,6,0)</f>
        <v>Monroe Fasteners</v>
      </c>
      <c r="H65" s="112" t="str">
        <f>VLOOKUP(C65,Bolts!A:L,7,0)</f>
        <v xml:space="preserve">  </v>
      </c>
      <c r="I65" s="112"/>
      <c r="J65" s="44" t="str">
        <f>VLOOKUP(C65,Bolts!A:L,8,0)</f>
        <v xml:space="preserve"> </v>
      </c>
      <c r="K65" s="44" t="str">
        <f>VLOOKUP(C65,Bolts!A:L,9,0)</f>
        <v xml:space="preserve"> </v>
      </c>
      <c r="L65" s="44" t="str">
        <f>VLOOKUP(C65,Bolts!A:L,10,0)</f>
        <v xml:space="preserve"> </v>
      </c>
      <c r="M65" s="44" t="str">
        <f>VLOOKUP(C65,Bolts!A:L,11,0)</f>
        <v xml:space="preserve"> </v>
      </c>
      <c r="N65" s="45" t="str">
        <f>VLOOKUP(C65,Bolts!A:L,12,0)</f>
        <v xml:space="preserve"> </v>
      </c>
      <c r="O65" s="45" t="e">
        <f t="shared" ca="1" si="3"/>
        <v>#VALUE!</v>
      </c>
      <c r="P65" s="49" t="str">
        <f>IFERROR(VLOOKUP(C65,Bolts!A:B,2,FALSE),"")</f>
        <v xml:space="preserve"> </v>
      </c>
      <c r="Q65" s="50" t="str">
        <f t="shared" si="7"/>
        <v/>
      </c>
    </row>
    <row r="66" spans="1:17" s="2" customFormat="1" ht="12" customHeight="1">
      <c r="A66" s="4">
        <f t="shared" si="8"/>
        <v>505</v>
      </c>
      <c r="B66" s="2">
        <v>4</v>
      </c>
      <c r="C66" s="110" t="s">
        <v>733</v>
      </c>
      <c r="D66" s="268"/>
      <c r="E66" s="276"/>
      <c r="F66" s="112" t="str">
        <f>VLOOKUP(C66,Bolts!A:L,5,0)</f>
        <v xml:space="preserve">  </v>
      </c>
      <c r="G66" s="112" t="str">
        <f>VLOOKUP(C66,Bolts!A:L,6,0)</f>
        <v>Monroe Fasteners</v>
      </c>
      <c r="H66" s="112" t="str">
        <f>VLOOKUP(C66,Bolts!A:L,7,0)</f>
        <v xml:space="preserve">  </v>
      </c>
      <c r="I66" s="112"/>
      <c r="J66" s="44" t="str">
        <f>VLOOKUP(C66,Bolts!A:L,8,0)</f>
        <v xml:space="preserve"> </v>
      </c>
      <c r="K66" s="44" t="str">
        <f>VLOOKUP(C66,Bolts!A:L,9,0)</f>
        <v xml:space="preserve"> </v>
      </c>
      <c r="L66" s="44" t="str">
        <f>VLOOKUP(C66,Bolts!A:L,10,0)</f>
        <v xml:space="preserve"> </v>
      </c>
      <c r="M66" s="44" t="str">
        <f>VLOOKUP(C66,Bolts!A:L,11,0)</f>
        <v xml:space="preserve"> </v>
      </c>
      <c r="N66" s="45" t="str">
        <f>VLOOKUP(C66,Bolts!A:L,12,0)</f>
        <v xml:space="preserve"> </v>
      </c>
      <c r="O66" s="45" t="e">
        <f t="shared" ca="1" si="3"/>
        <v>#VALUE!</v>
      </c>
      <c r="P66" s="49" t="str">
        <f>IFERROR(VLOOKUP(C66,Bolts!A:B,2,FALSE),"")</f>
        <v xml:space="preserve"> </v>
      </c>
      <c r="Q66" s="50" t="str">
        <f t="shared" si="7"/>
        <v/>
      </c>
    </row>
    <row r="67" spans="1:17" s="2" customFormat="1" ht="12" customHeight="1">
      <c r="A67" s="4">
        <f t="shared" si="8"/>
        <v>506</v>
      </c>
      <c r="B67" s="2">
        <v>4</v>
      </c>
      <c r="C67" s="110" t="s">
        <v>311</v>
      </c>
      <c r="D67" s="268"/>
      <c r="E67" s="276"/>
      <c r="F67" s="112" t="str">
        <f>VLOOKUP(C67,Bolts!A:L,5,0)</f>
        <v xml:space="preserve">  </v>
      </c>
      <c r="G67" s="112" t="str">
        <f>VLOOKUP(C67,Bolts!A:L,6,0)</f>
        <v>Monroe Fasteners</v>
      </c>
      <c r="H67" s="112" t="str">
        <f>VLOOKUP(C67,Bolts!A:L,7,0)</f>
        <v xml:space="preserve">  </v>
      </c>
      <c r="I67" s="112"/>
      <c r="J67" s="44" t="str">
        <f>VLOOKUP(C67,Bolts!A:L,8,0)</f>
        <v xml:space="preserve"> </v>
      </c>
      <c r="K67" s="44" t="str">
        <f>VLOOKUP(C67,Bolts!A:L,9,0)</f>
        <v xml:space="preserve"> </v>
      </c>
      <c r="L67" s="44" t="str">
        <f>VLOOKUP(C67,Bolts!A:L,10,0)</f>
        <v xml:space="preserve"> </v>
      </c>
      <c r="M67" s="44" t="str">
        <f>VLOOKUP(C67,Bolts!A:L,11,0)</f>
        <v xml:space="preserve"> </v>
      </c>
      <c r="N67" s="45" t="str">
        <f>VLOOKUP(C67,Bolts!A:L,12,0)</f>
        <v xml:space="preserve"> </v>
      </c>
      <c r="O67" s="45" t="e">
        <f t="shared" ca="1" si="3"/>
        <v>#VALUE!</v>
      </c>
      <c r="P67" s="49" t="str">
        <f>IFERROR(VLOOKUP(C67,Bolts!A:B,2,FALSE),"")</f>
        <v xml:space="preserve"> </v>
      </c>
      <c r="Q67" s="50" t="str">
        <f t="shared" si="7"/>
        <v/>
      </c>
    </row>
    <row r="68" spans="1:17" s="2" customFormat="1" ht="12" customHeight="1">
      <c r="A68" s="4">
        <f t="shared" si="8"/>
        <v>507</v>
      </c>
      <c r="B68" s="2">
        <v>16</v>
      </c>
      <c r="C68" s="110" t="s">
        <v>968</v>
      </c>
      <c r="D68" s="268"/>
      <c r="E68" s="276"/>
      <c r="F68" s="112">
        <f>VLOOKUP(C68,Bolts!A:L,5,0)</f>
        <v>0</v>
      </c>
      <c r="G68" s="112">
        <f>VLOOKUP(C68,Bolts!A:L,6,0)</f>
        <v>0</v>
      </c>
      <c r="H68" s="112">
        <f>VLOOKUP(C68,Bolts!A:L,7,0)</f>
        <v>0</v>
      </c>
      <c r="I68" s="112"/>
      <c r="J68" s="44">
        <f>VLOOKUP(C68,Bolts!A:L,8,0)</f>
        <v>0</v>
      </c>
      <c r="K68" s="44">
        <f>VLOOKUP(C68,Bolts!A:L,9,0)</f>
        <v>0</v>
      </c>
      <c r="L68" s="44">
        <f>VLOOKUP(C68,Bolts!A:L,10,0)</f>
        <v>0</v>
      </c>
      <c r="M68" s="44">
        <f>VLOOKUP(C68,Bolts!A:L,11,0)</f>
        <v>0</v>
      </c>
      <c r="N68" s="45">
        <f>VLOOKUP(C68,Bolts!A:L,12,0)</f>
        <v>0</v>
      </c>
      <c r="O68" s="45" t="e">
        <f t="shared" ca="1" si="3"/>
        <v>#VALUE!</v>
      </c>
      <c r="P68" s="49">
        <f>IFERROR(VLOOKUP(C68,Bolts!A:B,2,FALSE),"")</f>
        <v>0</v>
      </c>
      <c r="Q68" s="50">
        <f t="shared" si="7"/>
        <v>0</v>
      </c>
    </row>
    <row r="69" spans="1:17" s="2" customFormat="1" ht="12" customHeight="1">
      <c r="A69" s="4">
        <f t="shared" si="8"/>
        <v>508</v>
      </c>
      <c r="B69" s="2">
        <v>8</v>
      </c>
      <c r="C69" s="110" t="s">
        <v>342</v>
      </c>
      <c r="D69" s="268"/>
      <c r="E69" s="276"/>
      <c r="F69" s="112" t="str">
        <f>VLOOKUP(C69,Bolts!A:L,5,0)</f>
        <v xml:space="preserve">  </v>
      </c>
      <c r="G69" s="112" t="str">
        <f>VLOOKUP(C69,Bolts!A:L,6,0)</f>
        <v>Monroe Fasteners</v>
      </c>
      <c r="H69" s="112" t="str">
        <f>VLOOKUP(C69,Bolts!A:L,7,0)</f>
        <v xml:space="preserve">  </v>
      </c>
      <c r="I69" s="112"/>
      <c r="J69" s="44" t="str">
        <f>VLOOKUP(C69,Bolts!A:L,8,0)</f>
        <v xml:space="preserve"> </v>
      </c>
      <c r="K69" s="44" t="str">
        <f>VLOOKUP(C69,Bolts!A:L,9,0)</f>
        <v xml:space="preserve"> </v>
      </c>
      <c r="L69" s="44" t="str">
        <f>VLOOKUP(C69,Bolts!A:L,10,0)</f>
        <v xml:space="preserve"> </v>
      </c>
      <c r="M69" s="44" t="str">
        <f>VLOOKUP(C69,Bolts!A:L,11,0)</f>
        <v xml:space="preserve"> </v>
      </c>
      <c r="N69" s="45" t="str">
        <f>VLOOKUP(C69,Bolts!A:L,12,0)</f>
        <v xml:space="preserve"> </v>
      </c>
      <c r="O69" s="45" t="e">
        <f t="shared" ca="1" si="3"/>
        <v>#VALUE!</v>
      </c>
      <c r="P69" s="49" t="str">
        <f>IFERROR(VLOOKUP(C69,Bolts!A:B,2,FALSE),"")</f>
        <v xml:space="preserve"> </v>
      </c>
      <c r="Q69" s="50" t="str">
        <f t="shared" si="7"/>
        <v/>
      </c>
    </row>
    <row r="70" spans="1:17" s="2" customFormat="1" ht="12" customHeight="1">
      <c r="A70" s="4">
        <f t="shared" si="8"/>
        <v>509</v>
      </c>
      <c r="B70" s="2">
        <v>8</v>
      </c>
      <c r="C70" s="110" t="s">
        <v>699</v>
      </c>
      <c r="D70" s="268"/>
      <c r="E70" s="276"/>
      <c r="F70" s="112" t="str">
        <f>VLOOKUP(C70,Bolts!A:L,5,0)</f>
        <v xml:space="preserve">  </v>
      </c>
      <c r="G70" s="112" t="str">
        <f>VLOOKUP(C70,Bolts!A:L,6,0)</f>
        <v>Monroe Fasteners</v>
      </c>
      <c r="H70" s="112" t="str">
        <f>VLOOKUP(C70,Bolts!A:L,7,0)</f>
        <v xml:space="preserve">  </v>
      </c>
      <c r="I70" s="112"/>
      <c r="J70" s="44" t="str">
        <f>VLOOKUP(C70,Bolts!A:L,8,0)</f>
        <v xml:space="preserve"> </v>
      </c>
      <c r="K70" s="44" t="str">
        <f>VLOOKUP(C70,Bolts!A:L,9,0)</f>
        <v xml:space="preserve"> </v>
      </c>
      <c r="L70" s="44" t="str">
        <f>VLOOKUP(C70,Bolts!A:L,10,0)</f>
        <v xml:space="preserve"> </v>
      </c>
      <c r="M70" s="44" t="str">
        <f>VLOOKUP(C70,Bolts!A:L,11,0)</f>
        <v xml:space="preserve"> </v>
      </c>
      <c r="N70" s="45" t="str">
        <f>VLOOKUP(C70,Bolts!A:L,12,0)</f>
        <v xml:space="preserve"> </v>
      </c>
      <c r="O70" s="45" t="e">
        <f t="shared" ca="1" si="3"/>
        <v>#VALUE!</v>
      </c>
      <c r="P70" s="49" t="str">
        <f>IFERROR(VLOOKUP(C70,Bolts!A:B,2,FALSE),"")</f>
        <v xml:space="preserve"> </v>
      </c>
      <c r="Q70" s="50" t="str">
        <f t="shared" si="7"/>
        <v/>
      </c>
    </row>
    <row r="71" spans="1:17" s="2" customFormat="1" ht="12" customHeight="1">
      <c r="A71" s="4">
        <f t="shared" si="8"/>
        <v>510</v>
      </c>
      <c r="B71" s="2">
        <v>4</v>
      </c>
      <c r="C71" s="110" t="s">
        <v>828</v>
      </c>
      <c r="D71" s="268"/>
      <c r="E71" s="276"/>
      <c r="F71" s="112" t="str">
        <f>VLOOKUP(C71,Bolts!A:L,5,0)</f>
        <v xml:space="preserve">  </v>
      </c>
      <c r="G71" s="112" t="str">
        <f>VLOOKUP(C71,Bolts!A:L,6,0)</f>
        <v>Monroe Fasteners</v>
      </c>
      <c r="H71" s="112" t="str">
        <f>VLOOKUP(C71,Bolts!A:L,7,0)</f>
        <v xml:space="preserve">  </v>
      </c>
      <c r="I71" s="112"/>
      <c r="J71" s="44" t="str">
        <f>VLOOKUP(C71,Bolts!A:L,8,0)</f>
        <v xml:space="preserve"> </v>
      </c>
      <c r="K71" s="44" t="str">
        <f>VLOOKUP(C71,Bolts!A:L,9,0)</f>
        <v xml:space="preserve"> </v>
      </c>
      <c r="L71" s="44" t="str">
        <f>VLOOKUP(C71,Bolts!A:L,10,0)</f>
        <v xml:space="preserve"> </v>
      </c>
      <c r="M71" s="44" t="str">
        <f>VLOOKUP(C71,Bolts!A:L,11,0)</f>
        <v xml:space="preserve"> </v>
      </c>
      <c r="N71" s="45" t="str">
        <f>VLOOKUP(C71,Bolts!A:L,12,0)</f>
        <v xml:space="preserve"> </v>
      </c>
      <c r="O71" s="45" t="e">
        <f t="shared" ref="O71" ca="1" si="9">B71*$L$2</f>
        <v>#VALUE!</v>
      </c>
      <c r="P71" s="49" t="str">
        <f>IFERROR(VLOOKUP(C71,Bolts!A:B,2,FALSE),"")</f>
        <v xml:space="preserve"> </v>
      </c>
      <c r="Q71" s="50" t="str">
        <f t="shared" si="7"/>
        <v/>
      </c>
    </row>
    <row r="72" spans="1:17" s="2" customFormat="1" ht="12" customHeight="1">
      <c r="A72" s="4">
        <f t="shared" si="8"/>
        <v>511</v>
      </c>
      <c r="B72" s="2">
        <v>4</v>
      </c>
      <c r="C72" s="110" t="s">
        <v>351</v>
      </c>
      <c r="D72" s="268"/>
      <c r="E72" s="276"/>
      <c r="F72" s="112" t="str">
        <f>VLOOKUP(C72,Bolts!A:L,5,0)</f>
        <v xml:space="preserve">  </v>
      </c>
      <c r="G72" s="112" t="str">
        <f>VLOOKUP(C72,Bolts!A:L,6,0)</f>
        <v>Monroe Fasteners</v>
      </c>
      <c r="H72" s="112" t="str">
        <f>VLOOKUP(C72,Bolts!A:L,7,0)</f>
        <v xml:space="preserve">  </v>
      </c>
      <c r="I72" s="112"/>
      <c r="J72" s="44" t="str">
        <f>VLOOKUP(C72,Bolts!A:L,8,0)</f>
        <v xml:space="preserve"> </v>
      </c>
      <c r="K72" s="44" t="str">
        <f>VLOOKUP(C72,Bolts!A:L,9,0)</f>
        <v xml:space="preserve"> </v>
      </c>
      <c r="L72" s="44" t="str">
        <f>VLOOKUP(C72,Bolts!A:L,10,0)</f>
        <v xml:space="preserve"> </v>
      </c>
      <c r="M72" s="44" t="str">
        <f>VLOOKUP(C72,Bolts!A:L,11,0)</f>
        <v xml:space="preserve"> </v>
      </c>
      <c r="N72" s="45" t="str">
        <f>VLOOKUP(C72,Bolts!A:L,12,0)</f>
        <v xml:space="preserve"> </v>
      </c>
      <c r="O72" s="45" t="e">
        <f t="shared" ref="O72" ca="1" si="10">B72*$L$2</f>
        <v>#VALUE!</v>
      </c>
      <c r="P72" s="49" t="str">
        <f>IFERROR(VLOOKUP(C72,Bolts!A:B,2,FALSE),"")</f>
        <v xml:space="preserve"> </v>
      </c>
      <c r="Q72" s="50" t="str">
        <f t="shared" ref="Q72" si="11">IFERROR(B72*P72,"")</f>
        <v/>
      </c>
    </row>
    <row r="73" spans="1:17" s="2" customFormat="1" ht="12" customHeight="1">
      <c r="A73" s="4">
        <f t="shared" si="8"/>
        <v>512</v>
      </c>
      <c r="B73" s="2">
        <v>4</v>
      </c>
      <c r="C73" s="110" t="s">
        <v>969</v>
      </c>
      <c r="D73" s="268"/>
      <c r="E73" s="276"/>
      <c r="F73" s="112">
        <f>VLOOKUP(C73,Bolts!A:L,5,0)</f>
        <v>0</v>
      </c>
      <c r="G73" s="112">
        <f>VLOOKUP(C73,Bolts!A:L,6,0)</f>
        <v>0</v>
      </c>
      <c r="H73" s="112">
        <f>VLOOKUP(C73,Bolts!A:L,7,0)</f>
        <v>0</v>
      </c>
      <c r="I73" s="112"/>
      <c r="J73" s="44">
        <f>VLOOKUP(C73,Bolts!A:L,8,0)</f>
        <v>0</v>
      </c>
      <c r="K73" s="44">
        <f>VLOOKUP(C73,Bolts!A:L,9,0)</f>
        <v>0</v>
      </c>
      <c r="L73" s="44">
        <f>VLOOKUP(C73,Bolts!A:L,10,0)</f>
        <v>0</v>
      </c>
      <c r="M73" s="44">
        <f>VLOOKUP(C73,Bolts!A:L,11,0)</f>
        <v>0</v>
      </c>
      <c r="N73" s="45">
        <f>VLOOKUP(C73,Bolts!A:L,12,0)</f>
        <v>0</v>
      </c>
      <c r="O73" s="45" t="e">
        <f t="shared" ref="O73" ca="1" si="12">B73*$L$2</f>
        <v>#VALUE!</v>
      </c>
      <c r="P73" s="49">
        <f>IFERROR(VLOOKUP(C73,Bolts!A:B,2,FALSE),"")</f>
        <v>0</v>
      </c>
      <c r="Q73" s="50">
        <f t="shared" ref="Q73" si="13">IFERROR(B73*P73,"")</f>
        <v>0</v>
      </c>
    </row>
    <row r="74" spans="1:17" s="2" customFormat="1" ht="12" customHeight="1">
      <c r="A74" s="4">
        <f t="shared" si="8"/>
        <v>513</v>
      </c>
      <c r="B74" s="2">
        <v>4</v>
      </c>
      <c r="C74" s="110" t="s">
        <v>970</v>
      </c>
      <c r="D74" s="268"/>
      <c r="E74" s="276"/>
      <c r="F74" s="112" t="str">
        <f>VLOOKUP(C74,Bolts!A:L,5,0)</f>
        <v xml:space="preserve">  </v>
      </c>
      <c r="G74" s="112" t="str">
        <f>VLOOKUP(C74,Bolts!A:L,6,0)</f>
        <v>Monroe Fasteners</v>
      </c>
      <c r="H74" s="112" t="str">
        <f>VLOOKUP(C74,Bolts!A:L,7,0)</f>
        <v xml:space="preserve">  </v>
      </c>
      <c r="I74" s="112"/>
      <c r="J74" s="44" t="str">
        <f>VLOOKUP(C74,Bolts!A:L,8,0)</f>
        <v xml:space="preserve"> </v>
      </c>
      <c r="K74" s="44" t="str">
        <f>VLOOKUP(C74,Bolts!A:L,9,0)</f>
        <v xml:space="preserve"> </v>
      </c>
      <c r="L74" s="44" t="str">
        <f>VLOOKUP(C74,Bolts!A:L,10,0)</f>
        <v xml:space="preserve"> </v>
      </c>
      <c r="M74" s="44" t="str">
        <f>VLOOKUP(C74,Bolts!A:L,11,0)</f>
        <v xml:space="preserve"> </v>
      </c>
      <c r="N74" s="45" t="str">
        <f>VLOOKUP(C74,Bolts!A:L,12,0)</f>
        <v xml:space="preserve"> </v>
      </c>
      <c r="O74" s="45" t="e">
        <f t="shared" ref="O74:O75" ca="1" si="14">B74*$L$2</f>
        <v>#VALUE!</v>
      </c>
      <c r="P74" s="49" t="str">
        <f>IFERROR(VLOOKUP(C74,Bolts!A:B,2,FALSE),"")</f>
        <v xml:space="preserve"> </v>
      </c>
      <c r="Q74" s="50" t="str">
        <f t="shared" ref="Q74:Q75" si="15">IFERROR(B74*P74,"")</f>
        <v/>
      </c>
    </row>
    <row r="75" spans="1:17" s="2" customFormat="1" ht="12" customHeight="1">
      <c r="A75" s="4">
        <f t="shared" si="8"/>
        <v>514</v>
      </c>
      <c r="B75" s="2">
        <v>4</v>
      </c>
      <c r="C75" s="110" t="s">
        <v>971</v>
      </c>
      <c r="D75" s="268"/>
      <c r="E75" s="276"/>
      <c r="F75" s="112" t="str">
        <f>VLOOKUP(C75,Bolts!A:L,5,0)</f>
        <v xml:space="preserve">  </v>
      </c>
      <c r="G75" s="112" t="str">
        <f>VLOOKUP(C75,Bolts!A:L,6,0)</f>
        <v>Monroe Fasteners</v>
      </c>
      <c r="H75" s="112" t="str">
        <f>VLOOKUP(C75,Bolts!A:L,7,0)</f>
        <v xml:space="preserve">  </v>
      </c>
      <c r="I75" s="112"/>
      <c r="J75" s="44" t="str">
        <f>VLOOKUP(C75,Bolts!A:L,8,0)</f>
        <v xml:space="preserve"> </v>
      </c>
      <c r="K75" s="44" t="str">
        <f>VLOOKUP(C75,Bolts!A:L,9,0)</f>
        <v xml:space="preserve"> </v>
      </c>
      <c r="L75" s="44" t="str">
        <f>VLOOKUP(C75,Bolts!A:L,10,0)</f>
        <v xml:space="preserve"> </v>
      </c>
      <c r="M75" s="44" t="str">
        <f>VLOOKUP(C75,Bolts!A:L,11,0)</f>
        <v xml:space="preserve"> </v>
      </c>
      <c r="N75" s="45" t="str">
        <f>VLOOKUP(C75,Bolts!A:L,12,0)</f>
        <v xml:space="preserve"> </v>
      </c>
      <c r="O75" s="45" t="e">
        <f t="shared" ca="1" si="14"/>
        <v>#VALUE!</v>
      </c>
      <c r="P75" s="49" t="str">
        <f>IFERROR(VLOOKUP(C75,Bolts!A:B,2,FALSE),"")</f>
        <v xml:space="preserve"> </v>
      </c>
      <c r="Q75" s="50" t="str">
        <f t="shared" si="15"/>
        <v/>
      </c>
    </row>
    <row r="76" spans="1:17" s="2" customFormat="1" ht="12" customHeight="1">
      <c r="A76" s="4">
        <f t="shared" si="8"/>
        <v>515</v>
      </c>
      <c r="B76" s="2">
        <v>1</v>
      </c>
      <c r="C76" s="110" t="s">
        <v>972</v>
      </c>
      <c r="D76" s="268"/>
      <c r="E76" s="276"/>
      <c r="F76" s="112">
        <f>VLOOKUP(C76,Bolts!A:L,5,0)</f>
        <v>0</v>
      </c>
      <c r="G76" s="112">
        <f>VLOOKUP(C76,Bolts!A:L,6,0)</f>
        <v>0</v>
      </c>
      <c r="H76" s="112">
        <f>VLOOKUP(C76,Bolts!A:L,7,0)</f>
        <v>0</v>
      </c>
      <c r="I76" s="112"/>
      <c r="J76" s="44">
        <f>VLOOKUP(C76,Bolts!A:L,8,0)</f>
        <v>0</v>
      </c>
      <c r="K76" s="44">
        <f>VLOOKUP(C76,Bolts!A:L,9,0)</f>
        <v>0</v>
      </c>
      <c r="L76" s="44">
        <f>VLOOKUP(C76,Bolts!A:L,10,0)</f>
        <v>0</v>
      </c>
      <c r="M76" s="44">
        <f>VLOOKUP(C76,Bolts!A:L,11,0)</f>
        <v>0</v>
      </c>
      <c r="N76" s="45">
        <f>VLOOKUP(C76,Bolts!A:L,12,0)</f>
        <v>0</v>
      </c>
      <c r="O76" s="45" t="e">
        <f t="shared" ref="O76" ca="1" si="16">B76*$L$2</f>
        <v>#VALUE!</v>
      </c>
      <c r="P76" s="49">
        <f>IFERROR(VLOOKUP(C76,Bolts!A:B,2,FALSE),"")</f>
        <v>0</v>
      </c>
      <c r="Q76" s="50">
        <f t="shared" ref="Q76" si="17">IFERROR(B76*P76,"")</f>
        <v>0</v>
      </c>
    </row>
    <row r="77" spans="1:17" s="2" customFormat="1" ht="12" customHeight="1" thickBot="1">
      <c r="A77" s="4">
        <f t="shared" si="8"/>
        <v>516</v>
      </c>
      <c r="B77" s="2">
        <v>4</v>
      </c>
      <c r="C77" s="110" t="s">
        <v>973</v>
      </c>
      <c r="D77" s="268"/>
      <c r="E77" s="276"/>
      <c r="F77" s="112">
        <f>VLOOKUP(C77,Bolts!A:L,5,0)</f>
        <v>0</v>
      </c>
      <c r="G77" s="112">
        <f>VLOOKUP(C77,Bolts!A:L,6,0)</f>
        <v>0</v>
      </c>
      <c r="H77" s="112">
        <f>VLOOKUP(C77,Bolts!A:L,7,0)</f>
        <v>0</v>
      </c>
      <c r="I77" s="112"/>
      <c r="J77" s="44">
        <f>VLOOKUP(C77,Bolts!A:L,8,0)</f>
        <v>0</v>
      </c>
      <c r="K77" s="44">
        <f>VLOOKUP(C77,Bolts!A:L,9,0)</f>
        <v>0</v>
      </c>
      <c r="L77" s="44">
        <f>VLOOKUP(C77,Bolts!A:L,10,0)</f>
        <v>0</v>
      </c>
      <c r="M77" s="44">
        <f>VLOOKUP(C77,Bolts!A:L,11,0)</f>
        <v>0</v>
      </c>
      <c r="N77" s="45">
        <f>VLOOKUP(C77,Bolts!A:L,12,0)</f>
        <v>0</v>
      </c>
      <c r="O77" s="45" t="e">
        <f t="shared" ref="O77" ca="1" si="18">B77*$L$2</f>
        <v>#VALUE!</v>
      </c>
      <c r="P77" s="49">
        <f>IFERROR(VLOOKUP(C77,Bolts!A:B,2,FALSE),"")</f>
        <v>0</v>
      </c>
      <c r="Q77" s="50">
        <f t="shared" ref="Q77" si="19">IFERROR(B77*P77,"")</f>
        <v>0</v>
      </c>
    </row>
    <row r="78" spans="1:17" s="2" customFormat="1" ht="12.75" customHeight="1" thickBot="1">
      <c r="A78" s="25"/>
      <c r="B78" s="26"/>
      <c r="C78" s="26"/>
      <c r="D78" s="272"/>
      <c r="E78" s="273"/>
      <c r="F78" s="26"/>
      <c r="G78" s="26"/>
      <c r="H78" s="274"/>
      <c r="I78" s="275"/>
      <c r="J78" s="27"/>
      <c r="K78" s="27"/>
      <c r="L78" s="27"/>
      <c r="M78" s="28"/>
      <c r="N78" s="29"/>
      <c r="O78" s="29"/>
      <c r="P78" s="89" t="s">
        <v>43</v>
      </c>
      <c r="Q78" s="94">
        <f>SUM(Q5:Q71)</f>
        <v>2502.6355999999992</v>
      </c>
    </row>
    <row r="79" spans="1:17" s="2" customFormat="1" ht="12" customHeight="1">
      <c r="D79" s="22"/>
      <c r="E79" s="22"/>
      <c r="J79" s="8"/>
      <c r="K79" s="8"/>
      <c r="L79" s="8"/>
      <c r="M79" s="8"/>
      <c r="N79" s="5"/>
      <c r="O79" s="5"/>
      <c r="P79" s="88"/>
      <c r="Q79" s="95"/>
    </row>
    <row r="80" spans="1:17" s="2" customFormat="1" ht="12" customHeight="1">
      <c r="B80" s="22"/>
      <c r="C80" s="22"/>
      <c r="H80" s="5"/>
      <c r="I80" s="5"/>
      <c r="J80" s="5"/>
      <c r="K80" s="5"/>
      <c r="L80" s="5"/>
      <c r="M80" s="5"/>
      <c r="N80" s="88"/>
      <c r="O80" s="95"/>
    </row>
    <row r="81" spans="2:17" s="2" customFormat="1" ht="12" customHeight="1">
      <c r="B81" s="22"/>
      <c r="C81" s="22"/>
      <c r="H81" s="5"/>
      <c r="I81" s="5"/>
      <c r="J81" s="5"/>
      <c r="K81" s="5"/>
      <c r="L81" s="5"/>
      <c r="M81" s="5"/>
      <c r="N81" s="88"/>
      <c r="O81" s="95"/>
    </row>
    <row r="82" spans="2:17" s="2" customFormat="1" ht="12" customHeight="1">
      <c r="B82" s="22"/>
      <c r="C82" s="22"/>
      <c r="H82" s="5"/>
      <c r="I82" s="5"/>
      <c r="J82" s="5"/>
      <c r="K82" s="5"/>
      <c r="L82" s="5"/>
      <c r="M82" s="5"/>
      <c r="N82" s="88"/>
      <c r="O82" s="95"/>
    </row>
    <row r="83" spans="2:17" s="2" customFormat="1" ht="12" customHeight="1">
      <c r="B83" s="22"/>
      <c r="C83" s="22"/>
      <c r="H83" s="5"/>
      <c r="I83" s="5"/>
      <c r="J83" s="5"/>
      <c r="K83" s="5"/>
      <c r="L83" s="5"/>
      <c r="M83" s="5"/>
      <c r="N83" s="88"/>
      <c r="O83" s="95"/>
    </row>
    <row r="84" spans="2:17" s="2" customFormat="1" ht="12" customHeight="1">
      <c r="B84" s="22"/>
      <c r="C84" s="22"/>
      <c r="H84" s="5"/>
      <c r="I84" s="5"/>
      <c r="J84" s="5"/>
      <c r="K84" s="5"/>
      <c r="L84" s="5"/>
      <c r="M84" s="5"/>
      <c r="N84" s="88"/>
      <c r="O84" s="95"/>
    </row>
    <row r="85" spans="2:17" s="2" customFormat="1" ht="12" customHeight="1">
      <c r="B85" s="22"/>
      <c r="C85" s="22"/>
      <c r="H85" s="5"/>
      <c r="I85" s="5"/>
      <c r="J85" s="5"/>
      <c r="K85" s="5"/>
      <c r="L85" s="5"/>
      <c r="M85" s="5"/>
      <c r="N85" s="88"/>
      <c r="O85" s="95"/>
    </row>
    <row r="86" spans="2:17" s="2" customFormat="1" ht="12" customHeight="1">
      <c r="B86" s="22"/>
      <c r="C86" s="22"/>
      <c r="H86" s="5"/>
      <c r="I86" s="5"/>
      <c r="J86" s="5"/>
      <c r="K86" s="5"/>
      <c r="L86" s="5"/>
      <c r="M86" s="5"/>
      <c r="N86" s="88"/>
      <c r="O86" s="95"/>
    </row>
    <row r="87" spans="2:17" s="2" customFormat="1" ht="12" customHeight="1">
      <c r="B87" s="22"/>
      <c r="C87" s="22"/>
      <c r="H87" s="5"/>
      <c r="I87" s="5"/>
      <c r="J87" s="5"/>
      <c r="K87" s="5"/>
      <c r="L87" s="5"/>
      <c r="M87" s="5"/>
      <c r="N87" s="88"/>
      <c r="O87" s="95"/>
    </row>
    <row r="88" spans="2:17" s="2" customFormat="1" ht="12" customHeight="1">
      <c r="B88" s="22"/>
      <c r="C88" s="22"/>
      <c r="H88" s="5"/>
      <c r="I88" s="5"/>
      <c r="J88" s="5"/>
      <c r="K88" s="5"/>
      <c r="L88" s="5"/>
      <c r="M88" s="5"/>
      <c r="N88" s="88"/>
      <c r="O88" s="95"/>
    </row>
    <row r="89" spans="2:17" s="2" customFormat="1" ht="12" customHeight="1">
      <c r="B89" s="22"/>
      <c r="C89" s="22"/>
      <c r="H89" s="5"/>
      <c r="I89" s="5"/>
      <c r="J89" s="5"/>
      <c r="K89" s="5"/>
      <c r="L89" s="5"/>
      <c r="M89" s="5"/>
      <c r="N89" s="88"/>
      <c r="O89" s="95"/>
    </row>
    <row r="90" spans="2:17" s="2" customFormat="1" ht="12" customHeight="1">
      <c r="D90" s="22"/>
      <c r="E90" s="22"/>
      <c r="J90" s="5"/>
      <c r="K90" s="5"/>
      <c r="L90" s="5"/>
      <c r="M90" s="5"/>
      <c r="N90" s="5"/>
      <c r="O90" s="5"/>
      <c r="P90" s="88"/>
      <c r="Q90" s="95"/>
    </row>
    <row r="91" spans="2:17" s="2" customFormat="1" ht="12" customHeight="1">
      <c r="D91" s="22"/>
      <c r="E91" s="22"/>
      <c r="J91" s="5"/>
      <c r="K91" s="5"/>
      <c r="L91" s="5"/>
      <c r="M91" s="5"/>
      <c r="N91" s="5"/>
      <c r="O91" s="5"/>
      <c r="P91" s="88"/>
      <c r="Q91" s="95"/>
    </row>
    <row r="92" spans="2:17" s="2" customFormat="1" ht="12" customHeight="1">
      <c r="D92" s="22"/>
      <c r="E92" s="22"/>
      <c r="J92" s="5"/>
      <c r="K92" s="5"/>
      <c r="L92" s="5"/>
      <c r="M92" s="5"/>
      <c r="N92" s="5"/>
      <c r="O92" s="5"/>
      <c r="P92" s="88"/>
      <c r="Q92" s="95"/>
    </row>
    <row r="93" spans="2:17" s="2" customFormat="1" ht="12" customHeight="1">
      <c r="D93" s="22"/>
      <c r="E93" s="22"/>
      <c r="J93" s="5"/>
      <c r="K93" s="5"/>
      <c r="L93" s="5"/>
      <c r="M93" s="5"/>
      <c r="N93" s="5"/>
      <c r="O93" s="5"/>
      <c r="P93" s="88"/>
      <c r="Q93" s="95"/>
    </row>
    <row r="94" spans="2:17" s="2" customFormat="1" ht="12" customHeight="1">
      <c r="D94" s="22"/>
      <c r="E94" s="22"/>
      <c r="J94" s="5"/>
      <c r="K94" s="5"/>
      <c r="L94" s="5"/>
      <c r="M94" s="5"/>
      <c r="N94" s="5"/>
      <c r="O94" s="5"/>
      <c r="P94" s="88"/>
      <c r="Q94" s="95"/>
    </row>
    <row r="95" spans="2:17" s="2" customFormat="1" ht="12" customHeight="1">
      <c r="D95" s="22"/>
      <c r="E95" s="22"/>
      <c r="J95" s="5"/>
      <c r="K95" s="5"/>
      <c r="L95" s="5"/>
      <c r="M95" s="5"/>
      <c r="N95" s="5"/>
      <c r="O95" s="5"/>
      <c r="P95" s="88"/>
      <c r="Q95" s="95"/>
    </row>
    <row r="96" spans="2:17" s="2" customFormat="1" ht="12" customHeight="1">
      <c r="D96" s="22"/>
      <c r="E96" s="22"/>
      <c r="J96" s="5"/>
      <c r="K96" s="5"/>
      <c r="L96" s="5"/>
      <c r="M96" s="5"/>
      <c r="N96" s="5"/>
      <c r="O96" s="5"/>
      <c r="P96" s="88"/>
      <c r="Q96" s="95"/>
    </row>
    <row r="97" spans="4:17" s="2" customFormat="1" ht="12" customHeight="1">
      <c r="D97" s="22"/>
      <c r="E97" s="22"/>
      <c r="J97" s="5"/>
      <c r="K97" s="5"/>
      <c r="L97" s="5"/>
      <c r="M97" s="5"/>
      <c r="N97" s="5"/>
      <c r="O97" s="5"/>
      <c r="P97" s="88"/>
      <c r="Q97" s="95"/>
    </row>
    <row r="98" spans="4:17" s="2" customFormat="1" ht="12" customHeight="1">
      <c r="D98" s="22"/>
      <c r="E98" s="22"/>
      <c r="J98" s="5"/>
      <c r="K98" s="5"/>
      <c r="L98" s="5"/>
      <c r="M98" s="5"/>
      <c r="N98" s="5"/>
      <c r="O98" s="5"/>
      <c r="P98" s="88"/>
      <c r="Q98" s="95"/>
    </row>
    <row r="99" spans="4:17" s="2" customFormat="1" ht="12" customHeight="1">
      <c r="D99" s="22"/>
      <c r="E99" s="22"/>
      <c r="J99" s="5"/>
      <c r="K99" s="5"/>
      <c r="L99" s="5"/>
      <c r="M99" s="5"/>
      <c r="N99" s="5"/>
      <c r="O99" s="5"/>
      <c r="P99" s="88"/>
      <c r="Q99" s="95"/>
    </row>
    <row r="100" spans="4:17" s="2" customFormat="1" ht="12" customHeight="1">
      <c r="D100" s="22"/>
      <c r="E100" s="22"/>
      <c r="J100" s="5"/>
      <c r="K100" s="5"/>
      <c r="L100" s="5"/>
      <c r="M100" s="5"/>
      <c r="N100" s="5"/>
      <c r="O100" s="5"/>
      <c r="P100" s="88"/>
      <c r="Q100" s="95"/>
    </row>
    <row r="101" spans="4:17" s="2" customFormat="1" ht="12" customHeight="1">
      <c r="D101" s="22"/>
      <c r="E101" s="22"/>
      <c r="J101" s="5"/>
      <c r="K101" s="5"/>
      <c r="L101" s="5"/>
      <c r="M101" s="5"/>
      <c r="N101" s="5"/>
      <c r="O101" s="5"/>
      <c r="P101" s="88"/>
      <c r="Q101" s="95"/>
    </row>
    <row r="102" spans="4:17" s="2" customFormat="1" ht="12" customHeight="1">
      <c r="D102" s="22"/>
      <c r="E102" s="22"/>
      <c r="J102" s="5"/>
      <c r="K102" s="5"/>
      <c r="L102" s="5"/>
      <c r="M102" s="5"/>
      <c r="N102" s="5"/>
      <c r="O102" s="5"/>
      <c r="P102" s="88"/>
      <c r="Q102" s="95"/>
    </row>
    <row r="103" spans="4:17" s="2" customFormat="1" ht="12" customHeight="1">
      <c r="D103" s="22"/>
      <c r="E103" s="22"/>
      <c r="J103" s="5"/>
      <c r="K103" s="5"/>
      <c r="L103" s="5"/>
      <c r="M103" s="5"/>
      <c r="N103" s="5"/>
      <c r="O103" s="5"/>
      <c r="P103" s="88"/>
      <c r="Q103" s="95"/>
    </row>
    <row r="104" spans="4:17" s="2" customFormat="1" ht="12" customHeight="1">
      <c r="D104" s="22"/>
      <c r="E104" s="22"/>
      <c r="J104" s="5"/>
      <c r="K104" s="5"/>
      <c r="L104" s="5"/>
      <c r="M104" s="5"/>
      <c r="N104" s="5"/>
      <c r="O104" s="5"/>
      <c r="P104" s="88"/>
      <c r="Q104" s="95"/>
    </row>
    <row r="105" spans="4:17" s="2" customFormat="1" ht="12" customHeight="1">
      <c r="D105" s="22"/>
      <c r="E105" s="22"/>
      <c r="J105" s="5"/>
      <c r="K105" s="5"/>
      <c r="L105" s="5"/>
      <c r="M105" s="5"/>
      <c r="N105" s="5"/>
      <c r="O105" s="5"/>
      <c r="P105" s="88"/>
      <c r="Q105" s="95"/>
    </row>
    <row r="106" spans="4:17" s="2" customFormat="1" ht="12" customHeight="1">
      <c r="D106" s="22"/>
      <c r="E106" s="22"/>
      <c r="J106" s="5"/>
      <c r="K106" s="5"/>
      <c r="L106" s="5"/>
      <c r="M106" s="5"/>
      <c r="N106" s="5"/>
      <c r="O106" s="5"/>
      <c r="P106" s="88"/>
      <c r="Q106" s="95"/>
    </row>
    <row r="107" spans="4:17" s="2" customFormat="1" ht="12" customHeight="1">
      <c r="D107" s="22"/>
      <c r="E107" s="22"/>
      <c r="J107" s="5"/>
      <c r="K107" s="5"/>
      <c r="L107" s="5"/>
      <c r="M107" s="5"/>
      <c r="N107" s="5"/>
      <c r="O107" s="5"/>
      <c r="P107" s="88"/>
      <c r="Q107" s="95"/>
    </row>
    <row r="108" spans="4:17" s="2" customFormat="1" ht="12" customHeight="1">
      <c r="D108" s="22"/>
      <c r="E108" s="22"/>
      <c r="J108" s="5"/>
      <c r="K108" s="5"/>
      <c r="L108" s="5"/>
      <c r="M108" s="5"/>
      <c r="N108" s="5"/>
      <c r="O108" s="5"/>
      <c r="P108" s="88"/>
      <c r="Q108" s="95"/>
    </row>
    <row r="109" spans="4:17" s="2" customFormat="1" ht="12" customHeight="1">
      <c r="D109" s="22"/>
      <c r="E109" s="22"/>
      <c r="J109" s="5"/>
      <c r="K109" s="5"/>
      <c r="L109" s="5"/>
      <c r="M109" s="5"/>
      <c r="N109" s="5"/>
      <c r="O109" s="5"/>
      <c r="P109" s="88"/>
      <c r="Q109" s="95"/>
    </row>
    <row r="110" spans="4:17" s="2" customFormat="1" ht="12" customHeight="1">
      <c r="D110" s="22"/>
      <c r="E110" s="22"/>
      <c r="J110" s="5"/>
      <c r="K110" s="5"/>
      <c r="L110" s="5"/>
      <c r="M110" s="5"/>
      <c r="N110" s="5"/>
      <c r="O110" s="5"/>
      <c r="P110" s="88"/>
      <c r="Q110" s="95"/>
    </row>
    <row r="111" spans="4:17" s="2" customFormat="1" ht="12" customHeight="1">
      <c r="D111" s="22"/>
      <c r="E111" s="22"/>
      <c r="J111" s="5"/>
      <c r="K111" s="5"/>
      <c r="L111" s="5"/>
      <c r="M111" s="5"/>
      <c r="N111" s="5"/>
      <c r="O111" s="5"/>
      <c r="P111" s="88"/>
      <c r="Q111" s="95"/>
    </row>
    <row r="112" spans="4:17" s="2" customFormat="1" ht="12" customHeight="1">
      <c r="D112" s="22"/>
      <c r="E112" s="22"/>
      <c r="J112" s="5"/>
      <c r="K112" s="5"/>
      <c r="L112" s="5"/>
      <c r="M112" s="5"/>
      <c r="N112" s="5"/>
      <c r="O112" s="5"/>
      <c r="P112" s="88"/>
      <c r="Q112" s="95"/>
    </row>
    <row r="113" spans="1:17" s="2" customFormat="1" ht="12" customHeight="1">
      <c r="D113" s="22"/>
      <c r="E113" s="22"/>
      <c r="J113" s="5"/>
      <c r="K113" s="5"/>
      <c r="L113" s="5"/>
      <c r="M113" s="5"/>
      <c r="N113" s="5"/>
      <c r="O113" s="5"/>
      <c r="P113" s="88"/>
      <c r="Q113" s="95"/>
    </row>
    <row r="114" spans="1:17" s="2" customFormat="1" ht="12" customHeight="1">
      <c r="D114" s="22"/>
      <c r="E114" s="22"/>
      <c r="J114" s="5"/>
      <c r="K114" s="5"/>
      <c r="L114" s="5"/>
      <c r="M114" s="5"/>
      <c r="N114" s="5"/>
      <c r="O114" s="5"/>
      <c r="P114" s="88"/>
      <c r="Q114" s="95"/>
    </row>
    <row r="115" spans="1:17" s="2" customFormat="1" ht="12" customHeight="1">
      <c r="D115" s="22"/>
      <c r="E115" s="22"/>
      <c r="J115" s="5"/>
      <c r="K115" s="5"/>
      <c r="L115" s="5"/>
      <c r="M115" s="5"/>
      <c r="N115" s="5"/>
      <c r="O115" s="5"/>
      <c r="P115" s="88"/>
      <c r="Q115" s="95"/>
    </row>
    <row r="116" spans="1:17" s="2" customFormat="1" ht="12" customHeight="1">
      <c r="D116" s="22"/>
      <c r="E116" s="22"/>
      <c r="J116" s="5"/>
      <c r="K116" s="5"/>
      <c r="L116" s="5"/>
      <c r="M116" s="5"/>
      <c r="N116" s="5"/>
      <c r="O116" s="5"/>
      <c r="P116" s="88"/>
      <c r="Q116" s="95"/>
    </row>
    <row r="117" spans="1:17" s="2" customFormat="1" ht="12" customHeight="1">
      <c r="D117" s="22"/>
      <c r="E117" s="22"/>
      <c r="J117" s="5"/>
      <c r="K117" s="5"/>
      <c r="L117" s="5"/>
      <c r="M117" s="5"/>
      <c r="N117" s="5"/>
      <c r="O117" s="5"/>
      <c r="P117" s="88"/>
      <c r="Q117" s="96"/>
    </row>
    <row r="118" spans="1:17" s="2" customFormat="1" ht="12" customHeight="1">
      <c r="D118" s="22"/>
      <c r="E118" s="22"/>
      <c r="J118" s="5"/>
      <c r="K118" s="5"/>
      <c r="L118" s="5"/>
      <c r="M118" s="5"/>
      <c r="N118" s="5"/>
      <c r="O118" s="5"/>
      <c r="P118" s="88"/>
      <c r="Q118" s="96"/>
    </row>
    <row r="119" spans="1:17" s="2" customFormat="1" ht="12" customHeight="1">
      <c r="D119" s="22"/>
      <c r="E119" s="22"/>
      <c r="J119" s="5"/>
      <c r="K119" s="5"/>
      <c r="L119" s="5"/>
      <c r="M119" s="5"/>
      <c r="N119" s="5"/>
      <c r="O119" s="5"/>
      <c r="P119" s="88"/>
      <c r="Q119" s="96"/>
    </row>
    <row r="120" spans="1:17" s="2" customFormat="1" ht="12" customHeight="1">
      <c r="D120" s="22"/>
      <c r="E120" s="22"/>
      <c r="J120" s="5"/>
      <c r="K120" s="5"/>
      <c r="L120" s="5"/>
      <c r="M120" s="5"/>
      <c r="N120" s="5"/>
      <c r="O120" s="5"/>
      <c r="P120" s="88"/>
      <c r="Q120" s="96"/>
    </row>
    <row r="121" spans="1:17" s="2" customFormat="1" ht="12" customHeight="1">
      <c r="A121"/>
      <c r="B121"/>
      <c r="C121"/>
      <c r="D121" s="23"/>
      <c r="E121" s="23"/>
      <c r="F121"/>
      <c r="G121"/>
      <c r="H121"/>
      <c r="I121"/>
      <c r="J121" s="19"/>
      <c r="K121" s="19"/>
      <c r="L121" s="19"/>
      <c r="M121" s="19"/>
      <c r="N121" s="19"/>
      <c r="O121" s="19"/>
      <c r="P121" s="90"/>
      <c r="Q121" s="96"/>
    </row>
    <row r="122" spans="1:17" s="2" customFormat="1" ht="12" customHeight="1">
      <c r="A122"/>
      <c r="B122"/>
      <c r="C122"/>
      <c r="D122" s="23"/>
      <c r="E122" s="23"/>
      <c r="F122"/>
      <c r="G122"/>
      <c r="H122"/>
      <c r="I122"/>
      <c r="J122" s="19"/>
      <c r="K122" s="19"/>
      <c r="L122" s="19"/>
      <c r="M122" s="19"/>
      <c r="N122" s="19"/>
      <c r="O122" s="19"/>
      <c r="P122" s="90"/>
      <c r="Q122" s="96"/>
    </row>
    <row r="123" spans="1:17" s="2" customFormat="1" ht="12" customHeight="1">
      <c r="A123"/>
      <c r="B123"/>
      <c r="C123"/>
      <c r="D123" s="23"/>
      <c r="E123" s="23"/>
      <c r="F123"/>
      <c r="G123"/>
      <c r="H123"/>
      <c r="I123"/>
      <c r="J123" s="19"/>
      <c r="K123" s="19"/>
      <c r="L123" s="19"/>
      <c r="M123" s="19"/>
      <c r="N123" s="19"/>
      <c r="O123" s="19"/>
      <c r="P123" s="90"/>
      <c r="Q123" s="96"/>
    </row>
    <row r="124" spans="1:17" s="2" customFormat="1" ht="12" customHeight="1">
      <c r="A124"/>
      <c r="B124"/>
      <c r="C124"/>
      <c r="D124" s="23"/>
      <c r="E124" s="23"/>
      <c r="F124"/>
      <c r="G124"/>
      <c r="H124"/>
      <c r="I124"/>
      <c r="J124" s="19"/>
      <c r="K124" s="19"/>
      <c r="L124" s="19"/>
      <c r="M124" s="19"/>
      <c r="N124" s="19"/>
      <c r="O124" s="19"/>
      <c r="P124" s="90"/>
      <c r="Q124" s="96"/>
    </row>
    <row r="125" spans="1:17" s="2" customFormat="1" ht="12" customHeight="1">
      <c r="A125"/>
      <c r="B125"/>
      <c r="C125"/>
      <c r="D125" s="23"/>
      <c r="E125" s="23"/>
      <c r="F125"/>
      <c r="G125"/>
      <c r="H125"/>
      <c r="I125"/>
      <c r="J125" s="19"/>
      <c r="K125" s="19"/>
      <c r="L125" s="19"/>
      <c r="M125" s="19"/>
      <c r="N125" s="19"/>
      <c r="O125" s="19"/>
      <c r="P125" s="90"/>
      <c r="Q125" s="96"/>
    </row>
    <row r="126" spans="1:17">
      <c r="Q126" s="96"/>
    </row>
    <row r="127" spans="1:17">
      <c r="Q127" s="96"/>
    </row>
    <row r="128" spans="1:17">
      <c r="Q128" s="96"/>
    </row>
    <row r="129" spans="17:17">
      <c r="Q129" s="96"/>
    </row>
    <row r="130" spans="17:17">
      <c r="Q130" s="96"/>
    </row>
    <row r="131" spans="17:17">
      <c r="Q131" s="96"/>
    </row>
    <row r="132" spans="17:17">
      <c r="Q132" s="96"/>
    </row>
    <row r="133" spans="17:17">
      <c r="Q133" s="96"/>
    </row>
    <row r="134" spans="17:17">
      <c r="Q134" s="96"/>
    </row>
    <row r="135" spans="17:17">
      <c r="Q135" s="96"/>
    </row>
    <row r="136" spans="17:17">
      <c r="Q136" s="96"/>
    </row>
    <row r="137" spans="17:17">
      <c r="Q137" s="96"/>
    </row>
    <row r="138" spans="17:17">
      <c r="Q138" s="96"/>
    </row>
    <row r="139" spans="17:17">
      <c r="Q139" s="96"/>
    </row>
    <row r="140" spans="17:17">
      <c r="Q140" s="96"/>
    </row>
    <row r="141" spans="17:17">
      <c r="Q141" s="96"/>
    </row>
    <row r="142" spans="17:17">
      <c r="Q142" s="96"/>
    </row>
    <row r="143" spans="17:17">
      <c r="Q143" s="96"/>
    </row>
    <row r="144" spans="17:17">
      <c r="Q144" s="96"/>
    </row>
    <row r="145" spans="17:17">
      <c r="Q145" s="96"/>
    </row>
    <row r="182" ht="12" customHeight="1"/>
    <row r="183" ht="12" customHeight="1"/>
    <row r="184" ht="12" customHeight="1"/>
    <row r="185" ht="12" customHeight="1"/>
    <row r="186" ht="12" customHeight="1"/>
    <row r="187" ht="12" customHeight="1"/>
    <row r="188" ht="12" customHeight="1"/>
    <row r="189" ht="12" customHeight="1"/>
    <row r="190" ht="12" customHeight="1"/>
    <row r="191" ht="12" customHeight="1"/>
    <row r="192" ht="12" customHeight="1"/>
    <row r="193" ht="12" customHeight="1"/>
    <row r="194" ht="12" customHeight="1"/>
    <row r="195" ht="12" customHeight="1"/>
    <row r="196" ht="12" customHeight="1"/>
    <row r="197" ht="12" customHeight="1"/>
    <row r="198" ht="12" customHeight="1"/>
    <row r="199" ht="12" customHeight="1"/>
    <row r="200" ht="12" customHeight="1"/>
    <row r="201" ht="12" customHeight="1"/>
    <row r="202" ht="12" customHeight="1"/>
    <row r="203" ht="12" customHeight="1"/>
    <row r="204" ht="12" customHeight="1"/>
    <row r="205" ht="12" customHeight="1"/>
    <row r="206" ht="12" customHeight="1"/>
    <row r="207" ht="12" customHeight="1"/>
    <row r="208" ht="12" customHeight="1"/>
    <row r="209" ht="12" customHeight="1"/>
    <row r="210" ht="12" customHeight="1"/>
    <row r="211" ht="12" customHeight="1"/>
    <row r="212" ht="12" customHeight="1"/>
    <row r="213" ht="12" customHeight="1"/>
    <row r="214" ht="12" customHeight="1"/>
    <row r="215" ht="12" customHeight="1"/>
    <row r="216" ht="12" customHeight="1"/>
    <row r="217" ht="12" customHeight="1"/>
    <row r="218" ht="12" customHeight="1"/>
    <row r="219" ht="12" customHeight="1"/>
    <row r="220" ht="12" customHeight="1"/>
    <row r="221" ht="12" customHeight="1"/>
    <row r="222" ht="12" customHeight="1"/>
    <row r="223" ht="12" customHeight="1"/>
    <row r="224" ht="12" customHeight="1"/>
    <row r="225" ht="12" customHeight="1"/>
    <row r="226" ht="12" customHeight="1"/>
    <row r="227" ht="12" customHeight="1"/>
    <row r="228" ht="12" customHeight="1"/>
    <row r="229" ht="12" customHeight="1"/>
    <row r="230" ht="12" customHeight="1"/>
    <row r="231" ht="12" customHeight="1"/>
  </sheetData>
  <mergeCells count="80">
    <mergeCell ref="H4:I4"/>
    <mergeCell ref="D17:E17"/>
    <mergeCell ref="D11:E11"/>
    <mergeCell ref="D12:E12"/>
    <mergeCell ref="D13:E13"/>
    <mergeCell ref="D14:E14"/>
    <mergeCell ref="D15:E15"/>
    <mergeCell ref="D16:E16"/>
    <mergeCell ref="D5:E5"/>
    <mergeCell ref="D6:E6"/>
    <mergeCell ref="D7:E7"/>
    <mergeCell ref="D8:E8"/>
    <mergeCell ref="D9:E9"/>
    <mergeCell ref="D18:E18"/>
    <mergeCell ref="D19:E19"/>
    <mergeCell ref="D20:E20"/>
    <mergeCell ref="D10:E10"/>
    <mergeCell ref="D1:E1"/>
    <mergeCell ref="D4:E4"/>
    <mergeCell ref="D21:E21"/>
    <mergeCell ref="H21:I21"/>
    <mergeCell ref="D22:E22"/>
    <mergeCell ref="D23:E23"/>
    <mergeCell ref="D30:E30"/>
    <mergeCell ref="D24:E24"/>
    <mergeCell ref="D25:E25"/>
    <mergeCell ref="D26:E26"/>
    <mergeCell ref="D27:E27"/>
    <mergeCell ref="D28:E28"/>
    <mergeCell ref="D29:E29"/>
    <mergeCell ref="D31:E31"/>
    <mergeCell ref="D32:E32"/>
    <mergeCell ref="D33:E33"/>
    <mergeCell ref="D34:E34"/>
    <mergeCell ref="D35:E35"/>
    <mergeCell ref="D58:E58"/>
    <mergeCell ref="D47:E47"/>
    <mergeCell ref="D36:E36"/>
    <mergeCell ref="D37:E37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53:E53"/>
    <mergeCell ref="D54:E54"/>
    <mergeCell ref="D55:E55"/>
    <mergeCell ref="D56:E56"/>
    <mergeCell ref="D57:E57"/>
    <mergeCell ref="D48:E48"/>
    <mergeCell ref="D49:E49"/>
    <mergeCell ref="D50:E50"/>
    <mergeCell ref="D51:E51"/>
    <mergeCell ref="D52:E52"/>
    <mergeCell ref="H61:I61"/>
    <mergeCell ref="D60:E60"/>
    <mergeCell ref="D62:E62"/>
    <mergeCell ref="D61:E61"/>
    <mergeCell ref="D59:E59"/>
    <mergeCell ref="D63:E63"/>
    <mergeCell ref="D64:E64"/>
    <mergeCell ref="D65:E65"/>
    <mergeCell ref="D66:E66"/>
    <mergeCell ref="D67:E67"/>
    <mergeCell ref="D78:E78"/>
    <mergeCell ref="H78:I78"/>
    <mergeCell ref="D68:E68"/>
    <mergeCell ref="D69:E69"/>
    <mergeCell ref="D70:E70"/>
    <mergeCell ref="D71:E71"/>
    <mergeCell ref="D72:E72"/>
    <mergeCell ref="D73:E73"/>
    <mergeCell ref="D74:E74"/>
    <mergeCell ref="D75:E75"/>
    <mergeCell ref="D76:E76"/>
    <mergeCell ref="D77:E77"/>
  </mergeCells>
  <conditionalFormatting sqref="M22:M60 M5:M20 M62:M77">
    <cfRule type="cellIs" dxfId="358" priority="3" stopIfTrue="1" operator="lessThanOrEqual">
      <formula>$L5</formula>
    </cfRule>
    <cfRule type="cellIs" dxfId="357" priority="4" operator="greaterThan">
      <formula>L5</formula>
    </cfRule>
  </conditionalFormatting>
  <pageMargins left="0.7" right="0.7" top="0.75" bottom="0.75" header="0.3" footer="0.3"/>
  <pageSetup paperSize="3" fitToHeight="0" orientation="landscape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FE57794-0724-42C5-B7A5-D260E51816CA}">
          <x14:formula1>
            <xm:f>Bolts!$A:$A</xm:f>
          </x14:formula1>
          <xm:sqref>C62:C77</xm:sqref>
        </x14:dataValidation>
        <x14:dataValidation type="list" allowBlank="1" showInputMessage="1" showErrorMessage="1" xr:uid="{3CAEFA3E-B1F7-4C1C-A432-19B155F8DA93}">
          <x14:formula1>
            <xm:f>Purchased!$A:$A</xm:f>
          </x14:formula1>
          <xm:sqref>C22:C60</xm:sqref>
        </x14:dataValidation>
        <x14:dataValidation type="list" allowBlank="1" showInputMessage="1" showErrorMessage="1" xr:uid="{81D2EF5D-912D-4EE1-B0EF-92CD5E782DCD}">
          <x14:formula1>
            <xm:f>Machined!$C:$C</xm:f>
          </x14:formula1>
          <xm:sqref>C5:C20</xm:sqref>
        </x14:dataValidation>
      </x14:dataValidations>
    </ext>
  </extLst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D226EE-3730-48C0-BD83-D4CD2C575222}">
  <sheetPr codeName="Sheet82">
    <tabColor theme="3" tint="0.79998168889431442"/>
    <pageSetUpPr fitToPage="1"/>
  </sheetPr>
  <dimension ref="A1:Q227"/>
  <sheetViews>
    <sheetView topLeftCell="A15" zoomScaleNormal="100" workbookViewId="0">
      <selection activeCell="S11" sqref="S11"/>
    </sheetView>
  </sheetViews>
  <sheetFormatPr defaultColWidth="9.140625" defaultRowHeight="15"/>
  <cols>
    <col min="1" max="1" width="5.7109375" customWidth="1"/>
    <col min="2" max="2" width="5.42578125" bestFit="1" customWidth="1"/>
    <col min="3" max="3" width="30.7109375" customWidth="1"/>
    <col min="4" max="5" width="20.7109375" style="23" customWidth="1"/>
    <col min="6" max="6" width="16.85546875" bestFit="1" customWidth="1"/>
    <col min="7" max="7" width="9.7109375" customWidth="1"/>
    <col min="8" max="8" width="8.7109375" customWidth="1"/>
    <col min="9" max="9" width="20.7109375" customWidth="1"/>
    <col min="10" max="13" width="11.7109375" style="19" customWidth="1"/>
    <col min="14" max="14" width="11.85546875" style="19" bestFit="1" customWidth="1"/>
    <col min="15" max="15" width="7.7109375" style="19" customWidth="1"/>
    <col min="16" max="16" width="10.7109375" style="90" customWidth="1"/>
    <col min="17" max="17" width="10.7109375" style="97" customWidth="1"/>
  </cols>
  <sheetData>
    <row r="1" spans="1:17" s="55" customFormat="1" ht="12" customHeight="1">
      <c r="A1" s="68" t="s">
        <v>0</v>
      </c>
      <c r="B1" s="69"/>
      <c r="C1" s="69"/>
      <c r="D1" s="262" t="s">
        <v>1</v>
      </c>
      <c r="E1" s="263"/>
      <c r="F1" s="70"/>
      <c r="G1" s="69"/>
      <c r="H1" s="70"/>
      <c r="I1" s="71"/>
      <c r="J1" s="72"/>
      <c r="K1" s="72"/>
      <c r="L1" s="72"/>
      <c r="M1" s="72"/>
      <c r="N1" s="72"/>
      <c r="O1" s="72"/>
      <c r="P1" s="85"/>
      <c r="Q1" s="91"/>
    </row>
    <row r="2" spans="1:17" s="55" customFormat="1" ht="12" customHeight="1">
      <c r="A2" s="74" t="s">
        <v>48</v>
      </c>
      <c r="B2" s="58"/>
      <c r="C2" s="57" t="e">
        <f ca="1">VLOOKUP(E3,Assemblies!B:F,4,0)</f>
        <v>#VALUE!</v>
      </c>
      <c r="D2" s="75" t="s">
        <v>3</v>
      </c>
      <c r="E2" s="76" t="e">
        <f ca="1">'GF12'!E2</f>
        <v>#VALUE!</v>
      </c>
      <c r="F2" s="77" t="s">
        <v>4</v>
      </c>
      <c r="G2" s="58" t="str">
        <f>'GF12'!G2</f>
        <v>GH</v>
      </c>
      <c r="H2" s="77" t="s">
        <v>6</v>
      </c>
      <c r="I2" s="59">
        <f>'GF12'!I2</f>
        <v>44775</v>
      </c>
      <c r="J2" s="39"/>
      <c r="K2" s="40" t="s">
        <v>49</v>
      </c>
      <c r="L2" s="41" t="e">
        <f ca="1">VLOOKUP(C2,Assemblies!E:G,3,0)</f>
        <v>#VALUE!</v>
      </c>
      <c r="M2" s="78"/>
      <c r="N2" s="78"/>
      <c r="O2" s="78"/>
      <c r="P2" s="86"/>
      <c r="Q2" s="92"/>
    </row>
    <row r="3" spans="1:17" s="55" customFormat="1" ht="12" customHeight="1" thickBot="1">
      <c r="A3" s="74" t="s">
        <v>7</v>
      </c>
      <c r="B3" s="58"/>
      <c r="C3" s="57" t="e">
        <f ca="1">VLOOKUP(E3,Assemblies!B:F,5,0)</f>
        <v>#VALUE!</v>
      </c>
      <c r="D3" s="75" t="s">
        <v>50</v>
      </c>
      <c r="E3" s="76" t="e">
        <f ca="1">MID(CELL("filename",A1),FIND("]",CELL("filename",A1))+1,256)</f>
        <v>#VALUE!</v>
      </c>
      <c r="F3" s="77" t="s">
        <v>11</v>
      </c>
      <c r="G3" s="58" t="str">
        <f>'GF12'!G3</f>
        <v>GH</v>
      </c>
      <c r="H3" s="77" t="s">
        <v>6</v>
      </c>
      <c r="I3" s="59">
        <f>'GF12'!I3</f>
        <v>44775</v>
      </c>
      <c r="J3" s="78"/>
      <c r="K3" s="78"/>
      <c r="L3" s="78"/>
      <c r="M3" s="78"/>
      <c r="N3" s="78"/>
      <c r="O3" s="78"/>
      <c r="P3" s="86"/>
      <c r="Q3" s="92"/>
    </row>
    <row r="4" spans="1:17" s="56" customFormat="1" ht="12.75" customHeight="1" thickBot="1">
      <c r="A4" s="80" t="s">
        <v>12</v>
      </c>
      <c r="B4" s="81" t="s">
        <v>13</v>
      </c>
      <c r="C4" s="81" t="s">
        <v>14</v>
      </c>
      <c r="D4" s="270" t="s">
        <v>15</v>
      </c>
      <c r="E4" s="271"/>
      <c r="F4" s="104" t="s">
        <v>16</v>
      </c>
      <c r="G4" s="81" t="s">
        <v>17</v>
      </c>
      <c r="H4" s="260" t="s">
        <v>18</v>
      </c>
      <c r="I4" s="261"/>
      <c r="J4" s="81" t="s">
        <v>51</v>
      </c>
      <c r="K4" s="81" t="s">
        <v>20</v>
      </c>
      <c r="L4" s="81" t="s">
        <v>21</v>
      </c>
      <c r="M4" s="81" t="s">
        <v>52</v>
      </c>
      <c r="N4" s="81" t="s">
        <v>22</v>
      </c>
      <c r="O4" s="81" t="s">
        <v>53</v>
      </c>
      <c r="P4" s="107" t="s">
        <v>26</v>
      </c>
      <c r="Q4" s="82" t="s">
        <v>27</v>
      </c>
    </row>
    <row r="5" spans="1:17" s="2" customFormat="1" ht="12.75" customHeight="1">
      <c r="A5" s="127">
        <v>1</v>
      </c>
      <c r="B5" s="2">
        <v>1</v>
      </c>
      <c r="C5" s="108" t="s">
        <v>974</v>
      </c>
      <c r="D5" s="298" t="str">
        <f>VLOOKUP(C5,Machined!C:Q,2,0)</f>
        <v>CYLINDER MOUNT PLATE - 
LOWER</v>
      </c>
      <c r="E5" s="299"/>
      <c r="F5" s="131" t="str">
        <f>VLOOKUP(C5,Machined!C:R,7,0)</f>
        <v>MIC 6</v>
      </c>
      <c r="G5" s="131" t="str">
        <f>VLOOKUP(C5,Machined!C:R,10,0)</f>
        <v>DETAILED MACH</v>
      </c>
      <c r="H5" s="131" t="str">
        <f>VLOOKUP(C5,Machined!C:R,11,0)</f>
        <v>shipped 9/29/23</v>
      </c>
      <c r="I5" s="131"/>
      <c r="J5" s="42">
        <f>VLOOKUP(C5,Machined!C:R,12,0)</f>
        <v>45156</v>
      </c>
      <c r="K5" s="42">
        <f>VLOOKUP(C5,Machined!C:R,13,0)</f>
        <v>45162</v>
      </c>
      <c r="L5" s="42">
        <f>VLOOKUP(C5,Machined!C:R,14,0)</f>
        <v>45190</v>
      </c>
      <c r="M5" s="42">
        <f>VLOOKUP(C5,Machined!C:R,15,0)</f>
        <v>45190</v>
      </c>
      <c r="N5" s="43">
        <f>VLOOKUP(C5,Machined!C:R,16,0)</f>
        <v>55101</v>
      </c>
      <c r="O5" s="43" t="e">
        <f t="shared" ref="O5:O19" ca="1" si="0">B5*$L$2</f>
        <v>#VALUE!</v>
      </c>
      <c r="P5" s="47">
        <f>IFERROR(VLOOKUP(C5,Machined!C:F,3,0),"")</f>
        <v>0</v>
      </c>
      <c r="Q5" s="48">
        <f t="shared" ref="Q5:Q19" si="1">IFERROR(B5*P5,"")</f>
        <v>0</v>
      </c>
    </row>
    <row r="6" spans="1:17" s="2" customFormat="1" ht="12.75" customHeight="1">
      <c r="A6" s="127">
        <v>2</v>
      </c>
      <c r="B6" s="21">
        <v>1</v>
      </c>
      <c r="C6" s="108" t="s">
        <v>975</v>
      </c>
      <c r="D6" s="298" t="str">
        <f>VLOOKUP(C6,Machined!C:Q,2,0)</f>
        <v>LIFTER BASE - B SIDE</v>
      </c>
      <c r="E6" s="299"/>
      <c r="F6" s="131" t="str">
        <f>VLOOKUP(C6,Machined!C:R,7,0)</f>
        <v>MIC 6</v>
      </c>
      <c r="G6" s="131" t="str">
        <f>VLOOKUP(C6,Machined!C:R,10,0)</f>
        <v>DETAILED MACH</v>
      </c>
      <c r="H6" s="131" t="str">
        <f>VLOOKUP(C6,Machined!C:R,11,0)</f>
        <v>shipped 9/25/23</v>
      </c>
      <c r="I6" s="131"/>
      <c r="J6" s="42">
        <f>VLOOKUP(C6,Machined!C:R,12,0)</f>
        <v>45156</v>
      </c>
      <c r="K6" s="42">
        <f>VLOOKUP(C6,Machined!C:R,13,0)</f>
        <v>45162</v>
      </c>
      <c r="L6" s="42">
        <f>VLOOKUP(C6,Machined!C:R,14,0)</f>
        <v>45190</v>
      </c>
      <c r="M6" s="42">
        <f>VLOOKUP(C6,Machined!C:R,15,0)</f>
        <v>45190</v>
      </c>
      <c r="N6" s="43">
        <f>VLOOKUP(C6,Machined!C:R,16,0)</f>
        <v>55101</v>
      </c>
      <c r="O6" s="43" t="e">
        <f t="shared" ca="1" si="0"/>
        <v>#VALUE!</v>
      </c>
      <c r="P6" s="47">
        <f>IFERROR(VLOOKUP(C6,Machined!C:F,3,0),"")</f>
        <v>0</v>
      </c>
      <c r="Q6" s="48">
        <f t="shared" si="1"/>
        <v>0</v>
      </c>
    </row>
    <row r="7" spans="1:17" s="2" customFormat="1" ht="12.75" customHeight="1">
      <c r="A7" s="127">
        <v>3</v>
      </c>
      <c r="B7" s="21">
        <v>1</v>
      </c>
      <c r="C7" s="108" t="s">
        <v>976</v>
      </c>
      <c r="D7" s="298" t="str">
        <f>VLOOKUP(C7,Machined!C:Q,2,0)</f>
        <v>SHUTTLE BLOCK MOUNT</v>
      </c>
      <c r="E7" s="299"/>
      <c r="F7" s="131" t="str">
        <f>VLOOKUP(C7,Machined!C:R,7,0)</f>
        <v>6061-T6 Alum</v>
      </c>
      <c r="G7" s="131" t="str">
        <f>VLOOKUP(C7,Machined!C:R,10,0)</f>
        <v>NULINE</v>
      </c>
      <c r="H7" s="131" t="str">
        <f>VLOOKUP(C7,Machined!C:R,11,0)</f>
        <v xml:space="preserve">  </v>
      </c>
      <c r="I7" s="131"/>
      <c r="J7" s="42" t="str">
        <f>VLOOKUP(C7,Machined!C:R,12,0)</f>
        <v>N/A</v>
      </c>
      <c r="K7" s="42" t="str">
        <f>VLOOKUP(C7,Machined!C:R,13,0)</f>
        <v>N/A</v>
      </c>
      <c r="L7" s="42" t="str">
        <f>VLOOKUP(C7,Machined!C:R,14,0)</f>
        <v>N/A</v>
      </c>
      <c r="M7" s="42" t="str">
        <f>VLOOKUP(C7,Machined!C:R,15,0)</f>
        <v>N/A</v>
      </c>
      <c r="N7" s="43" t="str">
        <f>VLOOKUP(C7,Machined!C:R,16,0)</f>
        <v>N/A</v>
      </c>
      <c r="O7" s="43" t="e">
        <f t="shared" ca="1" si="0"/>
        <v>#VALUE!</v>
      </c>
      <c r="P7" s="47">
        <f>IFERROR(VLOOKUP(C7,Machined!C:F,3,0),"")</f>
        <v>0</v>
      </c>
      <c r="Q7" s="48">
        <f t="shared" si="1"/>
        <v>0</v>
      </c>
    </row>
    <row r="8" spans="1:17" s="2" customFormat="1" ht="12.75" customHeight="1">
      <c r="A8" s="127">
        <v>4</v>
      </c>
      <c r="B8" s="21">
        <v>1</v>
      </c>
      <c r="C8" s="108" t="s">
        <v>977</v>
      </c>
      <c r="D8" s="298" t="str">
        <f>VLOOKUP(C8,Machined!C:Q,2,0)</f>
        <v>LIFT ANVIL</v>
      </c>
      <c r="E8" s="299"/>
      <c r="F8" s="131" t="str">
        <f>VLOOKUP(C8,Machined!C:R,7,0)</f>
        <v>6061-T6 Alum</v>
      </c>
      <c r="G8" s="131" t="str">
        <f>VLOOKUP(C8,Machined!C:R,10,0)</f>
        <v>BIG SKY</v>
      </c>
      <c r="H8" s="131" t="str">
        <f>VLOOKUP(C8,Machined!C:R,11,0)</f>
        <v xml:space="preserve">  </v>
      </c>
      <c r="I8" s="131"/>
      <c r="J8" s="42">
        <f>VLOOKUP(C8,Machined!C:R,12,0)</f>
        <v>45161</v>
      </c>
      <c r="K8" s="42">
        <f>VLOOKUP(C8,Machined!C:R,13,0)</f>
        <v>45161</v>
      </c>
      <c r="L8" s="42">
        <f>VLOOKUP(C8,Machined!C:R,14,0)</f>
        <v>45184</v>
      </c>
      <c r="M8" s="42">
        <f>VLOOKUP(C8,Machined!C:R,15,0)</f>
        <v>45184</v>
      </c>
      <c r="N8" s="43">
        <f>VLOOKUP(C8,Machined!C:R,16,0)</f>
        <v>55093</v>
      </c>
      <c r="O8" s="43" t="e">
        <f t="shared" ca="1" si="0"/>
        <v>#VALUE!</v>
      </c>
      <c r="P8" s="47">
        <f>IFERROR(VLOOKUP(C8,Machined!C:F,3,0),"")</f>
        <v>0</v>
      </c>
      <c r="Q8" s="48">
        <f t="shared" si="1"/>
        <v>0</v>
      </c>
    </row>
    <row r="9" spans="1:17" s="2" customFormat="1" ht="12.75" customHeight="1">
      <c r="A9" s="127">
        <v>5</v>
      </c>
      <c r="B9" s="2">
        <v>1</v>
      </c>
      <c r="C9" s="108" t="s">
        <v>978</v>
      </c>
      <c r="D9" s="298" t="str">
        <f>VLOOKUP(C9,Machined!C:Q,2,0)</f>
        <v>SHUTTLE BLOCK</v>
      </c>
      <c r="E9" s="299"/>
      <c r="F9" s="131" t="str">
        <f>VLOOKUP(C9,Machined!C:R,7,0)</f>
        <v>6061-T6 Alum</v>
      </c>
      <c r="G9" s="131" t="str">
        <f>VLOOKUP(C9,Machined!C:R,10,0)</f>
        <v>NULINE</v>
      </c>
      <c r="H9" s="131" t="str">
        <f>VLOOKUP(C9,Machined!C:R,11,0)</f>
        <v xml:space="preserve">  </v>
      </c>
      <c r="I9" s="131"/>
      <c r="J9" s="42" t="str">
        <f>VLOOKUP(C9,Machined!C:R,12,0)</f>
        <v>N/A</v>
      </c>
      <c r="K9" s="42" t="str">
        <f>VLOOKUP(C9,Machined!C:R,13,0)</f>
        <v>N/A</v>
      </c>
      <c r="L9" s="42" t="str">
        <f>VLOOKUP(C9,Machined!C:R,14,0)</f>
        <v>N/A</v>
      </c>
      <c r="M9" s="42" t="str">
        <f>VLOOKUP(C9,Machined!C:R,15,0)</f>
        <v>N/A</v>
      </c>
      <c r="N9" s="43" t="str">
        <f>VLOOKUP(C9,Machined!C:R,16,0)</f>
        <v>N/A</v>
      </c>
      <c r="O9" s="43" t="e">
        <f t="shared" ca="1" si="0"/>
        <v>#VALUE!</v>
      </c>
      <c r="P9" s="47">
        <f>IFERROR(VLOOKUP(C9,Machined!C:F,3,0),"")</f>
        <v>0</v>
      </c>
      <c r="Q9" s="48">
        <f t="shared" si="1"/>
        <v>0</v>
      </c>
    </row>
    <row r="10" spans="1:17" s="2" customFormat="1" ht="12.75" customHeight="1">
      <c r="A10" s="127">
        <v>6</v>
      </c>
      <c r="B10" s="21">
        <v>1</v>
      </c>
      <c r="C10" s="108" t="s">
        <v>979</v>
      </c>
      <c r="D10" s="298" t="str">
        <f>VLOOKUP(C10,Machined!C:Q,2,0)</f>
        <v>SPOUT LIFT RUBBER</v>
      </c>
      <c r="E10" s="299"/>
      <c r="F10" s="131" t="str">
        <f>VLOOKUP(C10,Machined!C:R,7,0)</f>
        <v>Silicone</v>
      </c>
      <c r="G10" s="131" t="str">
        <f>VLOOKUP(C10,Machined!C:R,10,0)</f>
        <v>NULINE</v>
      </c>
      <c r="H10" s="131" t="str">
        <f>VLOOKUP(C10,Machined!C:R,11,0)</f>
        <v xml:space="preserve">  </v>
      </c>
      <c r="I10" s="131"/>
      <c r="J10" s="42" t="str">
        <f>VLOOKUP(C10,Machined!C:R,12,0)</f>
        <v>N/A</v>
      </c>
      <c r="K10" s="42" t="str">
        <f>VLOOKUP(C10,Machined!C:R,13,0)</f>
        <v>N/A</v>
      </c>
      <c r="L10" s="42" t="str">
        <f>VLOOKUP(C10,Machined!C:R,14,0)</f>
        <v>N/A</v>
      </c>
      <c r="M10" s="42" t="str">
        <f>VLOOKUP(C10,Machined!C:R,15,0)</f>
        <v>N/A</v>
      </c>
      <c r="N10" s="43" t="str">
        <f>VLOOKUP(C10,Machined!C:R,16,0)</f>
        <v>N/A</v>
      </c>
      <c r="O10" s="43" t="e">
        <f t="shared" ca="1" si="0"/>
        <v>#VALUE!</v>
      </c>
      <c r="P10" s="47">
        <f>IFERROR(VLOOKUP(C10,Machined!C:F,3,0),"")</f>
        <v>0</v>
      </c>
      <c r="Q10" s="48">
        <f t="shared" si="1"/>
        <v>0</v>
      </c>
    </row>
    <row r="11" spans="1:17" s="2" customFormat="1" ht="12.75" customHeight="1">
      <c r="A11" s="127">
        <v>7</v>
      </c>
      <c r="B11" s="21">
        <v>1</v>
      </c>
      <c r="C11" s="108" t="s">
        <v>980</v>
      </c>
      <c r="D11" s="298" t="str">
        <f>VLOOKUP(C11,Machined!C:Q,2,0)</f>
        <v>SHUTTLE MOUNT PLATE</v>
      </c>
      <c r="E11" s="299"/>
      <c r="F11" s="131" t="str">
        <f>VLOOKUP(C11,Machined!C:R,7,0)</f>
        <v>MIC 6</v>
      </c>
      <c r="G11" s="131" t="str">
        <f>VLOOKUP(C11,Machined!C:R,10,0)</f>
        <v>NULINE</v>
      </c>
      <c r="H11" s="131" t="str">
        <f>VLOOKUP(C11,Machined!C:R,11,0)</f>
        <v xml:space="preserve">  </v>
      </c>
      <c r="I11" s="131"/>
      <c r="J11" s="42" t="str">
        <f>VLOOKUP(C11,Machined!C:R,12,0)</f>
        <v>N/A</v>
      </c>
      <c r="K11" s="42" t="str">
        <f>VLOOKUP(C11,Machined!C:R,13,0)</f>
        <v>N/A</v>
      </c>
      <c r="L11" s="42" t="str">
        <f>VLOOKUP(C11,Machined!C:R,14,0)</f>
        <v>N/A</v>
      </c>
      <c r="M11" s="42" t="str">
        <f>VLOOKUP(C11,Machined!C:R,15,0)</f>
        <v>N/A</v>
      </c>
      <c r="N11" s="43" t="str">
        <f>VLOOKUP(C11,Machined!C:R,16,0)</f>
        <v>N/A</v>
      </c>
      <c r="O11" s="43" t="e">
        <f t="shared" ca="1" si="0"/>
        <v>#VALUE!</v>
      </c>
      <c r="P11" s="47">
        <f>IFERROR(VLOOKUP(C11,Machined!C:F,3,0),"")</f>
        <v>0</v>
      </c>
      <c r="Q11" s="48">
        <f t="shared" si="1"/>
        <v>0</v>
      </c>
    </row>
    <row r="12" spans="1:17" s="2" customFormat="1" ht="12.75" customHeight="1">
      <c r="A12" s="127">
        <v>8</v>
      </c>
      <c r="B12" s="2">
        <v>1</v>
      </c>
      <c r="C12" s="108" t="s">
        <v>981</v>
      </c>
      <c r="D12" s="298" t="str">
        <f>VLOOKUP(C12,Machined!C:Q,2,0)</f>
        <v>SHUTTLE WEB GUARD - B 
SIDE</v>
      </c>
      <c r="E12" s="299"/>
      <c r="F12" s="131" t="str">
        <f>VLOOKUP(C12,Machined!C:R,7,0)</f>
        <v>AISI 304, 1/16 in</v>
      </c>
      <c r="G12" s="131" t="str">
        <f>VLOOKUP(C12,Machined!C:R,10,0)</f>
        <v>WESCO BHT</v>
      </c>
      <c r="H12" s="131" t="str">
        <f>VLOOKUP(C12,Machined!C:R,11,0)</f>
        <v xml:space="preserve">  </v>
      </c>
      <c r="I12" s="131"/>
      <c r="J12" s="42">
        <f>VLOOKUP(C12,Machined!C:R,12,0)</f>
        <v>45159</v>
      </c>
      <c r="K12" s="42">
        <f>VLOOKUP(C12,Machined!C:R,13,0)</f>
        <v>45161</v>
      </c>
      <c r="L12" s="42">
        <f>VLOOKUP(C12,Machined!C:R,14,0)</f>
        <v>45191</v>
      </c>
      <c r="M12" s="42">
        <f>VLOOKUP(C12,Machined!C:R,15,0)</f>
        <v>45191</v>
      </c>
      <c r="N12" s="43">
        <f>VLOOKUP(C12,Machined!C:R,16,0)</f>
        <v>55092</v>
      </c>
      <c r="O12" s="43" t="e">
        <f t="shared" ca="1" si="0"/>
        <v>#VALUE!</v>
      </c>
      <c r="P12" s="47">
        <f>IFERROR(VLOOKUP(C12,Machined!C:F,3,0),"")</f>
        <v>189.3</v>
      </c>
      <c r="Q12" s="48">
        <f t="shared" si="1"/>
        <v>189.3</v>
      </c>
    </row>
    <row r="13" spans="1:17" s="2" customFormat="1" ht="12.75" customHeight="1">
      <c r="A13" s="127">
        <v>9</v>
      </c>
      <c r="B13" s="2">
        <v>1</v>
      </c>
      <c r="C13" s="108" t="s">
        <v>982</v>
      </c>
      <c r="D13" s="298" t="str">
        <f>VLOOKUP(C13,Machined!C:Q,2,0)</f>
        <v>SPOUT ESCAPEMENT FINGER 
1</v>
      </c>
      <c r="E13" s="299"/>
      <c r="F13" s="131" t="str">
        <f>VLOOKUP(C13,Machined!C:R,7,0)</f>
        <v>AISI 304, 11 Gauge</v>
      </c>
      <c r="G13" s="131" t="str">
        <f>VLOOKUP(C13,Machined!C:R,10,0)</f>
        <v>WESCO BHT</v>
      </c>
      <c r="H13" s="131" t="str">
        <f>VLOOKUP(C13,Machined!C:R,11,0)</f>
        <v xml:space="preserve">  </v>
      </c>
      <c r="I13" s="131"/>
      <c r="J13" s="42">
        <f>VLOOKUP(C13,Machined!C:R,12,0)</f>
        <v>45159</v>
      </c>
      <c r="K13" s="42">
        <f>VLOOKUP(C13,Machined!C:R,13,0)</f>
        <v>45161</v>
      </c>
      <c r="L13" s="42">
        <f>VLOOKUP(C13,Machined!C:R,14,0)</f>
        <v>45191</v>
      </c>
      <c r="M13" s="42">
        <f>VLOOKUP(C13,Machined!C:R,15,0)</f>
        <v>45191</v>
      </c>
      <c r="N13" s="43">
        <f>VLOOKUP(C13,Machined!C:R,16,0)</f>
        <v>55092</v>
      </c>
      <c r="O13" s="43" t="e">
        <f t="shared" ca="1" si="0"/>
        <v>#VALUE!</v>
      </c>
      <c r="P13" s="47">
        <f>IFERROR(VLOOKUP(C13,Machined!C:F,3,0),"")</f>
        <v>60.91</v>
      </c>
      <c r="Q13" s="48">
        <f t="shared" si="1"/>
        <v>60.91</v>
      </c>
    </row>
    <row r="14" spans="1:17" s="2" customFormat="1" ht="12.75" customHeight="1">
      <c r="A14" s="127">
        <v>10</v>
      </c>
      <c r="B14" s="21">
        <v>1</v>
      </c>
      <c r="C14" s="108" t="s">
        <v>983</v>
      </c>
      <c r="D14" s="298" t="str">
        <f>VLOOKUP(C14,Machined!C:Q,2,0)</f>
        <v>SPOUT B SIDE ESCAPEMENT 
FINGER 2</v>
      </c>
      <c r="E14" s="299"/>
      <c r="F14" s="131" t="str">
        <f>VLOOKUP(C14,Machined!C:R,7,0)</f>
        <v>AISI 304, 11 Gauge</v>
      </c>
      <c r="G14" s="131" t="str">
        <f>VLOOKUP(C14,Machined!C:R,10,0)</f>
        <v>WESCO BHT</v>
      </c>
      <c r="H14" s="131" t="str">
        <f>VLOOKUP(C14,Machined!C:R,11,0)</f>
        <v xml:space="preserve">  </v>
      </c>
      <c r="I14" s="131"/>
      <c r="J14" s="42">
        <f>VLOOKUP(C14,Machined!C:R,12,0)</f>
        <v>45159</v>
      </c>
      <c r="K14" s="42">
        <f>VLOOKUP(C14,Machined!C:R,13,0)</f>
        <v>45161</v>
      </c>
      <c r="L14" s="42">
        <f>VLOOKUP(C14,Machined!C:R,14,0)</f>
        <v>45191</v>
      </c>
      <c r="M14" s="42">
        <f>VLOOKUP(C14,Machined!C:R,15,0)</f>
        <v>45191</v>
      </c>
      <c r="N14" s="43">
        <f>VLOOKUP(C14,Machined!C:R,16,0)</f>
        <v>55092</v>
      </c>
      <c r="O14" s="43" t="e">
        <f t="shared" ca="1" si="0"/>
        <v>#VALUE!</v>
      </c>
      <c r="P14" s="47">
        <f>IFERROR(VLOOKUP(C14,Machined!C:F,3,0),"")</f>
        <v>119.07</v>
      </c>
      <c r="Q14" s="48">
        <f t="shared" si="1"/>
        <v>119.07</v>
      </c>
    </row>
    <row r="15" spans="1:17" s="2" customFormat="1" ht="12.75" customHeight="1">
      <c r="A15" s="127">
        <f t="shared" ref="A15:A19" si="2">A14+1</f>
        <v>11</v>
      </c>
      <c r="B15" s="21">
        <v>1</v>
      </c>
      <c r="C15" s="108" t="s">
        <v>984</v>
      </c>
      <c r="D15" s="298" t="str">
        <f>VLOOKUP(C15,Machined!C:Q,2,0)</f>
        <v>ESCAPEMENT ADJUSTMENT 
PLATE - B SIDE</v>
      </c>
      <c r="E15" s="299"/>
      <c r="F15" s="131" t="str">
        <f>VLOOKUP(C15,Machined!C:R,7,0)</f>
        <v>6061-T6 Alum</v>
      </c>
      <c r="G15" s="131" t="str">
        <f>VLOOKUP(C15,Machined!C:R,10,0)</f>
        <v>NULINE</v>
      </c>
      <c r="H15" s="131" t="str">
        <f>VLOOKUP(C15,Machined!C:R,11,0)</f>
        <v xml:space="preserve">  </v>
      </c>
      <c r="I15" s="131"/>
      <c r="J15" s="42" t="str">
        <f>VLOOKUP(C15,Machined!C:R,12,0)</f>
        <v>N/A</v>
      </c>
      <c r="K15" s="42" t="str">
        <f>VLOOKUP(C15,Machined!C:R,13,0)</f>
        <v>N/A</v>
      </c>
      <c r="L15" s="42" t="str">
        <f>VLOOKUP(C15,Machined!C:R,14,0)</f>
        <v>N/A</v>
      </c>
      <c r="M15" s="42" t="str">
        <f>VLOOKUP(C15,Machined!C:R,15,0)</f>
        <v>N/A</v>
      </c>
      <c r="N15" s="43" t="str">
        <f>VLOOKUP(C15,Machined!C:R,16,0)</f>
        <v>N/A</v>
      </c>
      <c r="O15" s="43" t="e">
        <f t="shared" ca="1" si="0"/>
        <v>#VALUE!</v>
      </c>
      <c r="P15" s="47">
        <f>IFERROR(VLOOKUP(C15,Machined!C:F,3,0),"")</f>
        <v>0</v>
      </c>
      <c r="Q15" s="48">
        <f t="shared" si="1"/>
        <v>0</v>
      </c>
    </row>
    <row r="16" spans="1:17" s="2" customFormat="1" ht="12.75" customHeight="1">
      <c r="A16" s="127">
        <f t="shared" si="2"/>
        <v>12</v>
      </c>
      <c r="B16" s="21">
        <v>1</v>
      </c>
      <c r="C16" s="108" t="s">
        <v>985</v>
      </c>
      <c r="D16" s="298" t="str">
        <f>VLOOKUP(C16,Machined!C:Q,2,0)</f>
        <v>GUIDE BRACKET</v>
      </c>
      <c r="E16" s="299"/>
      <c r="F16" s="131" t="str">
        <f>VLOOKUP(C16,Machined!C:R,7,0)</f>
        <v>6061-T6 Alum</v>
      </c>
      <c r="G16" s="131" t="str">
        <f>VLOOKUP(C16,Machined!C:R,10,0)</f>
        <v>NULINE</v>
      </c>
      <c r="H16" s="131" t="str">
        <f>VLOOKUP(C16,Machined!C:R,11,0)</f>
        <v xml:space="preserve">  </v>
      </c>
      <c r="I16" s="131"/>
      <c r="J16" s="42" t="str">
        <f>VLOOKUP(C16,Machined!C:R,12,0)</f>
        <v>N/A</v>
      </c>
      <c r="K16" s="42" t="str">
        <f>VLOOKUP(C16,Machined!C:R,13,0)</f>
        <v>N/A</v>
      </c>
      <c r="L16" s="42" t="str">
        <f>VLOOKUP(C16,Machined!C:R,14,0)</f>
        <v>N/A</v>
      </c>
      <c r="M16" s="42" t="str">
        <f>VLOOKUP(C16,Machined!C:R,15,0)</f>
        <v>N/A</v>
      </c>
      <c r="N16" s="43" t="str">
        <f>VLOOKUP(C16,Machined!C:R,16,0)</f>
        <v>N/A</v>
      </c>
      <c r="O16" s="43" t="e">
        <f t="shared" ca="1" si="0"/>
        <v>#VALUE!</v>
      </c>
      <c r="P16" s="47">
        <f>IFERROR(VLOOKUP(C16,Machined!C:F,3,0),"")</f>
        <v>0</v>
      </c>
      <c r="Q16" s="48">
        <f t="shared" si="1"/>
        <v>0</v>
      </c>
    </row>
    <row r="17" spans="1:17" s="2" customFormat="1" ht="12.75" customHeight="1">
      <c r="A17" s="127">
        <f t="shared" si="2"/>
        <v>13</v>
      </c>
      <c r="B17" s="2">
        <v>1</v>
      </c>
      <c r="C17" s="108" t="s">
        <v>986</v>
      </c>
      <c r="D17" s="298" t="str">
        <f>VLOOKUP(C17,Machined!C:Q,2,0)</f>
        <v>GRIPPER RAIL - B SIDE</v>
      </c>
      <c r="E17" s="299"/>
      <c r="F17" s="131" t="str">
        <f>VLOOKUP(C17,Machined!C:R,7,0)</f>
        <v>AISI 304, 1/16 in</v>
      </c>
      <c r="G17" s="131" t="str">
        <f>VLOOKUP(C17,Machined!C:R,10,0)</f>
        <v>WESCO BHT</v>
      </c>
      <c r="H17" s="131" t="str">
        <f>VLOOKUP(C17,Machined!C:R,11,0)</f>
        <v xml:space="preserve">  </v>
      </c>
      <c r="I17" s="131"/>
      <c r="J17" s="42">
        <f>VLOOKUP(C17,Machined!C:R,12,0)</f>
        <v>45159</v>
      </c>
      <c r="K17" s="42">
        <f>VLOOKUP(C17,Machined!C:R,13,0)</f>
        <v>45161</v>
      </c>
      <c r="L17" s="42">
        <f>VLOOKUP(C17,Machined!C:R,14,0)</f>
        <v>45191</v>
      </c>
      <c r="M17" s="42">
        <f>VLOOKUP(C17,Machined!C:R,15,0)</f>
        <v>45191</v>
      </c>
      <c r="N17" s="43">
        <f>VLOOKUP(C17,Machined!C:R,16,0)</f>
        <v>55092</v>
      </c>
      <c r="O17" s="43" t="e">
        <f t="shared" ca="1" si="0"/>
        <v>#VALUE!</v>
      </c>
      <c r="P17" s="47">
        <f>IFERROR(VLOOKUP(C17,Machined!C:F,3,0),"")</f>
        <v>122.27</v>
      </c>
      <c r="Q17" s="48">
        <f t="shared" si="1"/>
        <v>122.27</v>
      </c>
    </row>
    <row r="18" spans="1:17" s="2" customFormat="1" ht="12.75" customHeight="1">
      <c r="A18" s="127">
        <f t="shared" si="2"/>
        <v>14</v>
      </c>
      <c r="B18" s="21">
        <v>2</v>
      </c>
      <c r="C18" s="108" t="s">
        <v>931</v>
      </c>
      <c r="D18" s="298" t="str">
        <f>VLOOKUP(C18,Machined!C:Q,2,0)</f>
        <v>SPOUT LEAD NUT BLOCK</v>
      </c>
      <c r="E18" s="299"/>
      <c r="F18" s="131" t="str">
        <f>VLOOKUP(C18,Machined!C:R,7,0)</f>
        <v>6061-T6 Alum</v>
      </c>
      <c r="G18" s="131" t="str">
        <f>VLOOKUP(C18,Machined!C:R,10,0)</f>
        <v>XOMETRY</v>
      </c>
      <c r="H18" s="131" t="str">
        <f>VLOOKUP(C18,Machined!C:R,11,0)</f>
        <v xml:space="preserve">  </v>
      </c>
      <c r="I18" s="131"/>
      <c r="J18" s="42">
        <f>VLOOKUP(C18,Machined!C:R,12,0)</f>
        <v>45161</v>
      </c>
      <c r="K18" s="42">
        <f>VLOOKUP(C18,Machined!C:R,13,0)</f>
        <v>45161</v>
      </c>
      <c r="L18" s="42">
        <f>VLOOKUP(C18,Machined!C:R,14,0)</f>
        <v>45181</v>
      </c>
      <c r="M18" s="42">
        <f>VLOOKUP(C18,Machined!C:R,15,0)</f>
        <v>45181</v>
      </c>
      <c r="N18" s="43">
        <f>VLOOKUP(C18,Machined!C:R,16,0)</f>
        <v>55095</v>
      </c>
      <c r="O18" s="43" t="e">
        <f t="shared" ca="1" si="0"/>
        <v>#VALUE!</v>
      </c>
      <c r="P18" s="47">
        <f>IFERROR(VLOOKUP(C18,Machined!C:F,3,0),"")</f>
        <v>57.74</v>
      </c>
      <c r="Q18" s="48">
        <f t="shared" si="1"/>
        <v>115.48</v>
      </c>
    </row>
    <row r="19" spans="1:17" s="2" customFormat="1" ht="12.75" customHeight="1">
      <c r="A19" s="127">
        <f t="shared" si="2"/>
        <v>15</v>
      </c>
      <c r="B19" s="21">
        <v>1</v>
      </c>
      <c r="C19" s="108" t="s">
        <v>932</v>
      </c>
      <c r="D19" s="298" t="str">
        <f>VLOOKUP(C19,Machined!C:Q,2,0)</f>
        <v>MODIFIED IGUS JFRM-282835TR12X3 TRAP LEAD NUT</v>
      </c>
      <c r="E19" s="299"/>
      <c r="F19" s="131" t="str">
        <f>VLOOKUP(C19,Machined!C:R,7,0)</f>
        <v>PURCHASED</v>
      </c>
      <c r="G19" s="131" t="str">
        <f>VLOOKUP(C19,Machined!C:R,10,0)</f>
        <v>IGUS, NULINE</v>
      </c>
      <c r="H19" s="131" t="str">
        <f>VLOOKUP(C19,Machined!C:R,11,0)</f>
        <v xml:space="preserve">  </v>
      </c>
      <c r="I19" s="131"/>
      <c r="J19" s="42">
        <f>VLOOKUP(C19,Machined!C:R,12,0)</f>
        <v>45160</v>
      </c>
      <c r="K19" s="42">
        <f>VLOOKUP(C19,Machined!C:R,13,0)</f>
        <v>45160</v>
      </c>
      <c r="L19" s="42">
        <f>VLOOKUP(C19,Machined!C:R,14,0)</f>
        <v>45166</v>
      </c>
      <c r="M19" s="42">
        <f>VLOOKUP(C19,Machined!C:R,15,0)</f>
        <v>45166</v>
      </c>
      <c r="N19" s="43">
        <f>VLOOKUP(C19,Machined!C:R,16,0)</f>
        <v>55085</v>
      </c>
      <c r="O19" s="43" t="e">
        <f t="shared" ca="1" si="0"/>
        <v>#VALUE!</v>
      </c>
      <c r="P19" s="47">
        <f>IFERROR(VLOOKUP(C19,Machined!C:F,3,0),"")</f>
        <v>23.47</v>
      </c>
      <c r="Q19" s="48">
        <f t="shared" si="1"/>
        <v>23.47</v>
      </c>
    </row>
    <row r="20" spans="1:17" s="2" customFormat="1" ht="12.75" customHeight="1">
      <c r="A20" s="143"/>
      <c r="B20" s="26"/>
      <c r="C20" s="26"/>
      <c r="D20" s="272"/>
      <c r="E20" s="273"/>
      <c r="F20" s="26"/>
      <c r="G20" s="26"/>
      <c r="H20" s="274"/>
      <c r="I20" s="275"/>
      <c r="J20" s="27"/>
      <c r="K20" s="27"/>
      <c r="L20" s="27"/>
      <c r="M20" s="28"/>
      <c r="N20" s="29"/>
      <c r="O20" s="29"/>
      <c r="P20" s="141"/>
      <c r="Q20" s="142"/>
    </row>
    <row r="21" spans="1:17" s="2" customFormat="1" ht="12.75" customHeight="1">
      <c r="A21" s="4">
        <v>301</v>
      </c>
      <c r="B21" s="2">
        <v>4</v>
      </c>
      <c r="C21" s="114" t="s">
        <v>934</v>
      </c>
      <c r="D21" s="268" t="str">
        <f>VLOOKUP(C21,Purchased!A:B,2,0)</f>
        <v>BRL 15mm runner block, flanged</v>
      </c>
      <c r="E21" s="269"/>
      <c r="F21" s="112" t="str">
        <f>VLOOKUP(C21,Purchased!A:Q,9,0)</f>
        <v>BRL</v>
      </c>
      <c r="G21" s="112" t="str">
        <f>VLOOKUP(C21,Purchased!A:Q,10,0)</f>
        <v>AAP</v>
      </c>
      <c r="H21" s="112" t="str">
        <f>VLOOKUP(C21,Purchased!A:Q,12,0)</f>
        <v xml:space="preserve"> </v>
      </c>
      <c r="I21" s="113"/>
      <c r="J21" s="44">
        <f>VLOOKUP(C21,Purchased!A:Q,13,0)</f>
        <v>45093</v>
      </c>
      <c r="K21" s="44">
        <f>VLOOKUP(C21,Purchased!A:Q,14,0)</f>
        <v>45093</v>
      </c>
      <c r="L21" s="44">
        <f>VLOOKUP(C21,Purchased!A:Q,15,0)</f>
        <v>45184</v>
      </c>
      <c r="M21" s="44">
        <f>VLOOKUP(C21,Purchased!A:Q,16,0)</f>
        <v>45184</v>
      </c>
      <c r="N21" s="45">
        <f>VLOOKUP(C21,Purchased!A:Q,17,0)</f>
        <v>54942</v>
      </c>
      <c r="O21" s="45" t="e">
        <f t="shared" ref="O21:O59" ca="1" si="3">B21*$L$2</f>
        <v>#VALUE!</v>
      </c>
      <c r="P21" s="49">
        <f>IFERROR(VLOOKUP(C21,Purchased!A:E,3,FALSE),"")</f>
        <v>147.4357</v>
      </c>
      <c r="Q21" s="50">
        <f t="shared" ref="Q21:Q49" si="4">IFERROR(B21*P21,"")</f>
        <v>589.74279999999999</v>
      </c>
    </row>
    <row r="22" spans="1:17" s="2" customFormat="1" ht="12" customHeight="1">
      <c r="A22" s="4">
        <f t="shared" ref="A22:A49" si="5">A21+1</f>
        <v>302</v>
      </c>
      <c r="B22" s="2">
        <v>1</v>
      </c>
      <c r="C22" s="114" t="s">
        <v>935</v>
      </c>
      <c r="D22" s="268" t="str">
        <f>VLOOKUP(C22,Purchased!A:B,2,0)</f>
        <v>SMC Compact Cylinder, CQ2-Z</v>
      </c>
      <c r="E22" s="269"/>
      <c r="F22" s="112" t="str">
        <f>VLOOKUP(C22,Purchased!A:Q,9,0)</f>
        <v>SMC</v>
      </c>
      <c r="G22" s="112" t="str">
        <f>VLOOKUP(C22,Purchased!A:Q,10,0)</f>
        <v>AAP</v>
      </c>
      <c r="H22" s="112" t="str">
        <f>VLOOKUP(C22,Purchased!A:Q,12,0)</f>
        <v xml:space="preserve"> </v>
      </c>
      <c r="I22" s="113"/>
      <c r="J22" s="44" t="str">
        <f>VLOOKUP(C22,Purchased!A:Q,13,0)</f>
        <v>N/A</v>
      </c>
      <c r="K22" s="44">
        <f>VLOOKUP(C22,Purchased!A:Q,14,0)</f>
        <v>45042</v>
      </c>
      <c r="L22" s="44">
        <f>VLOOKUP(C22,Purchased!A:Q,15,0)</f>
        <v>45098</v>
      </c>
      <c r="M22" s="44">
        <f>VLOOKUP(C22,Purchased!A:Q,16,0)</f>
        <v>45137</v>
      </c>
      <c r="N22" s="45">
        <f>VLOOKUP(C22,Purchased!A:Q,17,0)</f>
        <v>54862</v>
      </c>
      <c r="O22" s="45" t="e">
        <f t="shared" ca="1" si="3"/>
        <v>#VALUE!</v>
      </c>
      <c r="P22" s="49">
        <f>IFERROR(VLOOKUP(C22,Purchased!A:E,3,FALSE),"")</f>
        <v>91.715000000000003</v>
      </c>
      <c r="Q22" s="50">
        <f t="shared" si="4"/>
        <v>91.715000000000003</v>
      </c>
    </row>
    <row r="23" spans="1:17" s="2" customFormat="1" ht="12" customHeight="1">
      <c r="A23" s="4">
        <f t="shared" si="5"/>
        <v>303</v>
      </c>
      <c r="B23" s="2">
        <v>1</v>
      </c>
      <c r="C23" s="114" t="s">
        <v>987</v>
      </c>
      <c r="D23" s="268" t="str">
        <f>VLOOKUP(C23,Purchased!A:B,2,0)</f>
        <v>SMC Cylinder, Rodless, Mechanically Join</v>
      </c>
      <c r="E23" s="269"/>
      <c r="F23" s="112" t="str">
        <f>VLOOKUP(C23,Purchased!A:Q,9,0)</f>
        <v>SMC</v>
      </c>
      <c r="G23" s="112" t="str">
        <f>VLOOKUP(C23,Purchased!A:Q,10,0)</f>
        <v>AAP</v>
      </c>
      <c r="H23" s="112" t="str">
        <f>VLOOKUP(C23,Purchased!A:Q,12,0)</f>
        <v xml:space="preserve"> </v>
      </c>
      <c r="I23" s="113"/>
      <c r="J23" s="44" t="str">
        <f>VLOOKUP(C23,Purchased!A:Q,13,0)</f>
        <v>N/A</v>
      </c>
      <c r="K23" s="44">
        <f>VLOOKUP(C23,Purchased!A:Q,14,0)</f>
        <v>45042</v>
      </c>
      <c r="L23" s="44">
        <f>VLOOKUP(C23,Purchased!A:Q,15,0)</f>
        <v>45098</v>
      </c>
      <c r="M23" s="44">
        <f>VLOOKUP(C23,Purchased!A:Q,16,0)</f>
        <v>45142</v>
      </c>
      <c r="N23" s="45">
        <f>VLOOKUP(C23,Purchased!A:Q,17,0)</f>
        <v>54862</v>
      </c>
      <c r="O23" s="45" t="e">
        <f t="shared" ca="1" si="3"/>
        <v>#VALUE!</v>
      </c>
      <c r="P23" s="49">
        <f>IFERROR(VLOOKUP(C23,Purchased!A:E,3,FALSE),"")</f>
        <v>428.93020000000001</v>
      </c>
      <c r="Q23" s="50">
        <f t="shared" si="4"/>
        <v>428.93020000000001</v>
      </c>
    </row>
    <row r="24" spans="1:17" s="2" customFormat="1" ht="12" customHeight="1">
      <c r="A24" s="4">
        <f t="shared" si="5"/>
        <v>304</v>
      </c>
      <c r="B24" s="2">
        <v>1</v>
      </c>
      <c r="C24" s="114" t="s">
        <v>988</v>
      </c>
      <c r="D24" s="268" t="str">
        <f>VLOOKUP(C24,Purchased!A:B,2,0)</f>
        <v>SMC ESCAPEMENT, DBL FINGER</v>
      </c>
      <c r="E24" s="269"/>
      <c r="F24" s="112" t="str">
        <f>VLOOKUP(C24,Purchased!A:Q,9,0)</f>
        <v>SMC</v>
      </c>
      <c r="G24" s="112" t="str">
        <f>VLOOKUP(C24,Purchased!A:Q,10,0)</f>
        <v>AAP</v>
      </c>
      <c r="H24" s="112" t="str">
        <f>VLOOKUP(C24,Purchased!A:Q,12,0)</f>
        <v xml:space="preserve"> </v>
      </c>
      <c r="I24" s="113"/>
      <c r="J24" s="44" t="str">
        <f>VLOOKUP(C24,Purchased!A:Q,13,0)</f>
        <v>N/A</v>
      </c>
      <c r="K24" s="44">
        <f>VLOOKUP(C24,Purchased!A:Q,14,0)</f>
        <v>45042</v>
      </c>
      <c r="L24" s="44">
        <f>VLOOKUP(C24,Purchased!A:Q,15,0)</f>
        <v>45098</v>
      </c>
      <c r="M24" s="44">
        <f>VLOOKUP(C24,Purchased!A:Q,16,0)</f>
        <v>45141</v>
      </c>
      <c r="N24" s="45">
        <f>VLOOKUP(C24,Purchased!A:Q,17,0)</f>
        <v>54862</v>
      </c>
      <c r="O24" s="45" t="e">
        <f t="shared" ca="1" si="3"/>
        <v>#VALUE!</v>
      </c>
      <c r="P24" s="49">
        <f>IFERROR(VLOOKUP(C24,Purchased!A:E,3,FALSE),"")</f>
        <v>353.10969999999998</v>
      </c>
      <c r="Q24" s="50">
        <f t="shared" si="4"/>
        <v>353.10969999999998</v>
      </c>
    </row>
    <row r="25" spans="1:17" s="2" customFormat="1" ht="12" customHeight="1">
      <c r="A25" s="4">
        <f t="shared" si="5"/>
        <v>305</v>
      </c>
      <c r="B25" s="2">
        <v>6</v>
      </c>
      <c r="C25" s="114" t="s">
        <v>476</v>
      </c>
      <c r="D25" s="268" t="str">
        <f>VLOOKUP(C25,Purchased!A:B,2,0)</f>
        <v>SMC Inline Solid PNP Direct</v>
      </c>
      <c r="E25" s="269"/>
      <c r="F25" s="112" t="str">
        <f>VLOOKUP(C25,Purchased!A:Q,9,0)</f>
        <v>SMC</v>
      </c>
      <c r="G25" s="112" t="str">
        <f>VLOOKUP(C25,Purchased!A:Q,10,0)</f>
        <v>AAP</v>
      </c>
      <c r="H25" s="112" t="str">
        <f>VLOOKUP(C25,Purchased!A:Q,12,0)</f>
        <v xml:space="preserve"> </v>
      </c>
      <c r="I25" s="113"/>
      <c r="J25" s="44" t="str">
        <f>VLOOKUP(C25,Purchased!A:Q,13,0)</f>
        <v>N/A</v>
      </c>
      <c r="K25" s="44">
        <f>VLOOKUP(C25,Purchased!A:Q,14,0)</f>
        <v>45162</v>
      </c>
      <c r="L25" s="44">
        <f>VLOOKUP(C25,Purchased!A:Q,15,0)</f>
        <v>45184</v>
      </c>
      <c r="M25" s="44">
        <f>VLOOKUP(C25,Purchased!A:Q,16,0)</f>
        <v>45180</v>
      </c>
      <c r="N25" s="45">
        <f>VLOOKUP(C25,Purchased!A:Q,17,0)</f>
        <v>55037</v>
      </c>
      <c r="O25" s="45" t="e">
        <f t="shared" ca="1" si="3"/>
        <v>#VALUE!</v>
      </c>
      <c r="P25" s="49">
        <f>IFERROR(VLOOKUP(C25,Purchased!A:E,3,FALSE),"")</f>
        <v>37.226700000000001</v>
      </c>
      <c r="Q25" s="50">
        <f t="shared" si="4"/>
        <v>223.36020000000002</v>
      </c>
    </row>
    <row r="26" spans="1:17" s="2" customFormat="1" ht="12" customHeight="1">
      <c r="A26" s="4">
        <f t="shared" si="5"/>
        <v>306</v>
      </c>
      <c r="B26" s="2">
        <v>2</v>
      </c>
      <c r="C26" s="114" t="s">
        <v>820</v>
      </c>
      <c r="D26" s="268" t="str">
        <f>VLOOKUP(C26,Purchased!A:B,2,0)</f>
        <v>SMC SPEED CONTROLLER</v>
      </c>
      <c r="E26" s="269"/>
      <c r="F26" s="112" t="str">
        <f>VLOOKUP(C26,Purchased!A:Q,9,0)</f>
        <v>SMC</v>
      </c>
      <c r="G26" s="112" t="str">
        <f>VLOOKUP(C26,Purchased!A:Q,10,0)</f>
        <v>AAP</v>
      </c>
      <c r="H26" s="112" t="str">
        <f>VLOOKUP(C26,Purchased!A:Q,12,0)</f>
        <v xml:space="preserve"> </v>
      </c>
      <c r="I26" s="113"/>
      <c r="J26" s="44" t="str">
        <f>VLOOKUP(C26,Purchased!A:Q,13,0)</f>
        <v>N/A</v>
      </c>
      <c r="K26" s="44">
        <f>VLOOKUP(C26,Purchased!A:Q,14,0)</f>
        <v>45162</v>
      </c>
      <c r="L26" s="44">
        <f>VLOOKUP(C26,Purchased!A:Q,15,0)</f>
        <v>45184</v>
      </c>
      <c r="M26" s="44">
        <f>VLOOKUP(C26,Purchased!A:Q,16,0)</f>
        <v>45180</v>
      </c>
      <c r="N26" s="45">
        <f>VLOOKUP(C26,Purchased!A:Q,17,0)</f>
        <v>55037</v>
      </c>
      <c r="O26" s="45" t="e">
        <f t="shared" ca="1" si="3"/>
        <v>#VALUE!</v>
      </c>
      <c r="P26" s="49">
        <f>IFERROR(VLOOKUP(C26,Purchased!A:E,3,FALSE),"")</f>
        <v>20.3764</v>
      </c>
      <c r="Q26" s="50">
        <f t="shared" si="4"/>
        <v>40.752800000000001</v>
      </c>
    </row>
    <row r="27" spans="1:17" s="2" customFormat="1" ht="12" customHeight="1">
      <c r="A27" s="4">
        <f t="shared" si="5"/>
        <v>307</v>
      </c>
      <c r="B27" s="2">
        <v>2</v>
      </c>
      <c r="C27" s="114" t="s">
        <v>821</v>
      </c>
      <c r="D27" s="268" t="str">
        <f>VLOOKUP(C27,Purchased!A:B,2,0)</f>
        <v>SMC Flange Fitting For Speed Controller</v>
      </c>
      <c r="E27" s="269"/>
      <c r="F27" s="112" t="str">
        <f>VLOOKUP(C27,Purchased!A:Q,9,0)</f>
        <v>SMC</v>
      </c>
      <c r="G27" s="112" t="str">
        <f>VLOOKUP(C27,Purchased!A:Q,10,0)</f>
        <v>AAP</v>
      </c>
      <c r="H27" s="112" t="str">
        <f>VLOOKUP(C27,Purchased!A:Q,12,0)</f>
        <v xml:space="preserve"> </v>
      </c>
      <c r="I27" s="113"/>
      <c r="J27" s="44" t="str">
        <f>VLOOKUP(C27,Purchased!A:Q,13,0)</f>
        <v>N/A</v>
      </c>
      <c r="K27" s="44">
        <f>VLOOKUP(C27,Purchased!A:Q,14,0)</f>
        <v>45162</v>
      </c>
      <c r="L27" s="44">
        <f>VLOOKUP(C27,Purchased!A:Q,15,0)</f>
        <v>45184</v>
      </c>
      <c r="M27" s="44">
        <f>VLOOKUP(C27,Purchased!A:Q,16,0)</f>
        <v>45197</v>
      </c>
      <c r="N27" s="45">
        <f>VLOOKUP(C27,Purchased!A:Q,17,0)</f>
        <v>55073</v>
      </c>
      <c r="O27" s="45" t="e">
        <f t="shared" ca="1" si="3"/>
        <v>#VALUE!</v>
      </c>
      <c r="P27" s="49">
        <f>IFERROR(VLOOKUP(C27,Purchased!A:E,3,FALSE),"")</f>
        <v>2.2410000000000001</v>
      </c>
      <c r="Q27" s="50">
        <f t="shared" si="4"/>
        <v>4.4820000000000002</v>
      </c>
    </row>
    <row r="28" spans="1:17" s="2" customFormat="1" ht="12" customHeight="1">
      <c r="A28" s="4">
        <f t="shared" si="5"/>
        <v>308</v>
      </c>
      <c r="B28" s="2">
        <v>1</v>
      </c>
      <c r="C28" s="114" t="s">
        <v>290</v>
      </c>
      <c r="D28" s="268" t="str">
        <f>VLOOKUP(C28,Purchased!A:B,2,0)</f>
        <v>SMC FITTING, UNIFIT</v>
      </c>
      <c r="E28" s="269"/>
      <c r="F28" s="112" t="str">
        <f>VLOOKUP(C28,Purchased!A:Q,9,0)</f>
        <v>SMC</v>
      </c>
      <c r="G28" s="112" t="str">
        <f>VLOOKUP(C28,Purchased!A:Q,10,0)</f>
        <v>AAP</v>
      </c>
      <c r="H28" s="112" t="str">
        <f>VLOOKUP(C28,Purchased!A:Q,12,0)</f>
        <v xml:space="preserve"> </v>
      </c>
      <c r="I28" s="113"/>
      <c r="J28" s="44" t="str">
        <f>VLOOKUP(C28,Purchased!A:Q,13,0)</f>
        <v>N/A</v>
      </c>
      <c r="K28" s="44">
        <f>VLOOKUP(C28,Purchased!A:Q,14,0)</f>
        <v>45162</v>
      </c>
      <c r="L28" s="44">
        <f>VLOOKUP(C28,Purchased!A:Q,15,0)</f>
        <v>45184</v>
      </c>
      <c r="M28" s="44">
        <f>VLOOKUP(C28,Purchased!A:Q,16,0)</f>
        <v>45180</v>
      </c>
      <c r="N28" s="45" t="str">
        <f>VLOOKUP(C28,Purchased!A:Q,17,0)</f>
        <v>20x55037, 10x55270</v>
      </c>
      <c r="O28" s="45" t="e">
        <f t="shared" ca="1" si="3"/>
        <v>#VALUE!</v>
      </c>
      <c r="P28" s="49">
        <f>IFERROR(VLOOKUP(C28,Purchased!A:E,3,FALSE),"")</f>
        <v>1.6323000000000001</v>
      </c>
      <c r="Q28" s="50">
        <f t="shared" si="4"/>
        <v>1.6323000000000001</v>
      </c>
    </row>
    <row r="29" spans="1:17" s="2" customFormat="1" ht="12" customHeight="1">
      <c r="A29" s="4">
        <f t="shared" si="5"/>
        <v>309</v>
      </c>
      <c r="B29" s="2">
        <v>1</v>
      </c>
      <c r="C29" s="114" t="s">
        <v>185</v>
      </c>
      <c r="D29" s="268" t="str">
        <f>VLOOKUP(C29,Purchased!A:B,2,0)</f>
        <v>SMC FITTING, MALE ELBOW</v>
      </c>
      <c r="E29" s="269"/>
      <c r="F29" s="112" t="str">
        <f>VLOOKUP(C29,Purchased!A:Q,9,0)</f>
        <v>SMC</v>
      </c>
      <c r="G29" s="112" t="str">
        <f>VLOOKUP(C29,Purchased!A:Q,10,0)</f>
        <v>AAP</v>
      </c>
      <c r="H29" s="112" t="str">
        <f>VLOOKUP(C29,Purchased!A:Q,12,0)</f>
        <v xml:space="preserve"> </v>
      </c>
      <c r="I29" s="113"/>
      <c r="J29" s="44" t="str">
        <f>VLOOKUP(C29,Purchased!A:Q,13,0)</f>
        <v>N/A</v>
      </c>
      <c r="K29" s="44">
        <f>VLOOKUP(C29,Purchased!A:Q,14,0)</f>
        <v>45162</v>
      </c>
      <c r="L29" s="44">
        <f>VLOOKUP(C29,Purchased!A:Q,15,0)</f>
        <v>45184</v>
      </c>
      <c r="M29" s="44">
        <f>VLOOKUP(C29,Purchased!A:Q,16,0)</f>
        <v>45180</v>
      </c>
      <c r="N29" s="45" t="str">
        <f>VLOOKUP(C29,Purchased!A:Q,17,0)</f>
        <v>10x55037, 20x55073, 10x55270</v>
      </c>
      <c r="O29" s="45" t="e">
        <f t="shared" ca="1" si="3"/>
        <v>#VALUE!</v>
      </c>
      <c r="P29" s="49">
        <f>IFERROR(VLOOKUP(C29,Purchased!A:E,3,FALSE),"")</f>
        <v>2.2932999999999999</v>
      </c>
      <c r="Q29" s="50">
        <f t="shared" si="4"/>
        <v>2.2932999999999999</v>
      </c>
    </row>
    <row r="30" spans="1:17" s="2" customFormat="1" ht="12" customHeight="1">
      <c r="A30" s="4">
        <f t="shared" si="5"/>
        <v>310</v>
      </c>
      <c r="B30" s="2">
        <v>2</v>
      </c>
      <c r="C30" s="114" t="s">
        <v>186</v>
      </c>
      <c r="D30" s="268" t="str">
        <f>VLOOKUP(C30,Purchased!A:B,2,0)</f>
        <v>SMC FITTING, MALE ELBOW</v>
      </c>
      <c r="E30" s="269"/>
      <c r="F30" s="112" t="str">
        <f>VLOOKUP(C30,Purchased!A:Q,9,0)</f>
        <v>SMC</v>
      </c>
      <c r="G30" s="112" t="str">
        <f>VLOOKUP(C30,Purchased!A:Q,10,0)</f>
        <v>AAP</v>
      </c>
      <c r="H30" s="112" t="str">
        <f>VLOOKUP(C30,Purchased!A:Q,12,0)</f>
        <v xml:space="preserve">  </v>
      </c>
      <c r="I30" s="113"/>
      <c r="J30" s="44" t="str">
        <f>VLOOKUP(C30,Purchased!A:Q,13,0)</f>
        <v>N/A</v>
      </c>
      <c r="K30" s="44">
        <f>VLOOKUP(C30,Purchased!A:Q,14,0)</f>
        <v>45162</v>
      </c>
      <c r="L30" s="44">
        <f>VLOOKUP(C30,Purchased!A:Q,15,0)</f>
        <v>45184</v>
      </c>
      <c r="M30" s="44">
        <f>VLOOKUP(C30,Purchased!A:Q,16,0)</f>
        <v>45180</v>
      </c>
      <c r="N30" s="45">
        <f>VLOOKUP(C30,Purchased!A:Q,17,0)</f>
        <v>55037</v>
      </c>
      <c r="O30" s="45" t="e">
        <f t="shared" ca="1" si="3"/>
        <v>#VALUE!</v>
      </c>
      <c r="P30" s="49">
        <f>IFERROR(VLOOKUP(C30,Purchased!A:E,3,FALSE),"")</f>
        <v>1.4248000000000001</v>
      </c>
      <c r="Q30" s="50">
        <f t="shared" si="4"/>
        <v>2.8496000000000001</v>
      </c>
    </row>
    <row r="31" spans="1:17" s="2" customFormat="1" ht="12" customHeight="1">
      <c r="A31" s="4">
        <f t="shared" si="5"/>
        <v>311</v>
      </c>
      <c r="B31" s="2">
        <v>2</v>
      </c>
      <c r="C31" s="114" t="s">
        <v>989</v>
      </c>
      <c r="D31" s="268" t="str">
        <f>VLOOKUP(C31,Purchased!A:B,2,0)</f>
        <v>SMC FITTING, MALE CONNECTOR</v>
      </c>
      <c r="E31" s="269"/>
      <c r="F31" s="112" t="str">
        <f>VLOOKUP(C31,Purchased!A:Q,9,0)</f>
        <v>SMC</v>
      </c>
      <c r="G31" s="112" t="str">
        <f>VLOOKUP(C31,Purchased!A:Q,10,0)</f>
        <v>AAP</v>
      </c>
      <c r="H31" s="112" t="str">
        <f>VLOOKUP(C31,Purchased!A:Q,12,0)</f>
        <v xml:space="preserve"> </v>
      </c>
      <c r="I31" s="113"/>
      <c r="J31" s="44" t="str">
        <f>VLOOKUP(C31,Purchased!A:Q,13,0)</f>
        <v>N/A</v>
      </c>
      <c r="K31" s="44">
        <f>VLOOKUP(C31,Purchased!A:Q,14,0)</f>
        <v>45162</v>
      </c>
      <c r="L31" s="44">
        <f>VLOOKUP(C31,Purchased!A:Q,15,0)</f>
        <v>45184</v>
      </c>
      <c r="M31" s="44">
        <f>VLOOKUP(C31,Purchased!A:Q,16,0)</f>
        <v>45197</v>
      </c>
      <c r="N31" s="45">
        <f>VLOOKUP(C31,Purchased!A:Q,17,0)</f>
        <v>55073</v>
      </c>
      <c r="O31" s="45" t="e">
        <f t="shared" ca="1" si="3"/>
        <v>#VALUE!</v>
      </c>
      <c r="P31" s="49">
        <f>IFERROR(VLOOKUP(C31,Purchased!A:E,3,FALSE),"")</f>
        <v>1.3418000000000001</v>
      </c>
      <c r="Q31" s="50">
        <f t="shared" si="4"/>
        <v>2.6836000000000002</v>
      </c>
    </row>
    <row r="32" spans="1:17" s="2" customFormat="1" ht="12" customHeight="1">
      <c r="A32" s="4">
        <f t="shared" si="5"/>
        <v>312</v>
      </c>
      <c r="B32" s="2">
        <v>2</v>
      </c>
      <c r="C32" s="114" t="s">
        <v>990</v>
      </c>
      <c r="D32" s="268" t="str">
        <f>VLOOKUP(C32,Purchased!A:B,2,0)</f>
        <v>SMC SPEED CONTROLLER</v>
      </c>
      <c r="E32" s="269"/>
      <c r="F32" s="112" t="str">
        <f>VLOOKUP(C32,Purchased!A:Q,9,0)</f>
        <v>SMC</v>
      </c>
      <c r="G32" s="112" t="str">
        <f>VLOOKUP(C32,Purchased!A:Q,10,0)</f>
        <v>AAP</v>
      </c>
      <c r="H32" s="112" t="str">
        <f>VLOOKUP(C32,Purchased!A:Q,12,0)</f>
        <v xml:space="preserve"> </v>
      </c>
      <c r="I32" s="113"/>
      <c r="J32" s="44" t="str">
        <f>VLOOKUP(C32,Purchased!A:Q,13,0)</f>
        <v>N/A</v>
      </c>
      <c r="K32" s="44">
        <f>VLOOKUP(C32,Purchased!A:Q,14,0)</f>
        <v>45162</v>
      </c>
      <c r="L32" s="44">
        <f>VLOOKUP(C32,Purchased!A:Q,15,0)</f>
        <v>45184</v>
      </c>
      <c r="M32" s="44">
        <f>VLOOKUP(C32,Purchased!A:Q,16,0)</f>
        <v>45197</v>
      </c>
      <c r="N32" s="45">
        <f>VLOOKUP(C32,Purchased!A:Q,17,0)</f>
        <v>55073</v>
      </c>
      <c r="O32" s="45" t="e">
        <f t="shared" ca="1" si="3"/>
        <v>#VALUE!</v>
      </c>
      <c r="P32" s="49">
        <f>IFERROR(VLOOKUP(C32,Purchased!A:E,3,FALSE),"")</f>
        <v>13.487500000000001</v>
      </c>
      <c r="Q32" s="50">
        <f t="shared" si="4"/>
        <v>26.975000000000001</v>
      </c>
    </row>
    <row r="33" spans="1:17" s="2" customFormat="1" ht="12" customHeight="1">
      <c r="A33" s="4">
        <f t="shared" si="5"/>
        <v>313</v>
      </c>
      <c r="B33" s="2">
        <v>2</v>
      </c>
      <c r="C33" s="114" t="s">
        <v>991</v>
      </c>
      <c r="D33" s="268" t="str">
        <f>VLOOKUP(C33,Purchased!A:B,2,0)</f>
        <v>SMC SPEED CONTROLLER</v>
      </c>
      <c r="E33" s="269"/>
      <c r="F33" s="112" t="str">
        <f>VLOOKUP(C33,Purchased!A:Q,9,0)</f>
        <v>SMC</v>
      </c>
      <c r="G33" s="112" t="str">
        <f>VLOOKUP(C33,Purchased!A:Q,10,0)</f>
        <v>AAP</v>
      </c>
      <c r="H33" s="112" t="str">
        <f>VLOOKUP(C33,Purchased!A:Q,12,0)</f>
        <v xml:space="preserve"> </v>
      </c>
      <c r="I33" s="113"/>
      <c r="J33" s="44" t="str">
        <f>VLOOKUP(C33,Purchased!A:Q,13,0)</f>
        <v>N/A</v>
      </c>
      <c r="K33" s="44">
        <f>VLOOKUP(C33,Purchased!A:Q,14,0)</f>
        <v>45162</v>
      </c>
      <c r="L33" s="44">
        <f>VLOOKUP(C33,Purchased!A:Q,15,0)</f>
        <v>45184</v>
      </c>
      <c r="M33" s="44">
        <f>VLOOKUP(C33,Purchased!A:Q,16,0)</f>
        <v>45197</v>
      </c>
      <c r="N33" s="45">
        <f>VLOOKUP(C33,Purchased!A:Q,17,0)</f>
        <v>55073</v>
      </c>
      <c r="O33" s="45" t="e">
        <f t="shared" ca="1" si="3"/>
        <v>#VALUE!</v>
      </c>
      <c r="P33" s="49">
        <f>IFERROR(VLOOKUP(C33,Purchased!A:E,3,FALSE),"")</f>
        <v>13.487500000000001</v>
      </c>
      <c r="Q33" s="50">
        <f t="shared" si="4"/>
        <v>26.975000000000001</v>
      </c>
    </row>
    <row r="34" spans="1:17" s="2" customFormat="1" ht="12" customHeight="1">
      <c r="A34" s="4">
        <f t="shared" si="5"/>
        <v>314</v>
      </c>
      <c r="B34" s="2">
        <v>2</v>
      </c>
      <c r="C34" s="114" t="s">
        <v>992</v>
      </c>
      <c r="D34" s="268" t="str">
        <f>VLOOKUP(C34,Purchased!A:B,2,0)</f>
        <v>SMC KIT, L-BRACKET, AS20F</v>
      </c>
      <c r="E34" s="269"/>
      <c r="F34" s="112" t="str">
        <f>VLOOKUP(C34,Purchased!A:Q,9,0)</f>
        <v>SMC</v>
      </c>
      <c r="G34" s="112" t="str">
        <f>VLOOKUP(C34,Purchased!A:Q,10,0)</f>
        <v>AAP</v>
      </c>
      <c r="H34" s="112" t="str">
        <f>VLOOKUP(C34,Purchased!A:Q,12,0)</f>
        <v xml:space="preserve"> </v>
      </c>
      <c r="I34" s="113"/>
      <c r="J34" s="44" t="str">
        <f>VLOOKUP(C34,Purchased!A:Q,13,0)</f>
        <v>N/A</v>
      </c>
      <c r="K34" s="44">
        <f>VLOOKUP(C34,Purchased!A:Q,14,0)</f>
        <v>45162</v>
      </c>
      <c r="L34" s="44">
        <f>VLOOKUP(C34,Purchased!A:Q,15,0)</f>
        <v>45184</v>
      </c>
      <c r="M34" s="44">
        <f>VLOOKUP(C34,Purchased!A:Q,16,0)</f>
        <v>45197</v>
      </c>
      <c r="N34" s="45">
        <f>VLOOKUP(C34,Purchased!A:Q,17,0)</f>
        <v>55073</v>
      </c>
      <c r="O34" s="45" t="e">
        <f t="shared" ca="1" si="3"/>
        <v>#VALUE!</v>
      </c>
      <c r="P34" s="49">
        <f>IFERROR(VLOOKUP(C34,Purchased!A:E,3,FALSE),"")</f>
        <v>1.494</v>
      </c>
      <c r="Q34" s="50">
        <f t="shared" si="4"/>
        <v>2.988</v>
      </c>
    </row>
    <row r="35" spans="1:17" s="2" customFormat="1" ht="12" customHeight="1">
      <c r="A35" s="4">
        <f t="shared" si="5"/>
        <v>315</v>
      </c>
      <c r="B35" s="2">
        <v>2</v>
      </c>
      <c r="C35" s="114" t="s">
        <v>993</v>
      </c>
      <c r="D35" s="268" t="str">
        <f>VLOOKUP(C35,Purchased!A:B,2,0)</f>
        <v>18-8 Stainless Steel Socket Head Screw M3 x 0.50 mm Thread, 55 mm Long, 25pk</v>
      </c>
      <c r="E35" s="269"/>
      <c r="F35" s="112" t="str">
        <f>VLOOKUP(C35,Purchased!A:Q,9,0)</f>
        <v>MCM</v>
      </c>
      <c r="G35" s="112" t="str">
        <f>VLOOKUP(C35,Purchased!A:Q,10,0)</f>
        <v>MCM</v>
      </c>
      <c r="H35" s="112" t="str">
        <f>VLOOKUP(C35,Purchased!A:Q,12,0)</f>
        <v xml:space="preserve"> </v>
      </c>
      <c r="I35" s="113"/>
      <c r="J35" s="44" t="str">
        <f>VLOOKUP(C35,Purchased!A:Q,13,0)</f>
        <v>N/A</v>
      </c>
      <c r="K35" s="44">
        <f>VLOOKUP(C35,Purchased!A:Q,14,0)</f>
        <v>45162</v>
      </c>
      <c r="L35" s="44">
        <f>VLOOKUP(C35,Purchased!A:Q,15,0)</f>
        <v>45184</v>
      </c>
      <c r="M35" s="44">
        <f>VLOOKUP(C35,Purchased!A:Q,16,0)</f>
        <v>45163</v>
      </c>
      <c r="N35" s="45">
        <f>VLOOKUP(C35,Purchased!A:Q,17,0)</f>
        <v>55088</v>
      </c>
      <c r="O35" s="45" t="e">
        <f t="shared" ca="1" si="3"/>
        <v>#VALUE!</v>
      </c>
      <c r="P35" s="49">
        <f>IFERROR(VLOOKUP(C35,Purchased!A:E,3,FALSE),"")</f>
        <v>10.36</v>
      </c>
      <c r="Q35" s="50">
        <f t="shared" si="4"/>
        <v>20.72</v>
      </c>
    </row>
    <row r="36" spans="1:17" s="2" customFormat="1" ht="12" customHeight="1">
      <c r="A36" s="4">
        <f t="shared" si="5"/>
        <v>316</v>
      </c>
      <c r="B36" s="2">
        <v>0.1</v>
      </c>
      <c r="C36" s="114" t="s">
        <v>634</v>
      </c>
      <c r="D36" s="268" t="str">
        <f>VLOOKUP(C36,Purchased!A:B,2,0)</f>
        <v>18-8 Stainless Steel Threaded Rod, M4 x 0.7 mm Thread Size, 1 M Long</v>
      </c>
      <c r="E36" s="269"/>
      <c r="F36" s="112" t="str">
        <f>VLOOKUP(C36,Purchased!A:Q,9,0)</f>
        <v>MCM</v>
      </c>
      <c r="G36" s="112" t="str">
        <f>VLOOKUP(C36,Purchased!A:Q,10,0)</f>
        <v>MCM</v>
      </c>
      <c r="H36" s="112" t="s">
        <v>994</v>
      </c>
      <c r="I36" s="113"/>
      <c r="J36" s="44" t="str">
        <f>VLOOKUP(C36,Purchased!A:Q,13,0)</f>
        <v>N/A</v>
      </c>
      <c r="K36" s="44">
        <f>VLOOKUP(C36,Purchased!A:Q,14,0)</f>
        <v>45162</v>
      </c>
      <c r="L36" s="44">
        <f>VLOOKUP(C36,Purchased!A:Q,15,0)</f>
        <v>45184</v>
      </c>
      <c r="M36" s="44">
        <f>VLOOKUP(C36,Purchased!A:Q,16,0)</f>
        <v>45163</v>
      </c>
      <c r="N36" s="45">
        <f>VLOOKUP(C36,Purchased!A:Q,17,0)</f>
        <v>55088</v>
      </c>
      <c r="O36" s="45" t="e">
        <f t="shared" ca="1" si="3"/>
        <v>#VALUE!</v>
      </c>
      <c r="P36" s="49">
        <f>IFERROR(VLOOKUP(C36,Purchased!A:E,3,FALSE),"")</f>
        <v>9.4</v>
      </c>
      <c r="Q36" s="50">
        <f t="shared" si="4"/>
        <v>0.94000000000000006</v>
      </c>
    </row>
    <row r="37" spans="1:17" s="2" customFormat="1" ht="12" customHeight="1">
      <c r="A37" s="4">
        <f t="shared" si="5"/>
        <v>317</v>
      </c>
      <c r="B37" s="2">
        <v>4</v>
      </c>
      <c r="C37" s="109" t="s">
        <v>995</v>
      </c>
      <c r="D37" s="268" t="str">
        <f>VLOOKUP(C37,Purchased!A:B,2,0)</f>
        <v>316 Stainless Steel Button Head Hex Drive Screws M3 x 0.5mm Thread, 20mm Long, 100pk</v>
      </c>
      <c r="E37" s="269"/>
      <c r="F37" s="112" t="str">
        <f>VLOOKUP(C37,Purchased!A:Q,9,0)</f>
        <v>MCM</v>
      </c>
      <c r="G37" s="112" t="str">
        <f>VLOOKUP(C37,Purchased!A:Q,10,0)</f>
        <v>MCM</v>
      </c>
      <c r="H37" s="112" t="str">
        <f>VLOOKUP(C37,Purchased!A:Q,12,0)</f>
        <v xml:space="preserve"> </v>
      </c>
      <c r="I37" s="113"/>
      <c r="J37" s="44" t="str">
        <f>VLOOKUP(C37,Purchased!A:Q,13,0)</f>
        <v>N/A</v>
      </c>
      <c r="K37" s="44">
        <f>VLOOKUP(C37,Purchased!A:Q,14,0)</f>
        <v>45162</v>
      </c>
      <c r="L37" s="44">
        <f>VLOOKUP(C37,Purchased!A:Q,15,0)</f>
        <v>45184</v>
      </c>
      <c r="M37" s="44">
        <f>VLOOKUP(C37,Purchased!A:Q,16,0)</f>
        <v>45163</v>
      </c>
      <c r="N37" s="45">
        <f>VLOOKUP(C37,Purchased!A:Q,17,0)</f>
        <v>55089</v>
      </c>
      <c r="O37" s="45" t="e">
        <f t="shared" ca="1" si="3"/>
        <v>#VALUE!</v>
      </c>
      <c r="P37" s="49">
        <f>IFERROR(VLOOKUP(C37,Purchased!A:E,3,FALSE),"")</f>
        <v>7.73</v>
      </c>
      <c r="Q37" s="50">
        <f t="shared" si="4"/>
        <v>30.92</v>
      </c>
    </row>
    <row r="38" spans="1:17" s="2" customFormat="1" ht="12" customHeight="1">
      <c r="A38" s="4">
        <f t="shared" si="5"/>
        <v>318</v>
      </c>
      <c r="B38" s="2">
        <v>4</v>
      </c>
      <c r="C38" s="109" t="s">
        <v>953</v>
      </c>
      <c r="D38" s="268" t="str">
        <f>VLOOKUP(C38,Purchased!A:B,2,0)</f>
        <v>18-8 Stainless Steel Socket Head Screw M6 x 1 mm Thread, 140 mm Long</v>
      </c>
      <c r="E38" s="269"/>
      <c r="F38" s="112" t="str">
        <f>VLOOKUP(C38,Purchased!A:Q,9,0)</f>
        <v>MCM</v>
      </c>
      <c r="G38" s="112" t="str">
        <f>VLOOKUP(C38,Purchased!A:Q,10,0)</f>
        <v>MCM</v>
      </c>
      <c r="H38" s="112" t="str">
        <f>VLOOKUP(C38,Purchased!A:Q,12,0)</f>
        <v xml:space="preserve"> </v>
      </c>
      <c r="I38" s="113"/>
      <c r="J38" s="44" t="str">
        <f>VLOOKUP(C38,Purchased!A:Q,13,0)</f>
        <v>N/A</v>
      </c>
      <c r="K38" s="44">
        <f>VLOOKUP(C38,Purchased!A:Q,14,0)</f>
        <v>45162</v>
      </c>
      <c r="L38" s="44">
        <f>VLOOKUP(C38,Purchased!A:Q,15,0)</f>
        <v>45184</v>
      </c>
      <c r="M38" s="44">
        <f>VLOOKUP(C38,Purchased!A:Q,16,0)</f>
        <v>45163</v>
      </c>
      <c r="N38" s="45">
        <f>VLOOKUP(C38,Purchased!A:Q,17,0)</f>
        <v>55088</v>
      </c>
      <c r="O38" s="45" t="e">
        <f t="shared" ca="1" si="3"/>
        <v>#VALUE!</v>
      </c>
      <c r="P38" s="49">
        <f>IFERROR(VLOOKUP(C38,Purchased!A:E,3,FALSE),"")</f>
        <v>3.82</v>
      </c>
      <c r="Q38" s="50">
        <f t="shared" si="4"/>
        <v>15.28</v>
      </c>
    </row>
    <row r="39" spans="1:17" s="2" customFormat="1" ht="12" customHeight="1">
      <c r="A39" s="4">
        <f t="shared" si="5"/>
        <v>319</v>
      </c>
      <c r="B39" s="2">
        <v>4</v>
      </c>
      <c r="C39" s="109" t="s">
        <v>996</v>
      </c>
      <c r="D39" s="268" t="str">
        <f>VLOOKUP(C39,Purchased!A:B,2,0)</f>
        <v>Alloy Steel Low-Profile Socket Head Screws Hex Drive, Zinc Plated, M8 x 1.25 mm Thread, 20 mm Long, 25pk</v>
      </c>
      <c r="E39" s="269"/>
      <c r="F39" s="112" t="str">
        <f>VLOOKUP(C39,Purchased!A:Q,9,0)</f>
        <v>MCM</v>
      </c>
      <c r="G39" s="112" t="str">
        <f>VLOOKUP(C39,Purchased!A:Q,10,0)</f>
        <v>MCM</v>
      </c>
      <c r="H39" s="112" t="str">
        <f>VLOOKUP(C39,Purchased!A:Q,12,0)</f>
        <v xml:space="preserve"> </v>
      </c>
      <c r="I39" s="113"/>
      <c r="J39" s="44" t="str">
        <f>VLOOKUP(C39,Purchased!A:Q,13,0)</f>
        <v>N/A</v>
      </c>
      <c r="K39" s="44">
        <f>VLOOKUP(C39,Purchased!A:Q,14,0)</f>
        <v>45162</v>
      </c>
      <c r="L39" s="44">
        <f>VLOOKUP(C39,Purchased!A:Q,15,0)</f>
        <v>45184</v>
      </c>
      <c r="M39" s="44">
        <f>VLOOKUP(C39,Purchased!A:Q,16,0)</f>
        <v>45163</v>
      </c>
      <c r="N39" s="45">
        <f>VLOOKUP(C39,Purchased!A:Q,17,0)</f>
        <v>55088</v>
      </c>
      <c r="O39" s="45" t="e">
        <f t="shared" ca="1" si="3"/>
        <v>#VALUE!</v>
      </c>
      <c r="P39" s="49">
        <f>IFERROR(VLOOKUP(C39,Purchased!A:E,3,FALSE),"")</f>
        <v>12.7</v>
      </c>
      <c r="Q39" s="50">
        <f t="shared" si="4"/>
        <v>50.8</v>
      </c>
    </row>
    <row r="40" spans="1:17" s="2" customFormat="1" ht="12" customHeight="1">
      <c r="A40" s="4">
        <f t="shared" si="5"/>
        <v>320</v>
      </c>
      <c r="B40" s="2">
        <v>4</v>
      </c>
      <c r="C40" s="109" t="s">
        <v>997</v>
      </c>
      <c r="D40" s="268" t="str">
        <f>VLOOKUP(C40,Purchased!A:B,2,0)</f>
        <v>18-8 Stainless Steel Oversized Washer for M3 Screw Size, 3.2 mm ID, 8 mm OD</v>
      </c>
      <c r="E40" s="269"/>
      <c r="F40" s="112" t="str">
        <f>VLOOKUP(C40,Purchased!A:Q,9,0)</f>
        <v>MCM</v>
      </c>
      <c r="G40" s="112" t="str">
        <f>VLOOKUP(C40,Purchased!A:Q,10,0)</f>
        <v>MCM</v>
      </c>
      <c r="H40" s="112" t="str">
        <f>VLOOKUP(C40,Purchased!A:Q,12,0)</f>
        <v xml:space="preserve"> </v>
      </c>
      <c r="I40" s="113"/>
      <c r="J40" s="44" t="str">
        <f>VLOOKUP(C40,Purchased!A:Q,13,0)</f>
        <v>N/A</v>
      </c>
      <c r="K40" s="44">
        <f>VLOOKUP(C40,Purchased!A:Q,14,0)</f>
        <v>45162</v>
      </c>
      <c r="L40" s="44">
        <f>VLOOKUP(C40,Purchased!A:Q,15,0)</f>
        <v>45184</v>
      </c>
      <c r="M40" s="44">
        <f>VLOOKUP(C40,Purchased!A:Q,16,0)</f>
        <v>45163</v>
      </c>
      <c r="N40" s="45">
        <f>VLOOKUP(C40,Purchased!A:Q,17,0)</f>
        <v>55089</v>
      </c>
      <c r="O40" s="45" t="e">
        <f t="shared" ca="1" si="3"/>
        <v>#VALUE!</v>
      </c>
      <c r="P40" s="49">
        <f>IFERROR(VLOOKUP(C40,Purchased!A:E,3,FALSE),"")</f>
        <v>1.1399999999999999</v>
      </c>
      <c r="Q40" s="50">
        <f t="shared" si="4"/>
        <v>4.5599999999999996</v>
      </c>
    </row>
    <row r="41" spans="1:17" s="2" customFormat="1" ht="12" customHeight="1">
      <c r="A41" s="4">
        <f t="shared" si="5"/>
        <v>321</v>
      </c>
      <c r="B41" s="2">
        <v>7</v>
      </c>
      <c r="C41" s="109" t="s">
        <v>998</v>
      </c>
      <c r="D41" s="268" t="str">
        <f>VLOOKUP(C41,Purchased!A:B,2,0)</f>
        <v>ELESA GN 30052 Burled Knob for M5</v>
      </c>
      <c r="E41" s="269"/>
      <c r="F41" s="112" t="str">
        <f>VLOOKUP(C41,Purchased!A:Q,9,0)</f>
        <v>ELESA</v>
      </c>
      <c r="G41" s="112" t="str">
        <f>VLOOKUP(C41,Purchased!A:Q,10,0)</f>
        <v>ELESA</v>
      </c>
      <c r="H41" s="112" t="str">
        <f>VLOOKUP(C41,Purchased!A:Q,12,0)</f>
        <v xml:space="preserve"> </v>
      </c>
      <c r="I41" s="113"/>
      <c r="J41" s="44" t="str">
        <f>VLOOKUP(C41,Purchased!A:Q,13,0)</f>
        <v>N/A</v>
      </c>
      <c r="K41" s="44">
        <f>VLOOKUP(C41,Purchased!A:Q,14,0)</f>
        <v>45162</v>
      </c>
      <c r="L41" s="44">
        <f>VLOOKUP(C41,Purchased!A:Q,15,0)</f>
        <v>45184</v>
      </c>
      <c r="M41" s="44">
        <f>VLOOKUP(C41,Purchased!A:Q,16,0)</f>
        <v>45184</v>
      </c>
      <c r="N41" s="45">
        <f>VLOOKUP(C41,Purchased!A:Q,17,0)</f>
        <v>55075</v>
      </c>
      <c r="O41" s="45" t="e">
        <f t="shared" ca="1" si="3"/>
        <v>#VALUE!</v>
      </c>
      <c r="P41" s="49">
        <f>IFERROR(VLOOKUP(C41,Purchased!A:E,3,FALSE),"")</f>
        <v>1.97</v>
      </c>
      <c r="Q41" s="50">
        <f t="shared" si="4"/>
        <v>13.79</v>
      </c>
    </row>
    <row r="42" spans="1:17" s="2" customFormat="1" ht="12" customHeight="1">
      <c r="A42" s="4">
        <f t="shared" si="5"/>
        <v>322</v>
      </c>
      <c r="B42" s="2">
        <v>1</v>
      </c>
      <c r="C42" s="114" t="s">
        <v>963</v>
      </c>
      <c r="D42" s="268" t="str">
        <f>VLOOKUP(C42,Purchased!A:B,2,0)</f>
        <v>IGUS  Trap Lead Nut</v>
      </c>
      <c r="E42" s="269"/>
      <c r="F42" s="112" t="str">
        <f>VLOOKUP(C42,Purchased!A:Q,9,0)</f>
        <v>IGUS</v>
      </c>
      <c r="G42" s="112" t="str">
        <f>VLOOKUP(C42,Purchased!A:Q,10,0)</f>
        <v>IGUS</v>
      </c>
      <c r="H42" s="112" t="str">
        <f>VLOOKUP(C42,Purchased!A:Q,12,0)</f>
        <v xml:space="preserve"> </v>
      </c>
      <c r="I42" s="113"/>
      <c r="J42" s="44">
        <f>VLOOKUP(C42,Purchased!A:Q,13,0)</f>
        <v>45154</v>
      </c>
      <c r="K42" s="44">
        <f>VLOOKUP(C42,Purchased!A:Q,14,0)</f>
        <v>45161</v>
      </c>
      <c r="L42" s="44">
        <f>VLOOKUP(C42,Purchased!A:Q,15,0)</f>
        <v>45191</v>
      </c>
      <c r="M42" s="44">
        <f>VLOOKUP(C42,Purchased!A:Q,16,0)</f>
        <v>45208</v>
      </c>
      <c r="N42" s="45">
        <f>VLOOKUP(C42,Purchased!A:Q,17,0)</f>
        <v>55076</v>
      </c>
      <c r="O42" s="45" t="e">
        <f t="shared" ca="1" si="3"/>
        <v>#VALUE!</v>
      </c>
      <c r="P42" s="49">
        <f>IFERROR(VLOOKUP(C42,Purchased!A:E,3,FALSE),"")</f>
        <v>23.47</v>
      </c>
      <c r="Q42" s="50">
        <f t="shared" si="4"/>
        <v>23.47</v>
      </c>
    </row>
    <row r="43" spans="1:17" s="2" customFormat="1" ht="12" customHeight="1">
      <c r="A43" s="4">
        <f t="shared" si="5"/>
        <v>323</v>
      </c>
      <c r="B43" s="2">
        <v>4</v>
      </c>
      <c r="C43" s="114" t="s">
        <v>999</v>
      </c>
      <c r="D43" s="268" t="str">
        <f>VLOOKUP(C43,Purchased!A:B,2,0)</f>
        <v>MISUMI Circular Post 25mm OD 195.9mm L</v>
      </c>
      <c r="E43" s="269"/>
      <c r="F43" s="112" t="str">
        <f>VLOOKUP(C43,Purchased!A:Q,9,0)</f>
        <v>MISUMI</v>
      </c>
      <c r="G43" s="112" t="str">
        <f>VLOOKUP(C43,Purchased!A:Q,10,0)</f>
        <v>MISUMI</v>
      </c>
      <c r="H43" s="112" t="str">
        <f>VLOOKUP(C43,Purchased!A:Q,12,0)</f>
        <v xml:space="preserve"> </v>
      </c>
      <c r="I43" s="113"/>
      <c r="J43" s="44" t="str">
        <f>VLOOKUP(C43,Purchased!A:Q,13,0)</f>
        <v>N/A</v>
      </c>
      <c r="K43" s="44">
        <f>VLOOKUP(C43,Purchased!A:Q,14,0)</f>
        <v>45161</v>
      </c>
      <c r="L43" s="44">
        <f>VLOOKUP(C43,Purchased!A:Q,15,0)</f>
        <v>45191</v>
      </c>
      <c r="M43" s="44">
        <f>VLOOKUP(C43,Purchased!A:Q,16,0)</f>
        <v>45176</v>
      </c>
      <c r="N43" s="45">
        <f>VLOOKUP(C43,Purchased!A:Q,17,0)</f>
        <v>55078</v>
      </c>
      <c r="O43" s="45" t="e">
        <f t="shared" ca="1" si="3"/>
        <v>#VALUE!</v>
      </c>
      <c r="P43" s="49">
        <f>IFERROR(VLOOKUP(C43,Purchased!A:E,3,FALSE),"")</f>
        <v>37.130000000000003</v>
      </c>
      <c r="Q43" s="50">
        <f t="shared" si="4"/>
        <v>148.52000000000001</v>
      </c>
    </row>
    <row r="44" spans="1:17" s="2" customFormat="1" ht="12" customHeight="1">
      <c r="A44" s="4">
        <f t="shared" si="5"/>
        <v>324</v>
      </c>
      <c r="B44" s="2">
        <v>2</v>
      </c>
      <c r="C44" s="114" t="s">
        <v>1000</v>
      </c>
      <c r="D44" s="268" t="str">
        <f>VLOOKUP(C44,Purchased!A:B,2,0)</f>
        <v>MISUMI Circular Post 15mm OD 214.4mm L</v>
      </c>
      <c r="E44" s="269"/>
      <c r="F44" s="112" t="str">
        <f>VLOOKUP(C44,Purchased!A:Q,9,0)</f>
        <v>MISUMI</v>
      </c>
      <c r="G44" s="112" t="str">
        <f>VLOOKUP(C44,Purchased!A:Q,10,0)</f>
        <v>MISUMI</v>
      </c>
      <c r="H44" s="112" t="str">
        <f>VLOOKUP(C44,Purchased!A:Q,12,0)</f>
        <v xml:space="preserve"> </v>
      </c>
      <c r="I44" s="113"/>
      <c r="J44" s="44" t="str">
        <f>VLOOKUP(C44,Purchased!A:Q,13,0)</f>
        <v>N/A</v>
      </c>
      <c r="K44" s="44">
        <f>VLOOKUP(C44,Purchased!A:Q,14,0)</f>
        <v>45161</v>
      </c>
      <c r="L44" s="44">
        <f>VLOOKUP(C44,Purchased!A:Q,15,0)</f>
        <v>45191</v>
      </c>
      <c r="M44" s="44">
        <f>VLOOKUP(C44,Purchased!A:Q,16,0)</f>
        <v>45176</v>
      </c>
      <c r="N44" s="45">
        <f>VLOOKUP(C44,Purchased!A:Q,17,0)</f>
        <v>55078</v>
      </c>
      <c r="O44" s="45" t="e">
        <f t="shared" ca="1" si="3"/>
        <v>#VALUE!</v>
      </c>
      <c r="P44" s="49">
        <f>IFERROR(VLOOKUP(C44,Purchased!A:E,3,FALSE),"")</f>
        <v>54.52</v>
      </c>
      <c r="Q44" s="50">
        <f t="shared" si="4"/>
        <v>109.04</v>
      </c>
    </row>
    <row r="45" spans="1:17" s="2" customFormat="1" ht="12" customHeight="1">
      <c r="A45" s="4">
        <f t="shared" si="5"/>
        <v>325</v>
      </c>
      <c r="B45" s="2">
        <v>2</v>
      </c>
      <c r="C45" s="114" t="s">
        <v>818</v>
      </c>
      <c r="D45" s="268" t="str">
        <f>VLOOKUP(C45,Purchased!A:B,2,0)</f>
        <v xml:space="preserve">KEYENCE PR-G4ACP Diffuse reflective long distance </v>
      </c>
      <c r="E45" s="269"/>
      <c r="F45" s="112" t="str">
        <f>VLOOKUP(C45,Purchased!A:Q,9,0)</f>
        <v>KEYENCE</v>
      </c>
      <c r="G45" s="112" t="str">
        <f>VLOOKUP(C45,Purchased!A:Q,10,0)</f>
        <v>KEYENCE</v>
      </c>
      <c r="H45" s="112" t="str">
        <f>VLOOKUP(C45,Purchased!A:Q,12,0)</f>
        <v xml:space="preserve"> </v>
      </c>
      <c r="I45" s="113"/>
      <c r="J45" s="44">
        <f>VLOOKUP(C45,Purchased!A:Q,13,0)</f>
        <v>45154</v>
      </c>
      <c r="K45" s="44">
        <f>VLOOKUP(C45,Purchased!A:Q,14,0)</f>
        <v>45161</v>
      </c>
      <c r="L45" s="44">
        <f>VLOOKUP(C45,Purchased!A:Q,15,0)</f>
        <v>45191</v>
      </c>
      <c r="M45" s="44">
        <f>VLOOKUP(C45,Purchased!A:Q,16,0)</f>
        <v>45184</v>
      </c>
      <c r="N45" s="45">
        <f>VLOOKUP(C45,Purchased!A:Q,17,0)</f>
        <v>55077</v>
      </c>
      <c r="O45" s="45" t="e">
        <f t="shared" ca="1" si="3"/>
        <v>#VALUE!</v>
      </c>
      <c r="P45" s="49">
        <f>IFERROR(VLOOKUP(C45,Purchased!A:E,3,FALSE),"")</f>
        <v>168</v>
      </c>
      <c r="Q45" s="50">
        <f t="shared" si="4"/>
        <v>336</v>
      </c>
    </row>
    <row r="46" spans="1:17" s="2" customFormat="1" ht="12" customHeight="1">
      <c r="A46" s="4">
        <f t="shared" si="5"/>
        <v>326</v>
      </c>
      <c r="B46" s="2">
        <v>1</v>
      </c>
      <c r="C46" s="114" t="s">
        <v>1001</v>
      </c>
      <c r="D46" s="268" t="str">
        <f>VLOOKUP(C46,Purchased!A:B,2,0)</f>
        <v>KEYENCE OP-88245 Amplifier Securing Bracket</v>
      </c>
      <c r="E46" s="269"/>
      <c r="F46" s="112" t="str">
        <f>VLOOKUP(C46,Purchased!A:Q,9,0)</f>
        <v>KEYENCE</v>
      </c>
      <c r="G46" s="112" t="str">
        <f>VLOOKUP(C46,Purchased!A:Q,10,0)</f>
        <v>KEYENCE</v>
      </c>
      <c r="H46" s="112" t="str">
        <f>VLOOKUP(C46,Purchased!A:Q,12,0)</f>
        <v xml:space="preserve"> </v>
      </c>
      <c r="I46" s="113"/>
      <c r="J46" s="44">
        <f>VLOOKUP(C46,Purchased!A:Q,13,0)</f>
        <v>45154</v>
      </c>
      <c r="K46" s="44">
        <f>VLOOKUP(C46,Purchased!A:Q,14,0)</f>
        <v>45161</v>
      </c>
      <c r="L46" s="44">
        <f>VLOOKUP(C46,Purchased!A:Q,15,0)</f>
        <v>45191</v>
      </c>
      <c r="M46" s="44">
        <f>VLOOKUP(C46,Purchased!A:Q,16,0)</f>
        <v>45184</v>
      </c>
      <c r="N46" s="45">
        <f>VLOOKUP(C46,Purchased!A:Q,17,0)</f>
        <v>55077</v>
      </c>
      <c r="O46" s="45" t="e">
        <f t="shared" ca="1" si="3"/>
        <v>#VALUE!</v>
      </c>
      <c r="P46" s="49">
        <f>IFERROR(VLOOKUP(C46,Purchased!A:E,3,FALSE),"")</f>
        <v>3</v>
      </c>
      <c r="Q46" s="50">
        <f t="shared" si="4"/>
        <v>3</v>
      </c>
    </row>
    <row r="47" spans="1:17" s="2" customFormat="1" ht="12" customHeight="1">
      <c r="A47" s="4">
        <f t="shared" si="5"/>
        <v>327</v>
      </c>
      <c r="B47" s="2">
        <v>1</v>
      </c>
      <c r="C47" s="114" t="s">
        <v>1002</v>
      </c>
      <c r="D47" s="268" t="str">
        <f>VLOOKUP(C47,Purchased!A:B,2,0)</f>
        <v>KEYENCE FS-41NC Main Unit M8 Connector Type</v>
      </c>
      <c r="E47" s="269"/>
      <c r="F47" s="112" t="str">
        <f>VLOOKUP(C47,Purchased!A:Q,9,0)</f>
        <v>KEYENCE</v>
      </c>
      <c r="G47" s="112" t="str">
        <f>VLOOKUP(C47,Purchased!A:Q,10,0)</f>
        <v>KEYENCE</v>
      </c>
      <c r="H47" s="112" t="str">
        <f>VLOOKUP(C47,Purchased!A:Q,12,0)</f>
        <v xml:space="preserve"> </v>
      </c>
      <c r="I47" s="113"/>
      <c r="J47" s="44">
        <f>VLOOKUP(C47,Purchased!A:Q,13,0)</f>
        <v>45154</v>
      </c>
      <c r="K47" s="44">
        <f>VLOOKUP(C47,Purchased!A:Q,14,0)</f>
        <v>45161</v>
      </c>
      <c r="L47" s="44">
        <f>VLOOKUP(C47,Purchased!A:Q,15,0)</f>
        <v>45191</v>
      </c>
      <c r="M47" s="44">
        <f>VLOOKUP(C47,Purchased!A:Q,16,0)</f>
        <v>45184</v>
      </c>
      <c r="N47" s="45">
        <f>VLOOKUP(C47,Purchased!A:Q,17,0)</f>
        <v>55077</v>
      </c>
      <c r="O47" s="45" t="e">
        <f t="shared" ca="1" si="3"/>
        <v>#VALUE!</v>
      </c>
      <c r="P47" s="49">
        <f>IFERROR(VLOOKUP(C47,Purchased!A:E,3,FALSE),"")</f>
        <v>235</v>
      </c>
      <c r="Q47" s="50">
        <f t="shared" si="4"/>
        <v>235</v>
      </c>
    </row>
    <row r="48" spans="1:17" s="2" customFormat="1" ht="12" customHeight="1">
      <c r="A48" s="4">
        <f t="shared" si="5"/>
        <v>328</v>
      </c>
      <c r="B48" s="2">
        <v>6</v>
      </c>
      <c r="C48" s="114" t="s">
        <v>477</v>
      </c>
      <c r="D48" s="268" t="str">
        <f>VLOOKUP(C48,Purchased!A:B,2,0)</f>
        <v>MURR M8 Female, 0deg A-Coded, 3-Pin, w/ Cable</v>
      </c>
      <c r="E48" s="269"/>
      <c r="F48" s="112" t="str">
        <f>VLOOKUP(C48,Purchased!A:Q,9,0)</f>
        <v>MURR</v>
      </c>
      <c r="G48" s="112" t="str">
        <f>VLOOKUP(C48,Purchased!A:Q,10,0)</f>
        <v>MURR</v>
      </c>
      <c r="H48" s="112" t="str">
        <f>VLOOKUP(C48,Purchased!A:Q,12,0)</f>
        <v xml:space="preserve">  </v>
      </c>
      <c r="I48" s="113"/>
      <c r="J48" s="44">
        <f>VLOOKUP(C48,Purchased!A:Q,13,0)</f>
        <v>45161</v>
      </c>
      <c r="K48" s="44">
        <f>VLOOKUP(C48,Purchased!A:Q,14,0)</f>
        <v>45162</v>
      </c>
      <c r="L48" s="44">
        <f>VLOOKUP(C48,Purchased!A:Q,15,0)</f>
        <v>45184</v>
      </c>
      <c r="M48" s="44">
        <f>VLOOKUP(C48,Purchased!A:Q,16,0)</f>
        <v>45184</v>
      </c>
      <c r="N48" s="45">
        <f>VLOOKUP(C48,Purchased!A:Q,17,0)</f>
        <v>55080</v>
      </c>
      <c r="O48" s="45" t="e">
        <f t="shared" ca="1" si="3"/>
        <v>#VALUE!</v>
      </c>
      <c r="P48" s="49">
        <f>IFERROR(VLOOKUP(C48,Purchased!A:E,3,FALSE),"")</f>
        <v>21.52</v>
      </c>
      <c r="Q48" s="50">
        <f t="shared" si="4"/>
        <v>129.12</v>
      </c>
    </row>
    <row r="49" spans="1:17" s="2" customFormat="1" ht="12" customHeight="1">
      <c r="A49" s="4">
        <f t="shared" si="5"/>
        <v>329</v>
      </c>
      <c r="B49" s="2">
        <v>3</v>
      </c>
      <c r="C49" s="114" t="s">
        <v>1003</v>
      </c>
      <c r="D49" s="268" t="str">
        <f>VLOOKUP(C49,Purchased!A:B,2,0)</f>
        <v>MURR M8 Female, 0deg A-Coded, 4-Pin, w/ Cable, 7.5m, black</v>
      </c>
      <c r="E49" s="269"/>
      <c r="F49" s="112" t="str">
        <f>VLOOKUP(C49,Purchased!A:Q,9,0)</f>
        <v>MURR</v>
      </c>
      <c r="G49" s="112" t="str">
        <f>VLOOKUP(C49,Purchased!A:Q,10,0)</f>
        <v>MURR</v>
      </c>
      <c r="H49" s="112" t="str">
        <f>VLOOKUP(C49,Purchased!A:Q,12,0)</f>
        <v xml:space="preserve"> </v>
      </c>
      <c r="I49" s="113"/>
      <c r="J49" s="44">
        <f>VLOOKUP(C49,Purchased!A:Q,13,0)</f>
        <v>45161</v>
      </c>
      <c r="K49" s="44">
        <f>VLOOKUP(C49,Purchased!A:Q,14,0)</f>
        <v>45162</v>
      </c>
      <c r="L49" s="44">
        <f>VLOOKUP(C49,Purchased!A:Q,15,0)</f>
        <v>45184</v>
      </c>
      <c r="M49" s="44">
        <f>VLOOKUP(C49,Purchased!A:Q,16,0)</f>
        <v>45184</v>
      </c>
      <c r="N49" s="45">
        <f>VLOOKUP(C49,Purchased!A:Q,17,0)</f>
        <v>55080</v>
      </c>
      <c r="O49" s="45" t="e">
        <f t="shared" ca="1" si="3"/>
        <v>#VALUE!</v>
      </c>
      <c r="P49" s="49">
        <f>IFERROR(VLOOKUP(C49,Purchased!A:E,3,FALSE),"")</f>
        <v>21.04</v>
      </c>
      <c r="Q49" s="50">
        <f t="shared" si="4"/>
        <v>63.12</v>
      </c>
    </row>
    <row r="50" spans="1:17" s="2" customFormat="1" ht="12.75" customHeight="1">
      <c r="A50" s="25"/>
      <c r="B50" s="26"/>
      <c r="C50" s="26"/>
      <c r="D50" s="272"/>
      <c r="E50" s="273"/>
      <c r="F50" s="26"/>
      <c r="G50" s="26"/>
      <c r="H50" s="274"/>
      <c r="I50" s="275"/>
      <c r="J50" s="27"/>
      <c r="K50" s="27"/>
      <c r="L50" s="27"/>
      <c r="M50" s="28"/>
      <c r="N50" s="29"/>
      <c r="O50" s="29" t="e">
        <f t="shared" ca="1" si="3"/>
        <v>#VALUE!</v>
      </c>
      <c r="P50" s="141"/>
      <c r="Q50" s="142"/>
    </row>
    <row r="51" spans="1:17" s="2" customFormat="1" ht="12.75" customHeight="1">
      <c r="A51" s="4">
        <v>501</v>
      </c>
      <c r="B51" s="2">
        <v>4</v>
      </c>
      <c r="C51" s="110" t="s">
        <v>1004</v>
      </c>
      <c r="D51" s="268"/>
      <c r="E51" s="276"/>
      <c r="F51" s="112" t="str">
        <f>VLOOKUP(C51,Bolts!A:L,5,0)</f>
        <v xml:space="preserve">  </v>
      </c>
      <c r="G51" s="112" t="str">
        <f>VLOOKUP(C51,Bolts!A:L,6,0)</f>
        <v>Monroe Fasteners</v>
      </c>
      <c r="H51" s="112" t="str">
        <f>VLOOKUP(C51,Bolts!A:L,7,0)</f>
        <v xml:space="preserve">  </v>
      </c>
      <c r="I51" s="112"/>
      <c r="J51" s="44" t="str">
        <f>VLOOKUP(C51,Bolts!A:L,8,0)</f>
        <v xml:space="preserve"> </v>
      </c>
      <c r="K51" s="44" t="str">
        <f>VLOOKUP(C51,Bolts!A:L,9,0)</f>
        <v xml:space="preserve"> </v>
      </c>
      <c r="L51" s="44" t="str">
        <f>VLOOKUP(C51,Bolts!A:L,10,0)</f>
        <v xml:space="preserve"> </v>
      </c>
      <c r="M51" s="44" t="str">
        <f>VLOOKUP(C51,Bolts!A:L,11,0)</f>
        <v xml:space="preserve"> </v>
      </c>
      <c r="N51" s="45" t="str">
        <f>VLOOKUP(C51,Bolts!A:L,12,0)</f>
        <v xml:space="preserve"> </v>
      </c>
      <c r="O51" s="45" t="e">
        <f t="shared" ca="1" si="3"/>
        <v>#VALUE!</v>
      </c>
      <c r="P51" s="49" t="str">
        <f>IFERROR(VLOOKUP(C51,Bolts!A:B,2,FALSE),"")</f>
        <v xml:space="preserve"> </v>
      </c>
      <c r="Q51" s="50" t="str">
        <f t="shared" ref="Q51:Q68" si="6">IFERROR(B51*P51,"")</f>
        <v/>
      </c>
    </row>
    <row r="52" spans="1:17" s="2" customFormat="1" ht="12.75" customHeight="1">
      <c r="A52" s="4">
        <f t="shared" ref="A52:A73" si="7">A51+1</f>
        <v>502</v>
      </c>
      <c r="B52" s="2">
        <v>2</v>
      </c>
      <c r="C52" s="110" t="s">
        <v>970</v>
      </c>
      <c r="D52" s="268"/>
      <c r="E52" s="276"/>
      <c r="F52" s="112" t="str">
        <f>VLOOKUP(C52,Bolts!A:L,5,0)</f>
        <v xml:space="preserve">  </v>
      </c>
      <c r="G52" s="112" t="str">
        <f>VLOOKUP(C52,Bolts!A:L,6,0)</f>
        <v>Monroe Fasteners</v>
      </c>
      <c r="H52" s="112" t="str">
        <f>VLOOKUP(C52,Bolts!A:L,7,0)</f>
        <v xml:space="preserve">  </v>
      </c>
      <c r="I52" s="112"/>
      <c r="J52" s="44" t="str">
        <f>VLOOKUP(C52,Bolts!A:L,8,0)</f>
        <v xml:space="preserve"> </v>
      </c>
      <c r="K52" s="44" t="str">
        <f>VLOOKUP(C52,Bolts!A:L,9,0)</f>
        <v xml:space="preserve"> </v>
      </c>
      <c r="L52" s="44" t="str">
        <f>VLOOKUP(C52,Bolts!A:L,10,0)</f>
        <v xml:space="preserve"> </v>
      </c>
      <c r="M52" s="44" t="str">
        <f>VLOOKUP(C52,Bolts!A:L,11,0)</f>
        <v xml:space="preserve"> </v>
      </c>
      <c r="N52" s="45" t="str">
        <f>VLOOKUP(C52,Bolts!A:L,12,0)</f>
        <v xml:space="preserve"> </v>
      </c>
      <c r="O52" s="45" t="e">
        <f t="shared" ca="1" si="3"/>
        <v>#VALUE!</v>
      </c>
      <c r="P52" s="49" t="str">
        <f>IFERROR(VLOOKUP(C52,Bolts!A:B,2,FALSE),"")</f>
        <v xml:space="preserve"> </v>
      </c>
      <c r="Q52" s="50" t="str">
        <f t="shared" si="6"/>
        <v/>
      </c>
    </row>
    <row r="53" spans="1:17" s="2" customFormat="1" ht="12" customHeight="1">
      <c r="A53" s="4">
        <f t="shared" si="7"/>
        <v>503</v>
      </c>
      <c r="B53" s="2">
        <v>2</v>
      </c>
      <c r="C53" s="110" t="s">
        <v>971</v>
      </c>
      <c r="D53" s="268"/>
      <c r="E53" s="276"/>
      <c r="F53" s="112" t="str">
        <f>VLOOKUP(C53,Bolts!A:L,5,0)</f>
        <v xml:space="preserve">  </v>
      </c>
      <c r="G53" s="112" t="str">
        <f>VLOOKUP(C53,Bolts!A:L,6,0)</f>
        <v>Monroe Fasteners</v>
      </c>
      <c r="H53" s="112" t="str">
        <f>VLOOKUP(C53,Bolts!A:L,7,0)</f>
        <v xml:space="preserve">  </v>
      </c>
      <c r="I53" s="112"/>
      <c r="J53" s="44" t="str">
        <f>VLOOKUP(C53,Bolts!A:L,8,0)</f>
        <v xml:space="preserve"> </v>
      </c>
      <c r="K53" s="44" t="str">
        <f>VLOOKUP(C53,Bolts!A:L,9,0)</f>
        <v xml:space="preserve"> </v>
      </c>
      <c r="L53" s="44" t="str">
        <f>VLOOKUP(C53,Bolts!A:L,10,0)</f>
        <v xml:space="preserve"> </v>
      </c>
      <c r="M53" s="44" t="str">
        <f>VLOOKUP(C53,Bolts!A:L,11,0)</f>
        <v xml:space="preserve"> </v>
      </c>
      <c r="N53" s="45" t="str">
        <f>VLOOKUP(C53,Bolts!A:L,12,0)</f>
        <v xml:space="preserve"> </v>
      </c>
      <c r="O53" s="45" t="e">
        <f t="shared" ca="1" si="3"/>
        <v>#VALUE!</v>
      </c>
      <c r="P53" s="49" t="str">
        <f>IFERROR(VLOOKUP(C53,Bolts!A:B,2,FALSE),"")</f>
        <v xml:space="preserve"> </v>
      </c>
      <c r="Q53" s="50" t="str">
        <f t="shared" si="6"/>
        <v/>
      </c>
    </row>
    <row r="54" spans="1:17" s="2" customFormat="1" ht="12" customHeight="1">
      <c r="A54" s="4">
        <f t="shared" si="7"/>
        <v>504</v>
      </c>
      <c r="B54" s="2">
        <v>4</v>
      </c>
      <c r="C54" s="110" t="s">
        <v>967</v>
      </c>
      <c r="D54" s="268"/>
      <c r="E54" s="276"/>
      <c r="F54" s="112" t="str">
        <f>VLOOKUP(C54,Bolts!A:L,5,0)</f>
        <v xml:space="preserve">  </v>
      </c>
      <c r="G54" s="112" t="str">
        <f>VLOOKUP(C54,Bolts!A:L,6,0)</f>
        <v>Monroe Fasteners</v>
      </c>
      <c r="H54" s="112" t="str">
        <f>VLOOKUP(C54,Bolts!A:L,7,0)</f>
        <v xml:space="preserve">  </v>
      </c>
      <c r="I54" s="112"/>
      <c r="J54" s="44" t="str">
        <f>VLOOKUP(C54,Bolts!A:L,8,0)</f>
        <v xml:space="preserve"> </v>
      </c>
      <c r="K54" s="44" t="str">
        <f>VLOOKUP(C54,Bolts!A:L,9,0)</f>
        <v xml:space="preserve"> </v>
      </c>
      <c r="L54" s="44" t="str">
        <f>VLOOKUP(C54,Bolts!A:L,10,0)</f>
        <v xml:space="preserve"> </v>
      </c>
      <c r="M54" s="44" t="str">
        <f>VLOOKUP(C54,Bolts!A:L,11,0)</f>
        <v xml:space="preserve"> </v>
      </c>
      <c r="N54" s="45" t="str">
        <f>VLOOKUP(C54,Bolts!A:L,12,0)</f>
        <v xml:space="preserve"> </v>
      </c>
      <c r="O54" s="45" t="e">
        <f t="shared" ca="1" si="3"/>
        <v>#VALUE!</v>
      </c>
      <c r="P54" s="49" t="str">
        <f>IFERROR(VLOOKUP(C54,Bolts!A:B,2,FALSE),"")</f>
        <v xml:space="preserve"> </v>
      </c>
      <c r="Q54" s="50" t="str">
        <f t="shared" si="6"/>
        <v/>
      </c>
    </row>
    <row r="55" spans="1:17" s="2" customFormat="1" ht="12" customHeight="1">
      <c r="A55" s="4">
        <f t="shared" si="7"/>
        <v>505</v>
      </c>
      <c r="B55" s="2">
        <v>3</v>
      </c>
      <c r="C55" s="110" t="s">
        <v>454</v>
      </c>
      <c r="D55" s="268"/>
      <c r="E55" s="276"/>
      <c r="F55" s="112" t="str">
        <f>VLOOKUP(C55,Bolts!A:L,5,0)</f>
        <v xml:space="preserve">  </v>
      </c>
      <c r="G55" s="112" t="str">
        <f>VLOOKUP(C55,Bolts!A:L,6,0)</f>
        <v>Monroe Fasteners</v>
      </c>
      <c r="H55" s="112" t="str">
        <f>VLOOKUP(C55,Bolts!A:L,7,0)</f>
        <v xml:space="preserve">  </v>
      </c>
      <c r="I55" s="112"/>
      <c r="J55" s="44" t="str">
        <f>VLOOKUP(C55,Bolts!A:L,8,0)</f>
        <v xml:space="preserve"> </v>
      </c>
      <c r="K55" s="44" t="str">
        <f>VLOOKUP(C55,Bolts!A:L,9,0)</f>
        <v xml:space="preserve"> </v>
      </c>
      <c r="L55" s="44" t="str">
        <f>VLOOKUP(C55,Bolts!A:L,10,0)</f>
        <v xml:space="preserve"> </v>
      </c>
      <c r="M55" s="44" t="str">
        <f>VLOOKUP(C55,Bolts!A:L,11,0)</f>
        <v xml:space="preserve"> </v>
      </c>
      <c r="N55" s="45" t="str">
        <f>VLOOKUP(C55,Bolts!A:L,12,0)</f>
        <v xml:space="preserve"> </v>
      </c>
      <c r="O55" s="45" t="e">
        <f t="shared" ca="1" si="3"/>
        <v>#VALUE!</v>
      </c>
      <c r="P55" s="49" t="str">
        <f>IFERROR(VLOOKUP(C55,Bolts!A:B,2,FALSE),"")</f>
        <v xml:space="preserve"> </v>
      </c>
      <c r="Q55" s="50" t="str">
        <f t="shared" si="6"/>
        <v/>
      </c>
    </row>
    <row r="56" spans="1:17" s="2" customFormat="1" ht="12" customHeight="1">
      <c r="A56" s="4">
        <f t="shared" si="7"/>
        <v>506</v>
      </c>
      <c r="B56" s="2">
        <v>4</v>
      </c>
      <c r="C56" s="110" t="s">
        <v>452</v>
      </c>
      <c r="D56" s="268"/>
      <c r="E56" s="276"/>
      <c r="F56" s="112" t="str">
        <f>VLOOKUP(C56,Bolts!A:L,5,0)</f>
        <v xml:space="preserve">  </v>
      </c>
      <c r="G56" s="112" t="str">
        <f>VLOOKUP(C56,Bolts!A:L,6,0)</f>
        <v>Monroe Fasteners</v>
      </c>
      <c r="H56" s="112" t="str">
        <f>VLOOKUP(C56,Bolts!A:L,7,0)</f>
        <v xml:space="preserve">  </v>
      </c>
      <c r="I56" s="112"/>
      <c r="J56" s="44" t="str">
        <f>VLOOKUP(C56,Bolts!A:L,8,0)</f>
        <v xml:space="preserve"> </v>
      </c>
      <c r="K56" s="44" t="str">
        <f>VLOOKUP(C56,Bolts!A:L,9,0)</f>
        <v xml:space="preserve"> </v>
      </c>
      <c r="L56" s="44" t="str">
        <f>VLOOKUP(C56,Bolts!A:L,10,0)</f>
        <v xml:space="preserve"> </v>
      </c>
      <c r="M56" s="44" t="str">
        <f>VLOOKUP(C56,Bolts!A:L,11,0)</f>
        <v xml:space="preserve"> </v>
      </c>
      <c r="N56" s="45" t="str">
        <f>VLOOKUP(C56,Bolts!A:L,12,0)</f>
        <v xml:space="preserve"> </v>
      </c>
      <c r="O56" s="45" t="e">
        <f t="shared" ca="1" si="3"/>
        <v>#VALUE!</v>
      </c>
      <c r="P56" s="49" t="str">
        <f>IFERROR(VLOOKUP(C56,Bolts!A:B,2,FALSE),"")</f>
        <v xml:space="preserve"> </v>
      </c>
      <c r="Q56" s="50" t="str">
        <f t="shared" si="6"/>
        <v/>
      </c>
    </row>
    <row r="57" spans="1:17" s="2" customFormat="1" ht="12" customHeight="1">
      <c r="A57" s="4">
        <f t="shared" si="7"/>
        <v>507</v>
      </c>
      <c r="B57" s="2">
        <v>4</v>
      </c>
      <c r="C57" s="110" t="s">
        <v>540</v>
      </c>
      <c r="D57" s="268"/>
      <c r="E57" s="276"/>
      <c r="F57" s="112" t="str">
        <f>VLOOKUP(C57,Bolts!A:L,5,0)</f>
        <v xml:space="preserve">  </v>
      </c>
      <c r="G57" s="112" t="str">
        <f>VLOOKUP(C57,Bolts!A:L,6,0)</f>
        <v>Monroe Fasteners</v>
      </c>
      <c r="H57" s="112" t="str">
        <f>VLOOKUP(C57,Bolts!A:L,7,0)</f>
        <v xml:space="preserve">  </v>
      </c>
      <c r="I57" s="112"/>
      <c r="J57" s="44" t="str">
        <f>VLOOKUP(C57,Bolts!A:L,8,0)</f>
        <v xml:space="preserve"> </v>
      </c>
      <c r="K57" s="44" t="str">
        <f>VLOOKUP(C57,Bolts!A:L,9,0)</f>
        <v xml:space="preserve"> </v>
      </c>
      <c r="L57" s="44" t="str">
        <f>VLOOKUP(C57,Bolts!A:L,10,0)</f>
        <v xml:space="preserve"> </v>
      </c>
      <c r="M57" s="44" t="str">
        <f>VLOOKUP(C57,Bolts!A:L,11,0)</f>
        <v xml:space="preserve"> </v>
      </c>
      <c r="N57" s="45" t="str">
        <f>VLOOKUP(C57,Bolts!A:L,12,0)</f>
        <v xml:space="preserve"> </v>
      </c>
      <c r="O57" s="45" t="e">
        <f t="shared" ca="1" si="3"/>
        <v>#VALUE!</v>
      </c>
      <c r="P57" s="49" t="str">
        <f>IFERROR(VLOOKUP(C57,Bolts!A:B,2,FALSE),"")</f>
        <v xml:space="preserve"> </v>
      </c>
      <c r="Q57" s="50" t="str">
        <f t="shared" si="6"/>
        <v/>
      </c>
    </row>
    <row r="58" spans="1:17" s="2" customFormat="1" ht="12" customHeight="1">
      <c r="A58" s="4">
        <f t="shared" si="7"/>
        <v>508</v>
      </c>
      <c r="B58" s="2">
        <v>2</v>
      </c>
      <c r="C58" s="110" t="s">
        <v>311</v>
      </c>
      <c r="D58" s="268"/>
      <c r="E58" s="276"/>
      <c r="F58" s="112" t="str">
        <f>VLOOKUP(C58,Bolts!A:L,5,0)</f>
        <v xml:space="preserve">  </v>
      </c>
      <c r="G58" s="112" t="str">
        <f>VLOOKUP(C58,Bolts!A:L,6,0)</f>
        <v>Monroe Fasteners</v>
      </c>
      <c r="H58" s="112" t="str">
        <f>VLOOKUP(C58,Bolts!A:L,7,0)</f>
        <v xml:space="preserve">  </v>
      </c>
      <c r="I58" s="112"/>
      <c r="J58" s="44" t="str">
        <f>VLOOKUP(C58,Bolts!A:L,8,0)</f>
        <v xml:space="preserve"> </v>
      </c>
      <c r="K58" s="44" t="str">
        <f>VLOOKUP(C58,Bolts!A:L,9,0)</f>
        <v xml:space="preserve"> </v>
      </c>
      <c r="L58" s="44" t="str">
        <f>VLOOKUP(C58,Bolts!A:L,10,0)</f>
        <v xml:space="preserve"> </v>
      </c>
      <c r="M58" s="44" t="str">
        <f>VLOOKUP(C58,Bolts!A:L,11,0)</f>
        <v xml:space="preserve"> </v>
      </c>
      <c r="N58" s="45" t="str">
        <f>VLOOKUP(C58,Bolts!A:L,12,0)</f>
        <v xml:space="preserve"> </v>
      </c>
      <c r="O58" s="45" t="e">
        <f t="shared" ca="1" si="3"/>
        <v>#VALUE!</v>
      </c>
      <c r="P58" s="49" t="str">
        <f>IFERROR(VLOOKUP(C58,Bolts!A:B,2,FALSE),"")</f>
        <v xml:space="preserve"> </v>
      </c>
      <c r="Q58" s="50" t="str">
        <f t="shared" si="6"/>
        <v/>
      </c>
    </row>
    <row r="59" spans="1:17" s="2" customFormat="1" ht="12" customHeight="1">
      <c r="A59" s="4">
        <f t="shared" si="7"/>
        <v>509</v>
      </c>
      <c r="B59" s="2">
        <v>16</v>
      </c>
      <c r="C59" s="110" t="s">
        <v>968</v>
      </c>
      <c r="D59" s="268"/>
      <c r="E59" s="276"/>
      <c r="F59" s="112">
        <f>VLOOKUP(C59,Bolts!A:L,5,0)</f>
        <v>0</v>
      </c>
      <c r="G59" s="112">
        <f>VLOOKUP(C59,Bolts!A:L,6,0)</f>
        <v>0</v>
      </c>
      <c r="H59" s="112">
        <f>VLOOKUP(C59,Bolts!A:L,7,0)</f>
        <v>0</v>
      </c>
      <c r="I59" s="112"/>
      <c r="J59" s="44">
        <f>VLOOKUP(C59,Bolts!A:L,8,0)</f>
        <v>0</v>
      </c>
      <c r="K59" s="44">
        <f>VLOOKUP(C59,Bolts!A:L,9,0)</f>
        <v>0</v>
      </c>
      <c r="L59" s="44">
        <f>VLOOKUP(C59,Bolts!A:L,10,0)</f>
        <v>0</v>
      </c>
      <c r="M59" s="44">
        <f>VLOOKUP(C59,Bolts!A:L,11,0)</f>
        <v>0</v>
      </c>
      <c r="N59" s="45">
        <f>VLOOKUP(C59,Bolts!A:L,12,0)</f>
        <v>0</v>
      </c>
      <c r="O59" s="45" t="e">
        <f t="shared" ca="1" si="3"/>
        <v>#VALUE!</v>
      </c>
      <c r="P59" s="49">
        <f>IFERROR(VLOOKUP(C59,Bolts!A:B,2,FALSE),"")</f>
        <v>0</v>
      </c>
      <c r="Q59" s="50">
        <f t="shared" si="6"/>
        <v>0</v>
      </c>
    </row>
    <row r="60" spans="1:17" s="2" customFormat="1" ht="12" customHeight="1">
      <c r="A60" s="4">
        <f t="shared" si="7"/>
        <v>510</v>
      </c>
      <c r="B60" s="2">
        <v>2</v>
      </c>
      <c r="C60" s="110" t="s">
        <v>1005</v>
      </c>
      <c r="D60" s="268"/>
      <c r="E60" s="276"/>
      <c r="F60" s="112" t="str">
        <f>VLOOKUP(C60,Bolts!A:L,5,0)</f>
        <v xml:space="preserve">  </v>
      </c>
      <c r="G60" s="112" t="str">
        <f>VLOOKUP(C60,Bolts!A:L,6,0)</f>
        <v>Monroe Fasteners</v>
      </c>
      <c r="H60" s="112" t="str">
        <f>VLOOKUP(C60,Bolts!A:L,7,0)</f>
        <v xml:space="preserve">  </v>
      </c>
      <c r="I60" s="112"/>
      <c r="J60" s="44" t="str">
        <f>VLOOKUP(C60,Bolts!A:L,8,0)</f>
        <v xml:space="preserve"> </v>
      </c>
      <c r="K60" s="44" t="str">
        <f>VLOOKUP(C60,Bolts!A:L,9,0)</f>
        <v xml:space="preserve"> </v>
      </c>
      <c r="L60" s="44" t="str">
        <f>VLOOKUP(C60,Bolts!A:L,10,0)</f>
        <v xml:space="preserve"> </v>
      </c>
      <c r="M60" s="44" t="str">
        <f>VLOOKUP(C60,Bolts!A:L,11,0)</f>
        <v xml:space="preserve"> </v>
      </c>
      <c r="N60" s="45" t="str">
        <f>VLOOKUP(C60,Bolts!A:L,12,0)</f>
        <v xml:space="preserve"> </v>
      </c>
      <c r="O60" s="45" t="e">
        <f t="shared" ref="O60:O68" ca="1" si="8">B60*$L$2</f>
        <v>#VALUE!</v>
      </c>
      <c r="P60" s="49" t="str">
        <f>IFERROR(VLOOKUP(C60,Bolts!A:B,2,FALSE),"")</f>
        <v xml:space="preserve"> </v>
      </c>
      <c r="Q60" s="50" t="str">
        <f t="shared" si="6"/>
        <v/>
      </c>
    </row>
    <row r="61" spans="1:17" s="2" customFormat="1" ht="12" customHeight="1">
      <c r="A61" s="4">
        <f t="shared" si="7"/>
        <v>511</v>
      </c>
      <c r="B61" s="2">
        <v>8</v>
      </c>
      <c r="C61" s="110" t="s">
        <v>699</v>
      </c>
      <c r="D61" s="268"/>
      <c r="E61" s="276"/>
      <c r="F61" s="112" t="str">
        <f>VLOOKUP(C61,Bolts!A:L,5,0)</f>
        <v xml:space="preserve">  </v>
      </c>
      <c r="G61" s="112" t="str">
        <f>VLOOKUP(C61,Bolts!A:L,6,0)</f>
        <v>Monroe Fasteners</v>
      </c>
      <c r="H61" s="112" t="str">
        <f>VLOOKUP(C61,Bolts!A:L,7,0)</f>
        <v xml:space="preserve">  </v>
      </c>
      <c r="I61" s="112"/>
      <c r="J61" s="44" t="str">
        <f>VLOOKUP(C61,Bolts!A:L,8,0)</f>
        <v xml:space="preserve"> </v>
      </c>
      <c r="K61" s="44" t="str">
        <f>VLOOKUP(C61,Bolts!A:L,9,0)</f>
        <v xml:space="preserve"> </v>
      </c>
      <c r="L61" s="44" t="str">
        <f>VLOOKUP(C61,Bolts!A:L,10,0)</f>
        <v xml:space="preserve"> </v>
      </c>
      <c r="M61" s="44" t="str">
        <f>VLOOKUP(C61,Bolts!A:L,11,0)</f>
        <v xml:space="preserve"> </v>
      </c>
      <c r="N61" s="45" t="str">
        <f>VLOOKUP(C61,Bolts!A:L,12,0)</f>
        <v xml:space="preserve"> </v>
      </c>
      <c r="O61" s="45" t="e">
        <f t="shared" ca="1" si="8"/>
        <v>#VALUE!</v>
      </c>
      <c r="P61" s="49" t="str">
        <f>IFERROR(VLOOKUP(C61,Bolts!A:B,2,FALSE),"")</f>
        <v xml:space="preserve"> </v>
      </c>
      <c r="Q61" s="50" t="str">
        <f t="shared" si="6"/>
        <v/>
      </c>
    </row>
    <row r="62" spans="1:17" s="2" customFormat="1" ht="12" customHeight="1">
      <c r="A62" s="4">
        <f t="shared" si="7"/>
        <v>512</v>
      </c>
      <c r="B62" s="2">
        <v>11</v>
      </c>
      <c r="C62" s="110" t="s">
        <v>828</v>
      </c>
      <c r="D62" s="268"/>
      <c r="E62" s="276"/>
      <c r="F62" s="112" t="str">
        <f>VLOOKUP(C62,Bolts!A:L,5,0)</f>
        <v xml:space="preserve">  </v>
      </c>
      <c r="G62" s="112" t="str">
        <f>VLOOKUP(C62,Bolts!A:L,6,0)</f>
        <v>Monroe Fasteners</v>
      </c>
      <c r="H62" s="112" t="str">
        <f>VLOOKUP(C62,Bolts!A:L,7,0)</f>
        <v xml:space="preserve">  </v>
      </c>
      <c r="I62" s="112"/>
      <c r="J62" s="44" t="str">
        <f>VLOOKUP(C62,Bolts!A:L,8,0)</f>
        <v xml:space="preserve"> </v>
      </c>
      <c r="K62" s="44" t="str">
        <f>VLOOKUP(C62,Bolts!A:L,9,0)</f>
        <v xml:space="preserve"> </v>
      </c>
      <c r="L62" s="44" t="str">
        <f>VLOOKUP(C62,Bolts!A:L,10,0)</f>
        <v xml:space="preserve"> </v>
      </c>
      <c r="M62" s="44" t="str">
        <f>VLOOKUP(C62,Bolts!A:L,11,0)</f>
        <v xml:space="preserve"> </v>
      </c>
      <c r="N62" s="45" t="str">
        <f>VLOOKUP(C62,Bolts!A:L,12,0)</f>
        <v xml:space="preserve"> </v>
      </c>
      <c r="O62" s="45" t="e">
        <f t="shared" ca="1" si="8"/>
        <v>#VALUE!</v>
      </c>
      <c r="P62" s="49" t="str">
        <f>IFERROR(VLOOKUP(C62,Bolts!A:B,2,FALSE),"")</f>
        <v xml:space="preserve"> </v>
      </c>
      <c r="Q62" s="50" t="str">
        <f t="shared" si="6"/>
        <v/>
      </c>
    </row>
    <row r="63" spans="1:17" s="2" customFormat="1" ht="12.75" customHeight="1">
      <c r="A63" s="4">
        <f t="shared" si="7"/>
        <v>513</v>
      </c>
      <c r="B63" s="2">
        <v>2</v>
      </c>
      <c r="C63" s="110" t="s">
        <v>481</v>
      </c>
      <c r="D63" s="268"/>
      <c r="E63" s="276"/>
      <c r="F63" s="112" t="str">
        <f>VLOOKUP(C63,Bolts!A:L,5,0)</f>
        <v xml:space="preserve">  </v>
      </c>
      <c r="G63" s="112" t="str">
        <f>VLOOKUP(C63,Bolts!A:L,6,0)</f>
        <v>Monroe Fasteners</v>
      </c>
      <c r="H63" s="112" t="str">
        <f>VLOOKUP(C63,Bolts!A:L,7,0)</f>
        <v xml:space="preserve">  </v>
      </c>
      <c r="I63" s="112"/>
      <c r="J63" s="44" t="str">
        <f>VLOOKUP(C63,Bolts!A:L,8,0)</f>
        <v xml:space="preserve"> </v>
      </c>
      <c r="K63" s="44" t="str">
        <f>VLOOKUP(C63,Bolts!A:L,9,0)</f>
        <v xml:space="preserve"> </v>
      </c>
      <c r="L63" s="44" t="str">
        <f>VLOOKUP(C63,Bolts!A:L,10,0)</f>
        <v xml:space="preserve"> </v>
      </c>
      <c r="M63" s="44" t="str">
        <f>VLOOKUP(C63,Bolts!A:L,11,0)</f>
        <v xml:space="preserve"> </v>
      </c>
      <c r="N63" s="45" t="str">
        <f>VLOOKUP(C63,Bolts!A:L,12,0)</f>
        <v xml:space="preserve"> </v>
      </c>
      <c r="O63" s="45" t="e">
        <f t="shared" ca="1" si="8"/>
        <v>#VALUE!</v>
      </c>
      <c r="P63" s="49" t="str">
        <f>IFERROR(VLOOKUP(C63,Bolts!A:B,2,FALSE),"")</f>
        <v xml:space="preserve"> </v>
      </c>
      <c r="Q63" s="50" t="str">
        <f t="shared" si="6"/>
        <v/>
      </c>
    </row>
    <row r="64" spans="1:17" s="2" customFormat="1" ht="12.75" customHeight="1">
      <c r="A64" s="4">
        <f t="shared" si="7"/>
        <v>514</v>
      </c>
      <c r="B64" s="2">
        <v>4</v>
      </c>
      <c r="C64" s="110" t="s">
        <v>1006</v>
      </c>
      <c r="D64" s="268"/>
      <c r="E64" s="276"/>
      <c r="F64" s="112" t="str">
        <f>VLOOKUP(C64,Bolts!A:L,5,0)</f>
        <v xml:space="preserve">  </v>
      </c>
      <c r="G64" s="112" t="str">
        <f>VLOOKUP(C64,Bolts!A:L,6,0)</f>
        <v>Monroe Fasteners</v>
      </c>
      <c r="H64" s="112" t="str">
        <f>VLOOKUP(C64,Bolts!A:L,7,0)</f>
        <v xml:space="preserve">  </v>
      </c>
      <c r="I64" s="112"/>
      <c r="J64" s="44" t="str">
        <f>VLOOKUP(C64,Bolts!A:L,8,0)</f>
        <v xml:space="preserve"> </v>
      </c>
      <c r="K64" s="44" t="str">
        <f>VLOOKUP(C64,Bolts!A:L,9,0)</f>
        <v xml:space="preserve"> </v>
      </c>
      <c r="L64" s="44" t="str">
        <f>VLOOKUP(C64,Bolts!A:L,10,0)</f>
        <v xml:space="preserve"> </v>
      </c>
      <c r="M64" s="44" t="str">
        <f>VLOOKUP(C64,Bolts!A:L,11,0)</f>
        <v xml:space="preserve"> </v>
      </c>
      <c r="N64" s="45" t="str">
        <f>VLOOKUP(C64,Bolts!A:L,12,0)</f>
        <v xml:space="preserve"> </v>
      </c>
      <c r="O64" s="45" t="e">
        <f t="shared" ca="1" si="8"/>
        <v>#VALUE!</v>
      </c>
      <c r="P64" s="49" t="str">
        <f>IFERROR(VLOOKUP(C64,Bolts!A:B,2,FALSE),"")</f>
        <v xml:space="preserve"> </v>
      </c>
      <c r="Q64" s="50" t="str">
        <f t="shared" si="6"/>
        <v/>
      </c>
    </row>
    <row r="65" spans="1:17" s="2" customFormat="1" ht="12.75" customHeight="1">
      <c r="A65" s="4">
        <f t="shared" si="7"/>
        <v>515</v>
      </c>
      <c r="B65" s="2">
        <v>2</v>
      </c>
      <c r="C65" s="110" t="s">
        <v>1007</v>
      </c>
      <c r="D65" s="268"/>
      <c r="E65" s="276"/>
      <c r="F65" s="112" t="str">
        <f>VLOOKUP(C65,Bolts!A:L,5,0)</f>
        <v xml:space="preserve">  </v>
      </c>
      <c r="G65" s="112" t="str">
        <f>VLOOKUP(C65,Bolts!A:L,6,0)</f>
        <v>Monroe Fasteners</v>
      </c>
      <c r="H65" s="112" t="str">
        <f>VLOOKUP(C65,Bolts!A:L,7,0)</f>
        <v xml:space="preserve">  </v>
      </c>
      <c r="I65" s="112"/>
      <c r="J65" s="44" t="str">
        <f>VLOOKUP(C65,Bolts!A:L,8,0)</f>
        <v xml:space="preserve"> </v>
      </c>
      <c r="K65" s="44" t="str">
        <f>VLOOKUP(C65,Bolts!A:L,9,0)</f>
        <v xml:space="preserve"> </v>
      </c>
      <c r="L65" s="44" t="str">
        <f>VLOOKUP(C65,Bolts!A:L,10,0)</f>
        <v xml:space="preserve"> </v>
      </c>
      <c r="M65" s="44" t="str">
        <f>VLOOKUP(C65,Bolts!A:L,11,0)</f>
        <v xml:space="preserve"> </v>
      </c>
      <c r="N65" s="45" t="str">
        <f>VLOOKUP(C65,Bolts!A:L,12,0)</f>
        <v xml:space="preserve"> </v>
      </c>
      <c r="O65" s="45" t="e">
        <f t="shared" ca="1" si="8"/>
        <v>#VALUE!</v>
      </c>
      <c r="P65" s="49" t="str">
        <f>IFERROR(VLOOKUP(C65,Bolts!A:B,2,FALSE),"")</f>
        <v xml:space="preserve"> </v>
      </c>
      <c r="Q65" s="50" t="str">
        <f t="shared" si="6"/>
        <v/>
      </c>
    </row>
    <row r="66" spans="1:17" s="2" customFormat="1" ht="12.75" customHeight="1">
      <c r="A66" s="4">
        <f t="shared" si="7"/>
        <v>516</v>
      </c>
      <c r="B66" s="2">
        <v>4</v>
      </c>
      <c r="C66" s="110" t="s">
        <v>1008</v>
      </c>
      <c r="D66" s="268"/>
      <c r="E66" s="276"/>
      <c r="F66" s="112" t="str">
        <f>VLOOKUP(C66,Bolts!A:L,5,0)</f>
        <v xml:space="preserve">  </v>
      </c>
      <c r="G66" s="112" t="str">
        <f>VLOOKUP(C66,Bolts!A:L,6,0)</f>
        <v>Monroe Fasteners</v>
      </c>
      <c r="H66" s="112" t="str">
        <f>VLOOKUP(C66,Bolts!A:L,7,0)</f>
        <v xml:space="preserve">  </v>
      </c>
      <c r="I66" s="112"/>
      <c r="J66" s="44" t="str">
        <f>VLOOKUP(C66,Bolts!A:L,8,0)</f>
        <v xml:space="preserve"> </v>
      </c>
      <c r="K66" s="44" t="str">
        <f>VLOOKUP(C66,Bolts!A:L,9,0)</f>
        <v xml:space="preserve"> </v>
      </c>
      <c r="L66" s="44" t="str">
        <f>VLOOKUP(C66,Bolts!A:L,10,0)</f>
        <v xml:space="preserve"> </v>
      </c>
      <c r="M66" s="44" t="str">
        <f>VLOOKUP(C66,Bolts!A:L,11,0)</f>
        <v xml:space="preserve"> </v>
      </c>
      <c r="N66" s="45" t="str">
        <f>VLOOKUP(C66,Bolts!A:L,12,0)</f>
        <v xml:space="preserve"> </v>
      </c>
      <c r="O66" s="45" t="e">
        <f t="shared" ca="1" si="8"/>
        <v>#VALUE!</v>
      </c>
      <c r="P66" s="49" t="str">
        <f>IFERROR(VLOOKUP(C66,Bolts!A:B,2,FALSE),"")</f>
        <v xml:space="preserve"> </v>
      </c>
      <c r="Q66" s="50" t="str">
        <f t="shared" si="6"/>
        <v/>
      </c>
    </row>
    <row r="67" spans="1:17" s="2" customFormat="1" ht="12.75" customHeight="1">
      <c r="A67" s="4">
        <f t="shared" si="7"/>
        <v>517</v>
      </c>
      <c r="B67" s="2">
        <v>15</v>
      </c>
      <c r="C67" s="110" t="s">
        <v>595</v>
      </c>
      <c r="D67" s="268"/>
      <c r="E67" s="276"/>
      <c r="F67" s="112" t="str">
        <f>VLOOKUP(C67,Bolts!A:L,5,0)</f>
        <v xml:space="preserve">  </v>
      </c>
      <c r="G67" s="112" t="str">
        <f>VLOOKUP(C67,Bolts!A:L,6,0)</f>
        <v>Monroe Fasteners</v>
      </c>
      <c r="H67" s="112" t="str">
        <f>VLOOKUP(C67,Bolts!A:L,7,0)</f>
        <v xml:space="preserve">  </v>
      </c>
      <c r="I67" s="112"/>
      <c r="J67" s="44" t="str">
        <f>VLOOKUP(C67,Bolts!A:L,8,0)</f>
        <v xml:space="preserve"> </v>
      </c>
      <c r="K67" s="44" t="str">
        <f>VLOOKUP(C67,Bolts!A:L,9,0)</f>
        <v xml:space="preserve"> </v>
      </c>
      <c r="L67" s="44" t="str">
        <f>VLOOKUP(C67,Bolts!A:L,10,0)</f>
        <v xml:space="preserve"> </v>
      </c>
      <c r="M67" s="44" t="str">
        <f>VLOOKUP(C67,Bolts!A:L,11,0)</f>
        <v xml:space="preserve"> </v>
      </c>
      <c r="N67" s="45" t="str">
        <f>VLOOKUP(C67,Bolts!A:L,12,0)</f>
        <v xml:space="preserve"> </v>
      </c>
      <c r="O67" s="45" t="e">
        <f t="shared" ca="1" si="8"/>
        <v>#VALUE!</v>
      </c>
      <c r="P67" s="49" t="str">
        <f>IFERROR(VLOOKUP(C67,Bolts!A:B,2,FALSE),"")</f>
        <v xml:space="preserve"> </v>
      </c>
      <c r="Q67" s="50" t="str">
        <f t="shared" si="6"/>
        <v/>
      </c>
    </row>
    <row r="68" spans="1:17" s="2" customFormat="1" ht="12.75" customHeight="1">
      <c r="A68" s="4">
        <f t="shared" si="7"/>
        <v>518</v>
      </c>
      <c r="B68" s="2">
        <v>2</v>
      </c>
      <c r="C68" s="110" t="s">
        <v>542</v>
      </c>
      <c r="D68" s="268"/>
      <c r="E68" s="276"/>
      <c r="F68" s="112" t="str">
        <f>VLOOKUP(C68,Bolts!A:L,5,0)</f>
        <v xml:space="preserve">  </v>
      </c>
      <c r="G68" s="112" t="str">
        <f>VLOOKUP(C68,Bolts!A:L,6,0)</f>
        <v>Monroe Fasteners</v>
      </c>
      <c r="H68" s="112" t="str">
        <f>VLOOKUP(C68,Bolts!A:L,7,0)</f>
        <v xml:space="preserve">  </v>
      </c>
      <c r="I68" s="112"/>
      <c r="J68" s="44" t="str">
        <f>VLOOKUP(C68,Bolts!A:L,8,0)</f>
        <v xml:space="preserve"> </v>
      </c>
      <c r="K68" s="44" t="str">
        <f>VLOOKUP(C68,Bolts!A:L,9,0)</f>
        <v xml:space="preserve"> </v>
      </c>
      <c r="L68" s="44" t="str">
        <f>VLOOKUP(C68,Bolts!A:L,10,0)</f>
        <v xml:space="preserve"> </v>
      </c>
      <c r="M68" s="44" t="str">
        <f>VLOOKUP(C68,Bolts!A:L,11,0)</f>
        <v xml:space="preserve"> </v>
      </c>
      <c r="N68" s="45" t="str">
        <f>VLOOKUP(C68,Bolts!A:L,12,0)</f>
        <v xml:space="preserve"> </v>
      </c>
      <c r="O68" s="45" t="e">
        <f t="shared" ca="1" si="8"/>
        <v>#VALUE!</v>
      </c>
      <c r="P68" s="49" t="str">
        <f>IFERROR(VLOOKUP(C68,Bolts!A:B,2,FALSE),"")</f>
        <v xml:space="preserve"> </v>
      </c>
      <c r="Q68" s="50" t="str">
        <f t="shared" si="6"/>
        <v/>
      </c>
    </row>
    <row r="69" spans="1:17" s="2" customFormat="1" ht="12.75" customHeight="1">
      <c r="A69" s="4">
        <f t="shared" si="7"/>
        <v>519</v>
      </c>
      <c r="B69" s="2">
        <v>2</v>
      </c>
      <c r="C69" s="110" t="s">
        <v>831</v>
      </c>
      <c r="D69" s="268"/>
      <c r="E69" s="276"/>
      <c r="F69" s="112" t="str">
        <f>VLOOKUP(C69,Bolts!A:L,5,0)</f>
        <v xml:space="preserve">  </v>
      </c>
      <c r="G69" s="112" t="str">
        <f>VLOOKUP(C69,Bolts!A:L,6,0)</f>
        <v>Monroe Fasteners</v>
      </c>
      <c r="H69" s="112" t="str">
        <f>VLOOKUP(C69,Bolts!A:L,7,0)</f>
        <v xml:space="preserve">  </v>
      </c>
      <c r="I69" s="112"/>
      <c r="J69" s="44" t="str">
        <f>VLOOKUP(C69,Bolts!A:L,8,0)</f>
        <v xml:space="preserve"> </v>
      </c>
      <c r="K69" s="44" t="str">
        <f>VLOOKUP(C69,Bolts!A:L,9,0)</f>
        <v xml:space="preserve"> </v>
      </c>
      <c r="L69" s="44" t="str">
        <f>VLOOKUP(C69,Bolts!A:L,10,0)</f>
        <v xml:space="preserve"> </v>
      </c>
      <c r="M69" s="44" t="str">
        <f>VLOOKUP(C69,Bolts!A:L,11,0)</f>
        <v xml:space="preserve"> </v>
      </c>
      <c r="N69" s="45" t="str">
        <f>VLOOKUP(C69,Bolts!A:L,12,0)</f>
        <v xml:space="preserve"> </v>
      </c>
      <c r="O69" s="45" t="e">
        <f t="shared" ref="O69:O70" ca="1" si="9">B69*$L$2</f>
        <v>#VALUE!</v>
      </c>
      <c r="P69" s="49" t="str">
        <f>IFERROR(VLOOKUP(C69,Bolts!A:B,2,FALSE),"")</f>
        <v xml:space="preserve"> </v>
      </c>
      <c r="Q69" s="50" t="str">
        <f t="shared" ref="Q69:Q70" si="10">IFERROR(B69*P69,"")</f>
        <v/>
      </c>
    </row>
    <row r="70" spans="1:17" s="2" customFormat="1" ht="12.75" customHeight="1">
      <c r="A70" s="4">
        <f t="shared" si="7"/>
        <v>520</v>
      </c>
      <c r="B70" s="2">
        <v>4</v>
      </c>
      <c r="C70" s="110" t="s">
        <v>434</v>
      </c>
      <c r="D70" s="268"/>
      <c r="E70" s="276"/>
      <c r="F70" s="112" t="str">
        <f>VLOOKUP(C70,Bolts!A:L,5,0)</f>
        <v xml:space="preserve">  </v>
      </c>
      <c r="G70" s="112" t="str">
        <f>VLOOKUP(C70,Bolts!A:L,6,0)</f>
        <v>Monroe Fasteners</v>
      </c>
      <c r="H70" s="112" t="str">
        <f>VLOOKUP(C70,Bolts!A:L,7,0)</f>
        <v xml:space="preserve">  </v>
      </c>
      <c r="I70" s="112"/>
      <c r="J70" s="44" t="str">
        <f>VLOOKUP(C70,Bolts!A:L,8,0)</f>
        <v xml:space="preserve"> </v>
      </c>
      <c r="K70" s="44" t="str">
        <f>VLOOKUP(C70,Bolts!A:L,9,0)</f>
        <v xml:space="preserve"> </v>
      </c>
      <c r="L70" s="44" t="str">
        <f>VLOOKUP(C70,Bolts!A:L,10,0)</f>
        <v xml:space="preserve"> </v>
      </c>
      <c r="M70" s="44" t="str">
        <f>VLOOKUP(C70,Bolts!A:L,11,0)</f>
        <v xml:space="preserve"> </v>
      </c>
      <c r="N70" s="45" t="str">
        <f>VLOOKUP(C70,Bolts!A:L,12,0)</f>
        <v xml:space="preserve"> </v>
      </c>
      <c r="O70" s="45" t="e">
        <f t="shared" ca="1" si="9"/>
        <v>#VALUE!</v>
      </c>
      <c r="P70" s="49" t="str">
        <f>IFERROR(VLOOKUP(C70,Bolts!A:B,2,FALSE),"")</f>
        <v xml:space="preserve"> </v>
      </c>
      <c r="Q70" s="50" t="str">
        <f t="shared" si="10"/>
        <v/>
      </c>
    </row>
    <row r="71" spans="1:17" s="2" customFormat="1" ht="12.75" customHeight="1">
      <c r="A71" s="4">
        <f t="shared" si="7"/>
        <v>521</v>
      </c>
      <c r="B71" s="2">
        <v>2</v>
      </c>
      <c r="C71" s="110" t="s">
        <v>515</v>
      </c>
      <c r="D71" s="268"/>
      <c r="E71" s="276"/>
      <c r="F71" s="112" t="str">
        <f>VLOOKUP(C71,Bolts!A:L,5,0)</f>
        <v xml:space="preserve">  </v>
      </c>
      <c r="G71" s="112" t="str">
        <f>VLOOKUP(C71,Bolts!A:L,6,0)</f>
        <v>Monroe Fasteners</v>
      </c>
      <c r="H71" s="112" t="str">
        <f>VLOOKUP(C71,Bolts!A:L,7,0)</f>
        <v xml:space="preserve">  </v>
      </c>
      <c r="I71" s="112"/>
      <c r="J71" s="44" t="str">
        <f>VLOOKUP(C71,Bolts!A:L,8,0)</f>
        <v xml:space="preserve"> </v>
      </c>
      <c r="K71" s="44" t="str">
        <f>VLOOKUP(C71,Bolts!A:L,9,0)</f>
        <v xml:space="preserve"> </v>
      </c>
      <c r="L71" s="44" t="str">
        <f>VLOOKUP(C71,Bolts!A:L,10,0)</f>
        <v xml:space="preserve"> </v>
      </c>
      <c r="M71" s="44" t="str">
        <f>VLOOKUP(C71,Bolts!A:L,11,0)</f>
        <v xml:space="preserve"> </v>
      </c>
      <c r="N71" s="45" t="str">
        <f>VLOOKUP(C71,Bolts!A:L,12,0)</f>
        <v xml:space="preserve"> </v>
      </c>
      <c r="O71" s="45" t="e">
        <f t="shared" ref="O71" ca="1" si="11">B71*$L$2</f>
        <v>#VALUE!</v>
      </c>
      <c r="P71" s="49" t="str">
        <f>IFERROR(VLOOKUP(C71,Bolts!A:B,2,FALSE),"")</f>
        <v xml:space="preserve"> </v>
      </c>
      <c r="Q71" s="50" t="str">
        <f t="shared" ref="Q71" si="12">IFERROR(B71*P71,"")</f>
        <v/>
      </c>
    </row>
    <row r="72" spans="1:17" s="2" customFormat="1" ht="12.75" customHeight="1">
      <c r="A72" s="4">
        <f t="shared" si="7"/>
        <v>522</v>
      </c>
      <c r="B72" s="2">
        <v>2</v>
      </c>
      <c r="C72" s="110" t="s">
        <v>432</v>
      </c>
      <c r="D72" s="268"/>
      <c r="E72" s="276"/>
      <c r="F72" s="112" t="str">
        <f>VLOOKUP(C72,Bolts!A:L,5,0)</f>
        <v xml:space="preserve">  </v>
      </c>
      <c r="G72" s="112" t="str">
        <f>VLOOKUP(C72,Bolts!A:L,6,0)</f>
        <v>Monroe Fasteners</v>
      </c>
      <c r="H72" s="112" t="str">
        <f>VLOOKUP(C72,Bolts!A:L,7,0)</f>
        <v xml:space="preserve">  </v>
      </c>
      <c r="I72" s="112"/>
      <c r="J72" s="44" t="str">
        <f>VLOOKUP(C72,Bolts!A:L,8,0)</f>
        <v xml:space="preserve"> </v>
      </c>
      <c r="K72" s="44" t="str">
        <f>VLOOKUP(C72,Bolts!A:L,9,0)</f>
        <v xml:space="preserve"> </v>
      </c>
      <c r="L72" s="44" t="str">
        <f>VLOOKUP(C72,Bolts!A:L,10,0)</f>
        <v xml:space="preserve"> </v>
      </c>
      <c r="M72" s="44" t="str">
        <f>VLOOKUP(C72,Bolts!A:L,11,0)</f>
        <v xml:space="preserve"> </v>
      </c>
      <c r="N72" s="45" t="str">
        <f>VLOOKUP(C72,Bolts!A:L,12,0)</f>
        <v xml:space="preserve"> </v>
      </c>
      <c r="O72" s="45" t="e">
        <f t="shared" ref="O72:O73" ca="1" si="13">B72*$L$2</f>
        <v>#VALUE!</v>
      </c>
      <c r="P72" s="49" t="str">
        <f>IFERROR(VLOOKUP(C72,Bolts!A:B,2,FALSE),"")</f>
        <v xml:space="preserve"> </v>
      </c>
      <c r="Q72" s="50" t="str">
        <f t="shared" ref="Q72:Q73" si="14">IFERROR(B72*P72,"")</f>
        <v/>
      </c>
    </row>
    <row r="73" spans="1:17" s="2" customFormat="1" ht="12.75" customHeight="1" thickBot="1">
      <c r="A73" s="4">
        <f t="shared" si="7"/>
        <v>523</v>
      </c>
      <c r="B73" s="2">
        <v>1</v>
      </c>
      <c r="C73" s="110" t="s">
        <v>1009</v>
      </c>
      <c r="D73" s="268"/>
      <c r="E73" s="276"/>
      <c r="F73" s="112" t="str">
        <f>VLOOKUP(C73,Bolts!A:L,5,0)</f>
        <v xml:space="preserve">  </v>
      </c>
      <c r="G73" s="112" t="str">
        <f>VLOOKUP(C73,Bolts!A:L,6,0)</f>
        <v>Monroe Fasteners</v>
      </c>
      <c r="H73" s="112" t="str">
        <f>VLOOKUP(C73,Bolts!A:L,7,0)</f>
        <v xml:space="preserve">  </v>
      </c>
      <c r="I73" s="112"/>
      <c r="J73" s="44" t="str">
        <f>VLOOKUP(C73,Bolts!A:L,8,0)</f>
        <v xml:space="preserve"> </v>
      </c>
      <c r="K73" s="44" t="str">
        <f>VLOOKUP(C73,Bolts!A:L,9,0)</f>
        <v xml:space="preserve"> </v>
      </c>
      <c r="L73" s="44" t="str">
        <f>VLOOKUP(C73,Bolts!A:L,10,0)</f>
        <v xml:space="preserve"> </v>
      </c>
      <c r="M73" s="44" t="str">
        <f>VLOOKUP(C73,Bolts!A:L,11,0)</f>
        <v xml:space="preserve"> </v>
      </c>
      <c r="N73" s="45" t="str">
        <f>VLOOKUP(C73,Bolts!A:L,12,0)</f>
        <v xml:space="preserve"> </v>
      </c>
      <c r="O73" s="45" t="e">
        <f t="shared" ca="1" si="13"/>
        <v>#VALUE!</v>
      </c>
      <c r="P73" s="49" t="str">
        <f>IFERROR(VLOOKUP(C73,Bolts!A:B,2,FALSE),"")</f>
        <v xml:space="preserve"> </v>
      </c>
      <c r="Q73" s="50" t="str">
        <f t="shared" si="14"/>
        <v/>
      </c>
    </row>
    <row r="74" spans="1:17" s="2" customFormat="1" ht="12.75" customHeight="1" thickBot="1">
      <c r="A74" s="25"/>
      <c r="B74" s="26"/>
      <c r="C74" s="26"/>
      <c r="D74" s="272"/>
      <c r="E74" s="273"/>
      <c r="F74" s="26"/>
      <c r="G74" s="26"/>
      <c r="H74" s="274"/>
      <c r="I74" s="275"/>
      <c r="J74" s="27"/>
      <c r="K74" s="27"/>
      <c r="L74" s="27"/>
      <c r="M74" s="28"/>
      <c r="N74" s="29"/>
      <c r="O74" s="29"/>
      <c r="P74" s="89" t="s">
        <v>43</v>
      </c>
      <c r="Q74" s="94">
        <f>SUM(Q5:Q70)</f>
        <v>3613.2694999999994</v>
      </c>
    </row>
    <row r="75" spans="1:17" s="2" customFormat="1" ht="12" customHeight="1">
      <c r="D75" s="22"/>
      <c r="E75" s="22"/>
      <c r="J75" s="8"/>
      <c r="K75" s="8"/>
      <c r="L75" s="8"/>
      <c r="M75" s="8"/>
      <c r="N75" s="5"/>
      <c r="O75" s="5"/>
      <c r="P75" s="88"/>
      <c r="Q75" s="95"/>
    </row>
    <row r="76" spans="1:17" s="2" customFormat="1" ht="12" customHeight="1">
      <c r="B76" s="2">
        <v>1</v>
      </c>
      <c r="C76" s="108" t="s">
        <v>974</v>
      </c>
      <c r="D76" s="22"/>
      <c r="E76" s="22"/>
      <c r="J76" s="5"/>
      <c r="K76" s="5"/>
      <c r="L76" s="5"/>
      <c r="M76" s="5"/>
      <c r="N76" s="5"/>
      <c r="O76" s="5"/>
      <c r="P76" s="88"/>
      <c r="Q76" s="95"/>
    </row>
    <row r="77" spans="1:17" s="2" customFormat="1" ht="12" customHeight="1">
      <c r="B77" s="21">
        <v>1</v>
      </c>
      <c r="C77" s="108" t="s">
        <v>975</v>
      </c>
      <c r="D77" s="22"/>
      <c r="E77" s="22"/>
      <c r="J77" s="5"/>
      <c r="K77" s="5"/>
      <c r="L77" s="5"/>
      <c r="M77" s="5"/>
      <c r="N77" s="5"/>
      <c r="O77" s="5"/>
      <c r="P77" s="88"/>
      <c r="Q77" s="95"/>
    </row>
    <row r="78" spans="1:17" s="2" customFormat="1" ht="12" customHeight="1">
      <c r="B78" s="21">
        <v>1</v>
      </c>
      <c r="C78" s="108" t="s">
        <v>976</v>
      </c>
      <c r="D78" s="22"/>
      <c r="E78" s="22"/>
      <c r="J78" s="5"/>
      <c r="K78" s="5"/>
      <c r="L78" s="5"/>
      <c r="M78" s="5"/>
      <c r="N78" s="5"/>
      <c r="O78" s="5"/>
      <c r="P78" s="88"/>
      <c r="Q78" s="95"/>
    </row>
    <row r="79" spans="1:17" s="2" customFormat="1" ht="12" customHeight="1">
      <c r="B79" s="21">
        <v>1</v>
      </c>
      <c r="C79" s="108" t="s">
        <v>977</v>
      </c>
      <c r="D79" s="22"/>
      <c r="E79" s="22"/>
      <c r="J79" s="5"/>
      <c r="K79" s="5"/>
      <c r="L79" s="5"/>
      <c r="M79" s="5"/>
      <c r="N79" s="5"/>
      <c r="O79" s="5"/>
      <c r="P79" s="88"/>
      <c r="Q79" s="95"/>
    </row>
    <row r="80" spans="1:17" s="2" customFormat="1" ht="12" customHeight="1">
      <c r="B80" s="2">
        <v>1</v>
      </c>
      <c r="C80" s="108" t="s">
        <v>978</v>
      </c>
      <c r="D80" s="22"/>
      <c r="E80" s="22"/>
      <c r="J80" s="5"/>
      <c r="K80" s="5"/>
      <c r="L80" s="5"/>
      <c r="M80" s="5"/>
      <c r="N80" s="5"/>
      <c r="O80" s="5"/>
      <c r="P80" s="88"/>
      <c r="Q80" s="95"/>
    </row>
    <row r="81" spans="2:17" s="2" customFormat="1" ht="12" customHeight="1">
      <c r="B81" s="21">
        <v>1</v>
      </c>
      <c r="C81" s="108" t="s">
        <v>979</v>
      </c>
      <c r="D81" s="22"/>
      <c r="E81" s="22"/>
      <c r="J81" s="5"/>
      <c r="K81" s="5"/>
      <c r="L81" s="5"/>
      <c r="M81" s="5"/>
      <c r="N81" s="5"/>
      <c r="O81" s="5"/>
      <c r="P81" s="88"/>
      <c r="Q81" s="95"/>
    </row>
    <row r="82" spans="2:17" s="2" customFormat="1" ht="12" customHeight="1">
      <c r="B82" s="21">
        <v>1</v>
      </c>
      <c r="C82" s="108" t="s">
        <v>980</v>
      </c>
      <c r="D82" s="22"/>
      <c r="E82" s="22"/>
      <c r="J82" s="5"/>
      <c r="K82" s="5"/>
      <c r="L82" s="5"/>
      <c r="M82" s="5"/>
      <c r="N82" s="5"/>
      <c r="O82" s="5"/>
      <c r="P82" s="88"/>
      <c r="Q82" s="95"/>
    </row>
    <row r="83" spans="2:17" s="2" customFormat="1" ht="12" customHeight="1">
      <c r="B83" s="2">
        <v>1</v>
      </c>
      <c r="C83" s="108" t="s">
        <v>981</v>
      </c>
      <c r="D83" s="22"/>
      <c r="E83" s="22"/>
      <c r="J83" s="5"/>
      <c r="K83" s="5"/>
      <c r="L83" s="5"/>
      <c r="M83" s="5"/>
      <c r="N83" s="5"/>
      <c r="O83" s="5"/>
      <c r="P83" s="88"/>
      <c r="Q83" s="95"/>
    </row>
    <row r="84" spans="2:17" s="2" customFormat="1" ht="12" customHeight="1">
      <c r="B84" s="2">
        <v>1</v>
      </c>
      <c r="C84" s="108" t="s">
        <v>982</v>
      </c>
      <c r="D84" s="22"/>
      <c r="E84" s="22"/>
      <c r="J84" s="5"/>
      <c r="K84" s="5"/>
      <c r="L84" s="5"/>
      <c r="M84" s="5"/>
      <c r="N84" s="5"/>
      <c r="O84" s="5"/>
      <c r="P84" s="88"/>
      <c r="Q84" s="95"/>
    </row>
    <row r="85" spans="2:17" s="2" customFormat="1" ht="12" customHeight="1">
      <c r="B85" s="21">
        <v>1</v>
      </c>
      <c r="C85" s="108" t="s">
        <v>983</v>
      </c>
      <c r="D85" s="22"/>
      <c r="E85" s="22"/>
      <c r="J85" s="5"/>
      <c r="K85" s="5"/>
      <c r="L85" s="5"/>
      <c r="M85" s="5"/>
      <c r="N85" s="5"/>
      <c r="O85" s="5"/>
      <c r="P85" s="88"/>
      <c r="Q85" s="95"/>
    </row>
    <row r="86" spans="2:17" s="2" customFormat="1" ht="12" customHeight="1">
      <c r="B86" s="21">
        <v>1</v>
      </c>
      <c r="C86" s="108" t="s">
        <v>984</v>
      </c>
      <c r="D86" s="22"/>
      <c r="E86" s="22"/>
      <c r="J86" s="5"/>
      <c r="K86" s="5"/>
      <c r="L86" s="5"/>
      <c r="M86" s="5"/>
      <c r="N86" s="5"/>
      <c r="O86" s="5"/>
      <c r="P86" s="88"/>
      <c r="Q86" s="95"/>
    </row>
    <row r="87" spans="2:17" s="2" customFormat="1" ht="12" customHeight="1">
      <c r="B87" s="21">
        <v>1</v>
      </c>
      <c r="C87" s="108" t="s">
        <v>985</v>
      </c>
      <c r="D87" s="22"/>
      <c r="E87" s="22"/>
      <c r="J87" s="5"/>
      <c r="K87" s="5"/>
      <c r="L87" s="5"/>
      <c r="M87" s="5"/>
      <c r="N87" s="5"/>
      <c r="O87" s="5"/>
      <c r="P87" s="88"/>
      <c r="Q87" s="95"/>
    </row>
    <row r="88" spans="2:17" s="2" customFormat="1" ht="12" customHeight="1">
      <c r="B88" s="2">
        <v>1</v>
      </c>
      <c r="C88" s="108" t="s">
        <v>986</v>
      </c>
      <c r="D88" s="22"/>
      <c r="E88" s="22"/>
      <c r="J88" s="5"/>
      <c r="K88" s="5"/>
      <c r="L88" s="5"/>
      <c r="M88" s="5"/>
      <c r="N88" s="5"/>
      <c r="O88" s="5"/>
      <c r="P88" s="88"/>
      <c r="Q88" s="95"/>
    </row>
    <row r="89" spans="2:17" s="2" customFormat="1" ht="12" customHeight="1">
      <c r="B89" s="21">
        <v>2</v>
      </c>
      <c r="C89" s="108" t="s">
        <v>931</v>
      </c>
      <c r="D89" s="22"/>
      <c r="E89" s="22"/>
      <c r="J89" s="5"/>
      <c r="K89" s="5"/>
      <c r="L89" s="5"/>
      <c r="M89" s="5"/>
      <c r="N89" s="5"/>
      <c r="O89" s="5"/>
      <c r="P89" s="88"/>
      <c r="Q89" s="95"/>
    </row>
    <row r="90" spans="2:17" s="2" customFormat="1" ht="12" customHeight="1">
      <c r="B90" s="21">
        <v>1</v>
      </c>
      <c r="C90" s="108" t="s">
        <v>932</v>
      </c>
      <c r="D90" s="22"/>
      <c r="E90" s="22"/>
      <c r="J90" s="5"/>
      <c r="K90" s="5"/>
      <c r="L90" s="5"/>
      <c r="M90" s="5"/>
      <c r="N90" s="5"/>
      <c r="O90" s="5"/>
      <c r="P90" s="88"/>
      <c r="Q90" s="95"/>
    </row>
    <row r="91" spans="2:17" s="2" customFormat="1" ht="12" customHeight="1">
      <c r="D91" s="22"/>
      <c r="E91" s="22"/>
      <c r="J91" s="5"/>
      <c r="K91" s="5"/>
      <c r="L91" s="5"/>
      <c r="M91" s="5"/>
      <c r="N91" s="5"/>
      <c r="O91" s="5"/>
      <c r="P91" s="88"/>
      <c r="Q91" s="95"/>
    </row>
    <row r="92" spans="2:17" s="2" customFormat="1" ht="12" customHeight="1">
      <c r="D92" s="22"/>
      <c r="E92" s="22"/>
      <c r="J92" s="5"/>
      <c r="K92" s="5"/>
      <c r="L92" s="5"/>
      <c r="M92" s="5"/>
      <c r="N92" s="5"/>
      <c r="O92" s="5"/>
      <c r="P92" s="88"/>
      <c r="Q92" s="95"/>
    </row>
    <row r="93" spans="2:17" s="2" customFormat="1" ht="12" customHeight="1">
      <c r="D93" s="22"/>
      <c r="E93" s="22"/>
      <c r="J93" s="5"/>
      <c r="K93" s="5"/>
      <c r="L93" s="5"/>
      <c r="M93" s="5"/>
      <c r="N93" s="5"/>
      <c r="O93" s="5"/>
      <c r="P93" s="88"/>
      <c r="Q93" s="95"/>
    </row>
    <row r="94" spans="2:17" s="2" customFormat="1" ht="12" customHeight="1">
      <c r="D94" s="22"/>
      <c r="E94" s="22"/>
      <c r="J94" s="5"/>
      <c r="K94" s="5"/>
      <c r="L94" s="5"/>
      <c r="M94" s="5"/>
      <c r="N94" s="5"/>
      <c r="O94" s="5"/>
      <c r="P94" s="88"/>
      <c r="Q94" s="95"/>
    </row>
    <row r="95" spans="2:17" s="2" customFormat="1" ht="12" customHeight="1">
      <c r="D95" s="22"/>
      <c r="E95" s="22"/>
      <c r="J95" s="5"/>
      <c r="K95" s="5"/>
      <c r="L95" s="5"/>
      <c r="M95" s="5"/>
      <c r="N95" s="5"/>
      <c r="O95" s="5"/>
      <c r="P95" s="88"/>
      <c r="Q95" s="95"/>
    </row>
    <row r="96" spans="2:17" s="2" customFormat="1" ht="12" customHeight="1">
      <c r="D96" s="22"/>
      <c r="E96" s="22"/>
      <c r="J96" s="5"/>
      <c r="K96" s="5"/>
      <c r="L96" s="5"/>
      <c r="M96" s="5"/>
      <c r="N96" s="5"/>
      <c r="O96" s="5"/>
      <c r="P96" s="88"/>
      <c r="Q96" s="95"/>
    </row>
    <row r="97" spans="4:17" s="2" customFormat="1" ht="12" customHeight="1">
      <c r="D97" s="22"/>
      <c r="E97" s="22"/>
      <c r="J97" s="5"/>
      <c r="K97" s="5"/>
      <c r="L97" s="5"/>
      <c r="M97" s="5"/>
      <c r="N97" s="5"/>
      <c r="O97" s="5"/>
      <c r="P97" s="88"/>
      <c r="Q97" s="95"/>
    </row>
    <row r="98" spans="4:17" s="2" customFormat="1" ht="12" customHeight="1">
      <c r="D98" s="22"/>
      <c r="E98" s="22"/>
      <c r="J98" s="5"/>
      <c r="K98" s="5"/>
      <c r="L98" s="5"/>
      <c r="M98" s="5"/>
      <c r="N98" s="5"/>
      <c r="O98" s="5"/>
      <c r="P98" s="88"/>
      <c r="Q98" s="95"/>
    </row>
    <row r="99" spans="4:17" s="2" customFormat="1" ht="12" customHeight="1">
      <c r="D99" s="22"/>
      <c r="E99" s="22"/>
      <c r="J99" s="5"/>
      <c r="K99" s="5"/>
      <c r="L99" s="5"/>
      <c r="M99" s="5"/>
      <c r="N99" s="5"/>
      <c r="O99" s="5"/>
      <c r="P99" s="88"/>
      <c r="Q99" s="95"/>
    </row>
    <row r="100" spans="4:17" s="2" customFormat="1" ht="12" customHeight="1">
      <c r="D100" s="22"/>
      <c r="E100" s="22"/>
      <c r="J100" s="5"/>
      <c r="K100" s="5"/>
      <c r="L100" s="5"/>
      <c r="M100" s="5"/>
      <c r="N100" s="5"/>
      <c r="O100" s="5"/>
      <c r="P100" s="88"/>
      <c r="Q100" s="95"/>
    </row>
    <row r="101" spans="4:17" s="2" customFormat="1" ht="12" customHeight="1">
      <c r="D101" s="22"/>
      <c r="E101" s="22"/>
      <c r="J101" s="5"/>
      <c r="K101" s="5"/>
      <c r="L101" s="5"/>
      <c r="M101" s="5"/>
      <c r="N101" s="5"/>
      <c r="O101" s="5"/>
      <c r="P101" s="88"/>
      <c r="Q101" s="95"/>
    </row>
    <row r="102" spans="4:17" s="2" customFormat="1" ht="12" customHeight="1">
      <c r="D102" s="22"/>
      <c r="E102" s="22"/>
      <c r="J102" s="5"/>
      <c r="K102" s="5"/>
      <c r="L102" s="5"/>
      <c r="M102" s="5"/>
      <c r="N102" s="5"/>
      <c r="O102" s="5"/>
      <c r="P102" s="88"/>
      <c r="Q102" s="95"/>
    </row>
    <row r="103" spans="4:17" s="2" customFormat="1" ht="12" customHeight="1">
      <c r="D103" s="22"/>
      <c r="E103" s="22"/>
      <c r="J103" s="5"/>
      <c r="K103" s="5"/>
      <c r="L103" s="5"/>
      <c r="M103" s="5"/>
      <c r="N103" s="5"/>
      <c r="O103" s="5"/>
      <c r="P103" s="88"/>
      <c r="Q103" s="95"/>
    </row>
    <row r="104" spans="4:17" s="2" customFormat="1" ht="12" customHeight="1">
      <c r="D104" s="22"/>
      <c r="E104" s="22"/>
      <c r="J104" s="5"/>
      <c r="K104" s="5"/>
      <c r="L104" s="5"/>
      <c r="M104" s="5"/>
      <c r="N104" s="5"/>
      <c r="O104" s="5"/>
      <c r="P104" s="88"/>
      <c r="Q104" s="95"/>
    </row>
    <row r="105" spans="4:17" s="2" customFormat="1" ht="12" customHeight="1">
      <c r="D105" s="22"/>
      <c r="E105" s="22"/>
      <c r="J105" s="5"/>
      <c r="K105" s="5"/>
      <c r="L105" s="5"/>
      <c r="M105" s="5"/>
      <c r="N105" s="5"/>
      <c r="O105" s="5"/>
      <c r="P105" s="88"/>
      <c r="Q105" s="95"/>
    </row>
    <row r="106" spans="4:17" s="2" customFormat="1" ht="12" customHeight="1">
      <c r="D106" s="22"/>
      <c r="E106" s="22"/>
      <c r="J106" s="5"/>
      <c r="K106" s="5"/>
      <c r="L106" s="5"/>
      <c r="M106" s="5"/>
      <c r="N106" s="5"/>
      <c r="O106" s="5"/>
      <c r="P106" s="88"/>
      <c r="Q106" s="95"/>
    </row>
    <row r="107" spans="4:17" s="2" customFormat="1" ht="12" customHeight="1">
      <c r="D107" s="22"/>
      <c r="E107" s="22"/>
      <c r="J107" s="5"/>
      <c r="K107" s="5"/>
      <c r="L107" s="5"/>
      <c r="M107" s="5"/>
      <c r="N107" s="5"/>
      <c r="O107" s="5"/>
      <c r="P107" s="88"/>
      <c r="Q107" s="95"/>
    </row>
    <row r="108" spans="4:17" s="2" customFormat="1" ht="12" customHeight="1">
      <c r="D108" s="22"/>
      <c r="E108" s="22"/>
      <c r="J108" s="5"/>
      <c r="K108" s="5"/>
      <c r="L108" s="5"/>
      <c r="M108" s="5"/>
      <c r="N108" s="5"/>
      <c r="O108" s="5"/>
      <c r="P108" s="88"/>
      <c r="Q108" s="95"/>
    </row>
    <row r="109" spans="4:17" s="2" customFormat="1" ht="12" customHeight="1">
      <c r="D109" s="22"/>
      <c r="E109" s="22"/>
      <c r="J109" s="5"/>
      <c r="K109" s="5"/>
      <c r="L109" s="5"/>
      <c r="M109" s="5"/>
      <c r="N109" s="5"/>
      <c r="O109" s="5"/>
      <c r="P109" s="88"/>
      <c r="Q109" s="95"/>
    </row>
    <row r="110" spans="4:17" s="2" customFormat="1" ht="12" customHeight="1">
      <c r="D110" s="22"/>
      <c r="E110" s="22"/>
      <c r="J110" s="5"/>
      <c r="K110" s="5"/>
      <c r="L110" s="5"/>
      <c r="M110" s="5"/>
      <c r="N110" s="5"/>
      <c r="O110" s="5"/>
      <c r="P110" s="88"/>
      <c r="Q110" s="95"/>
    </row>
    <row r="111" spans="4:17" s="2" customFormat="1" ht="12" customHeight="1">
      <c r="D111" s="22"/>
      <c r="E111" s="22"/>
      <c r="J111" s="5"/>
      <c r="K111" s="5"/>
      <c r="L111" s="5"/>
      <c r="M111" s="5"/>
      <c r="N111" s="5"/>
      <c r="O111" s="5"/>
      <c r="P111" s="88"/>
      <c r="Q111" s="95"/>
    </row>
    <row r="112" spans="4:17" s="2" customFormat="1" ht="12" customHeight="1">
      <c r="D112" s="22"/>
      <c r="E112" s="22"/>
      <c r="J112" s="5"/>
      <c r="K112" s="5"/>
      <c r="L112" s="5"/>
      <c r="M112" s="5"/>
      <c r="N112" s="5"/>
      <c r="O112" s="5"/>
      <c r="P112" s="88"/>
      <c r="Q112" s="95"/>
    </row>
    <row r="113" spans="1:17" s="2" customFormat="1" ht="12" customHeight="1">
      <c r="D113" s="22"/>
      <c r="E113" s="22"/>
      <c r="J113" s="5"/>
      <c r="K113" s="5"/>
      <c r="L113" s="5"/>
      <c r="M113" s="5"/>
      <c r="N113" s="5"/>
      <c r="O113" s="5"/>
      <c r="P113" s="88"/>
      <c r="Q113" s="96"/>
    </row>
    <row r="114" spans="1:17" s="2" customFormat="1" ht="12" customHeight="1">
      <c r="D114" s="22"/>
      <c r="E114" s="22"/>
      <c r="J114" s="5"/>
      <c r="K114" s="5"/>
      <c r="L114" s="5"/>
      <c r="M114" s="5"/>
      <c r="N114" s="5"/>
      <c r="O114" s="5"/>
      <c r="P114" s="88"/>
      <c r="Q114" s="96"/>
    </row>
    <row r="115" spans="1:17" s="2" customFormat="1" ht="12" customHeight="1">
      <c r="D115" s="22"/>
      <c r="E115" s="22"/>
      <c r="J115" s="5"/>
      <c r="K115" s="5"/>
      <c r="L115" s="5"/>
      <c r="M115" s="5"/>
      <c r="N115" s="5"/>
      <c r="O115" s="5"/>
      <c r="P115" s="88"/>
      <c r="Q115" s="96"/>
    </row>
    <row r="116" spans="1:17" s="2" customFormat="1" ht="12" customHeight="1">
      <c r="D116" s="22"/>
      <c r="E116" s="22"/>
      <c r="J116" s="5"/>
      <c r="K116" s="5"/>
      <c r="L116" s="5"/>
      <c r="M116" s="5"/>
      <c r="N116" s="5"/>
      <c r="O116" s="5"/>
      <c r="P116" s="88"/>
      <c r="Q116" s="96"/>
    </row>
    <row r="117" spans="1:17" s="2" customFormat="1" ht="12" customHeight="1">
      <c r="A117"/>
      <c r="B117"/>
      <c r="C117"/>
      <c r="D117" s="23"/>
      <c r="E117" s="23"/>
      <c r="F117"/>
      <c r="G117"/>
      <c r="H117"/>
      <c r="I117"/>
      <c r="J117" s="19"/>
      <c r="K117" s="19"/>
      <c r="L117" s="19"/>
      <c r="M117" s="19"/>
      <c r="N117" s="19"/>
      <c r="O117" s="19"/>
      <c r="P117" s="90"/>
      <c r="Q117" s="96"/>
    </row>
    <row r="118" spans="1:17" s="2" customFormat="1" ht="12" customHeight="1">
      <c r="A118"/>
      <c r="B118"/>
      <c r="C118"/>
      <c r="D118" s="23"/>
      <c r="E118" s="23"/>
      <c r="F118"/>
      <c r="G118"/>
      <c r="H118"/>
      <c r="I118"/>
      <c r="J118" s="19"/>
      <c r="K118" s="19"/>
      <c r="L118" s="19"/>
      <c r="M118" s="19"/>
      <c r="N118" s="19"/>
      <c r="O118" s="19"/>
      <c r="P118" s="90"/>
      <c r="Q118" s="96"/>
    </row>
    <row r="119" spans="1:17" s="2" customFormat="1" ht="12" customHeight="1">
      <c r="A119"/>
      <c r="B119"/>
      <c r="C119"/>
      <c r="D119" s="23"/>
      <c r="E119" s="23"/>
      <c r="F119"/>
      <c r="G119"/>
      <c r="H119"/>
      <c r="I119"/>
      <c r="J119" s="19"/>
      <c r="K119" s="19"/>
      <c r="L119" s="19"/>
      <c r="M119" s="19"/>
      <c r="N119" s="19"/>
      <c r="O119" s="19"/>
      <c r="P119" s="90"/>
      <c r="Q119" s="96"/>
    </row>
    <row r="120" spans="1:17" s="2" customFormat="1" ht="12" customHeight="1">
      <c r="A120"/>
      <c r="B120"/>
      <c r="C120"/>
      <c r="D120" s="23"/>
      <c r="E120" s="23"/>
      <c r="F120"/>
      <c r="G120"/>
      <c r="H120"/>
      <c r="I120"/>
      <c r="J120" s="19"/>
      <c r="K120" s="19"/>
      <c r="L120" s="19"/>
      <c r="M120" s="19"/>
      <c r="N120" s="19"/>
      <c r="O120" s="19"/>
      <c r="P120" s="90"/>
      <c r="Q120" s="96"/>
    </row>
    <row r="121" spans="1:17" s="2" customFormat="1" ht="12" customHeight="1">
      <c r="A121"/>
      <c r="B121"/>
      <c r="C121"/>
      <c r="D121" s="23"/>
      <c r="E121" s="23"/>
      <c r="F121"/>
      <c r="G121"/>
      <c r="H121"/>
      <c r="I121"/>
      <c r="J121" s="19"/>
      <c r="K121" s="19"/>
      <c r="L121" s="19"/>
      <c r="M121" s="19"/>
      <c r="N121" s="19"/>
      <c r="O121" s="19"/>
      <c r="P121" s="90"/>
      <c r="Q121" s="96"/>
    </row>
    <row r="122" spans="1:17">
      <c r="Q122" s="96"/>
    </row>
    <row r="123" spans="1:17">
      <c r="Q123" s="96"/>
    </row>
    <row r="124" spans="1:17">
      <c r="Q124" s="96"/>
    </row>
    <row r="125" spans="1:17">
      <c r="Q125" s="96"/>
    </row>
    <row r="126" spans="1:17">
      <c r="Q126" s="96"/>
    </row>
    <row r="127" spans="1:17">
      <c r="Q127" s="96"/>
    </row>
    <row r="128" spans="1:17">
      <c r="Q128" s="96"/>
    </row>
    <row r="129" spans="17:17">
      <c r="Q129" s="96"/>
    </row>
    <row r="130" spans="17:17">
      <c r="Q130" s="96"/>
    </row>
    <row r="131" spans="17:17">
      <c r="Q131" s="96"/>
    </row>
    <row r="132" spans="17:17">
      <c r="Q132" s="96"/>
    </row>
    <row r="133" spans="17:17">
      <c r="Q133" s="96"/>
    </row>
    <row r="134" spans="17:17">
      <c r="Q134" s="96"/>
    </row>
    <row r="135" spans="17:17">
      <c r="Q135" s="96"/>
    </row>
    <row r="136" spans="17:17">
      <c r="Q136" s="96"/>
    </row>
    <row r="137" spans="17:17">
      <c r="Q137" s="96"/>
    </row>
    <row r="138" spans="17:17">
      <c r="Q138" s="96"/>
    </row>
    <row r="139" spans="17:17">
      <c r="Q139" s="96"/>
    </row>
    <row r="140" spans="17:17">
      <c r="Q140" s="96"/>
    </row>
    <row r="141" spans="17:17">
      <c r="Q141" s="96"/>
    </row>
    <row r="178" ht="12" customHeight="1"/>
    <row r="179" ht="12" customHeight="1"/>
    <row r="180" ht="12" customHeight="1"/>
    <row r="181" ht="12" customHeight="1"/>
    <row r="182" ht="12" customHeight="1"/>
    <row r="183" ht="12" customHeight="1"/>
    <row r="184" ht="12" customHeight="1"/>
    <row r="185" ht="12" customHeight="1"/>
    <row r="186" ht="12" customHeight="1"/>
    <row r="187" ht="12" customHeight="1"/>
    <row r="188" ht="12" customHeight="1"/>
    <row r="189" ht="12" customHeight="1"/>
    <row r="190" ht="12" customHeight="1"/>
    <row r="191" ht="12" customHeight="1"/>
    <row r="192" ht="12" customHeight="1"/>
    <row r="193" ht="12" customHeight="1"/>
    <row r="194" ht="12" customHeight="1"/>
    <row r="195" ht="12" customHeight="1"/>
    <row r="196" ht="12" customHeight="1"/>
    <row r="197" ht="12" customHeight="1"/>
    <row r="198" ht="12" customHeight="1"/>
    <row r="199" ht="12" customHeight="1"/>
    <row r="200" ht="12" customHeight="1"/>
    <row r="201" ht="12" customHeight="1"/>
    <row r="202" ht="12" customHeight="1"/>
    <row r="203" ht="12" customHeight="1"/>
    <row r="204" ht="12" customHeight="1"/>
    <row r="205" ht="12" customHeight="1"/>
    <row r="206" ht="12" customHeight="1"/>
    <row r="207" ht="12" customHeight="1"/>
    <row r="208" ht="12" customHeight="1"/>
    <row r="209" ht="12" customHeight="1"/>
    <row r="210" ht="12" customHeight="1"/>
    <row r="211" ht="12" customHeight="1"/>
    <row r="212" ht="12" customHeight="1"/>
    <row r="213" ht="12" customHeight="1"/>
    <row r="214" ht="12" customHeight="1"/>
    <row r="215" ht="12" customHeight="1"/>
    <row r="216" ht="12" customHeight="1"/>
    <row r="217" ht="12" customHeight="1"/>
    <row r="218" ht="12" customHeight="1"/>
    <row r="219" ht="12" customHeight="1"/>
    <row r="220" ht="12" customHeight="1"/>
    <row r="221" ht="12" customHeight="1"/>
    <row r="222" ht="12" customHeight="1"/>
    <row r="223" ht="12" customHeight="1"/>
    <row r="224" ht="12" customHeight="1"/>
    <row r="225" ht="12" customHeight="1"/>
    <row r="226" ht="12" customHeight="1"/>
    <row r="227" ht="12" customHeight="1"/>
  </sheetData>
  <mergeCells count="76">
    <mergeCell ref="D1:E1"/>
    <mergeCell ref="D4:E4"/>
    <mergeCell ref="H4:I4"/>
    <mergeCell ref="D16:E16"/>
    <mergeCell ref="D5:E5"/>
    <mergeCell ref="D6:E6"/>
    <mergeCell ref="D7:E7"/>
    <mergeCell ref="D8:E8"/>
    <mergeCell ref="D9:E9"/>
    <mergeCell ref="D10:E10"/>
    <mergeCell ref="D11:E11"/>
    <mergeCell ref="D12:E12"/>
    <mergeCell ref="D13:E13"/>
    <mergeCell ref="D14:E14"/>
    <mergeCell ref="D15:E15"/>
    <mergeCell ref="D20:E20"/>
    <mergeCell ref="H20:I20"/>
    <mergeCell ref="D21:E21"/>
    <mergeCell ref="D22:E22"/>
    <mergeCell ref="D17:E17"/>
    <mergeCell ref="D18:E18"/>
    <mergeCell ref="D19:E19"/>
    <mergeCell ref="D34:E34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D46:E46"/>
    <mergeCell ref="D35:E35"/>
    <mergeCell ref="D36:E36"/>
    <mergeCell ref="D37:E37"/>
    <mergeCell ref="D38:E38"/>
    <mergeCell ref="D39:E39"/>
    <mergeCell ref="D40:E40"/>
    <mergeCell ref="D41:E41"/>
    <mergeCell ref="D42:E42"/>
    <mergeCell ref="D43:E43"/>
    <mergeCell ref="D44:E44"/>
    <mergeCell ref="D45:E45"/>
    <mergeCell ref="D50:E50"/>
    <mergeCell ref="H50:I50"/>
    <mergeCell ref="D47:E47"/>
    <mergeCell ref="D48:E48"/>
    <mergeCell ref="D49:E49"/>
    <mergeCell ref="D62:E62"/>
    <mergeCell ref="D51:E51"/>
    <mergeCell ref="D52:E52"/>
    <mergeCell ref="D53:E53"/>
    <mergeCell ref="D54:E54"/>
    <mergeCell ref="D55:E55"/>
    <mergeCell ref="D56:E56"/>
    <mergeCell ref="D57:E57"/>
    <mergeCell ref="D58:E58"/>
    <mergeCell ref="D59:E59"/>
    <mergeCell ref="D60:E60"/>
    <mergeCell ref="D61:E61"/>
    <mergeCell ref="D69:E69"/>
    <mergeCell ref="D70:E70"/>
    <mergeCell ref="D74:E74"/>
    <mergeCell ref="H74:I74"/>
    <mergeCell ref="D63:E63"/>
    <mergeCell ref="D64:E64"/>
    <mergeCell ref="D65:E65"/>
    <mergeCell ref="D66:E66"/>
    <mergeCell ref="D67:E67"/>
    <mergeCell ref="D68:E68"/>
    <mergeCell ref="D71:E71"/>
    <mergeCell ref="D72:E72"/>
    <mergeCell ref="D73:E73"/>
  </mergeCells>
  <conditionalFormatting sqref="M5:M19 M21:M49 M51:M73">
    <cfRule type="cellIs" dxfId="356" priority="5" stopIfTrue="1" operator="lessThanOrEqual">
      <formula>$L5</formula>
    </cfRule>
    <cfRule type="cellIs" dxfId="355" priority="6" operator="greaterThan">
      <formula>L5</formula>
    </cfRule>
  </conditionalFormatting>
  <pageMargins left="0.7" right="0.7" top="0.75" bottom="0.75" header="0.3" footer="0.3"/>
  <pageSetup paperSize="3" fitToHeight="0" orientation="landscape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ACCF558F-E902-4513-83E2-D46E8D2CB420}">
          <x14:formula1>
            <xm:f>Bolts!$A:$A</xm:f>
          </x14:formula1>
          <xm:sqref>C51:C73</xm:sqref>
        </x14:dataValidation>
        <x14:dataValidation type="list" allowBlank="1" showInputMessage="1" showErrorMessage="1" xr:uid="{F3A042BA-18F4-48FA-A16E-6D342EFC0FCC}">
          <x14:formula1>
            <xm:f>Purchased!$A:$A</xm:f>
          </x14:formula1>
          <xm:sqref>C21:C49</xm:sqref>
        </x14:dataValidation>
        <x14:dataValidation type="list" allowBlank="1" showInputMessage="1" showErrorMessage="1" xr:uid="{D295204E-30F3-4E79-9206-9B031D375B46}">
          <x14:formula1>
            <xm:f>Machined!$C:$C</xm:f>
          </x14:formula1>
          <xm:sqref>C76:C90 C5:C19</xm:sqref>
        </x14:dataValidation>
      </x14:dataValidations>
    </ext>
  </extLst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E2EB5B-B555-4A2E-B6E4-807C8C4A855B}">
  <sheetPr codeName="Sheet81">
    <tabColor theme="3" tint="0.79998168889431442"/>
    <pageSetUpPr fitToPage="1"/>
  </sheetPr>
  <dimension ref="A1:Q228"/>
  <sheetViews>
    <sheetView topLeftCell="A11" zoomScaleNormal="100" workbookViewId="0">
      <selection activeCell="D22" sqref="D22:F22"/>
    </sheetView>
  </sheetViews>
  <sheetFormatPr defaultColWidth="9.140625" defaultRowHeight="15"/>
  <cols>
    <col min="1" max="1" width="5.7109375" customWidth="1"/>
    <col min="2" max="2" width="5.42578125" bestFit="1" customWidth="1"/>
    <col min="3" max="3" width="30.7109375" customWidth="1"/>
    <col min="4" max="4" width="20.7109375" style="23" customWidth="1"/>
    <col min="5" max="5" width="25.28515625" style="23" customWidth="1"/>
    <col min="6" max="6" width="16.85546875" bestFit="1" customWidth="1"/>
    <col min="7" max="7" width="9.7109375" customWidth="1"/>
    <col min="8" max="8" width="8.7109375" customWidth="1"/>
    <col min="9" max="9" width="20.7109375" customWidth="1"/>
    <col min="10" max="13" width="11.7109375" style="19" customWidth="1"/>
    <col min="14" max="14" width="11.85546875" style="19" bestFit="1" customWidth="1"/>
    <col min="15" max="15" width="7.7109375" style="19" customWidth="1"/>
    <col min="16" max="16" width="10.7109375" style="90" customWidth="1"/>
    <col min="17" max="17" width="10.7109375" style="97" customWidth="1"/>
  </cols>
  <sheetData>
    <row r="1" spans="1:17" s="55" customFormat="1" ht="12" customHeight="1">
      <c r="A1" s="68" t="s">
        <v>0</v>
      </c>
      <c r="B1" s="69"/>
      <c r="C1" s="69"/>
      <c r="D1" s="262" t="s">
        <v>1</v>
      </c>
      <c r="E1" s="263"/>
      <c r="F1" s="70"/>
      <c r="G1" s="69"/>
      <c r="H1" s="70"/>
      <c r="I1" s="71"/>
      <c r="J1" s="72"/>
      <c r="K1" s="72"/>
      <c r="L1" s="72"/>
      <c r="M1" s="72"/>
      <c r="N1" s="72"/>
      <c r="O1" s="72"/>
      <c r="P1" s="85"/>
      <c r="Q1" s="91"/>
    </row>
    <row r="2" spans="1:17" s="55" customFormat="1" ht="12" customHeight="1">
      <c r="A2" s="74" t="s">
        <v>48</v>
      </c>
      <c r="B2" s="58"/>
      <c r="C2" s="57" t="e">
        <f ca="1">VLOOKUP(E3,Assemblies!B:F,4,0)</f>
        <v>#VALUE!</v>
      </c>
      <c r="D2" s="75" t="s">
        <v>3</v>
      </c>
      <c r="E2" s="76" t="e">
        <f ca="1">'GF12'!E2</f>
        <v>#VALUE!</v>
      </c>
      <c r="F2" s="77" t="s">
        <v>4</v>
      </c>
      <c r="G2" s="58" t="str">
        <f>'GF12'!G2</f>
        <v>GH</v>
      </c>
      <c r="H2" s="77" t="s">
        <v>6</v>
      </c>
      <c r="I2" s="59">
        <f>'GF12'!I2</f>
        <v>44775</v>
      </c>
      <c r="J2" s="39"/>
      <c r="K2" s="40" t="s">
        <v>49</v>
      </c>
      <c r="L2" s="41" t="e">
        <f ca="1">VLOOKUP(C2,Assemblies!E:G,3,0)</f>
        <v>#VALUE!</v>
      </c>
      <c r="M2" s="78"/>
      <c r="N2" s="78"/>
      <c r="O2" s="78"/>
      <c r="P2" s="86"/>
      <c r="Q2" s="92"/>
    </row>
    <row r="3" spans="1:17" s="55" customFormat="1" ht="12" customHeight="1" thickBot="1">
      <c r="A3" s="74" t="s">
        <v>7</v>
      </c>
      <c r="B3" s="58"/>
      <c r="C3" s="57" t="e">
        <f ca="1">VLOOKUP(E3,Assemblies!B:F,5,0)</f>
        <v>#VALUE!</v>
      </c>
      <c r="D3" s="75" t="s">
        <v>50</v>
      </c>
      <c r="E3" s="76" t="e">
        <f ca="1">MID(CELL("filename",A1),FIND("]",CELL("filename",A1))+1,256)</f>
        <v>#VALUE!</v>
      </c>
      <c r="F3" s="77" t="s">
        <v>11</v>
      </c>
      <c r="G3" s="58" t="str">
        <f>'GF12'!G3</f>
        <v>GH</v>
      </c>
      <c r="H3" s="77" t="s">
        <v>6</v>
      </c>
      <c r="I3" s="59">
        <f>'GF12'!I3</f>
        <v>44775</v>
      </c>
      <c r="J3" s="78"/>
      <c r="K3" s="78"/>
      <c r="L3" s="78"/>
      <c r="M3" s="78"/>
      <c r="N3" s="78"/>
      <c r="O3" s="78"/>
      <c r="P3" s="86"/>
      <c r="Q3" s="92"/>
    </row>
    <row r="4" spans="1:17" s="56" customFormat="1" ht="12.75" customHeight="1" thickBot="1">
      <c r="A4" s="80" t="s">
        <v>12</v>
      </c>
      <c r="B4" s="81" t="s">
        <v>13</v>
      </c>
      <c r="C4" s="81" t="s">
        <v>14</v>
      </c>
      <c r="D4" s="270" t="s">
        <v>15</v>
      </c>
      <c r="E4" s="271"/>
      <c r="F4" s="104" t="s">
        <v>16</v>
      </c>
      <c r="G4" s="81" t="s">
        <v>17</v>
      </c>
      <c r="H4" s="260" t="s">
        <v>18</v>
      </c>
      <c r="I4" s="261"/>
      <c r="J4" s="81" t="s">
        <v>51</v>
      </c>
      <c r="K4" s="81" t="s">
        <v>20</v>
      </c>
      <c r="L4" s="81" t="s">
        <v>21</v>
      </c>
      <c r="M4" s="81" t="s">
        <v>52</v>
      </c>
      <c r="N4" s="81" t="s">
        <v>22</v>
      </c>
      <c r="O4" s="81" t="s">
        <v>53</v>
      </c>
      <c r="P4" s="107" t="s">
        <v>26</v>
      </c>
      <c r="Q4" s="82" t="s">
        <v>27</v>
      </c>
    </row>
    <row r="5" spans="1:17" s="2" customFormat="1" ht="12.75" customHeight="1">
      <c r="A5" s="127">
        <v>1</v>
      </c>
      <c r="B5" s="21">
        <v>1</v>
      </c>
      <c r="C5" s="108" t="s">
        <v>974</v>
      </c>
      <c r="D5" s="298" t="str">
        <f>VLOOKUP(C5,Machined!C:Q,2,0)</f>
        <v>CYLINDER MOUNT PLATE - 
LOWER</v>
      </c>
      <c r="E5" s="299"/>
      <c r="F5" s="131" t="str">
        <f>VLOOKUP(C5,Machined!C:R,7,0)</f>
        <v>MIC 6</v>
      </c>
      <c r="G5" s="131" t="str">
        <f>VLOOKUP(C5,Machined!C:R,10,0)</f>
        <v>DETAILED MACH</v>
      </c>
      <c r="H5" s="131" t="str">
        <f>VLOOKUP(C5,Machined!C:R,11,0)</f>
        <v>shipped 9/29/23</v>
      </c>
      <c r="I5" s="131"/>
      <c r="J5" s="42">
        <f>VLOOKUP(C5,Machined!C:R,12,0)</f>
        <v>45156</v>
      </c>
      <c r="K5" s="42">
        <f>VLOOKUP(C5,Machined!C:R,13,0)</f>
        <v>45162</v>
      </c>
      <c r="L5" s="42">
        <f>VLOOKUP(C5,Machined!C:R,14,0)</f>
        <v>45190</v>
      </c>
      <c r="M5" s="42">
        <f>VLOOKUP(C5,Machined!C:R,15,0)</f>
        <v>45190</v>
      </c>
      <c r="N5" s="43">
        <f>VLOOKUP(C5,Machined!C:R,16,0)</f>
        <v>55101</v>
      </c>
      <c r="O5" s="43" t="e">
        <f t="shared" ref="O5:O19" ca="1" si="0">B5*$L$2</f>
        <v>#VALUE!</v>
      </c>
      <c r="P5" s="47">
        <f>IFERROR(VLOOKUP(C5,Machined!C:F,3,0),"")</f>
        <v>0</v>
      </c>
      <c r="Q5" s="48">
        <f t="shared" ref="Q5:Q19" si="1">IFERROR(B5*P5,"")</f>
        <v>0</v>
      </c>
    </row>
    <row r="6" spans="1:17" s="2" customFormat="1" ht="12.75" customHeight="1">
      <c r="A6" s="127">
        <v>2</v>
      </c>
      <c r="B6" s="21">
        <v>1</v>
      </c>
      <c r="C6" s="108" t="s">
        <v>1010</v>
      </c>
      <c r="D6" s="298" t="str">
        <f>VLOOKUP(C6,Machined!C:Q,2,0)</f>
        <v>LIFTER BASE - A SIDE</v>
      </c>
      <c r="E6" s="299"/>
      <c r="F6" s="131" t="str">
        <f>VLOOKUP(C6,Machined!C:R,7,0)</f>
        <v>MIC 6</v>
      </c>
      <c r="G6" s="131" t="str">
        <f>VLOOKUP(C6,Machined!C:R,10,0)</f>
        <v>DETAILED MACH</v>
      </c>
      <c r="H6" s="131" t="str">
        <f>VLOOKUP(C6,Machined!C:R,11,0)</f>
        <v>shipped 9/25/23</v>
      </c>
      <c r="I6" s="131"/>
      <c r="J6" s="42">
        <f>VLOOKUP(C6,Machined!C:R,12,0)</f>
        <v>45156</v>
      </c>
      <c r="K6" s="42">
        <f>VLOOKUP(C6,Machined!C:R,13,0)</f>
        <v>45162</v>
      </c>
      <c r="L6" s="42">
        <f>VLOOKUP(C6,Machined!C:R,14,0)</f>
        <v>45190</v>
      </c>
      <c r="M6" s="42">
        <f>VLOOKUP(C6,Machined!C:R,15,0)</f>
        <v>45190</v>
      </c>
      <c r="N6" s="43">
        <f>VLOOKUP(C6,Machined!C:R,16,0)</f>
        <v>55101</v>
      </c>
      <c r="O6" s="43" t="e">
        <f t="shared" ca="1" si="0"/>
        <v>#VALUE!</v>
      </c>
      <c r="P6" s="47">
        <f>IFERROR(VLOOKUP(C6,Machined!C:F,3,0),"")</f>
        <v>0</v>
      </c>
      <c r="Q6" s="48">
        <f t="shared" si="1"/>
        <v>0</v>
      </c>
    </row>
    <row r="7" spans="1:17" s="2" customFormat="1" ht="12.75" customHeight="1">
      <c r="A7" s="127">
        <v>3</v>
      </c>
      <c r="B7" s="21">
        <v>1</v>
      </c>
      <c r="C7" s="108" t="s">
        <v>976</v>
      </c>
      <c r="D7" s="298" t="str">
        <f>VLOOKUP(C7,Machined!C:Q,2,0)</f>
        <v>SHUTTLE BLOCK MOUNT</v>
      </c>
      <c r="E7" s="299"/>
      <c r="F7" s="131" t="str">
        <f>VLOOKUP(C7,Machined!C:R,7,0)</f>
        <v>6061-T6 Alum</v>
      </c>
      <c r="G7" s="131" t="str">
        <f>VLOOKUP(C7,Machined!C:R,10,0)</f>
        <v>NULINE</v>
      </c>
      <c r="H7" s="131" t="str">
        <f>VLOOKUP(C7,Machined!C:R,11,0)</f>
        <v xml:space="preserve">  </v>
      </c>
      <c r="I7" s="131"/>
      <c r="J7" s="42" t="str">
        <f>VLOOKUP(C7,Machined!C:R,12,0)</f>
        <v>N/A</v>
      </c>
      <c r="K7" s="42" t="str">
        <f>VLOOKUP(C7,Machined!C:R,13,0)</f>
        <v>N/A</v>
      </c>
      <c r="L7" s="42" t="str">
        <f>VLOOKUP(C7,Machined!C:R,14,0)</f>
        <v>N/A</v>
      </c>
      <c r="M7" s="42" t="str">
        <f>VLOOKUP(C7,Machined!C:R,15,0)</f>
        <v>N/A</v>
      </c>
      <c r="N7" s="43" t="str">
        <f>VLOOKUP(C7,Machined!C:R,16,0)</f>
        <v>N/A</v>
      </c>
      <c r="O7" s="43" t="e">
        <f t="shared" ca="1" si="0"/>
        <v>#VALUE!</v>
      </c>
      <c r="P7" s="47">
        <f>IFERROR(VLOOKUP(C7,Machined!C:F,3,0),"")</f>
        <v>0</v>
      </c>
      <c r="Q7" s="48">
        <f t="shared" si="1"/>
        <v>0</v>
      </c>
    </row>
    <row r="8" spans="1:17" s="2" customFormat="1" ht="12.75" customHeight="1">
      <c r="A8" s="127">
        <v>4</v>
      </c>
      <c r="B8" s="21">
        <v>1</v>
      </c>
      <c r="C8" s="108" t="s">
        <v>977</v>
      </c>
      <c r="D8" s="298" t="str">
        <f>VLOOKUP(C8,Machined!C:Q,2,0)</f>
        <v>LIFT ANVIL</v>
      </c>
      <c r="E8" s="299"/>
      <c r="F8" s="131" t="str">
        <f>VLOOKUP(C8,Machined!C:R,7,0)</f>
        <v>6061-T6 Alum</v>
      </c>
      <c r="G8" s="131" t="str">
        <f>VLOOKUP(C8,Machined!C:R,10,0)</f>
        <v>BIG SKY</v>
      </c>
      <c r="H8" s="131" t="str">
        <f>VLOOKUP(C8,Machined!C:R,11,0)</f>
        <v xml:space="preserve">  </v>
      </c>
      <c r="I8" s="131"/>
      <c r="J8" s="42">
        <f>VLOOKUP(C8,Machined!C:R,12,0)</f>
        <v>45161</v>
      </c>
      <c r="K8" s="42">
        <f>VLOOKUP(C8,Machined!C:R,13,0)</f>
        <v>45161</v>
      </c>
      <c r="L8" s="42">
        <f>VLOOKUP(C8,Machined!C:R,14,0)</f>
        <v>45184</v>
      </c>
      <c r="M8" s="42">
        <f>VLOOKUP(C8,Machined!C:R,15,0)</f>
        <v>45184</v>
      </c>
      <c r="N8" s="43">
        <f>VLOOKUP(C8,Machined!C:R,16,0)</f>
        <v>55093</v>
      </c>
      <c r="O8" s="43" t="e">
        <f t="shared" ca="1" si="0"/>
        <v>#VALUE!</v>
      </c>
      <c r="P8" s="47">
        <f>IFERROR(VLOOKUP(C8,Machined!C:F,3,0),"")</f>
        <v>0</v>
      </c>
      <c r="Q8" s="48">
        <f t="shared" si="1"/>
        <v>0</v>
      </c>
    </row>
    <row r="9" spans="1:17" s="2" customFormat="1" ht="12.75" customHeight="1">
      <c r="A9" s="127">
        <v>5</v>
      </c>
      <c r="B9" s="21">
        <v>1</v>
      </c>
      <c r="C9" s="108" t="s">
        <v>978</v>
      </c>
      <c r="D9" s="298" t="str">
        <f>VLOOKUP(C9,Machined!C:Q,2,0)</f>
        <v>SHUTTLE BLOCK</v>
      </c>
      <c r="E9" s="299"/>
      <c r="F9" s="131" t="str">
        <f>VLOOKUP(C9,Machined!C:R,7,0)</f>
        <v>6061-T6 Alum</v>
      </c>
      <c r="G9" s="131" t="str">
        <f>VLOOKUP(C9,Machined!C:R,10,0)</f>
        <v>NULINE</v>
      </c>
      <c r="H9" s="131" t="str">
        <f>VLOOKUP(C9,Machined!C:R,11,0)</f>
        <v xml:space="preserve">  </v>
      </c>
      <c r="I9" s="131"/>
      <c r="J9" s="42" t="str">
        <f>VLOOKUP(C9,Machined!C:R,12,0)</f>
        <v>N/A</v>
      </c>
      <c r="K9" s="42" t="str">
        <f>VLOOKUP(C9,Machined!C:R,13,0)</f>
        <v>N/A</v>
      </c>
      <c r="L9" s="42" t="str">
        <f>VLOOKUP(C9,Machined!C:R,14,0)</f>
        <v>N/A</v>
      </c>
      <c r="M9" s="42" t="str">
        <f>VLOOKUP(C9,Machined!C:R,15,0)</f>
        <v>N/A</v>
      </c>
      <c r="N9" s="43" t="str">
        <f>VLOOKUP(C9,Machined!C:R,16,0)</f>
        <v>N/A</v>
      </c>
      <c r="O9" s="43" t="e">
        <f t="shared" ca="1" si="0"/>
        <v>#VALUE!</v>
      </c>
      <c r="P9" s="47">
        <f>IFERROR(VLOOKUP(C9,Machined!C:F,3,0),"")</f>
        <v>0</v>
      </c>
      <c r="Q9" s="48">
        <f t="shared" si="1"/>
        <v>0</v>
      </c>
    </row>
    <row r="10" spans="1:17" s="2" customFormat="1" ht="12.75" customHeight="1">
      <c r="A10" s="127">
        <v>6</v>
      </c>
      <c r="B10" s="21">
        <v>1</v>
      </c>
      <c r="C10" s="108" t="s">
        <v>979</v>
      </c>
      <c r="D10" s="298" t="str">
        <f>VLOOKUP(C10,Machined!C:Q,2,0)</f>
        <v>SPOUT LIFT RUBBER</v>
      </c>
      <c r="E10" s="299"/>
      <c r="F10" s="131" t="str">
        <f>VLOOKUP(C10,Machined!C:R,7,0)</f>
        <v>Silicone</v>
      </c>
      <c r="G10" s="131" t="str">
        <f>VLOOKUP(C10,Machined!C:R,10,0)</f>
        <v>NULINE</v>
      </c>
      <c r="H10" s="131" t="str">
        <f>VLOOKUP(C10,Machined!C:R,11,0)</f>
        <v xml:space="preserve">  </v>
      </c>
      <c r="I10" s="131"/>
      <c r="J10" s="42" t="str">
        <f>VLOOKUP(C10,Machined!C:R,12,0)</f>
        <v>N/A</v>
      </c>
      <c r="K10" s="42" t="str">
        <f>VLOOKUP(C10,Machined!C:R,13,0)</f>
        <v>N/A</v>
      </c>
      <c r="L10" s="42" t="str">
        <f>VLOOKUP(C10,Machined!C:R,14,0)</f>
        <v>N/A</v>
      </c>
      <c r="M10" s="42" t="str">
        <f>VLOOKUP(C10,Machined!C:R,15,0)</f>
        <v>N/A</v>
      </c>
      <c r="N10" s="43" t="str">
        <f>VLOOKUP(C10,Machined!C:R,16,0)</f>
        <v>N/A</v>
      </c>
      <c r="O10" s="43" t="e">
        <f t="shared" ca="1" si="0"/>
        <v>#VALUE!</v>
      </c>
      <c r="P10" s="47">
        <f>IFERROR(VLOOKUP(C10,Machined!C:F,3,0),"")</f>
        <v>0</v>
      </c>
      <c r="Q10" s="48">
        <f t="shared" si="1"/>
        <v>0</v>
      </c>
    </row>
    <row r="11" spans="1:17" s="2" customFormat="1" ht="12.75" customHeight="1">
      <c r="A11" s="127">
        <v>7</v>
      </c>
      <c r="B11" s="21">
        <v>1</v>
      </c>
      <c r="C11" s="108" t="s">
        <v>980</v>
      </c>
      <c r="D11" s="298" t="str">
        <f>VLOOKUP(C11,Machined!C:Q,2,0)</f>
        <v>SHUTTLE MOUNT PLATE</v>
      </c>
      <c r="E11" s="299"/>
      <c r="F11" s="131" t="str">
        <f>VLOOKUP(C11,Machined!C:R,7,0)</f>
        <v>MIC 6</v>
      </c>
      <c r="G11" s="131" t="str">
        <f>VLOOKUP(C11,Machined!C:R,10,0)</f>
        <v>NULINE</v>
      </c>
      <c r="H11" s="131" t="str">
        <f>VLOOKUP(C11,Machined!C:R,11,0)</f>
        <v xml:space="preserve">  </v>
      </c>
      <c r="I11" s="131"/>
      <c r="J11" s="42" t="str">
        <f>VLOOKUP(C11,Machined!C:R,12,0)</f>
        <v>N/A</v>
      </c>
      <c r="K11" s="42" t="str">
        <f>VLOOKUP(C11,Machined!C:R,13,0)</f>
        <v>N/A</v>
      </c>
      <c r="L11" s="42" t="str">
        <f>VLOOKUP(C11,Machined!C:R,14,0)</f>
        <v>N/A</v>
      </c>
      <c r="M11" s="42" t="str">
        <f>VLOOKUP(C11,Machined!C:R,15,0)</f>
        <v>N/A</v>
      </c>
      <c r="N11" s="43" t="str">
        <f>VLOOKUP(C11,Machined!C:R,16,0)</f>
        <v>N/A</v>
      </c>
      <c r="O11" s="43" t="e">
        <f t="shared" ca="1" si="0"/>
        <v>#VALUE!</v>
      </c>
      <c r="P11" s="47">
        <f>IFERROR(VLOOKUP(C11,Machined!C:F,3,0),"")</f>
        <v>0</v>
      </c>
      <c r="Q11" s="48">
        <f t="shared" si="1"/>
        <v>0</v>
      </c>
    </row>
    <row r="12" spans="1:17" s="2" customFormat="1" ht="12.75" customHeight="1">
      <c r="A12" s="127">
        <v>8</v>
      </c>
      <c r="B12" s="21">
        <v>1</v>
      </c>
      <c r="C12" s="108" t="s">
        <v>1011</v>
      </c>
      <c r="D12" s="298" t="str">
        <f>VLOOKUP(C12,Machined!C:Q,2,0)</f>
        <v>SHUTTLE WEB GUARD - A 
SIDE</v>
      </c>
      <c r="E12" s="299"/>
      <c r="F12" s="131" t="str">
        <f>VLOOKUP(C12,Machined!C:R,7,0)</f>
        <v>AISI 304, 1/16 in</v>
      </c>
      <c r="G12" s="131" t="str">
        <f>VLOOKUP(C12,Machined!C:R,10,0)</f>
        <v>WESCO BHT</v>
      </c>
      <c r="H12" s="131" t="str">
        <f>VLOOKUP(C12,Machined!C:R,11,0)</f>
        <v xml:space="preserve">  </v>
      </c>
      <c r="I12" s="131"/>
      <c r="J12" s="42">
        <f>VLOOKUP(C12,Machined!C:R,12,0)</f>
        <v>45159</v>
      </c>
      <c r="K12" s="42">
        <f>VLOOKUP(C12,Machined!C:R,13,0)</f>
        <v>45161</v>
      </c>
      <c r="L12" s="42">
        <f>VLOOKUP(C12,Machined!C:R,14,0)</f>
        <v>45191</v>
      </c>
      <c r="M12" s="42">
        <f>VLOOKUP(C12,Machined!C:R,15,0)</f>
        <v>45191</v>
      </c>
      <c r="N12" s="43">
        <f>VLOOKUP(C12,Machined!C:R,16,0)</f>
        <v>55092</v>
      </c>
      <c r="O12" s="43" t="e">
        <f t="shared" ca="1" si="0"/>
        <v>#VALUE!</v>
      </c>
      <c r="P12" s="47">
        <f>IFERROR(VLOOKUP(C12,Machined!C:F,3,0),"")</f>
        <v>188.7</v>
      </c>
      <c r="Q12" s="48">
        <f t="shared" si="1"/>
        <v>188.7</v>
      </c>
    </row>
    <row r="13" spans="1:17" s="2" customFormat="1" ht="12.75" customHeight="1">
      <c r="A13" s="127">
        <v>9</v>
      </c>
      <c r="B13" s="21">
        <v>1</v>
      </c>
      <c r="C13" s="108" t="s">
        <v>982</v>
      </c>
      <c r="D13" s="298" t="str">
        <f>VLOOKUP(C13,Machined!C:Q,2,0)</f>
        <v>SPOUT ESCAPEMENT FINGER 
1</v>
      </c>
      <c r="E13" s="299"/>
      <c r="F13" s="131" t="str">
        <f>VLOOKUP(C13,Machined!C:R,7,0)</f>
        <v>AISI 304, 11 Gauge</v>
      </c>
      <c r="G13" s="131" t="str">
        <f>VLOOKUP(C13,Machined!C:R,10,0)</f>
        <v>WESCO BHT</v>
      </c>
      <c r="H13" s="131" t="str">
        <f>VLOOKUP(C13,Machined!C:R,11,0)</f>
        <v xml:space="preserve">  </v>
      </c>
      <c r="I13" s="131"/>
      <c r="J13" s="42">
        <f>VLOOKUP(C13,Machined!C:R,12,0)</f>
        <v>45159</v>
      </c>
      <c r="K13" s="42">
        <f>VLOOKUP(C13,Machined!C:R,13,0)</f>
        <v>45161</v>
      </c>
      <c r="L13" s="42">
        <f>VLOOKUP(C13,Machined!C:R,14,0)</f>
        <v>45191</v>
      </c>
      <c r="M13" s="42">
        <f>VLOOKUP(C13,Machined!C:R,15,0)</f>
        <v>45191</v>
      </c>
      <c r="N13" s="43">
        <f>VLOOKUP(C13,Machined!C:R,16,0)</f>
        <v>55092</v>
      </c>
      <c r="O13" s="43" t="e">
        <f t="shared" ca="1" si="0"/>
        <v>#VALUE!</v>
      </c>
      <c r="P13" s="47">
        <f>IFERROR(VLOOKUP(C13,Machined!C:F,3,0),"")</f>
        <v>60.91</v>
      </c>
      <c r="Q13" s="48">
        <f t="shared" si="1"/>
        <v>60.91</v>
      </c>
    </row>
    <row r="14" spans="1:17" s="2" customFormat="1" ht="12.75" customHeight="1">
      <c r="A14" s="127">
        <v>10</v>
      </c>
      <c r="B14" s="21">
        <v>1</v>
      </c>
      <c r="C14" s="108" t="s">
        <v>1012</v>
      </c>
      <c r="D14" s="298" t="str">
        <f>VLOOKUP(C14,Machined!C:Q,2,0)</f>
        <v>SPOUT A SIDE ESCAPEMENT 
FINGER 2</v>
      </c>
      <c r="E14" s="299"/>
      <c r="F14" s="131" t="str">
        <f>VLOOKUP(C14,Machined!C:R,7,0)</f>
        <v>AISI 304, 11 Gauge</v>
      </c>
      <c r="G14" s="131" t="str">
        <f>VLOOKUP(C14,Machined!C:R,10,0)</f>
        <v>WESCO BHT</v>
      </c>
      <c r="H14" s="131" t="str">
        <f>VLOOKUP(C14,Machined!C:R,11,0)</f>
        <v xml:space="preserve">  </v>
      </c>
      <c r="I14" s="131"/>
      <c r="J14" s="42">
        <f>VLOOKUP(C14,Machined!C:R,12,0)</f>
        <v>45159</v>
      </c>
      <c r="K14" s="42">
        <f>VLOOKUP(C14,Machined!C:R,13,0)</f>
        <v>45161</v>
      </c>
      <c r="L14" s="42">
        <f>VLOOKUP(C14,Machined!C:R,14,0)</f>
        <v>45191</v>
      </c>
      <c r="M14" s="42">
        <f>VLOOKUP(C14,Machined!C:R,15,0)</f>
        <v>45191</v>
      </c>
      <c r="N14" s="43">
        <f>VLOOKUP(C14,Machined!C:R,16,0)</f>
        <v>55092</v>
      </c>
      <c r="O14" s="43" t="e">
        <f t="shared" ca="1" si="0"/>
        <v>#VALUE!</v>
      </c>
      <c r="P14" s="47">
        <f>IFERROR(VLOOKUP(C14,Machined!C:F,3,0),"")</f>
        <v>118.77</v>
      </c>
      <c r="Q14" s="48">
        <f t="shared" si="1"/>
        <v>118.77</v>
      </c>
    </row>
    <row r="15" spans="1:17" s="2" customFormat="1" ht="12.75" customHeight="1">
      <c r="A15" s="127">
        <f t="shared" ref="A15:A19" si="2">A14+1</f>
        <v>11</v>
      </c>
      <c r="B15" s="21">
        <v>1</v>
      </c>
      <c r="C15" s="108" t="s">
        <v>1013</v>
      </c>
      <c r="D15" s="298" t="str">
        <f>VLOOKUP(C15,Machined!C:Q,2,0)</f>
        <v>ESCAPEMENT ADJUSTMENT 
PLATE - A SIDE</v>
      </c>
      <c r="E15" s="299"/>
      <c r="F15" s="131" t="str">
        <f>VLOOKUP(C15,Machined!C:R,7,0)</f>
        <v>6061-T6 Alum</v>
      </c>
      <c r="G15" s="131" t="str">
        <f>VLOOKUP(C15,Machined!C:R,10,0)</f>
        <v>NULINE</v>
      </c>
      <c r="H15" s="131" t="str">
        <f>VLOOKUP(C15,Machined!C:R,11,0)</f>
        <v xml:space="preserve">  </v>
      </c>
      <c r="I15" s="131"/>
      <c r="J15" s="42" t="str">
        <f>VLOOKUP(C15,Machined!C:R,12,0)</f>
        <v>N/A</v>
      </c>
      <c r="K15" s="42" t="str">
        <f>VLOOKUP(C15,Machined!C:R,13,0)</f>
        <v>N/A</v>
      </c>
      <c r="L15" s="42" t="str">
        <f>VLOOKUP(C15,Machined!C:R,14,0)</f>
        <v>N/A</v>
      </c>
      <c r="M15" s="42" t="str">
        <f>VLOOKUP(C15,Machined!C:R,15,0)</f>
        <v>N/A</v>
      </c>
      <c r="N15" s="43" t="str">
        <f>VLOOKUP(C15,Machined!C:R,16,0)</f>
        <v>N/A</v>
      </c>
      <c r="O15" s="43" t="e">
        <f t="shared" ca="1" si="0"/>
        <v>#VALUE!</v>
      </c>
      <c r="P15" s="47">
        <f>IFERROR(VLOOKUP(C15,Machined!C:F,3,0),"")</f>
        <v>0</v>
      </c>
      <c r="Q15" s="48">
        <f t="shared" si="1"/>
        <v>0</v>
      </c>
    </row>
    <row r="16" spans="1:17" s="2" customFormat="1" ht="12.75" customHeight="1">
      <c r="A16" s="127">
        <f t="shared" si="2"/>
        <v>12</v>
      </c>
      <c r="B16" s="21">
        <v>1</v>
      </c>
      <c r="C16" s="108" t="s">
        <v>985</v>
      </c>
      <c r="D16" s="298" t="str">
        <f>VLOOKUP(C16,Machined!C:Q,2,0)</f>
        <v>GUIDE BRACKET</v>
      </c>
      <c r="E16" s="299"/>
      <c r="F16" s="131" t="str">
        <f>VLOOKUP(C16,Machined!C:R,7,0)</f>
        <v>6061-T6 Alum</v>
      </c>
      <c r="G16" s="131" t="str">
        <f>VLOOKUP(C16,Machined!C:R,10,0)</f>
        <v>NULINE</v>
      </c>
      <c r="H16" s="131" t="str">
        <f>VLOOKUP(C16,Machined!C:R,11,0)</f>
        <v xml:space="preserve">  </v>
      </c>
      <c r="I16" s="131"/>
      <c r="J16" s="42" t="str">
        <f>VLOOKUP(C16,Machined!C:R,12,0)</f>
        <v>N/A</v>
      </c>
      <c r="K16" s="42" t="str">
        <f>VLOOKUP(C16,Machined!C:R,13,0)</f>
        <v>N/A</v>
      </c>
      <c r="L16" s="42" t="str">
        <f>VLOOKUP(C16,Machined!C:R,14,0)</f>
        <v>N/A</v>
      </c>
      <c r="M16" s="42" t="str">
        <f>VLOOKUP(C16,Machined!C:R,15,0)</f>
        <v>N/A</v>
      </c>
      <c r="N16" s="43" t="str">
        <f>VLOOKUP(C16,Machined!C:R,16,0)</f>
        <v>N/A</v>
      </c>
      <c r="O16" s="43" t="e">
        <f t="shared" ca="1" si="0"/>
        <v>#VALUE!</v>
      </c>
      <c r="P16" s="47">
        <f>IFERROR(VLOOKUP(C16,Machined!C:F,3,0),"")</f>
        <v>0</v>
      </c>
      <c r="Q16" s="48">
        <f t="shared" si="1"/>
        <v>0</v>
      </c>
    </row>
    <row r="17" spans="1:17" s="2" customFormat="1" ht="12.75" customHeight="1">
      <c r="A17" s="127">
        <f t="shared" si="2"/>
        <v>13</v>
      </c>
      <c r="B17" s="21">
        <v>1</v>
      </c>
      <c r="C17" s="108" t="s">
        <v>1014</v>
      </c>
      <c r="D17" s="298" t="str">
        <f>VLOOKUP(C17,Machined!C:Q,2,0)</f>
        <v>GRIPPER RAIL - A SIDE</v>
      </c>
      <c r="E17" s="299"/>
      <c r="F17" s="131" t="str">
        <f>VLOOKUP(C17,Machined!C:R,7,0)</f>
        <v>AISI 304, 1/16 in</v>
      </c>
      <c r="G17" s="131" t="str">
        <f>VLOOKUP(C17,Machined!C:R,10,0)</f>
        <v>WESCO BHT</v>
      </c>
      <c r="H17" s="131" t="str">
        <f>VLOOKUP(C17,Machined!C:R,11,0)</f>
        <v xml:space="preserve">  </v>
      </c>
      <c r="I17" s="131"/>
      <c r="J17" s="42">
        <f>VLOOKUP(C17,Machined!C:R,12,0)</f>
        <v>45159</v>
      </c>
      <c r="K17" s="42">
        <f>VLOOKUP(C17,Machined!C:R,13,0)</f>
        <v>45161</v>
      </c>
      <c r="L17" s="42">
        <f>VLOOKUP(C17,Machined!C:R,14,0)</f>
        <v>45191</v>
      </c>
      <c r="M17" s="42">
        <f>VLOOKUP(C17,Machined!C:R,15,0)</f>
        <v>45191</v>
      </c>
      <c r="N17" s="43">
        <f>VLOOKUP(C17,Machined!C:R,16,0)</f>
        <v>55092</v>
      </c>
      <c r="O17" s="43" t="e">
        <f t="shared" ca="1" si="0"/>
        <v>#VALUE!</v>
      </c>
      <c r="P17" s="47">
        <f>IFERROR(VLOOKUP(C17,Machined!C:F,3,0),"")</f>
        <v>122.27</v>
      </c>
      <c r="Q17" s="48">
        <f t="shared" si="1"/>
        <v>122.27</v>
      </c>
    </row>
    <row r="18" spans="1:17" s="2" customFormat="1" ht="12.75" customHeight="1">
      <c r="A18" s="127">
        <f t="shared" si="2"/>
        <v>14</v>
      </c>
      <c r="B18" s="21">
        <v>2</v>
      </c>
      <c r="C18" s="108" t="s">
        <v>931</v>
      </c>
      <c r="D18" s="298" t="str">
        <f>VLOOKUP(C18,Machined!C:Q,2,0)</f>
        <v>SPOUT LEAD NUT BLOCK</v>
      </c>
      <c r="E18" s="299"/>
      <c r="F18" s="131" t="str">
        <f>VLOOKUP(C18,Machined!C:R,7,0)</f>
        <v>6061-T6 Alum</v>
      </c>
      <c r="G18" s="131" t="str">
        <f>VLOOKUP(C18,Machined!C:R,10,0)</f>
        <v>XOMETRY</v>
      </c>
      <c r="H18" s="131" t="str">
        <f>VLOOKUP(C18,Machined!C:R,11,0)</f>
        <v xml:space="preserve">  </v>
      </c>
      <c r="I18" s="131"/>
      <c r="J18" s="42">
        <f>VLOOKUP(C18,Machined!C:R,12,0)</f>
        <v>45161</v>
      </c>
      <c r="K18" s="42">
        <f>VLOOKUP(C18,Machined!C:R,13,0)</f>
        <v>45161</v>
      </c>
      <c r="L18" s="42">
        <f>VLOOKUP(C18,Machined!C:R,14,0)</f>
        <v>45181</v>
      </c>
      <c r="M18" s="42">
        <f>VLOOKUP(C18,Machined!C:R,15,0)</f>
        <v>45181</v>
      </c>
      <c r="N18" s="43">
        <f>VLOOKUP(C18,Machined!C:R,16,0)</f>
        <v>55095</v>
      </c>
      <c r="O18" s="43" t="e">
        <f t="shared" ca="1" si="0"/>
        <v>#VALUE!</v>
      </c>
      <c r="P18" s="47">
        <f>IFERROR(VLOOKUP(C18,Machined!C:F,3,0),"")</f>
        <v>57.74</v>
      </c>
      <c r="Q18" s="48">
        <f t="shared" si="1"/>
        <v>115.48</v>
      </c>
    </row>
    <row r="19" spans="1:17" s="2" customFormat="1" ht="12.75" customHeight="1">
      <c r="A19" s="127">
        <f t="shared" si="2"/>
        <v>15</v>
      </c>
      <c r="B19" s="21">
        <v>1</v>
      </c>
      <c r="C19" s="108" t="s">
        <v>932</v>
      </c>
      <c r="D19" s="298" t="str">
        <f>VLOOKUP(C19,Machined!C:Q,2,0)</f>
        <v>MODIFIED IGUS JFRM-282835TR12X3 TRAP LEAD NUT</v>
      </c>
      <c r="E19" s="299"/>
      <c r="F19" s="131" t="str">
        <f>VLOOKUP(C19,Machined!C:R,7,0)</f>
        <v>PURCHASED</v>
      </c>
      <c r="G19" s="131" t="str">
        <f>VLOOKUP(C19,Machined!C:R,10,0)</f>
        <v>IGUS, NULINE</v>
      </c>
      <c r="H19" s="131" t="str">
        <f>VLOOKUP(C19,Machined!C:R,11,0)</f>
        <v xml:space="preserve">  </v>
      </c>
      <c r="I19" s="131"/>
      <c r="J19" s="42">
        <f>VLOOKUP(C19,Machined!C:R,12,0)</f>
        <v>45160</v>
      </c>
      <c r="K19" s="42">
        <f>VLOOKUP(C19,Machined!C:R,13,0)</f>
        <v>45160</v>
      </c>
      <c r="L19" s="42">
        <f>VLOOKUP(C19,Machined!C:R,14,0)</f>
        <v>45166</v>
      </c>
      <c r="M19" s="42">
        <f>VLOOKUP(C19,Machined!C:R,15,0)</f>
        <v>45166</v>
      </c>
      <c r="N19" s="43">
        <f>VLOOKUP(C19,Machined!C:R,16,0)</f>
        <v>55085</v>
      </c>
      <c r="O19" s="43" t="e">
        <f t="shared" ca="1" si="0"/>
        <v>#VALUE!</v>
      </c>
      <c r="P19" s="47">
        <f>IFERROR(VLOOKUP(C19,Machined!C:F,3,0),"")</f>
        <v>23.47</v>
      </c>
      <c r="Q19" s="48">
        <f t="shared" si="1"/>
        <v>23.47</v>
      </c>
    </row>
    <row r="20" spans="1:17" s="2" customFormat="1" ht="12.75" customHeight="1">
      <c r="A20" s="143"/>
      <c r="B20" s="26"/>
      <c r="C20" s="26"/>
      <c r="D20" s="272"/>
      <c r="E20" s="273"/>
      <c r="F20" s="26"/>
      <c r="G20" s="26"/>
      <c r="H20" s="274"/>
      <c r="I20" s="275"/>
      <c r="J20" s="27"/>
      <c r="K20" s="27"/>
      <c r="L20" s="27"/>
      <c r="M20" s="28"/>
      <c r="N20" s="29"/>
      <c r="O20" s="29"/>
      <c r="P20" s="141"/>
      <c r="Q20" s="142"/>
    </row>
    <row r="21" spans="1:17" s="2" customFormat="1" ht="12.75" customHeight="1">
      <c r="A21" s="4">
        <v>301</v>
      </c>
      <c r="B21" s="2">
        <v>4</v>
      </c>
      <c r="C21" s="114" t="s">
        <v>934</v>
      </c>
      <c r="D21" s="268" t="str">
        <f>VLOOKUP(C21,Purchased!A:B,2,0)</f>
        <v>BRL 15mm runner block, flanged</v>
      </c>
      <c r="E21" s="269"/>
      <c r="F21" s="112" t="str">
        <f>VLOOKUP(C21,Purchased!A:Q,9,0)</f>
        <v>BRL</v>
      </c>
      <c r="G21" s="112" t="str">
        <f>VLOOKUP(C21,Purchased!A:Q,10,0)</f>
        <v>AAP</v>
      </c>
      <c r="H21" s="112" t="str">
        <f>VLOOKUP(C21,Purchased!A:Q,12,0)</f>
        <v xml:space="preserve"> </v>
      </c>
      <c r="I21" s="113"/>
      <c r="J21" s="44">
        <f>VLOOKUP(C21,Purchased!A:Q,13,0)</f>
        <v>45093</v>
      </c>
      <c r="K21" s="44">
        <f>VLOOKUP(C21,Purchased!A:Q,14,0)</f>
        <v>45093</v>
      </c>
      <c r="L21" s="44">
        <f>VLOOKUP(C21,Purchased!A:Q,15,0)</f>
        <v>45184</v>
      </c>
      <c r="M21" s="44">
        <f>VLOOKUP(C21,Purchased!A:Q,16,0)</f>
        <v>45184</v>
      </c>
      <c r="N21" s="45">
        <f>VLOOKUP(C21,Purchased!A:Q,17,0)</f>
        <v>54942</v>
      </c>
      <c r="O21" s="45" t="e">
        <f t="shared" ref="O21:O59" ca="1" si="3">B21*$L$2</f>
        <v>#VALUE!</v>
      </c>
      <c r="P21" s="49">
        <f>IFERROR(VLOOKUP(C21,Purchased!A:E,3,FALSE),"")</f>
        <v>147.4357</v>
      </c>
      <c r="Q21" s="50">
        <f t="shared" ref="Q21:Q49" si="4">IFERROR(B21*P21,"")</f>
        <v>589.74279999999999</v>
      </c>
    </row>
    <row r="22" spans="1:17" s="2" customFormat="1" ht="12" customHeight="1">
      <c r="A22" s="4">
        <f t="shared" ref="A22:A49" si="5">A21+1</f>
        <v>302</v>
      </c>
      <c r="B22" s="2">
        <v>1</v>
      </c>
      <c r="C22" s="114" t="s">
        <v>935</v>
      </c>
      <c r="D22" s="268" t="str">
        <f>VLOOKUP(C22,Purchased!A:B,2,0)</f>
        <v>SMC Compact Cylinder, CQ2-Z</v>
      </c>
      <c r="E22" s="269"/>
      <c r="F22" s="112" t="str">
        <f>VLOOKUP(C22,Purchased!A:Q,9,0)</f>
        <v>SMC</v>
      </c>
      <c r="G22" s="112" t="str">
        <f>VLOOKUP(C22,Purchased!A:Q,10,0)</f>
        <v>AAP</v>
      </c>
      <c r="H22" s="112" t="str">
        <f>VLOOKUP(C22,Purchased!A:Q,12,0)</f>
        <v xml:space="preserve"> </v>
      </c>
      <c r="I22" s="113"/>
      <c r="J22" s="44" t="str">
        <f>VLOOKUP(C22,Purchased!A:Q,13,0)</f>
        <v>N/A</v>
      </c>
      <c r="K22" s="44">
        <f>VLOOKUP(C22,Purchased!A:Q,14,0)</f>
        <v>45042</v>
      </c>
      <c r="L22" s="44">
        <f>VLOOKUP(C22,Purchased!A:Q,15,0)</f>
        <v>45098</v>
      </c>
      <c r="M22" s="44">
        <f>VLOOKUP(C22,Purchased!A:Q,16,0)</f>
        <v>45137</v>
      </c>
      <c r="N22" s="45">
        <f>VLOOKUP(C22,Purchased!A:Q,17,0)</f>
        <v>54862</v>
      </c>
      <c r="O22" s="45" t="e">
        <f t="shared" ca="1" si="3"/>
        <v>#VALUE!</v>
      </c>
      <c r="P22" s="49">
        <f>IFERROR(VLOOKUP(C22,Purchased!A:E,3,FALSE),"")</f>
        <v>91.715000000000003</v>
      </c>
      <c r="Q22" s="50">
        <f t="shared" si="4"/>
        <v>91.715000000000003</v>
      </c>
    </row>
    <row r="23" spans="1:17" s="2" customFormat="1" ht="12" customHeight="1">
      <c r="A23" s="4">
        <f t="shared" si="5"/>
        <v>303</v>
      </c>
      <c r="B23" s="2">
        <v>1</v>
      </c>
      <c r="C23" s="114" t="s">
        <v>987</v>
      </c>
      <c r="D23" s="268" t="str">
        <f>VLOOKUP(C23,Purchased!A:B,2,0)</f>
        <v>SMC Cylinder, Rodless, Mechanically Join</v>
      </c>
      <c r="E23" s="269"/>
      <c r="F23" s="112" t="str">
        <f>VLOOKUP(C23,Purchased!A:Q,9,0)</f>
        <v>SMC</v>
      </c>
      <c r="G23" s="112" t="str">
        <f>VLOOKUP(C23,Purchased!A:Q,10,0)</f>
        <v>AAP</v>
      </c>
      <c r="H23" s="112" t="str">
        <f>VLOOKUP(C23,Purchased!A:Q,12,0)</f>
        <v xml:space="preserve"> </v>
      </c>
      <c r="I23" s="113"/>
      <c r="J23" s="44" t="str">
        <f>VLOOKUP(C23,Purchased!A:Q,13,0)</f>
        <v>N/A</v>
      </c>
      <c r="K23" s="44">
        <f>VLOOKUP(C23,Purchased!A:Q,14,0)</f>
        <v>45042</v>
      </c>
      <c r="L23" s="44">
        <f>VLOOKUP(C23,Purchased!A:Q,15,0)</f>
        <v>45098</v>
      </c>
      <c r="M23" s="44">
        <f>VLOOKUP(C23,Purchased!A:Q,16,0)</f>
        <v>45142</v>
      </c>
      <c r="N23" s="45">
        <f>VLOOKUP(C23,Purchased!A:Q,17,0)</f>
        <v>54862</v>
      </c>
      <c r="O23" s="45" t="e">
        <f t="shared" ca="1" si="3"/>
        <v>#VALUE!</v>
      </c>
      <c r="P23" s="49">
        <f>IFERROR(VLOOKUP(C23,Purchased!A:E,3,FALSE),"")</f>
        <v>428.93020000000001</v>
      </c>
      <c r="Q23" s="50">
        <f t="shared" si="4"/>
        <v>428.93020000000001</v>
      </c>
    </row>
    <row r="24" spans="1:17" s="2" customFormat="1" ht="12" customHeight="1">
      <c r="A24" s="4">
        <f t="shared" si="5"/>
        <v>304</v>
      </c>
      <c r="B24" s="2">
        <v>1</v>
      </c>
      <c r="C24" s="114" t="s">
        <v>988</v>
      </c>
      <c r="D24" s="268" t="str">
        <f>VLOOKUP(C24,Purchased!A:B,2,0)</f>
        <v>SMC ESCAPEMENT, DBL FINGER</v>
      </c>
      <c r="E24" s="269"/>
      <c r="F24" s="112" t="str">
        <f>VLOOKUP(C24,Purchased!A:Q,9,0)</f>
        <v>SMC</v>
      </c>
      <c r="G24" s="112" t="str">
        <f>VLOOKUP(C24,Purchased!A:Q,10,0)</f>
        <v>AAP</v>
      </c>
      <c r="H24" s="112" t="str">
        <f>VLOOKUP(C24,Purchased!A:Q,12,0)</f>
        <v xml:space="preserve"> </v>
      </c>
      <c r="I24" s="113"/>
      <c r="J24" s="44" t="str">
        <f>VLOOKUP(C24,Purchased!A:Q,13,0)</f>
        <v>N/A</v>
      </c>
      <c r="K24" s="44">
        <f>VLOOKUP(C24,Purchased!A:Q,14,0)</f>
        <v>45042</v>
      </c>
      <c r="L24" s="44">
        <f>VLOOKUP(C24,Purchased!A:Q,15,0)</f>
        <v>45098</v>
      </c>
      <c r="M24" s="44">
        <f>VLOOKUP(C24,Purchased!A:Q,16,0)</f>
        <v>45141</v>
      </c>
      <c r="N24" s="45">
        <f>VLOOKUP(C24,Purchased!A:Q,17,0)</f>
        <v>54862</v>
      </c>
      <c r="O24" s="45" t="e">
        <f t="shared" ca="1" si="3"/>
        <v>#VALUE!</v>
      </c>
      <c r="P24" s="49">
        <f>IFERROR(VLOOKUP(C24,Purchased!A:E,3,FALSE),"")</f>
        <v>353.10969999999998</v>
      </c>
      <c r="Q24" s="50">
        <f t="shared" si="4"/>
        <v>353.10969999999998</v>
      </c>
    </row>
    <row r="25" spans="1:17" s="2" customFormat="1" ht="12" customHeight="1">
      <c r="A25" s="4">
        <f t="shared" si="5"/>
        <v>305</v>
      </c>
      <c r="B25" s="2">
        <v>6</v>
      </c>
      <c r="C25" s="114" t="s">
        <v>476</v>
      </c>
      <c r="D25" s="268" t="str">
        <f>VLOOKUP(C25,Purchased!A:B,2,0)</f>
        <v>SMC Inline Solid PNP Direct</v>
      </c>
      <c r="E25" s="269"/>
      <c r="F25" s="112" t="str">
        <f>VLOOKUP(C25,Purchased!A:Q,9,0)</f>
        <v>SMC</v>
      </c>
      <c r="G25" s="112" t="str">
        <f>VLOOKUP(C25,Purchased!A:Q,10,0)</f>
        <v>AAP</v>
      </c>
      <c r="H25" s="112" t="str">
        <f>VLOOKUP(C25,Purchased!A:Q,12,0)</f>
        <v xml:space="preserve"> </v>
      </c>
      <c r="I25" s="113"/>
      <c r="J25" s="44" t="str">
        <f>VLOOKUP(C25,Purchased!A:Q,13,0)</f>
        <v>N/A</v>
      </c>
      <c r="K25" s="44">
        <f>VLOOKUP(C25,Purchased!A:Q,14,0)</f>
        <v>45162</v>
      </c>
      <c r="L25" s="44">
        <f>VLOOKUP(C25,Purchased!A:Q,15,0)</f>
        <v>45184</v>
      </c>
      <c r="M25" s="44">
        <f>VLOOKUP(C25,Purchased!A:Q,16,0)</f>
        <v>45180</v>
      </c>
      <c r="N25" s="45">
        <f>VLOOKUP(C25,Purchased!A:Q,17,0)</f>
        <v>55037</v>
      </c>
      <c r="O25" s="45" t="e">
        <f t="shared" ca="1" si="3"/>
        <v>#VALUE!</v>
      </c>
      <c r="P25" s="49">
        <f>IFERROR(VLOOKUP(C25,Purchased!A:E,3,FALSE),"")</f>
        <v>37.226700000000001</v>
      </c>
      <c r="Q25" s="50">
        <f t="shared" si="4"/>
        <v>223.36020000000002</v>
      </c>
    </row>
    <row r="26" spans="1:17" s="2" customFormat="1" ht="12" customHeight="1">
      <c r="A26" s="4">
        <f t="shared" si="5"/>
        <v>306</v>
      </c>
      <c r="B26" s="2">
        <v>2</v>
      </c>
      <c r="C26" s="114" t="s">
        <v>820</v>
      </c>
      <c r="D26" s="268" t="str">
        <f>VLOOKUP(C26,Purchased!A:B,2,0)</f>
        <v>SMC SPEED CONTROLLER</v>
      </c>
      <c r="E26" s="269"/>
      <c r="F26" s="112" t="str">
        <f>VLOOKUP(C26,Purchased!A:Q,9,0)</f>
        <v>SMC</v>
      </c>
      <c r="G26" s="112" t="str">
        <f>VLOOKUP(C26,Purchased!A:Q,10,0)</f>
        <v>AAP</v>
      </c>
      <c r="H26" s="112" t="str">
        <f>VLOOKUP(C26,Purchased!A:Q,12,0)</f>
        <v xml:space="preserve"> </v>
      </c>
      <c r="I26" s="113"/>
      <c r="J26" s="44" t="str">
        <f>VLOOKUP(C26,Purchased!A:Q,13,0)</f>
        <v>N/A</v>
      </c>
      <c r="K26" s="44">
        <f>VLOOKUP(C26,Purchased!A:Q,14,0)</f>
        <v>45162</v>
      </c>
      <c r="L26" s="44">
        <f>VLOOKUP(C26,Purchased!A:Q,15,0)</f>
        <v>45184</v>
      </c>
      <c r="M26" s="44">
        <f>VLOOKUP(C26,Purchased!A:Q,16,0)</f>
        <v>45180</v>
      </c>
      <c r="N26" s="45">
        <f>VLOOKUP(C26,Purchased!A:Q,17,0)</f>
        <v>55037</v>
      </c>
      <c r="O26" s="45" t="e">
        <f t="shared" ca="1" si="3"/>
        <v>#VALUE!</v>
      </c>
      <c r="P26" s="49">
        <f>IFERROR(VLOOKUP(C26,Purchased!A:E,3,FALSE),"")</f>
        <v>20.3764</v>
      </c>
      <c r="Q26" s="50">
        <f t="shared" si="4"/>
        <v>40.752800000000001</v>
      </c>
    </row>
    <row r="27" spans="1:17" s="2" customFormat="1" ht="12" customHeight="1">
      <c r="A27" s="4">
        <f t="shared" si="5"/>
        <v>307</v>
      </c>
      <c r="B27" s="2">
        <v>2</v>
      </c>
      <c r="C27" s="114" t="s">
        <v>821</v>
      </c>
      <c r="D27" s="268" t="str">
        <f>VLOOKUP(C27,Purchased!A:B,2,0)</f>
        <v>SMC Flange Fitting For Speed Controller</v>
      </c>
      <c r="E27" s="269"/>
      <c r="F27" s="112" t="str">
        <f>VLOOKUP(C27,Purchased!A:Q,9,0)</f>
        <v>SMC</v>
      </c>
      <c r="G27" s="112" t="str">
        <f>VLOOKUP(C27,Purchased!A:Q,10,0)</f>
        <v>AAP</v>
      </c>
      <c r="H27" s="112" t="str">
        <f>VLOOKUP(C27,Purchased!A:Q,12,0)</f>
        <v xml:space="preserve"> </v>
      </c>
      <c r="I27" s="113"/>
      <c r="J27" s="44" t="str">
        <f>VLOOKUP(C27,Purchased!A:Q,13,0)</f>
        <v>N/A</v>
      </c>
      <c r="K27" s="44">
        <f>VLOOKUP(C27,Purchased!A:Q,14,0)</f>
        <v>45162</v>
      </c>
      <c r="L27" s="44">
        <f>VLOOKUP(C27,Purchased!A:Q,15,0)</f>
        <v>45184</v>
      </c>
      <c r="M27" s="44">
        <f>VLOOKUP(C27,Purchased!A:Q,16,0)</f>
        <v>45197</v>
      </c>
      <c r="N27" s="45">
        <f>VLOOKUP(C27,Purchased!A:Q,17,0)</f>
        <v>55073</v>
      </c>
      <c r="O27" s="45" t="e">
        <f t="shared" ca="1" si="3"/>
        <v>#VALUE!</v>
      </c>
      <c r="P27" s="49">
        <f>IFERROR(VLOOKUP(C27,Purchased!A:E,3,FALSE),"")</f>
        <v>2.2410000000000001</v>
      </c>
      <c r="Q27" s="50">
        <f t="shared" si="4"/>
        <v>4.4820000000000002</v>
      </c>
    </row>
    <row r="28" spans="1:17" s="2" customFormat="1" ht="12" customHeight="1">
      <c r="A28" s="4">
        <f t="shared" si="5"/>
        <v>308</v>
      </c>
      <c r="B28" s="2">
        <v>1</v>
      </c>
      <c r="C28" s="114" t="s">
        <v>290</v>
      </c>
      <c r="D28" s="268" t="str">
        <f>VLOOKUP(C28,Purchased!A:B,2,0)</f>
        <v>SMC FITTING, UNIFIT</v>
      </c>
      <c r="E28" s="269"/>
      <c r="F28" s="112" t="str">
        <f>VLOOKUP(C28,Purchased!A:Q,9,0)</f>
        <v>SMC</v>
      </c>
      <c r="G28" s="112" t="str">
        <f>VLOOKUP(C28,Purchased!A:Q,10,0)</f>
        <v>AAP</v>
      </c>
      <c r="H28" s="112" t="str">
        <f>VLOOKUP(C28,Purchased!A:Q,12,0)</f>
        <v xml:space="preserve"> </v>
      </c>
      <c r="I28" s="113"/>
      <c r="J28" s="44" t="str">
        <f>VLOOKUP(C28,Purchased!A:Q,13,0)</f>
        <v>N/A</v>
      </c>
      <c r="K28" s="44">
        <f>VLOOKUP(C28,Purchased!A:Q,14,0)</f>
        <v>45162</v>
      </c>
      <c r="L28" s="44">
        <f>VLOOKUP(C28,Purchased!A:Q,15,0)</f>
        <v>45184</v>
      </c>
      <c r="M28" s="44">
        <f>VLOOKUP(C28,Purchased!A:Q,16,0)</f>
        <v>45180</v>
      </c>
      <c r="N28" s="45" t="str">
        <f>VLOOKUP(C28,Purchased!A:Q,17,0)</f>
        <v>20x55037, 10x55270</v>
      </c>
      <c r="O28" s="45" t="e">
        <f t="shared" ca="1" si="3"/>
        <v>#VALUE!</v>
      </c>
      <c r="P28" s="49">
        <f>IFERROR(VLOOKUP(C28,Purchased!A:E,3,FALSE),"")</f>
        <v>1.6323000000000001</v>
      </c>
      <c r="Q28" s="50">
        <f t="shared" si="4"/>
        <v>1.6323000000000001</v>
      </c>
    </row>
    <row r="29" spans="1:17" s="2" customFormat="1" ht="12" customHeight="1">
      <c r="A29" s="4">
        <f t="shared" si="5"/>
        <v>309</v>
      </c>
      <c r="B29" s="2">
        <v>1</v>
      </c>
      <c r="C29" s="114" t="s">
        <v>185</v>
      </c>
      <c r="D29" s="268" t="str">
        <f>VLOOKUP(C29,Purchased!A:B,2,0)</f>
        <v>SMC FITTING, MALE ELBOW</v>
      </c>
      <c r="E29" s="269"/>
      <c r="F29" s="112" t="str">
        <f>VLOOKUP(C29,Purchased!A:Q,9,0)</f>
        <v>SMC</v>
      </c>
      <c r="G29" s="112" t="str">
        <f>VLOOKUP(C29,Purchased!A:Q,10,0)</f>
        <v>AAP</v>
      </c>
      <c r="H29" s="112" t="str">
        <f>VLOOKUP(C29,Purchased!A:Q,12,0)</f>
        <v xml:space="preserve"> </v>
      </c>
      <c r="I29" s="113"/>
      <c r="J29" s="44" t="str">
        <f>VLOOKUP(C29,Purchased!A:Q,13,0)</f>
        <v>N/A</v>
      </c>
      <c r="K29" s="44">
        <f>VLOOKUP(C29,Purchased!A:Q,14,0)</f>
        <v>45162</v>
      </c>
      <c r="L29" s="44">
        <f>VLOOKUP(C29,Purchased!A:Q,15,0)</f>
        <v>45184</v>
      </c>
      <c r="M29" s="44">
        <f>VLOOKUP(C29,Purchased!A:Q,16,0)</f>
        <v>45180</v>
      </c>
      <c r="N29" s="45" t="str">
        <f>VLOOKUP(C29,Purchased!A:Q,17,0)</f>
        <v>10x55037, 20x55073, 10x55270</v>
      </c>
      <c r="O29" s="45" t="e">
        <f t="shared" ca="1" si="3"/>
        <v>#VALUE!</v>
      </c>
      <c r="P29" s="49">
        <f>IFERROR(VLOOKUP(C29,Purchased!A:E,3,FALSE),"")</f>
        <v>2.2932999999999999</v>
      </c>
      <c r="Q29" s="50">
        <f t="shared" si="4"/>
        <v>2.2932999999999999</v>
      </c>
    </row>
    <row r="30" spans="1:17" s="2" customFormat="1" ht="12" customHeight="1">
      <c r="A30" s="4">
        <f t="shared" si="5"/>
        <v>310</v>
      </c>
      <c r="B30" s="2">
        <v>2</v>
      </c>
      <c r="C30" s="114" t="s">
        <v>186</v>
      </c>
      <c r="D30" s="268" t="str">
        <f>VLOOKUP(C30,Purchased!A:B,2,0)</f>
        <v>SMC FITTING, MALE ELBOW</v>
      </c>
      <c r="E30" s="269"/>
      <c r="F30" s="112" t="str">
        <f>VLOOKUP(C30,Purchased!A:Q,9,0)</f>
        <v>SMC</v>
      </c>
      <c r="G30" s="112" t="str">
        <f>VLOOKUP(C30,Purchased!A:Q,10,0)</f>
        <v>AAP</v>
      </c>
      <c r="H30" s="112" t="str">
        <f>VLOOKUP(C30,Purchased!A:Q,12,0)</f>
        <v xml:space="preserve">  </v>
      </c>
      <c r="I30" s="113"/>
      <c r="J30" s="44" t="str">
        <f>VLOOKUP(C30,Purchased!A:Q,13,0)</f>
        <v>N/A</v>
      </c>
      <c r="K30" s="44">
        <f>VLOOKUP(C30,Purchased!A:Q,14,0)</f>
        <v>45162</v>
      </c>
      <c r="L30" s="44">
        <f>VLOOKUP(C30,Purchased!A:Q,15,0)</f>
        <v>45184</v>
      </c>
      <c r="M30" s="44">
        <f>VLOOKUP(C30,Purchased!A:Q,16,0)</f>
        <v>45180</v>
      </c>
      <c r="N30" s="45">
        <f>VLOOKUP(C30,Purchased!A:Q,17,0)</f>
        <v>55037</v>
      </c>
      <c r="O30" s="45" t="e">
        <f t="shared" ca="1" si="3"/>
        <v>#VALUE!</v>
      </c>
      <c r="P30" s="49">
        <f>IFERROR(VLOOKUP(C30,Purchased!A:E,3,FALSE),"")</f>
        <v>1.4248000000000001</v>
      </c>
      <c r="Q30" s="50">
        <f t="shared" si="4"/>
        <v>2.8496000000000001</v>
      </c>
    </row>
    <row r="31" spans="1:17" s="2" customFormat="1" ht="12" customHeight="1">
      <c r="A31" s="4">
        <f t="shared" si="5"/>
        <v>311</v>
      </c>
      <c r="B31" s="2">
        <v>2</v>
      </c>
      <c r="C31" s="114" t="s">
        <v>989</v>
      </c>
      <c r="D31" s="268" t="str">
        <f>VLOOKUP(C31,Purchased!A:B,2,0)</f>
        <v>SMC FITTING, MALE CONNECTOR</v>
      </c>
      <c r="E31" s="269"/>
      <c r="F31" s="112" t="str">
        <f>VLOOKUP(C31,Purchased!A:Q,9,0)</f>
        <v>SMC</v>
      </c>
      <c r="G31" s="112" t="str">
        <f>VLOOKUP(C31,Purchased!A:Q,10,0)</f>
        <v>AAP</v>
      </c>
      <c r="H31" s="112" t="str">
        <f>VLOOKUP(C31,Purchased!A:Q,12,0)</f>
        <v xml:space="preserve"> </v>
      </c>
      <c r="I31" s="113"/>
      <c r="J31" s="44" t="str">
        <f>VLOOKUP(C31,Purchased!A:Q,13,0)</f>
        <v>N/A</v>
      </c>
      <c r="K31" s="44">
        <f>VLOOKUP(C31,Purchased!A:Q,14,0)</f>
        <v>45162</v>
      </c>
      <c r="L31" s="44">
        <f>VLOOKUP(C31,Purchased!A:Q,15,0)</f>
        <v>45184</v>
      </c>
      <c r="M31" s="44">
        <f>VLOOKUP(C31,Purchased!A:Q,16,0)</f>
        <v>45197</v>
      </c>
      <c r="N31" s="45">
        <f>VLOOKUP(C31,Purchased!A:Q,17,0)</f>
        <v>55073</v>
      </c>
      <c r="O31" s="45" t="e">
        <f t="shared" ca="1" si="3"/>
        <v>#VALUE!</v>
      </c>
      <c r="P31" s="49">
        <f>IFERROR(VLOOKUP(C31,Purchased!A:E,3,FALSE),"")</f>
        <v>1.3418000000000001</v>
      </c>
      <c r="Q31" s="50">
        <f t="shared" si="4"/>
        <v>2.6836000000000002</v>
      </c>
    </row>
    <row r="32" spans="1:17" s="2" customFormat="1" ht="12" customHeight="1">
      <c r="A32" s="4">
        <f t="shared" si="5"/>
        <v>312</v>
      </c>
      <c r="B32" s="2">
        <v>2</v>
      </c>
      <c r="C32" s="114" t="s">
        <v>990</v>
      </c>
      <c r="D32" s="268" t="str">
        <f>VLOOKUP(C32,Purchased!A:B,2,0)</f>
        <v>SMC SPEED CONTROLLER</v>
      </c>
      <c r="E32" s="269"/>
      <c r="F32" s="112" t="str">
        <f>VLOOKUP(C32,Purchased!A:Q,9,0)</f>
        <v>SMC</v>
      </c>
      <c r="G32" s="112" t="str">
        <f>VLOOKUP(C32,Purchased!A:Q,10,0)</f>
        <v>AAP</v>
      </c>
      <c r="H32" s="112" t="str">
        <f>VLOOKUP(C32,Purchased!A:Q,12,0)</f>
        <v xml:space="preserve"> </v>
      </c>
      <c r="I32" s="113"/>
      <c r="J32" s="44" t="str">
        <f>VLOOKUP(C32,Purchased!A:Q,13,0)</f>
        <v>N/A</v>
      </c>
      <c r="K32" s="44">
        <f>VLOOKUP(C32,Purchased!A:Q,14,0)</f>
        <v>45162</v>
      </c>
      <c r="L32" s="44">
        <f>VLOOKUP(C32,Purchased!A:Q,15,0)</f>
        <v>45184</v>
      </c>
      <c r="M32" s="44">
        <f>VLOOKUP(C32,Purchased!A:Q,16,0)</f>
        <v>45197</v>
      </c>
      <c r="N32" s="45">
        <f>VLOOKUP(C32,Purchased!A:Q,17,0)</f>
        <v>55073</v>
      </c>
      <c r="O32" s="45" t="e">
        <f t="shared" ca="1" si="3"/>
        <v>#VALUE!</v>
      </c>
      <c r="P32" s="49">
        <f>IFERROR(VLOOKUP(C32,Purchased!A:E,3,FALSE),"")</f>
        <v>13.487500000000001</v>
      </c>
      <c r="Q32" s="50">
        <f t="shared" si="4"/>
        <v>26.975000000000001</v>
      </c>
    </row>
    <row r="33" spans="1:17" s="2" customFormat="1" ht="12" customHeight="1">
      <c r="A33" s="4">
        <f t="shared" si="5"/>
        <v>313</v>
      </c>
      <c r="B33" s="2">
        <v>2</v>
      </c>
      <c r="C33" s="114" t="s">
        <v>991</v>
      </c>
      <c r="D33" s="268" t="str">
        <f>VLOOKUP(C33,Purchased!A:B,2,0)</f>
        <v>SMC SPEED CONTROLLER</v>
      </c>
      <c r="E33" s="269"/>
      <c r="F33" s="112" t="str">
        <f>VLOOKUP(C33,Purchased!A:Q,9,0)</f>
        <v>SMC</v>
      </c>
      <c r="G33" s="112" t="str">
        <f>VLOOKUP(C33,Purchased!A:Q,10,0)</f>
        <v>AAP</v>
      </c>
      <c r="H33" s="112" t="str">
        <f>VLOOKUP(C33,Purchased!A:Q,12,0)</f>
        <v xml:space="preserve"> </v>
      </c>
      <c r="I33" s="113"/>
      <c r="J33" s="44" t="str">
        <f>VLOOKUP(C33,Purchased!A:Q,13,0)</f>
        <v>N/A</v>
      </c>
      <c r="K33" s="44">
        <f>VLOOKUP(C33,Purchased!A:Q,14,0)</f>
        <v>45162</v>
      </c>
      <c r="L33" s="44">
        <f>VLOOKUP(C33,Purchased!A:Q,15,0)</f>
        <v>45184</v>
      </c>
      <c r="M33" s="44">
        <f>VLOOKUP(C33,Purchased!A:Q,16,0)</f>
        <v>45197</v>
      </c>
      <c r="N33" s="45">
        <f>VLOOKUP(C33,Purchased!A:Q,17,0)</f>
        <v>55073</v>
      </c>
      <c r="O33" s="45" t="e">
        <f t="shared" ca="1" si="3"/>
        <v>#VALUE!</v>
      </c>
      <c r="P33" s="49">
        <f>IFERROR(VLOOKUP(C33,Purchased!A:E,3,FALSE),"")</f>
        <v>13.487500000000001</v>
      </c>
      <c r="Q33" s="50">
        <f t="shared" si="4"/>
        <v>26.975000000000001</v>
      </c>
    </row>
    <row r="34" spans="1:17" s="2" customFormat="1" ht="12" customHeight="1">
      <c r="A34" s="4">
        <f t="shared" si="5"/>
        <v>314</v>
      </c>
      <c r="B34" s="2">
        <v>2</v>
      </c>
      <c r="C34" s="114" t="s">
        <v>992</v>
      </c>
      <c r="D34" s="268" t="str">
        <f>VLOOKUP(C34,Purchased!A:B,2,0)</f>
        <v>SMC KIT, L-BRACKET, AS20F</v>
      </c>
      <c r="E34" s="269"/>
      <c r="F34" s="112" t="str">
        <f>VLOOKUP(C34,Purchased!A:Q,9,0)</f>
        <v>SMC</v>
      </c>
      <c r="G34" s="112" t="str">
        <f>VLOOKUP(C34,Purchased!A:Q,10,0)</f>
        <v>AAP</v>
      </c>
      <c r="H34" s="112" t="str">
        <f>VLOOKUP(C34,Purchased!A:Q,12,0)</f>
        <v xml:space="preserve"> </v>
      </c>
      <c r="I34" s="113"/>
      <c r="J34" s="44" t="str">
        <f>VLOOKUP(C34,Purchased!A:Q,13,0)</f>
        <v>N/A</v>
      </c>
      <c r="K34" s="44">
        <f>VLOOKUP(C34,Purchased!A:Q,14,0)</f>
        <v>45162</v>
      </c>
      <c r="L34" s="44">
        <f>VLOOKUP(C34,Purchased!A:Q,15,0)</f>
        <v>45184</v>
      </c>
      <c r="M34" s="44">
        <f>VLOOKUP(C34,Purchased!A:Q,16,0)</f>
        <v>45197</v>
      </c>
      <c r="N34" s="45">
        <f>VLOOKUP(C34,Purchased!A:Q,17,0)</f>
        <v>55073</v>
      </c>
      <c r="O34" s="45" t="e">
        <f t="shared" ca="1" si="3"/>
        <v>#VALUE!</v>
      </c>
      <c r="P34" s="49">
        <f>IFERROR(VLOOKUP(C34,Purchased!A:E,3,FALSE),"")</f>
        <v>1.494</v>
      </c>
      <c r="Q34" s="50">
        <f t="shared" si="4"/>
        <v>2.988</v>
      </c>
    </row>
    <row r="35" spans="1:17" s="2" customFormat="1" ht="12" customHeight="1">
      <c r="A35" s="4">
        <f t="shared" si="5"/>
        <v>315</v>
      </c>
      <c r="B35" s="2">
        <v>2</v>
      </c>
      <c r="C35" s="114" t="s">
        <v>993</v>
      </c>
      <c r="D35" s="268" t="str">
        <f>VLOOKUP(C35,Purchased!A:B,2,0)</f>
        <v>18-8 Stainless Steel Socket Head Screw M3 x 0.50 mm Thread, 55 mm Long, 25pk</v>
      </c>
      <c r="E35" s="269"/>
      <c r="F35" s="112" t="str">
        <f>VLOOKUP(C35,Purchased!A:Q,9,0)</f>
        <v>MCM</v>
      </c>
      <c r="G35" s="112" t="str">
        <f>VLOOKUP(C35,Purchased!A:Q,10,0)</f>
        <v>MCM</v>
      </c>
      <c r="H35" s="112" t="str">
        <f>VLOOKUP(C35,Purchased!A:Q,12,0)</f>
        <v xml:space="preserve"> </v>
      </c>
      <c r="I35" s="113"/>
      <c r="J35" s="44" t="str">
        <f>VLOOKUP(C35,Purchased!A:Q,13,0)</f>
        <v>N/A</v>
      </c>
      <c r="K35" s="44">
        <f>VLOOKUP(C35,Purchased!A:Q,14,0)</f>
        <v>45162</v>
      </c>
      <c r="L35" s="44">
        <f>VLOOKUP(C35,Purchased!A:Q,15,0)</f>
        <v>45184</v>
      </c>
      <c r="M35" s="44">
        <f>VLOOKUP(C35,Purchased!A:Q,16,0)</f>
        <v>45163</v>
      </c>
      <c r="N35" s="45">
        <f>VLOOKUP(C35,Purchased!A:Q,17,0)</f>
        <v>55088</v>
      </c>
      <c r="O35" s="45" t="e">
        <f t="shared" ca="1" si="3"/>
        <v>#VALUE!</v>
      </c>
      <c r="P35" s="49">
        <f>IFERROR(VLOOKUP(C35,Purchased!A:E,3,FALSE),"")</f>
        <v>10.36</v>
      </c>
      <c r="Q35" s="50">
        <f t="shared" si="4"/>
        <v>20.72</v>
      </c>
    </row>
    <row r="36" spans="1:17" s="2" customFormat="1" ht="12" customHeight="1">
      <c r="A36" s="4">
        <f t="shared" si="5"/>
        <v>316</v>
      </c>
      <c r="B36" s="2">
        <v>0.1</v>
      </c>
      <c r="C36" s="114" t="s">
        <v>634</v>
      </c>
      <c r="D36" s="268" t="str">
        <f>VLOOKUP(C36,Purchased!A:B,2,0)</f>
        <v>18-8 Stainless Steel Threaded Rod, M4 x 0.7 mm Thread Size, 1 M Long</v>
      </c>
      <c r="E36" s="269"/>
      <c r="F36" s="112" t="str">
        <f>VLOOKUP(C36,Purchased!A:Q,9,0)</f>
        <v>MCM</v>
      </c>
      <c r="G36" s="112" t="str">
        <f>VLOOKUP(C36,Purchased!A:Q,10,0)</f>
        <v>MCM</v>
      </c>
      <c r="H36" s="112" t="s">
        <v>994</v>
      </c>
      <c r="I36" s="113"/>
      <c r="J36" s="44" t="str">
        <f>VLOOKUP(C36,Purchased!A:Q,13,0)</f>
        <v>N/A</v>
      </c>
      <c r="K36" s="44">
        <f>VLOOKUP(C36,Purchased!A:Q,14,0)</f>
        <v>45162</v>
      </c>
      <c r="L36" s="44">
        <f>VLOOKUP(C36,Purchased!A:Q,15,0)</f>
        <v>45184</v>
      </c>
      <c r="M36" s="44">
        <f>VLOOKUP(C36,Purchased!A:Q,16,0)</f>
        <v>45163</v>
      </c>
      <c r="N36" s="45">
        <f>VLOOKUP(C36,Purchased!A:Q,17,0)</f>
        <v>55088</v>
      </c>
      <c r="O36" s="45" t="e">
        <f t="shared" ca="1" si="3"/>
        <v>#VALUE!</v>
      </c>
      <c r="P36" s="49">
        <f>IFERROR(VLOOKUP(C36,Purchased!A:E,3,FALSE),"")</f>
        <v>9.4</v>
      </c>
      <c r="Q36" s="50">
        <f t="shared" si="4"/>
        <v>0.94000000000000006</v>
      </c>
    </row>
    <row r="37" spans="1:17" s="2" customFormat="1" ht="12" customHeight="1">
      <c r="A37" s="4">
        <f t="shared" si="5"/>
        <v>317</v>
      </c>
      <c r="B37" s="2">
        <v>4</v>
      </c>
      <c r="C37" s="109" t="s">
        <v>995</v>
      </c>
      <c r="D37" s="268" t="str">
        <f>VLOOKUP(C37,Purchased!A:B,2,0)</f>
        <v>316 Stainless Steel Button Head Hex Drive Screws M3 x 0.5mm Thread, 20mm Long, 100pk</v>
      </c>
      <c r="E37" s="269"/>
      <c r="F37" s="112" t="str">
        <f>VLOOKUP(C37,Purchased!A:Q,9,0)</f>
        <v>MCM</v>
      </c>
      <c r="G37" s="112" t="str">
        <f>VLOOKUP(C37,Purchased!A:Q,10,0)</f>
        <v>MCM</v>
      </c>
      <c r="H37" s="112" t="str">
        <f>VLOOKUP(C37,Purchased!A:Q,12,0)</f>
        <v xml:space="preserve"> </v>
      </c>
      <c r="I37" s="113"/>
      <c r="J37" s="44" t="str">
        <f>VLOOKUP(C37,Purchased!A:Q,13,0)</f>
        <v>N/A</v>
      </c>
      <c r="K37" s="44">
        <f>VLOOKUP(C37,Purchased!A:Q,14,0)</f>
        <v>45162</v>
      </c>
      <c r="L37" s="44">
        <f>VLOOKUP(C37,Purchased!A:Q,15,0)</f>
        <v>45184</v>
      </c>
      <c r="M37" s="44">
        <f>VLOOKUP(C37,Purchased!A:Q,16,0)</f>
        <v>45163</v>
      </c>
      <c r="N37" s="45">
        <f>VLOOKUP(C37,Purchased!A:Q,17,0)</f>
        <v>55089</v>
      </c>
      <c r="O37" s="45" t="e">
        <f t="shared" ca="1" si="3"/>
        <v>#VALUE!</v>
      </c>
      <c r="P37" s="49">
        <f>IFERROR(VLOOKUP(C37,Purchased!A:E,3,FALSE),"")</f>
        <v>7.73</v>
      </c>
      <c r="Q37" s="50">
        <f t="shared" si="4"/>
        <v>30.92</v>
      </c>
    </row>
    <row r="38" spans="1:17" s="2" customFormat="1" ht="12" customHeight="1">
      <c r="A38" s="4">
        <f t="shared" si="5"/>
        <v>318</v>
      </c>
      <c r="B38" s="2">
        <v>4</v>
      </c>
      <c r="C38" s="109" t="s">
        <v>953</v>
      </c>
      <c r="D38" s="268" t="str">
        <f>VLOOKUP(C38,Purchased!A:B,2,0)</f>
        <v>18-8 Stainless Steel Socket Head Screw M6 x 1 mm Thread, 140 mm Long</v>
      </c>
      <c r="E38" s="269"/>
      <c r="F38" s="112" t="str">
        <f>VLOOKUP(C38,Purchased!A:Q,9,0)</f>
        <v>MCM</v>
      </c>
      <c r="G38" s="112" t="str">
        <f>VLOOKUP(C38,Purchased!A:Q,10,0)</f>
        <v>MCM</v>
      </c>
      <c r="H38" s="112" t="str">
        <f>VLOOKUP(C38,Purchased!A:Q,12,0)</f>
        <v xml:space="preserve"> </v>
      </c>
      <c r="I38" s="113"/>
      <c r="J38" s="44" t="str">
        <f>VLOOKUP(C38,Purchased!A:Q,13,0)</f>
        <v>N/A</v>
      </c>
      <c r="K38" s="44">
        <f>VLOOKUP(C38,Purchased!A:Q,14,0)</f>
        <v>45162</v>
      </c>
      <c r="L38" s="44">
        <f>VLOOKUP(C38,Purchased!A:Q,15,0)</f>
        <v>45184</v>
      </c>
      <c r="M38" s="44">
        <f>VLOOKUP(C38,Purchased!A:Q,16,0)</f>
        <v>45163</v>
      </c>
      <c r="N38" s="45">
        <f>VLOOKUP(C38,Purchased!A:Q,17,0)</f>
        <v>55088</v>
      </c>
      <c r="O38" s="45" t="e">
        <f t="shared" ca="1" si="3"/>
        <v>#VALUE!</v>
      </c>
      <c r="P38" s="49">
        <f>IFERROR(VLOOKUP(C38,Purchased!A:E,3,FALSE),"")</f>
        <v>3.82</v>
      </c>
      <c r="Q38" s="50">
        <f t="shared" si="4"/>
        <v>15.28</v>
      </c>
    </row>
    <row r="39" spans="1:17" s="2" customFormat="1" ht="12" customHeight="1">
      <c r="A39" s="4">
        <f t="shared" si="5"/>
        <v>319</v>
      </c>
      <c r="B39" s="2">
        <v>4</v>
      </c>
      <c r="C39" s="109" t="s">
        <v>996</v>
      </c>
      <c r="D39" s="268" t="str">
        <f>VLOOKUP(C39,Purchased!A:B,2,0)</f>
        <v>Alloy Steel Low-Profile Socket Head Screws Hex Drive, Zinc Plated, M8 x 1.25 mm Thread, 20 mm Long, 25pk</v>
      </c>
      <c r="E39" s="269"/>
      <c r="F39" s="112" t="str">
        <f>VLOOKUP(C39,Purchased!A:Q,9,0)</f>
        <v>MCM</v>
      </c>
      <c r="G39" s="112" t="str">
        <f>VLOOKUP(C39,Purchased!A:Q,10,0)</f>
        <v>MCM</v>
      </c>
      <c r="H39" s="112" t="str">
        <f>VLOOKUP(C39,Purchased!A:Q,12,0)</f>
        <v xml:space="preserve"> </v>
      </c>
      <c r="I39" s="113"/>
      <c r="J39" s="44" t="str">
        <f>VLOOKUP(C39,Purchased!A:Q,13,0)</f>
        <v>N/A</v>
      </c>
      <c r="K39" s="44">
        <f>VLOOKUP(C39,Purchased!A:Q,14,0)</f>
        <v>45162</v>
      </c>
      <c r="L39" s="44">
        <f>VLOOKUP(C39,Purchased!A:Q,15,0)</f>
        <v>45184</v>
      </c>
      <c r="M39" s="44">
        <f>VLOOKUP(C39,Purchased!A:Q,16,0)</f>
        <v>45163</v>
      </c>
      <c r="N39" s="45">
        <f>VLOOKUP(C39,Purchased!A:Q,17,0)</f>
        <v>55088</v>
      </c>
      <c r="O39" s="45" t="e">
        <f t="shared" ca="1" si="3"/>
        <v>#VALUE!</v>
      </c>
      <c r="P39" s="49">
        <f>IFERROR(VLOOKUP(C39,Purchased!A:E,3,FALSE),"")</f>
        <v>12.7</v>
      </c>
      <c r="Q39" s="50">
        <f t="shared" si="4"/>
        <v>50.8</v>
      </c>
    </row>
    <row r="40" spans="1:17" s="2" customFormat="1" ht="12" customHeight="1">
      <c r="A40" s="4">
        <f t="shared" si="5"/>
        <v>320</v>
      </c>
      <c r="B40" s="2">
        <v>4</v>
      </c>
      <c r="C40" s="109" t="s">
        <v>997</v>
      </c>
      <c r="D40" s="268" t="str">
        <f>VLOOKUP(C40,Purchased!A:B,2,0)</f>
        <v>18-8 Stainless Steel Oversized Washer for M3 Screw Size, 3.2 mm ID, 8 mm OD</v>
      </c>
      <c r="E40" s="269"/>
      <c r="F40" s="112" t="str">
        <f>VLOOKUP(C40,Purchased!A:Q,9,0)</f>
        <v>MCM</v>
      </c>
      <c r="G40" s="112" t="str">
        <f>VLOOKUP(C40,Purchased!A:Q,10,0)</f>
        <v>MCM</v>
      </c>
      <c r="H40" s="112" t="str">
        <f>VLOOKUP(C40,Purchased!A:Q,12,0)</f>
        <v xml:space="preserve"> </v>
      </c>
      <c r="I40" s="113"/>
      <c r="J40" s="44" t="str">
        <f>VLOOKUP(C40,Purchased!A:Q,13,0)</f>
        <v>N/A</v>
      </c>
      <c r="K40" s="44">
        <f>VLOOKUP(C40,Purchased!A:Q,14,0)</f>
        <v>45162</v>
      </c>
      <c r="L40" s="44">
        <f>VLOOKUP(C40,Purchased!A:Q,15,0)</f>
        <v>45184</v>
      </c>
      <c r="M40" s="44">
        <f>VLOOKUP(C40,Purchased!A:Q,16,0)</f>
        <v>45163</v>
      </c>
      <c r="N40" s="45">
        <f>VLOOKUP(C40,Purchased!A:Q,17,0)</f>
        <v>55089</v>
      </c>
      <c r="O40" s="45" t="e">
        <f t="shared" ca="1" si="3"/>
        <v>#VALUE!</v>
      </c>
      <c r="P40" s="49">
        <f>IFERROR(VLOOKUP(C40,Purchased!A:E,3,FALSE),"")</f>
        <v>1.1399999999999999</v>
      </c>
      <c r="Q40" s="50">
        <f t="shared" si="4"/>
        <v>4.5599999999999996</v>
      </c>
    </row>
    <row r="41" spans="1:17" s="2" customFormat="1" ht="12" customHeight="1">
      <c r="A41" s="4">
        <f t="shared" si="5"/>
        <v>321</v>
      </c>
      <c r="B41" s="2">
        <v>7</v>
      </c>
      <c r="C41" s="109" t="s">
        <v>998</v>
      </c>
      <c r="D41" s="268" t="str">
        <f>VLOOKUP(C41,Purchased!A:B,2,0)</f>
        <v>ELESA GN 30052 Burled Knob for M5</v>
      </c>
      <c r="E41" s="269"/>
      <c r="F41" s="112" t="str">
        <f>VLOOKUP(C41,Purchased!A:Q,9,0)</f>
        <v>ELESA</v>
      </c>
      <c r="G41" s="112" t="str">
        <f>VLOOKUP(C41,Purchased!A:Q,10,0)</f>
        <v>ELESA</v>
      </c>
      <c r="H41" s="112" t="str">
        <f>VLOOKUP(C41,Purchased!A:Q,12,0)</f>
        <v xml:space="preserve"> </v>
      </c>
      <c r="I41" s="113"/>
      <c r="J41" s="44" t="str">
        <f>VLOOKUP(C41,Purchased!A:Q,13,0)</f>
        <v>N/A</v>
      </c>
      <c r="K41" s="44">
        <f>VLOOKUP(C41,Purchased!A:Q,14,0)</f>
        <v>45162</v>
      </c>
      <c r="L41" s="44">
        <f>VLOOKUP(C41,Purchased!A:Q,15,0)</f>
        <v>45184</v>
      </c>
      <c r="M41" s="44">
        <f>VLOOKUP(C41,Purchased!A:Q,16,0)</f>
        <v>45184</v>
      </c>
      <c r="N41" s="45">
        <f>VLOOKUP(C41,Purchased!A:Q,17,0)</f>
        <v>55075</v>
      </c>
      <c r="O41" s="45" t="e">
        <f t="shared" ca="1" si="3"/>
        <v>#VALUE!</v>
      </c>
      <c r="P41" s="49">
        <f>IFERROR(VLOOKUP(C41,Purchased!A:E,3,FALSE),"")</f>
        <v>1.97</v>
      </c>
      <c r="Q41" s="50">
        <f t="shared" si="4"/>
        <v>13.79</v>
      </c>
    </row>
    <row r="42" spans="1:17" s="2" customFormat="1" ht="12" customHeight="1">
      <c r="A42" s="4">
        <f t="shared" si="5"/>
        <v>322</v>
      </c>
      <c r="B42" s="2">
        <v>1</v>
      </c>
      <c r="C42" s="114" t="s">
        <v>963</v>
      </c>
      <c r="D42" s="268" t="str">
        <f>VLOOKUP(C42,Purchased!A:B,2,0)</f>
        <v>IGUS  Trap Lead Nut</v>
      </c>
      <c r="E42" s="269"/>
      <c r="F42" s="112" t="str">
        <f>VLOOKUP(C42,Purchased!A:Q,9,0)</f>
        <v>IGUS</v>
      </c>
      <c r="G42" s="112" t="str">
        <f>VLOOKUP(C42,Purchased!A:Q,10,0)</f>
        <v>IGUS</v>
      </c>
      <c r="H42" s="112" t="str">
        <f>VLOOKUP(C42,Purchased!A:Q,12,0)</f>
        <v xml:space="preserve"> </v>
      </c>
      <c r="I42" s="113"/>
      <c r="J42" s="44">
        <f>VLOOKUP(C42,Purchased!A:Q,13,0)</f>
        <v>45154</v>
      </c>
      <c r="K42" s="44">
        <f>VLOOKUP(C42,Purchased!A:Q,14,0)</f>
        <v>45161</v>
      </c>
      <c r="L42" s="44">
        <f>VLOOKUP(C42,Purchased!A:Q,15,0)</f>
        <v>45191</v>
      </c>
      <c r="M42" s="44">
        <f>VLOOKUP(C42,Purchased!A:Q,16,0)</f>
        <v>45208</v>
      </c>
      <c r="N42" s="45">
        <f>VLOOKUP(C42,Purchased!A:Q,17,0)</f>
        <v>55076</v>
      </c>
      <c r="O42" s="45" t="e">
        <f t="shared" ca="1" si="3"/>
        <v>#VALUE!</v>
      </c>
      <c r="P42" s="49">
        <f>IFERROR(VLOOKUP(C42,Purchased!A:E,3,FALSE),"")</f>
        <v>23.47</v>
      </c>
      <c r="Q42" s="50">
        <f t="shared" si="4"/>
        <v>23.47</v>
      </c>
    </row>
    <row r="43" spans="1:17" s="2" customFormat="1" ht="12" customHeight="1">
      <c r="A43" s="4">
        <f t="shared" si="5"/>
        <v>323</v>
      </c>
      <c r="B43" s="2">
        <v>4</v>
      </c>
      <c r="C43" s="114" t="s">
        <v>999</v>
      </c>
      <c r="D43" s="268" t="str">
        <f>VLOOKUP(C43,Purchased!A:B,2,0)</f>
        <v>MISUMI Circular Post 25mm OD 195.9mm L</v>
      </c>
      <c r="E43" s="269"/>
      <c r="F43" s="112" t="str">
        <f>VLOOKUP(C43,Purchased!A:Q,9,0)</f>
        <v>MISUMI</v>
      </c>
      <c r="G43" s="112" t="str">
        <f>VLOOKUP(C43,Purchased!A:Q,10,0)</f>
        <v>MISUMI</v>
      </c>
      <c r="H43" s="112" t="str">
        <f>VLOOKUP(C43,Purchased!A:Q,12,0)</f>
        <v xml:space="preserve"> </v>
      </c>
      <c r="I43" s="113"/>
      <c r="J43" s="44" t="str">
        <f>VLOOKUP(C43,Purchased!A:Q,13,0)</f>
        <v>N/A</v>
      </c>
      <c r="K43" s="44">
        <f>VLOOKUP(C43,Purchased!A:Q,14,0)</f>
        <v>45161</v>
      </c>
      <c r="L43" s="44">
        <f>VLOOKUP(C43,Purchased!A:Q,15,0)</f>
        <v>45191</v>
      </c>
      <c r="M43" s="44">
        <f>VLOOKUP(C43,Purchased!A:Q,16,0)</f>
        <v>45176</v>
      </c>
      <c r="N43" s="45">
        <f>VLOOKUP(C43,Purchased!A:Q,17,0)</f>
        <v>55078</v>
      </c>
      <c r="O43" s="45" t="e">
        <f t="shared" ca="1" si="3"/>
        <v>#VALUE!</v>
      </c>
      <c r="P43" s="49">
        <f>IFERROR(VLOOKUP(C43,Purchased!A:E,3,FALSE),"")</f>
        <v>37.130000000000003</v>
      </c>
      <c r="Q43" s="50">
        <f t="shared" si="4"/>
        <v>148.52000000000001</v>
      </c>
    </row>
    <row r="44" spans="1:17" s="2" customFormat="1" ht="12" customHeight="1">
      <c r="A44" s="4">
        <f t="shared" si="5"/>
        <v>324</v>
      </c>
      <c r="B44" s="2">
        <v>2</v>
      </c>
      <c r="C44" s="114" t="s">
        <v>1000</v>
      </c>
      <c r="D44" s="268" t="str">
        <f>VLOOKUP(C44,Purchased!A:B,2,0)</f>
        <v>MISUMI Circular Post 15mm OD 214.4mm L</v>
      </c>
      <c r="E44" s="269"/>
      <c r="F44" s="112" t="str">
        <f>VLOOKUP(C44,Purchased!A:Q,9,0)</f>
        <v>MISUMI</v>
      </c>
      <c r="G44" s="112" t="str">
        <f>VLOOKUP(C44,Purchased!A:Q,10,0)</f>
        <v>MISUMI</v>
      </c>
      <c r="H44" s="112" t="str">
        <f>VLOOKUP(C44,Purchased!A:Q,12,0)</f>
        <v xml:space="preserve"> </v>
      </c>
      <c r="I44" s="113"/>
      <c r="J44" s="44" t="str">
        <f>VLOOKUP(C44,Purchased!A:Q,13,0)</f>
        <v>N/A</v>
      </c>
      <c r="K44" s="44">
        <f>VLOOKUP(C44,Purchased!A:Q,14,0)</f>
        <v>45161</v>
      </c>
      <c r="L44" s="44">
        <f>VLOOKUP(C44,Purchased!A:Q,15,0)</f>
        <v>45191</v>
      </c>
      <c r="M44" s="44">
        <f>VLOOKUP(C44,Purchased!A:Q,16,0)</f>
        <v>45176</v>
      </c>
      <c r="N44" s="45">
        <f>VLOOKUP(C44,Purchased!A:Q,17,0)</f>
        <v>55078</v>
      </c>
      <c r="O44" s="45" t="e">
        <f t="shared" ca="1" si="3"/>
        <v>#VALUE!</v>
      </c>
      <c r="P44" s="49">
        <f>IFERROR(VLOOKUP(C44,Purchased!A:E,3,FALSE),"")</f>
        <v>54.52</v>
      </c>
      <c r="Q44" s="50">
        <f t="shared" si="4"/>
        <v>109.04</v>
      </c>
    </row>
    <row r="45" spans="1:17" s="2" customFormat="1" ht="12" customHeight="1">
      <c r="A45" s="4">
        <f t="shared" si="5"/>
        <v>325</v>
      </c>
      <c r="B45" s="2">
        <v>2</v>
      </c>
      <c r="C45" s="114" t="s">
        <v>818</v>
      </c>
      <c r="D45" s="268" t="str">
        <f>VLOOKUP(C45,Purchased!A:B,2,0)</f>
        <v xml:space="preserve">KEYENCE PR-G4ACP Diffuse reflective long distance </v>
      </c>
      <c r="E45" s="269"/>
      <c r="F45" s="112" t="str">
        <f>VLOOKUP(C45,Purchased!A:Q,9,0)</f>
        <v>KEYENCE</v>
      </c>
      <c r="G45" s="112" t="str">
        <f>VLOOKUP(C45,Purchased!A:Q,10,0)</f>
        <v>KEYENCE</v>
      </c>
      <c r="H45" s="112" t="str">
        <f>VLOOKUP(C45,Purchased!A:Q,12,0)</f>
        <v xml:space="preserve"> </v>
      </c>
      <c r="I45" s="113"/>
      <c r="J45" s="44">
        <f>VLOOKUP(C45,Purchased!A:Q,13,0)</f>
        <v>45154</v>
      </c>
      <c r="K45" s="44">
        <f>VLOOKUP(C45,Purchased!A:Q,14,0)</f>
        <v>45161</v>
      </c>
      <c r="L45" s="44">
        <f>VLOOKUP(C45,Purchased!A:Q,15,0)</f>
        <v>45191</v>
      </c>
      <c r="M45" s="44">
        <f>VLOOKUP(C45,Purchased!A:Q,16,0)</f>
        <v>45184</v>
      </c>
      <c r="N45" s="45">
        <f>VLOOKUP(C45,Purchased!A:Q,17,0)</f>
        <v>55077</v>
      </c>
      <c r="O45" s="45" t="e">
        <f t="shared" ca="1" si="3"/>
        <v>#VALUE!</v>
      </c>
      <c r="P45" s="49">
        <f>IFERROR(VLOOKUP(C45,Purchased!A:E,3,FALSE),"")</f>
        <v>168</v>
      </c>
      <c r="Q45" s="50">
        <f t="shared" si="4"/>
        <v>336</v>
      </c>
    </row>
    <row r="46" spans="1:17" s="2" customFormat="1" ht="12" customHeight="1">
      <c r="A46" s="4">
        <f t="shared" si="5"/>
        <v>326</v>
      </c>
      <c r="B46" s="2">
        <v>1</v>
      </c>
      <c r="C46" s="114" t="s">
        <v>1001</v>
      </c>
      <c r="D46" s="268" t="str">
        <f>VLOOKUP(C46,Purchased!A:B,2,0)</f>
        <v>KEYENCE OP-88245 Amplifier Securing Bracket</v>
      </c>
      <c r="E46" s="269"/>
      <c r="F46" s="112" t="str">
        <f>VLOOKUP(C46,Purchased!A:Q,9,0)</f>
        <v>KEYENCE</v>
      </c>
      <c r="G46" s="112" t="str">
        <f>VLOOKUP(C46,Purchased!A:Q,10,0)</f>
        <v>KEYENCE</v>
      </c>
      <c r="H46" s="112" t="str">
        <f>VLOOKUP(C46,Purchased!A:Q,12,0)</f>
        <v xml:space="preserve"> </v>
      </c>
      <c r="I46" s="113"/>
      <c r="J46" s="44">
        <f>VLOOKUP(C46,Purchased!A:Q,13,0)</f>
        <v>45154</v>
      </c>
      <c r="K46" s="44">
        <f>VLOOKUP(C46,Purchased!A:Q,14,0)</f>
        <v>45161</v>
      </c>
      <c r="L46" s="44">
        <f>VLOOKUP(C46,Purchased!A:Q,15,0)</f>
        <v>45191</v>
      </c>
      <c r="M46" s="44">
        <f>VLOOKUP(C46,Purchased!A:Q,16,0)</f>
        <v>45184</v>
      </c>
      <c r="N46" s="45">
        <f>VLOOKUP(C46,Purchased!A:Q,17,0)</f>
        <v>55077</v>
      </c>
      <c r="O46" s="45" t="e">
        <f t="shared" ca="1" si="3"/>
        <v>#VALUE!</v>
      </c>
      <c r="P46" s="49">
        <f>IFERROR(VLOOKUP(C46,Purchased!A:E,3,FALSE),"")</f>
        <v>3</v>
      </c>
      <c r="Q46" s="50">
        <f t="shared" si="4"/>
        <v>3</v>
      </c>
    </row>
    <row r="47" spans="1:17" s="2" customFormat="1" ht="12" customHeight="1">
      <c r="A47" s="4">
        <f t="shared" si="5"/>
        <v>327</v>
      </c>
      <c r="B47" s="2">
        <v>1</v>
      </c>
      <c r="C47" s="114" t="s">
        <v>1002</v>
      </c>
      <c r="D47" s="268" t="str">
        <f>VLOOKUP(C47,Purchased!A:B,2,0)</f>
        <v>KEYENCE FS-41NC Main Unit M8 Connector Type</v>
      </c>
      <c r="E47" s="269"/>
      <c r="F47" s="112" t="str">
        <f>VLOOKUP(C47,Purchased!A:Q,9,0)</f>
        <v>KEYENCE</v>
      </c>
      <c r="G47" s="112" t="str">
        <f>VLOOKUP(C47,Purchased!A:Q,10,0)</f>
        <v>KEYENCE</v>
      </c>
      <c r="H47" s="112" t="str">
        <f>VLOOKUP(C47,Purchased!A:Q,12,0)</f>
        <v xml:space="preserve"> </v>
      </c>
      <c r="I47" s="113"/>
      <c r="J47" s="44">
        <f>VLOOKUP(C47,Purchased!A:Q,13,0)</f>
        <v>45154</v>
      </c>
      <c r="K47" s="44">
        <f>VLOOKUP(C47,Purchased!A:Q,14,0)</f>
        <v>45161</v>
      </c>
      <c r="L47" s="44">
        <f>VLOOKUP(C47,Purchased!A:Q,15,0)</f>
        <v>45191</v>
      </c>
      <c r="M47" s="44">
        <f>VLOOKUP(C47,Purchased!A:Q,16,0)</f>
        <v>45184</v>
      </c>
      <c r="N47" s="45">
        <f>VLOOKUP(C47,Purchased!A:Q,17,0)</f>
        <v>55077</v>
      </c>
      <c r="O47" s="45" t="e">
        <f t="shared" ca="1" si="3"/>
        <v>#VALUE!</v>
      </c>
      <c r="P47" s="49">
        <f>IFERROR(VLOOKUP(C47,Purchased!A:E,3,FALSE),"")</f>
        <v>235</v>
      </c>
      <c r="Q47" s="50">
        <f t="shared" si="4"/>
        <v>235</v>
      </c>
    </row>
    <row r="48" spans="1:17" s="2" customFormat="1" ht="12" customHeight="1">
      <c r="A48" s="4">
        <f t="shared" si="5"/>
        <v>328</v>
      </c>
      <c r="B48" s="2">
        <v>6</v>
      </c>
      <c r="C48" s="114" t="s">
        <v>477</v>
      </c>
      <c r="D48" s="268" t="str">
        <f>VLOOKUP(C48,Purchased!A:B,2,0)</f>
        <v>MURR M8 Female, 0deg A-Coded, 3-Pin, w/ Cable</v>
      </c>
      <c r="E48" s="269"/>
      <c r="F48" s="112" t="str">
        <f>VLOOKUP(C48,Purchased!A:Q,9,0)</f>
        <v>MURR</v>
      </c>
      <c r="G48" s="112" t="str">
        <f>VLOOKUP(C48,Purchased!A:Q,10,0)</f>
        <v>MURR</v>
      </c>
      <c r="H48" s="112" t="str">
        <f>VLOOKUP(C48,Purchased!A:Q,12,0)</f>
        <v xml:space="preserve">  </v>
      </c>
      <c r="I48" s="113"/>
      <c r="J48" s="44">
        <f>VLOOKUP(C48,Purchased!A:Q,13,0)</f>
        <v>45161</v>
      </c>
      <c r="K48" s="44">
        <f>VLOOKUP(C48,Purchased!A:Q,14,0)</f>
        <v>45162</v>
      </c>
      <c r="L48" s="44">
        <f>VLOOKUP(C48,Purchased!A:Q,15,0)</f>
        <v>45184</v>
      </c>
      <c r="M48" s="44">
        <f>VLOOKUP(C48,Purchased!A:Q,16,0)</f>
        <v>45184</v>
      </c>
      <c r="N48" s="45">
        <f>VLOOKUP(C48,Purchased!A:Q,17,0)</f>
        <v>55080</v>
      </c>
      <c r="O48" s="45" t="e">
        <f t="shared" ca="1" si="3"/>
        <v>#VALUE!</v>
      </c>
      <c r="P48" s="49">
        <f>IFERROR(VLOOKUP(C48,Purchased!A:E,3,FALSE),"")</f>
        <v>21.52</v>
      </c>
      <c r="Q48" s="50">
        <f t="shared" si="4"/>
        <v>129.12</v>
      </c>
    </row>
    <row r="49" spans="1:17" s="2" customFormat="1" ht="12" customHeight="1">
      <c r="A49" s="4">
        <f t="shared" si="5"/>
        <v>329</v>
      </c>
      <c r="B49" s="2">
        <v>3</v>
      </c>
      <c r="C49" s="114" t="s">
        <v>1003</v>
      </c>
      <c r="D49" s="268" t="str">
        <f>VLOOKUP(C49,Purchased!A:B,2,0)</f>
        <v>MURR M8 Female, 0deg A-Coded, 4-Pin, w/ Cable, 7.5m, black</v>
      </c>
      <c r="E49" s="269"/>
      <c r="F49" s="112" t="str">
        <f>VLOOKUP(C49,Purchased!A:Q,9,0)</f>
        <v>MURR</v>
      </c>
      <c r="G49" s="112" t="str">
        <f>VLOOKUP(C49,Purchased!A:Q,10,0)</f>
        <v>MURR</v>
      </c>
      <c r="H49" s="112" t="str">
        <f>VLOOKUP(C49,Purchased!A:Q,12,0)</f>
        <v xml:space="preserve"> </v>
      </c>
      <c r="I49" s="113"/>
      <c r="J49" s="44">
        <f>VLOOKUP(C49,Purchased!A:Q,13,0)</f>
        <v>45161</v>
      </c>
      <c r="K49" s="44">
        <f>VLOOKUP(C49,Purchased!A:Q,14,0)</f>
        <v>45162</v>
      </c>
      <c r="L49" s="44">
        <f>VLOOKUP(C49,Purchased!A:Q,15,0)</f>
        <v>45184</v>
      </c>
      <c r="M49" s="44">
        <f>VLOOKUP(C49,Purchased!A:Q,16,0)</f>
        <v>45184</v>
      </c>
      <c r="N49" s="45">
        <f>VLOOKUP(C49,Purchased!A:Q,17,0)</f>
        <v>55080</v>
      </c>
      <c r="O49" s="45" t="e">
        <f t="shared" ca="1" si="3"/>
        <v>#VALUE!</v>
      </c>
      <c r="P49" s="49">
        <f>IFERROR(VLOOKUP(C49,Purchased!A:E,3,FALSE),"")</f>
        <v>21.04</v>
      </c>
      <c r="Q49" s="50">
        <f t="shared" si="4"/>
        <v>63.12</v>
      </c>
    </row>
    <row r="50" spans="1:17" s="2" customFormat="1" ht="12.75" customHeight="1">
      <c r="A50" s="25"/>
      <c r="B50" s="26"/>
      <c r="C50" s="26"/>
      <c r="D50" s="272"/>
      <c r="E50" s="273"/>
      <c r="F50" s="26"/>
      <c r="G50" s="26"/>
      <c r="H50" s="274"/>
      <c r="I50" s="275"/>
      <c r="J50" s="27"/>
      <c r="K50" s="27"/>
      <c r="L50" s="27"/>
      <c r="M50" s="28"/>
      <c r="N50" s="29"/>
      <c r="O50" s="29" t="e">
        <f t="shared" ca="1" si="3"/>
        <v>#VALUE!</v>
      </c>
      <c r="P50" s="141"/>
      <c r="Q50" s="142"/>
    </row>
    <row r="51" spans="1:17" s="2" customFormat="1" ht="12.75" customHeight="1">
      <c r="A51" s="4">
        <v>501</v>
      </c>
      <c r="B51" s="2">
        <v>4</v>
      </c>
      <c r="C51" s="110" t="s">
        <v>1004</v>
      </c>
      <c r="D51" s="268"/>
      <c r="E51" s="276"/>
      <c r="F51" s="112" t="str">
        <f>VLOOKUP(C51,Bolts!A:L,5,0)</f>
        <v xml:space="preserve">  </v>
      </c>
      <c r="G51" s="112" t="str">
        <f>VLOOKUP(C51,Bolts!A:L,6,0)</f>
        <v>Monroe Fasteners</v>
      </c>
      <c r="H51" s="112" t="str">
        <f>VLOOKUP(C51,Bolts!A:L,7,0)</f>
        <v xml:space="preserve">  </v>
      </c>
      <c r="I51" s="112"/>
      <c r="J51" s="44" t="str">
        <f>VLOOKUP(C51,Bolts!A:L,8,0)</f>
        <v xml:space="preserve"> </v>
      </c>
      <c r="K51" s="44" t="str">
        <f>VLOOKUP(C51,Bolts!A:L,9,0)</f>
        <v xml:space="preserve"> </v>
      </c>
      <c r="L51" s="44" t="str">
        <f>VLOOKUP(C51,Bolts!A:L,10,0)</f>
        <v xml:space="preserve"> </v>
      </c>
      <c r="M51" s="44" t="str">
        <f>VLOOKUP(C51,Bolts!A:L,11,0)</f>
        <v xml:space="preserve"> </v>
      </c>
      <c r="N51" s="45" t="str">
        <f>VLOOKUP(C51,Bolts!A:L,12,0)</f>
        <v xml:space="preserve"> </v>
      </c>
      <c r="O51" s="45" t="e">
        <f t="shared" ca="1" si="3"/>
        <v>#VALUE!</v>
      </c>
      <c r="P51" s="49" t="str">
        <f>IFERROR(VLOOKUP(C51,Bolts!A:B,2,FALSE),"")</f>
        <v xml:space="preserve"> </v>
      </c>
      <c r="Q51" s="50" t="str">
        <f t="shared" ref="Q51:Q68" si="6">IFERROR(B51*P51,"")</f>
        <v/>
      </c>
    </row>
    <row r="52" spans="1:17" s="2" customFormat="1" ht="12.75" customHeight="1">
      <c r="A52" s="4">
        <f t="shared" ref="A52:A73" si="7">A51+1</f>
        <v>502</v>
      </c>
      <c r="B52" s="2">
        <v>2</v>
      </c>
      <c r="C52" s="110" t="s">
        <v>970</v>
      </c>
      <c r="D52" s="268"/>
      <c r="E52" s="276"/>
      <c r="F52" s="112" t="str">
        <f>VLOOKUP(C52,Bolts!A:L,5,0)</f>
        <v xml:space="preserve">  </v>
      </c>
      <c r="G52" s="112" t="str">
        <f>VLOOKUP(C52,Bolts!A:L,6,0)</f>
        <v>Monroe Fasteners</v>
      </c>
      <c r="H52" s="112" t="str">
        <f>VLOOKUP(C52,Bolts!A:L,7,0)</f>
        <v xml:space="preserve">  </v>
      </c>
      <c r="I52" s="112"/>
      <c r="J52" s="44" t="str">
        <f>VLOOKUP(C52,Bolts!A:L,8,0)</f>
        <v xml:space="preserve"> </v>
      </c>
      <c r="K52" s="44" t="str">
        <f>VLOOKUP(C52,Bolts!A:L,9,0)</f>
        <v xml:space="preserve"> </v>
      </c>
      <c r="L52" s="44" t="str">
        <f>VLOOKUP(C52,Bolts!A:L,10,0)</f>
        <v xml:space="preserve"> </v>
      </c>
      <c r="M52" s="44" t="str">
        <f>VLOOKUP(C52,Bolts!A:L,11,0)</f>
        <v xml:space="preserve"> </v>
      </c>
      <c r="N52" s="45" t="str">
        <f>VLOOKUP(C52,Bolts!A:L,12,0)</f>
        <v xml:space="preserve"> </v>
      </c>
      <c r="O52" s="45" t="e">
        <f t="shared" ca="1" si="3"/>
        <v>#VALUE!</v>
      </c>
      <c r="P52" s="49" t="str">
        <f>IFERROR(VLOOKUP(C52,Bolts!A:B,2,FALSE),"")</f>
        <v xml:space="preserve"> </v>
      </c>
      <c r="Q52" s="50" t="str">
        <f t="shared" si="6"/>
        <v/>
      </c>
    </row>
    <row r="53" spans="1:17" s="2" customFormat="1" ht="12" customHeight="1">
      <c r="A53" s="4">
        <f t="shared" si="7"/>
        <v>503</v>
      </c>
      <c r="B53" s="2">
        <v>2</v>
      </c>
      <c r="C53" s="110" t="s">
        <v>971</v>
      </c>
      <c r="D53" s="268"/>
      <c r="E53" s="276"/>
      <c r="F53" s="112" t="str">
        <f>VLOOKUP(C53,Bolts!A:L,5,0)</f>
        <v xml:space="preserve">  </v>
      </c>
      <c r="G53" s="112" t="str">
        <f>VLOOKUP(C53,Bolts!A:L,6,0)</f>
        <v>Monroe Fasteners</v>
      </c>
      <c r="H53" s="112" t="str">
        <f>VLOOKUP(C53,Bolts!A:L,7,0)</f>
        <v xml:space="preserve">  </v>
      </c>
      <c r="I53" s="112"/>
      <c r="J53" s="44" t="str">
        <f>VLOOKUP(C53,Bolts!A:L,8,0)</f>
        <v xml:space="preserve"> </v>
      </c>
      <c r="K53" s="44" t="str">
        <f>VLOOKUP(C53,Bolts!A:L,9,0)</f>
        <v xml:space="preserve"> </v>
      </c>
      <c r="L53" s="44" t="str">
        <f>VLOOKUP(C53,Bolts!A:L,10,0)</f>
        <v xml:space="preserve"> </v>
      </c>
      <c r="M53" s="44" t="str">
        <f>VLOOKUP(C53,Bolts!A:L,11,0)</f>
        <v xml:space="preserve"> </v>
      </c>
      <c r="N53" s="45" t="str">
        <f>VLOOKUP(C53,Bolts!A:L,12,0)</f>
        <v xml:space="preserve"> </v>
      </c>
      <c r="O53" s="45" t="e">
        <f t="shared" ca="1" si="3"/>
        <v>#VALUE!</v>
      </c>
      <c r="P53" s="49" t="str">
        <f>IFERROR(VLOOKUP(C53,Bolts!A:B,2,FALSE),"")</f>
        <v xml:space="preserve"> </v>
      </c>
      <c r="Q53" s="50" t="str">
        <f t="shared" si="6"/>
        <v/>
      </c>
    </row>
    <row r="54" spans="1:17" s="2" customFormat="1" ht="12" customHeight="1">
      <c r="A54" s="4">
        <f t="shared" si="7"/>
        <v>504</v>
      </c>
      <c r="B54" s="2">
        <v>4</v>
      </c>
      <c r="C54" s="110" t="s">
        <v>967</v>
      </c>
      <c r="D54" s="268"/>
      <c r="E54" s="276"/>
      <c r="F54" s="112" t="str">
        <f>VLOOKUP(C54,Bolts!A:L,5,0)</f>
        <v xml:space="preserve">  </v>
      </c>
      <c r="G54" s="112" t="str">
        <f>VLOOKUP(C54,Bolts!A:L,6,0)</f>
        <v>Monroe Fasteners</v>
      </c>
      <c r="H54" s="112" t="str">
        <f>VLOOKUP(C54,Bolts!A:L,7,0)</f>
        <v xml:space="preserve">  </v>
      </c>
      <c r="I54" s="112"/>
      <c r="J54" s="44" t="str">
        <f>VLOOKUP(C54,Bolts!A:L,8,0)</f>
        <v xml:space="preserve"> </v>
      </c>
      <c r="K54" s="44" t="str">
        <f>VLOOKUP(C54,Bolts!A:L,9,0)</f>
        <v xml:space="preserve"> </v>
      </c>
      <c r="L54" s="44" t="str">
        <f>VLOOKUP(C54,Bolts!A:L,10,0)</f>
        <v xml:space="preserve"> </v>
      </c>
      <c r="M54" s="44" t="str">
        <f>VLOOKUP(C54,Bolts!A:L,11,0)</f>
        <v xml:space="preserve"> </v>
      </c>
      <c r="N54" s="45" t="str">
        <f>VLOOKUP(C54,Bolts!A:L,12,0)</f>
        <v xml:space="preserve"> </v>
      </c>
      <c r="O54" s="45" t="e">
        <f t="shared" ca="1" si="3"/>
        <v>#VALUE!</v>
      </c>
      <c r="P54" s="49" t="str">
        <f>IFERROR(VLOOKUP(C54,Bolts!A:B,2,FALSE),"")</f>
        <v xml:space="preserve"> </v>
      </c>
      <c r="Q54" s="50" t="str">
        <f t="shared" si="6"/>
        <v/>
      </c>
    </row>
    <row r="55" spans="1:17" s="2" customFormat="1" ht="12" customHeight="1">
      <c r="A55" s="4">
        <f t="shared" si="7"/>
        <v>505</v>
      </c>
      <c r="B55" s="2">
        <v>3</v>
      </c>
      <c r="C55" s="110" t="s">
        <v>454</v>
      </c>
      <c r="D55" s="268"/>
      <c r="E55" s="276"/>
      <c r="F55" s="112" t="str">
        <f>VLOOKUP(C55,Bolts!A:L,5,0)</f>
        <v xml:space="preserve">  </v>
      </c>
      <c r="G55" s="112" t="str">
        <f>VLOOKUP(C55,Bolts!A:L,6,0)</f>
        <v>Monroe Fasteners</v>
      </c>
      <c r="H55" s="112" t="str">
        <f>VLOOKUP(C55,Bolts!A:L,7,0)</f>
        <v xml:space="preserve">  </v>
      </c>
      <c r="I55" s="112"/>
      <c r="J55" s="44" t="str">
        <f>VLOOKUP(C55,Bolts!A:L,8,0)</f>
        <v xml:space="preserve"> </v>
      </c>
      <c r="K55" s="44" t="str">
        <f>VLOOKUP(C55,Bolts!A:L,9,0)</f>
        <v xml:space="preserve"> </v>
      </c>
      <c r="L55" s="44" t="str">
        <f>VLOOKUP(C55,Bolts!A:L,10,0)</f>
        <v xml:space="preserve"> </v>
      </c>
      <c r="M55" s="44" t="str">
        <f>VLOOKUP(C55,Bolts!A:L,11,0)</f>
        <v xml:space="preserve"> </v>
      </c>
      <c r="N55" s="45" t="str">
        <f>VLOOKUP(C55,Bolts!A:L,12,0)</f>
        <v xml:space="preserve"> </v>
      </c>
      <c r="O55" s="45" t="e">
        <f t="shared" ca="1" si="3"/>
        <v>#VALUE!</v>
      </c>
      <c r="P55" s="49" t="str">
        <f>IFERROR(VLOOKUP(C55,Bolts!A:B,2,FALSE),"")</f>
        <v xml:space="preserve"> </v>
      </c>
      <c r="Q55" s="50" t="str">
        <f t="shared" si="6"/>
        <v/>
      </c>
    </row>
    <row r="56" spans="1:17" s="2" customFormat="1" ht="12" customHeight="1">
      <c r="A56" s="4">
        <f t="shared" si="7"/>
        <v>506</v>
      </c>
      <c r="B56" s="2">
        <v>4</v>
      </c>
      <c r="C56" s="110" t="s">
        <v>452</v>
      </c>
      <c r="D56" s="268"/>
      <c r="E56" s="276"/>
      <c r="F56" s="112" t="str">
        <f>VLOOKUP(C56,Bolts!A:L,5,0)</f>
        <v xml:space="preserve">  </v>
      </c>
      <c r="G56" s="112" t="str">
        <f>VLOOKUP(C56,Bolts!A:L,6,0)</f>
        <v>Monroe Fasteners</v>
      </c>
      <c r="H56" s="112" t="str">
        <f>VLOOKUP(C56,Bolts!A:L,7,0)</f>
        <v xml:space="preserve">  </v>
      </c>
      <c r="I56" s="112"/>
      <c r="J56" s="44" t="str">
        <f>VLOOKUP(C56,Bolts!A:L,8,0)</f>
        <v xml:space="preserve"> </v>
      </c>
      <c r="K56" s="44" t="str">
        <f>VLOOKUP(C56,Bolts!A:L,9,0)</f>
        <v xml:space="preserve"> </v>
      </c>
      <c r="L56" s="44" t="str">
        <f>VLOOKUP(C56,Bolts!A:L,10,0)</f>
        <v xml:space="preserve"> </v>
      </c>
      <c r="M56" s="44" t="str">
        <f>VLOOKUP(C56,Bolts!A:L,11,0)</f>
        <v xml:space="preserve"> </v>
      </c>
      <c r="N56" s="45" t="str">
        <f>VLOOKUP(C56,Bolts!A:L,12,0)</f>
        <v xml:space="preserve"> </v>
      </c>
      <c r="O56" s="45" t="e">
        <f t="shared" ca="1" si="3"/>
        <v>#VALUE!</v>
      </c>
      <c r="P56" s="49" t="str">
        <f>IFERROR(VLOOKUP(C56,Bolts!A:B,2,FALSE),"")</f>
        <v xml:space="preserve"> </v>
      </c>
      <c r="Q56" s="50" t="str">
        <f t="shared" si="6"/>
        <v/>
      </c>
    </row>
    <row r="57" spans="1:17" s="2" customFormat="1" ht="12" customHeight="1">
      <c r="A57" s="4">
        <f t="shared" si="7"/>
        <v>507</v>
      </c>
      <c r="B57" s="2">
        <v>4</v>
      </c>
      <c r="C57" s="110" t="s">
        <v>540</v>
      </c>
      <c r="D57" s="268"/>
      <c r="E57" s="276"/>
      <c r="F57" s="112" t="str">
        <f>VLOOKUP(C57,Bolts!A:L,5,0)</f>
        <v xml:space="preserve">  </v>
      </c>
      <c r="G57" s="112" t="str">
        <f>VLOOKUP(C57,Bolts!A:L,6,0)</f>
        <v>Monroe Fasteners</v>
      </c>
      <c r="H57" s="112" t="str">
        <f>VLOOKUP(C57,Bolts!A:L,7,0)</f>
        <v xml:space="preserve">  </v>
      </c>
      <c r="I57" s="112"/>
      <c r="J57" s="44" t="str">
        <f>VLOOKUP(C57,Bolts!A:L,8,0)</f>
        <v xml:space="preserve"> </v>
      </c>
      <c r="K57" s="44" t="str">
        <f>VLOOKUP(C57,Bolts!A:L,9,0)</f>
        <v xml:space="preserve"> </v>
      </c>
      <c r="L57" s="44" t="str">
        <f>VLOOKUP(C57,Bolts!A:L,10,0)</f>
        <v xml:space="preserve"> </v>
      </c>
      <c r="M57" s="44" t="str">
        <f>VLOOKUP(C57,Bolts!A:L,11,0)</f>
        <v xml:space="preserve"> </v>
      </c>
      <c r="N57" s="45" t="str">
        <f>VLOOKUP(C57,Bolts!A:L,12,0)</f>
        <v xml:space="preserve"> </v>
      </c>
      <c r="O57" s="45" t="e">
        <f t="shared" ca="1" si="3"/>
        <v>#VALUE!</v>
      </c>
      <c r="P57" s="49" t="str">
        <f>IFERROR(VLOOKUP(C57,Bolts!A:B,2,FALSE),"")</f>
        <v xml:space="preserve"> </v>
      </c>
      <c r="Q57" s="50" t="str">
        <f t="shared" si="6"/>
        <v/>
      </c>
    </row>
    <row r="58" spans="1:17" s="2" customFormat="1" ht="12" customHeight="1">
      <c r="A58" s="4">
        <f t="shared" si="7"/>
        <v>508</v>
      </c>
      <c r="B58" s="2">
        <v>2</v>
      </c>
      <c r="C58" s="110" t="s">
        <v>311</v>
      </c>
      <c r="D58" s="268"/>
      <c r="E58" s="276"/>
      <c r="F58" s="112" t="str">
        <f>VLOOKUP(C58,Bolts!A:L,5,0)</f>
        <v xml:space="preserve">  </v>
      </c>
      <c r="G58" s="112" t="str">
        <f>VLOOKUP(C58,Bolts!A:L,6,0)</f>
        <v>Monroe Fasteners</v>
      </c>
      <c r="H58" s="112" t="str">
        <f>VLOOKUP(C58,Bolts!A:L,7,0)</f>
        <v xml:space="preserve">  </v>
      </c>
      <c r="I58" s="112"/>
      <c r="J58" s="44" t="str">
        <f>VLOOKUP(C58,Bolts!A:L,8,0)</f>
        <v xml:space="preserve"> </v>
      </c>
      <c r="K58" s="44" t="str">
        <f>VLOOKUP(C58,Bolts!A:L,9,0)</f>
        <v xml:space="preserve"> </v>
      </c>
      <c r="L58" s="44" t="str">
        <f>VLOOKUP(C58,Bolts!A:L,10,0)</f>
        <v xml:space="preserve"> </v>
      </c>
      <c r="M58" s="44" t="str">
        <f>VLOOKUP(C58,Bolts!A:L,11,0)</f>
        <v xml:space="preserve"> </v>
      </c>
      <c r="N58" s="45" t="str">
        <f>VLOOKUP(C58,Bolts!A:L,12,0)</f>
        <v xml:space="preserve"> </v>
      </c>
      <c r="O58" s="45" t="e">
        <f t="shared" ca="1" si="3"/>
        <v>#VALUE!</v>
      </c>
      <c r="P58" s="49" t="str">
        <f>IFERROR(VLOOKUP(C58,Bolts!A:B,2,FALSE),"")</f>
        <v xml:space="preserve"> </v>
      </c>
      <c r="Q58" s="50" t="str">
        <f t="shared" si="6"/>
        <v/>
      </c>
    </row>
    <row r="59" spans="1:17" s="2" customFormat="1" ht="12" customHeight="1">
      <c r="A59" s="4">
        <f t="shared" si="7"/>
        <v>509</v>
      </c>
      <c r="B59" s="2">
        <v>16</v>
      </c>
      <c r="C59" s="110" t="s">
        <v>968</v>
      </c>
      <c r="D59" s="268"/>
      <c r="E59" s="276"/>
      <c r="F59" s="112">
        <f>VLOOKUP(C59,Bolts!A:L,5,0)</f>
        <v>0</v>
      </c>
      <c r="G59" s="112">
        <f>VLOOKUP(C59,Bolts!A:L,6,0)</f>
        <v>0</v>
      </c>
      <c r="H59" s="112">
        <f>VLOOKUP(C59,Bolts!A:L,7,0)</f>
        <v>0</v>
      </c>
      <c r="I59" s="112"/>
      <c r="J59" s="44">
        <f>VLOOKUP(C59,Bolts!A:L,8,0)</f>
        <v>0</v>
      </c>
      <c r="K59" s="44">
        <f>VLOOKUP(C59,Bolts!A:L,9,0)</f>
        <v>0</v>
      </c>
      <c r="L59" s="44">
        <f>VLOOKUP(C59,Bolts!A:L,10,0)</f>
        <v>0</v>
      </c>
      <c r="M59" s="44">
        <f>VLOOKUP(C59,Bolts!A:L,11,0)</f>
        <v>0</v>
      </c>
      <c r="N59" s="45">
        <f>VLOOKUP(C59,Bolts!A:L,12,0)</f>
        <v>0</v>
      </c>
      <c r="O59" s="45" t="e">
        <f t="shared" ca="1" si="3"/>
        <v>#VALUE!</v>
      </c>
      <c r="P59" s="49">
        <f>IFERROR(VLOOKUP(C59,Bolts!A:B,2,FALSE),"")</f>
        <v>0</v>
      </c>
      <c r="Q59" s="50">
        <f t="shared" si="6"/>
        <v>0</v>
      </c>
    </row>
    <row r="60" spans="1:17" s="2" customFormat="1" ht="12" customHeight="1">
      <c r="A60" s="4">
        <f t="shared" si="7"/>
        <v>510</v>
      </c>
      <c r="B60" s="2">
        <v>2</v>
      </c>
      <c r="C60" s="110" t="s">
        <v>1005</v>
      </c>
      <c r="D60" s="268"/>
      <c r="E60" s="276"/>
      <c r="F60" s="112" t="str">
        <f>VLOOKUP(C60,Bolts!A:L,5,0)</f>
        <v xml:space="preserve">  </v>
      </c>
      <c r="G60" s="112" t="str">
        <f>VLOOKUP(C60,Bolts!A:L,6,0)</f>
        <v>Monroe Fasteners</v>
      </c>
      <c r="H60" s="112" t="str">
        <f>VLOOKUP(C60,Bolts!A:L,7,0)</f>
        <v xml:space="preserve">  </v>
      </c>
      <c r="I60" s="112"/>
      <c r="J60" s="44" t="str">
        <f>VLOOKUP(C60,Bolts!A:L,8,0)</f>
        <v xml:space="preserve"> </v>
      </c>
      <c r="K60" s="44" t="str">
        <f>VLOOKUP(C60,Bolts!A:L,9,0)</f>
        <v xml:space="preserve"> </v>
      </c>
      <c r="L60" s="44" t="str">
        <f>VLOOKUP(C60,Bolts!A:L,10,0)</f>
        <v xml:space="preserve"> </v>
      </c>
      <c r="M60" s="44" t="str">
        <f>VLOOKUP(C60,Bolts!A:L,11,0)</f>
        <v xml:space="preserve"> </v>
      </c>
      <c r="N60" s="45" t="str">
        <f>VLOOKUP(C60,Bolts!A:L,12,0)</f>
        <v xml:space="preserve"> </v>
      </c>
      <c r="O60" s="45" t="e">
        <f t="shared" ref="O60:O68" ca="1" si="8">B60*$L$2</f>
        <v>#VALUE!</v>
      </c>
      <c r="P60" s="49" t="str">
        <f>IFERROR(VLOOKUP(C60,Bolts!A:B,2,FALSE),"")</f>
        <v xml:space="preserve"> </v>
      </c>
      <c r="Q60" s="50" t="str">
        <f t="shared" si="6"/>
        <v/>
      </c>
    </row>
    <row r="61" spans="1:17" s="2" customFormat="1" ht="12" customHeight="1">
      <c r="A61" s="4">
        <f t="shared" si="7"/>
        <v>511</v>
      </c>
      <c r="B61" s="2">
        <v>8</v>
      </c>
      <c r="C61" s="110" t="s">
        <v>699</v>
      </c>
      <c r="D61" s="268"/>
      <c r="E61" s="276"/>
      <c r="F61" s="112" t="str">
        <f>VLOOKUP(C61,Bolts!A:L,5,0)</f>
        <v xml:space="preserve">  </v>
      </c>
      <c r="G61" s="112" t="str">
        <f>VLOOKUP(C61,Bolts!A:L,6,0)</f>
        <v>Monroe Fasteners</v>
      </c>
      <c r="H61" s="112" t="str">
        <f>VLOOKUP(C61,Bolts!A:L,7,0)</f>
        <v xml:space="preserve">  </v>
      </c>
      <c r="I61" s="112"/>
      <c r="J61" s="44" t="str">
        <f>VLOOKUP(C61,Bolts!A:L,8,0)</f>
        <v xml:space="preserve"> </v>
      </c>
      <c r="K61" s="44" t="str">
        <f>VLOOKUP(C61,Bolts!A:L,9,0)</f>
        <v xml:space="preserve"> </v>
      </c>
      <c r="L61" s="44" t="str">
        <f>VLOOKUP(C61,Bolts!A:L,10,0)</f>
        <v xml:space="preserve"> </v>
      </c>
      <c r="M61" s="44" t="str">
        <f>VLOOKUP(C61,Bolts!A:L,11,0)</f>
        <v xml:space="preserve"> </v>
      </c>
      <c r="N61" s="45" t="str">
        <f>VLOOKUP(C61,Bolts!A:L,12,0)</f>
        <v xml:space="preserve"> </v>
      </c>
      <c r="O61" s="45" t="e">
        <f t="shared" ca="1" si="8"/>
        <v>#VALUE!</v>
      </c>
      <c r="P61" s="49" t="str">
        <f>IFERROR(VLOOKUP(C61,Bolts!A:B,2,FALSE),"")</f>
        <v xml:space="preserve"> </v>
      </c>
      <c r="Q61" s="50" t="str">
        <f t="shared" si="6"/>
        <v/>
      </c>
    </row>
    <row r="62" spans="1:17" s="2" customFormat="1" ht="12" customHeight="1">
      <c r="A62" s="4">
        <f t="shared" si="7"/>
        <v>512</v>
      </c>
      <c r="B62" s="2">
        <v>11</v>
      </c>
      <c r="C62" s="110" t="s">
        <v>828</v>
      </c>
      <c r="D62" s="268"/>
      <c r="E62" s="276"/>
      <c r="F62" s="112" t="str">
        <f>VLOOKUP(C62,Bolts!A:L,5,0)</f>
        <v xml:space="preserve">  </v>
      </c>
      <c r="G62" s="112" t="str">
        <f>VLOOKUP(C62,Bolts!A:L,6,0)</f>
        <v>Monroe Fasteners</v>
      </c>
      <c r="H62" s="112" t="str">
        <f>VLOOKUP(C62,Bolts!A:L,7,0)</f>
        <v xml:space="preserve">  </v>
      </c>
      <c r="I62" s="112"/>
      <c r="J62" s="44" t="str">
        <f>VLOOKUP(C62,Bolts!A:L,8,0)</f>
        <v xml:space="preserve"> </v>
      </c>
      <c r="K62" s="44" t="str">
        <f>VLOOKUP(C62,Bolts!A:L,9,0)</f>
        <v xml:space="preserve"> </v>
      </c>
      <c r="L62" s="44" t="str">
        <f>VLOOKUP(C62,Bolts!A:L,10,0)</f>
        <v xml:space="preserve"> </v>
      </c>
      <c r="M62" s="44" t="str">
        <f>VLOOKUP(C62,Bolts!A:L,11,0)</f>
        <v xml:space="preserve"> </v>
      </c>
      <c r="N62" s="45" t="str">
        <f>VLOOKUP(C62,Bolts!A:L,12,0)</f>
        <v xml:space="preserve"> </v>
      </c>
      <c r="O62" s="45" t="e">
        <f t="shared" ca="1" si="8"/>
        <v>#VALUE!</v>
      </c>
      <c r="P62" s="49" t="str">
        <f>IFERROR(VLOOKUP(C62,Bolts!A:B,2,FALSE),"")</f>
        <v xml:space="preserve"> </v>
      </c>
      <c r="Q62" s="50" t="str">
        <f t="shared" si="6"/>
        <v/>
      </c>
    </row>
    <row r="63" spans="1:17" s="2" customFormat="1" ht="12.75" customHeight="1">
      <c r="A63" s="4">
        <f t="shared" si="7"/>
        <v>513</v>
      </c>
      <c r="B63" s="2">
        <v>2</v>
      </c>
      <c r="C63" s="110" t="s">
        <v>481</v>
      </c>
      <c r="D63" s="268"/>
      <c r="E63" s="276"/>
      <c r="F63" s="112" t="str">
        <f>VLOOKUP(C63,Bolts!A:L,5,0)</f>
        <v xml:space="preserve">  </v>
      </c>
      <c r="G63" s="112" t="str">
        <f>VLOOKUP(C63,Bolts!A:L,6,0)</f>
        <v>Monroe Fasteners</v>
      </c>
      <c r="H63" s="112" t="str">
        <f>VLOOKUP(C63,Bolts!A:L,7,0)</f>
        <v xml:space="preserve">  </v>
      </c>
      <c r="I63" s="112"/>
      <c r="J63" s="44" t="str">
        <f>VLOOKUP(C63,Bolts!A:L,8,0)</f>
        <v xml:space="preserve"> </v>
      </c>
      <c r="K63" s="44" t="str">
        <f>VLOOKUP(C63,Bolts!A:L,9,0)</f>
        <v xml:space="preserve"> </v>
      </c>
      <c r="L63" s="44" t="str">
        <f>VLOOKUP(C63,Bolts!A:L,10,0)</f>
        <v xml:space="preserve"> </v>
      </c>
      <c r="M63" s="44" t="str">
        <f>VLOOKUP(C63,Bolts!A:L,11,0)</f>
        <v xml:space="preserve"> </v>
      </c>
      <c r="N63" s="45" t="str">
        <f>VLOOKUP(C63,Bolts!A:L,12,0)</f>
        <v xml:space="preserve"> </v>
      </c>
      <c r="O63" s="45" t="e">
        <f t="shared" ca="1" si="8"/>
        <v>#VALUE!</v>
      </c>
      <c r="P63" s="49" t="str">
        <f>IFERROR(VLOOKUP(C63,Bolts!A:B,2,FALSE),"")</f>
        <v xml:space="preserve"> </v>
      </c>
      <c r="Q63" s="50" t="str">
        <f t="shared" si="6"/>
        <v/>
      </c>
    </row>
    <row r="64" spans="1:17" s="2" customFormat="1" ht="12.75" customHeight="1">
      <c r="A64" s="4">
        <f t="shared" si="7"/>
        <v>514</v>
      </c>
      <c r="B64" s="2">
        <v>4</v>
      </c>
      <c r="C64" s="110" t="s">
        <v>1006</v>
      </c>
      <c r="D64" s="268"/>
      <c r="E64" s="276"/>
      <c r="F64" s="112" t="str">
        <f>VLOOKUP(C64,Bolts!A:L,5,0)</f>
        <v xml:space="preserve">  </v>
      </c>
      <c r="G64" s="112" t="str">
        <f>VLOOKUP(C64,Bolts!A:L,6,0)</f>
        <v>Monroe Fasteners</v>
      </c>
      <c r="H64" s="112" t="str">
        <f>VLOOKUP(C64,Bolts!A:L,7,0)</f>
        <v xml:space="preserve">  </v>
      </c>
      <c r="I64" s="112"/>
      <c r="J64" s="44" t="str">
        <f>VLOOKUP(C64,Bolts!A:L,8,0)</f>
        <v xml:space="preserve"> </v>
      </c>
      <c r="K64" s="44" t="str">
        <f>VLOOKUP(C64,Bolts!A:L,9,0)</f>
        <v xml:space="preserve"> </v>
      </c>
      <c r="L64" s="44" t="str">
        <f>VLOOKUP(C64,Bolts!A:L,10,0)</f>
        <v xml:space="preserve"> </v>
      </c>
      <c r="M64" s="44" t="str">
        <f>VLOOKUP(C64,Bolts!A:L,11,0)</f>
        <v xml:space="preserve"> </v>
      </c>
      <c r="N64" s="45" t="str">
        <f>VLOOKUP(C64,Bolts!A:L,12,0)</f>
        <v xml:space="preserve"> </v>
      </c>
      <c r="O64" s="45" t="e">
        <f t="shared" ca="1" si="8"/>
        <v>#VALUE!</v>
      </c>
      <c r="P64" s="49" t="str">
        <f>IFERROR(VLOOKUP(C64,Bolts!A:B,2,FALSE),"")</f>
        <v xml:space="preserve"> </v>
      </c>
      <c r="Q64" s="50" t="str">
        <f t="shared" si="6"/>
        <v/>
      </c>
    </row>
    <row r="65" spans="1:17" s="2" customFormat="1" ht="12.75" customHeight="1">
      <c r="A65" s="4">
        <f t="shared" si="7"/>
        <v>515</v>
      </c>
      <c r="B65" s="2">
        <v>2</v>
      </c>
      <c r="C65" s="110" t="s">
        <v>1007</v>
      </c>
      <c r="D65" s="268"/>
      <c r="E65" s="276"/>
      <c r="F65" s="112" t="str">
        <f>VLOOKUP(C65,Bolts!A:L,5,0)</f>
        <v xml:space="preserve">  </v>
      </c>
      <c r="G65" s="112" t="str">
        <f>VLOOKUP(C65,Bolts!A:L,6,0)</f>
        <v>Monroe Fasteners</v>
      </c>
      <c r="H65" s="112" t="str">
        <f>VLOOKUP(C65,Bolts!A:L,7,0)</f>
        <v xml:space="preserve">  </v>
      </c>
      <c r="I65" s="112"/>
      <c r="J65" s="44" t="str">
        <f>VLOOKUP(C65,Bolts!A:L,8,0)</f>
        <v xml:space="preserve"> </v>
      </c>
      <c r="K65" s="44" t="str">
        <f>VLOOKUP(C65,Bolts!A:L,9,0)</f>
        <v xml:space="preserve"> </v>
      </c>
      <c r="L65" s="44" t="str">
        <f>VLOOKUP(C65,Bolts!A:L,10,0)</f>
        <v xml:space="preserve"> </v>
      </c>
      <c r="M65" s="44" t="str">
        <f>VLOOKUP(C65,Bolts!A:L,11,0)</f>
        <v xml:space="preserve"> </v>
      </c>
      <c r="N65" s="45" t="str">
        <f>VLOOKUP(C65,Bolts!A:L,12,0)</f>
        <v xml:space="preserve"> </v>
      </c>
      <c r="O65" s="45" t="e">
        <f t="shared" ca="1" si="8"/>
        <v>#VALUE!</v>
      </c>
      <c r="P65" s="49" t="str">
        <f>IFERROR(VLOOKUP(C65,Bolts!A:B,2,FALSE),"")</f>
        <v xml:space="preserve"> </v>
      </c>
      <c r="Q65" s="50" t="str">
        <f t="shared" si="6"/>
        <v/>
      </c>
    </row>
    <row r="66" spans="1:17" s="2" customFormat="1" ht="12.75" customHeight="1">
      <c r="A66" s="4">
        <f t="shared" si="7"/>
        <v>516</v>
      </c>
      <c r="B66" s="2">
        <v>4</v>
      </c>
      <c r="C66" s="110" t="s">
        <v>1008</v>
      </c>
      <c r="D66" s="268"/>
      <c r="E66" s="276"/>
      <c r="F66" s="112" t="str">
        <f>VLOOKUP(C66,Bolts!A:L,5,0)</f>
        <v xml:space="preserve">  </v>
      </c>
      <c r="G66" s="112" t="str">
        <f>VLOOKUP(C66,Bolts!A:L,6,0)</f>
        <v>Monroe Fasteners</v>
      </c>
      <c r="H66" s="112" t="str">
        <f>VLOOKUP(C66,Bolts!A:L,7,0)</f>
        <v xml:space="preserve">  </v>
      </c>
      <c r="I66" s="112"/>
      <c r="J66" s="44" t="str">
        <f>VLOOKUP(C66,Bolts!A:L,8,0)</f>
        <v xml:space="preserve"> </v>
      </c>
      <c r="K66" s="44" t="str">
        <f>VLOOKUP(C66,Bolts!A:L,9,0)</f>
        <v xml:space="preserve"> </v>
      </c>
      <c r="L66" s="44" t="str">
        <f>VLOOKUP(C66,Bolts!A:L,10,0)</f>
        <v xml:space="preserve"> </v>
      </c>
      <c r="M66" s="44" t="str">
        <f>VLOOKUP(C66,Bolts!A:L,11,0)</f>
        <v xml:space="preserve"> </v>
      </c>
      <c r="N66" s="45" t="str">
        <f>VLOOKUP(C66,Bolts!A:L,12,0)</f>
        <v xml:space="preserve"> </v>
      </c>
      <c r="O66" s="45" t="e">
        <f t="shared" ca="1" si="8"/>
        <v>#VALUE!</v>
      </c>
      <c r="P66" s="49" t="str">
        <f>IFERROR(VLOOKUP(C66,Bolts!A:B,2,FALSE),"")</f>
        <v xml:space="preserve"> </v>
      </c>
      <c r="Q66" s="50" t="str">
        <f t="shared" si="6"/>
        <v/>
      </c>
    </row>
    <row r="67" spans="1:17" s="2" customFormat="1" ht="12.75" customHeight="1">
      <c r="A67" s="4">
        <f t="shared" si="7"/>
        <v>517</v>
      </c>
      <c r="B67" s="2">
        <v>15</v>
      </c>
      <c r="C67" s="110" t="s">
        <v>595</v>
      </c>
      <c r="D67" s="268"/>
      <c r="E67" s="276"/>
      <c r="F67" s="112" t="str">
        <f>VLOOKUP(C67,Bolts!A:L,5,0)</f>
        <v xml:space="preserve">  </v>
      </c>
      <c r="G67" s="112" t="str">
        <f>VLOOKUP(C67,Bolts!A:L,6,0)</f>
        <v>Monroe Fasteners</v>
      </c>
      <c r="H67" s="112" t="str">
        <f>VLOOKUP(C67,Bolts!A:L,7,0)</f>
        <v xml:space="preserve">  </v>
      </c>
      <c r="I67" s="112"/>
      <c r="J67" s="44" t="str">
        <f>VLOOKUP(C67,Bolts!A:L,8,0)</f>
        <v xml:space="preserve"> </v>
      </c>
      <c r="K67" s="44" t="str">
        <f>VLOOKUP(C67,Bolts!A:L,9,0)</f>
        <v xml:space="preserve"> </v>
      </c>
      <c r="L67" s="44" t="str">
        <f>VLOOKUP(C67,Bolts!A:L,10,0)</f>
        <v xml:space="preserve"> </v>
      </c>
      <c r="M67" s="44" t="str">
        <f>VLOOKUP(C67,Bolts!A:L,11,0)</f>
        <v xml:space="preserve"> </v>
      </c>
      <c r="N67" s="45" t="str">
        <f>VLOOKUP(C67,Bolts!A:L,12,0)</f>
        <v xml:space="preserve"> </v>
      </c>
      <c r="O67" s="45" t="e">
        <f t="shared" ca="1" si="8"/>
        <v>#VALUE!</v>
      </c>
      <c r="P67" s="49" t="str">
        <f>IFERROR(VLOOKUP(C67,Bolts!A:B,2,FALSE),"")</f>
        <v xml:space="preserve"> </v>
      </c>
      <c r="Q67" s="50" t="str">
        <f t="shared" si="6"/>
        <v/>
      </c>
    </row>
    <row r="68" spans="1:17" s="2" customFormat="1" ht="12.75" customHeight="1">
      <c r="A68" s="4">
        <f t="shared" si="7"/>
        <v>518</v>
      </c>
      <c r="B68" s="2">
        <v>2</v>
      </c>
      <c r="C68" s="110" t="s">
        <v>542</v>
      </c>
      <c r="D68" s="268"/>
      <c r="E68" s="276"/>
      <c r="F68" s="112" t="str">
        <f>VLOOKUP(C68,Bolts!A:L,5,0)</f>
        <v xml:space="preserve">  </v>
      </c>
      <c r="G68" s="112" t="str">
        <f>VLOOKUP(C68,Bolts!A:L,6,0)</f>
        <v>Monroe Fasteners</v>
      </c>
      <c r="H68" s="112" t="str">
        <f>VLOOKUP(C68,Bolts!A:L,7,0)</f>
        <v xml:space="preserve">  </v>
      </c>
      <c r="I68" s="112"/>
      <c r="J68" s="44" t="str">
        <f>VLOOKUP(C68,Bolts!A:L,8,0)</f>
        <v xml:space="preserve"> </v>
      </c>
      <c r="K68" s="44" t="str">
        <f>VLOOKUP(C68,Bolts!A:L,9,0)</f>
        <v xml:space="preserve"> </v>
      </c>
      <c r="L68" s="44" t="str">
        <f>VLOOKUP(C68,Bolts!A:L,10,0)</f>
        <v xml:space="preserve"> </v>
      </c>
      <c r="M68" s="44" t="str">
        <f>VLOOKUP(C68,Bolts!A:L,11,0)</f>
        <v xml:space="preserve"> </v>
      </c>
      <c r="N68" s="45" t="str">
        <f>VLOOKUP(C68,Bolts!A:L,12,0)</f>
        <v xml:space="preserve"> </v>
      </c>
      <c r="O68" s="45" t="e">
        <f t="shared" ca="1" si="8"/>
        <v>#VALUE!</v>
      </c>
      <c r="P68" s="49" t="str">
        <f>IFERROR(VLOOKUP(C68,Bolts!A:B,2,FALSE),"")</f>
        <v xml:space="preserve"> </v>
      </c>
      <c r="Q68" s="50" t="str">
        <f t="shared" si="6"/>
        <v/>
      </c>
    </row>
    <row r="69" spans="1:17" s="2" customFormat="1" ht="12.75" customHeight="1">
      <c r="A69" s="4">
        <f t="shared" si="7"/>
        <v>519</v>
      </c>
      <c r="B69" s="2">
        <v>2</v>
      </c>
      <c r="C69" s="110" t="s">
        <v>831</v>
      </c>
      <c r="D69" s="268"/>
      <c r="E69" s="276"/>
      <c r="F69" s="112" t="str">
        <f>VLOOKUP(C69,Bolts!A:L,5,0)</f>
        <v xml:space="preserve">  </v>
      </c>
      <c r="G69" s="112" t="str">
        <f>VLOOKUP(C69,Bolts!A:L,6,0)</f>
        <v>Monroe Fasteners</v>
      </c>
      <c r="H69" s="112" t="str">
        <f>VLOOKUP(C69,Bolts!A:L,7,0)</f>
        <v xml:space="preserve">  </v>
      </c>
      <c r="I69" s="112"/>
      <c r="J69" s="44" t="str">
        <f>VLOOKUP(C69,Bolts!A:L,8,0)</f>
        <v xml:space="preserve"> </v>
      </c>
      <c r="K69" s="44" t="str">
        <f>VLOOKUP(C69,Bolts!A:L,9,0)</f>
        <v xml:space="preserve"> </v>
      </c>
      <c r="L69" s="44" t="str">
        <f>VLOOKUP(C69,Bolts!A:L,10,0)</f>
        <v xml:space="preserve"> </v>
      </c>
      <c r="M69" s="44" t="str">
        <f>VLOOKUP(C69,Bolts!A:L,11,0)</f>
        <v xml:space="preserve"> </v>
      </c>
      <c r="N69" s="45" t="str">
        <f>VLOOKUP(C69,Bolts!A:L,12,0)</f>
        <v xml:space="preserve"> </v>
      </c>
      <c r="O69" s="45" t="e">
        <f t="shared" ref="O69:O73" ca="1" si="9">B69*$L$2</f>
        <v>#VALUE!</v>
      </c>
      <c r="P69" s="49" t="str">
        <f>IFERROR(VLOOKUP(C69,Bolts!A:B,2,FALSE),"")</f>
        <v xml:space="preserve"> </v>
      </c>
      <c r="Q69" s="50" t="str">
        <f t="shared" ref="Q69:Q73" si="10">IFERROR(B69*P69,"")</f>
        <v/>
      </c>
    </row>
    <row r="70" spans="1:17" s="2" customFormat="1" ht="12.75" customHeight="1">
      <c r="A70" s="4">
        <f t="shared" si="7"/>
        <v>520</v>
      </c>
      <c r="B70" s="2">
        <v>4</v>
      </c>
      <c r="C70" s="110" t="s">
        <v>434</v>
      </c>
      <c r="D70" s="268"/>
      <c r="E70" s="276"/>
      <c r="F70" s="112" t="str">
        <f>VLOOKUP(C70,Bolts!A:L,5,0)</f>
        <v xml:space="preserve">  </v>
      </c>
      <c r="G70" s="112" t="str">
        <f>VLOOKUP(C70,Bolts!A:L,6,0)</f>
        <v>Monroe Fasteners</v>
      </c>
      <c r="H70" s="112" t="str">
        <f>VLOOKUP(C70,Bolts!A:L,7,0)</f>
        <v xml:space="preserve">  </v>
      </c>
      <c r="I70" s="112"/>
      <c r="J70" s="44" t="str">
        <f>VLOOKUP(C70,Bolts!A:L,8,0)</f>
        <v xml:space="preserve"> </v>
      </c>
      <c r="K70" s="44" t="str">
        <f>VLOOKUP(C70,Bolts!A:L,9,0)</f>
        <v xml:space="preserve"> </v>
      </c>
      <c r="L70" s="44" t="str">
        <f>VLOOKUP(C70,Bolts!A:L,10,0)</f>
        <v xml:space="preserve"> </v>
      </c>
      <c r="M70" s="44" t="str">
        <f>VLOOKUP(C70,Bolts!A:L,11,0)</f>
        <v xml:space="preserve"> </v>
      </c>
      <c r="N70" s="45" t="str">
        <f>VLOOKUP(C70,Bolts!A:L,12,0)</f>
        <v xml:space="preserve"> </v>
      </c>
      <c r="O70" s="45" t="e">
        <f t="shared" ca="1" si="9"/>
        <v>#VALUE!</v>
      </c>
      <c r="P70" s="49" t="str">
        <f>IFERROR(VLOOKUP(C70,Bolts!A:B,2,FALSE),"")</f>
        <v xml:space="preserve"> </v>
      </c>
      <c r="Q70" s="50" t="str">
        <f t="shared" si="10"/>
        <v/>
      </c>
    </row>
    <row r="71" spans="1:17" s="2" customFormat="1" ht="12.75" customHeight="1">
      <c r="A71" s="4">
        <f t="shared" si="7"/>
        <v>521</v>
      </c>
      <c r="B71" s="2">
        <v>2</v>
      </c>
      <c r="C71" s="110" t="s">
        <v>515</v>
      </c>
      <c r="D71" s="268"/>
      <c r="E71" s="276"/>
      <c r="F71" s="112" t="str">
        <f>VLOOKUP(C71,Bolts!A:L,5,0)</f>
        <v xml:space="preserve">  </v>
      </c>
      <c r="G71" s="112" t="str">
        <f>VLOOKUP(C71,Bolts!A:L,6,0)</f>
        <v>Monroe Fasteners</v>
      </c>
      <c r="H71" s="112" t="str">
        <f>VLOOKUP(C71,Bolts!A:L,7,0)</f>
        <v xml:space="preserve">  </v>
      </c>
      <c r="I71" s="112"/>
      <c r="J71" s="44" t="str">
        <f>VLOOKUP(C71,Bolts!A:L,8,0)</f>
        <v xml:space="preserve"> </v>
      </c>
      <c r="K71" s="44" t="str">
        <f>VLOOKUP(C71,Bolts!A:L,9,0)</f>
        <v xml:space="preserve"> </v>
      </c>
      <c r="L71" s="44" t="str">
        <f>VLOOKUP(C71,Bolts!A:L,10,0)</f>
        <v xml:space="preserve"> </v>
      </c>
      <c r="M71" s="44" t="str">
        <f>VLOOKUP(C71,Bolts!A:L,11,0)</f>
        <v xml:space="preserve"> </v>
      </c>
      <c r="N71" s="45" t="str">
        <f>VLOOKUP(C71,Bolts!A:L,12,0)</f>
        <v xml:space="preserve"> </v>
      </c>
      <c r="O71" s="45" t="e">
        <f t="shared" ca="1" si="9"/>
        <v>#VALUE!</v>
      </c>
      <c r="P71" s="49" t="str">
        <f>IFERROR(VLOOKUP(C71,Bolts!A:B,2,FALSE),"")</f>
        <v xml:space="preserve"> </v>
      </c>
      <c r="Q71" s="50" t="str">
        <f t="shared" si="10"/>
        <v/>
      </c>
    </row>
    <row r="72" spans="1:17" s="2" customFormat="1" ht="12.75" customHeight="1">
      <c r="A72" s="4">
        <f t="shared" si="7"/>
        <v>522</v>
      </c>
      <c r="B72" s="2">
        <v>2</v>
      </c>
      <c r="C72" s="110" t="s">
        <v>432</v>
      </c>
      <c r="D72" s="268"/>
      <c r="E72" s="276"/>
      <c r="F72" s="112" t="str">
        <f>VLOOKUP(C72,Bolts!A:L,5,0)</f>
        <v xml:space="preserve">  </v>
      </c>
      <c r="G72" s="112" t="str">
        <f>VLOOKUP(C72,Bolts!A:L,6,0)</f>
        <v>Monroe Fasteners</v>
      </c>
      <c r="H72" s="112" t="str">
        <f>VLOOKUP(C72,Bolts!A:L,7,0)</f>
        <v xml:space="preserve">  </v>
      </c>
      <c r="I72" s="112"/>
      <c r="J72" s="44" t="str">
        <f>VLOOKUP(C72,Bolts!A:L,8,0)</f>
        <v xml:space="preserve"> </v>
      </c>
      <c r="K72" s="44" t="str">
        <f>VLOOKUP(C72,Bolts!A:L,9,0)</f>
        <v xml:space="preserve"> </v>
      </c>
      <c r="L72" s="44" t="str">
        <f>VLOOKUP(C72,Bolts!A:L,10,0)</f>
        <v xml:space="preserve"> </v>
      </c>
      <c r="M72" s="44" t="str">
        <f>VLOOKUP(C72,Bolts!A:L,11,0)</f>
        <v xml:space="preserve"> </v>
      </c>
      <c r="N72" s="45" t="str">
        <f>VLOOKUP(C72,Bolts!A:L,12,0)</f>
        <v xml:space="preserve"> </v>
      </c>
      <c r="O72" s="45" t="e">
        <f t="shared" ca="1" si="9"/>
        <v>#VALUE!</v>
      </c>
      <c r="P72" s="49" t="str">
        <f>IFERROR(VLOOKUP(C72,Bolts!A:B,2,FALSE),"")</f>
        <v xml:space="preserve"> </v>
      </c>
      <c r="Q72" s="50" t="str">
        <f t="shared" si="10"/>
        <v/>
      </c>
    </row>
    <row r="73" spans="1:17" s="2" customFormat="1" ht="12.75" customHeight="1" thickBot="1">
      <c r="A73" s="4">
        <f t="shared" si="7"/>
        <v>523</v>
      </c>
      <c r="B73" s="2">
        <v>1</v>
      </c>
      <c r="C73" s="110" t="s">
        <v>1009</v>
      </c>
      <c r="D73" s="268"/>
      <c r="E73" s="276"/>
      <c r="F73" s="112" t="str">
        <f>VLOOKUP(C73,Bolts!A:L,5,0)</f>
        <v xml:space="preserve">  </v>
      </c>
      <c r="G73" s="112" t="str">
        <f>VLOOKUP(C73,Bolts!A:L,6,0)</f>
        <v>Monroe Fasteners</v>
      </c>
      <c r="H73" s="112" t="str">
        <f>VLOOKUP(C73,Bolts!A:L,7,0)</f>
        <v xml:space="preserve">  </v>
      </c>
      <c r="I73" s="112"/>
      <c r="J73" s="44" t="str">
        <f>VLOOKUP(C73,Bolts!A:L,8,0)</f>
        <v xml:space="preserve"> </v>
      </c>
      <c r="K73" s="44" t="str">
        <f>VLOOKUP(C73,Bolts!A:L,9,0)</f>
        <v xml:space="preserve"> </v>
      </c>
      <c r="L73" s="44" t="str">
        <f>VLOOKUP(C73,Bolts!A:L,10,0)</f>
        <v xml:space="preserve"> </v>
      </c>
      <c r="M73" s="44" t="str">
        <f>VLOOKUP(C73,Bolts!A:L,11,0)</f>
        <v xml:space="preserve"> </v>
      </c>
      <c r="N73" s="45" t="str">
        <f>VLOOKUP(C73,Bolts!A:L,12,0)</f>
        <v xml:space="preserve"> </v>
      </c>
      <c r="O73" s="45" t="e">
        <f t="shared" ca="1" si="9"/>
        <v>#VALUE!</v>
      </c>
      <c r="P73" s="49" t="str">
        <f>IFERROR(VLOOKUP(C73,Bolts!A:B,2,FALSE),"")</f>
        <v xml:space="preserve"> </v>
      </c>
      <c r="Q73" s="50" t="str">
        <f t="shared" si="10"/>
        <v/>
      </c>
    </row>
    <row r="74" spans="1:17" s="2" customFormat="1" ht="12.75" customHeight="1" thickBot="1">
      <c r="A74" s="25"/>
      <c r="B74" s="26"/>
      <c r="C74" s="26"/>
      <c r="D74" s="272"/>
      <c r="E74" s="273"/>
      <c r="F74" s="26"/>
      <c r="G74" s="26"/>
      <c r="H74" s="274"/>
      <c r="I74" s="275"/>
      <c r="J74" s="27"/>
      <c r="K74" s="27"/>
      <c r="L74" s="27"/>
      <c r="M74" s="28"/>
      <c r="N74" s="29"/>
      <c r="O74" s="29"/>
      <c r="P74" s="89" t="s">
        <v>43</v>
      </c>
      <c r="Q74" s="94">
        <f>SUM(Q5:Q70)</f>
        <v>3612.3694999999993</v>
      </c>
    </row>
    <row r="75" spans="1:17" s="2" customFormat="1" ht="12" customHeight="1">
      <c r="D75" s="22"/>
      <c r="E75" s="22"/>
      <c r="J75" s="8"/>
      <c r="K75" s="8"/>
      <c r="L75" s="8"/>
      <c r="M75" s="8"/>
      <c r="N75" s="5"/>
      <c r="O75" s="5"/>
      <c r="P75" s="88"/>
      <c r="Q75" s="95"/>
    </row>
    <row r="76" spans="1:17" s="2" customFormat="1" ht="12" customHeight="1">
      <c r="B76" s="22"/>
      <c r="C76" s="22"/>
      <c r="H76" s="5"/>
      <c r="I76" s="5"/>
      <c r="J76" s="5"/>
      <c r="K76" s="5"/>
      <c r="L76" s="5"/>
      <c r="M76" s="5"/>
      <c r="N76" s="88"/>
      <c r="O76" s="95"/>
    </row>
    <row r="77" spans="1:17" s="2" customFormat="1" ht="12" customHeight="1">
      <c r="B77" s="22"/>
      <c r="C77" s="22"/>
      <c r="H77" s="5"/>
      <c r="I77" s="5"/>
      <c r="J77" s="5"/>
      <c r="K77" s="5"/>
      <c r="L77" s="5"/>
      <c r="M77" s="5"/>
      <c r="N77" s="88"/>
      <c r="O77" s="95"/>
    </row>
    <row r="78" spans="1:17" s="2" customFormat="1" ht="12" customHeight="1">
      <c r="B78" s="22"/>
      <c r="C78" s="22"/>
      <c r="H78" s="5"/>
      <c r="I78" s="5"/>
      <c r="J78" s="5"/>
      <c r="K78" s="5"/>
      <c r="L78" s="5"/>
      <c r="M78" s="5"/>
      <c r="N78" s="88"/>
      <c r="O78" s="95"/>
    </row>
    <row r="79" spans="1:17" s="2" customFormat="1" ht="12" customHeight="1">
      <c r="B79" s="22"/>
      <c r="C79" s="22"/>
      <c r="H79" s="5"/>
      <c r="I79" s="5"/>
      <c r="J79" s="5"/>
      <c r="K79" s="5"/>
      <c r="L79" s="5"/>
      <c r="M79" s="5"/>
      <c r="N79" s="88"/>
      <c r="O79" s="95"/>
    </row>
    <row r="80" spans="1:17" s="2" customFormat="1" ht="12" customHeight="1">
      <c r="B80" s="22"/>
      <c r="C80" s="22"/>
      <c r="H80" s="5"/>
      <c r="I80" s="5"/>
      <c r="J80" s="5"/>
      <c r="K80" s="5"/>
      <c r="L80" s="5"/>
      <c r="M80" s="5"/>
      <c r="N80" s="88"/>
      <c r="O80" s="95"/>
    </row>
    <row r="81" spans="2:15" s="2" customFormat="1" ht="12" customHeight="1">
      <c r="B81" s="22"/>
      <c r="C81" s="22"/>
      <c r="H81" s="5"/>
      <c r="I81" s="5"/>
      <c r="J81" s="5"/>
      <c r="K81" s="5"/>
      <c r="L81" s="5"/>
      <c r="M81" s="5"/>
      <c r="N81" s="88"/>
      <c r="O81" s="95"/>
    </row>
    <row r="82" spans="2:15" s="2" customFormat="1" ht="12" customHeight="1">
      <c r="B82" s="22"/>
      <c r="C82" s="22"/>
      <c r="H82" s="5"/>
      <c r="I82" s="5"/>
      <c r="J82" s="5"/>
      <c r="K82" s="5"/>
      <c r="L82" s="5"/>
      <c r="M82" s="5"/>
      <c r="N82" s="88"/>
      <c r="O82" s="95"/>
    </row>
    <row r="83" spans="2:15" s="2" customFormat="1" ht="12" customHeight="1">
      <c r="B83" s="22"/>
      <c r="C83" s="22"/>
      <c r="H83" s="5"/>
      <c r="I83" s="5"/>
      <c r="J83" s="5"/>
      <c r="K83" s="5"/>
      <c r="L83" s="5"/>
      <c r="M83" s="5"/>
      <c r="N83" s="88"/>
      <c r="O83" s="95"/>
    </row>
    <row r="84" spans="2:15" s="2" customFormat="1" ht="12" customHeight="1">
      <c r="B84" s="22"/>
      <c r="C84" s="22"/>
      <c r="H84" s="5"/>
      <c r="I84" s="5"/>
      <c r="J84" s="5"/>
      <c r="K84" s="5"/>
      <c r="L84" s="5"/>
      <c r="M84" s="5"/>
      <c r="N84" s="88"/>
      <c r="O84" s="95"/>
    </row>
    <row r="85" spans="2:15" s="2" customFormat="1" ht="12" customHeight="1">
      <c r="B85" s="22"/>
      <c r="C85" s="22"/>
      <c r="H85" s="5"/>
      <c r="I85" s="5"/>
      <c r="J85" s="5"/>
      <c r="K85" s="5"/>
      <c r="L85" s="5"/>
      <c r="M85" s="5"/>
      <c r="N85" s="88"/>
      <c r="O85" s="95"/>
    </row>
    <row r="86" spans="2:15" s="2" customFormat="1" ht="12" customHeight="1">
      <c r="B86" s="22"/>
      <c r="C86" s="22"/>
      <c r="H86" s="5"/>
      <c r="I86" s="5"/>
      <c r="J86" s="5"/>
      <c r="K86" s="5"/>
      <c r="L86" s="5"/>
      <c r="M86" s="5"/>
      <c r="N86" s="88"/>
      <c r="O86" s="95"/>
    </row>
    <row r="87" spans="2:15" s="2" customFormat="1" ht="12" customHeight="1">
      <c r="B87" s="22"/>
      <c r="C87" s="22"/>
      <c r="H87" s="5"/>
      <c r="I87" s="5"/>
      <c r="J87" s="5"/>
      <c r="K87" s="5"/>
      <c r="L87" s="5"/>
      <c r="M87" s="5"/>
      <c r="N87" s="88"/>
      <c r="O87" s="95"/>
    </row>
    <row r="88" spans="2:15" s="2" customFormat="1" ht="12" customHeight="1">
      <c r="B88" s="22"/>
      <c r="C88" s="22"/>
      <c r="H88" s="5"/>
      <c r="I88" s="5"/>
      <c r="J88" s="5"/>
      <c r="K88" s="5"/>
      <c r="L88" s="5"/>
      <c r="M88" s="5"/>
      <c r="N88" s="88"/>
      <c r="O88" s="95"/>
    </row>
    <row r="89" spans="2:15" s="2" customFormat="1" ht="12" customHeight="1">
      <c r="B89" s="22"/>
      <c r="C89" s="22"/>
      <c r="H89" s="5"/>
      <c r="I89" s="5"/>
      <c r="J89" s="5"/>
      <c r="K89" s="5"/>
      <c r="L89" s="5"/>
      <c r="M89" s="5"/>
      <c r="N89" s="88"/>
      <c r="O89" s="95"/>
    </row>
    <row r="90" spans="2:15" s="2" customFormat="1" ht="12" customHeight="1">
      <c r="B90" s="22"/>
      <c r="C90" s="22"/>
      <c r="H90" s="5"/>
      <c r="I90" s="5"/>
      <c r="J90" s="5"/>
      <c r="K90" s="5"/>
      <c r="L90" s="5"/>
      <c r="M90" s="5"/>
      <c r="N90" s="88"/>
      <c r="O90" s="95"/>
    </row>
    <row r="91" spans="2:15" s="2" customFormat="1" ht="12" customHeight="1">
      <c r="B91" s="22"/>
      <c r="C91" s="22"/>
      <c r="H91" s="5"/>
      <c r="I91" s="5"/>
      <c r="J91" s="5"/>
      <c r="K91" s="5"/>
      <c r="L91" s="5"/>
      <c r="M91" s="5"/>
      <c r="N91" s="88"/>
      <c r="O91" s="95"/>
    </row>
    <row r="92" spans="2:15" s="2" customFormat="1" ht="12" customHeight="1">
      <c r="B92" s="22"/>
      <c r="C92" s="22"/>
      <c r="H92" s="5"/>
      <c r="I92" s="5"/>
      <c r="J92" s="5"/>
      <c r="K92" s="5"/>
      <c r="L92" s="5"/>
      <c r="M92" s="5"/>
      <c r="N92" s="88"/>
      <c r="O92" s="95"/>
    </row>
    <row r="93" spans="2:15" s="2" customFormat="1" ht="12" customHeight="1">
      <c r="B93" s="22"/>
      <c r="C93" s="22"/>
      <c r="H93" s="5"/>
      <c r="I93" s="5"/>
      <c r="J93" s="5"/>
      <c r="K93" s="5"/>
      <c r="L93" s="5"/>
      <c r="M93" s="5"/>
      <c r="N93" s="88"/>
      <c r="O93" s="95"/>
    </row>
    <row r="94" spans="2:15" s="2" customFormat="1" ht="12" customHeight="1">
      <c r="B94" s="22"/>
      <c r="C94" s="22"/>
      <c r="H94" s="5"/>
      <c r="I94" s="5"/>
      <c r="J94" s="5"/>
      <c r="K94" s="5"/>
      <c r="L94" s="5"/>
      <c r="M94" s="5"/>
      <c r="N94" s="88"/>
      <c r="O94" s="95"/>
    </row>
    <row r="95" spans="2:15" s="2" customFormat="1" ht="12" customHeight="1">
      <c r="B95" s="22"/>
      <c r="C95" s="22"/>
      <c r="H95" s="5"/>
      <c r="I95" s="5"/>
      <c r="J95" s="5"/>
      <c r="K95" s="5"/>
      <c r="L95" s="5"/>
      <c r="M95" s="5"/>
      <c r="N95" s="88"/>
      <c r="O95" s="95"/>
    </row>
    <row r="96" spans="2:15" s="2" customFormat="1" ht="12" customHeight="1">
      <c r="B96" s="22"/>
      <c r="C96" s="22"/>
      <c r="H96" s="5"/>
      <c r="I96" s="5"/>
      <c r="J96" s="5"/>
      <c r="K96" s="5"/>
      <c r="L96" s="5"/>
      <c r="M96" s="5"/>
      <c r="N96" s="88"/>
      <c r="O96" s="95"/>
    </row>
    <row r="97" spans="2:17" s="2" customFormat="1" ht="12" customHeight="1">
      <c r="B97" s="22"/>
      <c r="C97" s="22"/>
      <c r="H97" s="5"/>
      <c r="I97" s="5"/>
      <c r="J97" s="5"/>
      <c r="K97" s="5"/>
      <c r="L97" s="5"/>
      <c r="M97" s="5"/>
      <c r="N97" s="88"/>
      <c r="O97" s="95"/>
    </row>
    <row r="98" spans="2:17" s="2" customFormat="1" ht="12" customHeight="1">
      <c r="B98" s="22"/>
      <c r="C98" s="22"/>
      <c r="H98" s="5"/>
      <c r="I98" s="5"/>
      <c r="J98" s="5"/>
      <c r="K98" s="5"/>
      <c r="L98" s="5"/>
      <c r="M98" s="5"/>
      <c r="N98" s="88"/>
      <c r="O98" s="95"/>
    </row>
    <row r="99" spans="2:17" s="2" customFormat="1" ht="12" customHeight="1">
      <c r="B99" s="22"/>
      <c r="C99" s="22"/>
      <c r="H99" s="5"/>
      <c r="I99" s="5"/>
      <c r="J99" s="5"/>
      <c r="K99" s="5"/>
      <c r="L99" s="5"/>
      <c r="M99" s="5"/>
      <c r="N99" s="88"/>
      <c r="O99" s="95"/>
    </row>
    <row r="100" spans="2:17" s="2" customFormat="1" ht="12" customHeight="1">
      <c r="D100" s="22"/>
      <c r="E100" s="22"/>
      <c r="J100" s="5"/>
      <c r="K100" s="5"/>
      <c r="L100" s="5"/>
      <c r="M100" s="5"/>
      <c r="N100" s="5"/>
      <c r="O100" s="5"/>
      <c r="P100" s="88"/>
      <c r="Q100" s="95"/>
    </row>
    <row r="101" spans="2:17" s="2" customFormat="1" ht="12" customHeight="1">
      <c r="D101" s="22"/>
      <c r="E101" s="22"/>
      <c r="J101" s="5"/>
      <c r="K101" s="5"/>
      <c r="L101" s="5"/>
      <c r="M101" s="5"/>
      <c r="N101" s="5"/>
      <c r="O101" s="5"/>
      <c r="P101" s="88"/>
      <c r="Q101" s="95"/>
    </row>
    <row r="102" spans="2:17" s="2" customFormat="1" ht="12" customHeight="1">
      <c r="D102" s="22"/>
      <c r="E102" s="22"/>
      <c r="J102" s="5"/>
      <c r="K102" s="5"/>
      <c r="L102" s="5"/>
      <c r="M102" s="5"/>
      <c r="N102" s="5"/>
      <c r="O102" s="5"/>
      <c r="P102" s="88"/>
      <c r="Q102" s="95"/>
    </row>
    <row r="103" spans="2:17" s="2" customFormat="1" ht="12" customHeight="1">
      <c r="D103" s="22"/>
      <c r="E103" s="22"/>
      <c r="J103" s="5"/>
      <c r="K103" s="5"/>
      <c r="L103" s="5"/>
      <c r="M103" s="5"/>
      <c r="N103" s="5"/>
      <c r="O103" s="5"/>
      <c r="P103" s="88"/>
      <c r="Q103" s="95"/>
    </row>
    <row r="104" spans="2:17" s="2" customFormat="1" ht="12" customHeight="1">
      <c r="D104" s="22"/>
      <c r="E104" s="22"/>
      <c r="J104" s="5"/>
      <c r="K104" s="5"/>
      <c r="L104" s="5"/>
      <c r="M104" s="5"/>
      <c r="N104" s="5"/>
      <c r="O104" s="5"/>
      <c r="P104" s="88"/>
      <c r="Q104" s="95"/>
    </row>
    <row r="105" spans="2:17" s="2" customFormat="1" ht="12" customHeight="1">
      <c r="D105" s="22"/>
      <c r="E105" s="22"/>
      <c r="J105" s="5"/>
      <c r="K105" s="5"/>
      <c r="L105" s="5"/>
      <c r="M105" s="5"/>
      <c r="N105" s="5"/>
      <c r="O105" s="5"/>
      <c r="P105" s="88"/>
      <c r="Q105" s="95"/>
    </row>
    <row r="106" spans="2:17" s="2" customFormat="1" ht="12" customHeight="1">
      <c r="D106" s="22"/>
      <c r="E106" s="22"/>
      <c r="J106" s="5"/>
      <c r="K106" s="5"/>
      <c r="L106" s="5"/>
      <c r="M106" s="5"/>
      <c r="N106" s="5"/>
      <c r="O106" s="5"/>
      <c r="P106" s="88"/>
      <c r="Q106" s="95"/>
    </row>
    <row r="107" spans="2:17" s="2" customFormat="1" ht="12" customHeight="1">
      <c r="D107" s="22"/>
      <c r="E107" s="22"/>
      <c r="J107" s="5"/>
      <c r="K107" s="5"/>
      <c r="L107" s="5"/>
      <c r="M107" s="5"/>
      <c r="N107" s="5"/>
      <c r="O107" s="5"/>
      <c r="P107" s="88"/>
      <c r="Q107" s="95"/>
    </row>
    <row r="108" spans="2:17" s="2" customFormat="1" ht="12" customHeight="1">
      <c r="D108" s="22"/>
      <c r="E108" s="22"/>
      <c r="J108" s="5"/>
      <c r="K108" s="5"/>
      <c r="L108" s="5"/>
      <c r="M108" s="5"/>
      <c r="N108" s="5"/>
      <c r="O108" s="5"/>
      <c r="P108" s="88"/>
      <c r="Q108" s="95"/>
    </row>
    <row r="109" spans="2:17" s="2" customFormat="1" ht="12" customHeight="1">
      <c r="D109" s="22"/>
      <c r="E109" s="22"/>
      <c r="J109" s="5"/>
      <c r="K109" s="5"/>
      <c r="L109" s="5"/>
      <c r="M109" s="5"/>
      <c r="N109" s="5"/>
      <c r="O109" s="5"/>
      <c r="P109" s="88"/>
      <c r="Q109" s="95"/>
    </row>
    <row r="110" spans="2:17" s="2" customFormat="1" ht="12" customHeight="1">
      <c r="D110" s="22"/>
      <c r="E110" s="22"/>
      <c r="J110" s="5"/>
      <c r="K110" s="5"/>
      <c r="L110" s="5"/>
      <c r="M110" s="5"/>
      <c r="N110" s="5"/>
      <c r="O110" s="5"/>
      <c r="P110" s="88"/>
      <c r="Q110" s="95"/>
    </row>
    <row r="111" spans="2:17" s="2" customFormat="1" ht="12" customHeight="1">
      <c r="D111" s="22"/>
      <c r="E111" s="22"/>
      <c r="J111" s="5"/>
      <c r="K111" s="5"/>
      <c r="L111" s="5"/>
      <c r="M111" s="5"/>
      <c r="N111" s="5"/>
      <c r="O111" s="5"/>
      <c r="P111" s="88"/>
      <c r="Q111" s="95"/>
    </row>
    <row r="112" spans="2:17" s="2" customFormat="1" ht="12" customHeight="1">
      <c r="D112" s="22"/>
      <c r="E112" s="22"/>
      <c r="J112" s="5"/>
      <c r="K112" s="5"/>
      <c r="L112" s="5"/>
      <c r="M112" s="5"/>
      <c r="N112" s="5"/>
      <c r="O112" s="5"/>
      <c r="P112" s="88"/>
      <c r="Q112" s="95"/>
    </row>
    <row r="113" spans="1:17" s="2" customFormat="1" ht="12" customHeight="1">
      <c r="D113" s="22"/>
      <c r="E113" s="22"/>
      <c r="J113" s="5"/>
      <c r="K113" s="5"/>
      <c r="L113" s="5"/>
      <c r="M113" s="5"/>
      <c r="N113" s="5"/>
      <c r="O113" s="5"/>
      <c r="P113" s="88"/>
      <c r="Q113" s="95"/>
    </row>
    <row r="114" spans="1:17" s="2" customFormat="1" ht="12" customHeight="1">
      <c r="D114" s="22"/>
      <c r="E114" s="22"/>
      <c r="J114" s="5"/>
      <c r="K114" s="5"/>
      <c r="L114" s="5"/>
      <c r="M114" s="5"/>
      <c r="N114" s="5"/>
      <c r="O114" s="5"/>
      <c r="P114" s="88"/>
      <c r="Q114" s="96"/>
    </row>
    <row r="115" spans="1:17" s="2" customFormat="1" ht="12" customHeight="1">
      <c r="D115" s="22"/>
      <c r="E115" s="22"/>
      <c r="J115" s="5"/>
      <c r="K115" s="5"/>
      <c r="L115" s="5"/>
      <c r="M115" s="5"/>
      <c r="N115" s="5"/>
      <c r="O115" s="5"/>
      <c r="P115" s="88"/>
      <c r="Q115" s="96"/>
    </row>
    <row r="116" spans="1:17" s="2" customFormat="1" ht="12" customHeight="1">
      <c r="D116" s="22"/>
      <c r="E116" s="22"/>
      <c r="J116" s="5"/>
      <c r="K116" s="5"/>
      <c r="L116" s="5"/>
      <c r="M116" s="5"/>
      <c r="N116" s="5"/>
      <c r="O116" s="5"/>
      <c r="P116" s="88"/>
      <c r="Q116" s="96"/>
    </row>
    <row r="117" spans="1:17" s="2" customFormat="1" ht="12" customHeight="1">
      <c r="D117" s="22"/>
      <c r="E117" s="22"/>
      <c r="J117" s="5"/>
      <c r="K117" s="5"/>
      <c r="L117" s="5"/>
      <c r="M117" s="5"/>
      <c r="N117" s="5"/>
      <c r="O117" s="5"/>
      <c r="P117" s="88"/>
      <c r="Q117" s="96"/>
    </row>
    <row r="118" spans="1:17" s="2" customFormat="1" ht="12" customHeight="1">
      <c r="A118"/>
      <c r="B118"/>
      <c r="C118"/>
      <c r="D118" s="23"/>
      <c r="E118" s="23"/>
      <c r="F118"/>
      <c r="G118"/>
      <c r="H118"/>
      <c r="I118"/>
      <c r="J118" s="19"/>
      <c r="K118" s="19"/>
      <c r="L118" s="19"/>
      <c r="M118" s="19"/>
      <c r="N118" s="19"/>
      <c r="O118" s="19"/>
      <c r="P118" s="90"/>
      <c r="Q118" s="96"/>
    </row>
    <row r="119" spans="1:17" s="2" customFormat="1" ht="12" customHeight="1">
      <c r="A119"/>
      <c r="B119"/>
      <c r="C119"/>
      <c r="D119" s="23"/>
      <c r="E119" s="23"/>
      <c r="F119"/>
      <c r="G119"/>
      <c r="H119"/>
      <c r="I119"/>
      <c r="J119" s="19"/>
      <c r="K119" s="19"/>
      <c r="L119" s="19"/>
      <c r="M119" s="19"/>
      <c r="N119" s="19"/>
      <c r="O119" s="19"/>
      <c r="P119" s="90"/>
      <c r="Q119" s="96"/>
    </row>
    <row r="120" spans="1:17" s="2" customFormat="1" ht="12" customHeight="1">
      <c r="A120"/>
      <c r="B120"/>
      <c r="C120"/>
      <c r="D120" s="23"/>
      <c r="E120" s="23"/>
      <c r="F120"/>
      <c r="G120"/>
      <c r="H120"/>
      <c r="I120"/>
      <c r="J120" s="19"/>
      <c r="K120" s="19"/>
      <c r="L120" s="19"/>
      <c r="M120" s="19"/>
      <c r="N120" s="19"/>
      <c r="O120" s="19"/>
      <c r="P120" s="90"/>
      <c r="Q120" s="96"/>
    </row>
    <row r="121" spans="1:17" s="2" customFormat="1" ht="12" customHeight="1">
      <c r="A121"/>
      <c r="B121"/>
      <c r="C121"/>
      <c r="D121" s="23"/>
      <c r="E121" s="23"/>
      <c r="F121"/>
      <c r="G121"/>
      <c r="H121"/>
      <c r="I121"/>
      <c r="J121" s="19"/>
      <c r="K121" s="19"/>
      <c r="L121" s="19"/>
      <c r="M121" s="19"/>
      <c r="N121" s="19"/>
      <c r="O121" s="19"/>
      <c r="P121" s="90"/>
      <c r="Q121" s="96"/>
    </row>
    <row r="122" spans="1:17" s="2" customFormat="1" ht="12" customHeight="1">
      <c r="A122"/>
      <c r="B122"/>
      <c r="C122"/>
      <c r="D122" s="23"/>
      <c r="E122" s="23"/>
      <c r="F122"/>
      <c r="G122"/>
      <c r="H122"/>
      <c r="I122"/>
      <c r="J122" s="19"/>
      <c r="K122" s="19"/>
      <c r="L122" s="19"/>
      <c r="M122" s="19"/>
      <c r="N122" s="19"/>
      <c r="O122" s="19"/>
      <c r="P122" s="90"/>
      <c r="Q122" s="96"/>
    </row>
    <row r="123" spans="1:17">
      <c r="Q123" s="96"/>
    </row>
    <row r="124" spans="1:17">
      <c r="Q124" s="96"/>
    </row>
    <row r="125" spans="1:17">
      <c r="Q125" s="96"/>
    </row>
    <row r="126" spans="1:17">
      <c r="Q126" s="96"/>
    </row>
    <row r="127" spans="1:17">
      <c r="Q127" s="96"/>
    </row>
    <row r="128" spans="1:17">
      <c r="Q128" s="96"/>
    </row>
    <row r="129" spans="17:17">
      <c r="Q129" s="96"/>
    </row>
    <row r="130" spans="17:17">
      <c r="Q130" s="96"/>
    </row>
    <row r="131" spans="17:17">
      <c r="Q131" s="96"/>
    </row>
    <row r="132" spans="17:17">
      <c r="Q132" s="96"/>
    </row>
    <row r="133" spans="17:17">
      <c r="Q133" s="96"/>
    </row>
    <row r="134" spans="17:17">
      <c r="Q134" s="96"/>
    </row>
    <row r="135" spans="17:17">
      <c r="Q135" s="96"/>
    </row>
    <row r="136" spans="17:17">
      <c r="Q136" s="96"/>
    </row>
    <row r="137" spans="17:17">
      <c r="Q137" s="96"/>
    </row>
    <row r="138" spans="17:17">
      <c r="Q138" s="96"/>
    </row>
    <row r="139" spans="17:17">
      <c r="Q139" s="96"/>
    </row>
    <row r="140" spans="17:17">
      <c r="Q140" s="96"/>
    </row>
    <row r="141" spans="17:17">
      <c r="Q141" s="96"/>
    </row>
    <row r="142" spans="17:17">
      <c r="Q142" s="96"/>
    </row>
    <row r="179" ht="12" customHeight="1"/>
    <row r="180" ht="12" customHeight="1"/>
    <row r="181" ht="12" customHeight="1"/>
    <row r="182" ht="12" customHeight="1"/>
    <row r="183" ht="12" customHeight="1"/>
    <row r="184" ht="12" customHeight="1"/>
    <row r="185" ht="12" customHeight="1"/>
    <row r="186" ht="12" customHeight="1"/>
    <row r="187" ht="12" customHeight="1"/>
    <row r="188" ht="12" customHeight="1"/>
    <row r="189" ht="12" customHeight="1"/>
    <row r="190" ht="12" customHeight="1"/>
    <row r="191" ht="12" customHeight="1"/>
    <row r="192" ht="12" customHeight="1"/>
    <row r="193" ht="12" customHeight="1"/>
    <row r="194" ht="12" customHeight="1"/>
    <row r="195" ht="12" customHeight="1"/>
    <row r="196" ht="12" customHeight="1"/>
    <row r="197" ht="12" customHeight="1"/>
    <row r="198" ht="12" customHeight="1"/>
    <row r="199" ht="12" customHeight="1"/>
    <row r="200" ht="12" customHeight="1"/>
    <row r="201" ht="12" customHeight="1"/>
    <row r="202" ht="12" customHeight="1"/>
    <row r="203" ht="12" customHeight="1"/>
    <row r="204" ht="12" customHeight="1"/>
    <row r="205" ht="12" customHeight="1"/>
    <row r="206" ht="12" customHeight="1"/>
    <row r="207" ht="12" customHeight="1"/>
    <row r="208" ht="12" customHeight="1"/>
    <row r="209" ht="12" customHeight="1"/>
    <row r="210" ht="12" customHeight="1"/>
    <row r="211" ht="12" customHeight="1"/>
    <row r="212" ht="12" customHeight="1"/>
    <row r="213" ht="12" customHeight="1"/>
    <row r="214" ht="12" customHeight="1"/>
    <row r="215" ht="12" customHeight="1"/>
    <row r="216" ht="12" customHeight="1"/>
    <row r="217" ht="12" customHeight="1"/>
    <row r="218" ht="12" customHeight="1"/>
    <row r="219" ht="12" customHeight="1"/>
    <row r="220" ht="12" customHeight="1"/>
    <row r="221" ht="12" customHeight="1"/>
    <row r="222" ht="12" customHeight="1"/>
    <row r="223" ht="12" customHeight="1"/>
    <row r="224" ht="12" customHeight="1"/>
    <row r="225" ht="12" customHeight="1"/>
    <row r="226" ht="12" customHeight="1"/>
    <row r="227" ht="12" customHeight="1"/>
    <row r="228" ht="12" customHeight="1"/>
  </sheetData>
  <mergeCells count="76">
    <mergeCell ref="D1:E1"/>
    <mergeCell ref="D4:E4"/>
    <mergeCell ref="H4:I4"/>
    <mergeCell ref="D16:E16"/>
    <mergeCell ref="D5:E5"/>
    <mergeCell ref="D6:E6"/>
    <mergeCell ref="D7:E7"/>
    <mergeCell ref="D8:E8"/>
    <mergeCell ref="D9:E9"/>
    <mergeCell ref="D10:E10"/>
    <mergeCell ref="D11:E11"/>
    <mergeCell ref="D12:E12"/>
    <mergeCell ref="D13:E13"/>
    <mergeCell ref="D14:E14"/>
    <mergeCell ref="D15:E15"/>
    <mergeCell ref="D20:E20"/>
    <mergeCell ref="H20:I20"/>
    <mergeCell ref="D21:E21"/>
    <mergeCell ref="D22:E22"/>
    <mergeCell ref="D17:E17"/>
    <mergeCell ref="D18:E18"/>
    <mergeCell ref="D19:E19"/>
    <mergeCell ref="D34:E34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D46:E46"/>
    <mergeCell ref="D35:E35"/>
    <mergeCell ref="D36:E36"/>
    <mergeCell ref="D37:E37"/>
    <mergeCell ref="D38:E38"/>
    <mergeCell ref="D39:E39"/>
    <mergeCell ref="D40:E40"/>
    <mergeCell ref="D41:E41"/>
    <mergeCell ref="D42:E42"/>
    <mergeCell ref="D43:E43"/>
    <mergeCell ref="D44:E44"/>
    <mergeCell ref="D45:E45"/>
    <mergeCell ref="D50:E50"/>
    <mergeCell ref="H50:I50"/>
    <mergeCell ref="D47:E47"/>
    <mergeCell ref="D48:E48"/>
    <mergeCell ref="D49:E49"/>
    <mergeCell ref="D62:E62"/>
    <mergeCell ref="D51:E51"/>
    <mergeCell ref="D52:E52"/>
    <mergeCell ref="D53:E53"/>
    <mergeCell ref="D54:E54"/>
    <mergeCell ref="D55:E55"/>
    <mergeCell ref="D56:E56"/>
    <mergeCell ref="D57:E57"/>
    <mergeCell ref="D58:E58"/>
    <mergeCell ref="D59:E59"/>
    <mergeCell ref="D60:E60"/>
    <mergeCell ref="D61:E61"/>
    <mergeCell ref="D69:E69"/>
    <mergeCell ref="D70:E70"/>
    <mergeCell ref="D74:E74"/>
    <mergeCell ref="H74:I74"/>
    <mergeCell ref="D63:E63"/>
    <mergeCell ref="D64:E64"/>
    <mergeCell ref="D65:E65"/>
    <mergeCell ref="D66:E66"/>
    <mergeCell ref="D67:E67"/>
    <mergeCell ref="D68:E68"/>
    <mergeCell ref="D71:E71"/>
    <mergeCell ref="D72:E72"/>
    <mergeCell ref="D73:E73"/>
  </mergeCells>
  <conditionalFormatting sqref="M5:M19 M21:M49 M51:M73">
    <cfRule type="cellIs" dxfId="354" priority="5" stopIfTrue="1" operator="lessThanOrEqual">
      <formula>$L5</formula>
    </cfRule>
    <cfRule type="cellIs" dxfId="353" priority="6" operator="greaterThan">
      <formula>L5</formula>
    </cfRule>
  </conditionalFormatting>
  <pageMargins left="0.7" right="0.7" top="0.75" bottom="0.75" header="0.3" footer="0.3"/>
  <pageSetup paperSize="3" fitToHeight="0" orientation="landscape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4E1CE302-AF5B-4BF4-9820-51E565E204E4}">
          <x14:formula1>
            <xm:f>Bolts!$A:$A</xm:f>
          </x14:formula1>
          <xm:sqref>C51:C73</xm:sqref>
        </x14:dataValidation>
        <x14:dataValidation type="list" allowBlank="1" showInputMessage="1" showErrorMessage="1" xr:uid="{AD5476B2-11BA-4B0B-B83C-055CF74294AC}">
          <x14:formula1>
            <xm:f>Purchased!$A:$A</xm:f>
          </x14:formula1>
          <xm:sqref>C21:C49</xm:sqref>
        </x14:dataValidation>
        <x14:dataValidation type="list" allowBlank="1" showInputMessage="1" showErrorMessage="1" xr:uid="{00326BE2-D68F-4178-B771-6C21DD3A0707}">
          <x14:formula1>
            <xm:f>Machined!$C:$C</xm:f>
          </x14:formula1>
          <xm:sqref>C5:C19</xm:sqref>
        </x14:dataValidation>
      </x14:dataValidations>
    </ext>
  </extLst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643F3-58C3-42DD-86D0-F25E51F1D220}">
  <sheetPr codeName="Sheet83">
    <tabColor theme="3" tint="0.79998168889431442"/>
    <pageSetUpPr fitToPage="1"/>
  </sheetPr>
  <dimension ref="A1:Q173"/>
  <sheetViews>
    <sheetView zoomScaleNormal="100" workbookViewId="0">
      <selection activeCell="C27" sqref="C27"/>
    </sheetView>
  </sheetViews>
  <sheetFormatPr defaultColWidth="9.140625" defaultRowHeight="15"/>
  <cols>
    <col min="1" max="1" width="5.7109375" customWidth="1"/>
    <col min="2" max="2" width="5.42578125" bestFit="1" customWidth="1"/>
    <col min="3" max="3" width="30.7109375" customWidth="1"/>
    <col min="4" max="5" width="20.7109375" style="23" customWidth="1"/>
    <col min="6" max="6" width="16.85546875" bestFit="1" customWidth="1"/>
    <col min="7" max="7" width="9.7109375" customWidth="1"/>
    <col min="8" max="8" width="8.7109375" customWidth="1"/>
    <col min="9" max="9" width="20.7109375" customWidth="1"/>
    <col min="10" max="13" width="11.7109375" style="19" customWidth="1"/>
    <col min="14" max="14" width="11.85546875" style="19" bestFit="1" customWidth="1"/>
    <col min="15" max="15" width="7.7109375" style="19" customWidth="1"/>
    <col min="16" max="16" width="10.7109375" style="90" customWidth="1"/>
    <col min="17" max="17" width="10.7109375" style="97" customWidth="1"/>
  </cols>
  <sheetData>
    <row r="1" spans="1:17" s="55" customFormat="1" ht="12" customHeight="1">
      <c r="A1" s="68" t="s">
        <v>0</v>
      </c>
      <c r="B1" s="69"/>
      <c r="C1" s="69"/>
      <c r="D1" s="262" t="s">
        <v>1</v>
      </c>
      <c r="E1" s="263"/>
      <c r="F1" s="70"/>
      <c r="G1" s="69"/>
      <c r="H1" s="70"/>
      <c r="I1" s="71"/>
      <c r="J1" s="72"/>
      <c r="K1" s="72"/>
      <c r="L1" s="72"/>
      <c r="M1" s="72"/>
      <c r="N1" s="72"/>
      <c r="O1" s="72"/>
      <c r="P1" s="85"/>
      <c r="Q1" s="91"/>
    </row>
    <row r="2" spans="1:17" s="55" customFormat="1" ht="12" customHeight="1">
      <c r="A2" s="74" t="s">
        <v>48</v>
      </c>
      <c r="B2" s="58"/>
      <c r="C2" s="57" t="e">
        <f ca="1">VLOOKUP(E3,Assemblies!B:F,4,0)</f>
        <v>#VALUE!</v>
      </c>
      <c r="D2" s="75" t="s">
        <v>3</v>
      </c>
      <c r="E2" s="76" t="e">
        <f ca="1">'GF12'!E2</f>
        <v>#VALUE!</v>
      </c>
      <c r="F2" s="77" t="s">
        <v>4</v>
      </c>
      <c r="G2" s="58" t="str">
        <f>'GF12'!G2</f>
        <v>GH</v>
      </c>
      <c r="H2" s="77" t="s">
        <v>6</v>
      </c>
      <c r="I2" s="59">
        <f>'GF12'!I2</f>
        <v>44775</v>
      </c>
      <c r="J2" s="39"/>
      <c r="K2" s="40" t="s">
        <v>49</v>
      </c>
      <c r="L2" s="41" t="e">
        <f ca="1">VLOOKUP(C2,Assemblies!E:G,3,0)</f>
        <v>#VALUE!</v>
      </c>
      <c r="M2" s="78"/>
      <c r="N2" s="78"/>
      <c r="O2" s="78"/>
      <c r="P2" s="86"/>
      <c r="Q2" s="92"/>
    </row>
    <row r="3" spans="1:17" s="55" customFormat="1" ht="12" customHeight="1" thickBot="1">
      <c r="A3" s="74" t="s">
        <v>7</v>
      </c>
      <c r="B3" s="58"/>
      <c r="C3" s="57" t="e">
        <f ca="1">VLOOKUP(E3,Assemblies!B:F,5,0)</f>
        <v>#VALUE!</v>
      </c>
      <c r="D3" s="75" t="s">
        <v>50</v>
      </c>
      <c r="E3" s="76" t="e">
        <f ca="1">MID(CELL("filename",A1),FIND("]",CELL("filename",A1))+1,256)</f>
        <v>#VALUE!</v>
      </c>
      <c r="F3" s="77" t="s">
        <v>11</v>
      </c>
      <c r="G3" s="58" t="str">
        <f>'GF12'!G3</f>
        <v>GH</v>
      </c>
      <c r="H3" s="77" t="s">
        <v>6</v>
      </c>
      <c r="I3" s="59">
        <f>'GF12'!I3</f>
        <v>44775</v>
      </c>
      <c r="J3" s="78"/>
      <c r="K3" s="78"/>
      <c r="L3" s="78"/>
      <c r="M3" s="78"/>
      <c r="N3" s="78"/>
      <c r="O3" s="78"/>
      <c r="P3" s="86"/>
      <c r="Q3" s="92"/>
    </row>
    <row r="4" spans="1:17" s="56" customFormat="1" ht="12.75" customHeight="1" thickBot="1">
      <c r="A4" s="80" t="s">
        <v>12</v>
      </c>
      <c r="B4" s="81" t="s">
        <v>13</v>
      </c>
      <c r="C4" s="81" t="s">
        <v>14</v>
      </c>
      <c r="D4" s="270" t="s">
        <v>15</v>
      </c>
      <c r="E4" s="271"/>
      <c r="F4" s="104" t="s">
        <v>16</v>
      </c>
      <c r="G4" s="81" t="s">
        <v>17</v>
      </c>
      <c r="H4" s="260" t="s">
        <v>18</v>
      </c>
      <c r="I4" s="261"/>
      <c r="J4" s="81" t="s">
        <v>51</v>
      </c>
      <c r="K4" s="81" t="s">
        <v>20</v>
      </c>
      <c r="L4" s="81" t="s">
        <v>21</v>
      </c>
      <c r="M4" s="81" t="s">
        <v>52</v>
      </c>
      <c r="N4" s="81" t="s">
        <v>22</v>
      </c>
      <c r="O4" s="81" t="s">
        <v>53</v>
      </c>
      <c r="P4" s="107" t="s">
        <v>26</v>
      </c>
      <c r="Q4" s="82" t="s">
        <v>27</v>
      </c>
    </row>
    <row r="5" spans="1:17" s="2" customFormat="1" ht="12.75" customHeight="1">
      <c r="A5" s="127">
        <v>1</v>
      </c>
      <c r="B5" s="21">
        <v>1</v>
      </c>
      <c r="C5" s="108" t="s">
        <v>1015</v>
      </c>
      <c r="D5" s="277" t="str">
        <f>VLOOKUP(C5,Machined!C:Q,2,0)</f>
        <v>GEARED HANDWHEEL 
PLATE</v>
      </c>
      <c r="E5" s="278"/>
      <c r="F5" s="131" t="str">
        <f>VLOOKUP(C5,Machined!C:R,7,0)</f>
        <v>6061-T6 Alum</v>
      </c>
      <c r="G5" s="131" t="str">
        <f>VLOOKUP(C5,Machined!C:R,10,0)</f>
        <v>DETAILED MACH</v>
      </c>
      <c r="H5" s="131" t="str">
        <f>VLOOKUP(C5,Machined!C:R,11,0)</f>
        <v>shipped 9/25/23</v>
      </c>
      <c r="I5" s="131"/>
      <c r="J5" s="42">
        <f>VLOOKUP(C5,Machined!C:R,12,0)</f>
        <v>45156</v>
      </c>
      <c r="K5" s="42">
        <f>VLOOKUP(C5,Machined!C:R,13,0)</f>
        <v>45162</v>
      </c>
      <c r="L5" s="42">
        <f>VLOOKUP(C5,Machined!C:R,14,0)</f>
        <v>45190</v>
      </c>
      <c r="M5" s="42">
        <f>VLOOKUP(C5,Machined!C:R,15,0)</f>
        <v>45190</v>
      </c>
      <c r="N5" s="43">
        <f>VLOOKUP(C5,Machined!C:R,16,0)</f>
        <v>55101</v>
      </c>
      <c r="O5" s="43" t="e">
        <f t="shared" ref="O5:O9" ca="1" si="0">B5*$L$2</f>
        <v>#VALUE!</v>
      </c>
      <c r="P5" s="47">
        <f>IFERROR(VLOOKUP(C5,Machined!C:F,3,0),"")</f>
        <v>0</v>
      </c>
      <c r="Q5" s="48">
        <f t="shared" ref="Q5:Q9" si="1">IFERROR(B5*P5,"")</f>
        <v>0</v>
      </c>
    </row>
    <row r="6" spans="1:17" s="2" customFormat="1" ht="12.75" customHeight="1">
      <c r="A6" s="127">
        <v>2</v>
      </c>
      <c r="B6" s="21">
        <v>1</v>
      </c>
      <c r="C6" s="108" t="s">
        <v>1016</v>
      </c>
      <c r="D6" s="277" t="str">
        <f>VLOOKUP(C6,Machined!C:Q,2,0)</f>
        <v>MODIFIED MCM 7758K31 Pushbutton Enclosure</v>
      </c>
      <c r="E6" s="278"/>
      <c r="F6" s="131" t="str">
        <f>VLOOKUP(C6,Machined!C:R,7,0)</f>
        <v>PURCHASED</v>
      </c>
      <c r="G6" s="131" t="str">
        <f>VLOOKUP(C6,Machined!C:R,10,0)</f>
        <v>MCM, NULINE</v>
      </c>
      <c r="H6" s="131" t="str">
        <f>VLOOKUP(C6,Machined!C:R,11,0)</f>
        <v xml:space="preserve">  </v>
      </c>
      <c r="I6" s="131"/>
      <c r="J6" s="42">
        <f>VLOOKUP(C6,Machined!C:R,12,0)</f>
        <v>45160</v>
      </c>
      <c r="K6" s="42">
        <f>VLOOKUP(C6,Machined!C:R,13,0)</f>
        <v>45160</v>
      </c>
      <c r="L6" s="42">
        <f>VLOOKUP(C6,Machined!C:R,14,0)</f>
        <v>45161</v>
      </c>
      <c r="M6" s="42">
        <f>VLOOKUP(C6,Machined!C:R,15,0)</f>
        <v>45161</v>
      </c>
      <c r="N6" s="43">
        <f>VLOOKUP(C6,Machined!C:R,16,0)</f>
        <v>55086</v>
      </c>
      <c r="O6" s="43" t="e">
        <f t="shared" ca="1" si="0"/>
        <v>#VALUE!</v>
      </c>
      <c r="P6" s="47">
        <f>IFERROR(VLOOKUP(C6,Machined!C:F,3,0),"")</f>
        <v>20.03</v>
      </c>
      <c r="Q6" s="48">
        <f t="shared" si="1"/>
        <v>20.03</v>
      </c>
    </row>
    <row r="7" spans="1:17" s="2" customFormat="1" ht="12.75" customHeight="1">
      <c r="A7" s="127">
        <v>3</v>
      </c>
      <c r="B7" s="21">
        <v>1</v>
      </c>
      <c r="C7" s="108" t="s">
        <v>1017</v>
      </c>
      <c r="D7" s="277" t="str">
        <f>VLOOKUP(C7,Machined!C:Q,2,0)</f>
        <v>Driven Gearshaft</v>
      </c>
      <c r="E7" s="278"/>
      <c r="F7" s="131" t="str">
        <f>VLOOKUP(C7,Machined!C:R,7,0)</f>
        <v>303 SS - TG&amp;P</v>
      </c>
      <c r="G7" s="131" t="str">
        <f>VLOOKUP(C7,Machined!C:R,10,0)</f>
        <v>ALEXANDRIA, Big Sky</v>
      </c>
      <c r="H7" s="131" t="str">
        <f>VLOOKUP(C7,Machined!C:R,11,0)</f>
        <v xml:space="preserve">  </v>
      </c>
      <c r="I7" s="131"/>
      <c r="J7" s="42" t="str">
        <f>VLOOKUP(C7,Machined!C:R,12,0)</f>
        <v>N/A</v>
      </c>
      <c r="K7" s="42">
        <f>VLOOKUP(C7,Machined!C:R,13,0)</f>
        <v>45161</v>
      </c>
      <c r="L7" s="42">
        <f>VLOOKUP(C7,Machined!C:R,14,0)</f>
        <v>45180</v>
      </c>
      <c r="M7" s="42">
        <f>VLOOKUP(C7,Machined!C:R,15,0)</f>
        <v>45180</v>
      </c>
      <c r="N7" s="43" t="str">
        <f>VLOOKUP(C7,Machined!C:R,16,0)</f>
        <v>55018, 55091</v>
      </c>
      <c r="O7" s="43" t="e">
        <f t="shared" ca="1" si="0"/>
        <v>#VALUE!</v>
      </c>
      <c r="P7" s="47">
        <f>IFERROR(VLOOKUP(C7,Machined!C:F,3,0),"")</f>
        <v>61.379999999999995</v>
      </c>
      <c r="Q7" s="48">
        <f t="shared" si="1"/>
        <v>61.379999999999995</v>
      </c>
    </row>
    <row r="8" spans="1:17" s="2" customFormat="1" ht="12.75" customHeight="1">
      <c r="A8" s="127">
        <v>4</v>
      </c>
      <c r="B8" s="21">
        <v>1</v>
      </c>
      <c r="C8" s="108" t="s">
        <v>704</v>
      </c>
      <c r="D8" s="277" t="str">
        <f>VLOOKUP(C8,Machined!C:Q,2,0)</f>
        <v>Guard Slide</v>
      </c>
      <c r="E8" s="278"/>
      <c r="F8" s="131" t="str">
        <f>VLOOKUP(C8,Machined!C:R,7,0)</f>
        <v>White Delrin</v>
      </c>
      <c r="G8" s="131" t="str">
        <f>VLOOKUP(C8,Machined!C:R,10,0)</f>
        <v>BIG SKY</v>
      </c>
      <c r="H8" s="131" t="str">
        <f>VLOOKUP(C8,Machined!C:R,11,0)</f>
        <v xml:space="preserve">  </v>
      </c>
      <c r="I8" s="131"/>
      <c r="J8" s="42">
        <f>VLOOKUP(C8,Machined!C:R,12,0)</f>
        <v>45142</v>
      </c>
      <c r="K8" s="42">
        <f>VLOOKUP(C8,Machined!C:R,13,0)</f>
        <v>45146</v>
      </c>
      <c r="L8" s="42">
        <f>VLOOKUP(C8,Machined!C:R,14,0)</f>
        <v>45176</v>
      </c>
      <c r="M8" s="42">
        <f>VLOOKUP(C8,Machined!C:R,15,0)</f>
        <v>45176</v>
      </c>
      <c r="N8" s="43">
        <f>VLOOKUP(C8,Machined!C:R,16,0)</f>
        <v>55032</v>
      </c>
      <c r="O8" s="43" t="e">
        <f t="shared" ca="1" si="0"/>
        <v>#VALUE!</v>
      </c>
      <c r="P8" s="47">
        <f>IFERROR(VLOOKUP(C8,Machined!C:F,3,0),"")</f>
        <v>48</v>
      </c>
      <c r="Q8" s="48">
        <f t="shared" si="1"/>
        <v>48</v>
      </c>
    </row>
    <row r="9" spans="1:17" s="2" customFormat="1" ht="12.75" customHeight="1">
      <c r="A9" s="127">
        <v>5</v>
      </c>
      <c r="B9" s="21">
        <v>1</v>
      </c>
      <c r="C9" s="108" t="s">
        <v>486</v>
      </c>
      <c r="D9" s="277" t="str">
        <f>VLOOKUP(C9,Machined!C:Q,2,0)</f>
        <v>Friction Pad</v>
      </c>
      <c r="E9" s="278"/>
      <c r="F9" s="131" t="str">
        <f>VLOOKUP(C9,Machined!C:R,7,0)</f>
        <v>White Delrin</v>
      </c>
      <c r="G9" s="131" t="str">
        <f>VLOOKUP(C9,Machined!C:R,10,0)</f>
        <v>BIG SKY</v>
      </c>
      <c r="H9" s="131" t="str">
        <f>VLOOKUP(C9,Machined!C:R,11,0)</f>
        <v xml:space="preserve">  </v>
      </c>
      <c r="I9" s="131"/>
      <c r="J9" s="42">
        <f>VLOOKUP(C9,Machined!C:R,12,0)</f>
        <v>45142</v>
      </c>
      <c r="K9" s="42">
        <f>VLOOKUP(C9,Machined!C:R,13,0)</f>
        <v>45146</v>
      </c>
      <c r="L9" s="42">
        <f>VLOOKUP(C9,Machined!C:R,14,0)</f>
        <v>45176</v>
      </c>
      <c r="M9" s="42">
        <f>VLOOKUP(C9,Machined!C:R,15,0)</f>
        <v>45176</v>
      </c>
      <c r="N9" s="43">
        <f>VLOOKUP(C9,Machined!C:R,16,0)</f>
        <v>55032</v>
      </c>
      <c r="O9" s="43" t="e">
        <f t="shared" ca="1" si="0"/>
        <v>#VALUE!</v>
      </c>
      <c r="P9" s="47">
        <f>IFERROR(VLOOKUP(C9,Machined!C:F,3,0),"")</f>
        <v>45</v>
      </c>
      <c r="Q9" s="48">
        <f t="shared" si="1"/>
        <v>45</v>
      </c>
    </row>
    <row r="10" spans="1:17" s="2" customFormat="1" ht="12.75" customHeight="1">
      <c r="A10" s="143"/>
      <c r="B10" s="26"/>
      <c r="C10" s="26"/>
      <c r="D10" s="272"/>
      <c r="E10" s="273"/>
      <c r="F10" s="26"/>
      <c r="G10" s="26"/>
      <c r="H10" s="274"/>
      <c r="I10" s="275"/>
      <c r="J10" s="27"/>
      <c r="K10" s="27"/>
      <c r="L10" s="27"/>
      <c r="M10" s="28"/>
      <c r="N10" s="29"/>
      <c r="O10" s="29"/>
      <c r="P10" s="141"/>
      <c r="Q10" s="142"/>
    </row>
    <row r="11" spans="1:17" s="2" customFormat="1" ht="12.75" customHeight="1">
      <c r="A11" s="4">
        <v>301</v>
      </c>
      <c r="B11" s="2">
        <v>1</v>
      </c>
      <c r="C11" s="114" t="s">
        <v>1018</v>
      </c>
      <c r="D11" s="268" t="str">
        <f>VLOOKUP(C11,Purchased!A:B,2,0)</f>
        <v>ELESA GN 322.3-160-B14-R Foldaway Aluminum Handwheel</v>
      </c>
      <c r="E11" s="269"/>
      <c r="F11" s="112" t="str">
        <f>VLOOKUP(C11,Purchased!A:Q,9,0)</f>
        <v>ELESA</v>
      </c>
      <c r="G11" s="112" t="str">
        <f>VLOOKUP(C11,Purchased!A:Q,10,0)</f>
        <v>ELESA</v>
      </c>
      <c r="H11" s="112" t="str">
        <f>VLOOKUP(C11,Purchased!A:Q,12,0)</f>
        <v xml:space="preserve"> </v>
      </c>
      <c r="I11" s="113"/>
      <c r="J11" s="44">
        <f>VLOOKUP(C11,Purchased!A:Q,13,0)</f>
        <v>45125</v>
      </c>
      <c r="K11" s="44">
        <f>VLOOKUP(C11,Purchased!A:Q,14,0)</f>
        <v>45162</v>
      </c>
      <c r="L11" s="44">
        <f>VLOOKUP(C11,Purchased!A:Q,15,0)</f>
        <v>45184</v>
      </c>
      <c r="M11" s="44">
        <f>VLOOKUP(C11,Purchased!A:Q,16,0)</f>
        <v>45184</v>
      </c>
      <c r="N11" s="45">
        <f>VLOOKUP(C11,Purchased!A:Q,17,0)</f>
        <v>55036</v>
      </c>
      <c r="O11" s="45" t="e">
        <f t="shared" ref="O11:O19" ca="1" si="2">B11*$L$2</f>
        <v>#VALUE!</v>
      </c>
      <c r="P11" s="49">
        <f>IFERROR(VLOOKUP(C11,Purchased!A:E,3,FALSE),"")</f>
        <v>62.34</v>
      </c>
      <c r="Q11" s="50">
        <f t="shared" ref="Q11:Q15" si="3">IFERROR(B11*P11,"")</f>
        <v>62.34</v>
      </c>
    </row>
    <row r="12" spans="1:17" s="2" customFormat="1" ht="12" customHeight="1">
      <c r="A12" s="4">
        <f t="shared" ref="A12:A15" si="4">A11+1</f>
        <v>302</v>
      </c>
      <c r="B12" s="2">
        <v>1</v>
      </c>
      <c r="C12" s="114" t="s">
        <v>1019</v>
      </c>
      <c r="D12" s="268" t="str">
        <f>VLOOKUP(C12,Purchased!A:B,2,0)</f>
        <v>NITRA pneumatic pushbutton, IP65, 22mm, momentary, operator only, plastic base, plastic bezel, black, Operator: green, extended, 30mm, round, plastic</v>
      </c>
      <c r="E12" s="269"/>
      <c r="F12" s="112" t="str">
        <f>VLOOKUP(C12,Purchased!A:Q,9,0)</f>
        <v>Nitra</v>
      </c>
      <c r="G12" s="112" t="str">
        <f>VLOOKUP(C12,Purchased!A:Q,10,0)</f>
        <v>AutoDir</v>
      </c>
      <c r="H12" s="112" t="str">
        <f>VLOOKUP(C12,Purchased!A:Q,12,0)</f>
        <v xml:space="preserve"> </v>
      </c>
      <c r="I12" s="113"/>
      <c r="J12" s="44" t="str">
        <f>VLOOKUP(C12,Purchased!A:Q,13,0)</f>
        <v>N/A</v>
      </c>
      <c r="K12" s="44">
        <f>VLOOKUP(C12,Purchased!A:Q,14,0)</f>
        <v>45169</v>
      </c>
      <c r="L12" s="44">
        <f>VLOOKUP(C12,Purchased!A:Q,15,0)</f>
        <v>45184</v>
      </c>
      <c r="M12" s="44">
        <f>VLOOKUP(C12,Purchased!A:Q,16,0)</f>
        <v>45184</v>
      </c>
      <c r="N12" s="45">
        <f>VLOOKUP(C12,Purchased!A:Q,17,0)</f>
        <v>55126</v>
      </c>
      <c r="O12" s="45" t="e">
        <f t="shared" ca="1" si="2"/>
        <v>#VALUE!</v>
      </c>
      <c r="P12" s="49">
        <f>IFERROR(VLOOKUP(C12,Purchased!A:E,3,FALSE),"")</f>
        <v>2.75</v>
      </c>
      <c r="Q12" s="50">
        <f t="shared" si="3"/>
        <v>2.75</v>
      </c>
    </row>
    <row r="13" spans="1:17" s="2" customFormat="1" ht="12" customHeight="1">
      <c r="A13" s="4">
        <f t="shared" si="4"/>
        <v>303</v>
      </c>
      <c r="B13" s="2">
        <v>1</v>
      </c>
      <c r="C13" s="114" t="s">
        <v>1020</v>
      </c>
      <c r="D13" s="268" t="str">
        <f>VLOOKUP(C13,Purchased!A:B,2,0)</f>
        <v>NITRA manual valve, 2-port (3-way), 2-position, N.C., metal plunger, spring return, side ports, (1) 5/32in (4mm) PTC tubing inlet(s), (1) 5/32in (4mm) PTC tubing outlet(s), (1) vent hole exhaust(s), Cv=0.13</v>
      </c>
      <c r="E13" s="269"/>
      <c r="F13" s="112" t="str">
        <f>VLOOKUP(C13,Purchased!A:Q,9,0)</f>
        <v>Nitra</v>
      </c>
      <c r="G13" s="112" t="str">
        <f>VLOOKUP(C13,Purchased!A:Q,10,0)</f>
        <v>AutoDir</v>
      </c>
      <c r="H13" s="112" t="str">
        <f>VLOOKUP(C13,Purchased!A:Q,12,0)</f>
        <v xml:space="preserve"> </v>
      </c>
      <c r="I13" s="113"/>
      <c r="J13" s="44" t="str">
        <f>VLOOKUP(C13,Purchased!A:Q,13,0)</f>
        <v>N/A</v>
      </c>
      <c r="K13" s="44">
        <f>VLOOKUP(C13,Purchased!A:Q,14,0)</f>
        <v>45161</v>
      </c>
      <c r="L13" s="44">
        <f>VLOOKUP(C13,Purchased!A:Q,15,0)</f>
        <v>45191</v>
      </c>
      <c r="M13" s="44">
        <f>VLOOKUP(C13,Purchased!A:Q,16,0)</f>
        <v>45166</v>
      </c>
      <c r="N13" s="45">
        <f>VLOOKUP(C13,Purchased!A:Q,17,0)</f>
        <v>55074</v>
      </c>
      <c r="O13" s="45" t="e">
        <f t="shared" ca="1" si="2"/>
        <v>#VALUE!</v>
      </c>
      <c r="P13" s="49">
        <f>IFERROR(VLOOKUP(C13,Purchased!A:E,3,FALSE),"")</f>
        <v>19</v>
      </c>
      <c r="Q13" s="50">
        <f t="shared" si="3"/>
        <v>19</v>
      </c>
    </row>
    <row r="14" spans="1:17" s="2" customFormat="1" ht="12" customHeight="1">
      <c r="A14" s="4">
        <f t="shared" si="4"/>
        <v>304</v>
      </c>
      <c r="B14" s="2">
        <v>1</v>
      </c>
      <c r="C14" s="114" t="s">
        <v>1021</v>
      </c>
      <c r="D14" s="268" t="str">
        <f>VLOOKUP(C14,Purchased!A:B,2,0)</f>
        <v>ELESA DD51-AN-000.4-D-C1NO Digital Position Indicator</v>
      </c>
      <c r="E14" s="269"/>
      <c r="F14" s="112" t="str">
        <f>VLOOKUP(C14,Purchased!A:Q,9,0)</f>
        <v>ELESA</v>
      </c>
      <c r="G14" s="112" t="str">
        <f>VLOOKUP(C14,Purchased!A:Q,10,0)</f>
        <v>ELESA</v>
      </c>
      <c r="H14" s="112" t="str">
        <f>VLOOKUP(C14,Purchased!A:Q,12,0)</f>
        <v xml:space="preserve">  </v>
      </c>
      <c r="I14" s="113"/>
      <c r="J14" s="44">
        <f>VLOOKUP(C14,Purchased!A:Q,13,0)</f>
        <v>45125</v>
      </c>
      <c r="K14" s="44">
        <f>VLOOKUP(C14,Purchased!A:Q,14,0)</f>
        <v>45162</v>
      </c>
      <c r="L14" s="44">
        <f>VLOOKUP(C14,Purchased!A:Q,15,0)</f>
        <v>45184</v>
      </c>
      <c r="M14" s="44">
        <f>VLOOKUP(C14,Purchased!A:Q,16,0)</f>
        <v>45184</v>
      </c>
      <c r="N14" s="45">
        <f>VLOOKUP(C14,Purchased!A:Q,17,0)</f>
        <v>55036</v>
      </c>
      <c r="O14" s="45" t="e">
        <f t="shared" ca="1" si="2"/>
        <v>#VALUE!</v>
      </c>
      <c r="P14" s="49">
        <f>IFERROR(VLOOKUP(C14,Purchased!A:E,3,FALSE),"")</f>
        <v>39.72</v>
      </c>
      <c r="Q14" s="50">
        <f t="shared" si="3"/>
        <v>39.72</v>
      </c>
    </row>
    <row r="15" spans="1:17" s="2" customFormat="1" ht="12" customHeight="1">
      <c r="A15" s="4">
        <f t="shared" si="4"/>
        <v>305</v>
      </c>
      <c r="B15" s="2">
        <v>1</v>
      </c>
      <c r="C15" s="114" t="s">
        <v>1022</v>
      </c>
      <c r="D15" s="268" t="str">
        <f>VLOOKUP(C15,Purchased!A:B,2,0)</f>
        <v>Ball Bearing, Shielded, Trade No. 6804-2Z, for 20 mm Shaft Diameter</v>
      </c>
      <c r="E15" s="269"/>
      <c r="F15" s="112" t="str">
        <f>VLOOKUP(C15,Purchased!A:Q,9,0)</f>
        <v>MOTION</v>
      </c>
      <c r="G15" s="112" t="str">
        <f>VLOOKUP(C15,Purchased!A:Q,10,0)</f>
        <v>MOTION</v>
      </c>
      <c r="H15" s="112" t="str">
        <f>VLOOKUP(C15,Purchased!A:Q,12,0)</f>
        <v>MCM=5972K157</v>
      </c>
      <c r="I15" s="113"/>
      <c r="J15" s="44" t="str">
        <f>VLOOKUP(C15,Purchased!A:Q,13,0)</f>
        <v>N/A</v>
      </c>
      <c r="K15" s="44">
        <f>VLOOKUP(C15,Purchased!A:Q,14,0)</f>
        <v>45161</v>
      </c>
      <c r="L15" s="44">
        <f>VLOOKUP(C15,Purchased!A:Q,15,0)</f>
        <v>45191</v>
      </c>
      <c r="M15" s="44">
        <f>VLOOKUP(C15,Purchased!A:Q,16,0)</f>
        <v>45191</v>
      </c>
      <c r="N15" s="45">
        <f>VLOOKUP(C15,Purchased!A:Q,17,0)</f>
        <v>55079</v>
      </c>
      <c r="O15" s="45" t="e">
        <f t="shared" ca="1" si="2"/>
        <v>#VALUE!</v>
      </c>
      <c r="P15" s="49">
        <f>IFERROR(VLOOKUP(C15,Purchased!A:E,3,FALSE),"")</f>
        <v>11.56</v>
      </c>
      <c r="Q15" s="50">
        <f t="shared" si="3"/>
        <v>11.56</v>
      </c>
    </row>
    <row r="16" spans="1:17" s="2" customFormat="1" ht="12.75" customHeight="1">
      <c r="A16" s="25"/>
      <c r="B16" s="26"/>
      <c r="C16" s="26"/>
      <c r="D16" s="272"/>
      <c r="E16" s="273"/>
      <c r="F16" s="26"/>
      <c r="G16" s="26"/>
      <c r="H16" s="274"/>
      <c r="I16" s="275"/>
      <c r="J16" s="27"/>
      <c r="K16" s="27"/>
      <c r="L16" s="27"/>
      <c r="M16" s="28"/>
      <c r="N16" s="29"/>
      <c r="O16" s="29" t="e">
        <f t="shared" ca="1" si="2"/>
        <v>#VALUE!</v>
      </c>
      <c r="P16" s="141"/>
      <c r="Q16" s="142"/>
    </row>
    <row r="17" spans="1:17" s="2" customFormat="1" ht="12.75" customHeight="1">
      <c r="A17" s="4">
        <v>501</v>
      </c>
      <c r="B17" s="2">
        <v>2</v>
      </c>
      <c r="C17" s="110" t="s">
        <v>267</v>
      </c>
      <c r="D17" s="268"/>
      <c r="E17" s="276"/>
      <c r="F17" s="112" t="str">
        <f>VLOOKUP(C17,Bolts!A:L,5,0)</f>
        <v xml:space="preserve">  </v>
      </c>
      <c r="G17" s="112" t="str">
        <f>VLOOKUP(C17,Bolts!A:L,6,0)</f>
        <v>Monroe Fasteners</v>
      </c>
      <c r="H17" s="112" t="str">
        <f>VLOOKUP(C17,Bolts!A:L,7,0)</f>
        <v xml:space="preserve">  </v>
      </c>
      <c r="I17" s="112"/>
      <c r="J17" s="44" t="str">
        <f>VLOOKUP(C17,Bolts!A:L,8,0)</f>
        <v xml:space="preserve"> </v>
      </c>
      <c r="K17" s="44" t="str">
        <f>VLOOKUP(C17,Bolts!A:L,9,0)</f>
        <v xml:space="preserve"> </v>
      </c>
      <c r="L17" s="44" t="str">
        <f>VLOOKUP(C17,Bolts!A:L,10,0)</f>
        <v xml:space="preserve"> </v>
      </c>
      <c r="M17" s="44" t="str">
        <f>VLOOKUP(C17,Bolts!A:L,11,0)</f>
        <v xml:space="preserve"> </v>
      </c>
      <c r="N17" s="45" t="str">
        <f>VLOOKUP(C17,Bolts!A:L,12,0)</f>
        <v xml:space="preserve"> </v>
      </c>
      <c r="O17" s="45" t="e">
        <f t="shared" ca="1" si="2"/>
        <v>#VALUE!</v>
      </c>
      <c r="P17" s="49" t="str">
        <f>IFERROR(VLOOKUP(C17,Bolts!A:B,2,FALSE),"")</f>
        <v xml:space="preserve"> </v>
      </c>
      <c r="Q17" s="50" t="str">
        <f t="shared" ref="Q17:Q19" si="5">IFERROR(B17*P17,"")</f>
        <v/>
      </c>
    </row>
    <row r="18" spans="1:17" s="2" customFormat="1" ht="12.75" customHeight="1">
      <c r="A18" s="4">
        <f t="shared" ref="A18:A19" si="6">A17+1</f>
        <v>502</v>
      </c>
      <c r="B18" s="2">
        <v>2</v>
      </c>
      <c r="C18" s="110" t="s">
        <v>479</v>
      </c>
      <c r="D18" s="268"/>
      <c r="E18" s="276"/>
      <c r="F18" s="112" t="str">
        <f>VLOOKUP(C18,Bolts!A:L,5,0)</f>
        <v xml:space="preserve">  </v>
      </c>
      <c r="G18" s="112" t="str">
        <f>VLOOKUP(C18,Bolts!A:L,6,0)</f>
        <v>Monroe Fasteners</v>
      </c>
      <c r="H18" s="112" t="str">
        <f>VLOOKUP(C18,Bolts!A:L,7,0)</f>
        <v xml:space="preserve">  </v>
      </c>
      <c r="I18" s="112"/>
      <c r="J18" s="44" t="str">
        <f>VLOOKUP(C18,Bolts!A:L,8,0)</f>
        <v xml:space="preserve"> </v>
      </c>
      <c r="K18" s="44" t="str">
        <f>VLOOKUP(C18,Bolts!A:L,9,0)</f>
        <v xml:space="preserve"> </v>
      </c>
      <c r="L18" s="44" t="str">
        <f>VLOOKUP(C18,Bolts!A:L,10,0)</f>
        <v xml:space="preserve"> </v>
      </c>
      <c r="M18" s="44" t="str">
        <f>VLOOKUP(C18,Bolts!A:L,11,0)</f>
        <v xml:space="preserve"> </v>
      </c>
      <c r="N18" s="45" t="str">
        <f>VLOOKUP(C18,Bolts!A:L,12,0)</f>
        <v xml:space="preserve"> </v>
      </c>
      <c r="O18" s="45" t="e">
        <f t="shared" ca="1" si="2"/>
        <v>#VALUE!</v>
      </c>
      <c r="P18" s="49" t="str">
        <f>IFERROR(VLOOKUP(C18,Bolts!A:B,2,FALSE),"")</f>
        <v xml:space="preserve"> </v>
      </c>
      <c r="Q18" s="50" t="str">
        <f t="shared" si="5"/>
        <v/>
      </c>
    </row>
    <row r="19" spans="1:17" s="2" customFormat="1" ht="12" customHeight="1" thickBot="1">
      <c r="A19" s="4">
        <f t="shared" si="6"/>
        <v>503</v>
      </c>
      <c r="B19" s="2">
        <v>4</v>
      </c>
      <c r="C19" s="110" t="s">
        <v>265</v>
      </c>
      <c r="D19" s="268"/>
      <c r="E19" s="276"/>
      <c r="F19" s="112" t="str">
        <f>VLOOKUP(C19,Bolts!A:L,5,0)</f>
        <v xml:space="preserve">  </v>
      </c>
      <c r="G19" s="112" t="str">
        <f>VLOOKUP(C19,Bolts!A:L,6,0)</f>
        <v>Monroe Fasteners</v>
      </c>
      <c r="H19" s="112" t="str">
        <f>VLOOKUP(C19,Bolts!A:L,7,0)</f>
        <v xml:space="preserve">  </v>
      </c>
      <c r="I19" s="112"/>
      <c r="J19" s="44" t="str">
        <f>VLOOKUP(C19,Bolts!A:L,8,0)</f>
        <v xml:space="preserve"> </v>
      </c>
      <c r="K19" s="44" t="str">
        <f>VLOOKUP(C19,Bolts!A:L,9,0)</f>
        <v xml:space="preserve"> </v>
      </c>
      <c r="L19" s="44" t="str">
        <f>VLOOKUP(C19,Bolts!A:L,10,0)</f>
        <v xml:space="preserve"> </v>
      </c>
      <c r="M19" s="44" t="str">
        <f>VLOOKUP(C19,Bolts!A:L,11,0)</f>
        <v xml:space="preserve"> </v>
      </c>
      <c r="N19" s="45" t="str">
        <f>VLOOKUP(C19,Bolts!A:L,12,0)</f>
        <v xml:space="preserve"> </v>
      </c>
      <c r="O19" s="45" t="e">
        <f t="shared" ca="1" si="2"/>
        <v>#VALUE!</v>
      </c>
      <c r="P19" s="49" t="str">
        <f>IFERROR(VLOOKUP(C19,Bolts!A:B,2,FALSE),"")</f>
        <v xml:space="preserve"> </v>
      </c>
      <c r="Q19" s="50" t="str">
        <f t="shared" si="5"/>
        <v/>
      </c>
    </row>
    <row r="20" spans="1:17" s="2" customFormat="1" ht="12.75" customHeight="1" thickBot="1">
      <c r="A20" s="34"/>
      <c r="B20" s="35"/>
      <c r="C20" s="35"/>
      <c r="D20" s="256"/>
      <c r="E20" s="257"/>
      <c r="F20" s="35"/>
      <c r="G20" s="35"/>
      <c r="H20" s="294"/>
      <c r="I20" s="295"/>
      <c r="J20" s="36"/>
      <c r="K20" s="36"/>
      <c r="L20" s="36"/>
      <c r="M20" s="37"/>
      <c r="N20" s="38"/>
      <c r="O20" s="38"/>
      <c r="P20" s="89" t="s">
        <v>43</v>
      </c>
      <c r="Q20" s="94">
        <f>SUM(Q5:Q19)</f>
        <v>309.78000000000003</v>
      </c>
    </row>
    <row r="21" spans="1:17" s="2" customFormat="1" ht="12" customHeight="1">
      <c r="D21" s="22"/>
      <c r="E21" s="22"/>
      <c r="J21" s="8"/>
      <c r="K21" s="8"/>
      <c r="L21" s="8"/>
      <c r="M21" s="8"/>
      <c r="N21" s="5"/>
      <c r="O21" s="5"/>
      <c r="P21" s="88"/>
      <c r="Q21" s="95"/>
    </row>
    <row r="22" spans="1:17" s="2" customFormat="1" ht="12" customHeight="1">
      <c r="D22" s="22"/>
      <c r="E22" s="22"/>
      <c r="J22" s="5"/>
      <c r="K22" s="5"/>
      <c r="L22" s="5"/>
      <c r="M22" s="5"/>
      <c r="N22" s="5"/>
      <c r="O22" s="5"/>
      <c r="P22" s="88"/>
      <c r="Q22" s="95"/>
    </row>
    <row r="23" spans="1:17" s="2" customFormat="1" ht="12" customHeight="1">
      <c r="D23" s="22"/>
      <c r="E23" s="22"/>
      <c r="J23" s="5"/>
      <c r="K23" s="5"/>
      <c r="L23" s="5"/>
      <c r="M23" s="5"/>
      <c r="N23" s="5"/>
      <c r="O23" s="5"/>
      <c r="P23" s="88"/>
      <c r="Q23" s="95"/>
    </row>
    <row r="24" spans="1:17" s="2" customFormat="1" ht="12" customHeight="1">
      <c r="D24" s="22"/>
      <c r="E24" s="22"/>
      <c r="J24" s="5"/>
      <c r="K24" s="5"/>
      <c r="L24" s="5"/>
      <c r="M24" s="5"/>
      <c r="N24" s="5"/>
      <c r="O24" s="5"/>
      <c r="P24" s="88"/>
      <c r="Q24" s="95"/>
    </row>
    <row r="25" spans="1:17" s="2" customFormat="1" ht="12" customHeight="1">
      <c r="D25" s="22"/>
      <c r="E25" s="22"/>
      <c r="J25" s="5"/>
      <c r="K25" s="5"/>
      <c r="L25" s="5"/>
      <c r="M25" s="5"/>
      <c r="N25" s="5"/>
      <c r="O25" s="5"/>
      <c r="P25" s="88"/>
      <c r="Q25" s="95"/>
    </row>
    <row r="26" spans="1:17" s="2" customFormat="1" ht="12" customHeight="1">
      <c r="D26" s="22"/>
      <c r="E26" s="22"/>
      <c r="J26" s="5"/>
      <c r="K26" s="5"/>
      <c r="L26" s="5"/>
      <c r="M26" s="5"/>
      <c r="N26" s="5"/>
      <c r="O26" s="5"/>
      <c r="P26" s="88"/>
      <c r="Q26" s="95"/>
    </row>
    <row r="27" spans="1:17" s="2" customFormat="1" ht="12" customHeight="1">
      <c r="D27" s="22"/>
      <c r="E27" s="22"/>
      <c r="J27" s="5"/>
      <c r="K27" s="5"/>
      <c r="L27" s="5"/>
      <c r="M27" s="5"/>
      <c r="N27" s="5"/>
      <c r="O27" s="5"/>
      <c r="P27" s="88"/>
      <c r="Q27" s="95"/>
    </row>
    <row r="28" spans="1:17" s="2" customFormat="1" ht="12" customHeight="1">
      <c r="D28" s="22"/>
      <c r="E28" s="22"/>
      <c r="J28" s="5"/>
      <c r="K28" s="5"/>
      <c r="L28" s="5"/>
      <c r="M28" s="5"/>
      <c r="N28" s="5"/>
      <c r="O28" s="5"/>
      <c r="P28" s="88"/>
      <c r="Q28" s="95"/>
    </row>
    <row r="29" spans="1:17" s="2" customFormat="1" ht="12" customHeight="1">
      <c r="D29" s="22"/>
      <c r="E29" s="22"/>
      <c r="J29" s="5"/>
      <c r="K29" s="5"/>
      <c r="L29" s="5"/>
      <c r="M29" s="5"/>
      <c r="N29" s="5"/>
      <c r="O29" s="5"/>
      <c r="P29" s="88"/>
      <c r="Q29" s="95"/>
    </row>
    <row r="30" spans="1:17" s="2" customFormat="1" ht="12" customHeight="1">
      <c r="D30" s="22"/>
      <c r="E30" s="22"/>
      <c r="J30" s="5"/>
      <c r="K30" s="5"/>
      <c r="L30" s="5"/>
      <c r="M30" s="5"/>
      <c r="N30" s="5"/>
      <c r="O30" s="5"/>
      <c r="P30" s="88"/>
      <c r="Q30" s="95"/>
    </row>
    <row r="31" spans="1:17" s="2" customFormat="1" ht="12" customHeight="1">
      <c r="D31" s="22"/>
      <c r="E31" s="22"/>
      <c r="J31" s="5"/>
      <c r="K31" s="5"/>
      <c r="L31" s="5"/>
      <c r="M31" s="5"/>
      <c r="N31" s="5"/>
      <c r="O31" s="5"/>
      <c r="P31" s="88"/>
      <c r="Q31" s="95"/>
    </row>
    <row r="32" spans="1:17" s="2" customFormat="1" ht="12" customHeight="1">
      <c r="D32" s="22"/>
      <c r="E32" s="22"/>
      <c r="J32" s="5"/>
      <c r="K32" s="5"/>
      <c r="L32" s="5"/>
      <c r="M32" s="5"/>
      <c r="N32" s="5"/>
      <c r="O32" s="5"/>
      <c r="P32" s="88"/>
      <c r="Q32" s="95"/>
    </row>
    <row r="33" spans="4:17" s="2" customFormat="1" ht="12" customHeight="1">
      <c r="D33" s="22"/>
      <c r="E33" s="22"/>
      <c r="J33" s="5"/>
      <c r="K33" s="5"/>
      <c r="L33" s="5"/>
      <c r="M33" s="5"/>
      <c r="N33" s="5"/>
      <c r="O33" s="5"/>
      <c r="P33" s="88"/>
      <c r="Q33" s="95"/>
    </row>
    <row r="34" spans="4:17" s="2" customFormat="1" ht="12" customHeight="1">
      <c r="D34" s="22"/>
      <c r="E34" s="22"/>
      <c r="J34" s="5"/>
      <c r="K34" s="5"/>
      <c r="L34" s="5"/>
      <c r="M34" s="5"/>
      <c r="N34" s="5"/>
      <c r="O34" s="5"/>
      <c r="P34" s="88"/>
      <c r="Q34" s="95"/>
    </row>
    <row r="35" spans="4:17" s="2" customFormat="1" ht="12" customHeight="1">
      <c r="D35" s="22"/>
      <c r="E35" s="22"/>
      <c r="J35" s="5"/>
      <c r="K35" s="5"/>
      <c r="L35" s="5"/>
      <c r="M35" s="5"/>
      <c r="N35" s="5"/>
      <c r="O35" s="5"/>
      <c r="P35" s="88"/>
      <c r="Q35" s="95"/>
    </row>
    <row r="36" spans="4:17" s="2" customFormat="1" ht="12" customHeight="1">
      <c r="D36" s="22"/>
      <c r="E36" s="22"/>
      <c r="J36" s="5"/>
      <c r="K36" s="5"/>
      <c r="L36" s="5"/>
      <c r="M36" s="5"/>
      <c r="N36" s="5"/>
      <c r="O36" s="5"/>
      <c r="P36" s="88"/>
      <c r="Q36" s="95"/>
    </row>
    <row r="37" spans="4:17" s="2" customFormat="1" ht="12" customHeight="1">
      <c r="D37" s="22"/>
      <c r="E37" s="22"/>
      <c r="J37" s="5"/>
      <c r="K37" s="5"/>
      <c r="L37" s="5"/>
      <c r="M37" s="5"/>
      <c r="N37" s="5"/>
      <c r="O37" s="5"/>
      <c r="P37" s="88"/>
      <c r="Q37" s="95"/>
    </row>
    <row r="38" spans="4:17" s="2" customFormat="1" ht="12" customHeight="1">
      <c r="D38" s="22"/>
      <c r="E38" s="22"/>
      <c r="J38" s="5"/>
      <c r="K38" s="5"/>
      <c r="L38" s="5"/>
      <c r="M38" s="5"/>
      <c r="N38" s="5"/>
      <c r="O38" s="5"/>
      <c r="P38" s="88"/>
      <c r="Q38" s="95"/>
    </row>
    <row r="39" spans="4:17" s="2" customFormat="1" ht="12" customHeight="1">
      <c r="D39" s="22"/>
      <c r="E39" s="22"/>
      <c r="J39" s="5"/>
      <c r="K39" s="5"/>
      <c r="L39" s="5"/>
      <c r="M39" s="5"/>
      <c r="N39" s="5"/>
      <c r="O39" s="5"/>
      <c r="P39" s="88"/>
      <c r="Q39" s="95"/>
    </row>
    <row r="40" spans="4:17" s="2" customFormat="1" ht="12" customHeight="1">
      <c r="D40" s="22"/>
      <c r="E40" s="22"/>
      <c r="J40" s="5"/>
      <c r="K40" s="5"/>
      <c r="L40" s="5"/>
      <c r="M40" s="5"/>
      <c r="N40" s="5"/>
      <c r="O40" s="5"/>
      <c r="P40" s="88"/>
      <c r="Q40" s="95"/>
    </row>
    <row r="41" spans="4:17" s="2" customFormat="1" ht="12" customHeight="1">
      <c r="D41" s="22"/>
      <c r="E41" s="22"/>
      <c r="J41" s="5"/>
      <c r="K41" s="5"/>
      <c r="L41" s="5"/>
      <c r="M41" s="5"/>
      <c r="N41" s="5"/>
      <c r="O41" s="5"/>
      <c r="P41" s="88"/>
      <c r="Q41" s="95"/>
    </row>
    <row r="42" spans="4:17" s="2" customFormat="1" ht="12" customHeight="1">
      <c r="D42" s="22"/>
      <c r="E42" s="22"/>
      <c r="J42" s="5"/>
      <c r="K42" s="5"/>
      <c r="L42" s="5"/>
      <c r="M42" s="5"/>
      <c r="N42" s="5"/>
      <c r="O42" s="5"/>
      <c r="P42" s="88"/>
      <c r="Q42" s="95"/>
    </row>
    <row r="43" spans="4:17" s="2" customFormat="1" ht="12" customHeight="1">
      <c r="D43" s="22"/>
      <c r="E43" s="22"/>
      <c r="J43" s="5"/>
      <c r="K43" s="5"/>
      <c r="L43" s="5"/>
      <c r="M43" s="5"/>
      <c r="N43" s="5"/>
      <c r="O43" s="5"/>
      <c r="P43" s="88"/>
      <c r="Q43" s="95"/>
    </row>
    <row r="44" spans="4:17" s="2" customFormat="1" ht="12" customHeight="1">
      <c r="D44" s="22"/>
      <c r="E44" s="22"/>
      <c r="J44" s="5"/>
      <c r="K44" s="5"/>
      <c r="L44" s="5"/>
      <c r="M44" s="5"/>
      <c r="N44" s="5"/>
      <c r="O44" s="5"/>
      <c r="P44" s="88"/>
      <c r="Q44" s="95"/>
    </row>
    <row r="45" spans="4:17" s="2" customFormat="1" ht="12" customHeight="1">
      <c r="D45" s="22"/>
      <c r="E45" s="22"/>
      <c r="J45" s="5"/>
      <c r="K45" s="5"/>
      <c r="L45" s="5"/>
      <c r="M45" s="5"/>
      <c r="N45" s="5"/>
      <c r="O45" s="5"/>
      <c r="P45" s="88"/>
      <c r="Q45" s="95"/>
    </row>
    <row r="46" spans="4:17" s="2" customFormat="1" ht="12" customHeight="1">
      <c r="D46" s="22"/>
      <c r="E46" s="22"/>
      <c r="J46" s="5"/>
      <c r="K46" s="5"/>
      <c r="L46" s="5"/>
      <c r="M46" s="5"/>
      <c r="N46" s="5"/>
      <c r="O46" s="5"/>
      <c r="P46" s="88"/>
      <c r="Q46" s="95"/>
    </row>
    <row r="47" spans="4:17" s="2" customFormat="1" ht="12" customHeight="1">
      <c r="D47" s="22"/>
      <c r="E47" s="22"/>
      <c r="J47" s="5"/>
      <c r="K47" s="5"/>
      <c r="L47" s="5"/>
      <c r="M47" s="5"/>
      <c r="N47" s="5"/>
      <c r="O47" s="5"/>
      <c r="P47" s="88"/>
      <c r="Q47" s="95"/>
    </row>
    <row r="48" spans="4:17" s="2" customFormat="1" ht="12" customHeight="1">
      <c r="D48" s="22"/>
      <c r="E48" s="22"/>
      <c r="J48" s="5"/>
      <c r="K48" s="5"/>
      <c r="L48" s="5"/>
      <c r="M48" s="5"/>
      <c r="N48" s="5"/>
      <c r="O48" s="5"/>
      <c r="P48" s="88"/>
      <c r="Q48" s="95"/>
    </row>
    <row r="49" spans="1:17" s="2" customFormat="1" ht="12" customHeight="1">
      <c r="D49" s="22"/>
      <c r="E49" s="22"/>
      <c r="J49" s="5"/>
      <c r="K49" s="5"/>
      <c r="L49" s="5"/>
      <c r="M49" s="5"/>
      <c r="N49" s="5"/>
      <c r="O49" s="5"/>
      <c r="P49" s="88"/>
      <c r="Q49" s="95"/>
    </row>
    <row r="50" spans="1:17" s="2" customFormat="1" ht="12" customHeight="1">
      <c r="D50" s="22"/>
      <c r="E50" s="22"/>
      <c r="J50" s="5"/>
      <c r="K50" s="5"/>
      <c r="L50" s="5"/>
      <c r="M50" s="5"/>
      <c r="N50" s="5"/>
      <c r="O50" s="5"/>
      <c r="P50" s="88"/>
      <c r="Q50" s="95"/>
    </row>
    <row r="51" spans="1:17" s="2" customFormat="1" ht="12" customHeight="1">
      <c r="D51" s="22"/>
      <c r="E51" s="22"/>
      <c r="J51" s="5"/>
      <c r="K51" s="5"/>
      <c r="L51" s="5"/>
      <c r="M51" s="5"/>
      <c r="N51" s="5"/>
      <c r="O51" s="5"/>
      <c r="P51" s="88"/>
      <c r="Q51" s="95"/>
    </row>
    <row r="52" spans="1:17" s="2" customFormat="1" ht="12" customHeight="1">
      <c r="D52" s="22"/>
      <c r="E52" s="22"/>
      <c r="J52" s="5"/>
      <c r="K52" s="5"/>
      <c r="L52" s="5"/>
      <c r="M52" s="5"/>
      <c r="N52" s="5"/>
      <c r="O52" s="5"/>
      <c r="P52" s="88"/>
      <c r="Q52" s="95"/>
    </row>
    <row r="53" spans="1:17" s="2" customFormat="1" ht="12" customHeight="1">
      <c r="D53" s="22"/>
      <c r="E53" s="22"/>
      <c r="J53" s="5"/>
      <c r="K53" s="5"/>
      <c r="L53" s="5"/>
      <c r="M53" s="5"/>
      <c r="N53" s="5"/>
      <c r="O53" s="5"/>
      <c r="P53" s="88"/>
      <c r="Q53" s="95"/>
    </row>
    <row r="54" spans="1:17" s="2" customFormat="1" ht="12" customHeight="1">
      <c r="D54" s="22"/>
      <c r="E54" s="22"/>
      <c r="J54" s="5"/>
      <c r="K54" s="5"/>
      <c r="L54" s="5"/>
      <c r="M54" s="5"/>
      <c r="N54" s="5"/>
      <c r="O54" s="5"/>
      <c r="P54" s="88"/>
      <c r="Q54" s="95"/>
    </row>
    <row r="55" spans="1:17" s="2" customFormat="1" ht="12" customHeight="1">
      <c r="D55" s="22"/>
      <c r="E55" s="22"/>
      <c r="J55" s="5"/>
      <c r="K55" s="5"/>
      <c r="L55" s="5"/>
      <c r="M55" s="5"/>
      <c r="N55" s="5"/>
      <c r="O55" s="5"/>
      <c r="P55" s="88"/>
      <c r="Q55" s="95"/>
    </row>
    <row r="56" spans="1:17" s="2" customFormat="1" ht="12" customHeight="1">
      <c r="D56" s="22"/>
      <c r="E56" s="22"/>
      <c r="J56" s="5"/>
      <c r="K56" s="5"/>
      <c r="L56" s="5"/>
      <c r="M56" s="5"/>
      <c r="N56" s="5"/>
      <c r="O56" s="5"/>
      <c r="P56" s="88"/>
      <c r="Q56" s="95"/>
    </row>
    <row r="57" spans="1:17" s="2" customFormat="1" ht="12" customHeight="1">
      <c r="D57" s="22"/>
      <c r="E57" s="22"/>
      <c r="J57" s="5"/>
      <c r="K57" s="5"/>
      <c r="L57" s="5"/>
      <c r="M57" s="5"/>
      <c r="N57" s="5"/>
      <c r="O57" s="5"/>
      <c r="P57" s="88"/>
      <c r="Q57" s="95"/>
    </row>
    <row r="58" spans="1:17" s="2" customFormat="1" ht="12" customHeight="1">
      <c r="D58" s="22"/>
      <c r="E58" s="22"/>
      <c r="J58" s="5"/>
      <c r="K58" s="5"/>
      <c r="L58" s="5"/>
      <c r="M58" s="5"/>
      <c r="N58" s="5"/>
      <c r="O58" s="5"/>
      <c r="P58" s="88"/>
      <c r="Q58" s="95"/>
    </row>
    <row r="59" spans="1:17" s="2" customFormat="1" ht="12" customHeight="1">
      <c r="D59" s="22"/>
      <c r="E59" s="22"/>
      <c r="J59" s="5"/>
      <c r="K59" s="5"/>
      <c r="L59" s="5"/>
      <c r="M59" s="5"/>
      <c r="N59" s="5"/>
      <c r="O59" s="5"/>
      <c r="P59" s="88"/>
      <c r="Q59" s="96"/>
    </row>
    <row r="60" spans="1:17" s="2" customFormat="1" ht="12" customHeight="1">
      <c r="D60" s="22"/>
      <c r="E60" s="22"/>
      <c r="J60" s="5"/>
      <c r="K60" s="5"/>
      <c r="L60" s="5"/>
      <c r="M60" s="5"/>
      <c r="N60" s="5"/>
      <c r="O60" s="5"/>
      <c r="P60" s="88"/>
      <c r="Q60" s="96"/>
    </row>
    <row r="61" spans="1:17" s="2" customFormat="1" ht="12" customHeight="1">
      <c r="D61" s="22"/>
      <c r="E61" s="22"/>
      <c r="J61" s="5"/>
      <c r="K61" s="5"/>
      <c r="L61" s="5"/>
      <c r="M61" s="5"/>
      <c r="N61" s="5"/>
      <c r="O61" s="5"/>
      <c r="P61" s="88"/>
      <c r="Q61" s="96"/>
    </row>
    <row r="62" spans="1:17" s="2" customFormat="1" ht="12" customHeight="1">
      <c r="D62" s="22"/>
      <c r="E62" s="22"/>
      <c r="J62" s="5"/>
      <c r="K62" s="5"/>
      <c r="L62" s="5"/>
      <c r="M62" s="5"/>
      <c r="N62" s="5"/>
      <c r="O62" s="5"/>
      <c r="P62" s="88"/>
      <c r="Q62" s="96"/>
    </row>
    <row r="63" spans="1:17" s="2" customFormat="1" ht="12" customHeight="1">
      <c r="A63"/>
      <c r="B63"/>
      <c r="C63"/>
      <c r="D63" s="23"/>
      <c r="E63" s="23"/>
      <c r="F63"/>
      <c r="G63"/>
      <c r="H63"/>
      <c r="I63"/>
      <c r="J63" s="19"/>
      <c r="K63" s="19"/>
      <c r="L63" s="19"/>
      <c r="M63" s="19"/>
      <c r="N63" s="19"/>
      <c r="O63" s="19"/>
      <c r="P63" s="90"/>
      <c r="Q63" s="96"/>
    </row>
    <row r="64" spans="1:17" s="2" customFormat="1" ht="12" customHeight="1">
      <c r="A64"/>
      <c r="B64"/>
      <c r="C64"/>
      <c r="D64" s="23"/>
      <c r="E64" s="23"/>
      <c r="F64"/>
      <c r="G64"/>
      <c r="H64"/>
      <c r="I64"/>
      <c r="J64" s="19"/>
      <c r="K64" s="19"/>
      <c r="L64" s="19"/>
      <c r="M64" s="19"/>
      <c r="N64" s="19"/>
      <c r="O64" s="19"/>
      <c r="P64" s="90"/>
      <c r="Q64" s="96"/>
    </row>
    <row r="65" spans="1:17" s="2" customFormat="1" ht="12" customHeight="1">
      <c r="A65"/>
      <c r="B65"/>
      <c r="C65"/>
      <c r="D65" s="23"/>
      <c r="E65" s="23"/>
      <c r="F65"/>
      <c r="G65"/>
      <c r="H65"/>
      <c r="I65"/>
      <c r="J65" s="19"/>
      <c r="K65" s="19"/>
      <c r="L65" s="19"/>
      <c r="M65" s="19"/>
      <c r="N65" s="19"/>
      <c r="O65" s="19"/>
      <c r="P65" s="90"/>
      <c r="Q65" s="96"/>
    </row>
    <row r="66" spans="1:17" s="2" customFormat="1" ht="12" customHeight="1">
      <c r="A66"/>
      <c r="B66"/>
      <c r="C66"/>
      <c r="D66" s="23"/>
      <c r="E66" s="23"/>
      <c r="F66"/>
      <c r="G66"/>
      <c r="H66"/>
      <c r="I66"/>
      <c r="J66" s="19"/>
      <c r="K66" s="19"/>
      <c r="L66" s="19"/>
      <c r="M66" s="19"/>
      <c r="N66" s="19"/>
      <c r="O66" s="19"/>
      <c r="P66" s="90"/>
      <c r="Q66" s="96"/>
    </row>
    <row r="67" spans="1:17" s="2" customFormat="1" ht="12" customHeight="1">
      <c r="A67"/>
      <c r="B67"/>
      <c r="C67"/>
      <c r="D67" s="23"/>
      <c r="E67" s="23"/>
      <c r="F67"/>
      <c r="G67"/>
      <c r="H67"/>
      <c r="I67"/>
      <c r="J67" s="19"/>
      <c r="K67" s="19"/>
      <c r="L67" s="19"/>
      <c r="M67" s="19"/>
      <c r="N67" s="19"/>
      <c r="O67" s="19"/>
      <c r="P67" s="90"/>
      <c r="Q67" s="96"/>
    </row>
    <row r="68" spans="1:17">
      <c r="Q68" s="96"/>
    </row>
    <row r="69" spans="1:17">
      <c r="Q69" s="96"/>
    </row>
    <row r="70" spans="1:17">
      <c r="Q70" s="96"/>
    </row>
    <row r="71" spans="1:17">
      <c r="Q71" s="96"/>
    </row>
    <row r="72" spans="1:17">
      <c r="Q72" s="96"/>
    </row>
    <row r="73" spans="1:17">
      <c r="Q73" s="96"/>
    </row>
    <row r="74" spans="1:17">
      <c r="Q74" s="96"/>
    </row>
    <row r="75" spans="1:17">
      <c r="Q75" s="96"/>
    </row>
    <row r="76" spans="1:17">
      <c r="Q76" s="96"/>
    </row>
    <row r="77" spans="1:17">
      <c r="Q77" s="96"/>
    </row>
    <row r="78" spans="1:17">
      <c r="Q78" s="96"/>
    </row>
    <row r="79" spans="1:17">
      <c r="Q79" s="96"/>
    </row>
    <row r="80" spans="1:17">
      <c r="Q80" s="96"/>
    </row>
    <row r="81" spans="17:17">
      <c r="Q81" s="96"/>
    </row>
    <row r="82" spans="17:17">
      <c r="Q82" s="96"/>
    </row>
    <row r="83" spans="17:17">
      <c r="Q83" s="96"/>
    </row>
    <row r="84" spans="17:17">
      <c r="Q84" s="96"/>
    </row>
    <row r="85" spans="17:17">
      <c r="Q85" s="96"/>
    </row>
    <row r="86" spans="17:17">
      <c r="Q86" s="96"/>
    </row>
    <row r="87" spans="17:17">
      <c r="Q87" s="96"/>
    </row>
    <row r="124" ht="12" customHeight="1"/>
    <row r="125" ht="12" customHeight="1"/>
    <row r="126" ht="12" customHeight="1"/>
    <row r="127" ht="12" customHeight="1"/>
    <row r="128" ht="12" customHeight="1"/>
    <row r="129" ht="12" customHeight="1"/>
    <row r="130" ht="12" customHeight="1"/>
    <row r="131" ht="12" customHeight="1"/>
    <row r="132" ht="12" customHeight="1"/>
    <row r="133" ht="12" customHeight="1"/>
    <row r="134" ht="12" customHeight="1"/>
    <row r="135" ht="12" customHeight="1"/>
    <row r="136" ht="12" customHeight="1"/>
    <row r="137" ht="12" customHeight="1"/>
    <row r="138" ht="12" customHeight="1"/>
    <row r="139" ht="12" customHeight="1"/>
    <row r="140" ht="12" customHeight="1"/>
    <row r="141" ht="12" customHeight="1"/>
    <row r="142" ht="12" customHeight="1"/>
    <row r="143" ht="12" customHeight="1"/>
    <row r="144" ht="12" customHeight="1"/>
    <row r="145" ht="12" customHeight="1"/>
    <row r="146" ht="12" customHeight="1"/>
    <row r="147" ht="12" customHeight="1"/>
    <row r="148" ht="12" customHeight="1"/>
    <row r="149" ht="12" customHeight="1"/>
    <row r="150" ht="12" customHeight="1"/>
    <row r="151" ht="12" customHeight="1"/>
    <row r="152" ht="12" customHeight="1"/>
    <row r="153" ht="12" customHeight="1"/>
    <row r="154" ht="12" customHeight="1"/>
    <row r="155" ht="12" customHeight="1"/>
    <row r="156" ht="12" customHeight="1"/>
    <row r="157" ht="12" customHeight="1"/>
    <row r="158" ht="12" customHeight="1"/>
    <row r="159" ht="12" customHeight="1"/>
    <row r="160" ht="12" customHeight="1"/>
    <row r="161" ht="12" customHeight="1"/>
    <row r="162" ht="12" customHeight="1"/>
    <row r="163" ht="12" customHeight="1"/>
    <row r="164" ht="12" customHeight="1"/>
    <row r="165" ht="12" customHeight="1"/>
    <row r="166" ht="12" customHeight="1"/>
    <row r="167" ht="12" customHeight="1"/>
    <row r="168" ht="12" customHeight="1"/>
    <row r="169" ht="12" customHeight="1"/>
    <row r="170" ht="12" customHeight="1"/>
    <row r="171" ht="12" customHeight="1"/>
    <row r="172" ht="12" customHeight="1"/>
    <row r="173" ht="12" customHeight="1"/>
  </sheetData>
  <mergeCells count="22">
    <mergeCell ref="H20:I20"/>
    <mergeCell ref="D20:E20"/>
    <mergeCell ref="D16:E16"/>
    <mergeCell ref="H16:I16"/>
    <mergeCell ref="D17:E17"/>
    <mergeCell ref="D18:E18"/>
    <mergeCell ref="D19:E19"/>
    <mergeCell ref="D11:E11"/>
    <mergeCell ref="D12:E12"/>
    <mergeCell ref="D13:E13"/>
    <mergeCell ref="D14:E14"/>
    <mergeCell ref="D15:E15"/>
    <mergeCell ref="D7:E7"/>
    <mergeCell ref="D8:E8"/>
    <mergeCell ref="D9:E9"/>
    <mergeCell ref="D10:E10"/>
    <mergeCell ref="H10:I10"/>
    <mergeCell ref="D1:E1"/>
    <mergeCell ref="D4:E4"/>
    <mergeCell ref="H4:I4"/>
    <mergeCell ref="D5:E5"/>
    <mergeCell ref="D6:E6"/>
  </mergeCells>
  <conditionalFormatting sqref="M5:M9 M17:M19 M11:M15">
    <cfRule type="cellIs" dxfId="352" priority="5" stopIfTrue="1" operator="lessThanOrEqual">
      <formula>$L5</formula>
    </cfRule>
    <cfRule type="cellIs" dxfId="351" priority="6" operator="greaterThan">
      <formula>L5</formula>
    </cfRule>
  </conditionalFormatting>
  <pageMargins left="0.7" right="0.7" top="0.75" bottom="0.75" header="0.3" footer="0.3"/>
  <pageSetup paperSize="3" fitToHeight="0" orientation="landscape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650CB856-2EB2-4CFD-BE01-45D8361F56EF}">
          <x14:formula1>
            <xm:f>Bolts!$A:$A</xm:f>
          </x14:formula1>
          <xm:sqref>C17:C19</xm:sqref>
        </x14:dataValidation>
        <x14:dataValidation type="list" allowBlank="1" showInputMessage="1" showErrorMessage="1" xr:uid="{02B9E377-CFDE-4561-8E81-CA8169E9734B}">
          <x14:formula1>
            <xm:f>Purchased!$A:$A</xm:f>
          </x14:formula1>
          <xm:sqref>C11:C15</xm:sqref>
        </x14:dataValidation>
        <x14:dataValidation type="list" allowBlank="1" showInputMessage="1" showErrorMessage="1" xr:uid="{F6BD9CD2-1183-4867-B963-68D500A331C5}">
          <x14:formula1>
            <xm:f>Machined!$C:$C</xm:f>
          </x14:formula1>
          <xm:sqref>C5:C9</xm:sqref>
        </x14:dataValidation>
      </x14:dataValidations>
    </ext>
  </extLst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FA5E4F-4C53-451B-A267-1165E652F4DF}">
  <sheetPr codeName="Sheet84">
    <tabColor theme="3" tint="0.79998168889431442"/>
    <pageSetUpPr fitToPage="1"/>
  </sheetPr>
  <dimension ref="A1:Q187"/>
  <sheetViews>
    <sheetView zoomScaleNormal="100" workbookViewId="0">
      <selection activeCell="C41" sqref="C41"/>
    </sheetView>
  </sheetViews>
  <sheetFormatPr defaultColWidth="9.140625" defaultRowHeight="15"/>
  <cols>
    <col min="1" max="1" width="5.7109375" customWidth="1"/>
    <col min="2" max="2" width="5.42578125" bestFit="1" customWidth="1"/>
    <col min="3" max="3" width="30.7109375" customWidth="1"/>
    <col min="4" max="5" width="20.7109375" style="23" customWidth="1"/>
    <col min="6" max="6" width="16.85546875" bestFit="1" customWidth="1"/>
    <col min="7" max="7" width="9.7109375" customWidth="1"/>
    <col min="8" max="8" width="8.7109375" customWidth="1"/>
    <col min="9" max="9" width="20.7109375" customWidth="1"/>
    <col min="10" max="13" width="11.7109375" style="19" customWidth="1"/>
    <col min="14" max="14" width="11.85546875" style="19" bestFit="1" customWidth="1"/>
    <col min="15" max="15" width="7.7109375" style="19" customWidth="1"/>
    <col min="16" max="16" width="10.7109375" style="90" customWidth="1"/>
    <col min="17" max="17" width="10.7109375" style="97" customWidth="1"/>
  </cols>
  <sheetData>
    <row r="1" spans="1:17" s="55" customFormat="1" ht="12" customHeight="1">
      <c r="A1" s="68" t="s">
        <v>0</v>
      </c>
      <c r="B1" s="69"/>
      <c r="C1" s="69"/>
      <c r="D1" s="262" t="s">
        <v>1</v>
      </c>
      <c r="E1" s="263"/>
      <c r="F1" s="70"/>
      <c r="G1" s="69"/>
      <c r="H1" s="70"/>
      <c r="I1" s="71"/>
      <c r="J1" s="72"/>
      <c r="K1" s="72"/>
      <c r="L1" s="72"/>
      <c r="M1" s="72"/>
      <c r="N1" s="72"/>
      <c r="O1" s="72"/>
      <c r="P1" s="85"/>
      <c r="Q1" s="91"/>
    </row>
    <row r="2" spans="1:17" s="55" customFormat="1" ht="12" customHeight="1">
      <c r="A2" s="74" t="s">
        <v>48</v>
      </c>
      <c r="B2" s="58"/>
      <c r="C2" s="57" t="e">
        <f ca="1">VLOOKUP(E3,Assemblies!B:F,4,0)</f>
        <v>#VALUE!</v>
      </c>
      <c r="D2" s="75" t="s">
        <v>3</v>
      </c>
      <c r="E2" s="76" t="e">
        <f ca="1">'GF12'!E2</f>
        <v>#VALUE!</v>
      </c>
      <c r="F2" s="77" t="s">
        <v>4</v>
      </c>
      <c r="G2" s="58" t="str">
        <f>'GF12'!G2</f>
        <v>GH</v>
      </c>
      <c r="H2" s="77" t="s">
        <v>6</v>
      </c>
      <c r="I2" s="59">
        <f>'GF12'!I2</f>
        <v>44775</v>
      </c>
      <c r="J2" s="39"/>
      <c r="K2" s="40" t="s">
        <v>49</v>
      </c>
      <c r="L2" s="41" t="e">
        <f ca="1">VLOOKUP(C2,Assemblies!E:G,3,0)</f>
        <v>#VALUE!</v>
      </c>
      <c r="M2" s="78"/>
      <c r="N2" s="78"/>
      <c r="O2" s="78"/>
      <c r="P2" s="86"/>
      <c r="Q2" s="92"/>
    </row>
    <row r="3" spans="1:17" s="55" customFormat="1" ht="12" customHeight="1" thickBot="1">
      <c r="A3" s="74" t="s">
        <v>7</v>
      </c>
      <c r="B3" s="58"/>
      <c r="C3" s="57" t="e">
        <f ca="1">VLOOKUP(E3,Assemblies!B:F,5,0)</f>
        <v>#VALUE!</v>
      </c>
      <c r="D3" s="75" t="s">
        <v>50</v>
      </c>
      <c r="E3" s="76" t="e">
        <f ca="1">MID(CELL("filename",A1),FIND("]",CELL("filename",A1))+1,256)</f>
        <v>#VALUE!</v>
      </c>
      <c r="F3" s="77" t="s">
        <v>11</v>
      </c>
      <c r="G3" s="58" t="str">
        <f>'GF12'!G3</f>
        <v>GH</v>
      </c>
      <c r="H3" s="77" t="s">
        <v>6</v>
      </c>
      <c r="I3" s="59">
        <f>'GF12'!I3</f>
        <v>44775</v>
      </c>
      <c r="J3" s="78"/>
      <c r="K3" s="78"/>
      <c r="L3" s="78"/>
      <c r="M3" s="78"/>
      <c r="N3" s="78"/>
      <c r="O3" s="78"/>
      <c r="P3" s="86"/>
      <c r="Q3" s="92"/>
    </row>
    <row r="4" spans="1:17" s="56" customFormat="1" ht="12.75" customHeight="1" thickBot="1">
      <c r="A4" s="80" t="s">
        <v>12</v>
      </c>
      <c r="B4" s="81" t="s">
        <v>13</v>
      </c>
      <c r="C4" s="81" t="s">
        <v>14</v>
      </c>
      <c r="D4" s="270" t="s">
        <v>15</v>
      </c>
      <c r="E4" s="271"/>
      <c r="F4" s="104" t="s">
        <v>16</v>
      </c>
      <c r="G4" s="81" t="s">
        <v>17</v>
      </c>
      <c r="H4" s="260" t="s">
        <v>18</v>
      </c>
      <c r="I4" s="261"/>
      <c r="J4" s="81" t="s">
        <v>51</v>
      </c>
      <c r="K4" s="81" t="s">
        <v>20</v>
      </c>
      <c r="L4" s="81" t="s">
        <v>21</v>
      </c>
      <c r="M4" s="81" t="s">
        <v>52</v>
      </c>
      <c r="N4" s="81" t="s">
        <v>22</v>
      </c>
      <c r="O4" s="81" t="s">
        <v>53</v>
      </c>
      <c r="P4" s="107" t="s">
        <v>26</v>
      </c>
      <c r="Q4" s="82" t="s">
        <v>27</v>
      </c>
    </row>
    <row r="5" spans="1:17" s="2" customFormat="1" ht="12.75" customHeight="1">
      <c r="A5" s="127">
        <v>1</v>
      </c>
      <c r="B5" s="21">
        <v>1</v>
      </c>
      <c r="C5" s="108" t="s">
        <v>1023</v>
      </c>
      <c r="D5" s="298" t="str">
        <f>VLOOKUP(C5,Machined!C:Q,2,0)</f>
        <v>CROSSWEB DUAL 
HANDWHEEL PLATE</v>
      </c>
      <c r="E5" s="299"/>
      <c r="F5" s="131" t="str">
        <f>VLOOKUP(C5,Machined!C:R,7,0)</f>
        <v>6061-T6 Alum</v>
      </c>
      <c r="G5" s="131" t="str">
        <f>VLOOKUP(C5,Machined!C:R,10,0)</f>
        <v>DETAILED MACH</v>
      </c>
      <c r="H5" s="131" t="str">
        <f>VLOOKUP(C5,Machined!C:R,11,0)</f>
        <v>shipped 9/25/23</v>
      </c>
      <c r="I5" s="131"/>
      <c r="J5" s="42">
        <f>VLOOKUP(C5,Machined!C:R,12,0)</f>
        <v>45156</v>
      </c>
      <c r="K5" s="42">
        <f>VLOOKUP(C5,Machined!C:R,13,0)</f>
        <v>45162</v>
      </c>
      <c r="L5" s="42">
        <f>VLOOKUP(C5,Machined!C:R,14,0)</f>
        <v>45190</v>
      </c>
      <c r="M5" s="42">
        <f>VLOOKUP(C5,Machined!C:R,15,0)</f>
        <v>45190</v>
      </c>
      <c r="N5" s="43">
        <f>VLOOKUP(C5,Machined!C:R,16,0)</f>
        <v>55101</v>
      </c>
      <c r="O5" s="43" t="e">
        <f t="shared" ref="O5:O10" ca="1" si="0">B5*$L$2</f>
        <v>#VALUE!</v>
      </c>
      <c r="P5" s="47">
        <f>IFERROR(VLOOKUP(C5,Machined!C:F,3,0),"")</f>
        <v>0</v>
      </c>
      <c r="Q5" s="48">
        <f t="shared" ref="Q5:Q10" si="1">IFERROR(B5*P5,"")</f>
        <v>0</v>
      </c>
    </row>
    <row r="6" spans="1:17" s="2" customFormat="1" ht="12.75" customHeight="1">
      <c r="A6" s="127">
        <v>2</v>
      </c>
      <c r="B6" s="21">
        <v>2</v>
      </c>
      <c r="C6" s="108" t="s">
        <v>1024</v>
      </c>
      <c r="D6" s="298" t="str">
        <f>VLOOKUP(C6,Machined!C:Q,2,0)</f>
        <v>Crossweb Handwheel Shaft</v>
      </c>
      <c r="E6" s="299"/>
      <c r="F6" s="131" t="str">
        <f>VLOOKUP(C6,Machined!C:R,7,0)</f>
        <v>303 SS - TG&amp;P</v>
      </c>
      <c r="G6" s="131" t="str">
        <f>VLOOKUP(C6,Machined!C:R,10,0)</f>
        <v>ALEXANDRIA, Big Sky</v>
      </c>
      <c r="H6" s="131" t="str">
        <f>VLOOKUP(C6,Machined!C:R,11,0)</f>
        <v xml:space="preserve">  </v>
      </c>
      <c r="I6" s="131"/>
      <c r="J6" s="42" t="str">
        <f>VLOOKUP(C6,Machined!C:R,12,0)</f>
        <v>N/A</v>
      </c>
      <c r="K6" s="42">
        <f>VLOOKUP(C6,Machined!C:R,13,0)</f>
        <v>45161</v>
      </c>
      <c r="L6" s="42">
        <f>VLOOKUP(C6,Machined!C:R,14,0)</f>
        <v>45180</v>
      </c>
      <c r="M6" s="42">
        <f>VLOOKUP(C6,Machined!C:R,15,0)</f>
        <v>45180</v>
      </c>
      <c r="N6" s="43" t="str">
        <f>VLOOKUP(C6,Machined!C:R,16,0)</f>
        <v>55018, 55091</v>
      </c>
      <c r="O6" s="43" t="e">
        <f t="shared" ca="1" si="0"/>
        <v>#VALUE!</v>
      </c>
      <c r="P6" s="47">
        <f>IFERROR(VLOOKUP(C6,Machined!C:F,3,0),"")</f>
        <v>38.6</v>
      </c>
      <c r="Q6" s="48">
        <f t="shared" si="1"/>
        <v>77.2</v>
      </c>
    </row>
    <row r="7" spans="1:17" s="2" customFormat="1" ht="12.75" customHeight="1">
      <c r="A7" s="127">
        <v>3</v>
      </c>
      <c r="B7" s="21">
        <v>1</v>
      </c>
      <c r="C7" s="108" t="s">
        <v>1025</v>
      </c>
      <c r="D7" s="298" t="str">
        <f>VLOOKUP(C7,Machined!C:Q,2,0)</f>
        <v>CROSSWEB EXTENSION 
PLATE</v>
      </c>
      <c r="E7" s="299"/>
      <c r="F7" s="131" t="str">
        <f>VLOOKUP(C7,Machined!C:R,7,0)</f>
        <v>MIC 6</v>
      </c>
      <c r="G7" s="131" t="str">
        <f>VLOOKUP(C7,Machined!C:R,10,0)</f>
        <v>DETAILED MACH</v>
      </c>
      <c r="H7" s="131" t="str">
        <f>VLOOKUP(C7,Machined!C:R,11,0)</f>
        <v xml:space="preserve">  </v>
      </c>
      <c r="I7" s="131"/>
      <c r="J7" s="42">
        <f>VLOOKUP(C7,Machined!C:R,12,0)</f>
        <v>45156</v>
      </c>
      <c r="K7" s="42">
        <f>VLOOKUP(C7,Machined!C:R,13,0)</f>
        <v>45162</v>
      </c>
      <c r="L7" s="42">
        <f>VLOOKUP(C7,Machined!C:R,14,0)</f>
        <v>45190</v>
      </c>
      <c r="M7" s="42">
        <f>VLOOKUP(C7,Machined!C:R,15,0)</f>
        <v>45190</v>
      </c>
      <c r="N7" s="43">
        <f>VLOOKUP(C7,Machined!C:R,16,0)</f>
        <v>55101</v>
      </c>
      <c r="O7" s="43" t="e">
        <f t="shared" ca="1" si="0"/>
        <v>#VALUE!</v>
      </c>
      <c r="P7" s="47">
        <f>IFERROR(VLOOKUP(C7,Machined!C:F,3,0),"")</f>
        <v>0</v>
      </c>
      <c r="Q7" s="48">
        <f t="shared" si="1"/>
        <v>0</v>
      </c>
    </row>
    <row r="8" spans="1:17" s="2" customFormat="1" ht="12.75" customHeight="1">
      <c r="A8" s="127">
        <v>4</v>
      </c>
      <c r="B8" s="21">
        <v>1</v>
      </c>
      <c r="C8" s="108" t="s">
        <v>878</v>
      </c>
      <c r="D8" s="298" t="str">
        <f>VLOOKUP(C8,Machined!C:Q,2,0)</f>
        <v>EXTENSION PLATE SPACER</v>
      </c>
      <c r="E8" s="299"/>
      <c r="F8" s="131" t="str">
        <f>VLOOKUP(C8,Machined!C:R,7,0)</f>
        <v>6061-T6 Alum</v>
      </c>
      <c r="G8" s="131" t="str">
        <f>VLOOKUP(C8,Machined!C:R,10,0)</f>
        <v>DETAILED MACH</v>
      </c>
      <c r="H8" s="131" t="str">
        <f>VLOOKUP(C8,Machined!C:R,11,0)</f>
        <v>shipped 9/29/23</v>
      </c>
      <c r="I8" s="131"/>
      <c r="J8" s="42">
        <f>VLOOKUP(C8,Machined!C:R,12,0)</f>
        <v>45156</v>
      </c>
      <c r="K8" s="42">
        <f>VLOOKUP(C8,Machined!C:R,13,0)</f>
        <v>45162</v>
      </c>
      <c r="L8" s="42">
        <f>VLOOKUP(C8,Machined!C:R,14,0)</f>
        <v>45190</v>
      </c>
      <c r="M8" s="42">
        <f>VLOOKUP(C8,Machined!C:R,15,0)</f>
        <v>45190</v>
      </c>
      <c r="N8" s="43">
        <f>VLOOKUP(C8,Machined!C:R,16,0)</f>
        <v>55101</v>
      </c>
      <c r="O8" s="43" t="e">
        <f t="shared" ca="1" si="0"/>
        <v>#VALUE!</v>
      </c>
      <c r="P8" s="47">
        <f>IFERROR(VLOOKUP(C8,Machined!C:F,3,0),"")</f>
        <v>0</v>
      </c>
      <c r="Q8" s="48">
        <f t="shared" si="1"/>
        <v>0</v>
      </c>
    </row>
    <row r="9" spans="1:17" s="2" customFormat="1" ht="12.75" customHeight="1">
      <c r="A9" s="127">
        <v>5</v>
      </c>
      <c r="B9" s="21">
        <v>2</v>
      </c>
      <c r="C9" s="108" t="s">
        <v>704</v>
      </c>
      <c r="D9" s="298" t="str">
        <f>VLOOKUP(C9,Machined!C:Q,2,0)</f>
        <v>Guard Slide</v>
      </c>
      <c r="E9" s="299"/>
      <c r="F9" s="131" t="str">
        <f>VLOOKUP(C9,Machined!C:R,7,0)</f>
        <v>White Delrin</v>
      </c>
      <c r="G9" s="131" t="str">
        <f>VLOOKUP(C9,Machined!C:R,10,0)</f>
        <v>BIG SKY</v>
      </c>
      <c r="H9" s="131" t="str">
        <f>VLOOKUP(C9,Machined!C:R,11,0)</f>
        <v xml:space="preserve">  </v>
      </c>
      <c r="I9" s="131"/>
      <c r="J9" s="42">
        <f>VLOOKUP(C9,Machined!C:R,12,0)</f>
        <v>45142</v>
      </c>
      <c r="K9" s="42">
        <f>VLOOKUP(C9,Machined!C:R,13,0)</f>
        <v>45146</v>
      </c>
      <c r="L9" s="42">
        <f>VLOOKUP(C9,Machined!C:R,14,0)</f>
        <v>45176</v>
      </c>
      <c r="M9" s="42">
        <f>VLOOKUP(C9,Machined!C:R,15,0)</f>
        <v>45176</v>
      </c>
      <c r="N9" s="43">
        <f>VLOOKUP(C9,Machined!C:R,16,0)</f>
        <v>55032</v>
      </c>
      <c r="O9" s="43" t="e">
        <f t="shared" ca="1" si="0"/>
        <v>#VALUE!</v>
      </c>
      <c r="P9" s="47">
        <f>IFERROR(VLOOKUP(C9,Machined!C:F,3,0),"")</f>
        <v>48</v>
      </c>
      <c r="Q9" s="48">
        <f t="shared" si="1"/>
        <v>96</v>
      </c>
    </row>
    <row r="10" spans="1:17" s="2" customFormat="1" ht="12.75" customHeight="1">
      <c r="A10" s="127">
        <v>6</v>
      </c>
      <c r="B10" s="21">
        <v>2</v>
      </c>
      <c r="C10" s="108" t="s">
        <v>486</v>
      </c>
      <c r="D10" s="298" t="str">
        <f>VLOOKUP(C10,Machined!C:Q,2,0)</f>
        <v>Friction Pad</v>
      </c>
      <c r="E10" s="299"/>
      <c r="F10" s="131" t="str">
        <f>VLOOKUP(C10,Machined!C:R,7,0)</f>
        <v>White Delrin</v>
      </c>
      <c r="G10" s="131" t="str">
        <f>VLOOKUP(C10,Machined!C:R,10,0)</f>
        <v>BIG SKY</v>
      </c>
      <c r="H10" s="131" t="str">
        <f>VLOOKUP(C10,Machined!C:R,11,0)</f>
        <v xml:space="preserve">  </v>
      </c>
      <c r="I10" s="131"/>
      <c r="J10" s="42">
        <f>VLOOKUP(C10,Machined!C:R,12,0)</f>
        <v>45142</v>
      </c>
      <c r="K10" s="42">
        <f>VLOOKUP(C10,Machined!C:R,13,0)</f>
        <v>45146</v>
      </c>
      <c r="L10" s="42">
        <f>VLOOKUP(C10,Machined!C:R,14,0)</f>
        <v>45176</v>
      </c>
      <c r="M10" s="42">
        <f>VLOOKUP(C10,Machined!C:R,15,0)</f>
        <v>45176</v>
      </c>
      <c r="N10" s="43">
        <f>VLOOKUP(C10,Machined!C:R,16,0)</f>
        <v>55032</v>
      </c>
      <c r="O10" s="43" t="e">
        <f t="shared" ca="1" si="0"/>
        <v>#VALUE!</v>
      </c>
      <c r="P10" s="47">
        <f>IFERROR(VLOOKUP(C10,Machined!C:F,3,0),"")</f>
        <v>45</v>
      </c>
      <c r="Q10" s="48">
        <f t="shared" si="1"/>
        <v>90</v>
      </c>
    </row>
    <row r="11" spans="1:17" s="2" customFormat="1" ht="12.75" customHeight="1">
      <c r="A11" s="242">
        <v>7</v>
      </c>
      <c r="B11" s="243">
        <v>1</v>
      </c>
      <c r="C11" s="108" t="s">
        <v>879</v>
      </c>
      <c r="D11" s="298" t="str">
        <f>VLOOKUP(C11,Machined!C:Q,2,0)</f>
        <v>TENSIONER CAP WASHER</v>
      </c>
      <c r="E11" s="299"/>
      <c r="F11" s="131" t="str">
        <f>VLOOKUP(C11,Machined!C:R,7,0)</f>
        <v>303 SS - TG&amp;P</v>
      </c>
      <c r="G11" s="131" t="str">
        <f>VLOOKUP(C11,Machined!C:R,10,0)</f>
        <v>XOMETRY</v>
      </c>
      <c r="H11" s="131">
        <f>VLOOKUP(C11,Machined!C:R,11,0)</f>
        <v>0</v>
      </c>
      <c r="I11" s="131"/>
      <c r="J11" s="42">
        <f>VLOOKUP(C11,Machined!C:R,12,0)</f>
        <v>45228</v>
      </c>
      <c r="K11" s="42">
        <f>VLOOKUP(C11,Machined!C:R,13,0)</f>
        <v>45228</v>
      </c>
      <c r="L11" s="42">
        <f>VLOOKUP(C11,Machined!C:R,14,0)</f>
        <v>45238</v>
      </c>
      <c r="M11" s="42">
        <f>VLOOKUP(C11,Machined!C:R,15,0)</f>
        <v>45237</v>
      </c>
      <c r="N11" s="43">
        <f>VLOOKUP(C11,Machined!C:R,16,0)</f>
        <v>55254</v>
      </c>
      <c r="O11" s="43" t="e">
        <f t="shared" ref="O11:O12" ca="1" si="2">B11*$L$2</f>
        <v>#VALUE!</v>
      </c>
      <c r="P11" s="47">
        <f>IFERROR(VLOOKUP(C11,Machined!C:F,3,0),"")</f>
        <v>1.98</v>
      </c>
      <c r="Q11" s="48">
        <f t="shared" ref="Q11:Q12" si="3">IFERROR(B11*P11,"")</f>
        <v>1.98</v>
      </c>
    </row>
    <row r="12" spans="1:17" s="2" customFormat="1" ht="12.75" customHeight="1">
      <c r="A12" s="242">
        <v>8</v>
      </c>
      <c r="B12" s="243">
        <v>1</v>
      </c>
      <c r="C12" s="108" t="s">
        <v>880</v>
      </c>
      <c r="D12" s="298" t="str">
        <f>VLOOKUP(C12,Machined!C:Q,2,0)</f>
        <v>TENSIONER CAP BRACKET</v>
      </c>
      <c r="E12" s="299"/>
      <c r="F12" s="131" t="str">
        <f>VLOOKUP(C12,Machined!C:R,7,0)</f>
        <v>303 SS - TG&amp;P</v>
      </c>
      <c r="G12" s="131" t="str">
        <f>VLOOKUP(C12,Machined!C:R,10,0)</f>
        <v>XOMETRY</v>
      </c>
      <c r="H12" s="131">
        <f>VLOOKUP(C12,Machined!C:R,11,0)</f>
        <v>0</v>
      </c>
      <c r="I12" s="131"/>
      <c r="J12" s="42">
        <f>VLOOKUP(C12,Machined!C:R,12,0)</f>
        <v>45228</v>
      </c>
      <c r="K12" s="42">
        <f>VLOOKUP(C12,Machined!C:R,13,0)</f>
        <v>45228</v>
      </c>
      <c r="L12" s="42">
        <f>VLOOKUP(C12,Machined!C:R,14,0)</f>
        <v>45238</v>
      </c>
      <c r="M12" s="42">
        <f>VLOOKUP(C12,Machined!C:R,15,0)</f>
        <v>45237</v>
      </c>
      <c r="N12" s="43">
        <f>VLOOKUP(C12,Machined!C:R,16,0)</f>
        <v>55254</v>
      </c>
      <c r="O12" s="43" t="e">
        <f t="shared" ca="1" si="2"/>
        <v>#VALUE!</v>
      </c>
      <c r="P12" s="47">
        <f>IFERROR(VLOOKUP(C12,Machined!C:F,3,0),"")</f>
        <v>2.38</v>
      </c>
      <c r="Q12" s="48">
        <f t="shared" si="3"/>
        <v>2.38</v>
      </c>
    </row>
    <row r="13" spans="1:17" s="2" customFormat="1" ht="12.75" customHeight="1">
      <c r="A13" s="143"/>
      <c r="B13" s="26"/>
      <c r="C13" s="26"/>
      <c r="D13" s="272"/>
      <c r="E13" s="273"/>
      <c r="F13" s="26"/>
      <c r="G13" s="26"/>
      <c r="H13" s="274"/>
      <c r="I13" s="275"/>
      <c r="J13" s="27"/>
      <c r="K13" s="27"/>
      <c r="L13" s="27"/>
      <c r="M13" s="28"/>
      <c r="N13" s="29"/>
      <c r="O13" s="29"/>
      <c r="P13" s="141"/>
      <c r="Q13" s="142"/>
    </row>
    <row r="14" spans="1:17" s="2" customFormat="1" ht="12.75" customHeight="1">
      <c r="A14" s="4">
        <v>301</v>
      </c>
      <c r="B14" s="2">
        <v>2</v>
      </c>
      <c r="C14" s="114" t="s">
        <v>490</v>
      </c>
      <c r="D14" s="268" t="str">
        <f>VLOOKUP(C14,Purchased!A:B,2,0)</f>
        <v>ELESA GN 322.3-125-B12-R Foldaway Aluminum Handwheel</v>
      </c>
      <c r="E14" s="269"/>
      <c r="F14" s="112" t="str">
        <f>VLOOKUP(C14,Purchased!A:Q,9,0)</f>
        <v>ELESA</v>
      </c>
      <c r="G14" s="112" t="str">
        <f>VLOOKUP(C14,Purchased!A:Q,10,0)</f>
        <v>ELESA</v>
      </c>
      <c r="H14" s="112" t="str">
        <f>VLOOKUP(C14,Purchased!A:Q,12,0)</f>
        <v xml:space="preserve"> </v>
      </c>
      <c r="I14" s="113"/>
      <c r="J14" s="44">
        <f>VLOOKUP(C14,Purchased!A:Q,13,0)</f>
        <v>45125</v>
      </c>
      <c r="K14" s="44">
        <f>VLOOKUP(C14,Purchased!A:Q,14,0)</f>
        <v>45162</v>
      </c>
      <c r="L14" s="44">
        <f>VLOOKUP(C14,Purchased!A:Q,15,0)</f>
        <v>45184</v>
      </c>
      <c r="M14" s="44">
        <f>VLOOKUP(C14,Purchased!A:Q,16,0)</f>
        <v>45184</v>
      </c>
      <c r="N14" s="45">
        <f>VLOOKUP(C14,Purchased!A:Q,17,0)</f>
        <v>55036</v>
      </c>
      <c r="O14" s="45" t="e">
        <f t="shared" ref="O14:O33" ca="1" si="4">B14*$L$2</f>
        <v>#VALUE!</v>
      </c>
      <c r="P14" s="49">
        <f>IFERROR(VLOOKUP(C14,Purchased!A:E,3,FALSE),"")</f>
        <v>51.89</v>
      </c>
      <c r="Q14" s="50">
        <f t="shared" ref="Q14:Q26" si="5">IFERROR(B14*P14,"")</f>
        <v>103.78</v>
      </c>
    </row>
    <row r="15" spans="1:17" s="2" customFormat="1" ht="12" customHeight="1">
      <c r="A15" s="4">
        <f>A14+1</f>
        <v>302</v>
      </c>
      <c r="B15" s="2">
        <v>2</v>
      </c>
      <c r="C15" s="114" t="s">
        <v>1026</v>
      </c>
      <c r="D15" s="268" t="str">
        <f>VLOOKUP(C15,Purchased!A:B,2,0)</f>
        <v>ELESA DD51-AN-003.0-D-C1 Digital Position Indicator</v>
      </c>
      <c r="E15" s="269"/>
      <c r="F15" s="112" t="str">
        <f>VLOOKUP(C15,Purchased!A:Q,9,0)</f>
        <v>ELESA</v>
      </c>
      <c r="G15" s="112" t="str">
        <f>VLOOKUP(C15,Purchased!A:Q,10,0)</f>
        <v>ELESA</v>
      </c>
      <c r="H15" s="112">
        <f>VLOOKUP(C15,Purchased!A:Q,12,0)</f>
        <v>0</v>
      </c>
      <c r="I15" s="113"/>
      <c r="J15" s="44">
        <f>VLOOKUP(C15,Purchased!A:Q,13,0)</f>
        <v>45205</v>
      </c>
      <c r="K15" s="44">
        <f>VLOOKUP(C15,Purchased!A:Q,14,0)</f>
        <v>45205</v>
      </c>
      <c r="L15" s="44">
        <f>VLOOKUP(C15,Purchased!A:Q,15,0)</f>
        <v>45219</v>
      </c>
      <c r="M15" s="44">
        <f>VLOOKUP(C15,Purchased!A:Q,16,0)</f>
        <v>45225</v>
      </c>
      <c r="N15" s="45">
        <f>VLOOKUP(C15,Purchased!A:Q,17,0)</f>
        <v>55195</v>
      </c>
      <c r="O15" s="45" t="e">
        <f t="shared" ca="1" si="4"/>
        <v>#VALUE!</v>
      </c>
      <c r="P15" s="49">
        <f>IFERROR(VLOOKUP(C15,Purchased!A:E,3,FALSE),"")</f>
        <v>0</v>
      </c>
      <c r="Q15" s="50">
        <f t="shared" si="5"/>
        <v>0</v>
      </c>
    </row>
    <row r="16" spans="1:17" s="2" customFormat="1" ht="12" customHeight="1">
      <c r="A16" s="4">
        <f t="shared" ref="A16:A28" si="6">A15+1</f>
        <v>303</v>
      </c>
      <c r="B16" s="2">
        <v>2</v>
      </c>
      <c r="C16" s="114" t="s">
        <v>492</v>
      </c>
      <c r="D16" s="268" t="str">
        <f>VLOOKUP(C16,Purchased!A:B,2,0)</f>
        <v>Ball Bearing Shielded, Trade No. 6901-2Z, for 12 mm Shaft Diameter</v>
      </c>
      <c r="E16" s="269"/>
      <c r="F16" s="112" t="str">
        <f>VLOOKUP(C16,Purchased!A:Q,9,0)</f>
        <v>MCM</v>
      </c>
      <c r="G16" s="112" t="str">
        <f>VLOOKUP(C16,Purchased!A:Q,10,0)</f>
        <v>MCM</v>
      </c>
      <c r="H16" s="112">
        <f>VLOOKUP(C16,Purchased!A:Q,12,0)</f>
        <v>0</v>
      </c>
      <c r="I16" s="113"/>
      <c r="J16" s="44" t="str">
        <f>VLOOKUP(C16,Purchased!A:Q,13,0)</f>
        <v>N/A</v>
      </c>
      <c r="K16" s="44">
        <f>VLOOKUP(C16,Purchased!A:Q,14,0)</f>
        <v>45162</v>
      </c>
      <c r="L16" s="44">
        <f>VLOOKUP(C16,Purchased!A:Q,15,0)</f>
        <v>45184</v>
      </c>
      <c r="M16" s="44">
        <f>VLOOKUP(C16,Purchased!A:Q,16,0)</f>
        <v>45166</v>
      </c>
      <c r="N16" s="45">
        <f>VLOOKUP(C16,Purchased!A:Q,17,0)</f>
        <v>55087</v>
      </c>
      <c r="O16" s="45" t="e">
        <f t="shared" ca="1" si="4"/>
        <v>#VALUE!</v>
      </c>
      <c r="P16" s="49">
        <f>IFERROR(VLOOKUP(C16,Purchased!A:E,3,FALSE),"")</f>
        <v>14.29</v>
      </c>
      <c r="Q16" s="50">
        <f t="shared" si="5"/>
        <v>28.58</v>
      </c>
    </row>
    <row r="17" spans="1:17" s="2" customFormat="1" ht="12" customHeight="1">
      <c r="A17" s="4">
        <f t="shared" si="6"/>
        <v>304</v>
      </c>
      <c r="B17" s="2">
        <v>2</v>
      </c>
      <c r="C17" s="114" t="s">
        <v>489</v>
      </c>
      <c r="D17" s="268" t="str">
        <f>VLOOKUP(C17,Purchased!A:B,2,0)</f>
        <v>ELESA CE.85919 Base for Spindle Locking BSA-N51-12</v>
      </c>
      <c r="E17" s="269"/>
      <c r="F17" s="112" t="str">
        <f>VLOOKUP(C17,Purchased!A:Q,9,0)</f>
        <v>ELESA</v>
      </c>
      <c r="G17" s="112" t="str">
        <f>VLOOKUP(C17,Purchased!A:Q,10,0)</f>
        <v>ELESA</v>
      </c>
      <c r="H17" s="112" t="str">
        <f>VLOOKUP(C17,Purchased!A:Q,12,0)</f>
        <v xml:space="preserve"> </v>
      </c>
      <c r="I17" s="113"/>
      <c r="J17" s="44">
        <f>VLOOKUP(C17,Purchased!A:Q,13,0)</f>
        <v>45125</v>
      </c>
      <c r="K17" s="44">
        <f>VLOOKUP(C17,Purchased!A:Q,14,0)</f>
        <v>45162</v>
      </c>
      <c r="L17" s="44">
        <f>VLOOKUP(C17,Purchased!A:Q,15,0)</f>
        <v>45184</v>
      </c>
      <c r="M17" s="44">
        <f>VLOOKUP(C17,Purchased!A:Q,16,0)</f>
        <v>45184</v>
      </c>
      <c r="N17" s="45">
        <f>VLOOKUP(C17,Purchased!A:Q,17,0)</f>
        <v>55036</v>
      </c>
      <c r="O17" s="45" t="e">
        <f t="shared" ca="1" si="4"/>
        <v>#VALUE!</v>
      </c>
      <c r="P17" s="49">
        <f>IFERROR(VLOOKUP(C17,Purchased!A:E,3,FALSE),"")</f>
        <v>24.93</v>
      </c>
      <c r="Q17" s="50">
        <f t="shared" si="5"/>
        <v>49.86</v>
      </c>
    </row>
    <row r="18" spans="1:17" s="2" customFormat="1" ht="12" customHeight="1">
      <c r="A18" s="4">
        <f t="shared" si="6"/>
        <v>305</v>
      </c>
      <c r="B18" s="2">
        <v>4</v>
      </c>
      <c r="C18" s="114" t="s">
        <v>474</v>
      </c>
      <c r="D18" s="268" t="str">
        <f>VLOOKUP(C18,Purchased!A:B,2,0)</f>
        <v>Ball Bearing Open, Trade Number 608, for 8 mm Shaft Diameter</v>
      </c>
      <c r="E18" s="269"/>
      <c r="F18" s="112" t="str">
        <f>VLOOKUP(C18,Purchased!A:Q,9,0)</f>
        <v>MCM</v>
      </c>
      <c r="G18" s="112" t="str">
        <f>VLOOKUP(C18,Purchased!A:Q,10,0)</f>
        <v>MCM</v>
      </c>
      <c r="H18" s="112" t="str">
        <f>VLOOKUP(C18,Purchased!A:Q,12,0)</f>
        <v xml:space="preserve"> </v>
      </c>
      <c r="I18" s="113"/>
      <c r="J18" s="44" t="str">
        <f>VLOOKUP(C18,Purchased!A:Q,13,0)</f>
        <v>N/A</v>
      </c>
      <c r="K18" s="44">
        <f>VLOOKUP(C18,Purchased!A:Q,14,0)</f>
        <v>45162</v>
      </c>
      <c r="L18" s="44">
        <f>VLOOKUP(C18,Purchased!A:Q,15,0)</f>
        <v>45189</v>
      </c>
      <c r="M18" s="44">
        <f>VLOOKUP(C18,Purchased!A:Q,16,0)</f>
        <v>45189</v>
      </c>
      <c r="N18" s="45" t="str">
        <f>VLOOKUP(C18,Purchased!A:Q,17,0)</f>
        <v>55087, 55152</v>
      </c>
      <c r="O18" s="45" t="e">
        <f t="shared" ca="1" si="4"/>
        <v>#VALUE!</v>
      </c>
      <c r="P18" s="49">
        <f>IFERROR(VLOOKUP(C18,Purchased!A:E,3,FALSE),"")</f>
        <v>4.82</v>
      </c>
      <c r="Q18" s="50">
        <f t="shared" si="5"/>
        <v>19.28</v>
      </c>
    </row>
    <row r="19" spans="1:17" s="2" customFormat="1" ht="12" customHeight="1">
      <c r="A19" s="4">
        <f t="shared" si="6"/>
        <v>306</v>
      </c>
      <c r="B19" s="2">
        <v>2</v>
      </c>
      <c r="C19" s="114" t="s">
        <v>697</v>
      </c>
      <c r="D19" s="268" t="str">
        <f>VLOOKUP(C19,Purchased!A:B,2,0)</f>
        <v>Threaded Steel Track Roller, Flat without Seal, 26mm Roller Diameter, 12mm Roller Width</v>
      </c>
      <c r="E19" s="269"/>
      <c r="F19" s="112" t="str">
        <f>VLOOKUP(C19,Purchased!A:Q,9,0)</f>
        <v>MOTION</v>
      </c>
      <c r="G19" s="112" t="str">
        <f>VLOOKUP(C19,Purchased!A:Q,10,0)</f>
        <v>MOTION</v>
      </c>
      <c r="H19" s="112" t="str">
        <f>VLOOKUP(C19,Purchased!A:Q,12,0)</f>
        <v>MCM=6314K320</v>
      </c>
      <c r="I19" s="113"/>
      <c r="J19" s="44" t="str">
        <f>VLOOKUP(C19,Purchased!A:Q,13,0)</f>
        <v>N/A</v>
      </c>
      <c r="K19" s="44">
        <f>VLOOKUP(C19,Purchased!A:Q,14,0)</f>
        <v>45162</v>
      </c>
      <c r="L19" s="44">
        <f>VLOOKUP(C19,Purchased!A:Q,15,0)</f>
        <v>45184</v>
      </c>
      <c r="M19" s="44">
        <f>VLOOKUP(C19,Purchased!A:Q,16,0)</f>
        <v>45169</v>
      </c>
      <c r="N19" s="45">
        <f>VLOOKUP(C19,Purchased!A:Q,17,0)</f>
        <v>55097</v>
      </c>
      <c r="O19" s="45" t="e">
        <f t="shared" ca="1" si="4"/>
        <v>#VALUE!</v>
      </c>
      <c r="P19" s="49">
        <f>IFERROR(VLOOKUP(C19,Purchased!A:E,3,FALSE),"")</f>
        <v>26.09</v>
      </c>
      <c r="Q19" s="50">
        <f t="shared" si="5"/>
        <v>52.18</v>
      </c>
    </row>
    <row r="20" spans="1:17" s="2" customFormat="1" ht="12" customHeight="1">
      <c r="A20" s="4">
        <f t="shared" si="6"/>
        <v>307</v>
      </c>
      <c r="B20" s="2">
        <v>2</v>
      </c>
      <c r="C20" s="114" t="s">
        <v>885</v>
      </c>
      <c r="D20" s="268" t="str">
        <f>VLOOKUP(C20,Purchased!A:B,2,0)</f>
        <v>Corrosion-Resistant Timing Belt Pulley XL Series, Hub, 2 Flanges, 9.5mm Maximum Belt Width, 35mm OD</v>
      </c>
      <c r="E20" s="269"/>
      <c r="F20" s="112" t="str">
        <f>VLOOKUP(C20,Purchased!A:Q,9,0)</f>
        <v>MCM</v>
      </c>
      <c r="G20" s="112" t="str">
        <f>VLOOKUP(C20,Purchased!A:Q,10,0)</f>
        <v>MCM</v>
      </c>
      <c r="H20" s="112" t="str">
        <f>VLOOKUP(C20,Purchased!A:Q,12,0)</f>
        <v xml:space="preserve"> </v>
      </c>
      <c r="I20" s="113"/>
      <c r="J20" s="44" t="str">
        <f>VLOOKUP(C20,Purchased!A:Q,13,0)</f>
        <v>N/A</v>
      </c>
      <c r="K20" s="44">
        <f>VLOOKUP(C20,Purchased!A:Q,14,0)</f>
        <v>45196</v>
      </c>
      <c r="L20" s="44">
        <f>VLOOKUP(C20,Purchased!A:Q,15,0)</f>
        <v>45197</v>
      </c>
      <c r="M20" s="44">
        <f>VLOOKUP(C20,Purchased!A:Q,16,0)</f>
        <v>45197</v>
      </c>
      <c r="N20" s="45">
        <f>VLOOKUP(C20,Purchased!A:Q,17,0)</f>
        <v>55167</v>
      </c>
      <c r="O20" s="45" t="e">
        <f t="shared" ca="1" si="4"/>
        <v>#VALUE!</v>
      </c>
      <c r="P20" s="49">
        <f>IFERROR(VLOOKUP(C20,Purchased!A:E,3,FALSE),"")</f>
        <v>14.84</v>
      </c>
      <c r="Q20" s="50">
        <f t="shared" si="5"/>
        <v>29.68</v>
      </c>
    </row>
    <row r="21" spans="1:17" s="2" customFormat="1" ht="12" customHeight="1">
      <c r="A21" s="4">
        <f t="shared" si="6"/>
        <v>308</v>
      </c>
      <c r="B21" s="240">
        <v>5</v>
      </c>
      <c r="C21" s="114" t="s">
        <v>698</v>
      </c>
      <c r="D21" s="268" t="str">
        <f>VLOOKUP(C21,Purchased!A:B,2,0)</f>
        <v>Zinc-Plated Class 10.9 Steel Washer, M10 Screw Size, 50pk</v>
      </c>
      <c r="E21" s="269"/>
      <c r="F21" s="112" t="str">
        <f>VLOOKUP(C21,Purchased!A:Q,9,0)</f>
        <v>MCM</v>
      </c>
      <c r="G21" s="112" t="str">
        <f>VLOOKUP(C21,Purchased!A:Q,10,0)</f>
        <v>MCM</v>
      </c>
      <c r="H21" s="112" t="str">
        <f>VLOOKUP(C21,Purchased!A:Q,12,0)</f>
        <v xml:space="preserve"> </v>
      </c>
      <c r="I21" s="113"/>
      <c r="J21" s="44" t="str">
        <f>VLOOKUP(C21,Purchased!A:Q,13,0)</f>
        <v>N/A</v>
      </c>
      <c r="K21" s="44">
        <f>VLOOKUP(C21,Purchased!A:Q,14,0)</f>
        <v>45162</v>
      </c>
      <c r="L21" s="44">
        <f>VLOOKUP(C21,Purchased!A:Q,15,0)</f>
        <v>45184</v>
      </c>
      <c r="M21" s="44">
        <f>VLOOKUP(C21,Purchased!A:Q,16,0)</f>
        <v>45163</v>
      </c>
      <c r="N21" s="45">
        <f>VLOOKUP(C21,Purchased!A:Q,17,0)</f>
        <v>55088</v>
      </c>
      <c r="O21" s="45" t="e">
        <f t="shared" ca="1" si="4"/>
        <v>#VALUE!</v>
      </c>
      <c r="P21" s="49">
        <f>IFERROR(VLOOKUP(C21,Purchased!A:E,3,FALSE),"")</f>
        <v>12.41</v>
      </c>
      <c r="Q21" s="50">
        <f t="shared" si="5"/>
        <v>62.05</v>
      </c>
    </row>
    <row r="22" spans="1:17" s="2" customFormat="1" ht="12" customHeight="1">
      <c r="A22" s="4">
        <f t="shared" si="6"/>
        <v>309</v>
      </c>
      <c r="B22" s="2">
        <v>2</v>
      </c>
      <c r="C22" s="114" t="s">
        <v>491</v>
      </c>
      <c r="D22" s="268" t="str">
        <f>VLOOKUP(C22,Purchased!A:B,2,0)</f>
        <v>ELESA Reduction sleeves RB51-12</v>
      </c>
      <c r="E22" s="269"/>
      <c r="F22" s="112" t="str">
        <f>VLOOKUP(C22,Purchased!A:Q,9,0)</f>
        <v>ELESA</v>
      </c>
      <c r="G22" s="112" t="str">
        <f>VLOOKUP(C22,Purchased!A:Q,10,0)</f>
        <v>ELESA</v>
      </c>
      <c r="H22" s="112" t="str">
        <f>VLOOKUP(C22,Purchased!A:Q,12,0)</f>
        <v xml:space="preserve"> </v>
      </c>
      <c r="I22" s="113"/>
      <c r="J22" s="44">
        <f>VLOOKUP(C22,Purchased!A:Q,13,0)</f>
        <v>45125</v>
      </c>
      <c r="K22" s="44">
        <f>VLOOKUP(C22,Purchased!A:Q,14,0)</f>
        <v>45162</v>
      </c>
      <c r="L22" s="44">
        <f>VLOOKUP(C22,Purchased!A:Q,15,0)</f>
        <v>45184</v>
      </c>
      <c r="M22" s="44">
        <f>VLOOKUP(C22,Purchased!A:Q,16,0)</f>
        <v>45184</v>
      </c>
      <c r="N22" s="45">
        <f>VLOOKUP(C22,Purchased!A:Q,17,0)</f>
        <v>55036</v>
      </c>
      <c r="O22" s="45" t="e">
        <f t="shared" ca="1" si="4"/>
        <v>#VALUE!</v>
      </c>
      <c r="P22" s="49">
        <f>IFERROR(VLOOKUP(C22,Purchased!A:E,3,FALSE),"")</f>
        <v>5.05</v>
      </c>
      <c r="Q22" s="50">
        <f t="shared" si="5"/>
        <v>10.1</v>
      </c>
    </row>
    <row r="23" spans="1:17" s="2" customFormat="1" ht="12" customHeight="1">
      <c r="A23" s="4">
        <f t="shared" si="6"/>
        <v>310</v>
      </c>
      <c r="B23" s="2">
        <v>2</v>
      </c>
      <c r="C23" s="114" t="s">
        <v>1027</v>
      </c>
      <c r="D23" s="268" t="str">
        <f>VLOOKUP(C23,Purchased!A:B,2,0)</f>
        <v>1008-1010 Carbon Steel Ring Shims 0.5 mm Thick, 8 mm ID, 100pk</v>
      </c>
      <c r="E23" s="269"/>
      <c r="F23" s="112" t="str">
        <f>VLOOKUP(C23,Purchased!A:Q,9,0)</f>
        <v>MCM</v>
      </c>
      <c r="G23" s="112" t="str">
        <f>VLOOKUP(C23,Purchased!A:Q,10,0)</f>
        <v>MCM</v>
      </c>
      <c r="H23" s="112" t="str">
        <f>VLOOKUP(C23,Purchased!A:Q,12,0)</f>
        <v xml:space="preserve"> </v>
      </c>
      <c r="I23" s="113"/>
      <c r="J23" s="44" t="str">
        <f>VLOOKUP(C23,Purchased!A:Q,13,0)</f>
        <v>N/A</v>
      </c>
      <c r="K23" s="44">
        <f>VLOOKUP(C23,Purchased!A:Q,14,0)</f>
        <v>45162</v>
      </c>
      <c r="L23" s="44">
        <f>VLOOKUP(C23,Purchased!A:Q,15,0)</f>
        <v>45184</v>
      </c>
      <c r="M23" s="44">
        <f>VLOOKUP(C23,Purchased!A:Q,16,0)</f>
        <v>45166</v>
      </c>
      <c r="N23" s="45">
        <f>VLOOKUP(C23,Purchased!A:Q,17,0)</f>
        <v>55087</v>
      </c>
      <c r="O23" s="45" t="e">
        <f t="shared" ca="1" si="4"/>
        <v>#VALUE!</v>
      </c>
      <c r="P23" s="49">
        <f>IFERROR(VLOOKUP(C23,Purchased!A:E,3,FALSE),"")</f>
        <v>9.43</v>
      </c>
      <c r="Q23" s="50">
        <f t="shared" si="5"/>
        <v>18.86</v>
      </c>
    </row>
    <row r="24" spans="1:17" s="2" customFormat="1" ht="12" customHeight="1">
      <c r="A24" s="4">
        <f t="shared" si="6"/>
        <v>311</v>
      </c>
      <c r="B24" s="2">
        <v>1</v>
      </c>
      <c r="C24" s="114" t="s">
        <v>890</v>
      </c>
      <c r="D24" s="268" t="str">
        <f>VLOOKUP(C24,Purchased!A:B,2,0)</f>
        <v>Medium-Strength Steel Thin Hex Nut, Fine-Thread, Zinc-Plated, M10 x 1.25 mm Thread, 100pk</v>
      </c>
      <c r="E24" s="269"/>
      <c r="F24" s="112" t="str">
        <f>VLOOKUP(C24,Purchased!A:Q,9,0)</f>
        <v>MCM</v>
      </c>
      <c r="G24" s="112" t="str">
        <f>VLOOKUP(C24,Purchased!A:Q,10,0)</f>
        <v>MCM</v>
      </c>
      <c r="H24" s="112" t="str">
        <f>VLOOKUP(C24,Purchased!A:Q,12,0)</f>
        <v xml:space="preserve"> </v>
      </c>
      <c r="I24" s="113"/>
      <c r="J24" s="44" t="str">
        <f>VLOOKUP(C24,Purchased!A:Q,13,0)</f>
        <v>N/A</v>
      </c>
      <c r="K24" s="44">
        <f>VLOOKUP(C24,Purchased!A:Q,14,0)</f>
        <v>45162</v>
      </c>
      <c r="L24" s="44">
        <f>VLOOKUP(C24,Purchased!A:Q,15,0)</f>
        <v>45184</v>
      </c>
      <c r="M24" s="44">
        <f>VLOOKUP(C24,Purchased!A:Q,16,0)</f>
        <v>45163</v>
      </c>
      <c r="N24" s="45">
        <f>VLOOKUP(C24,Purchased!A:Q,17,0)</f>
        <v>55088</v>
      </c>
      <c r="O24" s="45" t="e">
        <f t="shared" ca="1" si="4"/>
        <v>#VALUE!</v>
      </c>
      <c r="P24" s="49">
        <f>IFERROR(VLOOKUP(C24,Purchased!A:E,3,FALSE),"")</f>
        <v>15.75</v>
      </c>
      <c r="Q24" s="50">
        <f t="shared" si="5"/>
        <v>15.75</v>
      </c>
    </row>
    <row r="25" spans="1:17" s="2" customFormat="1" ht="12" customHeight="1">
      <c r="A25" s="4">
        <f t="shared" si="6"/>
        <v>312</v>
      </c>
      <c r="B25" s="2">
        <v>1</v>
      </c>
      <c r="C25" s="114" t="s">
        <v>512</v>
      </c>
      <c r="D25" s="268" t="str">
        <f>VLOOKUP(C25,Purchased!A:B,2,0)</f>
        <v>MISUMI Flat Spacers - NICKEL PLATED STEEL, 20MM OD, 10MM ID, 7MM THICK</v>
      </c>
      <c r="E25" s="269"/>
      <c r="F25" s="112" t="str">
        <f>VLOOKUP(C25,Purchased!A:Q,9,0)</f>
        <v>MISUMI</v>
      </c>
      <c r="G25" s="112" t="str">
        <f>VLOOKUP(C25,Purchased!A:Q,10,0)</f>
        <v>MISUMI</v>
      </c>
      <c r="H25" s="112" t="str">
        <f>VLOOKUP(C25,Purchased!A:Q,12,0)</f>
        <v xml:space="preserve"> </v>
      </c>
      <c r="I25" s="113"/>
      <c r="J25" s="44" t="str">
        <f>VLOOKUP(C25,Purchased!A:Q,13,0)</f>
        <v>N/A</v>
      </c>
      <c r="K25" s="44">
        <f>VLOOKUP(C25,Purchased!A:Q,14,0)</f>
        <v>45161</v>
      </c>
      <c r="L25" s="44">
        <f>VLOOKUP(C25,Purchased!A:Q,15,0)</f>
        <v>45191</v>
      </c>
      <c r="M25" s="44">
        <f>VLOOKUP(C25,Purchased!A:Q,16,0)</f>
        <v>45176</v>
      </c>
      <c r="N25" s="45">
        <f>VLOOKUP(C25,Purchased!A:Q,17,0)</f>
        <v>55078</v>
      </c>
      <c r="O25" s="45" t="e">
        <f t="shared" ca="1" si="4"/>
        <v>#VALUE!</v>
      </c>
      <c r="P25" s="49">
        <f>IFERROR(VLOOKUP(C25,Purchased!A:E,3,FALSE),"")</f>
        <v>17.34</v>
      </c>
      <c r="Q25" s="50">
        <f t="shared" si="5"/>
        <v>17.34</v>
      </c>
    </row>
    <row r="26" spans="1:17" s="2" customFormat="1" ht="12" customHeight="1">
      <c r="A26" s="4">
        <f t="shared" si="6"/>
        <v>313</v>
      </c>
      <c r="B26" s="2">
        <v>4</v>
      </c>
      <c r="C26" s="114" t="s">
        <v>262</v>
      </c>
      <c r="D26" s="268" t="str">
        <f>VLOOKUP(C26,Purchased!A:B,2,0)</f>
        <v>BRX GOTO T-NUT 10 M6</v>
      </c>
      <c r="E26" s="269"/>
      <c r="F26" s="112" t="str">
        <f>VLOOKUP(C26,Purchased!A:Q,9,0)</f>
        <v>BRX</v>
      </c>
      <c r="G26" s="112" t="str">
        <f>VLOOKUP(C26,Purchased!A:Q,10,0)</f>
        <v>AAP</v>
      </c>
      <c r="H26" s="112" t="str">
        <f>VLOOKUP(C26,Purchased!A:Q,12,0)</f>
        <v xml:space="preserve">  </v>
      </c>
      <c r="I26" s="113"/>
      <c r="J26" s="44">
        <f>VLOOKUP(C26,Purchased!A:Q,13,0)</f>
        <v>45104</v>
      </c>
      <c r="K26" s="44">
        <f>VLOOKUP(C26,Purchased!A:Q,14,0)</f>
        <v>45105</v>
      </c>
      <c r="L26" s="44">
        <f>VLOOKUP(C26,Purchased!A:Q,15,0)</f>
        <v>45133</v>
      </c>
      <c r="M26" s="44">
        <f>VLOOKUP(C26,Purchased!A:Q,16,0)</f>
        <v>45133</v>
      </c>
      <c r="N26" s="45" t="str">
        <f>VLOOKUP(C26,Purchased!A:Q,17,0)</f>
        <v>54968, 55147, 55270</v>
      </c>
      <c r="O26" s="45" t="e">
        <f t="shared" ca="1" si="4"/>
        <v>#VALUE!</v>
      </c>
      <c r="P26" s="49">
        <f>IFERROR(VLOOKUP(C26,Purchased!A:E,3,FALSE),"")</f>
        <v>0.64290000000000003</v>
      </c>
      <c r="Q26" s="50">
        <f t="shared" si="5"/>
        <v>2.5716000000000001</v>
      </c>
    </row>
    <row r="27" spans="1:17" s="2" customFormat="1" ht="12" customHeight="1">
      <c r="A27" s="241">
        <f t="shared" si="6"/>
        <v>314</v>
      </c>
      <c r="B27" s="240">
        <v>3</v>
      </c>
      <c r="C27" s="114" t="s">
        <v>894</v>
      </c>
      <c r="D27" s="268" t="str">
        <f>VLOOKUP(C27,Purchased!A:B,2,0)</f>
        <v>Medium-Strength Zinc-Plated Steel Thin Hex Nut, Class 04, M10 x 1.5 mm Thread</v>
      </c>
      <c r="E27" s="269"/>
      <c r="F27" s="112" t="str">
        <f>VLOOKUP(C27,Purchased!A:Q,9,0)</f>
        <v>MCM</v>
      </c>
      <c r="G27" s="112" t="str">
        <f>VLOOKUP(C27,Purchased!A:Q,10,0)</f>
        <v>MCM</v>
      </c>
      <c r="H27" s="112" t="str">
        <f>VLOOKUP(C27,Purchased!A:Q,12,0)</f>
        <v>100+ in NuLine Stock</v>
      </c>
      <c r="I27" s="113"/>
      <c r="J27" s="44" t="str">
        <f>VLOOKUP(C27,Purchased!A:Q,13,0)</f>
        <v>N/A</v>
      </c>
      <c r="K27" s="44" t="str">
        <f>VLOOKUP(C27,Purchased!A:Q,14,0)</f>
        <v>N/A</v>
      </c>
      <c r="L27" s="44" t="str">
        <f>VLOOKUP(C27,Purchased!A:Q,15,0)</f>
        <v>N/A</v>
      </c>
      <c r="M27" s="44" t="str">
        <f>VLOOKUP(C27,Purchased!A:Q,16,0)</f>
        <v>N/A</v>
      </c>
      <c r="N27" s="45" t="str">
        <f>VLOOKUP(C27,Purchased!A:Q,17,0)</f>
        <v>N/A</v>
      </c>
      <c r="O27" s="45" t="e">
        <f t="shared" ref="O27:O28" ca="1" si="7">B27*$L$2</f>
        <v>#VALUE!</v>
      </c>
      <c r="P27" s="49">
        <f>IFERROR(VLOOKUP(C27,Purchased!A:E,3,FALSE),"")</f>
        <v>12.85</v>
      </c>
      <c r="Q27" s="50">
        <f t="shared" ref="Q27:Q28" si="8">IFERROR(B27*P27,"")</f>
        <v>38.549999999999997</v>
      </c>
    </row>
    <row r="28" spans="1:17" s="2" customFormat="1" ht="12" customHeight="1">
      <c r="A28" s="241">
        <f t="shared" si="6"/>
        <v>315</v>
      </c>
      <c r="B28" s="240">
        <v>1</v>
      </c>
      <c r="C28" s="114" t="s">
        <v>1028</v>
      </c>
      <c r="D28" s="268" t="str">
        <f>VLOOKUP(C28,Purchased!A:B,2,0)</f>
        <v>Button Head Hex Drive Screws, Zinc-Plated Alloy Steel, M10 x 1.5 mm Thread, 45 mm Long</v>
      </c>
      <c r="E28" s="269"/>
      <c r="F28" s="112" t="str">
        <f>VLOOKUP(C28,Purchased!A:Q,9,0)</f>
        <v>MCM</v>
      </c>
      <c r="G28" s="112" t="str">
        <f>VLOOKUP(C28,Purchased!A:Q,10,0)</f>
        <v>MCM</v>
      </c>
      <c r="H28" s="112">
        <f>VLOOKUP(C28,Purchased!A:Q,12,0)</f>
        <v>0</v>
      </c>
      <c r="I28" s="113"/>
      <c r="J28" s="44" t="str">
        <f>VLOOKUP(C28,Purchased!A:Q,13,0)</f>
        <v>N/A</v>
      </c>
      <c r="K28" s="44">
        <f>VLOOKUP(C28,Purchased!A:Q,14,0)</f>
        <v>45229</v>
      </c>
      <c r="L28" s="44">
        <f>VLOOKUP(C28,Purchased!A:Q,15,0)</f>
        <v>45230</v>
      </c>
      <c r="M28" s="44">
        <f>VLOOKUP(C28,Purchased!A:Q,16,0)</f>
        <v>45230</v>
      </c>
      <c r="N28" s="45">
        <f>VLOOKUP(C28,Purchased!A:Q,17,0)</f>
        <v>55262</v>
      </c>
      <c r="O28" s="45" t="e">
        <f t="shared" ca="1" si="7"/>
        <v>#VALUE!</v>
      </c>
      <c r="P28" s="49">
        <f>IFERROR(VLOOKUP(C28,Purchased!A:E,3,FALSE),"")</f>
        <v>6.83</v>
      </c>
      <c r="Q28" s="50">
        <f t="shared" si="8"/>
        <v>6.83</v>
      </c>
    </row>
    <row r="29" spans="1:17" s="2" customFormat="1" ht="12.75" customHeight="1">
      <c r="A29" s="25"/>
      <c r="B29" s="26"/>
      <c r="C29" s="26"/>
      <c r="D29" s="272"/>
      <c r="E29" s="273"/>
      <c r="F29" s="26"/>
      <c r="G29" s="26"/>
      <c r="H29" s="274"/>
      <c r="I29" s="275"/>
      <c r="J29" s="27"/>
      <c r="K29" s="27"/>
      <c r="L29" s="27"/>
      <c r="M29" s="28"/>
      <c r="N29" s="29"/>
      <c r="O29" s="29" t="e">
        <f t="shared" ca="1" si="4"/>
        <v>#VALUE!</v>
      </c>
      <c r="P29" s="141"/>
      <c r="Q29" s="142"/>
    </row>
    <row r="30" spans="1:17" s="2" customFormat="1" ht="12.75" customHeight="1">
      <c r="A30" s="4">
        <v>501</v>
      </c>
      <c r="B30" s="2">
        <v>4</v>
      </c>
      <c r="C30" s="110" t="s">
        <v>493</v>
      </c>
      <c r="D30" s="268"/>
      <c r="E30" s="276"/>
      <c r="F30" s="112" t="str">
        <f>VLOOKUP(C30,Bolts!A:L,5,0)</f>
        <v xml:space="preserve">  </v>
      </c>
      <c r="G30" s="112" t="str">
        <f>VLOOKUP(C30,Bolts!A:L,6,0)</f>
        <v>Monroe Fasteners</v>
      </c>
      <c r="H30" s="112" t="str">
        <f>VLOOKUP(C30,Bolts!A:L,7,0)</f>
        <v xml:space="preserve">  </v>
      </c>
      <c r="I30" s="112"/>
      <c r="J30" s="44" t="str">
        <f>VLOOKUP(C30,Bolts!A:L,8,0)</f>
        <v xml:space="preserve"> </v>
      </c>
      <c r="K30" s="44" t="str">
        <f>VLOOKUP(C30,Bolts!A:L,9,0)</f>
        <v xml:space="preserve"> </v>
      </c>
      <c r="L30" s="44" t="str">
        <f>VLOOKUP(C30,Bolts!A:L,10,0)</f>
        <v xml:space="preserve"> </v>
      </c>
      <c r="M30" s="44" t="str">
        <f>VLOOKUP(C30,Bolts!A:L,11,0)</f>
        <v xml:space="preserve"> </v>
      </c>
      <c r="N30" s="45" t="str">
        <f>VLOOKUP(C30,Bolts!A:L,12,0)</f>
        <v xml:space="preserve"> </v>
      </c>
      <c r="O30" s="45" t="e">
        <f t="shared" ca="1" si="4"/>
        <v>#VALUE!</v>
      </c>
      <c r="P30" s="49" t="str">
        <f>IFERROR(VLOOKUP(C30,Bolts!A:B,2,FALSE),"")</f>
        <v xml:space="preserve"> </v>
      </c>
      <c r="Q30" s="50" t="str">
        <f t="shared" ref="Q30:Q33" si="9">IFERROR(B30*P30,"")</f>
        <v/>
      </c>
    </row>
    <row r="31" spans="1:17" s="2" customFormat="1" ht="12.75" customHeight="1">
      <c r="A31" s="4">
        <f t="shared" ref="A31:A33" si="10">A30+1</f>
        <v>502</v>
      </c>
      <c r="B31" s="2">
        <v>4</v>
      </c>
      <c r="C31" s="110" t="s">
        <v>267</v>
      </c>
      <c r="D31" s="268"/>
      <c r="E31" s="276"/>
      <c r="F31" s="112" t="str">
        <f>VLOOKUP(C31,Bolts!A:L,5,0)</f>
        <v xml:space="preserve">  </v>
      </c>
      <c r="G31" s="112" t="str">
        <f>VLOOKUP(C31,Bolts!A:L,6,0)</f>
        <v>Monroe Fasteners</v>
      </c>
      <c r="H31" s="112" t="str">
        <f>VLOOKUP(C31,Bolts!A:L,7,0)</f>
        <v xml:space="preserve">  </v>
      </c>
      <c r="I31" s="112"/>
      <c r="J31" s="44" t="str">
        <f>VLOOKUP(C31,Bolts!A:L,8,0)</f>
        <v xml:space="preserve"> </v>
      </c>
      <c r="K31" s="44" t="str">
        <f>VLOOKUP(C31,Bolts!A:L,9,0)</f>
        <v xml:space="preserve"> </v>
      </c>
      <c r="L31" s="44" t="str">
        <f>VLOOKUP(C31,Bolts!A:L,10,0)</f>
        <v xml:space="preserve"> </v>
      </c>
      <c r="M31" s="44" t="str">
        <f>VLOOKUP(C31,Bolts!A:L,11,0)</f>
        <v xml:space="preserve"> </v>
      </c>
      <c r="N31" s="45" t="str">
        <f>VLOOKUP(C31,Bolts!A:L,12,0)</f>
        <v xml:space="preserve"> </v>
      </c>
      <c r="O31" s="45" t="e">
        <f t="shared" ca="1" si="4"/>
        <v>#VALUE!</v>
      </c>
      <c r="P31" s="49" t="str">
        <f>IFERROR(VLOOKUP(C31,Bolts!A:B,2,FALSE),"")</f>
        <v xml:space="preserve"> </v>
      </c>
      <c r="Q31" s="50" t="str">
        <f t="shared" si="9"/>
        <v/>
      </c>
    </row>
    <row r="32" spans="1:17" s="2" customFormat="1" ht="12" customHeight="1">
      <c r="A32" s="4">
        <f t="shared" si="10"/>
        <v>503</v>
      </c>
      <c r="B32" s="2">
        <v>4</v>
      </c>
      <c r="C32" s="110" t="s">
        <v>479</v>
      </c>
      <c r="D32" s="268"/>
      <c r="E32" s="276"/>
      <c r="F32" s="112" t="str">
        <f>VLOOKUP(C32,Bolts!A:L,5,0)</f>
        <v xml:space="preserve">  </v>
      </c>
      <c r="G32" s="112" t="str">
        <f>VLOOKUP(C32,Bolts!A:L,6,0)</f>
        <v>Monroe Fasteners</v>
      </c>
      <c r="H32" s="112" t="str">
        <f>VLOOKUP(C32,Bolts!A:L,7,0)</f>
        <v xml:space="preserve">  </v>
      </c>
      <c r="I32" s="112"/>
      <c r="J32" s="44" t="str">
        <f>VLOOKUP(C32,Bolts!A:L,8,0)</f>
        <v xml:space="preserve"> </v>
      </c>
      <c r="K32" s="44" t="str">
        <f>VLOOKUP(C32,Bolts!A:L,9,0)</f>
        <v xml:space="preserve"> </v>
      </c>
      <c r="L32" s="44" t="str">
        <f>VLOOKUP(C32,Bolts!A:L,10,0)</f>
        <v xml:space="preserve"> </v>
      </c>
      <c r="M32" s="44" t="str">
        <f>VLOOKUP(C32,Bolts!A:L,11,0)</f>
        <v xml:space="preserve"> </v>
      </c>
      <c r="N32" s="45" t="str">
        <f>VLOOKUP(C32,Bolts!A:L,12,0)</f>
        <v xml:space="preserve"> </v>
      </c>
      <c r="O32" s="45" t="e">
        <f t="shared" ca="1" si="4"/>
        <v>#VALUE!</v>
      </c>
      <c r="P32" s="49" t="str">
        <f>IFERROR(VLOOKUP(C32,Bolts!A:B,2,FALSE),"")</f>
        <v xml:space="preserve"> </v>
      </c>
      <c r="Q32" s="50" t="str">
        <f t="shared" si="9"/>
        <v/>
      </c>
    </row>
    <row r="33" spans="1:17" s="2" customFormat="1" ht="12" customHeight="1" thickBot="1">
      <c r="A33" s="4">
        <f t="shared" si="10"/>
        <v>504</v>
      </c>
      <c r="B33" s="2">
        <v>4</v>
      </c>
      <c r="C33" s="110" t="s">
        <v>907</v>
      </c>
      <c r="D33" s="268"/>
      <c r="E33" s="276"/>
      <c r="F33" s="112" t="str">
        <f>VLOOKUP(C33,Bolts!A:L,5,0)</f>
        <v xml:space="preserve">  </v>
      </c>
      <c r="G33" s="112" t="str">
        <f>VLOOKUP(C33,Bolts!A:L,6,0)</f>
        <v>Monroe Fasteners</v>
      </c>
      <c r="H33" s="112" t="str">
        <f>VLOOKUP(C33,Bolts!A:L,7,0)</f>
        <v xml:space="preserve">  </v>
      </c>
      <c r="I33" s="112"/>
      <c r="J33" s="44" t="str">
        <f>VLOOKUP(C33,Bolts!A:L,8,0)</f>
        <v xml:space="preserve"> </v>
      </c>
      <c r="K33" s="44" t="str">
        <f>VLOOKUP(C33,Bolts!A:L,9,0)</f>
        <v xml:space="preserve"> </v>
      </c>
      <c r="L33" s="44" t="str">
        <f>VLOOKUP(C33,Bolts!A:L,10,0)</f>
        <v xml:space="preserve"> </v>
      </c>
      <c r="M33" s="44" t="str">
        <f>VLOOKUP(C33,Bolts!A:L,11,0)</f>
        <v xml:space="preserve"> </v>
      </c>
      <c r="N33" s="45" t="str">
        <f>VLOOKUP(C33,Bolts!A:L,12,0)</f>
        <v xml:space="preserve"> </v>
      </c>
      <c r="O33" s="45" t="e">
        <f t="shared" ca="1" si="4"/>
        <v>#VALUE!</v>
      </c>
      <c r="P33" s="49" t="str">
        <f>IFERROR(VLOOKUP(C33,Bolts!A:B,2,FALSE),"")</f>
        <v xml:space="preserve"> </v>
      </c>
      <c r="Q33" s="50" t="str">
        <f t="shared" si="9"/>
        <v/>
      </c>
    </row>
    <row r="34" spans="1:17" s="2" customFormat="1" ht="12.75" customHeight="1" thickBot="1">
      <c r="A34" s="34"/>
      <c r="B34" s="35"/>
      <c r="C34" s="35"/>
      <c r="D34" s="256"/>
      <c r="E34" s="257"/>
      <c r="F34" s="35"/>
      <c r="G34" s="35"/>
      <c r="H34" s="294"/>
      <c r="I34" s="295"/>
      <c r="J34" s="36"/>
      <c r="K34" s="36"/>
      <c r="L34" s="36"/>
      <c r="M34" s="37"/>
      <c r="N34" s="38"/>
      <c r="O34" s="38"/>
      <c r="P34" s="89" t="s">
        <v>43</v>
      </c>
      <c r="Q34" s="94">
        <f>SUM(Q5:Q33)</f>
        <v>722.97159999999997</v>
      </c>
    </row>
    <row r="35" spans="1:17" s="2" customFormat="1" ht="12" customHeight="1">
      <c r="D35" s="22"/>
      <c r="E35" s="22"/>
      <c r="J35" s="8"/>
      <c r="K35" s="8"/>
      <c r="L35" s="8"/>
      <c r="M35" s="8"/>
      <c r="N35" s="5"/>
      <c r="O35" s="5"/>
      <c r="P35" s="88"/>
      <c r="Q35" s="95"/>
    </row>
    <row r="36" spans="1:17" s="2" customFormat="1" ht="12" customHeight="1">
      <c r="D36" s="22"/>
      <c r="E36" s="22"/>
      <c r="J36" s="5"/>
      <c r="K36" s="5"/>
      <c r="L36" s="5"/>
      <c r="M36" s="5"/>
      <c r="N36" s="5"/>
      <c r="O36" s="5"/>
      <c r="P36" s="88"/>
      <c r="Q36" s="95"/>
    </row>
    <row r="37" spans="1:17" s="2" customFormat="1" ht="12" customHeight="1">
      <c r="D37" s="22"/>
      <c r="E37" s="22"/>
      <c r="J37" s="5"/>
      <c r="K37" s="5"/>
      <c r="L37" s="5"/>
      <c r="M37" s="5"/>
      <c r="N37" s="5"/>
      <c r="O37" s="5"/>
      <c r="P37" s="88"/>
      <c r="Q37" s="95"/>
    </row>
    <row r="38" spans="1:17" s="2" customFormat="1" ht="12" customHeight="1">
      <c r="D38" s="22"/>
      <c r="E38" s="22"/>
      <c r="J38" s="5"/>
      <c r="K38" s="5"/>
      <c r="L38" s="5"/>
      <c r="M38" s="5"/>
      <c r="N38" s="5"/>
      <c r="O38" s="5"/>
      <c r="P38" s="88"/>
      <c r="Q38" s="95"/>
    </row>
    <row r="39" spans="1:17" s="2" customFormat="1" ht="12" customHeight="1">
      <c r="D39" s="22"/>
      <c r="E39" s="22"/>
      <c r="J39" s="5"/>
      <c r="K39" s="5"/>
      <c r="L39" s="5"/>
      <c r="M39" s="5"/>
      <c r="N39" s="5"/>
      <c r="O39" s="5"/>
      <c r="P39" s="88"/>
      <c r="Q39" s="95"/>
    </row>
    <row r="40" spans="1:17" s="2" customFormat="1" ht="12" customHeight="1">
      <c r="D40" s="22"/>
      <c r="E40" s="22"/>
      <c r="J40" s="5"/>
      <c r="K40" s="5"/>
      <c r="L40" s="5"/>
      <c r="M40" s="5"/>
      <c r="N40" s="5"/>
      <c r="O40" s="5"/>
      <c r="P40" s="88"/>
      <c r="Q40" s="95"/>
    </row>
    <row r="41" spans="1:17" s="2" customFormat="1" ht="12" customHeight="1">
      <c r="D41" s="22"/>
      <c r="E41" s="22"/>
      <c r="J41" s="5"/>
      <c r="K41" s="5"/>
      <c r="L41" s="5"/>
      <c r="M41" s="5"/>
      <c r="N41" s="5"/>
      <c r="O41" s="5"/>
      <c r="P41" s="88"/>
      <c r="Q41" s="95"/>
    </row>
    <row r="42" spans="1:17" s="2" customFormat="1" ht="12" customHeight="1">
      <c r="D42" s="22"/>
      <c r="E42" s="22"/>
      <c r="J42" s="5"/>
      <c r="K42" s="5"/>
      <c r="L42" s="5"/>
      <c r="M42" s="5"/>
      <c r="N42" s="5"/>
      <c r="O42" s="5"/>
      <c r="P42" s="88"/>
      <c r="Q42" s="95"/>
    </row>
    <row r="43" spans="1:17" s="2" customFormat="1" ht="12" customHeight="1">
      <c r="D43" s="22"/>
      <c r="E43" s="22"/>
      <c r="J43" s="5"/>
      <c r="K43" s="5"/>
      <c r="L43" s="5"/>
      <c r="M43" s="5"/>
      <c r="N43" s="5"/>
      <c r="O43" s="5"/>
      <c r="P43" s="88"/>
      <c r="Q43" s="95"/>
    </row>
    <row r="44" spans="1:17" s="2" customFormat="1" ht="12" customHeight="1">
      <c r="D44" s="22"/>
      <c r="E44" s="22"/>
      <c r="J44" s="5"/>
      <c r="K44" s="5"/>
      <c r="L44" s="5"/>
      <c r="M44" s="5"/>
      <c r="N44" s="5"/>
      <c r="O44" s="5"/>
      <c r="P44" s="88"/>
      <c r="Q44" s="95"/>
    </row>
    <row r="45" spans="1:17" s="2" customFormat="1" ht="12" customHeight="1">
      <c r="D45" s="22"/>
      <c r="E45" s="22"/>
      <c r="J45" s="5"/>
      <c r="K45" s="5"/>
      <c r="L45" s="5"/>
      <c r="M45" s="5"/>
      <c r="N45" s="5"/>
      <c r="O45" s="5"/>
      <c r="P45" s="88"/>
      <c r="Q45" s="95"/>
    </row>
    <row r="46" spans="1:17" s="2" customFormat="1" ht="12" customHeight="1">
      <c r="D46" s="22"/>
      <c r="E46" s="22"/>
      <c r="J46" s="5"/>
      <c r="K46" s="5"/>
      <c r="L46" s="5"/>
      <c r="M46" s="5"/>
      <c r="N46" s="5"/>
      <c r="O46" s="5"/>
      <c r="P46" s="88"/>
      <c r="Q46" s="95"/>
    </row>
    <row r="47" spans="1:17" s="2" customFormat="1" ht="12" customHeight="1">
      <c r="D47" s="22"/>
      <c r="E47" s="22"/>
      <c r="J47" s="5"/>
      <c r="K47" s="5"/>
      <c r="L47" s="5"/>
      <c r="M47" s="5"/>
      <c r="N47" s="5"/>
      <c r="O47" s="5"/>
      <c r="P47" s="88"/>
      <c r="Q47" s="95"/>
    </row>
    <row r="48" spans="1:17" s="2" customFormat="1" ht="12" customHeight="1">
      <c r="D48" s="22"/>
      <c r="E48" s="22"/>
      <c r="J48" s="5"/>
      <c r="K48" s="5"/>
      <c r="L48" s="5"/>
      <c r="M48" s="5"/>
      <c r="N48" s="5"/>
      <c r="O48" s="5"/>
      <c r="P48" s="88"/>
      <c r="Q48" s="95"/>
    </row>
    <row r="49" spans="4:17" s="2" customFormat="1" ht="12" customHeight="1">
      <c r="D49" s="22"/>
      <c r="E49" s="22"/>
      <c r="J49" s="5"/>
      <c r="K49" s="5"/>
      <c r="L49" s="5"/>
      <c r="M49" s="5"/>
      <c r="N49" s="5"/>
      <c r="O49" s="5"/>
      <c r="P49" s="88"/>
      <c r="Q49" s="95"/>
    </row>
    <row r="50" spans="4:17" s="2" customFormat="1" ht="12" customHeight="1">
      <c r="D50" s="22"/>
      <c r="E50" s="22"/>
      <c r="J50" s="5"/>
      <c r="K50" s="5"/>
      <c r="L50" s="5"/>
      <c r="M50" s="5"/>
      <c r="N50" s="5"/>
      <c r="O50" s="5"/>
      <c r="P50" s="88"/>
      <c r="Q50" s="95"/>
    </row>
    <row r="51" spans="4:17" s="2" customFormat="1" ht="12" customHeight="1">
      <c r="D51" s="22"/>
      <c r="E51" s="22"/>
      <c r="J51" s="5"/>
      <c r="K51" s="5"/>
      <c r="L51" s="5"/>
      <c r="M51" s="5"/>
      <c r="N51" s="5"/>
      <c r="O51" s="5"/>
      <c r="P51" s="88"/>
      <c r="Q51" s="95"/>
    </row>
    <row r="52" spans="4:17" s="2" customFormat="1" ht="12" customHeight="1">
      <c r="D52" s="22"/>
      <c r="E52" s="22"/>
      <c r="J52" s="5"/>
      <c r="K52" s="5"/>
      <c r="L52" s="5"/>
      <c r="M52" s="5"/>
      <c r="N52" s="5"/>
      <c r="O52" s="5"/>
      <c r="P52" s="88"/>
      <c r="Q52" s="95"/>
    </row>
    <row r="53" spans="4:17" s="2" customFormat="1" ht="12" customHeight="1">
      <c r="D53" s="22"/>
      <c r="E53" s="22"/>
      <c r="J53" s="5"/>
      <c r="K53" s="5"/>
      <c r="L53" s="5"/>
      <c r="M53" s="5"/>
      <c r="N53" s="5"/>
      <c r="O53" s="5"/>
      <c r="P53" s="88"/>
      <c r="Q53" s="95"/>
    </row>
    <row r="54" spans="4:17" s="2" customFormat="1" ht="12" customHeight="1">
      <c r="D54" s="22"/>
      <c r="E54" s="22"/>
      <c r="J54" s="5"/>
      <c r="K54" s="5"/>
      <c r="L54" s="5"/>
      <c r="M54" s="5"/>
      <c r="N54" s="5"/>
      <c r="O54" s="5"/>
      <c r="P54" s="88"/>
      <c r="Q54" s="95"/>
    </row>
    <row r="55" spans="4:17" s="2" customFormat="1" ht="12" customHeight="1">
      <c r="D55" s="22"/>
      <c r="E55" s="22"/>
      <c r="J55" s="5"/>
      <c r="K55" s="5"/>
      <c r="L55" s="5"/>
      <c r="M55" s="5"/>
      <c r="N55" s="5"/>
      <c r="O55" s="5"/>
      <c r="P55" s="88"/>
      <c r="Q55" s="95"/>
    </row>
    <row r="56" spans="4:17" s="2" customFormat="1" ht="12" customHeight="1">
      <c r="D56" s="22"/>
      <c r="E56" s="22"/>
      <c r="J56" s="5"/>
      <c r="K56" s="5"/>
      <c r="L56" s="5"/>
      <c r="M56" s="5"/>
      <c r="N56" s="5"/>
      <c r="O56" s="5"/>
      <c r="P56" s="88"/>
      <c r="Q56" s="95"/>
    </row>
    <row r="57" spans="4:17" s="2" customFormat="1" ht="12" customHeight="1">
      <c r="D57" s="22"/>
      <c r="E57" s="22"/>
      <c r="J57" s="5"/>
      <c r="K57" s="5"/>
      <c r="L57" s="5"/>
      <c r="M57" s="5"/>
      <c r="N57" s="5"/>
      <c r="O57" s="5"/>
      <c r="P57" s="88"/>
      <c r="Q57" s="95"/>
    </row>
    <row r="58" spans="4:17" s="2" customFormat="1" ht="12" customHeight="1">
      <c r="D58" s="22"/>
      <c r="E58" s="22"/>
      <c r="J58" s="5"/>
      <c r="K58" s="5"/>
      <c r="L58" s="5"/>
      <c r="M58" s="5"/>
      <c r="N58" s="5"/>
      <c r="O58" s="5"/>
      <c r="P58" s="88"/>
      <c r="Q58" s="95"/>
    </row>
    <row r="59" spans="4:17" s="2" customFormat="1" ht="12" customHeight="1">
      <c r="D59" s="22"/>
      <c r="E59" s="22"/>
      <c r="J59" s="5"/>
      <c r="K59" s="5"/>
      <c r="L59" s="5"/>
      <c r="M59" s="5"/>
      <c r="N59" s="5"/>
      <c r="O59" s="5"/>
      <c r="P59" s="88"/>
      <c r="Q59" s="95"/>
    </row>
    <row r="60" spans="4:17" s="2" customFormat="1" ht="12" customHeight="1">
      <c r="D60" s="22"/>
      <c r="E60" s="22"/>
      <c r="J60" s="5"/>
      <c r="K60" s="5"/>
      <c r="L60" s="5"/>
      <c r="M60" s="5"/>
      <c r="N60" s="5"/>
      <c r="O60" s="5"/>
      <c r="P60" s="88"/>
      <c r="Q60" s="95"/>
    </row>
    <row r="61" spans="4:17" s="2" customFormat="1" ht="12" customHeight="1">
      <c r="D61" s="22"/>
      <c r="E61" s="22"/>
      <c r="J61" s="5"/>
      <c r="K61" s="5"/>
      <c r="L61" s="5"/>
      <c r="M61" s="5"/>
      <c r="N61" s="5"/>
      <c r="O61" s="5"/>
      <c r="P61" s="88"/>
      <c r="Q61" s="95"/>
    </row>
    <row r="62" spans="4:17" s="2" customFormat="1" ht="12" customHeight="1">
      <c r="D62" s="22"/>
      <c r="E62" s="22"/>
      <c r="J62" s="5"/>
      <c r="K62" s="5"/>
      <c r="L62" s="5"/>
      <c r="M62" s="5"/>
      <c r="N62" s="5"/>
      <c r="O62" s="5"/>
      <c r="P62" s="88"/>
      <c r="Q62" s="95"/>
    </row>
    <row r="63" spans="4:17" s="2" customFormat="1" ht="12" customHeight="1">
      <c r="D63" s="22"/>
      <c r="E63" s="22"/>
      <c r="J63" s="5"/>
      <c r="K63" s="5"/>
      <c r="L63" s="5"/>
      <c r="M63" s="5"/>
      <c r="N63" s="5"/>
      <c r="O63" s="5"/>
      <c r="P63" s="88"/>
      <c r="Q63" s="95"/>
    </row>
    <row r="64" spans="4:17" s="2" customFormat="1" ht="12" customHeight="1">
      <c r="D64" s="22"/>
      <c r="E64" s="22"/>
      <c r="J64" s="5"/>
      <c r="K64" s="5"/>
      <c r="L64" s="5"/>
      <c r="M64" s="5"/>
      <c r="N64" s="5"/>
      <c r="O64" s="5"/>
      <c r="P64" s="88"/>
      <c r="Q64" s="95"/>
    </row>
    <row r="65" spans="1:17" s="2" customFormat="1" ht="12" customHeight="1">
      <c r="D65" s="22"/>
      <c r="E65" s="22"/>
      <c r="J65" s="5"/>
      <c r="K65" s="5"/>
      <c r="L65" s="5"/>
      <c r="M65" s="5"/>
      <c r="N65" s="5"/>
      <c r="O65" s="5"/>
      <c r="P65" s="88"/>
      <c r="Q65" s="95"/>
    </row>
    <row r="66" spans="1:17" s="2" customFormat="1" ht="12" customHeight="1">
      <c r="D66" s="22"/>
      <c r="E66" s="22"/>
      <c r="J66" s="5"/>
      <c r="K66" s="5"/>
      <c r="L66" s="5"/>
      <c r="M66" s="5"/>
      <c r="N66" s="5"/>
      <c r="O66" s="5"/>
      <c r="P66" s="88"/>
      <c r="Q66" s="95"/>
    </row>
    <row r="67" spans="1:17" s="2" customFormat="1" ht="12" customHeight="1">
      <c r="D67" s="22"/>
      <c r="E67" s="22"/>
      <c r="J67" s="5"/>
      <c r="K67" s="5"/>
      <c r="L67" s="5"/>
      <c r="M67" s="5"/>
      <c r="N67" s="5"/>
      <c r="O67" s="5"/>
      <c r="P67" s="88"/>
      <c r="Q67" s="95"/>
    </row>
    <row r="68" spans="1:17" s="2" customFormat="1" ht="12" customHeight="1">
      <c r="D68" s="22"/>
      <c r="E68" s="22"/>
      <c r="J68" s="5"/>
      <c r="K68" s="5"/>
      <c r="L68" s="5"/>
      <c r="M68" s="5"/>
      <c r="N68" s="5"/>
      <c r="O68" s="5"/>
      <c r="P68" s="88"/>
      <c r="Q68" s="95"/>
    </row>
    <row r="69" spans="1:17" s="2" customFormat="1" ht="12" customHeight="1">
      <c r="D69" s="22"/>
      <c r="E69" s="22"/>
      <c r="J69" s="5"/>
      <c r="K69" s="5"/>
      <c r="L69" s="5"/>
      <c r="M69" s="5"/>
      <c r="N69" s="5"/>
      <c r="O69" s="5"/>
      <c r="P69" s="88"/>
      <c r="Q69" s="95"/>
    </row>
    <row r="70" spans="1:17" s="2" customFormat="1" ht="12" customHeight="1">
      <c r="D70" s="22"/>
      <c r="E70" s="22"/>
      <c r="J70" s="5"/>
      <c r="K70" s="5"/>
      <c r="L70" s="5"/>
      <c r="M70" s="5"/>
      <c r="N70" s="5"/>
      <c r="O70" s="5"/>
      <c r="P70" s="88"/>
      <c r="Q70" s="95"/>
    </row>
    <row r="71" spans="1:17" s="2" customFormat="1" ht="12" customHeight="1">
      <c r="D71" s="22"/>
      <c r="E71" s="22"/>
      <c r="J71" s="5"/>
      <c r="K71" s="5"/>
      <c r="L71" s="5"/>
      <c r="M71" s="5"/>
      <c r="N71" s="5"/>
      <c r="O71" s="5"/>
      <c r="P71" s="88"/>
      <c r="Q71" s="95"/>
    </row>
    <row r="72" spans="1:17" s="2" customFormat="1" ht="12" customHeight="1">
      <c r="D72" s="22"/>
      <c r="E72" s="22"/>
      <c r="J72" s="5"/>
      <c r="K72" s="5"/>
      <c r="L72" s="5"/>
      <c r="M72" s="5"/>
      <c r="N72" s="5"/>
      <c r="O72" s="5"/>
      <c r="P72" s="88"/>
      <c r="Q72" s="95"/>
    </row>
    <row r="73" spans="1:17" s="2" customFormat="1" ht="12" customHeight="1">
      <c r="D73" s="22"/>
      <c r="E73" s="22"/>
      <c r="J73" s="5"/>
      <c r="K73" s="5"/>
      <c r="L73" s="5"/>
      <c r="M73" s="5"/>
      <c r="N73" s="5"/>
      <c r="O73" s="5"/>
      <c r="P73" s="88"/>
      <c r="Q73" s="96"/>
    </row>
    <row r="74" spans="1:17" s="2" customFormat="1" ht="12" customHeight="1">
      <c r="D74" s="22"/>
      <c r="E74" s="22"/>
      <c r="J74" s="5"/>
      <c r="K74" s="5"/>
      <c r="L74" s="5"/>
      <c r="M74" s="5"/>
      <c r="N74" s="5"/>
      <c r="O74" s="5"/>
      <c r="P74" s="88"/>
      <c r="Q74" s="96"/>
    </row>
    <row r="75" spans="1:17" s="2" customFormat="1" ht="12" customHeight="1">
      <c r="D75" s="22"/>
      <c r="E75" s="22"/>
      <c r="J75" s="5"/>
      <c r="K75" s="5"/>
      <c r="L75" s="5"/>
      <c r="M75" s="5"/>
      <c r="N75" s="5"/>
      <c r="O75" s="5"/>
      <c r="P75" s="88"/>
      <c r="Q75" s="96"/>
    </row>
    <row r="76" spans="1:17" s="2" customFormat="1" ht="12" customHeight="1">
      <c r="D76" s="22"/>
      <c r="E76" s="22"/>
      <c r="J76" s="5"/>
      <c r="K76" s="5"/>
      <c r="L76" s="5"/>
      <c r="M76" s="5"/>
      <c r="N76" s="5"/>
      <c r="O76" s="5"/>
      <c r="P76" s="88"/>
      <c r="Q76" s="96"/>
    </row>
    <row r="77" spans="1:17" s="2" customFormat="1" ht="12" customHeight="1">
      <c r="A77"/>
      <c r="B77"/>
      <c r="C77"/>
      <c r="D77" s="23"/>
      <c r="E77" s="23"/>
      <c r="F77"/>
      <c r="G77"/>
      <c r="H77"/>
      <c r="I77"/>
      <c r="J77" s="19"/>
      <c r="K77" s="19"/>
      <c r="L77" s="19"/>
      <c r="M77" s="19"/>
      <c r="N77" s="19"/>
      <c r="O77" s="19"/>
      <c r="P77" s="90"/>
      <c r="Q77" s="96"/>
    </row>
    <row r="78" spans="1:17" s="2" customFormat="1" ht="12" customHeight="1">
      <c r="A78"/>
      <c r="B78"/>
      <c r="C78"/>
      <c r="D78" s="23"/>
      <c r="E78" s="23"/>
      <c r="F78"/>
      <c r="G78"/>
      <c r="H78"/>
      <c r="I78"/>
      <c r="J78" s="19"/>
      <c r="K78" s="19"/>
      <c r="L78" s="19"/>
      <c r="M78" s="19"/>
      <c r="N78" s="19"/>
      <c r="O78" s="19"/>
      <c r="P78" s="90"/>
      <c r="Q78" s="96"/>
    </row>
    <row r="79" spans="1:17" s="2" customFormat="1" ht="12" customHeight="1">
      <c r="A79"/>
      <c r="B79"/>
      <c r="C79"/>
      <c r="D79" s="23"/>
      <c r="E79" s="23"/>
      <c r="F79"/>
      <c r="G79"/>
      <c r="H79"/>
      <c r="I79"/>
      <c r="J79" s="19"/>
      <c r="K79" s="19"/>
      <c r="L79" s="19"/>
      <c r="M79" s="19"/>
      <c r="N79" s="19"/>
      <c r="O79" s="19"/>
      <c r="P79" s="90"/>
      <c r="Q79" s="96"/>
    </row>
    <row r="80" spans="1:17" s="2" customFormat="1" ht="12" customHeight="1">
      <c r="A80"/>
      <c r="B80"/>
      <c r="C80"/>
      <c r="D80" s="23"/>
      <c r="E80" s="23"/>
      <c r="F80"/>
      <c r="G80"/>
      <c r="H80"/>
      <c r="I80"/>
      <c r="J80" s="19"/>
      <c r="K80" s="19"/>
      <c r="L80" s="19"/>
      <c r="M80" s="19"/>
      <c r="N80" s="19"/>
      <c r="O80" s="19"/>
      <c r="P80" s="90"/>
      <c r="Q80" s="96"/>
    </row>
    <row r="81" spans="1:17" s="2" customFormat="1" ht="12" customHeight="1">
      <c r="A81"/>
      <c r="B81"/>
      <c r="C81"/>
      <c r="D81" s="23"/>
      <c r="E81" s="23"/>
      <c r="F81"/>
      <c r="G81"/>
      <c r="H81"/>
      <c r="I81"/>
      <c r="J81" s="19"/>
      <c r="K81" s="19"/>
      <c r="L81" s="19"/>
      <c r="M81" s="19"/>
      <c r="N81" s="19"/>
      <c r="O81" s="19"/>
      <c r="P81" s="90"/>
      <c r="Q81" s="96"/>
    </row>
    <row r="82" spans="1:17">
      <c r="Q82" s="96"/>
    </row>
    <row r="83" spans="1:17">
      <c r="Q83" s="96"/>
    </row>
    <row r="84" spans="1:17">
      <c r="Q84" s="96"/>
    </row>
    <row r="85" spans="1:17">
      <c r="Q85" s="96"/>
    </row>
    <row r="86" spans="1:17">
      <c r="Q86" s="96"/>
    </row>
    <row r="87" spans="1:17">
      <c r="Q87" s="96"/>
    </row>
    <row r="88" spans="1:17">
      <c r="Q88" s="96"/>
    </row>
    <row r="89" spans="1:17">
      <c r="Q89" s="96"/>
    </row>
    <row r="90" spans="1:17">
      <c r="Q90" s="96"/>
    </row>
    <row r="91" spans="1:17">
      <c r="Q91" s="96"/>
    </row>
    <row r="92" spans="1:17">
      <c r="Q92" s="96"/>
    </row>
    <row r="93" spans="1:17">
      <c r="Q93" s="96"/>
    </row>
    <row r="94" spans="1:17">
      <c r="Q94" s="96"/>
    </row>
    <row r="95" spans="1:17">
      <c r="Q95" s="96"/>
    </row>
    <row r="96" spans="1:17">
      <c r="Q96" s="96"/>
    </row>
    <row r="97" spans="17:17">
      <c r="Q97" s="96"/>
    </row>
    <row r="98" spans="17:17">
      <c r="Q98" s="96"/>
    </row>
    <row r="99" spans="17:17">
      <c r="Q99" s="96"/>
    </row>
    <row r="100" spans="17:17">
      <c r="Q100" s="96"/>
    </row>
    <row r="101" spans="17:17">
      <c r="Q101" s="96"/>
    </row>
    <row r="138" ht="12" customHeight="1"/>
    <row r="139" ht="12" customHeight="1"/>
    <row r="140" ht="12" customHeight="1"/>
    <row r="141" ht="12" customHeight="1"/>
    <row r="142" ht="12" customHeight="1"/>
    <row r="143" ht="12" customHeight="1"/>
    <row r="144" ht="12" customHeight="1"/>
    <row r="145" ht="12" customHeight="1"/>
    <row r="146" ht="12" customHeight="1"/>
    <row r="147" ht="12" customHeight="1"/>
    <row r="148" ht="12" customHeight="1"/>
    <row r="149" ht="12" customHeight="1"/>
    <row r="150" ht="12" customHeight="1"/>
    <row r="151" ht="12" customHeight="1"/>
    <row r="152" ht="12" customHeight="1"/>
    <row r="153" ht="12" customHeight="1"/>
    <row r="154" ht="12" customHeight="1"/>
    <row r="155" ht="12" customHeight="1"/>
    <row r="156" ht="12" customHeight="1"/>
    <row r="157" ht="12" customHeight="1"/>
    <row r="158" ht="12" customHeight="1"/>
    <row r="159" ht="12" customHeight="1"/>
    <row r="160" ht="12" customHeight="1"/>
    <row r="161" ht="12" customHeight="1"/>
    <row r="162" ht="12" customHeight="1"/>
    <row r="163" ht="12" customHeight="1"/>
    <row r="164" ht="12" customHeight="1"/>
    <row r="165" ht="12" customHeight="1"/>
    <row r="166" ht="12" customHeight="1"/>
    <row r="167" ht="12" customHeight="1"/>
    <row r="168" ht="12" customHeight="1"/>
    <row r="169" ht="12" customHeight="1"/>
    <row r="170" ht="12" customHeight="1"/>
    <row r="171" ht="12" customHeight="1"/>
    <row r="172" ht="12" customHeight="1"/>
    <row r="173" ht="12" customHeight="1"/>
    <row r="174" ht="12" customHeight="1"/>
    <row r="175" ht="12" customHeight="1"/>
    <row r="176" ht="12" customHeight="1"/>
    <row r="177" ht="12" customHeight="1"/>
    <row r="178" ht="12" customHeight="1"/>
    <row r="179" ht="12" customHeight="1"/>
    <row r="180" ht="12" customHeight="1"/>
    <row r="181" ht="12" customHeight="1"/>
    <row r="182" ht="12" customHeight="1"/>
    <row r="183" ht="12" customHeight="1"/>
    <row r="184" ht="12" customHeight="1"/>
    <row r="185" ht="12" customHeight="1"/>
    <row r="186" ht="12" customHeight="1"/>
    <row r="187" ht="12" customHeight="1"/>
  </sheetData>
  <mergeCells count="36">
    <mergeCell ref="H34:I34"/>
    <mergeCell ref="D34:E34"/>
    <mergeCell ref="D29:E29"/>
    <mergeCell ref="H29:I29"/>
    <mergeCell ref="D30:E30"/>
    <mergeCell ref="D31:E31"/>
    <mergeCell ref="D32:E32"/>
    <mergeCell ref="D23:E23"/>
    <mergeCell ref="D24:E24"/>
    <mergeCell ref="D25:E25"/>
    <mergeCell ref="D26:E26"/>
    <mergeCell ref="D33:E33"/>
    <mergeCell ref="D27:E27"/>
    <mergeCell ref="D28:E28"/>
    <mergeCell ref="D22:E22"/>
    <mergeCell ref="H13:I13"/>
    <mergeCell ref="D14:E14"/>
    <mergeCell ref="D15:E15"/>
    <mergeCell ref="D16:E16"/>
    <mergeCell ref="D13:E13"/>
    <mergeCell ref="D17:E17"/>
    <mergeCell ref="D18:E18"/>
    <mergeCell ref="D19:E19"/>
    <mergeCell ref="D20:E20"/>
    <mergeCell ref="D7:E7"/>
    <mergeCell ref="D8:E8"/>
    <mergeCell ref="D9:E9"/>
    <mergeCell ref="D10:E10"/>
    <mergeCell ref="D21:E21"/>
    <mergeCell ref="D11:E11"/>
    <mergeCell ref="D12:E12"/>
    <mergeCell ref="D1:E1"/>
    <mergeCell ref="D4:E4"/>
    <mergeCell ref="H4:I4"/>
    <mergeCell ref="D5:E5"/>
    <mergeCell ref="D6:E6"/>
  </mergeCells>
  <conditionalFormatting sqref="M30:M33 M5:M12 M14:M28">
    <cfRule type="cellIs" dxfId="350" priority="5" stopIfTrue="1" operator="lessThanOrEqual">
      <formula>$L5</formula>
    </cfRule>
    <cfRule type="cellIs" dxfId="349" priority="6" operator="greaterThan">
      <formula>L5</formula>
    </cfRule>
  </conditionalFormatting>
  <pageMargins left="0.7" right="0.7" top="0.75" bottom="0.75" header="0.3" footer="0.3"/>
  <pageSetup paperSize="3" fitToHeight="0" orientation="landscape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A5701D34-1226-4A9D-A813-92565AC1A377}">
          <x14:formula1>
            <xm:f>Bolts!$A:$A</xm:f>
          </x14:formula1>
          <xm:sqref>C30:C33</xm:sqref>
        </x14:dataValidation>
        <x14:dataValidation type="list" allowBlank="1" showInputMessage="1" showErrorMessage="1" xr:uid="{41613AC0-DCC1-41CD-9BC0-E899F83A8249}">
          <x14:formula1>
            <xm:f>Purchased!$A:$A</xm:f>
          </x14:formula1>
          <xm:sqref>C14:C28</xm:sqref>
        </x14:dataValidation>
        <x14:dataValidation type="list" allowBlank="1" showInputMessage="1" showErrorMessage="1" xr:uid="{F22860AE-0F7A-4DE1-908D-84890D72B9BB}">
          <x14:formula1>
            <xm:f>Machined!$C:$C</xm:f>
          </x14:formula1>
          <xm:sqref>C5:C12</xm:sqref>
        </x14:dataValidation>
      </x14:dataValidations>
    </ext>
  </extLst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913066-D169-40DF-85BE-CAC54C6881E5}">
  <sheetPr codeName="Sheet85">
    <tabColor theme="3" tint="0.39997558519241921"/>
    <pageSetUpPr fitToPage="1"/>
  </sheetPr>
  <dimension ref="A1:Q170"/>
  <sheetViews>
    <sheetView zoomScaleNormal="100" workbookViewId="0">
      <selection activeCell="C22" sqref="C22"/>
    </sheetView>
  </sheetViews>
  <sheetFormatPr defaultColWidth="9.140625" defaultRowHeight="15"/>
  <cols>
    <col min="1" max="1" width="5.7109375" customWidth="1"/>
    <col min="2" max="2" width="5.42578125" bestFit="1" customWidth="1"/>
    <col min="3" max="3" width="30.7109375" customWidth="1"/>
    <col min="4" max="5" width="20.7109375" style="23" customWidth="1"/>
    <col min="6" max="6" width="16.85546875" bestFit="1" customWidth="1"/>
    <col min="7" max="7" width="9.7109375" customWidth="1"/>
    <col min="8" max="8" width="8.7109375" customWidth="1"/>
    <col min="9" max="9" width="20.7109375" customWidth="1"/>
    <col min="10" max="13" width="11.7109375" style="19" customWidth="1"/>
    <col min="14" max="14" width="11.85546875" style="19" bestFit="1" customWidth="1"/>
    <col min="15" max="15" width="7.7109375" style="19" customWidth="1"/>
    <col min="16" max="16" width="10.7109375" style="90" customWidth="1"/>
    <col min="17" max="17" width="10.7109375" style="97" customWidth="1"/>
  </cols>
  <sheetData>
    <row r="1" spans="1:17" s="55" customFormat="1" ht="12" customHeight="1">
      <c r="A1" s="68" t="s">
        <v>0</v>
      </c>
      <c r="B1" s="69"/>
      <c r="C1" s="69"/>
      <c r="D1" s="262" t="s">
        <v>1</v>
      </c>
      <c r="E1" s="263"/>
      <c r="F1" s="70"/>
      <c r="G1" s="69"/>
      <c r="H1" s="70"/>
      <c r="I1" s="71"/>
      <c r="J1" s="72"/>
      <c r="K1" s="72"/>
      <c r="L1" s="72"/>
      <c r="M1" s="72"/>
      <c r="N1" s="72"/>
      <c r="O1" s="72"/>
      <c r="P1" s="85"/>
      <c r="Q1" s="91"/>
    </row>
    <row r="2" spans="1:17" s="55" customFormat="1" ht="12" customHeight="1">
      <c r="A2" s="74" t="s">
        <v>48</v>
      </c>
      <c r="B2" s="58"/>
      <c r="C2" s="57" t="e">
        <f ca="1">VLOOKUP(E3,Assemblies!B:F,4,0)</f>
        <v>#VALUE!</v>
      </c>
      <c r="D2" s="75" t="s">
        <v>3</v>
      </c>
      <c r="E2" s="76" t="e">
        <f ca="1">'GF12'!E2</f>
        <v>#VALUE!</v>
      </c>
      <c r="F2" s="77" t="s">
        <v>4</v>
      </c>
      <c r="G2" s="58" t="str">
        <f>'GF12'!G2</f>
        <v>GH</v>
      </c>
      <c r="H2" s="77" t="s">
        <v>6</v>
      </c>
      <c r="I2" s="59">
        <f>'GF12'!I2</f>
        <v>44775</v>
      </c>
      <c r="J2" s="39"/>
      <c r="K2" s="40" t="s">
        <v>49</v>
      </c>
      <c r="L2" s="41" t="e">
        <f ca="1">VLOOKUP(C2,Assemblies!E:G,3,0)</f>
        <v>#VALUE!</v>
      </c>
      <c r="M2" s="78"/>
      <c r="N2" s="78"/>
      <c r="O2" s="78"/>
      <c r="P2" s="86"/>
      <c r="Q2" s="92"/>
    </row>
    <row r="3" spans="1:17" s="55" customFormat="1" ht="12" customHeight="1" thickBot="1">
      <c r="A3" s="74" t="s">
        <v>7</v>
      </c>
      <c r="B3" s="58"/>
      <c r="C3" s="57" t="e">
        <f ca="1">VLOOKUP(E3,Assemblies!B:F,5,0)</f>
        <v>#VALUE!</v>
      </c>
      <c r="D3" s="75" t="s">
        <v>50</v>
      </c>
      <c r="E3" s="76" t="e">
        <f ca="1">MID(CELL("filename",A1),FIND("]",CELL("filename",A1))+1,256)</f>
        <v>#VALUE!</v>
      </c>
      <c r="F3" s="77" t="s">
        <v>11</v>
      </c>
      <c r="G3" s="58" t="str">
        <f>'GF12'!G3</f>
        <v>GH</v>
      </c>
      <c r="H3" s="77" t="s">
        <v>6</v>
      </c>
      <c r="I3" s="59">
        <f>'GF12'!I3</f>
        <v>44775</v>
      </c>
      <c r="J3" s="78"/>
      <c r="K3" s="78"/>
      <c r="L3" s="78"/>
      <c r="M3" s="78"/>
      <c r="N3" s="78"/>
      <c r="O3" s="78"/>
      <c r="P3" s="86"/>
      <c r="Q3" s="92"/>
    </row>
    <row r="4" spans="1:17" s="56" customFormat="1" ht="12.75" customHeight="1" thickBot="1">
      <c r="A4" s="80" t="s">
        <v>12</v>
      </c>
      <c r="B4" s="81" t="s">
        <v>13</v>
      </c>
      <c r="C4" s="81" t="s">
        <v>14</v>
      </c>
      <c r="D4" s="270" t="s">
        <v>15</v>
      </c>
      <c r="E4" s="271"/>
      <c r="F4" s="104" t="s">
        <v>16</v>
      </c>
      <c r="G4" s="81" t="s">
        <v>17</v>
      </c>
      <c r="H4" s="260" t="s">
        <v>18</v>
      </c>
      <c r="I4" s="261"/>
      <c r="J4" s="81" t="s">
        <v>51</v>
      </c>
      <c r="K4" s="81" t="s">
        <v>20</v>
      </c>
      <c r="L4" s="81" t="s">
        <v>21</v>
      </c>
      <c r="M4" s="81" t="s">
        <v>52</v>
      </c>
      <c r="N4" s="81" t="s">
        <v>22</v>
      </c>
      <c r="O4" s="81" t="s">
        <v>53</v>
      </c>
      <c r="P4" s="107" t="s">
        <v>26</v>
      </c>
      <c r="Q4" s="82" t="s">
        <v>27</v>
      </c>
    </row>
    <row r="5" spans="1:17" s="21" customFormat="1" ht="12.75" customHeight="1">
      <c r="A5" s="66" t="s">
        <v>54</v>
      </c>
      <c r="B5" s="1">
        <v>1</v>
      </c>
      <c r="C5" s="67" t="s">
        <v>1029</v>
      </c>
      <c r="D5" s="277" t="e">
        <f ca="1">VLOOKUP(C5,Assemblies!E:S,2,0)</f>
        <v>#N/A</v>
      </c>
      <c r="E5" s="278"/>
      <c r="F5" s="32"/>
      <c r="G5" s="32"/>
      <c r="H5" s="292"/>
      <c r="I5" s="293"/>
      <c r="J5" s="28"/>
      <c r="K5" s="28"/>
      <c r="L5" s="28"/>
      <c r="M5" s="28"/>
      <c r="N5" s="33"/>
      <c r="O5" s="46" t="e">
        <f t="shared" ref="O5:O12" ca="1" si="0">B5*$L$2</f>
        <v>#VALUE!</v>
      </c>
      <c r="P5" s="87">
        <f>'410'!Q18</f>
        <v>10209.785735433332</v>
      </c>
      <c r="Q5" s="93">
        <f t="shared" ref="Q5:Q12" si="1">B5*P5</f>
        <v>10209.785735433332</v>
      </c>
    </row>
    <row r="6" spans="1:17" s="21" customFormat="1" ht="12.75" customHeight="1">
      <c r="A6" s="66" t="s">
        <v>56</v>
      </c>
      <c r="B6" s="1">
        <v>1</v>
      </c>
      <c r="C6" s="67" t="s">
        <v>1030</v>
      </c>
      <c r="D6" s="277" t="e">
        <f ca="1">VLOOKUP(C6,Assemblies!E:S,2,0)</f>
        <v>#N/A</v>
      </c>
      <c r="E6" s="278"/>
      <c r="F6" s="32"/>
      <c r="G6" s="32"/>
      <c r="H6" s="292"/>
      <c r="I6" s="293"/>
      <c r="J6" s="28"/>
      <c r="K6" s="28"/>
      <c r="L6" s="28"/>
      <c r="M6" s="28"/>
      <c r="N6" s="33"/>
      <c r="O6" s="46" t="e">
        <f t="shared" ca="1" si="0"/>
        <v>#VALUE!</v>
      </c>
      <c r="P6" s="87">
        <f>'420'!Q18</f>
        <v>10227.185735433333</v>
      </c>
      <c r="Q6" s="93">
        <f t="shared" si="1"/>
        <v>10227.185735433333</v>
      </c>
    </row>
    <row r="7" spans="1:17" s="21" customFormat="1" ht="12.75" customHeight="1">
      <c r="A7" s="66" t="s">
        <v>58</v>
      </c>
      <c r="B7" s="1">
        <v>1</v>
      </c>
      <c r="C7" s="67" t="s">
        <v>1031</v>
      </c>
      <c r="D7" s="277" t="e">
        <f ca="1">VLOOKUP(C7,Assemblies!E:S,2,0)</f>
        <v>#N/A</v>
      </c>
      <c r="E7" s="278"/>
      <c r="F7" s="32"/>
      <c r="G7" s="32"/>
      <c r="H7" s="292"/>
      <c r="I7" s="293"/>
      <c r="J7" s="28"/>
      <c r="K7" s="28"/>
      <c r="L7" s="28"/>
      <c r="M7" s="28"/>
      <c r="N7" s="33"/>
      <c r="O7" s="46" t="e">
        <f t="shared" ca="1" si="0"/>
        <v>#VALUE!</v>
      </c>
      <c r="P7" s="87">
        <f>'430'!Q18</f>
        <v>10209.785735433332</v>
      </c>
      <c r="Q7" s="93">
        <f t="shared" si="1"/>
        <v>10209.785735433332</v>
      </c>
    </row>
    <row r="8" spans="1:17" s="21" customFormat="1" ht="12.75" customHeight="1">
      <c r="A8" s="66" t="s">
        <v>60</v>
      </c>
      <c r="B8" s="1">
        <v>1</v>
      </c>
      <c r="C8" s="67" t="s">
        <v>1032</v>
      </c>
      <c r="D8" s="277" t="e">
        <f ca="1">VLOOKUP(C8,Assemblies!E:S,2,0)</f>
        <v>#N/A</v>
      </c>
      <c r="E8" s="278"/>
      <c r="F8" s="32"/>
      <c r="G8" s="32"/>
      <c r="H8" s="292"/>
      <c r="I8" s="293"/>
      <c r="J8" s="28"/>
      <c r="K8" s="28"/>
      <c r="L8" s="28"/>
      <c r="M8" s="28"/>
      <c r="N8" s="33"/>
      <c r="O8" s="46" t="e">
        <f t="shared" ca="1" si="0"/>
        <v>#VALUE!</v>
      </c>
      <c r="P8" s="87">
        <f>'440'!Q18</f>
        <v>10227.185735433333</v>
      </c>
      <c r="Q8" s="93">
        <f t="shared" si="1"/>
        <v>10227.185735433333</v>
      </c>
    </row>
    <row r="9" spans="1:17" s="21" customFormat="1" ht="12.75" customHeight="1">
      <c r="A9" s="66" t="s">
        <v>62</v>
      </c>
      <c r="B9" s="1">
        <v>1</v>
      </c>
      <c r="C9" s="67" t="s">
        <v>1033</v>
      </c>
      <c r="D9" s="277" t="e">
        <f ca="1">VLOOKUP(C9,Assemblies!E:S,2,0)</f>
        <v>#N/A</v>
      </c>
      <c r="E9" s="278"/>
      <c r="F9" s="32"/>
      <c r="G9" s="32"/>
      <c r="H9" s="292"/>
      <c r="I9" s="293"/>
      <c r="J9" s="28"/>
      <c r="K9" s="28"/>
      <c r="L9" s="28"/>
      <c r="M9" s="28"/>
      <c r="N9" s="33"/>
      <c r="O9" s="46" t="e">
        <f t="shared" ca="1" si="0"/>
        <v>#VALUE!</v>
      </c>
      <c r="P9" s="87">
        <f>'450'!Q18</f>
        <v>10209.785735433332</v>
      </c>
      <c r="Q9" s="93">
        <f t="shared" si="1"/>
        <v>10209.785735433332</v>
      </c>
    </row>
    <row r="10" spans="1:17" s="21" customFormat="1" ht="12.75" customHeight="1">
      <c r="A10" s="66" t="s">
        <v>64</v>
      </c>
      <c r="B10" s="1">
        <v>1</v>
      </c>
      <c r="C10" s="67" t="s">
        <v>1034</v>
      </c>
      <c r="D10" s="277" t="e">
        <f ca="1">VLOOKUP(C10,Assemblies!E:S,2,0)</f>
        <v>#N/A</v>
      </c>
      <c r="E10" s="278"/>
      <c r="F10" s="32"/>
      <c r="G10" s="32"/>
      <c r="H10" s="292"/>
      <c r="I10" s="293"/>
      <c r="J10" s="28"/>
      <c r="K10" s="28"/>
      <c r="L10" s="28"/>
      <c r="M10" s="28"/>
      <c r="N10" s="33"/>
      <c r="O10" s="46" t="e">
        <f t="shared" ca="1" si="0"/>
        <v>#VALUE!</v>
      </c>
      <c r="P10" s="87">
        <f>'460'!Q18</f>
        <v>10296.125735433332</v>
      </c>
      <c r="Q10" s="93">
        <f t="shared" si="1"/>
        <v>10296.125735433332</v>
      </c>
    </row>
    <row r="11" spans="1:17" s="21" customFormat="1" ht="12.75" customHeight="1">
      <c r="A11" s="66" t="s">
        <v>66</v>
      </c>
      <c r="B11" s="1">
        <v>1</v>
      </c>
      <c r="C11" s="67" t="s">
        <v>1035</v>
      </c>
      <c r="D11" s="277" t="e">
        <f ca="1">VLOOKUP(C11,Assemblies!E:S,2,0)</f>
        <v>#N/A</v>
      </c>
      <c r="E11" s="278"/>
      <c r="F11" s="32"/>
      <c r="G11" s="32"/>
      <c r="H11" s="292"/>
      <c r="I11" s="293"/>
      <c r="J11" s="28"/>
      <c r="K11" s="28"/>
      <c r="L11" s="28"/>
      <c r="M11" s="28"/>
      <c r="N11" s="33"/>
      <c r="O11" s="46" t="e">
        <f t="shared" ca="1" si="0"/>
        <v>#VALUE!</v>
      </c>
      <c r="P11" s="87">
        <f>'470'!Q51</f>
        <v>12483.226361304001</v>
      </c>
      <c r="Q11" s="93">
        <f t="shared" si="1"/>
        <v>12483.226361304001</v>
      </c>
    </row>
    <row r="12" spans="1:17" s="21" customFormat="1" ht="12.75" customHeight="1">
      <c r="A12" s="66" t="s">
        <v>68</v>
      </c>
      <c r="B12" s="1">
        <v>1</v>
      </c>
      <c r="C12" s="67" t="s">
        <v>1036</v>
      </c>
      <c r="D12" s="277" t="e">
        <f ca="1">VLOOKUP(C12,Assemblies!E:S,2,0)</f>
        <v>#N/A</v>
      </c>
      <c r="E12" s="278"/>
      <c r="F12" s="32"/>
      <c r="G12" s="32"/>
      <c r="H12" s="32"/>
      <c r="I12" s="179"/>
      <c r="J12" s="28"/>
      <c r="K12" s="28"/>
      <c r="L12" s="28"/>
      <c r="M12" s="28"/>
      <c r="N12" s="33"/>
      <c r="O12" s="46" t="e">
        <f t="shared" ca="1" si="0"/>
        <v>#VALUE!</v>
      </c>
      <c r="P12" s="87">
        <f>'004'!Q42</f>
        <v>3238.9400000000005</v>
      </c>
      <c r="Q12" s="93">
        <f t="shared" si="1"/>
        <v>3238.9400000000005</v>
      </c>
    </row>
    <row r="13" spans="1:17" s="21" customFormat="1" ht="12.75" customHeight="1">
      <c r="A13" s="66" t="s">
        <v>224</v>
      </c>
      <c r="B13" s="1">
        <v>5</v>
      </c>
      <c r="C13" s="67" t="s">
        <v>232</v>
      </c>
      <c r="D13" s="277" t="e">
        <f ca="1">VLOOKUP(C13,Assemblies!E:S,2,0)</f>
        <v>#N/A</v>
      </c>
      <c r="E13" s="278"/>
      <c r="F13" s="32"/>
      <c r="G13" s="32"/>
      <c r="H13" s="32"/>
      <c r="I13" s="179"/>
      <c r="J13" s="28"/>
      <c r="K13" s="28"/>
      <c r="L13" s="28"/>
      <c r="M13" s="28"/>
      <c r="N13" s="33"/>
      <c r="O13" s="46" t="e">
        <f t="shared" ref="O13" ca="1" si="2">B13*$L$2</f>
        <v>#VALUE!</v>
      </c>
      <c r="P13" s="87">
        <f>'117'!Q10</f>
        <v>26.688399999999998</v>
      </c>
      <c r="Q13" s="93">
        <f t="shared" ref="Q13" si="3">B13*P13</f>
        <v>133.44199999999998</v>
      </c>
    </row>
    <row r="14" spans="1:17" s="21" customFormat="1" ht="12.75" customHeight="1">
      <c r="A14" s="143"/>
      <c r="B14" s="26"/>
      <c r="C14" s="26"/>
      <c r="D14" s="272"/>
      <c r="E14" s="273"/>
      <c r="F14" s="26"/>
      <c r="G14" s="26"/>
      <c r="H14" s="274"/>
      <c r="I14" s="275"/>
      <c r="J14" s="27"/>
      <c r="K14" s="27"/>
      <c r="L14" s="27"/>
      <c r="M14" s="28"/>
      <c r="N14" s="29"/>
      <c r="O14" s="29"/>
      <c r="P14" s="141"/>
      <c r="Q14" s="142"/>
    </row>
    <row r="15" spans="1:17" s="21" customFormat="1" ht="12.75" customHeight="1">
      <c r="A15" s="127">
        <v>1</v>
      </c>
      <c r="B15" s="21">
        <v>2</v>
      </c>
      <c r="C15" s="108" t="s">
        <v>1037</v>
      </c>
      <c r="D15" s="277" t="str">
        <f>VLOOKUP(C15,Machined!C:Q,2,0)</f>
        <v>MODIFIED BRX 3842523578 90X90 GUSSET SET</v>
      </c>
      <c r="E15" s="278"/>
      <c r="F15" s="131" t="str">
        <f>VLOOKUP(C15,Machined!C:R,7,0)</f>
        <v>PURCHASED</v>
      </c>
      <c r="G15" s="131" t="str">
        <f>VLOOKUP(C15,Machined!C:R,10,0)</f>
        <v>AAP, NULINE</v>
      </c>
      <c r="H15" s="131" t="str">
        <f>VLOOKUP(C15,Machined!C:R,11,0)</f>
        <v>STOCK PART RECEIVED. NULINE TO MODIFY</v>
      </c>
      <c r="I15" s="131"/>
      <c r="J15" s="42">
        <f>VLOOKUP(C15,Machined!C:R,12,0)</f>
        <v>45162</v>
      </c>
      <c r="K15" s="42">
        <f>VLOOKUP(C15,Machined!C:R,13,0)</f>
        <v>45162</v>
      </c>
      <c r="L15" s="42">
        <f>VLOOKUP(C15,Machined!C:R,14,0)</f>
        <v>45197</v>
      </c>
      <c r="M15" s="42">
        <f>VLOOKUP(C15,Machined!C:R,15,0)</f>
        <v>45197</v>
      </c>
      <c r="N15" s="43">
        <f>VLOOKUP(C15,Machined!C:R,16,0)</f>
        <v>55169</v>
      </c>
      <c r="O15" s="43" t="e">
        <f t="shared" ref="O15" ca="1" si="4">B15*$L$2</f>
        <v>#VALUE!</v>
      </c>
      <c r="P15" s="47">
        <f>IFERROR(VLOOKUP(C15,Machined!C:F,3,0),"")</f>
        <v>0</v>
      </c>
      <c r="Q15" s="48">
        <f t="shared" ref="Q15" si="5">IFERROR(B15*P15,"")</f>
        <v>0</v>
      </c>
    </row>
    <row r="16" spans="1:17" s="21" customFormat="1" ht="12.75" customHeight="1">
      <c r="A16" s="143"/>
      <c r="B16" s="26"/>
      <c r="C16" s="26"/>
      <c r="D16" s="212"/>
      <c r="E16" s="235"/>
      <c r="F16" s="26"/>
      <c r="G16" s="26"/>
      <c r="H16" s="233"/>
      <c r="I16" s="234"/>
      <c r="J16" s="27"/>
      <c r="K16" s="27"/>
      <c r="L16" s="27"/>
      <c r="M16" s="28"/>
      <c r="N16" s="29"/>
      <c r="O16" s="29"/>
      <c r="P16" s="141"/>
      <c r="Q16" s="142"/>
    </row>
    <row r="17" spans="1:17" s="21" customFormat="1" ht="12.75" customHeight="1" thickBot="1">
      <c r="A17" s="4">
        <v>301</v>
      </c>
      <c r="B17" s="2">
        <v>1</v>
      </c>
      <c r="C17" s="114" t="s">
        <v>691</v>
      </c>
      <c r="D17" s="268" t="str">
        <f>VLOOKUP(C17,Purchased!A:B,2,0)</f>
        <v>BRX GOTO GUSSET 90X90 SET</v>
      </c>
      <c r="E17" s="269"/>
      <c r="F17" s="112" t="str">
        <f>VLOOKUP(C17,Purchased!A:Q,9,0)</f>
        <v>BRX</v>
      </c>
      <c r="G17" s="112" t="str">
        <f>VLOOKUP(C17,Purchased!A:Q,10,0)</f>
        <v>AAP</v>
      </c>
      <c r="H17" s="112" t="str">
        <f>VLOOKUP(C17,Purchased!A:Q,12,0)</f>
        <v xml:space="preserve"> </v>
      </c>
      <c r="I17" s="113"/>
      <c r="J17" s="44" t="str">
        <f>VLOOKUP(C17,Purchased!A:Q,13,0)</f>
        <v>N/A</v>
      </c>
      <c r="K17" s="44">
        <f>VLOOKUP(C17,Purchased!A:Q,14,0)</f>
        <v>45162</v>
      </c>
      <c r="L17" s="44">
        <f>VLOOKUP(C17,Purchased!A:Q,15,0)</f>
        <v>45184</v>
      </c>
      <c r="M17" s="44">
        <f>VLOOKUP(C17,Purchased!A:Q,16,0)</f>
        <v>45197</v>
      </c>
      <c r="N17" s="45" t="str">
        <f>VLOOKUP(C17,Purchased!A:Q,17,0)</f>
        <v>4x55073, 3x55169</v>
      </c>
      <c r="O17" s="45" t="e">
        <f t="shared" ref="O17" ca="1" si="6">B17*$L$2</f>
        <v>#VALUE!</v>
      </c>
      <c r="P17" s="49">
        <f>IFERROR(VLOOKUP(C17,Purchased!A:E,3,FALSE),"")</f>
        <v>19.057099999999998</v>
      </c>
      <c r="Q17" s="50">
        <f t="shared" ref="Q17" si="7">IFERROR(B17*P17,"")</f>
        <v>19.057099999999998</v>
      </c>
    </row>
    <row r="18" spans="1:17" s="2" customFormat="1" ht="12.75" customHeight="1" thickBot="1">
      <c r="A18" s="34"/>
      <c r="B18" s="35"/>
      <c r="C18" s="35"/>
      <c r="D18" s="256"/>
      <c r="E18" s="257"/>
      <c r="F18" s="35"/>
      <c r="G18" s="35"/>
      <c r="H18" s="294"/>
      <c r="I18" s="295"/>
      <c r="J18" s="36"/>
      <c r="K18" s="36"/>
      <c r="L18" s="36"/>
      <c r="M18" s="37"/>
      <c r="N18" s="38"/>
      <c r="O18" s="38"/>
      <c r="P18" s="89" t="s">
        <v>43</v>
      </c>
      <c r="Q18" s="94">
        <f>SUM(Q5:Q17)</f>
        <v>77254.519873903992</v>
      </c>
    </row>
    <row r="19" spans="1:17" s="2" customFormat="1" ht="12" customHeight="1">
      <c r="D19" s="22"/>
      <c r="E19" s="22"/>
      <c r="J19" s="8"/>
      <c r="K19" s="8"/>
      <c r="L19" s="8"/>
      <c r="M19" s="8"/>
      <c r="N19" s="5"/>
      <c r="O19" s="5"/>
      <c r="P19" s="88"/>
      <c r="Q19" s="95"/>
    </row>
    <row r="20" spans="1:17" s="2" customFormat="1" ht="12" customHeight="1">
      <c r="D20" s="22"/>
      <c r="E20" s="22"/>
      <c r="J20" s="5"/>
      <c r="K20" s="5"/>
      <c r="L20" s="5"/>
      <c r="M20" s="5"/>
      <c r="N20" s="5"/>
      <c r="O20" s="5"/>
      <c r="P20" s="88"/>
      <c r="Q20" s="95"/>
    </row>
    <row r="21" spans="1:17" s="2" customFormat="1" ht="12" customHeight="1">
      <c r="D21" s="22"/>
      <c r="E21" s="22"/>
      <c r="J21" s="5"/>
      <c r="K21" s="5"/>
      <c r="L21" s="5"/>
      <c r="M21" s="5"/>
      <c r="N21" s="5"/>
      <c r="O21" s="5"/>
      <c r="P21" s="88"/>
      <c r="Q21" s="95"/>
    </row>
    <row r="22" spans="1:17" s="2" customFormat="1" ht="12" customHeight="1">
      <c r="D22" s="22"/>
      <c r="E22" s="22"/>
      <c r="J22" s="5"/>
      <c r="K22" s="5"/>
      <c r="L22" s="5"/>
      <c r="M22" s="5"/>
      <c r="N22" s="5"/>
      <c r="O22" s="5"/>
      <c r="P22" s="88"/>
      <c r="Q22" s="95"/>
    </row>
    <row r="23" spans="1:17" s="2" customFormat="1" ht="12" customHeight="1">
      <c r="D23" s="22"/>
      <c r="E23" s="22"/>
      <c r="J23" s="5"/>
      <c r="K23" s="5"/>
      <c r="L23" s="5"/>
      <c r="M23" s="5"/>
      <c r="N23" s="5"/>
      <c r="O23" s="5"/>
      <c r="P23" s="88"/>
      <c r="Q23" s="95"/>
    </row>
    <row r="24" spans="1:17" s="2" customFormat="1" ht="12" customHeight="1">
      <c r="D24" s="22"/>
      <c r="E24" s="22"/>
      <c r="J24" s="5"/>
      <c r="K24" s="5"/>
      <c r="L24" s="5"/>
      <c r="M24" s="5"/>
      <c r="N24" s="5"/>
      <c r="O24" s="5"/>
      <c r="P24" s="88"/>
      <c r="Q24" s="95"/>
    </row>
    <row r="25" spans="1:17" s="2" customFormat="1" ht="12" customHeight="1">
      <c r="D25" s="22"/>
      <c r="E25" s="22"/>
      <c r="J25" s="5"/>
      <c r="K25" s="5"/>
      <c r="L25" s="5"/>
      <c r="M25" s="5"/>
      <c r="N25" s="5"/>
      <c r="O25" s="5"/>
      <c r="P25" s="88"/>
      <c r="Q25" s="95"/>
    </row>
    <row r="26" spans="1:17" s="2" customFormat="1" ht="12" customHeight="1">
      <c r="D26" s="22"/>
      <c r="E26" s="22"/>
      <c r="J26" s="5"/>
      <c r="K26" s="5"/>
      <c r="L26" s="5"/>
      <c r="M26" s="5"/>
      <c r="N26" s="5"/>
      <c r="O26" s="5"/>
      <c r="P26" s="88"/>
      <c r="Q26" s="95"/>
    </row>
    <row r="27" spans="1:17" s="2" customFormat="1" ht="12" customHeight="1">
      <c r="D27" s="22"/>
      <c r="E27" s="22"/>
      <c r="J27" s="5"/>
      <c r="K27" s="5"/>
      <c r="L27" s="5"/>
      <c r="M27" s="5"/>
      <c r="N27" s="5"/>
      <c r="O27" s="5"/>
      <c r="P27" s="88"/>
      <c r="Q27" s="95"/>
    </row>
    <row r="28" spans="1:17" s="2" customFormat="1" ht="12" customHeight="1">
      <c r="D28" s="22"/>
      <c r="E28" s="22"/>
      <c r="J28" s="5"/>
      <c r="K28" s="5"/>
      <c r="L28" s="5"/>
      <c r="M28" s="5"/>
      <c r="N28" s="5"/>
      <c r="O28" s="5"/>
      <c r="P28" s="88"/>
      <c r="Q28" s="95"/>
    </row>
    <row r="29" spans="1:17" s="2" customFormat="1" ht="12" customHeight="1">
      <c r="D29" s="22"/>
      <c r="E29" s="22"/>
      <c r="J29" s="5"/>
      <c r="K29" s="5"/>
      <c r="L29" s="5"/>
      <c r="M29" s="5"/>
      <c r="N29" s="5"/>
      <c r="O29" s="5"/>
      <c r="P29" s="88"/>
      <c r="Q29" s="95"/>
    </row>
    <row r="30" spans="1:17" s="2" customFormat="1" ht="12" customHeight="1">
      <c r="D30" s="22"/>
      <c r="E30" s="22"/>
      <c r="J30" s="5"/>
      <c r="K30" s="5"/>
      <c r="L30" s="5"/>
      <c r="M30" s="5"/>
      <c r="N30" s="5"/>
      <c r="O30" s="5"/>
      <c r="P30" s="88"/>
      <c r="Q30" s="95"/>
    </row>
    <row r="31" spans="1:17" s="2" customFormat="1" ht="12" customHeight="1">
      <c r="D31" s="22"/>
      <c r="E31" s="22"/>
      <c r="J31" s="5"/>
      <c r="K31" s="5"/>
      <c r="L31" s="5"/>
      <c r="M31" s="5"/>
      <c r="N31" s="5"/>
      <c r="O31" s="5"/>
      <c r="P31" s="88"/>
      <c r="Q31" s="95"/>
    </row>
    <row r="32" spans="1:17" s="2" customFormat="1" ht="12" customHeight="1">
      <c r="D32" s="22"/>
      <c r="E32" s="22"/>
      <c r="J32" s="5"/>
      <c r="K32" s="5"/>
      <c r="L32" s="5"/>
      <c r="M32" s="5"/>
      <c r="N32" s="5"/>
      <c r="O32" s="5"/>
      <c r="P32" s="88"/>
      <c r="Q32" s="95"/>
    </row>
    <row r="33" spans="4:17" s="2" customFormat="1" ht="12" customHeight="1">
      <c r="D33" s="22"/>
      <c r="E33" s="22"/>
      <c r="J33" s="5"/>
      <c r="K33" s="5"/>
      <c r="L33" s="5"/>
      <c r="M33" s="5"/>
      <c r="N33" s="5"/>
      <c r="O33" s="5"/>
      <c r="P33" s="88"/>
      <c r="Q33" s="95"/>
    </row>
    <row r="34" spans="4:17" s="2" customFormat="1" ht="12" customHeight="1">
      <c r="D34" s="22"/>
      <c r="E34" s="22"/>
      <c r="J34" s="5"/>
      <c r="K34" s="5"/>
      <c r="L34" s="5"/>
      <c r="M34" s="5"/>
      <c r="N34" s="5"/>
      <c r="O34" s="5"/>
      <c r="P34" s="88"/>
      <c r="Q34" s="95"/>
    </row>
    <row r="35" spans="4:17" s="2" customFormat="1" ht="12" customHeight="1">
      <c r="D35" s="22"/>
      <c r="E35" s="22"/>
      <c r="J35" s="5"/>
      <c r="K35" s="5"/>
      <c r="L35" s="5"/>
      <c r="M35" s="5"/>
      <c r="N35" s="5"/>
      <c r="O35" s="5"/>
      <c r="P35" s="88"/>
      <c r="Q35" s="95"/>
    </row>
    <row r="36" spans="4:17" s="2" customFormat="1" ht="12" customHeight="1">
      <c r="D36" s="22"/>
      <c r="E36" s="22"/>
      <c r="J36" s="5"/>
      <c r="K36" s="5"/>
      <c r="L36" s="5"/>
      <c r="M36" s="5"/>
      <c r="N36" s="5"/>
      <c r="O36" s="5"/>
      <c r="P36" s="88"/>
      <c r="Q36" s="95"/>
    </row>
    <row r="37" spans="4:17" s="2" customFormat="1" ht="12" customHeight="1">
      <c r="D37" s="22"/>
      <c r="E37" s="22"/>
      <c r="J37" s="5"/>
      <c r="K37" s="5"/>
      <c r="L37" s="5"/>
      <c r="M37" s="5"/>
      <c r="N37" s="5"/>
      <c r="O37" s="5"/>
      <c r="P37" s="88"/>
      <c r="Q37" s="95"/>
    </row>
    <row r="38" spans="4:17" s="2" customFormat="1" ht="12" customHeight="1">
      <c r="D38" s="22"/>
      <c r="E38" s="22"/>
      <c r="J38" s="5"/>
      <c r="K38" s="5"/>
      <c r="L38" s="5"/>
      <c r="M38" s="5"/>
      <c r="N38" s="5"/>
      <c r="O38" s="5"/>
      <c r="P38" s="88"/>
      <c r="Q38" s="95"/>
    </row>
    <row r="39" spans="4:17" s="2" customFormat="1" ht="12" customHeight="1">
      <c r="D39" s="22"/>
      <c r="E39" s="22"/>
      <c r="J39" s="5"/>
      <c r="K39" s="5"/>
      <c r="L39" s="5"/>
      <c r="M39" s="5"/>
      <c r="N39" s="5"/>
      <c r="O39" s="5"/>
      <c r="P39" s="88"/>
      <c r="Q39" s="95"/>
    </row>
    <row r="40" spans="4:17" s="2" customFormat="1" ht="12" customHeight="1">
      <c r="D40" s="22"/>
      <c r="E40" s="22"/>
      <c r="J40" s="5"/>
      <c r="K40" s="5"/>
      <c r="L40" s="5"/>
      <c r="M40" s="5"/>
      <c r="N40" s="5"/>
      <c r="O40" s="5"/>
      <c r="P40" s="88"/>
      <c r="Q40" s="95"/>
    </row>
    <row r="41" spans="4:17" s="2" customFormat="1" ht="12" customHeight="1">
      <c r="D41" s="22"/>
      <c r="E41" s="22"/>
      <c r="J41" s="5"/>
      <c r="K41" s="5"/>
      <c r="L41" s="5"/>
      <c r="M41" s="5"/>
      <c r="N41" s="5"/>
      <c r="O41" s="5"/>
      <c r="P41" s="88"/>
      <c r="Q41" s="95"/>
    </row>
    <row r="42" spans="4:17" s="2" customFormat="1" ht="12" customHeight="1">
      <c r="D42" s="22"/>
      <c r="E42" s="22"/>
      <c r="J42" s="5"/>
      <c r="K42" s="5"/>
      <c r="L42" s="5"/>
      <c r="M42" s="5"/>
      <c r="N42" s="5"/>
      <c r="O42" s="5"/>
      <c r="P42" s="88"/>
      <c r="Q42" s="95"/>
    </row>
    <row r="43" spans="4:17" s="2" customFormat="1" ht="12" customHeight="1">
      <c r="D43" s="22"/>
      <c r="E43" s="22"/>
      <c r="J43" s="5"/>
      <c r="K43" s="5"/>
      <c r="L43" s="5"/>
      <c r="M43" s="5"/>
      <c r="N43" s="5"/>
      <c r="O43" s="5"/>
      <c r="P43" s="88"/>
      <c r="Q43" s="95"/>
    </row>
    <row r="44" spans="4:17" s="2" customFormat="1" ht="12" customHeight="1">
      <c r="D44" s="22"/>
      <c r="E44" s="22"/>
      <c r="J44" s="5"/>
      <c r="K44" s="5"/>
      <c r="L44" s="5"/>
      <c r="M44" s="5"/>
      <c r="N44" s="5"/>
      <c r="O44" s="5"/>
      <c r="P44" s="88"/>
      <c r="Q44" s="95"/>
    </row>
    <row r="45" spans="4:17" s="2" customFormat="1" ht="12" customHeight="1">
      <c r="D45" s="22"/>
      <c r="E45" s="22"/>
      <c r="J45" s="5"/>
      <c r="K45" s="5"/>
      <c r="L45" s="5"/>
      <c r="M45" s="5"/>
      <c r="N45" s="5"/>
      <c r="O45" s="5"/>
      <c r="P45" s="88"/>
      <c r="Q45" s="95"/>
    </row>
    <row r="46" spans="4:17" s="2" customFormat="1" ht="12" customHeight="1">
      <c r="D46" s="22"/>
      <c r="E46" s="22"/>
      <c r="J46" s="5"/>
      <c r="K46" s="5"/>
      <c r="L46" s="5"/>
      <c r="M46" s="5"/>
      <c r="N46" s="5"/>
      <c r="O46" s="5"/>
      <c r="P46" s="88"/>
      <c r="Q46" s="95"/>
    </row>
    <row r="47" spans="4:17" s="2" customFormat="1" ht="12" customHeight="1">
      <c r="D47" s="22"/>
      <c r="E47" s="22"/>
      <c r="J47" s="5"/>
      <c r="K47" s="5"/>
      <c r="L47" s="5"/>
      <c r="M47" s="5"/>
      <c r="N47" s="5"/>
      <c r="O47" s="5"/>
      <c r="P47" s="88"/>
      <c r="Q47" s="95"/>
    </row>
    <row r="48" spans="4:17" s="2" customFormat="1" ht="12" customHeight="1">
      <c r="D48" s="22"/>
      <c r="E48" s="22"/>
      <c r="J48" s="5"/>
      <c r="K48" s="5"/>
      <c r="L48" s="5"/>
      <c r="M48" s="5"/>
      <c r="N48" s="5"/>
      <c r="O48" s="5"/>
      <c r="P48" s="88"/>
      <c r="Q48" s="95"/>
    </row>
    <row r="49" spans="1:17" s="2" customFormat="1" ht="12" customHeight="1">
      <c r="D49" s="22"/>
      <c r="E49" s="22"/>
      <c r="J49" s="5"/>
      <c r="K49" s="5"/>
      <c r="L49" s="5"/>
      <c r="M49" s="5"/>
      <c r="N49" s="5"/>
      <c r="O49" s="5"/>
      <c r="P49" s="88"/>
      <c r="Q49" s="95"/>
    </row>
    <row r="50" spans="1:17" s="2" customFormat="1" ht="12" customHeight="1">
      <c r="D50" s="22"/>
      <c r="E50" s="22"/>
      <c r="J50" s="5"/>
      <c r="K50" s="5"/>
      <c r="L50" s="5"/>
      <c r="M50" s="5"/>
      <c r="N50" s="5"/>
      <c r="O50" s="5"/>
      <c r="P50" s="88"/>
      <c r="Q50" s="95"/>
    </row>
    <row r="51" spans="1:17" s="2" customFormat="1" ht="12" customHeight="1">
      <c r="D51" s="22"/>
      <c r="E51" s="22"/>
      <c r="J51" s="5"/>
      <c r="K51" s="5"/>
      <c r="L51" s="5"/>
      <c r="M51" s="5"/>
      <c r="N51" s="5"/>
      <c r="O51" s="5"/>
      <c r="P51" s="88"/>
      <c r="Q51" s="95"/>
    </row>
    <row r="52" spans="1:17" s="2" customFormat="1" ht="12" customHeight="1">
      <c r="D52" s="22"/>
      <c r="E52" s="22"/>
      <c r="J52" s="5"/>
      <c r="K52" s="5"/>
      <c r="L52" s="5"/>
      <c r="M52" s="5"/>
      <c r="N52" s="5"/>
      <c r="O52" s="5"/>
      <c r="P52" s="88"/>
      <c r="Q52" s="95"/>
    </row>
    <row r="53" spans="1:17" s="2" customFormat="1" ht="12" customHeight="1">
      <c r="D53" s="22"/>
      <c r="E53" s="22"/>
      <c r="J53" s="5"/>
      <c r="K53" s="5"/>
      <c r="L53" s="5"/>
      <c r="M53" s="5"/>
      <c r="N53" s="5"/>
      <c r="O53" s="5"/>
      <c r="P53" s="88"/>
      <c r="Q53" s="95"/>
    </row>
    <row r="54" spans="1:17" s="2" customFormat="1" ht="12" customHeight="1">
      <c r="D54" s="22"/>
      <c r="E54" s="22"/>
      <c r="J54" s="5"/>
      <c r="K54" s="5"/>
      <c r="L54" s="5"/>
      <c r="M54" s="5"/>
      <c r="N54" s="5"/>
      <c r="O54" s="5"/>
      <c r="P54" s="88"/>
      <c r="Q54" s="95"/>
    </row>
    <row r="55" spans="1:17" s="2" customFormat="1" ht="12" customHeight="1">
      <c r="D55" s="22"/>
      <c r="E55" s="22"/>
      <c r="J55" s="5"/>
      <c r="K55" s="5"/>
      <c r="L55" s="5"/>
      <c r="M55" s="5"/>
      <c r="N55" s="5"/>
      <c r="O55" s="5"/>
      <c r="P55" s="88"/>
      <c r="Q55" s="95"/>
    </row>
    <row r="56" spans="1:17" s="2" customFormat="1" ht="12" customHeight="1">
      <c r="D56" s="22"/>
      <c r="E56" s="22"/>
      <c r="J56" s="5"/>
      <c r="K56" s="5"/>
      <c r="L56" s="5"/>
      <c r="M56" s="5"/>
      <c r="N56" s="5"/>
      <c r="O56" s="5"/>
      <c r="P56" s="88"/>
      <c r="Q56" s="96"/>
    </row>
    <row r="57" spans="1:17" s="2" customFormat="1" ht="12" customHeight="1">
      <c r="D57" s="22"/>
      <c r="E57" s="22"/>
      <c r="J57" s="5"/>
      <c r="K57" s="5"/>
      <c r="L57" s="5"/>
      <c r="M57" s="5"/>
      <c r="N57" s="5"/>
      <c r="O57" s="5"/>
      <c r="P57" s="88"/>
      <c r="Q57" s="96"/>
    </row>
    <row r="58" spans="1:17" s="2" customFormat="1" ht="12" customHeight="1">
      <c r="D58" s="22"/>
      <c r="E58" s="22"/>
      <c r="J58" s="5"/>
      <c r="K58" s="5"/>
      <c r="L58" s="5"/>
      <c r="M58" s="5"/>
      <c r="N58" s="5"/>
      <c r="O58" s="5"/>
      <c r="P58" s="88"/>
      <c r="Q58" s="96"/>
    </row>
    <row r="59" spans="1:17" s="2" customFormat="1" ht="12" customHeight="1">
      <c r="D59" s="22"/>
      <c r="E59" s="22"/>
      <c r="J59" s="5"/>
      <c r="K59" s="5"/>
      <c r="L59" s="5"/>
      <c r="M59" s="5"/>
      <c r="N59" s="5"/>
      <c r="O59" s="5"/>
      <c r="P59" s="88"/>
      <c r="Q59" s="96"/>
    </row>
    <row r="60" spans="1:17" s="2" customFormat="1" ht="12" customHeight="1">
      <c r="A60"/>
      <c r="B60"/>
      <c r="C60"/>
      <c r="D60" s="23"/>
      <c r="E60" s="23"/>
      <c r="F60"/>
      <c r="G60"/>
      <c r="H60"/>
      <c r="I60"/>
      <c r="J60" s="19"/>
      <c r="K60" s="19"/>
      <c r="L60" s="19"/>
      <c r="M60" s="19"/>
      <c r="N60" s="19"/>
      <c r="O60" s="19"/>
      <c r="P60" s="90"/>
      <c r="Q60" s="96"/>
    </row>
    <row r="61" spans="1:17" s="2" customFormat="1" ht="12" customHeight="1">
      <c r="A61"/>
      <c r="B61"/>
      <c r="C61"/>
      <c r="D61" s="23"/>
      <c r="E61" s="23"/>
      <c r="F61"/>
      <c r="G61"/>
      <c r="H61"/>
      <c r="I61"/>
      <c r="J61" s="19"/>
      <c r="K61" s="19"/>
      <c r="L61" s="19"/>
      <c r="M61" s="19"/>
      <c r="N61" s="19"/>
      <c r="O61" s="19"/>
      <c r="P61" s="90"/>
      <c r="Q61" s="96"/>
    </row>
    <row r="62" spans="1:17" s="2" customFormat="1" ht="12" customHeight="1">
      <c r="A62"/>
      <c r="B62"/>
      <c r="C62"/>
      <c r="D62" s="23"/>
      <c r="E62" s="23"/>
      <c r="F62"/>
      <c r="G62"/>
      <c r="H62"/>
      <c r="I62"/>
      <c r="J62" s="19"/>
      <c r="K62" s="19"/>
      <c r="L62" s="19"/>
      <c r="M62" s="19"/>
      <c r="N62" s="19"/>
      <c r="O62" s="19"/>
      <c r="P62" s="90"/>
      <c r="Q62" s="96"/>
    </row>
    <row r="63" spans="1:17" s="2" customFormat="1" ht="12" customHeight="1">
      <c r="A63"/>
      <c r="B63"/>
      <c r="C63"/>
      <c r="D63" s="23"/>
      <c r="E63" s="23"/>
      <c r="F63"/>
      <c r="G63"/>
      <c r="H63"/>
      <c r="I63"/>
      <c r="J63" s="19"/>
      <c r="K63" s="19"/>
      <c r="L63" s="19"/>
      <c r="M63" s="19"/>
      <c r="N63" s="19"/>
      <c r="O63" s="19"/>
      <c r="P63" s="90"/>
      <c r="Q63" s="96"/>
    </row>
    <row r="64" spans="1:17" s="2" customFormat="1" ht="12" customHeight="1">
      <c r="A64"/>
      <c r="B64"/>
      <c r="C64"/>
      <c r="D64" s="23"/>
      <c r="E64" s="23"/>
      <c r="F64"/>
      <c r="G64"/>
      <c r="H64"/>
      <c r="I64"/>
      <c r="J64" s="19"/>
      <c r="K64" s="19"/>
      <c r="L64" s="19"/>
      <c r="M64" s="19"/>
      <c r="N64" s="19"/>
      <c r="O64" s="19"/>
      <c r="P64" s="90"/>
      <c r="Q64" s="96"/>
    </row>
    <row r="65" spans="17:17">
      <c r="Q65" s="96"/>
    </row>
    <row r="66" spans="17:17">
      <c r="Q66" s="96"/>
    </row>
    <row r="67" spans="17:17">
      <c r="Q67" s="96"/>
    </row>
    <row r="68" spans="17:17">
      <c r="Q68" s="96"/>
    </row>
    <row r="69" spans="17:17">
      <c r="Q69" s="96"/>
    </row>
    <row r="70" spans="17:17">
      <c r="Q70" s="96"/>
    </row>
    <row r="71" spans="17:17">
      <c r="Q71" s="96"/>
    </row>
    <row r="72" spans="17:17">
      <c r="Q72" s="96"/>
    </row>
    <row r="73" spans="17:17">
      <c r="Q73" s="96"/>
    </row>
    <row r="74" spans="17:17">
      <c r="Q74" s="96"/>
    </row>
    <row r="75" spans="17:17">
      <c r="Q75" s="96"/>
    </row>
    <row r="76" spans="17:17">
      <c r="Q76" s="96"/>
    </row>
    <row r="77" spans="17:17">
      <c r="Q77" s="96"/>
    </row>
    <row r="78" spans="17:17">
      <c r="Q78" s="96"/>
    </row>
    <row r="79" spans="17:17">
      <c r="Q79" s="96"/>
    </row>
    <row r="80" spans="17:17">
      <c r="Q80" s="96"/>
    </row>
    <row r="81" spans="17:17">
      <c r="Q81" s="96"/>
    </row>
    <row r="82" spans="17:17">
      <c r="Q82" s="96"/>
    </row>
    <row r="83" spans="17:17">
      <c r="Q83" s="96"/>
    </row>
    <row r="84" spans="17:17">
      <c r="Q84" s="96"/>
    </row>
    <row r="121" ht="12" customHeight="1"/>
    <row r="122" ht="12" customHeight="1"/>
    <row r="123" ht="12" customHeight="1"/>
    <row r="124" ht="12" customHeight="1"/>
    <row r="125" ht="12" customHeight="1"/>
    <row r="126" ht="12" customHeight="1"/>
    <row r="127" ht="12" customHeight="1"/>
    <row r="128" ht="12" customHeight="1"/>
    <row r="129" ht="12" customHeight="1"/>
    <row r="130" ht="12" customHeight="1"/>
    <row r="131" ht="12" customHeight="1"/>
    <row r="132" ht="12" customHeight="1"/>
    <row r="133" ht="12" customHeight="1"/>
    <row r="134" ht="12" customHeight="1"/>
    <row r="135" ht="12" customHeight="1"/>
    <row r="136" ht="12" customHeight="1"/>
    <row r="137" ht="12" customHeight="1"/>
    <row r="138" ht="12" customHeight="1"/>
    <row r="139" ht="12" customHeight="1"/>
    <row r="140" ht="12" customHeight="1"/>
    <row r="141" ht="12" customHeight="1"/>
    <row r="142" ht="12" customHeight="1"/>
    <row r="143" ht="12" customHeight="1"/>
    <row r="144" ht="12" customHeight="1"/>
    <row r="145" ht="12" customHeight="1"/>
    <row r="146" ht="12" customHeight="1"/>
    <row r="147" ht="12" customHeight="1"/>
    <row r="148" ht="12" customHeight="1"/>
    <row r="149" ht="12" customHeight="1"/>
    <row r="150" ht="12" customHeight="1"/>
    <row r="151" ht="12" customHeight="1"/>
    <row r="152" ht="12" customHeight="1"/>
    <row r="153" ht="12" customHeight="1"/>
    <row r="154" ht="12" customHeight="1"/>
    <row r="155" ht="12" customHeight="1"/>
    <row r="156" ht="12" customHeight="1"/>
    <row r="157" ht="12" customHeight="1"/>
    <row r="158" ht="12" customHeight="1"/>
    <row r="159" ht="12" customHeight="1"/>
    <row r="160" ht="12" customHeight="1"/>
    <row r="161" ht="12" customHeight="1"/>
    <row r="162" ht="12" customHeight="1"/>
    <row r="163" ht="12" customHeight="1"/>
    <row r="164" ht="12" customHeight="1"/>
    <row r="165" ht="12" customHeight="1"/>
    <row r="166" ht="12" customHeight="1"/>
    <row r="167" ht="12" customHeight="1"/>
    <row r="168" ht="12" customHeight="1"/>
    <row r="169" ht="12" customHeight="1"/>
    <row r="170" ht="12" customHeight="1"/>
  </sheetData>
  <mergeCells count="25">
    <mergeCell ref="D18:E18"/>
    <mergeCell ref="H18:I18"/>
    <mergeCell ref="D6:E6"/>
    <mergeCell ref="H6:I6"/>
    <mergeCell ref="D10:E10"/>
    <mergeCell ref="H10:I10"/>
    <mergeCell ref="D11:E11"/>
    <mergeCell ref="H11:I11"/>
    <mergeCell ref="D7:E7"/>
    <mergeCell ref="H7:I7"/>
    <mergeCell ref="D8:E8"/>
    <mergeCell ref="H8:I8"/>
    <mergeCell ref="D9:E9"/>
    <mergeCell ref="H9:I9"/>
    <mergeCell ref="D13:E13"/>
    <mergeCell ref="D14:E14"/>
    <mergeCell ref="H14:I14"/>
    <mergeCell ref="D17:E17"/>
    <mergeCell ref="D1:E1"/>
    <mergeCell ref="D4:E4"/>
    <mergeCell ref="H4:I4"/>
    <mergeCell ref="D5:E5"/>
    <mergeCell ref="H5:I5"/>
    <mergeCell ref="D12:E12"/>
    <mergeCell ref="D15:E15"/>
  </mergeCells>
  <conditionalFormatting sqref="M17">
    <cfRule type="cellIs" dxfId="348" priority="3" stopIfTrue="1" operator="lessThanOrEqual">
      <formula>$L17</formula>
    </cfRule>
    <cfRule type="cellIs" dxfId="347" priority="4" operator="greaterThan">
      <formula>L17</formula>
    </cfRule>
  </conditionalFormatting>
  <conditionalFormatting sqref="M15">
    <cfRule type="cellIs" dxfId="346" priority="1" stopIfTrue="1" operator="lessThanOrEqual">
      <formula>$L15</formula>
    </cfRule>
    <cfRule type="cellIs" dxfId="345" priority="2" operator="greaterThan">
      <formula>L15</formula>
    </cfRule>
  </conditionalFormatting>
  <pageMargins left="0.7" right="0.7" top="0.75" bottom="0.75" header="0.3" footer="0.3"/>
  <pageSetup paperSize="3" fitToHeight="0" orientation="landscape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35A3E8-1517-4A53-93E2-D6595D3CABD6}">
          <x14:formula1>
            <xm:f>Assemblies!$E:$E</xm:f>
          </x14:formula1>
          <xm:sqref>C5:C13</xm:sqref>
        </x14:dataValidation>
        <x14:dataValidation type="list" allowBlank="1" showInputMessage="1" showErrorMessage="1" xr:uid="{BCE28C5E-4AF9-49D0-BDAC-4E5758185B96}">
          <x14:formula1>
            <xm:f>Purchased!$A:$A</xm:f>
          </x14:formula1>
          <xm:sqref>C17</xm:sqref>
        </x14:dataValidation>
        <x14:dataValidation type="list" allowBlank="1" showInputMessage="1" showErrorMessage="1" xr:uid="{EAEA85E6-4C30-4C11-96E5-09AD101A746B}">
          <x14:formula1>
            <xm:f>Machined!$C:$C</xm:f>
          </x14:formula1>
          <xm:sqref>C15</xm:sqref>
        </x14:dataValidation>
      </x14:dataValidations>
    </ext>
  </extLst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D6BBB-8B02-4DC3-A4B0-08683BAC6B1B}">
  <sheetPr codeName="Sheet86">
    <tabColor theme="3" tint="0.59999389629810485"/>
    <pageSetUpPr fitToPage="1"/>
  </sheetPr>
  <dimension ref="A1:R171"/>
  <sheetViews>
    <sheetView zoomScaleNormal="100" workbookViewId="0">
      <selection activeCell="C22" sqref="C22"/>
    </sheetView>
  </sheetViews>
  <sheetFormatPr defaultColWidth="9.140625" defaultRowHeight="15"/>
  <cols>
    <col min="1" max="1" width="5.7109375" customWidth="1"/>
    <col min="2" max="2" width="5.42578125" bestFit="1" customWidth="1"/>
    <col min="3" max="3" width="30.7109375" customWidth="1"/>
    <col min="4" max="5" width="20.7109375" style="23" customWidth="1"/>
    <col min="6" max="6" width="16.85546875" bestFit="1" customWidth="1"/>
    <col min="7" max="7" width="9.7109375" customWidth="1"/>
    <col min="8" max="8" width="8.7109375" customWidth="1"/>
    <col min="9" max="9" width="20.7109375" customWidth="1"/>
    <col min="10" max="13" width="11.7109375" style="19" customWidth="1"/>
    <col min="14" max="14" width="11.85546875" style="19" bestFit="1" customWidth="1"/>
    <col min="15" max="15" width="7.7109375" style="19" customWidth="1"/>
    <col min="16" max="16" width="10.7109375" style="90" customWidth="1"/>
    <col min="17" max="17" width="10.7109375" style="97" customWidth="1"/>
  </cols>
  <sheetData>
    <row r="1" spans="1:18" s="55" customFormat="1" ht="12" customHeight="1">
      <c r="A1" s="68" t="s">
        <v>0</v>
      </c>
      <c r="B1" s="69"/>
      <c r="C1" s="69"/>
      <c r="D1" s="262" t="s">
        <v>1</v>
      </c>
      <c r="E1" s="263"/>
      <c r="F1" s="70"/>
      <c r="G1" s="69"/>
      <c r="H1" s="70"/>
      <c r="I1" s="71"/>
      <c r="J1" s="72"/>
      <c r="K1" s="72"/>
      <c r="L1" s="72"/>
      <c r="M1" s="72"/>
      <c r="N1" s="72"/>
      <c r="O1" s="72"/>
      <c r="P1" s="85"/>
      <c r="Q1" s="91"/>
    </row>
    <row r="2" spans="1:18" s="55" customFormat="1" ht="12" customHeight="1">
      <c r="A2" s="74" t="s">
        <v>48</v>
      </c>
      <c r="B2" s="58"/>
      <c r="C2" s="57" t="e">
        <f ca="1">VLOOKUP(E3,Assemblies!B:F,4,0)</f>
        <v>#VALUE!</v>
      </c>
      <c r="D2" s="75" t="s">
        <v>3</v>
      </c>
      <c r="E2" s="76" t="e">
        <f ca="1">'GF12'!E2</f>
        <v>#VALUE!</v>
      </c>
      <c r="F2" s="77" t="s">
        <v>4</v>
      </c>
      <c r="G2" s="58" t="str">
        <f>'GF12'!G2</f>
        <v>GH</v>
      </c>
      <c r="H2" s="77" t="s">
        <v>6</v>
      </c>
      <c r="I2" s="59">
        <f>'GF12'!I2</f>
        <v>44775</v>
      </c>
      <c r="J2" s="39"/>
      <c r="K2" s="40" t="s">
        <v>49</v>
      </c>
      <c r="L2" s="41" t="e">
        <f ca="1">VLOOKUP(C2,Assemblies!E:G,3,0)</f>
        <v>#VALUE!</v>
      </c>
      <c r="M2" s="78"/>
      <c r="N2" s="78"/>
      <c r="O2" s="78"/>
      <c r="P2" s="86"/>
      <c r="Q2" s="92"/>
    </row>
    <row r="3" spans="1:18" s="55" customFormat="1" ht="12" customHeight="1" thickBot="1">
      <c r="A3" s="74" t="s">
        <v>7</v>
      </c>
      <c r="B3" s="58"/>
      <c r="C3" s="57" t="e">
        <f ca="1">VLOOKUP(E3,Assemblies!B:F,5,0)</f>
        <v>#VALUE!</v>
      </c>
      <c r="D3" s="75" t="s">
        <v>50</v>
      </c>
      <c r="E3" s="76" t="e">
        <f ca="1">MID(CELL("filename",A1),FIND("]",CELL("filename",A1))+1,256)</f>
        <v>#VALUE!</v>
      </c>
      <c r="F3" s="77" t="s">
        <v>11</v>
      </c>
      <c r="G3" s="58" t="str">
        <f>'GF12'!G3</f>
        <v>GH</v>
      </c>
      <c r="H3" s="77" t="s">
        <v>6</v>
      </c>
      <c r="I3" s="59">
        <f>'GF12'!I3</f>
        <v>44775</v>
      </c>
      <c r="J3" s="78"/>
      <c r="K3" s="78"/>
      <c r="L3" s="78"/>
      <c r="M3" s="78"/>
      <c r="N3" s="78"/>
      <c r="O3" s="78"/>
      <c r="P3" s="86"/>
      <c r="Q3" s="92"/>
    </row>
    <row r="4" spans="1:18" s="56" customFormat="1" ht="12.75" customHeight="1" thickBot="1">
      <c r="A4" s="80" t="s">
        <v>12</v>
      </c>
      <c r="B4" s="81" t="s">
        <v>13</v>
      </c>
      <c r="C4" s="81" t="s">
        <v>14</v>
      </c>
      <c r="D4" s="270" t="s">
        <v>15</v>
      </c>
      <c r="E4" s="271"/>
      <c r="F4" s="104" t="s">
        <v>16</v>
      </c>
      <c r="G4" s="81" t="s">
        <v>17</v>
      </c>
      <c r="H4" s="260" t="s">
        <v>18</v>
      </c>
      <c r="I4" s="261"/>
      <c r="J4" s="81" t="s">
        <v>51</v>
      </c>
      <c r="K4" s="81" t="s">
        <v>20</v>
      </c>
      <c r="L4" s="81" t="s">
        <v>21</v>
      </c>
      <c r="M4" s="81" t="s">
        <v>52</v>
      </c>
      <c r="N4" s="81" t="s">
        <v>22</v>
      </c>
      <c r="O4" s="81" t="s">
        <v>53</v>
      </c>
      <c r="P4" s="107" t="s">
        <v>26</v>
      </c>
      <c r="Q4" s="82" t="s">
        <v>27</v>
      </c>
    </row>
    <row r="5" spans="1:18" s="21" customFormat="1" ht="12.75" customHeight="1">
      <c r="A5" s="66" t="s">
        <v>54</v>
      </c>
      <c r="B5" s="1">
        <v>1</v>
      </c>
      <c r="C5" s="67" t="s">
        <v>1038</v>
      </c>
      <c r="D5" s="277" t="e">
        <f ca="1">VLOOKUP(C5,Assemblies!E:S,2,0)</f>
        <v>#N/A</v>
      </c>
      <c r="E5" s="278"/>
      <c r="F5" s="32"/>
      <c r="G5" s="32"/>
      <c r="H5" s="292"/>
      <c r="I5" s="293"/>
      <c r="J5" s="28"/>
      <c r="K5" s="28"/>
      <c r="L5" s="28"/>
      <c r="M5" s="28"/>
      <c r="N5" s="33"/>
      <c r="O5" s="46" t="e">
        <f t="shared" ref="O5:O9" ca="1" si="0">B5*$L$2</f>
        <v>#VALUE!</v>
      </c>
      <c r="P5" s="87">
        <f>'411'!Q19</f>
        <v>766.74613543333328</v>
      </c>
      <c r="Q5" s="93">
        <f t="shared" ref="Q5:Q9" si="1">B5*P5</f>
        <v>766.74613543333328</v>
      </c>
    </row>
    <row r="6" spans="1:18" s="21" customFormat="1" ht="12.75" customHeight="1">
      <c r="A6" s="66" t="s">
        <v>56</v>
      </c>
      <c r="B6" s="1">
        <v>1</v>
      </c>
      <c r="C6" s="67" t="s">
        <v>1039</v>
      </c>
      <c r="D6" s="277" t="e">
        <f ca="1">VLOOKUP(C6,Assemblies!E:S,2,0)</f>
        <v>#N/A</v>
      </c>
      <c r="E6" s="278"/>
      <c r="F6" s="32"/>
      <c r="G6" s="32"/>
      <c r="H6" s="292"/>
      <c r="I6" s="293"/>
      <c r="J6" s="28"/>
      <c r="K6" s="28"/>
      <c r="L6" s="28"/>
      <c r="M6" s="28"/>
      <c r="N6" s="33"/>
      <c r="O6" s="46" t="e">
        <f t="shared" ca="1" si="0"/>
        <v>#VALUE!</v>
      </c>
      <c r="P6" s="87">
        <f>'412'!Q26</f>
        <v>5976.7052000000003</v>
      </c>
      <c r="Q6" s="93">
        <f t="shared" si="1"/>
        <v>5976.7052000000003</v>
      </c>
    </row>
    <row r="7" spans="1:18" s="21" customFormat="1" ht="12.75" customHeight="1">
      <c r="A7" s="66" t="s">
        <v>58</v>
      </c>
      <c r="B7" s="1">
        <v>1</v>
      </c>
      <c r="C7" s="67" t="s">
        <v>1040</v>
      </c>
      <c r="D7" s="277" t="e">
        <f ca="1">VLOOKUP(C7,Assemblies!E:S,2,0)</f>
        <v>#N/A</v>
      </c>
      <c r="E7" s="278"/>
      <c r="F7" s="32"/>
      <c r="G7" s="32"/>
      <c r="H7" s="292"/>
      <c r="I7" s="293"/>
      <c r="J7" s="28"/>
      <c r="K7" s="28"/>
      <c r="L7" s="28"/>
      <c r="M7" s="28"/>
      <c r="N7" s="33"/>
      <c r="O7" s="46" t="e">
        <f t="shared" ca="1" si="0"/>
        <v>#VALUE!</v>
      </c>
      <c r="P7" s="87">
        <f>'413'!Q25</f>
        <v>1707.65</v>
      </c>
      <c r="Q7" s="93">
        <f t="shared" si="1"/>
        <v>1707.65</v>
      </c>
    </row>
    <row r="8" spans="1:18" s="21" customFormat="1" ht="12.75" customHeight="1">
      <c r="A8" s="66" t="s">
        <v>60</v>
      </c>
      <c r="B8" s="1">
        <v>2</v>
      </c>
      <c r="C8" s="67" t="s">
        <v>1041</v>
      </c>
      <c r="D8" s="277" t="e">
        <f ca="1">VLOOKUP(C8,Assemblies!E:S,2,0)</f>
        <v>#N/A</v>
      </c>
      <c r="E8" s="278"/>
      <c r="F8" s="32"/>
      <c r="G8" s="32"/>
      <c r="H8" s="292"/>
      <c r="I8" s="293"/>
      <c r="J8" s="28"/>
      <c r="K8" s="28"/>
      <c r="L8" s="28"/>
      <c r="M8" s="28"/>
      <c r="N8" s="33"/>
      <c r="O8" s="46" t="e">
        <f t="shared" ca="1" si="0"/>
        <v>#VALUE!</v>
      </c>
      <c r="P8" s="87">
        <f>'414'!Q19</f>
        <v>175.48000000000002</v>
      </c>
      <c r="Q8" s="93">
        <f t="shared" si="1"/>
        <v>350.96000000000004</v>
      </c>
    </row>
    <row r="9" spans="1:18" s="21" customFormat="1" ht="12.75" customHeight="1">
      <c r="A9" s="66" t="s">
        <v>62</v>
      </c>
      <c r="B9" s="1">
        <v>4</v>
      </c>
      <c r="C9" s="67" t="s">
        <v>1042</v>
      </c>
      <c r="D9" s="277" t="e">
        <f ca="1">VLOOKUP(C9,Assemblies!E:S,2,0)</f>
        <v>#N/A</v>
      </c>
      <c r="E9" s="278"/>
      <c r="F9" s="32"/>
      <c r="G9" s="32"/>
      <c r="H9" s="292"/>
      <c r="I9" s="293"/>
      <c r="J9" s="28"/>
      <c r="K9" s="28"/>
      <c r="L9" s="28"/>
      <c r="M9" s="28"/>
      <c r="N9" s="33"/>
      <c r="O9" s="46" t="e">
        <f t="shared" ca="1" si="0"/>
        <v>#VALUE!</v>
      </c>
      <c r="P9" s="87">
        <f>'415'!Q14</f>
        <v>323.68610000000001</v>
      </c>
      <c r="Q9" s="93">
        <f t="shared" si="1"/>
        <v>1294.7444</v>
      </c>
    </row>
    <row r="10" spans="1:18" s="21" customFormat="1" ht="12.75" customHeight="1">
      <c r="A10" s="66" t="s">
        <v>64</v>
      </c>
      <c r="B10" s="1">
        <v>1</v>
      </c>
      <c r="C10" s="67" t="s">
        <v>1043</v>
      </c>
      <c r="D10" s="277" t="e">
        <f ca="1">VLOOKUP(C10,Assemblies!E:S,2,0)</f>
        <v>#N/A</v>
      </c>
      <c r="E10" s="278"/>
      <c r="F10" s="32"/>
      <c r="G10" s="32"/>
      <c r="H10" s="292"/>
      <c r="I10" s="293"/>
      <c r="J10" s="28"/>
      <c r="K10" s="28"/>
      <c r="L10" s="28"/>
      <c r="M10" s="28"/>
      <c r="N10" s="33"/>
      <c r="O10" s="46" t="e">
        <f t="shared" ref="O10" ca="1" si="2">B10*$L$2</f>
        <v>#VALUE!</v>
      </c>
      <c r="P10" s="87">
        <f>'416'!Q15</f>
        <v>31.96</v>
      </c>
      <c r="Q10" s="93">
        <f t="shared" ref="Q10" si="3">B10*P10</f>
        <v>31.96</v>
      </c>
    </row>
    <row r="11" spans="1:18" s="21" customFormat="1" ht="12.75" customHeight="1">
      <c r="A11" s="25"/>
      <c r="B11" s="26"/>
      <c r="C11" s="26"/>
      <c r="D11" s="272"/>
      <c r="E11" s="273"/>
      <c r="F11" s="26"/>
      <c r="G11" s="26"/>
      <c r="H11" s="274"/>
      <c r="I11" s="275"/>
      <c r="J11" s="27"/>
      <c r="K11" s="27"/>
      <c r="L11" s="27"/>
      <c r="M11" s="28"/>
      <c r="N11" s="29"/>
      <c r="O11" s="29"/>
      <c r="P11" s="141"/>
      <c r="Q11" s="142"/>
      <c r="R11" s="20"/>
    </row>
    <row r="12" spans="1:18" s="2" customFormat="1" ht="12.75" customHeight="1">
      <c r="A12" s="127">
        <v>1</v>
      </c>
      <c r="B12" s="21">
        <v>2</v>
      </c>
      <c r="C12" s="108" t="s">
        <v>1044</v>
      </c>
      <c r="D12" s="277" t="str">
        <f>VLOOKUP(C12,Machined!C:Q,2,0)</f>
        <v>MODIFIED IGUS JFRM 2835TR16X4 LEAD NUT</v>
      </c>
      <c r="E12" s="278"/>
      <c r="F12" s="112" t="e">
        <f>VLOOKUP(C12,Purchased!A:Q,9,0)</f>
        <v>#N/A</v>
      </c>
      <c r="G12" s="112" t="e">
        <f>VLOOKUP(C12,Purchased!A:Q,10,0)</f>
        <v>#N/A</v>
      </c>
      <c r="H12" s="112" t="e">
        <f>VLOOKUP(C12,Purchased!A:Q,12,0)</f>
        <v>#N/A</v>
      </c>
      <c r="I12" s="113"/>
      <c r="J12" s="44" t="e">
        <f>VLOOKUP(C12,Purchased!A:Q,13,0)</f>
        <v>#N/A</v>
      </c>
      <c r="K12" s="44" t="e">
        <f>VLOOKUP(C12,Purchased!A:Q,16,0)</f>
        <v>#N/A</v>
      </c>
      <c r="L12" s="44" t="e">
        <f>VLOOKUP(C12,Purchased!A:Q,15,0)</f>
        <v>#N/A</v>
      </c>
      <c r="M12" s="44" t="e">
        <f>VLOOKUP(C12,Purchased!A:Q,16,0)</f>
        <v>#N/A</v>
      </c>
      <c r="N12" s="45" t="e">
        <f>VLOOKUP(C12,Purchased!A:Q,17,0)</f>
        <v>#N/A</v>
      </c>
      <c r="O12" s="43" t="e">
        <f t="shared" ref="O12" ca="1" si="4">B12*$L$2</f>
        <v>#VALUE!</v>
      </c>
      <c r="P12" s="47">
        <f>IFERROR(VLOOKUP(C12,Machined!C:F,3,0),"")</f>
        <v>26.56</v>
      </c>
      <c r="Q12" s="48">
        <f t="shared" ref="Q12" si="5">IFERROR(B12*P12,"")</f>
        <v>53.12</v>
      </c>
    </row>
    <row r="13" spans="1:18" s="2" customFormat="1" ht="12.75" customHeight="1">
      <c r="A13" s="143"/>
      <c r="B13" s="26"/>
      <c r="C13" s="26"/>
      <c r="D13" s="272"/>
      <c r="E13" s="273"/>
      <c r="F13" s="26"/>
      <c r="G13" s="26"/>
      <c r="H13" s="274"/>
      <c r="I13" s="275"/>
      <c r="J13" s="27"/>
      <c r="K13" s="27"/>
      <c r="L13" s="27"/>
      <c r="M13" s="28"/>
      <c r="N13" s="29"/>
      <c r="O13" s="29"/>
      <c r="P13" s="141"/>
      <c r="Q13" s="142"/>
    </row>
    <row r="14" spans="1:18" s="2" customFormat="1" ht="12.75" customHeight="1">
      <c r="A14" s="4">
        <v>301</v>
      </c>
      <c r="B14" s="2">
        <v>1</v>
      </c>
      <c r="C14" s="114" t="s">
        <v>1045</v>
      </c>
      <c r="D14" s="268" t="str">
        <f>VLOOKUP(C14,Purchased!A:B,2,0)</f>
        <v>IGUS Drylin Lead Screw Nut</v>
      </c>
      <c r="E14" s="269"/>
      <c r="F14" s="112" t="str">
        <f>VLOOKUP(C14,Purchased!A:Q,9,0)</f>
        <v>IGUS</v>
      </c>
      <c r="G14" s="112" t="str">
        <f>VLOOKUP(C14,Purchased!A:Q,10,0)</f>
        <v>IGUS</v>
      </c>
      <c r="H14" s="112" t="str">
        <f>VLOOKUP(C14,Purchased!A:Q,12,0)</f>
        <v xml:space="preserve"> </v>
      </c>
      <c r="I14" s="113"/>
      <c r="J14" s="44">
        <f>VLOOKUP(C14,Purchased!A:Q,13,0)</f>
        <v>45154</v>
      </c>
      <c r="K14" s="44">
        <f>VLOOKUP(C14,Purchased!A:Q,14,0)</f>
        <v>45161</v>
      </c>
      <c r="L14" s="44">
        <f>VLOOKUP(C14,Purchased!A:Q,15,0)</f>
        <v>45191</v>
      </c>
      <c r="M14" s="44">
        <f>VLOOKUP(C14,Purchased!A:Q,16,0)</f>
        <v>45208</v>
      </c>
      <c r="N14" s="45">
        <f>VLOOKUP(C14,Purchased!A:Q,17,0)</f>
        <v>55076</v>
      </c>
      <c r="O14" s="45" t="e">
        <f t="shared" ref="O14" ca="1" si="6">B14*$L$2</f>
        <v>#VALUE!</v>
      </c>
      <c r="P14" s="49">
        <f>IFERROR(VLOOKUP(C14,Purchased!A:E,3,FALSE),"")</f>
        <v>27.9</v>
      </c>
      <c r="Q14" s="50">
        <f t="shared" ref="Q14" si="7">IFERROR(B14*P14,"")</f>
        <v>27.9</v>
      </c>
    </row>
    <row r="15" spans="1:18" s="2" customFormat="1" ht="12.75" customHeight="1">
      <c r="A15" s="25"/>
      <c r="B15" s="26"/>
      <c r="C15" s="26"/>
      <c r="D15" s="272"/>
      <c r="E15" s="273"/>
      <c r="F15" s="26"/>
      <c r="G15" s="26"/>
      <c r="H15" s="274"/>
      <c r="I15" s="275"/>
      <c r="J15" s="27"/>
      <c r="K15" s="27"/>
      <c r="L15" s="27"/>
      <c r="M15" s="28"/>
      <c r="N15" s="29"/>
      <c r="O15" s="29" t="e">
        <f t="shared" ref="O15:O16" ca="1" si="8">B15*$L$2</f>
        <v>#VALUE!</v>
      </c>
      <c r="P15" s="141"/>
      <c r="Q15" s="142"/>
    </row>
    <row r="16" spans="1:18" s="2" customFormat="1" ht="12.75" customHeight="1">
      <c r="A16" s="4">
        <v>501</v>
      </c>
      <c r="B16" s="2">
        <v>18</v>
      </c>
      <c r="C16" s="110" t="s">
        <v>828</v>
      </c>
      <c r="D16" s="268"/>
      <c r="E16" s="276"/>
      <c r="F16" s="112" t="str">
        <f>VLOOKUP(C16,Bolts!A:L,5,0)</f>
        <v xml:space="preserve">  </v>
      </c>
      <c r="G16" s="112" t="str">
        <f>VLOOKUP(C16,Bolts!A:L,6,0)</f>
        <v>Monroe Fasteners</v>
      </c>
      <c r="H16" s="112" t="str">
        <f>VLOOKUP(C16,Bolts!A:L,7,0)</f>
        <v xml:space="preserve">  </v>
      </c>
      <c r="I16" s="112"/>
      <c r="J16" s="44" t="str">
        <f>VLOOKUP(C16,Bolts!A:L,8,0)</f>
        <v xml:space="preserve"> </v>
      </c>
      <c r="K16" s="44" t="str">
        <f>VLOOKUP(C16,Bolts!A:L,9,0)</f>
        <v xml:space="preserve"> </v>
      </c>
      <c r="L16" s="44" t="str">
        <f>VLOOKUP(C16,Bolts!A:L,10,0)</f>
        <v xml:space="preserve"> </v>
      </c>
      <c r="M16" s="44" t="str">
        <f>VLOOKUP(C16,Bolts!A:L,11,0)</f>
        <v xml:space="preserve"> </v>
      </c>
      <c r="N16" s="45" t="str">
        <f>VLOOKUP(C16,Bolts!A:L,12,0)</f>
        <v xml:space="preserve"> </v>
      </c>
      <c r="O16" s="45" t="e">
        <f t="shared" ca="1" si="8"/>
        <v>#VALUE!</v>
      </c>
      <c r="P16" s="49" t="str">
        <f>IFERROR(VLOOKUP(C16,Bolts!A:B,2,FALSE),"")</f>
        <v xml:space="preserve"> </v>
      </c>
      <c r="Q16" s="50" t="str">
        <f t="shared" ref="Q16" si="9">IFERROR(B16*P16,"")</f>
        <v/>
      </c>
    </row>
    <row r="17" spans="1:17" s="2" customFormat="1" ht="12.75" customHeight="1" thickBot="1">
      <c r="A17" s="4">
        <v>502</v>
      </c>
      <c r="B17" s="2">
        <v>18</v>
      </c>
      <c r="C17" s="110" t="s">
        <v>595</v>
      </c>
      <c r="D17" s="268"/>
      <c r="E17" s="276"/>
      <c r="F17" s="112" t="str">
        <f>VLOOKUP(C17,Bolts!A:L,5,0)</f>
        <v xml:space="preserve">  </v>
      </c>
      <c r="G17" s="112" t="str">
        <f>VLOOKUP(C17,Bolts!A:L,6,0)</f>
        <v>Monroe Fasteners</v>
      </c>
      <c r="H17" s="112" t="str">
        <f>VLOOKUP(C17,Bolts!A:L,7,0)</f>
        <v xml:space="preserve">  </v>
      </c>
      <c r="I17" s="112"/>
      <c r="J17" s="44" t="str">
        <f>VLOOKUP(C17,Bolts!A:L,8,0)</f>
        <v xml:space="preserve"> </v>
      </c>
      <c r="K17" s="44" t="str">
        <f>VLOOKUP(C17,Bolts!A:L,9,0)</f>
        <v xml:space="preserve"> </v>
      </c>
      <c r="L17" s="44" t="str">
        <f>VLOOKUP(C17,Bolts!A:L,10,0)</f>
        <v xml:space="preserve"> </v>
      </c>
      <c r="M17" s="44" t="str">
        <f>VLOOKUP(C17,Bolts!A:L,11,0)</f>
        <v xml:space="preserve"> </v>
      </c>
      <c r="N17" s="45" t="str">
        <f>VLOOKUP(C17,Bolts!A:L,12,0)</f>
        <v xml:space="preserve"> </v>
      </c>
      <c r="O17" s="45" t="e">
        <f ca="1">B17*$L$2</f>
        <v>#VALUE!</v>
      </c>
      <c r="P17" s="49" t="str">
        <f>IFERROR(VLOOKUP(C17,Bolts!A:B,2,FALSE),"")</f>
        <v xml:space="preserve"> </v>
      </c>
      <c r="Q17" s="50" t="str">
        <f>IFERROR(B17*P17,"")</f>
        <v/>
      </c>
    </row>
    <row r="18" spans="1:17" s="2" customFormat="1" ht="12.75" customHeight="1" thickBot="1">
      <c r="A18" s="34"/>
      <c r="B18" s="35"/>
      <c r="C18" s="35"/>
      <c r="D18" s="256"/>
      <c r="E18" s="257"/>
      <c r="F18" s="35"/>
      <c r="G18" s="35"/>
      <c r="H18" s="294"/>
      <c r="I18" s="295"/>
      <c r="J18" s="36"/>
      <c r="K18" s="36"/>
      <c r="L18" s="36"/>
      <c r="M18" s="37"/>
      <c r="N18" s="38"/>
      <c r="O18" s="38"/>
      <c r="P18" s="89" t="s">
        <v>43</v>
      </c>
      <c r="Q18" s="94">
        <f>SUM(Q5:Q17)</f>
        <v>10209.785735433332</v>
      </c>
    </row>
    <row r="19" spans="1:17" s="2" customFormat="1" ht="12" customHeight="1">
      <c r="D19" s="22"/>
      <c r="E19" s="22"/>
      <c r="J19" s="8"/>
      <c r="K19" s="8"/>
      <c r="L19" s="8"/>
      <c r="M19" s="8"/>
      <c r="N19" s="5"/>
      <c r="O19" s="5"/>
      <c r="P19" s="88"/>
      <c r="Q19" s="95"/>
    </row>
    <row r="20" spans="1:17" s="2" customFormat="1" ht="12" customHeight="1">
      <c r="D20" s="22"/>
      <c r="E20" s="22"/>
      <c r="J20" s="5"/>
      <c r="K20" s="5"/>
      <c r="L20" s="5"/>
      <c r="M20" s="5"/>
      <c r="N20" s="5"/>
      <c r="O20" s="5"/>
      <c r="P20" s="88"/>
      <c r="Q20" s="95"/>
    </row>
    <row r="21" spans="1:17" s="2" customFormat="1" ht="12" customHeight="1">
      <c r="D21" s="22"/>
      <c r="E21" s="22"/>
      <c r="J21" s="5"/>
      <c r="K21" s="5"/>
      <c r="L21" s="5"/>
      <c r="M21" s="5"/>
      <c r="N21" s="5"/>
      <c r="O21" s="5"/>
      <c r="P21" s="88"/>
      <c r="Q21" s="95"/>
    </row>
    <row r="22" spans="1:17" s="2" customFormat="1" ht="12" customHeight="1">
      <c r="D22" s="22"/>
      <c r="E22" s="22"/>
      <c r="J22" s="5"/>
      <c r="K22" s="5"/>
      <c r="L22" s="5"/>
      <c r="M22" s="5"/>
      <c r="N22" s="5"/>
      <c r="O22" s="5"/>
      <c r="P22" s="88"/>
      <c r="Q22" s="95"/>
    </row>
    <row r="23" spans="1:17" s="2" customFormat="1" ht="12" customHeight="1">
      <c r="D23" s="22"/>
      <c r="E23" s="22"/>
      <c r="J23" s="5"/>
      <c r="K23" s="5"/>
      <c r="L23" s="5"/>
      <c r="M23" s="5"/>
      <c r="N23" s="5"/>
      <c r="O23" s="5"/>
      <c r="P23" s="88"/>
      <c r="Q23" s="95"/>
    </row>
    <row r="24" spans="1:17" s="2" customFormat="1" ht="12" customHeight="1">
      <c r="D24" s="22"/>
      <c r="E24" s="22"/>
      <c r="J24" s="5"/>
      <c r="K24" s="5"/>
      <c r="L24" s="5"/>
      <c r="M24" s="5"/>
      <c r="N24" s="5"/>
      <c r="O24" s="5"/>
      <c r="P24" s="88"/>
      <c r="Q24" s="95"/>
    </row>
    <row r="25" spans="1:17" s="2" customFormat="1" ht="12" customHeight="1">
      <c r="D25" s="22"/>
      <c r="E25" s="22"/>
      <c r="J25" s="5"/>
      <c r="K25" s="5"/>
      <c r="L25" s="5"/>
      <c r="M25" s="5"/>
      <c r="N25" s="5"/>
      <c r="O25" s="5"/>
      <c r="P25" s="88"/>
      <c r="Q25" s="95"/>
    </row>
    <row r="26" spans="1:17" s="2" customFormat="1" ht="12" customHeight="1">
      <c r="D26" s="22"/>
      <c r="E26" s="22"/>
      <c r="J26" s="5"/>
      <c r="K26" s="5"/>
      <c r="L26" s="5"/>
      <c r="M26" s="5"/>
      <c r="N26" s="5"/>
      <c r="O26" s="5"/>
      <c r="P26" s="88"/>
      <c r="Q26" s="95"/>
    </row>
    <row r="27" spans="1:17" s="2" customFormat="1" ht="12" customHeight="1">
      <c r="D27" s="22"/>
      <c r="E27" s="22"/>
      <c r="J27" s="5"/>
      <c r="K27" s="5"/>
      <c r="L27" s="5"/>
      <c r="M27" s="5"/>
      <c r="N27" s="5"/>
      <c r="O27" s="5"/>
      <c r="P27" s="88"/>
      <c r="Q27" s="95"/>
    </row>
    <row r="28" spans="1:17" s="2" customFormat="1" ht="12" customHeight="1">
      <c r="D28" s="22"/>
      <c r="E28" s="22"/>
      <c r="J28" s="5"/>
      <c r="K28" s="5"/>
      <c r="L28" s="5"/>
      <c r="M28" s="5"/>
      <c r="N28" s="5"/>
      <c r="O28" s="5"/>
      <c r="P28" s="88"/>
      <c r="Q28" s="95"/>
    </row>
    <row r="29" spans="1:17" s="2" customFormat="1" ht="12" customHeight="1">
      <c r="D29" s="22"/>
      <c r="E29" s="22"/>
      <c r="J29" s="5"/>
      <c r="K29" s="5"/>
      <c r="L29" s="5"/>
      <c r="M29" s="5"/>
      <c r="N29" s="5"/>
      <c r="O29" s="5"/>
      <c r="P29" s="88"/>
      <c r="Q29" s="95"/>
    </row>
    <row r="30" spans="1:17" s="2" customFormat="1" ht="12" customHeight="1">
      <c r="D30" s="22"/>
      <c r="E30" s="22"/>
      <c r="J30" s="5"/>
      <c r="K30" s="5"/>
      <c r="L30" s="5"/>
      <c r="M30" s="5"/>
      <c r="N30" s="5"/>
      <c r="O30" s="5"/>
      <c r="P30" s="88"/>
      <c r="Q30" s="95"/>
    </row>
    <row r="31" spans="1:17" s="2" customFormat="1" ht="12" customHeight="1">
      <c r="D31" s="22"/>
      <c r="E31" s="22"/>
      <c r="J31" s="5"/>
      <c r="K31" s="5"/>
      <c r="L31" s="5"/>
      <c r="M31" s="5"/>
      <c r="N31" s="5"/>
      <c r="O31" s="5"/>
      <c r="P31" s="88"/>
      <c r="Q31" s="95"/>
    </row>
    <row r="32" spans="1:17" s="2" customFormat="1" ht="12" customHeight="1">
      <c r="D32" s="22"/>
      <c r="E32" s="22"/>
      <c r="J32" s="5"/>
      <c r="K32" s="5"/>
      <c r="L32" s="5"/>
      <c r="M32" s="5"/>
      <c r="N32" s="5"/>
      <c r="O32" s="5"/>
      <c r="P32" s="88"/>
      <c r="Q32" s="95"/>
    </row>
    <row r="33" spans="4:17" s="2" customFormat="1" ht="12" customHeight="1">
      <c r="D33" s="22"/>
      <c r="E33" s="22"/>
      <c r="J33" s="5"/>
      <c r="K33" s="5"/>
      <c r="L33" s="5"/>
      <c r="M33" s="5"/>
      <c r="N33" s="5"/>
      <c r="O33" s="5"/>
      <c r="P33" s="88"/>
      <c r="Q33" s="95"/>
    </row>
    <row r="34" spans="4:17" s="2" customFormat="1" ht="12" customHeight="1">
      <c r="D34" s="22"/>
      <c r="E34" s="22"/>
      <c r="J34" s="5"/>
      <c r="K34" s="5"/>
      <c r="L34" s="5"/>
      <c r="M34" s="5"/>
      <c r="N34" s="5"/>
      <c r="O34" s="5"/>
      <c r="P34" s="88"/>
      <c r="Q34" s="95"/>
    </row>
    <row r="35" spans="4:17" s="2" customFormat="1" ht="12" customHeight="1">
      <c r="D35" s="22"/>
      <c r="E35" s="22"/>
      <c r="J35" s="5"/>
      <c r="K35" s="5"/>
      <c r="L35" s="5"/>
      <c r="M35" s="5"/>
      <c r="N35" s="5"/>
      <c r="O35" s="5"/>
      <c r="P35" s="88"/>
      <c r="Q35" s="95"/>
    </row>
    <row r="36" spans="4:17" s="2" customFormat="1" ht="12" customHeight="1">
      <c r="D36" s="22"/>
      <c r="E36" s="22"/>
      <c r="J36" s="5"/>
      <c r="K36" s="5"/>
      <c r="L36" s="5"/>
      <c r="M36" s="5"/>
      <c r="N36" s="5"/>
      <c r="O36" s="5"/>
      <c r="P36" s="88"/>
      <c r="Q36" s="95"/>
    </row>
    <row r="37" spans="4:17" s="2" customFormat="1" ht="12" customHeight="1">
      <c r="D37" s="22"/>
      <c r="E37" s="22"/>
      <c r="J37" s="5"/>
      <c r="K37" s="5"/>
      <c r="L37" s="5"/>
      <c r="M37" s="5"/>
      <c r="N37" s="5"/>
      <c r="O37" s="5"/>
      <c r="P37" s="88"/>
      <c r="Q37" s="95"/>
    </row>
    <row r="38" spans="4:17" s="2" customFormat="1" ht="12" customHeight="1">
      <c r="D38" s="22"/>
      <c r="E38" s="22"/>
      <c r="J38" s="5"/>
      <c r="K38" s="5"/>
      <c r="L38" s="5"/>
      <c r="M38" s="5"/>
      <c r="N38" s="5"/>
      <c r="O38" s="5"/>
      <c r="P38" s="88"/>
      <c r="Q38" s="95"/>
    </row>
    <row r="39" spans="4:17" s="2" customFormat="1" ht="12" customHeight="1">
      <c r="D39" s="22"/>
      <c r="E39" s="22"/>
      <c r="J39" s="5"/>
      <c r="K39" s="5"/>
      <c r="L39" s="5"/>
      <c r="M39" s="5"/>
      <c r="N39" s="5"/>
      <c r="O39" s="5"/>
      <c r="P39" s="88"/>
      <c r="Q39" s="95"/>
    </row>
    <row r="40" spans="4:17" s="2" customFormat="1" ht="12" customHeight="1">
      <c r="D40" s="22"/>
      <c r="E40" s="22"/>
      <c r="J40" s="5"/>
      <c r="K40" s="5"/>
      <c r="L40" s="5"/>
      <c r="M40" s="5"/>
      <c r="N40" s="5"/>
      <c r="O40" s="5"/>
      <c r="P40" s="88"/>
      <c r="Q40" s="95"/>
    </row>
    <row r="41" spans="4:17" s="2" customFormat="1" ht="12" customHeight="1">
      <c r="D41" s="22"/>
      <c r="E41" s="22"/>
      <c r="J41" s="5"/>
      <c r="K41" s="5"/>
      <c r="L41" s="5"/>
      <c r="M41" s="5"/>
      <c r="N41" s="5"/>
      <c r="O41" s="5"/>
      <c r="P41" s="88"/>
      <c r="Q41" s="95"/>
    </row>
    <row r="42" spans="4:17" s="2" customFormat="1" ht="12" customHeight="1">
      <c r="D42" s="22"/>
      <c r="E42" s="22"/>
      <c r="J42" s="5"/>
      <c r="K42" s="5"/>
      <c r="L42" s="5"/>
      <c r="M42" s="5"/>
      <c r="N42" s="5"/>
      <c r="O42" s="5"/>
      <c r="P42" s="88"/>
      <c r="Q42" s="95"/>
    </row>
    <row r="43" spans="4:17" s="2" customFormat="1" ht="12" customHeight="1">
      <c r="D43" s="22"/>
      <c r="E43" s="22"/>
      <c r="J43" s="5"/>
      <c r="K43" s="5"/>
      <c r="L43" s="5"/>
      <c r="M43" s="5"/>
      <c r="N43" s="5"/>
      <c r="O43" s="5"/>
      <c r="P43" s="88"/>
      <c r="Q43" s="95"/>
    </row>
    <row r="44" spans="4:17" s="2" customFormat="1" ht="12" customHeight="1">
      <c r="D44" s="22"/>
      <c r="E44" s="22"/>
      <c r="J44" s="5"/>
      <c r="K44" s="5"/>
      <c r="L44" s="5"/>
      <c r="M44" s="5"/>
      <c r="N44" s="5"/>
      <c r="O44" s="5"/>
      <c r="P44" s="88"/>
      <c r="Q44" s="95"/>
    </row>
    <row r="45" spans="4:17" s="2" customFormat="1" ht="12" customHeight="1">
      <c r="D45" s="22"/>
      <c r="E45" s="22"/>
      <c r="J45" s="5"/>
      <c r="K45" s="5"/>
      <c r="L45" s="5"/>
      <c r="M45" s="5"/>
      <c r="N45" s="5"/>
      <c r="O45" s="5"/>
      <c r="P45" s="88"/>
      <c r="Q45" s="95"/>
    </row>
    <row r="46" spans="4:17" s="2" customFormat="1" ht="12" customHeight="1">
      <c r="D46" s="22"/>
      <c r="E46" s="22"/>
      <c r="J46" s="5"/>
      <c r="K46" s="5"/>
      <c r="L46" s="5"/>
      <c r="M46" s="5"/>
      <c r="N46" s="5"/>
      <c r="O46" s="5"/>
      <c r="P46" s="88"/>
      <c r="Q46" s="95"/>
    </row>
    <row r="47" spans="4:17" s="2" customFormat="1" ht="12" customHeight="1">
      <c r="D47" s="22"/>
      <c r="E47" s="22"/>
      <c r="J47" s="5"/>
      <c r="K47" s="5"/>
      <c r="L47" s="5"/>
      <c r="M47" s="5"/>
      <c r="N47" s="5"/>
      <c r="O47" s="5"/>
      <c r="P47" s="88"/>
      <c r="Q47" s="95"/>
    </row>
    <row r="48" spans="4:17" s="2" customFormat="1" ht="12" customHeight="1">
      <c r="D48" s="22"/>
      <c r="E48" s="22"/>
      <c r="J48" s="5"/>
      <c r="K48" s="5"/>
      <c r="L48" s="5"/>
      <c r="M48" s="5"/>
      <c r="N48" s="5"/>
      <c r="O48" s="5"/>
      <c r="P48" s="88"/>
      <c r="Q48" s="95"/>
    </row>
    <row r="49" spans="1:17" s="2" customFormat="1" ht="12" customHeight="1">
      <c r="D49" s="22"/>
      <c r="E49" s="22"/>
      <c r="J49" s="5"/>
      <c r="K49" s="5"/>
      <c r="L49" s="5"/>
      <c r="M49" s="5"/>
      <c r="N49" s="5"/>
      <c r="O49" s="5"/>
      <c r="P49" s="88"/>
      <c r="Q49" s="95"/>
    </row>
    <row r="50" spans="1:17" s="2" customFormat="1" ht="12" customHeight="1">
      <c r="D50" s="22"/>
      <c r="E50" s="22"/>
      <c r="J50" s="5"/>
      <c r="K50" s="5"/>
      <c r="L50" s="5"/>
      <c r="M50" s="5"/>
      <c r="N50" s="5"/>
      <c r="O50" s="5"/>
      <c r="P50" s="88"/>
      <c r="Q50" s="95"/>
    </row>
    <row r="51" spans="1:17" s="2" customFormat="1" ht="12" customHeight="1">
      <c r="D51" s="22"/>
      <c r="E51" s="22"/>
      <c r="J51" s="5"/>
      <c r="K51" s="5"/>
      <c r="L51" s="5"/>
      <c r="M51" s="5"/>
      <c r="N51" s="5"/>
      <c r="O51" s="5"/>
      <c r="P51" s="88"/>
      <c r="Q51" s="95"/>
    </row>
    <row r="52" spans="1:17" s="2" customFormat="1" ht="12" customHeight="1">
      <c r="D52" s="22"/>
      <c r="E52" s="22"/>
      <c r="J52" s="5"/>
      <c r="K52" s="5"/>
      <c r="L52" s="5"/>
      <c r="M52" s="5"/>
      <c r="N52" s="5"/>
      <c r="O52" s="5"/>
      <c r="P52" s="88"/>
      <c r="Q52" s="95"/>
    </row>
    <row r="53" spans="1:17" s="2" customFormat="1" ht="12" customHeight="1">
      <c r="D53" s="22"/>
      <c r="E53" s="22"/>
      <c r="J53" s="5"/>
      <c r="K53" s="5"/>
      <c r="L53" s="5"/>
      <c r="M53" s="5"/>
      <c r="N53" s="5"/>
      <c r="O53" s="5"/>
      <c r="P53" s="88"/>
      <c r="Q53" s="95"/>
    </row>
    <row r="54" spans="1:17" s="2" customFormat="1" ht="12" customHeight="1">
      <c r="D54" s="22"/>
      <c r="E54" s="22"/>
      <c r="J54" s="5"/>
      <c r="K54" s="5"/>
      <c r="L54" s="5"/>
      <c r="M54" s="5"/>
      <c r="N54" s="5"/>
      <c r="O54" s="5"/>
      <c r="P54" s="88"/>
      <c r="Q54" s="95"/>
    </row>
    <row r="55" spans="1:17" s="2" customFormat="1" ht="12" customHeight="1">
      <c r="D55" s="22"/>
      <c r="E55" s="22"/>
      <c r="J55" s="5"/>
      <c r="K55" s="5"/>
      <c r="L55" s="5"/>
      <c r="M55" s="5"/>
      <c r="N55" s="5"/>
      <c r="O55" s="5"/>
      <c r="P55" s="88"/>
      <c r="Q55" s="95"/>
    </row>
    <row r="56" spans="1:17" s="2" customFormat="1" ht="12" customHeight="1">
      <c r="D56" s="22"/>
      <c r="E56" s="22"/>
      <c r="J56" s="5"/>
      <c r="K56" s="5"/>
      <c r="L56" s="5"/>
      <c r="M56" s="5"/>
      <c r="N56" s="5"/>
      <c r="O56" s="5"/>
      <c r="P56" s="88"/>
      <c r="Q56" s="95"/>
    </row>
    <row r="57" spans="1:17" s="2" customFormat="1" ht="12" customHeight="1">
      <c r="D57" s="22"/>
      <c r="E57" s="22"/>
      <c r="J57" s="5"/>
      <c r="K57" s="5"/>
      <c r="L57" s="5"/>
      <c r="M57" s="5"/>
      <c r="N57" s="5"/>
      <c r="O57" s="5"/>
      <c r="P57" s="88"/>
      <c r="Q57" s="96"/>
    </row>
    <row r="58" spans="1:17" s="2" customFormat="1" ht="12" customHeight="1">
      <c r="D58" s="22"/>
      <c r="E58" s="22"/>
      <c r="J58" s="5"/>
      <c r="K58" s="5"/>
      <c r="L58" s="5"/>
      <c r="M58" s="5"/>
      <c r="N58" s="5"/>
      <c r="O58" s="5"/>
      <c r="P58" s="88"/>
      <c r="Q58" s="96"/>
    </row>
    <row r="59" spans="1:17" s="2" customFormat="1" ht="12" customHeight="1">
      <c r="D59" s="22"/>
      <c r="E59" s="22"/>
      <c r="J59" s="5"/>
      <c r="K59" s="5"/>
      <c r="L59" s="5"/>
      <c r="M59" s="5"/>
      <c r="N59" s="5"/>
      <c r="O59" s="5"/>
      <c r="P59" s="88"/>
      <c r="Q59" s="96"/>
    </row>
    <row r="60" spans="1:17" s="2" customFormat="1" ht="12" customHeight="1">
      <c r="D60" s="22"/>
      <c r="E60" s="22"/>
      <c r="J60" s="5"/>
      <c r="K60" s="5"/>
      <c r="L60" s="5"/>
      <c r="M60" s="5"/>
      <c r="N60" s="5"/>
      <c r="O60" s="5"/>
      <c r="P60" s="88"/>
      <c r="Q60" s="96"/>
    </row>
    <row r="61" spans="1:17" s="2" customFormat="1" ht="12" customHeight="1">
      <c r="A61"/>
      <c r="B61"/>
      <c r="C61"/>
      <c r="D61" s="23"/>
      <c r="E61" s="23"/>
      <c r="F61"/>
      <c r="G61"/>
      <c r="H61"/>
      <c r="I61"/>
      <c r="J61" s="19"/>
      <c r="K61" s="19"/>
      <c r="L61" s="19"/>
      <c r="M61" s="19"/>
      <c r="N61" s="19"/>
      <c r="O61" s="19"/>
      <c r="P61" s="90"/>
      <c r="Q61" s="96"/>
    </row>
    <row r="62" spans="1:17" s="2" customFormat="1" ht="12" customHeight="1">
      <c r="A62"/>
      <c r="B62"/>
      <c r="C62"/>
      <c r="D62" s="23"/>
      <c r="E62" s="23"/>
      <c r="F62"/>
      <c r="G62"/>
      <c r="H62"/>
      <c r="I62"/>
      <c r="J62" s="19"/>
      <c r="K62" s="19"/>
      <c r="L62" s="19"/>
      <c r="M62" s="19"/>
      <c r="N62" s="19"/>
      <c r="O62" s="19"/>
      <c r="P62" s="90"/>
      <c r="Q62" s="96"/>
    </row>
    <row r="63" spans="1:17" s="2" customFormat="1" ht="12" customHeight="1">
      <c r="A63"/>
      <c r="B63"/>
      <c r="C63"/>
      <c r="D63" s="23"/>
      <c r="E63" s="23"/>
      <c r="F63"/>
      <c r="G63"/>
      <c r="H63"/>
      <c r="I63"/>
      <c r="J63" s="19"/>
      <c r="K63" s="19"/>
      <c r="L63" s="19"/>
      <c r="M63" s="19"/>
      <c r="N63" s="19"/>
      <c r="O63" s="19"/>
      <c r="P63" s="90"/>
      <c r="Q63" s="96"/>
    </row>
    <row r="64" spans="1:17" s="2" customFormat="1" ht="12" customHeight="1">
      <c r="A64"/>
      <c r="B64"/>
      <c r="C64"/>
      <c r="D64" s="23"/>
      <c r="E64" s="23"/>
      <c r="F64"/>
      <c r="G64"/>
      <c r="H64"/>
      <c r="I64"/>
      <c r="J64" s="19"/>
      <c r="K64" s="19"/>
      <c r="L64" s="19"/>
      <c r="M64" s="19"/>
      <c r="N64" s="19"/>
      <c r="O64" s="19"/>
      <c r="P64" s="90"/>
      <c r="Q64" s="96"/>
    </row>
    <row r="65" spans="1:17" s="2" customFormat="1" ht="12" customHeight="1">
      <c r="A65"/>
      <c r="B65"/>
      <c r="C65"/>
      <c r="D65" s="23"/>
      <c r="E65" s="23"/>
      <c r="F65"/>
      <c r="G65"/>
      <c r="H65"/>
      <c r="I65"/>
      <c r="J65" s="19"/>
      <c r="K65" s="19"/>
      <c r="L65" s="19"/>
      <c r="M65" s="19"/>
      <c r="N65" s="19"/>
      <c r="O65" s="19"/>
      <c r="P65" s="90"/>
      <c r="Q65" s="96"/>
    </row>
    <row r="66" spans="1:17">
      <c r="Q66" s="96"/>
    </row>
    <row r="67" spans="1:17">
      <c r="Q67" s="96"/>
    </row>
    <row r="68" spans="1:17">
      <c r="Q68" s="96"/>
    </row>
    <row r="69" spans="1:17">
      <c r="Q69" s="96"/>
    </row>
    <row r="70" spans="1:17">
      <c r="Q70" s="96"/>
    </row>
    <row r="71" spans="1:17">
      <c r="Q71" s="96"/>
    </row>
    <row r="72" spans="1:17">
      <c r="Q72" s="96"/>
    </row>
    <row r="73" spans="1:17">
      <c r="Q73" s="96"/>
    </row>
    <row r="74" spans="1:17">
      <c r="Q74" s="96"/>
    </row>
    <row r="75" spans="1:17">
      <c r="Q75" s="96"/>
    </row>
    <row r="76" spans="1:17">
      <c r="Q76" s="96"/>
    </row>
    <row r="77" spans="1:17">
      <c r="Q77" s="96"/>
    </row>
    <row r="78" spans="1:17">
      <c r="Q78" s="96"/>
    </row>
    <row r="79" spans="1:17">
      <c r="Q79" s="96"/>
    </row>
    <row r="80" spans="1:17">
      <c r="Q80" s="96"/>
    </row>
    <row r="81" spans="17:17">
      <c r="Q81" s="96"/>
    </row>
    <row r="82" spans="17:17">
      <c r="Q82" s="96"/>
    </row>
    <row r="83" spans="17:17">
      <c r="Q83" s="96"/>
    </row>
    <row r="84" spans="17:17">
      <c r="Q84" s="96"/>
    </row>
    <row r="85" spans="17:17">
      <c r="Q85" s="96"/>
    </row>
    <row r="122" ht="12" customHeight="1"/>
    <row r="123" ht="12" customHeight="1"/>
    <row r="124" ht="12" customHeight="1"/>
    <row r="125" ht="12" customHeight="1"/>
    <row r="126" ht="12" customHeight="1"/>
    <row r="127" ht="12" customHeight="1"/>
    <row r="128" ht="12" customHeight="1"/>
    <row r="129" ht="12" customHeight="1"/>
    <row r="130" ht="12" customHeight="1"/>
    <row r="131" ht="12" customHeight="1"/>
    <row r="132" ht="12" customHeight="1"/>
    <row r="133" ht="12" customHeight="1"/>
    <row r="134" ht="12" customHeight="1"/>
    <row r="135" ht="12" customHeight="1"/>
    <row r="136" ht="12" customHeight="1"/>
    <row r="137" ht="12" customHeight="1"/>
    <row r="138" ht="12" customHeight="1"/>
    <row r="139" ht="12" customHeight="1"/>
    <row r="140" ht="12" customHeight="1"/>
    <row r="141" ht="12" customHeight="1"/>
    <row r="142" ht="12" customHeight="1"/>
    <row r="143" ht="12" customHeight="1"/>
    <row r="144" ht="12" customHeight="1"/>
    <row r="145" ht="12" customHeight="1"/>
    <row r="146" ht="12" customHeight="1"/>
    <row r="147" ht="12" customHeight="1"/>
    <row r="148" ht="12" customHeight="1"/>
    <row r="149" ht="12" customHeight="1"/>
    <row r="150" ht="12" customHeight="1"/>
    <row r="151" ht="12" customHeight="1"/>
    <row r="152" ht="12" customHeight="1"/>
    <row r="153" ht="12" customHeight="1"/>
    <row r="154" ht="12" customHeight="1"/>
    <row r="155" ht="12" customHeight="1"/>
    <row r="156" ht="12" customHeight="1"/>
    <row r="157" ht="12" customHeight="1"/>
    <row r="158" ht="12" customHeight="1"/>
    <row r="159" ht="12" customHeight="1"/>
    <row r="160" ht="12" customHeight="1"/>
    <row r="161" ht="12" customHeight="1"/>
    <row r="162" ht="12" customHeight="1"/>
    <row r="163" ht="12" customHeight="1"/>
    <row r="164" ht="12" customHeight="1"/>
    <row r="165" ht="12" customHeight="1"/>
    <row r="166" ht="12" customHeight="1"/>
    <row r="167" ht="12" customHeight="1"/>
    <row r="168" ht="12" customHeight="1"/>
    <row r="169" ht="12" customHeight="1"/>
    <row r="170" ht="12" customHeight="1"/>
    <row r="171" ht="12" customHeight="1"/>
  </sheetData>
  <mergeCells count="27">
    <mergeCell ref="D16:E16"/>
    <mergeCell ref="D18:E18"/>
    <mergeCell ref="H18:I18"/>
    <mergeCell ref="D13:E13"/>
    <mergeCell ref="H13:I13"/>
    <mergeCell ref="D14:E14"/>
    <mergeCell ref="D15:E15"/>
    <mergeCell ref="H15:I15"/>
    <mergeCell ref="D17:E17"/>
    <mergeCell ref="D6:E6"/>
    <mergeCell ref="H6:I6"/>
    <mergeCell ref="D12:E12"/>
    <mergeCell ref="D7:E7"/>
    <mergeCell ref="H7:I7"/>
    <mergeCell ref="D8:E8"/>
    <mergeCell ref="H8:I8"/>
    <mergeCell ref="D9:E9"/>
    <mergeCell ref="H9:I9"/>
    <mergeCell ref="D11:E11"/>
    <mergeCell ref="H11:I11"/>
    <mergeCell ref="D10:E10"/>
    <mergeCell ref="H10:I10"/>
    <mergeCell ref="D1:E1"/>
    <mergeCell ref="D4:E4"/>
    <mergeCell ref="H4:I4"/>
    <mergeCell ref="D5:E5"/>
    <mergeCell ref="H5:I5"/>
  </mergeCells>
  <conditionalFormatting sqref="M12 M14 M16:M17">
    <cfRule type="cellIs" dxfId="344" priority="7" stopIfTrue="1" operator="lessThanOrEqual">
      <formula>$L12</formula>
    </cfRule>
    <cfRule type="cellIs" dxfId="343" priority="8" operator="greaterThan">
      <formula>L12</formula>
    </cfRule>
  </conditionalFormatting>
  <pageMargins left="0.7" right="0.7" top="0.75" bottom="0.75" header="0.3" footer="0.3"/>
  <pageSetup paperSize="3" fitToHeight="0" orientation="landscape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 xr:uid="{F712BC36-D69E-435D-AEDB-B277383C80E2}">
          <x14:formula1>
            <xm:f>Bolts!$A:$A</xm:f>
          </x14:formula1>
          <xm:sqref>C16:C17</xm:sqref>
        </x14:dataValidation>
        <x14:dataValidation type="list" allowBlank="1" showInputMessage="1" showErrorMessage="1" xr:uid="{19119DAA-22FD-4A45-832B-8EC1655D945E}">
          <x14:formula1>
            <xm:f>Assemblies!$E:$E</xm:f>
          </x14:formula1>
          <xm:sqref>C5:C10</xm:sqref>
        </x14:dataValidation>
        <x14:dataValidation type="list" allowBlank="1" showInputMessage="1" showErrorMessage="1" xr:uid="{826D0578-A591-4CC3-BD3A-75C7C2045013}">
          <x14:formula1>
            <xm:f>Purchased!$A:$A</xm:f>
          </x14:formula1>
          <xm:sqref>C14</xm:sqref>
        </x14:dataValidation>
        <x14:dataValidation type="list" allowBlank="1" showInputMessage="1" showErrorMessage="1" xr:uid="{1015FBBE-2190-4577-9637-059FED74C619}">
          <x14:formula1>
            <xm:f>Machined!$C:$C</xm:f>
          </x14:formula1>
          <xm:sqref>C12</xm:sqref>
        </x14:dataValidation>
      </x14:dataValidations>
    </ext>
  </extLst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E48535-88E6-491C-B73E-C61B6F3B727A}">
  <sheetPr codeName="Sheet87">
    <tabColor theme="3" tint="0.79998168889431442"/>
    <pageSetUpPr fitToPage="1"/>
  </sheetPr>
  <dimension ref="A1:Q172"/>
  <sheetViews>
    <sheetView zoomScaleNormal="100" workbookViewId="0">
      <selection activeCell="D33" sqref="D33"/>
    </sheetView>
  </sheetViews>
  <sheetFormatPr defaultColWidth="9.140625" defaultRowHeight="15"/>
  <cols>
    <col min="1" max="1" width="5.7109375" customWidth="1"/>
    <col min="2" max="2" width="5.42578125" bestFit="1" customWidth="1"/>
    <col min="3" max="3" width="30.7109375" customWidth="1"/>
    <col min="4" max="5" width="20.7109375" style="23" customWidth="1"/>
    <col min="6" max="6" width="16.85546875" bestFit="1" customWidth="1"/>
    <col min="7" max="7" width="9.7109375" customWidth="1"/>
    <col min="8" max="8" width="8.7109375" customWidth="1"/>
    <col min="9" max="9" width="20.7109375" customWidth="1"/>
    <col min="10" max="13" width="11.7109375" style="19" customWidth="1"/>
    <col min="14" max="14" width="11.85546875" style="19" bestFit="1" customWidth="1"/>
    <col min="15" max="15" width="7.7109375" style="19" customWidth="1"/>
    <col min="16" max="16" width="10.7109375" style="90" customWidth="1"/>
    <col min="17" max="17" width="10.7109375" style="97" customWidth="1"/>
  </cols>
  <sheetData>
    <row r="1" spans="1:17" s="55" customFormat="1" ht="12" customHeight="1">
      <c r="A1" s="68" t="s">
        <v>0</v>
      </c>
      <c r="B1" s="69"/>
      <c r="C1" s="69"/>
      <c r="D1" s="262" t="s">
        <v>1</v>
      </c>
      <c r="E1" s="263"/>
      <c r="F1" s="70"/>
      <c r="G1" s="69"/>
      <c r="H1" s="70"/>
      <c r="I1" s="71"/>
      <c r="J1" s="72"/>
      <c r="K1" s="72"/>
      <c r="L1" s="72"/>
      <c r="M1" s="72"/>
      <c r="N1" s="72"/>
      <c r="O1" s="72"/>
      <c r="P1" s="85"/>
      <c r="Q1" s="91"/>
    </row>
    <row r="2" spans="1:17" s="55" customFormat="1" ht="12" customHeight="1">
      <c r="A2" s="74" t="s">
        <v>48</v>
      </c>
      <c r="B2" s="58"/>
      <c r="C2" s="57" t="e">
        <f ca="1">VLOOKUP(E3,Assemblies!B:F,4,0)</f>
        <v>#VALUE!</v>
      </c>
      <c r="D2" s="75" t="s">
        <v>3</v>
      </c>
      <c r="E2" s="76" t="e">
        <f ca="1">'GF12'!E2</f>
        <v>#VALUE!</v>
      </c>
      <c r="F2" s="77" t="s">
        <v>4</v>
      </c>
      <c r="G2" s="58" t="str">
        <f>'GF12'!G2</f>
        <v>GH</v>
      </c>
      <c r="H2" s="77" t="s">
        <v>6</v>
      </c>
      <c r="I2" s="59">
        <f>'GF12'!I2</f>
        <v>44775</v>
      </c>
      <c r="J2" s="39"/>
      <c r="K2" s="40" t="s">
        <v>49</v>
      </c>
      <c r="L2" s="41" t="e">
        <f ca="1">VLOOKUP(C2,Assemblies!E:G,3,0)</f>
        <v>#VALUE!</v>
      </c>
      <c r="M2" s="78"/>
      <c r="N2" s="78"/>
      <c r="O2" s="78"/>
      <c r="P2" s="86"/>
      <c r="Q2" s="92"/>
    </row>
    <row r="3" spans="1:17" s="55" customFormat="1" ht="12" customHeight="1" thickBot="1">
      <c r="A3" s="74" t="s">
        <v>7</v>
      </c>
      <c r="B3" s="58"/>
      <c r="C3" s="57" t="e">
        <f ca="1">VLOOKUP(E3,Assemblies!B:F,5,0)</f>
        <v>#VALUE!</v>
      </c>
      <c r="D3" s="75" t="s">
        <v>50</v>
      </c>
      <c r="E3" s="76" t="e">
        <f ca="1">MID(CELL("filename",A1),FIND("]",CELL("filename",A1))+1,256)</f>
        <v>#VALUE!</v>
      </c>
      <c r="F3" s="77" t="s">
        <v>11</v>
      </c>
      <c r="G3" s="58" t="str">
        <f>'GF12'!G3</f>
        <v>GH</v>
      </c>
      <c r="H3" s="77" t="s">
        <v>6</v>
      </c>
      <c r="I3" s="59">
        <f>'GF12'!I3</f>
        <v>44775</v>
      </c>
      <c r="J3" s="78"/>
      <c r="K3" s="78"/>
      <c r="L3" s="78"/>
      <c r="M3" s="78"/>
      <c r="N3" s="78"/>
      <c r="O3" s="78"/>
      <c r="P3" s="86"/>
      <c r="Q3" s="92"/>
    </row>
    <row r="4" spans="1:17" s="56" customFormat="1" ht="12.75" customHeight="1" thickBot="1">
      <c r="A4" s="80" t="s">
        <v>12</v>
      </c>
      <c r="B4" s="81" t="s">
        <v>13</v>
      </c>
      <c r="C4" s="81" t="s">
        <v>14</v>
      </c>
      <c r="D4" s="270" t="s">
        <v>15</v>
      </c>
      <c r="E4" s="271"/>
      <c r="F4" s="104" t="s">
        <v>16</v>
      </c>
      <c r="G4" s="81" t="s">
        <v>17</v>
      </c>
      <c r="H4" s="260" t="s">
        <v>18</v>
      </c>
      <c r="I4" s="261"/>
      <c r="J4" s="81" t="s">
        <v>51</v>
      </c>
      <c r="K4" s="81" t="s">
        <v>20</v>
      </c>
      <c r="L4" s="81" t="s">
        <v>21</v>
      </c>
      <c r="M4" s="81" t="s">
        <v>52</v>
      </c>
      <c r="N4" s="81" t="s">
        <v>22</v>
      </c>
      <c r="O4" s="81" t="s">
        <v>53</v>
      </c>
      <c r="P4" s="107" t="s">
        <v>26</v>
      </c>
      <c r="Q4" s="82" t="s">
        <v>27</v>
      </c>
    </row>
    <row r="5" spans="1:17" s="2" customFormat="1" ht="12.75" customHeight="1">
      <c r="A5" s="127">
        <v>1</v>
      </c>
      <c r="B5" s="21">
        <v>4</v>
      </c>
      <c r="C5" s="108" t="s">
        <v>1046</v>
      </c>
      <c r="D5" s="277" t="str">
        <f>VLOOKUP(C5,Machined!C:Q,2,0)</f>
        <v>LINEAR BEARING BLOCK</v>
      </c>
      <c r="E5" s="278"/>
      <c r="F5" s="131" t="str">
        <f>VLOOKUP(C5,Machined!C:R,7,0)</f>
        <v>6061-T6 Alum</v>
      </c>
      <c r="G5" s="131" t="str">
        <f>VLOOKUP(C5,Machined!C:R,10,0)</f>
        <v>FRONTIER</v>
      </c>
      <c r="H5" s="131" t="str">
        <f>VLOOKUP(C5,Machined!C:R,11,0)</f>
        <v xml:space="preserve">  </v>
      </c>
      <c r="I5" s="131"/>
      <c r="J5" s="42">
        <f>VLOOKUP(C5,Machined!C:R,12,0)</f>
        <v>45139</v>
      </c>
      <c r="K5" s="42">
        <f>VLOOKUP(C5,Machined!C:R,13,0)</f>
        <v>45140</v>
      </c>
      <c r="L5" s="42">
        <f>VLOOKUP(C5,Machined!C:R,14,0)</f>
        <v>45170</v>
      </c>
      <c r="M5" s="42">
        <f>VLOOKUP(C5,Machined!C:R,15,0)</f>
        <v>45170</v>
      </c>
      <c r="N5" s="43">
        <f>VLOOKUP(C5,Machined!C:R,16,0)</f>
        <v>55025</v>
      </c>
      <c r="O5" s="43" t="e">
        <f t="shared" ref="O5:O8" ca="1" si="0">B5*$L$2</f>
        <v>#VALUE!</v>
      </c>
      <c r="P5" s="47">
        <f>IFERROR(VLOOKUP(C5,Machined!C:F,3,0),"")</f>
        <v>0</v>
      </c>
      <c r="Q5" s="48">
        <f t="shared" ref="Q5:Q8" si="1">IFERROR(B5*P5,"")</f>
        <v>0</v>
      </c>
    </row>
    <row r="6" spans="1:17" s="2" customFormat="1" ht="12.75" customHeight="1">
      <c r="A6" s="127">
        <v>2</v>
      </c>
      <c r="B6" s="21">
        <v>1</v>
      </c>
      <c r="C6" s="108" t="s">
        <v>1047</v>
      </c>
      <c r="D6" s="277" t="str">
        <f>VLOOKUP(C6,Machined!C:Q,2,0)</f>
        <v>SIDE SEAL SIDE PLATE L</v>
      </c>
      <c r="E6" s="278"/>
      <c r="F6" s="131" t="str">
        <f>VLOOKUP(C6,Machined!C:R,7,0)</f>
        <v>6061-T6 Alum</v>
      </c>
      <c r="G6" s="131" t="str">
        <f>VLOOKUP(C6,Machined!C:R,10,0)</f>
        <v>BEMOX</v>
      </c>
      <c r="H6" s="131" t="str">
        <f>VLOOKUP(C6,Machined!C:R,11,0)</f>
        <v xml:space="preserve">  </v>
      </c>
      <c r="I6" s="131"/>
      <c r="J6" s="42">
        <f>VLOOKUP(C6,Machined!C:R,12,0)</f>
        <v>45142</v>
      </c>
      <c r="K6" s="42">
        <f>VLOOKUP(C6,Machined!C:R,13,0)</f>
        <v>45146</v>
      </c>
      <c r="L6" s="42">
        <f>VLOOKUP(C6,Machined!C:R,14,0)</f>
        <v>45170</v>
      </c>
      <c r="M6" s="42">
        <f>VLOOKUP(C6,Machined!C:R,15,0)</f>
        <v>45170</v>
      </c>
      <c r="N6" s="43">
        <f>VLOOKUP(C6,Machined!C:R,16,0)</f>
        <v>55041</v>
      </c>
      <c r="O6" s="43" t="e">
        <f t="shared" ca="1" si="0"/>
        <v>#VALUE!</v>
      </c>
      <c r="P6" s="47">
        <f>IFERROR(VLOOKUP(C6,Machined!C:F,3,0),"")</f>
        <v>183.17</v>
      </c>
      <c r="Q6" s="48">
        <f t="shared" si="1"/>
        <v>183.17</v>
      </c>
    </row>
    <row r="7" spans="1:17" s="2" customFormat="1" ht="12.75" customHeight="1">
      <c r="A7" s="127">
        <v>3</v>
      </c>
      <c r="B7" s="21">
        <v>1</v>
      </c>
      <c r="C7" s="108" t="s">
        <v>1048</v>
      </c>
      <c r="D7" s="277" t="str">
        <f>VLOOKUP(C7,Machined!C:Q,2,0)</f>
        <v>SIDE SEAL SIDE PLATE R</v>
      </c>
      <c r="E7" s="278"/>
      <c r="F7" s="131" t="str">
        <f>VLOOKUP(C7,Machined!C:R,7,0)</f>
        <v>6061-T6 Alum</v>
      </c>
      <c r="G7" s="131" t="str">
        <f>VLOOKUP(C7,Machined!C:R,10,0)</f>
        <v>BEMOX</v>
      </c>
      <c r="H7" s="131" t="str">
        <f>VLOOKUP(C7,Machined!C:R,11,0)</f>
        <v xml:space="preserve">  </v>
      </c>
      <c r="I7" s="131"/>
      <c r="J7" s="42">
        <f>VLOOKUP(C7,Machined!C:R,12,0)</f>
        <v>45142</v>
      </c>
      <c r="K7" s="42">
        <f>VLOOKUP(C7,Machined!C:R,13,0)</f>
        <v>45146</v>
      </c>
      <c r="L7" s="42">
        <f>VLOOKUP(C7,Machined!C:R,14,0)</f>
        <v>45170</v>
      </c>
      <c r="M7" s="42">
        <f>VLOOKUP(C7,Machined!C:R,15,0)</f>
        <v>45170</v>
      </c>
      <c r="N7" s="43">
        <f>VLOOKUP(C7,Machined!C:R,16,0)</f>
        <v>55041</v>
      </c>
      <c r="O7" s="43" t="e">
        <f t="shared" ca="1" si="0"/>
        <v>#VALUE!</v>
      </c>
      <c r="P7" s="47">
        <f>IFERROR(VLOOKUP(C7,Machined!C:F,3,0),"")</f>
        <v>183.17</v>
      </c>
      <c r="Q7" s="48">
        <f t="shared" si="1"/>
        <v>183.17</v>
      </c>
    </row>
    <row r="8" spans="1:17" s="2" customFormat="1" ht="12.75" customHeight="1">
      <c r="A8" s="127">
        <v>4</v>
      </c>
      <c r="B8" s="21">
        <v>1</v>
      </c>
      <c r="C8" s="108" t="s">
        <v>1049</v>
      </c>
      <c r="D8" s="277" t="str">
        <f>VLOOKUP(C8,Machined!C:Q,2,0)</f>
        <v>SIDE SEAL CASSETTE STRUT</v>
      </c>
      <c r="E8" s="278"/>
      <c r="F8" s="131" t="str">
        <f>VLOOKUP(C8,Machined!C:R,7,0)</f>
        <v>6061-T6 Alum</v>
      </c>
      <c r="G8" s="131" t="str">
        <f>VLOOKUP(C8,Machined!C:R,10,0)</f>
        <v>BEMOX</v>
      </c>
      <c r="H8" s="131" t="str">
        <f>VLOOKUP(C8,Machined!C:R,11,0)</f>
        <v xml:space="preserve">  </v>
      </c>
      <c r="I8" s="131"/>
      <c r="J8" s="42">
        <f>VLOOKUP(C8,Machined!C:R,12,0)</f>
        <v>45142</v>
      </c>
      <c r="K8" s="42">
        <f>VLOOKUP(C8,Machined!C:R,13,0)</f>
        <v>45146</v>
      </c>
      <c r="L8" s="42">
        <f>VLOOKUP(C8,Machined!C:R,14,0)</f>
        <v>45170</v>
      </c>
      <c r="M8" s="42">
        <f>VLOOKUP(C8,Machined!C:R,15,0)</f>
        <v>45170</v>
      </c>
      <c r="N8" s="43">
        <f>VLOOKUP(C8,Machined!C:R,16,0)</f>
        <v>55041</v>
      </c>
      <c r="O8" s="43" t="e">
        <f t="shared" ca="1" si="0"/>
        <v>#VALUE!</v>
      </c>
      <c r="P8" s="47">
        <f>IFERROR(VLOOKUP(C8,Machined!C:F,3,0),"")</f>
        <v>163.66999999999999</v>
      </c>
      <c r="Q8" s="48">
        <f t="shared" si="1"/>
        <v>163.66999999999999</v>
      </c>
    </row>
    <row r="9" spans="1:17" s="2" customFormat="1" ht="12.75" customHeight="1">
      <c r="A9" s="143"/>
      <c r="B9" s="26"/>
      <c r="C9" s="26"/>
      <c r="D9" s="272"/>
      <c r="E9" s="273"/>
      <c r="F9" s="26"/>
      <c r="G9" s="26"/>
      <c r="H9" s="274"/>
      <c r="I9" s="275"/>
      <c r="J9" s="27"/>
      <c r="K9" s="27"/>
      <c r="L9" s="27"/>
      <c r="M9" s="28"/>
      <c r="N9" s="29"/>
      <c r="O9" s="29"/>
      <c r="P9" s="141"/>
      <c r="Q9" s="142"/>
    </row>
    <row r="10" spans="1:17" s="2" customFormat="1" ht="12.75" customHeight="1">
      <c r="A10" s="4">
        <v>301</v>
      </c>
      <c r="B10" s="2">
        <v>4</v>
      </c>
      <c r="C10" s="114" t="s">
        <v>1050</v>
      </c>
      <c r="D10" s="268" t="str">
        <f>VLOOKUP(C10,Purchased!A:B,2,0)</f>
        <v>Nippon Linear Bearing, 30mm</v>
      </c>
      <c r="E10" s="269"/>
      <c r="F10" s="112" t="str">
        <f>VLOOKUP(C10,Purchased!A:Q,9,0)</f>
        <v>Nippon</v>
      </c>
      <c r="G10" s="112" t="str">
        <f>VLOOKUP(C10,Purchased!A:Q,10,0)</f>
        <v>MOTION</v>
      </c>
      <c r="H10" s="112" t="str">
        <f>VLOOKUP(C10,Purchased!A:Q,12,0)</f>
        <v xml:space="preserve"> </v>
      </c>
      <c r="I10" s="113"/>
      <c r="J10" s="44" t="str">
        <f>VLOOKUP(C10,Purchased!A:Q,13,0)</f>
        <v>N/A</v>
      </c>
      <c r="K10" s="44">
        <f>VLOOKUP(C10,Purchased!A:Q,14,0)</f>
        <v>45176</v>
      </c>
      <c r="L10" s="44">
        <f>VLOOKUP(C10,Purchased!A:Q,15,0)</f>
        <v>45190</v>
      </c>
      <c r="M10" s="44">
        <f>VLOOKUP(C10,Purchased!A:Q,16,0)</f>
        <v>45188</v>
      </c>
      <c r="N10" s="45">
        <f>VLOOKUP(C10,Purchased!A:Q,17,0)</f>
        <v>55130</v>
      </c>
      <c r="O10" s="45" t="e">
        <f t="shared" ref="O10:O11" ca="1" si="2">B10*$L$2</f>
        <v>#VALUE!</v>
      </c>
      <c r="P10" s="49">
        <f>IFERROR(VLOOKUP(C10,Purchased!A:E,3,FALSE),"")</f>
        <v>32.76</v>
      </c>
      <c r="Q10" s="50">
        <f t="shared" ref="Q10:Q11" si="3">IFERROR(B10*P10,"")</f>
        <v>131.04</v>
      </c>
    </row>
    <row r="11" spans="1:17" s="2" customFormat="1" ht="12" customHeight="1">
      <c r="A11" s="4">
        <f t="shared" ref="A11" si="4">A10+1</f>
        <v>302</v>
      </c>
      <c r="B11" s="2">
        <v>8</v>
      </c>
      <c r="C11" s="114" t="s">
        <v>1051</v>
      </c>
      <c r="D11" s="268" t="str">
        <f>VLOOKUP(C11,Purchased!A:B,2,0)</f>
        <v>External Retaining Ring Black-Phosphate Steel, for 47mm OD</v>
      </c>
      <c r="E11" s="269"/>
      <c r="F11" s="112" t="str">
        <f>VLOOKUP(C11,Purchased!A:Q,9,0)</f>
        <v>MCM</v>
      </c>
      <c r="G11" s="112" t="str">
        <f>VLOOKUP(C11,Purchased!A:Q,10,0)</f>
        <v>MCM</v>
      </c>
      <c r="H11" s="112" t="str">
        <f>VLOOKUP(C11,Purchased!A:Q,12,0)</f>
        <v xml:space="preserve"> </v>
      </c>
      <c r="I11" s="113"/>
      <c r="J11" s="44" t="str">
        <f>VLOOKUP(C11,Purchased!A:Q,13,0)</f>
        <v>N/A</v>
      </c>
      <c r="K11" s="44">
        <f>VLOOKUP(C11,Purchased!A:Q,14,0)</f>
        <v>45162</v>
      </c>
      <c r="L11" s="44">
        <f>VLOOKUP(C11,Purchased!A:Q,15,0)</f>
        <v>45184</v>
      </c>
      <c r="M11" s="44">
        <f>VLOOKUP(C11,Purchased!A:Q,16,0)</f>
        <v>45163</v>
      </c>
      <c r="N11" s="45">
        <f>VLOOKUP(C11,Purchased!A:Q,17,0)</f>
        <v>55089</v>
      </c>
      <c r="O11" s="45" t="e">
        <f t="shared" ca="1" si="2"/>
        <v>#VALUE!</v>
      </c>
      <c r="P11" s="49">
        <f>IFERROR(VLOOKUP(C11,Purchased!A:E,3,FALSE),"")</f>
        <v>4.2300000000000004</v>
      </c>
      <c r="Q11" s="50">
        <f t="shared" si="3"/>
        <v>33.840000000000003</v>
      </c>
    </row>
    <row r="12" spans="1:17" s="2" customFormat="1" ht="12.75" customHeight="1">
      <c r="A12" s="25"/>
      <c r="B12" s="26"/>
      <c r="C12" s="26"/>
      <c r="D12" s="272"/>
      <c r="E12" s="273"/>
      <c r="F12" s="26"/>
      <c r="G12" s="26"/>
      <c r="H12" s="274"/>
      <c r="I12" s="275"/>
      <c r="J12" s="27"/>
      <c r="K12" s="27"/>
      <c r="L12" s="27"/>
      <c r="M12" s="28"/>
      <c r="N12" s="29"/>
      <c r="O12" s="29" t="e">
        <f t="shared" ref="O12:O16" ca="1" si="5">B12*$L$2</f>
        <v>#VALUE!</v>
      </c>
      <c r="P12" s="141"/>
      <c r="Q12" s="142"/>
    </row>
    <row r="13" spans="1:17" s="2" customFormat="1" ht="12.75" customHeight="1">
      <c r="A13" s="4">
        <v>501</v>
      </c>
      <c r="B13" s="2">
        <v>4</v>
      </c>
      <c r="C13" s="110" t="s">
        <v>278</v>
      </c>
      <c r="D13" s="268"/>
      <c r="E13" s="276"/>
      <c r="F13" s="112" t="str">
        <f>VLOOKUP(C13,Bolts!A:L,5,0)</f>
        <v xml:space="preserve">  </v>
      </c>
      <c r="G13" s="112" t="str">
        <f>VLOOKUP(C13,Bolts!A:L,6,0)</f>
        <v>Monroe Fasteners</v>
      </c>
      <c r="H13" s="112" t="str">
        <f>VLOOKUP(C13,Bolts!A:L,7,0)</f>
        <v xml:space="preserve">  </v>
      </c>
      <c r="I13" s="112"/>
      <c r="J13" s="44" t="str">
        <f>VLOOKUP(C13,Bolts!A:L,8,0)</f>
        <v xml:space="preserve"> </v>
      </c>
      <c r="K13" s="44" t="str">
        <f>VLOOKUP(C13,Bolts!A:L,9,0)</f>
        <v xml:space="preserve"> </v>
      </c>
      <c r="L13" s="44" t="str">
        <f>VLOOKUP(C13,Bolts!A:L,10,0)</f>
        <v xml:space="preserve"> </v>
      </c>
      <c r="M13" s="44" t="str">
        <f>VLOOKUP(C13,Bolts!A:L,11,0)</f>
        <v xml:space="preserve"> </v>
      </c>
      <c r="N13" s="45" t="str">
        <f>VLOOKUP(C13,Bolts!A:L,12,0)</f>
        <v xml:space="preserve"> </v>
      </c>
      <c r="O13" s="45" t="e">
        <f t="shared" ca="1" si="5"/>
        <v>#VALUE!</v>
      </c>
      <c r="P13" s="49" t="str">
        <f>IFERROR(VLOOKUP(C13,Bolts!A:B,2,FALSE),"")</f>
        <v xml:space="preserve"> </v>
      </c>
      <c r="Q13" s="50" t="str">
        <f t="shared" ref="Q13:Q16" si="6">IFERROR(B13*P13,"")</f>
        <v/>
      </c>
    </row>
    <row r="14" spans="1:17" s="2" customFormat="1" ht="12.75" customHeight="1">
      <c r="A14" s="4">
        <f t="shared" ref="A14:A16" si="7">A13+1</f>
        <v>502</v>
      </c>
      <c r="B14" s="2">
        <v>4</v>
      </c>
      <c r="C14" s="110" t="s">
        <v>267</v>
      </c>
      <c r="D14" s="268"/>
      <c r="E14" s="276"/>
      <c r="F14" s="112" t="str">
        <f>VLOOKUP(C14,Bolts!A:L,5,0)</f>
        <v xml:space="preserve">  </v>
      </c>
      <c r="G14" s="112" t="str">
        <f>VLOOKUP(C14,Bolts!A:L,6,0)</f>
        <v>Monroe Fasteners</v>
      </c>
      <c r="H14" s="112" t="str">
        <f>VLOOKUP(C14,Bolts!A:L,7,0)</f>
        <v xml:space="preserve">  </v>
      </c>
      <c r="I14" s="112"/>
      <c r="J14" s="44" t="str">
        <f>VLOOKUP(C14,Bolts!A:L,8,0)</f>
        <v xml:space="preserve"> </v>
      </c>
      <c r="K14" s="44" t="str">
        <f>VLOOKUP(C14,Bolts!A:L,9,0)</f>
        <v xml:space="preserve"> </v>
      </c>
      <c r="L14" s="44" t="str">
        <f>VLOOKUP(C14,Bolts!A:L,10,0)</f>
        <v xml:space="preserve"> </v>
      </c>
      <c r="M14" s="44" t="str">
        <f>VLOOKUP(C14,Bolts!A:L,11,0)</f>
        <v xml:space="preserve"> </v>
      </c>
      <c r="N14" s="45" t="str">
        <f>VLOOKUP(C14,Bolts!A:L,12,0)</f>
        <v xml:space="preserve"> </v>
      </c>
      <c r="O14" s="45" t="e">
        <f t="shared" ca="1" si="5"/>
        <v>#VALUE!</v>
      </c>
      <c r="P14" s="49" t="str">
        <f>IFERROR(VLOOKUP(C14,Bolts!A:B,2,FALSE),"")</f>
        <v xml:space="preserve"> </v>
      </c>
      <c r="Q14" s="50" t="str">
        <f t="shared" si="6"/>
        <v/>
      </c>
    </row>
    <row r="15" spans="1:17" s="2" customFormat="1" ht="12" customHeight="1">
      <c r="A15" s="4">
        <f t="shared" si="7"/>
        <v>503</v>
      </c>
      <c r="B15" s="2">
        <v>8</v>
      </c>
      <c r="C15" s="110" t="s">
        <v>1052</v>
      </c>
      <c r="D15" s="268"/>
      <c r="E15" s="276"/>
      <c r="F15" s="112">
        <f>VLOOKUP(C15,Bolts!A:L,5,0)</f>
        <v>0</v>
      </c>
      <c r="G15" s="112">
        <f>VLOOKUP(C15,Bolts!A:L,6,0)</f>
        <v>0</v>
      </c>
      <c r="H15" s="112">
        <f>VLOOKUP(C15,Bolts!A:L,7,0)</f>
        <v>0</v>
      </c>
      <c r="I15" s="112"/>
      <c r="J15" s="44">
        <f>VLOOKUP(C15,Bolts!A:L,8,0)</f>
        <v>0</v>
      </c>
      <c r="K15" s="44">
        <f>VLOOKUP(C15,Bolts!A:L,9,0)</f>
        <v>0</v>
      </c>
      <c r="L15" s="44">
        <f>VLOOKUP(C15,Bolts!A:L,10,0)</f>
        <v>0</v>
      </c>
      <c r="M15" s="44">
        <f>VLOOKUP(C15,Bolts!A:L,11,0)</f>
        <v>0</v>
      </c>
      <c r="N15" s="45">
        <f>VLOOKUP(C15,Bolts!A:L,12,0)</f>
        <v>0</v>
      </c>
      <c r="O15" s="45" t="e">
        <f t="shared" ca="1" si="5"/>
        <v>#VALUE!</v>
      </c>
      <c r="P15" s="49">
        <f>IFERROR(VLOOKUP(C15,Bolts!A:B,2,FALSE),"")</f>
        <v>0</v>
      </c>
      <c r="Q15" s="50">
        <f t="shared" si="6"/>
        <v>0</v>
      </c>
    </row>
    <row r="16" spans="1:17" s="2" customFormat="1" ht="12" customHeight="1">
      <c r="A16" s="4">
        <f t="shared" si="7"/>
        <v>504</v>
      </c>
      <c r="B16" s="2">
        <v>8</v>
      </c>
      <c r="C16" s="110" t="s">
        <v>1053</v>
      </c>
      <c r="D16" s="268"/>
      <c r="E16" s="276"/>
      <c r="F16" s="112" t="str">
        <f>VLOOKUP(C16,Bolts!A:L,5,0)</f>
        <v xml:space="preserve">  </v>
      </c>
      <c r="G16" s="112" t="str">
        <f>VLOOKUP(C16,Bolts!A:L,6,0)</f>
        <v>Monroe Fasteners</v>
      </c>
      <c r="H16" s="112" t="str">
        <f>VLOOKUP(C16,Bolts!A:L,7,0)</f>
        <v xml:space="preserve">  </v>
      </c>
      <c r="I16" s="112"/>
      <c r="J16" s="44" t="str">
        <f>VLOOKUP(C16,Bolts!A:L,8,0)</f>
        <v xml:space="preserve"> </v>
      </c>
      <c r="K16" s="44" t="str">
        <f>VLOOKUP(C16,Bolts!A:L,9,0)</f>
        <v xml:space="preserve"> </v>
      </c>
      <c r="L16" s="44" t="str">
        <f>VLOOKUP(C16,Bolts!A:L,10,0)</f>
        <v xml:space="preserve"> </v>
      </c>
      <c r="M16" s="44" t="str">
        <f>VLOOKUP(C16,Bolts!A:L,11,0)</f>
        <v xml:space="preserve"> </v>
      </c>
      <c r="N16" s="45" t="str">
        <f>VLOOKUP(C16,Bolts!A:L,12,0)</f>
        <v xml:space="preserve"> </v>
      </c>
      <c r="O16" s="45" t="e">
        <f t="shared" ca="1" si="5"/>
        <v>#VALUE!</v>
      </c>
      <c r="P16" s="49" t="str">
        <f>IFERROR(VLOOKUP(C16,Bolts!A:B,2,FALSE),"")</f>
        <v xml:space="preserve"> </v>
      </c>
      <c r="Q16" s="50" t="str">
        <f t="shared" si="6"/>
        <v/>
      </c>
    </row>
    <row r="17" spans="1:17" s="2" customFormat="1" ht="12.75" customHeight="1">
      <c r="A17" s="25"/>
      <c r="B17" s="26"/>
      <c r="C17" s="26"/>
      <c r="D17" s="272"/>
      <c r="E17" s="273"/>
      <c r="F17" s="26"/>
      <c r="G17" s="26"/>
      <c r="H17" s="274"/>
      <c r="I17" s="275"/>
      <c r="J17" s="27"/>
      <c r="K17" s="27"/>
      <c r="L17" s="27"/>
      <c r="M17" s="28"/>
      <c r="N17" s="29"/>
      <c r="O17" s="29"/>
      <c r="P17" s="141"/>
      <c r="Q17" s="142"/>
    </row>
    <row r="18" spans="1:17" s="2" customFormat="1" ht="12.75" customHeight="1" thickBot="1">
      <c r="A18" s="4">
        <v>701</v>
      </c>
      <c r="B18" s="2">
        <v>1</v>
      </c>
      <c r="C18" s="111" t="s">
        <v>1054</v>
      </c>
      <c r="D18" s="268" t="str">
        <f>VLOOKUP(C18,Extrusion!B:C,2,0)</f>
        <v>Assy .411</v>
      </c>
      <c r="E18" s="269"/>
      <c r="F18" s="112" t="str">
        <f>VLOOKUP(C18,Extrusion!B:M,6,0)</f>
        <v>BOSCH</v>
      </c>
      <c r="G18" s="112" t="str">
        <f>VLOOKUP(C18,Extrusion!B:M,7,0)</f>
        <v>NULINE</v>
      </c>
      <c r="H18" s="112" t="str">
        <f>VLOOKUP(C18,Extrusion!B:M,8,0)</f>
        <v xml:space="preserve"> </v>
      </c>
      <c r="I18" s="113"/>
      <c r="J18" s="44" t="str">
        <f>VLOOKUP(C18,Extrusion!B:M,9,0)</f>
        <v>N/A</v>
      </c>
      <c r="K18" s="44">
        <f>VLOOKUP(C18,Extrusion!B:M,10,0)</f>
        <v>44894</v>
      </c>
      <c r="L18" s="44">
        <f>VLOOKUP(C18,Extrusion!B:M,11,0)</f>
        <v>44970</v>
      </c>
      <c r="M18" s="44">
        <f>VLOOKUP(C18,Extrusion!B:M,12,0)</f>
        <v>44970</v>
      </c>
      <c r="N18" s="45">
        <f>VLOOKUP(C18,Extrusion!B:N,13,0)</f>
        <v>54598</v>
      </c>
      <c r="O18" s="45" t="e">
        <f t="shared" ref="O18" ca="1" si="8">B18*$L$2</f>
        <v>#VALUE!</v>
      </c>
      <c r="P18" s="49">
        <f>IFERROR(VLOOKUP(C18,Extrusion!B:F,5,0),"")</f>
        <v>71.856135433333336</v>
      </c>
      <c r="Q18" s="50">
        <f t="shared" ref="Q18" si="9">IFERROR(B18*P18,"")</f>
        <v>71.856135433333336</v>
      </c>
    </row>
    <row r="19" spans="1:17" s="2" customFormat="1" ht="12.75" customHeight="1" thickBot="1">
      <c r="A19" s="34"/>
      <c r="B19" s="35"/>
      <c r="C19" s="35"/>
      <c r="D19" s="256"/>
      <c r="E19" s="257"/>
      <c r="F19" s="35"/>
      <c r="G19" s="35"/>
      <c r="H19" s="294"/>
      <c r="I19" s="295"/>
      <c r="J19" s="36"/>
      <c r="K19" s="36"/>
      <c r="L19" s="36"/>
      <c r="M19" s="37"/>
      <c r="N19" s="38"/>
      <c r="O19" s="38"/>
      <c r="P19" s="89" t="s">
        <v>43</v>
      </c>
      <c r="Q19" s="94">
        <f>SUM(Q5:Q18)</f>
        <v>766.74613543333328</v>
      </c>
    </row>
    <row r="20" spans="1:17" s="2" customFormat="1" ht="12" customHeight="1">
      <c r="D20" s="22"/>
      <c r="E20" s="22"/>
      <c r="J20" s="8"/>
      <c r="K20" s="8"/>
      <c r="L20" s="8"/>
      <c r="M20" s="8"/>
      <c r="N20" s="5"/>
      <c r="O20" s="5"/>
      <c r="P20" s="88"/>
      <c r="Q20" s="95"/>
    </row>
    <row r="21" spans="1:17" s="2" customFormat="1" ht="12" customHeight="1">
      <c r="D21" s="22"/>
      <c r="E21" s="22"/>
      <c r="J21" s="5"/>
      <c r="K21" s="5"/>
      <c r="L21" s="5"/>
      <c r="M21" s="5"/>
      <c r="N21" s="5"/>
      <c r="O21" s="5"/>
      <c r="P21" s="88"/>
      <c r="Q21" s="95"/>
    </row>
    <row r="22" spans="1:17" s="2" customFormat="1" ht="12" customHeight="1">
      <c r="D22" s="22"/>
      <c r="E22" s="22"/>
      <c r="J22" s="5"/>
      <c r="K22" s="5"/>
      <c r="L22" s="5"/>
      <c r="M22" s="5"/>
      <c r="N22" s="5"/>
      <c r="O22" s="5"/>
      <c r="P22" s="88"/>
      <c r="Q22" s="95"/>
    </row>
    <row r="23" spans="1:17" s="2" customFormat="1" ht="12" customHeight="1">
      <c r="D23" s="22"/>
      <c r="E23" s="22"/>
      <c r="J23" s="5"/>
      <c r="K23" s="5"/>
      <c r="L23" s="5"/>
      <c r="M23" s="5"/>
      <c r="N23" s="5"/>
      <c r="O23" s="5"/>
      <c r="P23" s="88"/>
      <c r="Q23" s="95"/>
    </row>
    <row r="24" spans="1:17" s="2" customFormat="1" ht="12" customHeight="1">
      <c r="D24" s="22"/>
      <c r="E24" s="22"/>
      <c r="J24" s="5"/>
      <c r="K24" s="5"/>
      <c r="L24" s="5"/>
      <c r="M24" s="5"/>
      <c r="N24" s="5"/>
      <c r="O24" s="5"/>
      <c r="P24" s="88"/>
      <c r="Q24" s="95"/>
    </row>
    <row r="25" spans="1:17" s="2" customFormat="1" ht="12" customHeight="1">
      <c r="D25" s="22"/>
      <c r="E25" s="22"/>
      <c r="J25" s="5"/>
      <c r="K25" s="5"/>
      <c r="L25" s="5"/>
      <c r="M25" s="5"/>
      <c r="N25" s="5"/>
      <c r="O25" s="5"/>
      <c r="P25" s="88"/>
      <c r="Q25" s="95"/>
    </row>
    <row r="26" spans="1:17" s="2" customFormat="1" ht="12" customHeight="1">
      <c r="D26" s="22"/>
      <c r="E26" s="22"/>
      <c r="J26" s="5"/>
      <c r="K26" s="5"/>
      <c r="L26" s="5"/>
      <c r="M26" s="5"/>
      <c r="N26" s="5"/>
      <c r="O26" s="5"/>
      <c r="P26" s="88"/>
      <c r="Q26" s="95"/>
    </row>
    <row r="27" spans="1:17" s="2" customFormat="1" ht="12" customHeight="1">
      <c r="D27" s="22"/>
      <c r="E27" s="22"/>
      <c r="J27" s="5"/>
      <c r="K27" s="5"/>
      <c r="L27" s="5"/>
      <c r="M27" s="5"/>
      <c r="N27" s="5"/>
      <c r="O27" s="5"/>
      <c r="P27" s="88"/>
      <c r="Q27" s="95"/>
    </row>
    <row r="28" spans="1:17" s="2" customFormat="1" ht="12" customHeight="1">
      <c r="D28" s="22"/>
      <c r="E28" s="22"/>
      <c r="J28" s="5"/>
      <c r="K28" s="5"/>
      <c r="L28" s="5"/>
      <c r="M28" s="5"/>
      <c r="N28" s="5"/>
      <c r="O28" s="5"/>
      <c r="P28" s="88"/>
      <c r="Q28" s="95"/>
    </row>
    <row r="29" spans="1:17" s="2" customFormat="1" ht="12" customHeight="1">
      <c r="D29" s="22"/>
      <c r="E29" s="22"/>
      <c r="J29" s="5"/>
      <c r="K29" s="5"/>
      <c r="L29" s="5"/>
      <c r="M29" s="5"/>
      <c r="N29" s="5"/>
      <c r="O29" s="5"/>
      <c r="P29" s="88"/>
      <c r="Q29" s="95"/>
    </row>
    <row r="30" spans="1:17" s="2" customFormat="1" ht="12" customHeight="1">
      <c r="D30" s="22"/>
      <c r="E30" s="22"/>
      <c r="J30" s="5"/>
      <c r="K30" s="5"/>
      <c r="L30" s="5"/>
      <c r="M30" s="5"/>
      <c r="N30" s="5"/>
      <c r="O30" s="5"/>
      <c r="P30" s="88"/>
      <c r="Q30" s="95"/>
    </row>
    <row r="31" spans="1:17" s="2" customFormat="1" ht="12" customHeight="1">
      <c r="D31" s="22"/>
      <c r="E31" s="22"/>
      <c r="J31" s="5"/>
      <c r="K31" s="5"/>
      <c r="L31" s="5"/>
      <c r="M31" s="5"/>
      <c r="N31" s="5"/>
      <c r="O31" s="5"/>
      <c r="P31" s="88"/>
      <c r="Q31" s="95"/>
    </row>
    <row r="32" spans="1:17" s="2" customFormat="1" ht="12" customHeight="1">
      <c r="D32" s="22"/>
      <c r="E32" s="22"/>
      <c r="J32" s="5"/>
      <c r="K32" s="5"/>
      <c r="L32" s="5"/>
      <c r="M32" s="5"/>
      <c r="N32" s="5"/>
      <c r="O32" s="5"/>
      <c r="P32" s="88"/>
      <c r="Q32" s="95"/>
    </row>
    <row r="33" spans="4:17" s="2" customFormat="1" ht="12" customHeight="1">
      <c r="D33" s="22"/>
      <c r="E33" s="22"/>
      <c r="J33" s="5"/>
      <c r="K33" s="5"/>
      <c r="L33" s="5"/>
      <c r="M33" s="5"/>
      <c r="N33" s="5"/>
      <c r="O33" s="5"/>
      <c r="P33" s="88"/>
      <c r="Q33" s="95"/>
    </row>
    <row r="34" spans="4:17" s="2" customFormat="1" ht="12" customHeight="1">
      <c r="D34" s="22"/>
      <c r="E34" s="22"/>
      <c r="J34" s="5"/>
      <c r="K34" s="5"/>
      <c r="L34" s="5"/>
      <c r="M34" s="5"/>
      <c r="N34" s="5"/>
      <c r="O34" s="5"/>
      <c r="P34" s="88"/>
      <c r="Q34" s="95"/>
    </row>
    <row r="35" spans="4:17" s="2" customFormat="1" ht="12" customHeight="1">
      <c r="D35" s="22"/>
      <c r="E35" s="22"/>
      <c r="J35" s="5"/>
      <c r="K35" s="5"/>
      <c r="L35" s="5"/>
      <c r="M35" s="5"/>
      <c r="N35" s="5"/>
      <c r="O35" s="5"/>
      <c r="P35" s="88"/>
      <c r="Q35" s="95"/>
    </row>
    <row r="36" spans="4:17" s="2" customFormat="1" ht="12" customHeight="1">
      <c r="D36" s="22"/>
      <c r="E36" s="22"/>
      <c r="J36" s="5"/>
      <c r="K36" s="5"/>
      <c r="L36" s="5"/>
      <c r="M36" s="5"/>
      <c r="N36" s="5"/>
      <c r="O36" s="5"/>
      <c r="P36" s="88"/>
      <c r="Q36" s="95"/>
    </row>
    <row r="37" spans="4:17" s="2" customFormat="1" ht="12" customHeight="1">
      <c r="D37" s="22"/>
      <c r="E37" s="22"/>
      <c r="J37" s="5"/>
      <c r="K37" s="5"/>
      <c r="L37" s="5"/>
      <c r="M37" s="5"/>
      <c r="N37" s="5"/>
      <c r="O37" s="5"/>
      <c r="P37" s="88"/>
      <c r="Q37" s="95"/>
    </row>
    <row r="38" spans="4:17" s="2" customFormat="1" ht="12" customHeight="1">
      <c r="D38" s="22"/>
      <c r="E38" s="22"/>
      <c r="J38" s="5"/>
      <c r="K38" s="5"/>
      <c r="L38" s="5"/>
      <c r="M38" s="5"/>
      <c r="N38" s="5"/>
      <c r="O38" s="5"/>
      <c r="P38" s="88"/>
      <c r="Q38" s="95"/>
    </row>
    <row r="39" spans="4:17" s="2" customFormat="1" ht="12" customHeight="1">
      <c r="D39" s="22"/>
      <c r="E39" s="22"/>
      <c r="J39" s="5"/>
      <c r="K39" s="5"/>
      <c r="L39" s="5"/>
      <c r="M39" s="5"/>
      <c r="N39" s="5"/>
      <c r="O39" s="5"/>
      <c r="P39" s="88"/>
      <c r="Q39" s="95"/>
    </row>
    <row r="40" spans="4:17" s="2" customFormat="1" ht="12" customHeight="1">
      <c r="D40" s="22"/>
      <c r="E40" s="22"/>
      <c r="J40" s="5"/>
      <c r="K40" s="5"/>
      <c r="L40" s="5"/>
      <c r="M40" s="5"/>
      <c r="N40" s="5"/>
      <c r="O40" s="5"/>
      <c r="P40" s="88"/>
      <c r="Q40" s="95"/>
    </row>
    <row r="41" spans="4:17" s="2" customFormat="1" ht="12" customHeight="1">
      <c r="D41" s="22"/>
      <c r="E41" s="22"/>
      <c r="J41" s="5"/>
      <c r="K41" s="5"/>
      <c r="L41" s="5"/>
      <c r="M41" s="5"/>
      <c r="N41" s="5"/>
      <c r="O41" s="5"/>
      <c r="P41" s="88"/>
      <c r="Q41" s="95"/>
    </row>
    <row r="42" spans="4:17" s="2" customFormat="1" ht="12" customHeight="1">
      <c r="D42" s="22"/>
      <c r="E42" s="22"/>
      <c r="J42" s="5"/>
      <c r="K42" s="5"/>
      <c r="L42" s="5"/>
      <c r="M42" s="5"/>
      <c r="N42" s="5"/>
      <c r="O42" s="5"/>
      <c r="P42" s="88"/>
      <c r="Q42" s="95"/>
    </row>
    <row r="43" spans="4:17" s="2" customFormat="1" ht="12" customHeight="1">
      <c r="D43" s="22"/>
      <c r="E43" s="22"/>
      <c r="J43" s="5"/>
      <c r="K43" s="5"/>
      <c r="L43" s="5"/>
      <c r="M43" s="5"/>
      <c r="N43" s="5"/>
      <c r="O43" s="5"/>
      <c r="P43" s="88"/>
      <c r="Q43" s="95"/>
    </row>
    <row r="44" spans="4:17" s="2" customFormat="1" ht="12" customHeight="1">
      <c r="D44" s="22"/>
      <c r="E44" s="22"/>
      <c r="J44" s="5"/>
      <c r="K44" s="5"/>
      <c r="L44" s="5"/>
      <c r="M44" s="5"/>
      <c r="N44" s="5"/>
      <c r="O44" s="5"/>
      <c r="P44" s="88"/>
      <c r="Q44" s="95"/>
    </row>
    <row r="45" spans="4:17" s="2" customFormat="1" ht="12" customHeight="1">
      <c r="D45" s="22"/>
      <c r="E45" s="22"/>
      <c r="J45" s="5"/>
      <c r="K45" s="5"/>
      <c r="L45" s="5"/>
      <c r="M45" s="5"/>
      <c r="N45" s="5"/>
      <c r="O45" s="5"/>
      <c r="P45" s="88"/>
      <c r="Q45" s="95"/>
    </row>
    <row r="46" spans="4:17" s="2" customFormat="1" ht="12" customHeight="1">
      <c r="D46" s="22"/>
      <c r="E46" s="22"/>
      <c r="J46" s="5"/>
      <c r="K46" s="5"/>
      <c r="L46" s="5"/>
      <c r="M46" s="5"/>
      <c r="N46" s="5"/>
      <c r="O46" s="5"/>
      <c r="P46" s="88"/>
      <c r="Q46" s="95"/>
    </row>
    <row r="47" spans="4:17" s="2" customFormat="1" ht="12" customHeight="1">
      <c r="D47" s="22"/>
      <c r="E47" s="22"/>
      <c r="J47" s="5"/>
      <c r="K47" s="5"/>
      <c r="L47" s="5"/>
      <c r="M47" s="5"/>
      <c r="N47" s="5"/>
      <c r="O47" s="5"/>
      <c r="P47" s="88"/>
      <c r="Q47" s="95"/>
    </row>
    <row r="48" spans="4:17" s="2" customFormat="1" ht="12" customHeight="1">
      <c r="D48" s="22"/>
      <c r="E48" s="22"/>
      <c r="J48" s="5"/>
      <c r="K48" s="5"/>
      <c r="L48" s="5"/>
      <c r="M48" s="5"/>
      <c r="N48" s="5"/>
      <c r="O48" s="5"/>
      <c r="P48" s="88"/>
      <c r="Q48" s="95"/>
    </row>
    <row r="49" spans="1:17" s="2" customFormat="1" ht="12" customHeight="1">
      <c r="D49" s="22"/>
      <c r="E49" s="22"/>
      <c r="J49" s="5"/>
      <c r="K49" s="5"/>
      <c r="L49" s="5"/>
      <c r="M49" s="5"/>
      <c r="N49" s="5"/>
      <c r="O49" s="5"/>
      <c r="P49" s="88"/>
      <c r="Q49" s="95"/>
    </row>
    <row r="50" spans="1:17" s="2" customFormat="1" ht="12" customHeight="1">
      <c r="D50" s="22"/>
      <c r="E50" s="22"/>
      <c r="J50" s="5"/>
      <c r="K50" s="5"/>
      <c r="L50" s="5"/>
      <c r="M50" s="5"/>
      <c r="N50" s="5"/>
      <c r="O50" s="5"/>
      <c r="P50" s="88"/>
      <c r="Q50" s="95"/>
    </row>
    <row r="51" spans="1:17" s="2" customFormat="1" ht="12" customHeight="1">
      <c r="D51" s="22"/>
      <c r="E51" s="22"/>
      <c r="J51" s="5"/>
      <c r="K51" s="5"/>
      <c r="L51" s="5"/>
      <c r="M51" s="5"/>
      <c r="N51" s="5"/>
      <c r="O51" s="5"/>
      <c r="P51" s="88"/>
      <c r="Q51" s="95"/>
    </row>
    <row r="52" spans="1:17" s="2" customFormat="1" ht="12" customHeight="1">
      <c r="D52" s="22"/>
      <c r="E52" s="22"/>
      <c r="J52" s="5"/>
      <c r="K52" s="5"/>
      <c r="L52" s="5"/>
      <c r="M52" s="5"/>
      <c r="N52" s="5"/>
      <c r="O52" s="5"/>
      <c r="P52" s="88"/>
      <c r="Q52" s="95"/>
    </row>
    <row r="53" spans="1:17" s="2" customFormat="1" ht="12" customHeight="1">
      <c r="D53" s="22"/>
      <c r="E53" s="22"/>
      <c r="J53" s="5"/>
      <c r="K53" s="5"/>
      <c r="L53" s="5"/>
      <c r="M53" s="5"/>
      <c r="N53" s="5"/>
      <c r="O53" s="5"/>
      <c r="P53" s="88"/>
      <c r="Q53" s="95"/>
    </row>
    <row r="54" spans="1:17" s="2" customFormat="1" ht="12" customHeight="1">
      <c r="D54" s="22"/>
      <c r="E54" s="22"/>
      <c r="J54" s="5"/>
      <c r="K54" s="5"/>
      <c r="L54" s="5"/>
      <c r="M54" s="5"/>
      <c r="N54" s="5"/>
      <c r="O54" s="5"/>
      <c r="P54" s="88"/>
      <c r="Q54" s="95"/>
    </row>
    <row r="55" spans="1:17" s="2" customFormat="1" ht="12" customHeight="1">
      <c r="D55" s="22"/>
      <c r="E55" s="22"/>
      <c r="J55" s="5"/>
      <c r="K55" s="5"/>
      <c r="L55" s="5"/>
      <c r="M55" s="5"/>
      <c r="N55" s="5"/>
      <c r="O55" s="5"/>
      <c r="P55" s="88"/>
      <c r="Q55" s="95"/>
    </row>
    <row r="56" spans="1:17" s="2" customFormat="1" ht="12" customHeight="1">
      <c r="D56" s="22"/>
      <c r="E56" s="22"/>
      <c r="J56" s="5"/>
      <c r="K56" s="5"/>
      <c r="L56" s="5"/>
      <c r="M56" s="5"/>
      <c r="N56" s="5"/>
      <c r="O56" s="5"/>
      <c r="P56" s="88"/>
      <c r="Q56" s="95"/>
    </row>
    <row r="57" spans="1:17" s="2" customFormat="1" ht="12" customHeight="1">
      <c r="D57" s="22"/>
      <c r="E57" s="22"/>
      <c r="J57" s="5"/>
      <c r="K57" s="5"/>
      <c r="L57" s="5"/>
      <c r="M57" s="5"/>
      <c r="N57" s="5"/>
      <c r="O57" s="5"/>
      <c r="P57" s="88"/>
      <c r="Q57" s="95"/>
    </row>
    <row r="58" spans="1:17" s="2" customFormat="1" ht="12" customHeight="1">
      <c r="D58" s="22"/>
      <c r="E58" s="22"/>
      <c r="J58" s="5"/>
      <c r="K58" s="5"/>
      <c r="L58" s="5"/>
      <c r="M58" s="5"/>
      <c r="N58" s="5"/>
      <c r="O58" s="5"/>
      <c r="P58" s="88"/>
      <c r="Q58" s="96"/>
    </row>
    <row r="59" spans="1:17" s="2" customFormat="1" ht="12" customHeight="1">
      <c r="D59" s="22"/>
      <c r="E59" s="22"/>
      <c r="J59" s="5"/>
      <c r="K59" s="5"/>
      <c r="L59" s="5"/>
      <c r="M59" s="5"/>
      <c r="N59" s="5"/>
      <c r="O59" s="5"/>
      <c r="P59" s="88"/>
      <c r="Q59" s="96"/>
    </row>
    <row r="60" spans="1:17" s="2" customFormat="1" ht="12" customHeight="1">
      <c r="D60" s="22"/>
      <c r="E60" s="22"/>
      <c r="J60" s="5"/>
      <c r="K60" s="5"/>
      <c r="L60" s="5"/>
      <c r="M60" s="5"/>
      <c r="N60" s="5"/>
      <c r="O60" s="5"/>
      <c r="P60" s="88"/>
      <c r="Q60" s="96"/>
    </row>
    <row r="61" spans="1:17" s="2" customFormat="1" ht="12" customHeight="1">
      <c r="D61" s="22"/>
      <c r="E61" s="22"/>
      <c r="J61" s="5"/>
      <c r="K61" s="5"/>
      <c r="L61" s="5"/>
      <c r="M61" s="5"/>
      <c r="N61" s="5"/>
      <c r="O61" s="5"/>
      <c r="P61" s="88"/>
      <c r="Q61" s="96"/>
    </row>
    <row r="62" spans="1:17" s="2" customFormat="1" ht="12" customHeight="1">
      <c r="A62"/>
      <c r="B62"/>
      <c r="C62"/>
      <c r="D62" s="23"/>
      <c r="E62" s="23"/>
      <c r="F62"/>
      <c r="G62"/>
      <c r="H62"/>
      <c r="I62"/>
      <c r="J62" s="19"/>
      <c r="K62" s="19"/>
      <c r="L62" s="19"/>
      <c r="M62" s="19"/>
      <c r="N62" s="19"/>
      <c r="O62" s="19"/>
      <c r="P62" s="90"/>
      <c r="Q62" s="96"/>
    </row>
    <row r="63" spans="1:17" s="2" customFormat="1" ht="12" customHeight="1">
      <c r="A63"/>
      <c r="B63"/>
      <c r="C63"/>
      <c r="D63" s="23"/>
      <c r="E63" s="23"/>
      <c r="F63"/>
      <c r="G63"/>
      <c r="H63"/>
      <c r="I63"/>
      <c r="J63" s="19"/>
      <c r="K63" s="19"/>
      <c r="L63" s="19"/>
      <c r="M63" s="19"/>
      <c r="N63" s="19"/>
      <c r="O63" s="19"/>
      <c r="P63" s="90"/>
      <c r="Q63" s="96"/>
    </row>
    <row r="64" spans="1:17" s="2" customFormat="1" ht="12" customHeight="1">
      <c r="A64"/>
      <c r="B64"/>
      <c r="C64"/>
      <c r="D64" s="23"/>
      <c r="E64" s="23"/>
      <c r="F64"/>
      <c r="G64"/>
      <c r="H64"/>
      <c r="I64"/>
      <c r="J64" s="19"/>
      <c r="K64" s="19"/>
      <c r="L64" s="19"/>
      <c r="M64" s="19"/>
      <c r="N64" s="19"/>
      <c r="O64" s="19"/>
      <c r="P64" s="90"/>
      <c r="Q64" s="96"/>
    </row>
    <row r="65" spans="1:17" s="2" customFormat="1" ht="12" customHeight="1">
      <c r="A65"/>
      <c r="B65"/>
      <c r="C65"/>
      <c r="D65" s="23"/>
      <c r="E65" s="23"/>
      <c r="F65"/>
      <c r="G65"/>
      <c r="H65"/>
      <c r="I65"/>
      <c r="J65" s="19"/>
      <c r="K65" s="19"/>
      <c r="L65" s="19"/>
      <c r="M65" s="19"/>
      <c r="N65" s="19"/>
      <c r="O65" s="19"/>
      <c r="P65" s="90"/>
      <c r="Q65" s="96"/>
    </row>
    <row r="66" spans="1:17" s="2" customFormat="1" ht="12" customHeight="1">
      <c r="A66"/>
      <c r="B66"/>
      <c r="C66"/>
      <c r="D66" s="23"/>
      <c r="E66" s="23"/>
      <c r="F66"/>
      <c r="G66"/>
      <c r="H66"/>
      <c r="I66"/>
      <c r="J66" s="19"/>
      <c r="K66" s="19"/>
      <c r="L66" s="19"/>
      <c r="M66" s="19"/>
      <c r="N66" s="19"/>
      <c r="O66" s="19"/>
      <c r="P66" s="90"/>
      <c r="Q66" s="96"/>
    </row>
    <row r="67" spans="1:17">
      <c r="Q67" s="96"/>
    </row>
    <row r="68" spans="1:17">
      <c r="Q68" s="96"/>
    </row>
    <row r="69" spans="1:17">
      <c r="Q69" s="96"/>
    </row>
    <row r="70" spans="1:17">
      <c r="Q70" s="96"/>
    </row>
    <row r="71" spans="1:17">
      <c r="Q71" s="96"/>
    </row>
    <row r="72" spans="1:17">
      <c r="Q72" s="96"/>
    </row>
    <row r="73" spans="1:17">
      <c r="Q73" s="96"/>
    </row>
    <row r="74" spans="1:17">
      <c r="Q74" s="96"/>
    </row>
    <row r="75" spans="1:17">
      <c r="Q75" s="96"/>
    </row>
    <row r="76" spans="1:17">
      <c r="Q76" s="96"/>
    </row>
    <row r="77" spans="1:17">
      <c r="Q77" s="96"/>
    </row>
    <row r="78" spans="1:17">
      <c r="Q78" s="96"/>
    </row>
    <row r="79" spans="1:17">
      <c r="Q79" s="96"/>
    </row>
    <row r="80" spans="1:17">
      <c r="Q80" s="96"/>
    </row>
    <row r="81" spans="17:17">
      <c r="Q81" s="96"/>
    </row>
    <row r="82" spans="17:17">
      <c r="Q82" s="96"/>
    </row>
    <row r="83" spans="17:17">
      <c r="Q83" s="96"/>
    </row>
    <row r="84" spans="17:17">
      <c r="Q84" s="96"/>
    </row>
    <row r="85" spans="17:17">
      <c r="Q85" s="96"/>
    </row>
    <row r="86" spans="17:17">
      <c r="Q86" s="96"/>
    </row>
    <row r="123" ht="12" customHeight="1"/>
    <row r="124" ht="12" customHeight="1"/>
    <row r="125" ht="12" customHeight="1"/>
    <row r="126" ht="12" customHeight="1"/>
    <row r="127" ht="12" customHeight="1"/>
    <row r="128" ht="12" customHeight="1"/>
    <row r="129" ht="12" customHeight="1"/>
    <row r="130" ht="12" customHeight="1"/>
    <row r="131" ht="12" customHeight="1"/>
    <row r="132" ht="12" customHeight="1"/>
    <row r="133" ht="12" customHeight="1"/>
    <row r="134" ht="12" customHeight="1"/>
    <row r="135" ht="12" customHeight="1"/>
    <row r="136" ht="12" customHeight="1"/>
    <row r="137" ht="12" customHeight="1"/>
    <row r="138" ht="12" customHeight="1"/>
    <row r="139" ht="12" customHeight="1"/>
    <row r="140" ht="12" customHeight="1"/>
    <row r="141" ht="12" customHeight="1"/>
    <row r="142" ht="12" customHeight="1"/>
    <row r="143" ht="12" customHeight="1"/>
    <row r="144" ht="12" customHeight="1"/>
    <row r="145" ht="12" customHeight="1"/>
    <row r="146" ht="12" customHeight="1"/>
    <row r="147" ht="12" customHeight="1"/>
    <row r="148" ht="12" customHeight="1"/>
    <row r="149" ht="12" customHeight="1"/>
    <row r="150" ht="12" customHeight="1"/>
    <row r="151" ht="12" customHeight="1"/>
    <row r="152" ht="12" customHeight="1"/>
    <row r="153" ht="12" customHeight="1"/>
    <row r="154" ht="12" customHeight="1"/>
    <row r="155" ht="12" customHeight="1"/>
    <row r="156" ht="12" customHeight="1"/>
    <row r="157" ht="12" customHeight="1"/>
    <row r="158" ht="12" customHeight="1"/>
    <row r="159" ht="12" customHeight="1"/>
    <row r="160" ht="12" customHeight="1"/>
    <row r="161" ht="12" customHeight="1"/>
    <row r="162" ht="12" customHeight="1"/>
    <row r="163" ht="12" customHeight="1"/>
    <row r="164" ht="12" customHeight="1"/>
    <row r="165" ht="12" customHeight="1"/>
    <row r="166" ht="12" customHeight="1"/>
    <row r="167" ht="12" customHeight="1"/>
    <row r="168" ht="12" customHeight="1"/>
    <row r="169" ht="12" customHeight="1"/>
    <row r="170" ht="12" customHeight="1"/>
    <row r="171" ht="12" customHeight="1"/>
    <row r="172" ht="12" customHeight="1"/>
  </sheetData>
  <mergeCells count="22">
    <mergeCell ref="D19:E19"/>
    <mergeCell ref="H19:I19"/>
    <mergeCell ref="H17:I17"/>
    <mergeCell ref="D18:E18"/>
    <mergeCell ref="D11:E11"/>
    <mergeCell ref="H12:I12"/>
    <mergeCell ref="D12:E12"/>
    <mergeCell ref="D17:E17"/>
    <mergeCell ref="D13:E13"/>
    <mergeCell ref="D14:E14"/>
    <mergeCell ref="D15:E15"/>
    <mergeCell ref="D16:E16"/>
    <mergeCell ref="D7:E7"/>
    <mergeCell ref="D8:E8"/>
    <mergeCell ref="D9:E9"/>
    <mergeCell ref="H9:I9"/>
    <mergeCell ref="D10:E10"/>
    <mergeCell ref="D1:E1"/>
    <mergeCell ref="D4:E4"/>
    <mergeCell ref="H4:I4"/>
    <mergeCell ref="D5:E5"/>
    <mergeCell ref="D6:E6"/>
  </mergeCells>
  <conditionalFormatting sqref="M5:M8 M10:M11 M13:M16 M18">
    <cfRule type="cellIs" dxfId="342" priority="3" stopIfTrue="1" operator="lessThanOrEqual">
      <formula>$L5</formula>
    </cfRule>
    <cfRule type="cellIs" dxfId="341" priority="4" operator="greaterThan">
      <formula>L5</formula>
    </cfRule>
  </conditionalFormatting>
  <pageMargins left="0.7" right="0.7" top="0.75" bottom="0.75" header="0.3" footer="0.3"/>
  <pageSetup paperSize="3" fitToHeight="0" orientation="landscape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74ED65A6-D289-472A-8A76-4521179FD0ED}">
          <x14:formula1>
            <xm:f>Bolts!$A:$A</xm:f>
          </x14:formula1>
          <xm:sqref>C13:C16</xm:sqref>
        </x14:dataValidation>
        <x14:dataValidation type="list" allowBlank="1" showInputMessage="1" showErrorMessage="1" xr:uid="{A03236BB-FCB1-4E4E-96F4-EFAA568B5D52}">
          <x14:formula1>
            <xm:f>Purchased!$A:$A</xm:f>
          </x14:formula1>
          <xm:sqref>C10:C11</xm:sqref>
        </x14:dataValidation>
        <x14:dataValidation type="list" allowBlank="1" showInputMessage="1" showErrorMessage="1" xr:uid="{1EEC3112-66F6-4B91-96AF-7A9C001C6C3D}">
          <x14:formula1>
            <xm:f>Extrusion!$B:$B</xm:f>
          </x14:formula1>
          <xm:sqref>C18</xm:sqref>
        </x14:dataValidation>
        <x14:dataValidation type="list" allowBlank="1" showInputMessage="1" showErrorMessage="1" xr:uid="{F6A61862-2D74-4193-BD17-1124BFE49952}">
          <x14:formula1>
            <xm:f>Machined!$C:$C</xm:f>
          </x14:formula1>
          <xm:sqref>C5:C8</xm:sqref>
        </x14:dataValidation>
      </x14:dataValidations>
    </ext>
  </extLst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EFCCF-C0C7-48CE-9F5B-18F9143AD755}">
  <sheetPr codeName="Sheet88">
    <tabColor theme="3" tint="0.79998168889431442"/>
    <pageSetUpPr fitToPage="1"/>
  </sheetPr>
  <dimension ref="A1:Q179"/>
  <sheetViews>
    <sheetView zoomScaleNormal="100" workbookViewId="0">
      <selection activeCell="Q26" sqref="Q26"/>
    </sheetView>
  </sheetViews>
  <sheetFormatPr defaultColWidth="9.140625" defaultRowHeight="15"/>
  <cols>
    <col min="1" max="1" width="5.7109375" customWidth="1"/>
    <col min="2" max="2" width="5.42578125" bestFit="1" customWidth="1"/>
    <col min="3" max="3" width="30.7109375" customWidth="1"/>
    <col min="4" max="5" width="20.7109375" style="23" customWidth="1"/>
    <col min="6" max="6" width="16.85546875" bestFit="1" customWidth="1"/>
    <col min="7" max="7" width="9.7109375" customWidth="1"/>
    <col min="8" max="8" width="8.7109375" customWidth="1"/>
    <col min="9" max="9" width="20.7109375" customWidth="1"/>
    <col min="10" max="13" width="11.7109375" style="19" customWidth="1"/>
    <col min="14" max="14" width="11.85546875" style="19" bestFit="1" customWidth="1"/>
    <col min="15" max="15" width="7.7109375" style="19" customWidth="1"/>
    <col min="16" max="16" width="10.7109375" style="90" customWidth="1"/>
    <col min="17" max="17" width="10.7109375" style="97" customWidth="1"/>
  </cols>
  <sheetData>
    <row r="1" spans="1:17" s="55" customFormat="1" ht="12" customHeight="1">
      <c r="A1" s="68" t="s">
        <v>0</v>
      </c>
      <c r="B1" s="69"/>
      <c r="C1" s="69"/>
      <c r="D1" s="262" t="s">
        <v>1</v>
      </c>
      <c r="E1" s="263"/>
      <c r="F1" s="70"/>
      <c r="G1" s="69"/>
      <c r="H1" s="70"/>
      <c r="I1" s="71"/>
      <c r="J1" s="72"/>
      <c r="K1" s="72"/>
      <c r="L1" s="72"/>
      <c r="M1" s="72"/>
      <c r="N1" s="72"/>
      <c r="O1" s="72"/>
      <c r="P1" s="85"/>
      <c r="Q1" s="91"/>
    </row>
    <row r="2" spans="1:17" s="55" customFormat="1" ht="12" customHeight="1">
      <c r="A2" s="74" t="s">
        <v>48</v>
      </c>
      <c r="B2" s="58"/>
      <c r="C2" s="57" t="e">
        <f ca="1">VLOOKUP(E3,Assemblies!B:F,4,0)</f>
        <v>#VALUE!</v>
      </c>
      <c r="D2" s="75" t="s">
        <v>3</v>
      </c>
      <c r="E2" s="76" t="e">
        <f ca="1">'GF12'!E2</f>
        <v>#VALUE!</v>
      </c>
      <c r="F2" s="77" t="s">
        <v>4</v>
      </c>
      <c r="G2" s="58" t="str">
        <f>'GF12'!G2</f>
        <v>GH</v>
      </c>
      <c r="H2" s="77" t="s">
        <v>6</v>
      </c>
      <c r="I2" s="59">
        <f>'GF12'!I2</f>
        <v>44775</v>
      </c>
      <c r="J2" s="39"/>
      <c r="K2" s="40" t="s">
        <v>49</v>
      </c>
      <c r="L2" s="41" t="e">
        <f ca="1">VLOOKUP(C2,Assemblies!E:G,3,0)</f>
        <v>#VALUE!</v>
      </c>
      <c r="M2" s="78"/>
      <c r="N2" s="78"/>
      <c r="O2" s="78"/>
      <c r="P2" s="86"/>
      <c r="Q2" s="92"/>
    </row>
    <row r="3" spans="1:17" s="55" customFormat="1" ht="12" customHeight="1" thickBot="1">
      <c r="A3" s="74" t="s">
        <v>7</v>
      </c>
      <c r="B3" s="58"/>
      <c r="C3" s="57" t="e">
        <f ca="1">VLOOKUP(E3,Assemblies!B:F,5,0)</f>
        <v>#VALUE!</v>
      </c>
      <c r="D3" s="75" t="s">
        <v>50</v>
      </c>
      <c r="E3" s="76" t="e">
        <f ca="1">MID(CELL("filename",A1),FIND("]",CELL("filename",A1))+1,256)</f>
        <v>#VALUE!</v>
      </c>
      <c r="F3" s="77" t="s">
        <v>11</v>
      </c>
      <c r="G3" s="58" t="str">
        <f>'GF12'!G3</f>
        <v>GH</v>
      </c>
      <c r="H3" s="77" t="s">
        <v>6</v>
      </c>
      <c r="I3" s="59">
        <f>'GF12'!I3</f>
        <v>44775</v>
      </c>
      <c r="J3" s="78"/>
      <c r="K3" s="78"/>
      <c r="L3" s="78"/>
      <c r="M3" s="78"/>
      <c r="N3" s="78"/>
      <c r="O3" s="78"/>
      <c r="P3" s="86"/>
      <c r="Q3" s="92"/>
    </row>
    <row r="4" spans="1:17" s="56" customFormat="1" ht="12.75" customHeight="1" thickBot="1">
      <c r="A4" s="80" t="s">
        <v>12</v>
      </c>
      <c r="B4" s="81" t="s">
        <v>13</v>
      </c>
      <c r="C4" s="81" t="s">
        <v>14</v>
      </c>
      <c r="D4" s="270" t="s">
        <v>15</v>
      </c>
      <c r="E4" s="271"/>
      <c r="F4" s="104" t="s">
        <v>16</v>
      </c>
      <c r="G4" s="81" t="s">
        <v>17</v>
      </c>
      <c r="H4" s="260" t="s">
        <v>18</v>
      </c>
      <c r="I4" s="261"/>
      <c r="J4" s="81" t="s">
        <v>51</v>
      </c>
      <c r="K4" s="81" t="s">
        <v>20</v>
      </c>
      <c r="L4" s="81" t="s">
        <v>21</v>
      </c>
      <c r="M4" s="81" t="s">
        <v>52</v>
      </c>
      <c r="N4" s="81" t="s">
        <v>22</v>
      </c>
      <c r="O4" s="81" t="s">
        <v>53</v>
      </c>
      <c r="P4" s="107" t="s">
        <v>26</v>
      </c>
      <c r="Q4" s="82" t="s">
        <v>27</v>
      </c>
    </row>
    <row r="5" spans="1:17" s="2" customFormat="1" ht="12.75" customHeight="1">
      <c r="A5" s="127">
        <v>1</v>
      </c>
      <c r="B5" s="21">
        <v>1</v>
      </c>
      <c r="C5" s="108" t="s">
        <v>1055</v>
      </c>
      <c r="D5" s="277" t="str">
        <f>VLOOKUP(C5,Machined!C:Q,2,0)</f>
        <v>SIDE SEAL CRANK SHAFT</v>
      </c>
      <c r="E5" s="278"/>
      <c r="F5" s="131" t="str">
        <f>VLOOKUP(C5,Machined!C:R,7,0)</f>
        <v>303 SS - TG&amp;P</v>
      </c>
      <c r="G5" s="131" t="str">
        <f>VLOOKUP(C5,Machined!C:R,10,0)</f>
        <v>ALEXANDRIA, Nuline</v>
      </c>
      <c r="H5" s="131" t="str">
        <f>VLOOKUP(C5,Machined!C:R,11,0)</f>
        <v xml:space="preserve">  </v>
      </c>
      <c r="I5" s="131"/>
      <c r="J5" s="42" t="str">
        <f>VLOOKUP(C5,Machined!C:R,12,0)</f>
        <v>N/A</v>
      </c>
      <c r="K5" s="42" t="str">
        <f>VLOOKUP(C5,Machined!C:R,13,0)</f>
        <v>N/A</v>
      </c>
      <c r="L5" s="42" t="str">
        <f>VLOOKUP(C5,Machined!C:R,14,0)</f>
        <v>N/A</v>
      </c>
      <c r="M5" s="42" t="str">
        <f>VLOOKUP(C5,Machined!C:R,15,0)</f>
        <v>N/A</v>
      </c>
      <c r="N5" s="43">
        <f>VLOOKUP(C5,Machined!C:R,16,0)</f>
        <v>55018</v>
      </c>
      <c r="O5" s="43" t="e">
        <f t="shared" ref="O5:O9" ca="1" si="0">B5*$L$2</f>
        <v>#VALUE!</v>
      </c>
      <c r="P5" s="47">
        <f>IFERROR(VLOOKUP(C5,Machined!C:F,3,0),"")</f>
        <v>53.79</v>
      </c>
      <c r="Q5" s="48">
        <f t="shared" ref="Q5:Q9" si="1">IFERROR(B5*P5,"")</f>
        <v>53.79</v>
      </c>
    </row>
    <row r="6" spans="1:17" s="2" customFormat="1" ht="12.75" customHeight="1">
      <c r="A6" s="127">
        <v>2</v>
      </c>
      <c r="B6" s="21">
        <v>1</v>
      </c>
      <c r="C6" s="108" t="s">
        <v>1056</v>
      </c>
      <c r="D6" s="277" t="str">
        <f>VLOOKUP(C6,Machined!C:Q,2,0)</f>
        <v>SEAL BAR GEARBOX PLATE</v>
      </c>
      <c r="E6" s="278"/>
      <c r="F6" s="131" t="str">
        <f>VLOOKUP(C6,Machined!C:R,7,0)</f>
        <v>6061-T6 Alum</v>
      </c>
      <c r="G6" s="131" t="str">
        <f>VLOOKUP(C6,Machined!C:R,10,0)</f>
        <v>FRONTIER</v>
      </c>
      <c r="H6" s="131" t="str">
        <f>VLOOKUP(C6,Machined!C:R,11,0)</f>
        <v xml:space="preserve">  </v>
      </c>
      <c r="I6" s="131"/>
      <c r="J6" s="42">
        <f>VLOOKUP(C6,Machined!C:R,12,0)</f>
        <v>45139</v>
      </c>
      <c r="K6" s="42">
        <f>VLOOKUP(C6,Machined!C:R,13,0)</f>
        <v>45140</v>
      </c>
      <c r="L6" s="42">
        <f>VLOOKUP(C6,Machined!C:R,14,0)</f>
        <v>45170</v>
      </c>
      <c r="M6" s="42">
        <f>VLOOKUP(C6,Machined!C:R,15,0)</f>
        <v>45170</v>
      </c>
      <c r="N6" s="43">
        <f>VLOOKUP(C6,Machined!C:R,16,0)</f>
        <v>55025</v>
      </c>
      <c r="O6" s="43" t="e">
        <f t="shared" ca="1" si="0"/>
        <v>#VALUE!</v>
      </c>
      <c r="P6" s="47">
        <f>IFERROR(VLOOKUP(C6,Machined!C:F,3,0),"")</f>
        <v>0</v>
      </c>
      <c r="Q6" s="48">
        <f t="shared" si="1"/>
        <v>0</v>
      </c>
    </row>
    <row r="7" spans="1:17" s="2" customFormat="1" ht="12.75" customHeight="1">
      <c r="A7" s="127">
        <v>3</v>
      </c>
      <c r="B7" s="21">
        <v>2</v>
      </c>
      <c r="C7" s="108" t="s">
        <v>1057</v>
      </c>
      <c r="D7" s="277" t="str">
        <f>VLOOKUP(C7,Machined!C:Q,2,0)</f>
        <v>SMALL GEARBOX OFFSET BLOCK</v>
      </c>
      <c r="E7" s="278"/>
      <c r="F7" s="131" t="str">
        <f>VLOOKUP(C7,Machined!C:R,7,0)</f>
        <v>6061-T6 Alum</v>
      </c>
      <c r="G7" s="131" t="str">
        <f>VLOOKUP(C7,Machined!C:R,10,0)</f>
        <v>FRONTIER</v>
      </c>
      <c r="H7" s="131" t="str">
        <f>VLOOKUP(C7,Machined!C:R,11,0)</f>
        <v xml:space="preserve">  </v>
      </c>
      <c r="I7" s="131"/>
      <c r="J7" s="42">
        <f>VLOOKUP(C7,Machined!C:R,12,0)</f>
        <v>45139</v>
      </c>
      <c r="K7" s="42">
        <f>VLOOKUP(C7,Machined!C:R,13,0)</f>
        <v>45140</v>
      </c>
      <c r="L7" s="42">
        <f>VLOOKUP(C7,Machined!C:R,14,0)</f>
        <v>45170</v>
      </c>
      <c r="M7" s="42">
        <f>VLOOKUP(C7,Machined!C:R,15,0)</f>
        <v>45170</v>
      </c>
      <c r="N7" s="43">
        <f>VLOOKUP(C7,Machined!C:R,16,0)</f>
        <v>55025</v>
      </c>
      <c r="O7" s="43" t="e">
        <f t="shared" ca="1" si="0"/>
        <v>#VALUE!</v>
      </c>
      <c r="P7" s="47">
        <f>IFERROR(VLOOKUP(C7,Machined!C:F,3,0),"")</f>
        <v>0</v>
      </c>
      <c r="Q7" s="48">
        <f t="shared" si="1"/>
        <v>0</v>
      </c>
    </row>
    <row r="8" spans="1:17" s="2" customFormat="1" ht="12.75" customHeight="1">
      <c r="A8" s="127">
        <v>4</v>
      </c>
      <c r="B8" s="21">
        <v>1</v>
      </c>
      <c r="C8" s="108" t="s">
        <v>1058</v>
      </c>
      <c r="D8" s="277" t="str">
        <f>VLOOKUP(C8,Machined!C:Q,2,0)</f>
        <v>LARGE GEARBOX OFFSET BLOCK</v>
      </c>
      <c r="E8" s="278"/>
      <c r="F8" s="131" t="str">
        <f>VLOOKUP(C8,Machined!C:R,7,0)</f>
        <v>6061-T6 Alum</v>
      </c>
      <c r="G8" s="131" t="str">
        <f>VLOOKUP(C8,Machined!C:R,10,0)</f>
        <v>FRONTIER</v>
      </c>
      <c r="H8" s="131" t="str">
        <f>VLOOKUP(C8,Machined!C:R,11,0)</f>
        <v xml:space="preserve">  </v>
      </c>
      <c r="I8" s="131"/>
      <c r="J8" s="42">
        <f>VLOOKUP(C8,Machined!C:R,12,0)</f>
        <v>45139</v>
      </c>
      <c r="K8" s="42">
        <f>VLOOKUP(C8,Machined!C:R,13,0)</f>
        <v>45140</v>
      </c>
      <c r="L8" s="42">
        <f>VLOOKUP(C8,Machined!C:R,14,0)</f>
        <v>45170</v>
      </c>
      <c r="M8" s="42">
        <f>VLOOKUP(C8,Machined!C:R,15,0)</f>
        <v>45170</v>
      </c>
      <c r="N8" s="43">
        <f>VLOOKUP(C8,Machined!C:R,16,0)</f>
        <v>55025</v>
      </c>
      <c r="O8" s="43" t="e">
        <f t="shared" ca="1" si="0"/>
        <v>#VALUE!</v>
      </c>
      <c r="P8" s="47">
        <f>IFERROR(VLOOKUP(C8,Machined!C:F,3,0),"")</f>
        <v>0</v>
      </c>
      <c r="Q8" s="48">
        <f t="shared" si="1"/>
        <v>0</v>
      </c>
    </row>
    <row r="9" spans="1:17" s="2" customFormat="1" ht="12.75" customHeight="1">
      <c r="A9" s="127">
        <v>5</v>
      </c>
      <c r="B9" s="21">
        <v>2</v>
      </c>
      <c r="C9" s="108" t="s">
        <v>1059</v>
      </c>
      <c r="D9" s="277" t="str">
        <f>VLOOKUP(C9,Machined!C:Q,2,0)</f>
        <v>CRANKSHAFT BEARING MOUNT PLATE</v>
      </c>
      <c r="E9" s="278"/>
      <c r="F9" s="131" t="str">
        <f>VLOOKUP(C9,Machined!C:R,7,0)</f>
        <v>6061-T6 Alum</v>
      </c>
      <c r="G9" s="131" t="str">
        <f>VLOOKUP(C9,Machined!C:R,10,0)</f>
        <v>FRONTIER</v>
      </c>
      <c r="H9" s="131" t="str">
        <f>VLOOKUP(C9,Machined!C:R,11,0)</f>
        <v xml:space="preserve">  </v>
      </c>
      <c r="I9" s="131"/>
      <c r="J9" s="42">
        <f>VLOOKUP(C9,Machined!C:R,12,0)</f>
        <v>45139</v>
      </c>
      <c r="K9" s="42">
        <f>VLOOKUP(C9,Machined!C:R,13,0)</f>
        <v>45140</v>
      </c>
      <c r="L9" s="42">
        <f>VLOOKUP(C9,Machined!C:R,14,0)</f>
        <v>45170</v>
      </c>
      <c r="M9" s="42">
        <f>VLOOKUP(C9,Machined!C:R,15,0)</f>
        <v>45170</v>
      </c>
      <c r="N9" s="43">
        <f>VLOOKUP(C9,Machined!C:R,16,0)</f>
        <v>55025</v>
      </c>
      <c r="O9" s="43" t="e">
        <f t="shared" ca="1" si="0"/>
        <v>#VALUE!</v>
      </c>
      <c r="P9" s="47">
        <f>IFERROR(VLOOKUP(C9,Machined!C:F,3,0),"")</f>
        <v>0</v>
      </c>
      <c r="Q9" s="48">
        <f t="shared" si="1"/>
        <v>0</v>
      </c>
    </row>
    <row r="10" spans="1:17" s="2" customFormat="1" ht="12.75" customHeight="1">
      <c r="A10" s="143"/>
      <c r="B10" s="26"/>
      <c r="C10" s="26"/>
      <c r="D10" s="272"/>
      <c r="E10" s="273"/>
      <c r="F10" s="26"/>
      <c r="G10" s="26"/>
      <c r="H10" s="274"/>
      <c r="I10" s="275"/>
      <c r="J10" s="27"/>
      <c r="K10" s="27"/>
      <c r="L10" s="27"/>
      <c r="M10" s="28"/>
      <c r="N10" s="29"/>
      <c r="O10" s="29"/>
      <c r="P10" s="141"/>
      <c r="Q10" s="142"/>
    </row>
    <row r="11" spans="1:17" s="2" customFormat="1" ht="12.75" customHeight="1">
      <c r="A11" s="4">
        <v>301</v>
      </c>
      <c r="B11" s="2">
        <v>2</v>
      </c>
      <c r="C11" s="114" t="s">
        <v>1060</v>
      </c>
      <c r="D11" s="268" t="str">
        <f>VLOOKUP(C11,Purchased!A:B,2,0)</f>
        <v>Mounted Steel Ball Bearing with Cast Iron Housing for 35 mm Shaft Diameter, with Set Screw</v>
      </c>
      <c r="E11" s="269"/>
      <c r="F11" s="112" t="str">
        <f>VLOOKUP(C11,Purchased!A:Q,9,0)</f>
        <v>MOTION</v>
      </c>
      <c r="G11" s="112" t="str">
        <f>VLOOKUP(C11,Purchased!A:Q,10,0)</f>
        <v>MOTION</v>
      </c>
      <c r="H11" s="112" t="str">
        <f>VLOOKUP(C11,Purchased!A:Q,12,0)</f>
        <v>MCM=7835T54</v>
      </c>
      <c r="I11" s="113"/>
      <c r="J11" s="44" t="str">
        <f>VLOOKUP(C11,Purchased!A:Q,13,0)</f>
        <v>N/A</v>
      </c>
      <c r="K11" s="44">
        <f>VLOOKUP(C11,Purchased!A:Q,14,0)</f>
        <v>45161</v>
      </c>
      <c r="L11" s="44">
        <f>VLOOKUP(C11,Purchased!A:Q,15,0)</f>
        <v>45191</v>
      </c>
      <c r="M11" s="44">
        <f>VLOOKUP(C11,Purchased!A:Q,16,0)</f>
        <v>45191</v>
      </c>
      <c r="N11" s="45">
        <f>VLOOKUP(C11,Purchased!A:Q,17,0)</f>
        <v>55079</v>
      </c>
      <c r="O11" s="45" t="e">
        <f t="shared" ref="O11:O16" ca="1" si="2">B11*$L$2</f>
        <v>#VALUE!</v>
      </c>
      <c r="P11" s="49">
        <f>IFERROR(VLOOKUP(C11,Purchased!A:E,3,FALSE),"")</f>
        <v>41.75</v>
      </c>
      <c r="Q11" s="50">
        <f t="shared" ref="Q11:Q16" si="3">IFERROR(B11*P11,"")</f>
        <v>83.5</v>
      </c>
    </row>
    <row r="12" spans="1:17" s="2" customFormat="1" ht="12" customHeight="1">
      <c r="A12" s="4">
        <f t="shared" ref="A12:A16" si="4">A11+1</f>
        <v>302</v>
      </c>
      <c r="B12" s="2">
        <v>16</v>
      </c>
      <c r="C12" s="114" t="s">
        <v>256</v>
      </c>
      <c r="D12" s="268" t="str">
        <f>VLOOKUP(C12,Purchased!A:B,2,0)</f>
        <v>BRX GOTO T-NUT 10 M8</v>
      </c>
      <c r="E12" s="269"/>
      <c r="F12" s="112" t="str">
        <f>VLOOKUP(C12,Purchased!A:Q,9,0)</f>
        <v>BRX</v>
      </c>
      <c r="G12" s="112" t="str">
        <f>VLOOKUP(C12,Purchased!A:Q,10,0)</f>
        <v>AAP</v>
      </c>
      <c r="H12" s="112" t="str">
        <f>VLOOKUP(C12,Purchased!A:Q,12,0)</f>
        <v xml:space="preserve">  </v>
      </c>
      <c r="I12" s="113"/>
      <c r="J12" s="44">
        <f>VLOOKUP(C12,Purchased!A:Q,13,0)</f>
        <v>45104</v>
      </c>
      <c r="K12" s="44">
        <f>VLOOKUP(C12,Purchased!A:Q,14,0)</f>
        <v>45105</v>
      </c>
      <c r="L12" s="44">
        <f>VLOOKUP(C12,Purchased!A:Q,15,0)</f>
        <v>45133</v>
      </c>
      <c r="M12" s="44">
        <f>VLOOKUP(C12,Purchased!A:Q,16,0)</f>
        <v>45133</v>
      </c>
      <c r="N12" s="45" t="str">
        <f>VLOOKUP(C12,Purchased!A:Q,17,0)</f>
        <v>54968, 55147</v>
      </c>
      <c r="O12" s="45" t="e">
        <f t="shared" ca="1" si="2"/>
        <v>#VALUE!</v>
      </c>
      <c r="P12" s="49">
        <f>IFERROR(VLOOKUP(C12,Purchased!A:E,3,FALSE),"")</f>
        <v>0.64290000000000003</v>
      </c>
      <c r="Q12" s="50">
        <f t="shared" si="3"/>
        <v>10.2864</v>
      </c>
    </row>
    <row r="13" spans="1:17" s="2" customFormat="1" ht="12" customHeight="1">
      <c r="A13" s="4">
        <f t="shared" si="4"/>
        <v>303</v>
      </c>
      <c r="B13" s="2">
        <v>1</v>
      </c>
      <c r="C13" s="114" t="s">
        <v>1061</v>
      </c>
      <c r="D13" s="268" t="str">
        <f>VLOOKUP(C13,Purchased!A:B,2,0)</f>
        <v>BRC MS2N06-D0BNN-CMSK2-NNNNN-NN Servo Motor</v>
      </c>
      <c r="E13" s="269"/>
      <c r="F13" s="112" t="str">
        <f>VLOOKUP(C13,Purchased!A:Q,9,0)</f>
        <v>BRC</v>
      </c>
      <c r="G13" s="112" t="str">
        <f>VLOOKUP(C13,Purchased!A:Q,10,0)</f>
        <v>AAP</v>
      </c>
      <c r="H13" s="112" t="str">
        <f>VLOOKUP(C13,Purchased!A:Q,12,0)</f>
        <v xml:space="preserve"> </v>
      </c>
      <c r="I13" s="113"/>
      <c r="J13" s="44" t="str">
        <f>VLOOKUP(C13,Purchased!A:Q,13,0)</f>
        <v>N/A</v>
      </c>
      <c r="K13" s="44">
        <f>VLOOKUP(C13,Purchased!A:Q,14,0)</f>
        <v>44881</v>
      </c>
      <c r="L13" s="44">
        <f>VLOOKUP(C13,Purchased!A:Q,15,0)</f>
        <v>44986</v>
      </c>
      <c r="M13" s="44">
        <f>VLOOKUP(C13,Purchased!A:Q,16,0)</f>
        <v>44986</v>
      </c>
      <c r="N13" s="45">
        <f>VLOOKUP(C13,Purchased!A:Q,17,0)</f>
        <v>54563</v>
      </c>
      <c r="O13" s="45" t="e">
        <f t="shared" ca="1" si="2"/>
        <v>#VALUE!</v>
      </c>
      <c r="P13" s="49">
        <f>IFERROR(VLOOKUP(C13,Purchased!A:E,3,FALSE),"")</f>
        <v>2414.9888000000001</v>
      </c>
      <c r="Q13" s="50">
        <f t="shared" si="3"/>
        <v>2414.9888000000001</v>
      </c>
    </row>
    <row r="14" spans="1:17" s="2" customFormat="1" ht="12" customHeight="1">
      <c r="A14" s="4">
        <f t="shared" si="4"/>
        <v>304</v>
      </c>
      <c r="B14" s="2">
        <v>1</v>
      </c>
      <c r="C14" s="114" t="s">
        <v>1062</v>
      </c>
      <c r="D14" s="268" t="str">
        <f>VLOOKUP(C14,Purchased!A:B,2,0)</f>
        <v>STOBER K302SG0200ME20 GEARBOX</v>
      </c>
      <c r="E14" s="269"/>
      <c r="F14" s="112" t="str">
        <f>VLOOKUP(C14,Purchased!A:Q,9,0)</f>
        <v>STOBER</v>
      </c>
      <c r="G14" s="112" t="str">
        <f>VLOOKUP(C14,Purchased!A:Q,10,0)</f>
        <v>AAP</v>
      </c>
      <c r="H14" s="112" t="str">
        <f>VLOOKUP(C14,Purchased!A:Q,12,0)</f>
        <v xml:space="preserve"> </v>
      </c>
      <c r="I14" s="113"/>
      <c r="J14" s="44" t="str">
        <f>VLOOKUP(C14,Purchased!A:Q,13,0)</f>
        <v>N/A</v>
      </c>
      <c r="K14" s="44">
        <f>VLOOKUP(C14,Purchased!A:Q,14,0)</f>
        <v>45096</v>
      </c>
      <c r="L14" s="44">
        <f>VLOOKUP(C14,Purchased!A:Q,15,0)</f>
        <v>45110</v>
      </c>
      <c r="M14" s="44">
        <f>VLOOKUP(C14,Purchased!A:Q,16,0)</f>
        <v>45110</v>
      </c>
      <c r="N14" s="45">
        <f>VLOOKUP(C14,Purchased!A:Q,17,0)</f>
        <v>54937</v>
      </c>
      <c r="O14" s="45" t="e">
        <f t="shared" ca="1" si="2"/>
        <v>#VALUE!</v>
      </c>
      <c r="P14" s="49">
        <f>IFERROR(VLOOKUP(C14,Purchased!A:E,3,FALSE),"")</f>
        <v>2926.1097</v>
      </c>
      <c r="Q14" s="50">
        <f t="shared" si="3"/>
        <v>2926.1097</v>
      </c>
    </row>
    <row r="15" spans="1:17" s="2" customFormat="1" ht="12" customHeight="1">
      <c r="A15" s="4">
        <f t="shared" si="4"/>
        <v>305</v>
      </c>
      <c r="B15" s="2">
        <v>2</v>
      </c>
      <c r="C15" s="114" t="s">
        <v>1063</v>
      </c>
      <c r="D15" s="268" t="str">
        <f>VLOOKUP(C15,Purchased!A:B,2,0)</f>
        <v>Rounded Machine Key 316 Stainless Steel, 7 mm x 8 mm, 35 mm Long</v>
      </c>
      <c r="E15" s="269"/>
      <c r="F15" s="112" t="str">
        <f>VLOOKUP(C15,Purchased!A:Q,9,0)</f>
        <v>MCM</v>
      </c>
      <c r="G15" s="112" t="str">
        <f>VLOOKUP(C15,Purchased!A:Q,10,0)</f>
        <v>MCM</v>
      </c>
      <c r="H15" s="112" t="str">
        <f>VLOOKUP(C15,Purchased!A:Q,12,0)</f>
        <v xml:space="preserve"> </v>
      </c>
      <c r="I15" s="113"/>
      <c r="J15" s="44" t="str">
        <f>VLOOKUP(C15,Purchased!A:Q,13,0)</f>
        <v>N/A</v>
      </c>
      <c r="K15" s="44">
        <f>VLOOKUP(C15,Purchased!A:Q,14,0)</f>
        <v>45162</v>
      </c>
      <c r="L15" s="44">
        <f>VLOOKUP(C15,Purchased!A:Q,15,0)</f>
        <v>45184</v>
      </c>
      <c r="M15" s="44">
        <f>VLOOKUP(C15,Purchased!A:Q,16,0)</f>
        <v>45166</v>
      </c>
      <c r="N15" s="45">
        <f>VLOOKUP(C15,Purchased!A:Q,17,0)</f>
        <v>55087</v>
      </c>
      <c r="O15" s="45" t="e">
        <f t="shared" ca="1" si="2"/>
        <v>#VALUE!</v>
      </c>
      <c r="P15" s="49">
        <f>IFERROR(VLOOKUP(C15,Purchased!A:E,3,FALSE),"")</f>
        <v>6.04</v>
      </c>
      <c r="Q15" s="50">
        <f t="shared" si="3"/>
        <v>12.08</v>
      </c>
    </row>
    <row r="16" spans="1:17" s="2" customFormat="1" ht="12" customHeight="1">
      <c r="A16" s="4">
        <f t="shared" si="4"/>
        <v>306</v>
      </c>
      <c r="B16" s="2">
        <v>1</v>
      </c>
      <c r="C16" s="114" t="s">
        <v>1064</v>
      </c>
      <c r="D16" s="268" t="str">
        <f>VLOOKUP(C16,Purchased!A:B,2,0)</f>
        <v>BRC RH2-023DBB-NN-010,0 - 10m Hybrid Servo Cable</v>
      </c>
      <c r="E16" s="269"/>
      <c r="F16" s="112" t="str">
        <f>VLOOKUP(C16,Purchased!A:Q,9,0)</f>
        <v>BRC</v>
      </c>
      <c r="G16" s="112" t="str">
        <f>VLOOKUP(C16,Purchased!A:Q,10,0)</f>
        <v>AAP</v>
      </c>
      <c r="H16" s="112" t="str">
        <f>VLOOKUP(C16,Purchased!A:Q,12,0)</f>
        <v>Side Seals (4 in stock)</v>
      </c>
      <c r="I16" s="113"/>
      <c r="J16" s="44">
        <f>VLOOKUP(C16,Purchased!A:Q,13,0)</f>
        <v>45089</v>
      </c>
      <c r="K16" s="44">
        <f>VLOOKUP(C16,Purchased!A:Q,14,0)</f>
        <v>45092</v>
      </c>
      <c r="L16" s="44">
        <f>VLOOKUP(C16,Purchased!A:Q,15,0)</f>
        <v>45155</v>
      </c>
      <c r="M16" s="44">
        <f>VLOOKUP(C16,Purchased!A:Q,16,0)</f>
        <v>45155</v>
      </c>
      <c r="N16" s="45" t="str">
        <f>VLOOKUP(C16,Purchased!A:Q,17,0)</f>
        <v>2x54940, 4xSTOCK</v>
      </c>
      <c r="O16" s="45" t="e">
        <f t="shared" ca="1" si="2"/>
        <v>#VALUE!</v>
      </c>
      <c r="P16" s="49">
        <f>IFERROR(VLOOKUP(C16,Purchased!A:E,3,FALSE),"")</f>
        <v>475.95030000000003</v>
      </c>
      <c r="Q16" s="50">
        <f t="shared" si="3"/>
        <v>475.95030000000003</v>
      </c>
    </row>
    <row r="17" spans="1:17" s="2" customFormat="1" ht="12.75" customHeight="1">
      <c r="A17" s="25"/>
      <c r="B17" s="26"/>
      <c r="C17" s="26"/>
      <c r="D17" s="272"/>
      <c r="E17" s="273"/>
      <c r="F17" s="26"/>
      <c r="G17" s="26"/>
      <c r="H17" s="274"/>
      <c r="I17" s="275"/>
      <c r="J17" s="27"/>
      <c r="K17" s="27"/>
      <c r="L17" s="27"/>
      <c r="M17" s="28"/>
      <c r="N17" s="29"/>
      <c r="O17" s="29" t="e">
        <f t="shared" ref="O17:O25" ca="1" si="5">B17*$L$2</f>
        <v>#VALUE!</v>
      </c>
      <c r="P17" s="141"/>
      <c r="Q17" s="142"/>
    </row>
    <row r="18" spans="1:17" s="2" customFormat="1" ht="12.75" customHeight="1">
      <c r="A18" s="4">
        <v>501</v>
      </c>
      <c r="B18" s="2">
        <v>8</v>
      </c>
      <c r="C18" s="110" t="s">
        <v>606</v>
      </c>
      <c r="D18" s="268"/>
      <c r="E18" s="276"/>
      <c r="F18" s="112" t="str">
        <f>VLOOKUP(C18,Bolts!A:L,5,0)</f>
        <v xml:space="preserve">  </v>
      </c>
      <c r="G18" s="112" t="str">
        <f>VLOOKUP(C18,Bolts!A:L,6,0)</f>
        <v>Monroe Fasteners</v>
      </c>
      <c r="H18" s="112" t="str">
        <f>VLOOKUP(C18,Bolts!A:L,7,0)</f>
        <v xml:space="preserve">  </v>
      </c>
      <c r="I18" s="112"/>
      <c r="J18" s="44" t="str">
        <f>VLOOKUP(C18,Bolts!A:L,8,0)</f>
        <v xml:space="preserve"> </v>
      </c>
      <c r="K18" s="44" t="str">
        <f>VLOOKUP(C18,Bolts!A:L,9,0)</f>
        <v xml:space="preserve"> </v>
      </c>
      <c r="L18" s="44" t="str">
        <f>VLOOKUP(C18,Bolts!A:L,10,0)</f>
        <v xml:space="preserve"> </v>
      </c>
      <c r="M18" s="44" t="str">
        <f>VLOOKUP(C18,Bolts!A:L,11,0)</f>
        <v xml:space="preserve"> </v>
      </c>
      <c r="N18" s="45" t="str">
        <f>VLOOKUP(C18,Bolts!A:L,12,0)</f>
        <v xml:space="preserve"> </v>
      </c>
      <c r="O18" s="45" t="e">
        <f t="shared" ca="1" si="5"/>
        <v>#VALUE!</v>
      </c>
      <c r="P18" s="49" t="str">
        <f>IFERROR(VLOOKUP(C18,Bolts!A:B,2,FALSE),"")</f>
        <v xml:space="preserve"> </v>
      </c>
      <c r="Q18" s="50" t="str">
        <f t="shared" ref="Q18:Q25" si="6">IFERROR(B18*P18,"")</f>
        <v/>
      </c>
    </row>
    <row r="19" spans="1:17" s="2" customFormat="1" ht="12.75" customHeight="1">
      <c r="A19" s="4">
        <f t="shared" ref="A19:A25" si="7">A18+1</f>
        <v>502</v>
      </c>
      <c r="B19" s="2">
        <v>4</v>
      </c>
      <c r="C19" s="110" t="s">
        <v>362</v>
      </c>
      <c r="D19" s="268"/>
      <c r="E19" s="276"/>
      <c r="F19" s="112" t="str">
        <f>VLOOKUP(C19,Bolts!A:L,5,0)</f>
        <v xml:space="preserve">  </v>
      </c>
      <c r="G19" s="112" t="str">
        <f>VLOOKUP(C19,Bolts!A:L,6,0)</f>
        <v>Monroe Fasteners</v>
      </c>
      <c r="H19" s="112" t="str">
        <f>VLOOKUP(C19,Bolts!A:L,7,0)</f>
        <v xml:space="preserve">  </v>
      </c>
      <c r="I19" s="112"/>
      <c r="J19" s="44" t="str">
        <f>VLOOKUP(C19,Bolts!A:L,8,0)</f>
        <v xml:space="preserve"> </v>
      </c>
      <c r="K19" s="44" t="str">
        <f>VLOOKUP(C19,Bolts!A:L,9,0)</f>
        <v xml:space="preserve"> </v>
      </c>
      <c r="L19" s="44" t="str">
        <f>VLOOKUP(C19,Bolts!A:L,10,0)</f>
        <v xml:space="preserve"> </v>
      </c>
      <c r="M19" s="44" t="str">
        <f>VLOOKUP(C19,Bolts!A:L,11,0)</f>
        <v xml:space="preserve"> </v>
      </c>
      <c r="N19" s="45" t="str">
        <f>VLOOKUP(C19,Bolts!A:L,12,0)</f>
        <v xml:space="preserve"> </v>
      </c>
      <c r="O19" s="45" t="e">
        <f t="shared" ca="1" si="5"/>
        <v>#VALUE!</v>
      </c>
      <c r="P19" s="49" t="str">
        <f>IFERROR(VLOOKUP(C19,Bolts!A:B,2,FALSE),"")</f>
        <v xml:space="preserve"> </v>
      </c>
      <c r="Q19" s="50" t="str">
        <f t="shared" si="6"/>
        <v/>
      </c>
    </row>
    <row r="20" spans="1:17" s="2" customFormat="1" ht="12" customHeight="1">
      <c r="A20" s="4">
        <f t="shared" si="7"/>
        <v>503</v>
      </c>
      <c r="B20" s="2">
        <v>4</v>
      </c>
      <c r="C20" s="110" t="s">
        <v>434</v>
      </c>
      <c r="D20" s="268"/>
      <c r="E20" s="276"/>
      <c r="F20" s="112" t="str">
        <f>VLOOKUP(C20,Bolts!A:L,5,0)</f>
        <v xml:space="preserve">  </v>
      </c>
      <c r="G20" s="112" t="str">
        <f>VLOOKUP(C20,Bolts!A:L,6,0)</f>
        <v>Monroe Fasteners</v>
      </c>
      <c r="H20" s="112" t="str">
        <f>VLOOKUP(C20,Bolts!A:L,7,0)</f>
        <v xml:space="preserve">  </v>
      </c>
      <c r="I20" s="112"/>
      <c r="J20" s="44" t="str">
        <f>VLOOKUP(C20,Bolts!A:L,8,0)</f>
        <v xml:space="preserve"> </v>
      </c>
      <c r="K20" s="44" t="str">
        <f>VLOOKUP(C20,Bolts!A:L,9,0)</f>
        <v xml:space="preserve"> </v>
      </c>
      <c r="L20" s="44" t="str">
        <f>VLOOKUP(C20,Bolts!A:L,10,0)</f>
        <v xml:space="preserve"> </v>
      </c>
      <c r="M20" s="44" t="str">
        <f>VLOOKUP(C20,Bolts!A:L,11,0)</f>
        <v xml:space="preserve"> </v>
      </c>
      <c r="N20" s="45" t="str">
        <f>VLOOKUP(C20,Bolts!A:L,12,0)</f>
        <v xml:space="preserve"> </v>
      </c>
      <c r="O20" s="45" t="e">
        <f t="shared" ca="1" si="5"/>
        <v>#VALUE!</v>
      </c>
      <c r="P20" s="49" t="str">
        <f>IFERROR(VLOOKUP(C20,Bolts!A:B,2,FALSE),"")</f>
        <v xml:space="preserve"> </v>
      </c>
      <c r="Q20" s="50" t="str">
        <f t="shared" si="6"/>
        <v/>
      </c>
    </row>
    <row r="21" spans="1:17" s="2" customFormat="1" ht="12" customHeight="1">
      <c r="A21" s="4">
        <f t="shared" si="7"/>
        <v>504</v>
      </c>
      <c r="B21" s="2">
        <v>4</v>
      </c>
      <c r="C21" s="110" t="s">
        <v>830</v>
      </c>
      <c r="D21" s="268"/>
      <c r="E21" s="276"/>
      <c r="F21" s="112" t="str">
        <f>VLOOKUP(C21,Bolts!A:L,5,0)</f>
        <v xml:space="preserve">  </v>
      </c>
      <c r="G21" s="112" t="str">
        <f>VLOOKUP(C21,Bolts!A:L,6,0)</f>
        <v>Monroe Fasteners</v>
      </c>
      <c r="H21" s="112" t="str">
        <f>VLOOKUP(C21,Bolts!A:L,7,0)</f>
        <v xml:space="preserve">  </v>
      </c>
      <c r="I21" s="112"/>
      <c r="J21" s="44" t="str">
        <f>VLOOKUP(C21,Bolts!A:L,8,0)</f>
        <v xml:space="preserve"> </v>
      </c>
      <c r="K21" s="44" t="str">
        <f>VLOOKUP(C21,Bolts!A:L,9,0)</f>
        <v xml:space="preserve"> </v>
      </c>
      <c r="L21" s="44" t="str">
        <f>VLOOKUP(C21,Bolts!A:L,10,0)</f>
        <v xml:space="preserve"> </v>
      </c>
      <c r="M21" s="44" t="str">
        <f>VLOOKUP(C21,Bolts!A:L,11,0)</f>
        <v xml:space="preserve"> </v>
      </c>
      <c r="N21" s="45" t="str">
        <f>VLOOKUP(C21,Bolts!A:L,12,0)</f>
        <v xml:space="preserve"> </v>
      </c>
      <c r="O21" s="45" t="e">
        <f t="shared" ca="1" si="5"/>
        <v>#VALUE!</v>
      </c>
      <c r="P21" s="49" t="str">
        <f>IFERROR(VLOOKUP(C21,Bolts!A:B,2,FALSE),"")</f>
        <v xml:space="preserve"> </v>
      </c>
      <c r="Q21" s="50" t="str">
        <f t="shared" si="6"/>
        <v/>
      </c>
    </row>
    <row r="22" spans="1:17" s="2" customFormat="1" ht="12" customHeight="1">
      <c r="A22" s="4">
        <f t="shared" si="7"/>
        <v>505</v>
      </c>
      <c r="B22" s="2">
        <v>4</v>
      </c>
      <c r="C22" s="110" t="s">
        <v>1065</v>
      </c>
      <c r="D22" s="164"/>
      <c r="E22" s="165"/>
      <c r="F22" s="112" t="str">
        <f>VLOOKUP(C22,Bolts!A:L,5,0)</f>
        <v xml:space="preserve">  </v>
      </c>
      <c r="G22" s="112" t="str">
        <f>VLOOKUP(C22,Bolts!A:L,6,0)</f>
        <v>Monroe Fasteners</v>
      </c>
      <c r="H22" s="112" t="str">
        <f>VLOOKUP(C22,Bolts!A:L,7,0)</f>
        <v xml:space="preserve">  </v>
      </c>
      <c r="I22" s="112"/>
      <c r="J22" s="44" t="str">
        <f>VLOOKUP(C22,Bolts!A:L,8,0)</f>
        <v xml:space="preserve"> </v>
      </c>
      <c r="K22" s="44" t="str">
        <f>VLOOKUP(C22,Bolts!A:L,9,0)</f>
        <v xml:space="preserve"> </v>
      </c>
      <c r="L22" s="44" t="str">
        <f>VLOOKUP(C22,Bolts!A:L,10,0)</f>
        <v xml:space="preserve"> </v>
      </c>
      <c r="M22" s="44" t="str">
        <f>VLOOKUP(C22,Bolts!A:L,11,0)</f>
        <v xml:space="preserve"> </v>
      </c>
      <c r="N22" s="45" t="str">
        <f>VLOOKUP(C22,Bolts!A:L,12,0)</f>
        <v xml:space="preserve"> </v>
      </c>
      <c r="O22" s="45" t="e">
        <f t="shared" ref="O22" ca="1" si="8">B22*$L$2</f>
        <v>#VALUE!</v>
      </c>
      <c r="P22" s="49" t="str">
        <f>IFERROR(VLOOKUP(C22,Bolts!A:B,2,FALSE),"")</f>
        <v xml:space="preserve"> </v>
      </c>
      <c r="Q22" s="50" t="str">
        <f t="shared" ref="Q22" si="9">IFERROR(B22*P22,"")</f>
        <v/>
      </c>
    </row>
    <row r="23" spans="1:17" s="2" customFormat="1" ht="12" customHeight="1">
      <c r="A23" s="4">
        <f t="shared" si="7"/>
        <v>506</v>
      </c>
      <c r="B23" s="2">
        <v>2</v>
      </c>
      <c r="C23" s="110" t="s">
        <v>428</v>
      </c>
      <c r="D23" s="268"/>
      <c r="E23" s="276"/>
      <c r="F23" s="112" t="str">
        <f>VLOOKUP(C23,Bolts!A:L,5,0)</f>
        <v xml:space="preserve">  </v>
      </c>
      <c r="G23" s="112" t="str">
        <f>VLOOKUP(C23,Bolts!A:L,6,0)</f>
        <v>Monroe Fasteners</v>
      </c>
      <c r="H23" s="112" t="str">
        <f>VLOOKUP(C23,Bolts!A:L,7,0)</f>
        <v xml:space="preserve">  </v>
      </c>
      <c r="I23" s="112"/>
      <c r="J23" s="44" t="str">
        <f>VLOOKUP(C23,Bolts!A:L,8,0)</f>
        <v xml:space="preserve"> </v>
      </c>
      <c r="K23" s="44" t="str">
        <f>VLOOKUP(C23,Bolts!A:L,9,0)</f>
        <v xml:space="preserve"> </v>
      </c>
      <c r="L23" s="44" t="str">
        <f>VLOOKUP(C23,Bolts!A:L,10,0)</f>
        <v xml:space="preserve"> </v>
      </c>
      <c r="M23" s="44" t="str">
        <f>VLOOKUP(C23,Bolts!A:L,11,0)</f>
        <v xml:space="preserve"> </v>
      </c>
      <c r="N23" s="45" t="str">
        <f>VLOOKUP(C23,Bolts!A:L,12,0)</f>
        <v xml:space="preserve"> </v>
      </c>
      <c r="O23" s="45" t="e">
        <f t="shared" ca="1" si="5"/>
        <v>#VALUE!</v>
      </c>
      <c r="P23" s="49" t="str">
        <f>IFERROR(VLOOKUP(C23,Bolts!A:B,2,FALSE),"")</f>
        <v xml:space="preserve"> </v>
      </c>
      <c r="Q23" s="50" t="str">
        <f t="shared" si="6"/>
        <v/>
      </c>
    </row>
    <row r="24" spans="1:17" s="2" customFormat="1" ht="12" customHeight="1">
      <c r="A24" s="4">
        <f t="shared" si="7"/>
        <v>507</v>
      </c>
      <c r="B24" s="2">
        <v>4</v>
      </c>
      <c r="C24" s="110" t="s">
        <v>660</v>
      </c>
      <c r="D24" s="268"/>
      <c r="E24" s="276"/>
      <c r="F24" s="112" t="str">
        <f>VLOOKUP(C24,Bolts!A:L,5,0)</f>
        <v xml:space="preserve">  </v>
      </c>
      <c r="G24" s="112" t="str">
        <f>VLOOKUP(C24,Bolts!A:L,6,0)</f>
        <v>Monroe Fasteners</v>
      </c>
      <c r="H24" s="112" t="str">
        <f>VLOOKUP(C24,Bolts!A:L,7,0)</f>
        <v xml:space="preserve">  </v>
      </c>
      <c r="I24" s="112"/>
      <c r="J24" s="44" t="str">
        <f>VLOOKUP(C24,Bolts!A:L,8,0)</f>
        <v xml:space="preserve"> </v>
      </c>
      <c r="K24" s="44" t="str">
        <f>VLOOKUP(C24,Bolts!A:L,9,0)</f>
        <v xml:space="preserve"> </v>
      </c>
      <c r="L24" s="44" t="str">
        <f>VLOOKUP(C24,Bolts!A:L,10,0)</f>
        <v xml:space="preserve"> </v>
      </c>
      <c r="M24" s="44" t="str">
        <f>VLOOKUP(C24,Bolts!A:L,11,0)</f>
        <v xml:space="preserve"> </v>
      </c>
      <c r="N24" s="45" t="str">
        <f>VLOOKUP(C24,Bolts!A:L,12,0)</f>
        <v xml:space="preserve"> </v>
      </c>
      <c r="O24" s="45" t="e">
        <f t="shared" ca="1" si="5"/>
        <v>#VALUE!</v>
      </c>
      <c r="P24" s="49" t="str">
        <f>IFERROR(VLOOKUP(C24,Bolts!A:B,2,FALSE),"")</f>
        <v xml:space="preserve"> </v>
      </c>
      <c r="Q24" s="50" t="str">
        <f t="shared" si="6"/>
        <v/>
      </c>
    </row>
    <row r="25" spans="1:17" s="2" customFormat="1" ht="12" customHeight="1" thickBot="1">
      <c r="A25" s="4">
        <f t="shared" si="7"/>
        <v>508</v>
      </c>
      <c r="B25" s="2">
        <v>4</v>
      </c>
      <c r="C25" s="110" t="s">
        <v>803</v>
      </c>
      <c r="D25" s="268"/>
      <c r="E25" s="276"/>
      <c r="F25" s="112" t="str">
        <f>VLOOKUP(C25,Bolts!A:L,5,0)</f>
        <v xml:space="preserve">  </v>
      </c>
      <c r="G25" s="112" t="str">
        <f>VLOOKUP(C25,Bolts!A:L,6,0)</f>
        <v>Monroe Fasteners</v>
      </c>
      <c r="H25" s="112" t="str">
        <f>VLOOKUP(C25,Bolts!A:L,7,0)</f>
        <v xml:space="preserve">  </v>
      </c>
      <c r="I25" s="112"/>
      <c r="J25" s="44" t="str">
        <f>VLOOKUP(C25,Bolts!A:L,8,0)</f>
        <v xml:space="preserve"> </v>
      </c>
      <c r="K25" s="44" t="str">
        <f>VLOOKUP(C25,Bolts!A:L,9,0)</f>
        <v xml:space="preserve"> </v>
      </c>
      <c r="L25" s="44" t="str">
        <f>VLOOKUP(C25,Bolts!A:L,10,0)</f>
        <v xml:space="preserve"> </v>
      </c>
      <c r="M25" s="44" t="str">
        <f>VLOOKUP(C25,Bolts!A:L,11,0)</f>
        <v xml:space="preserve"> </v>
      </c>
      <c r="N25" s="45" t="str">
        <f>VLOOKUP(C25,Bolts!A:L,12,0)</f>
        <v xml:space="preserve"> </v>
      </c>
      <c r="O25" s="45" t="e">
        <f t="shared" ca="1" si="5"/>
        <v>#VALUE!</v>
      </c>
      <c r="P25" s="49" t="str">
        <f>IFERROR(VLOOKUP(C25,Bolts!A:B,2,FALSE),"")</f>
        <v xml:space="preserve"> </v>
      </c>
      <c r="Q25" s="50" t="str">
        <f t="shared" si="6"/>
        <v/>
      </c>
    </row>
    <row r="26" spans="1:17" s="2" customFormat="1" ht="12.75" customHeight="1" thickBot="1">
      <c r="A26" s="34"/>
      <c r="B26" s="35"/>
      <c r="C26" s="35"/>
      <c r="D26" s="256"/>
      <c r="E26" s="257"/>
      <c r="F26" s="35"/>
      <c r="G26" s="35"/>
      <c r="H26" s="294"/>
      <c r="I26" s="295"/>
      <c r="J26" s="36"/>
      <c r="K26" s="36"/>
      <c r="L26" s="36"/>
      <c r="M26" s="37"/>
      <c r="N26" s="38"/>
      <c r="O26" s="38"/>
      <c r="P26" s="89" t="s">
        <v>43</v>
      </c>
      <c r="Q26" s="94">
        <f>SUM(Q5:Q25)</f>
        <v>5976.7052000000003</v>
      </c>
    </row>
    <row r="27" spans="1:17" s="2" customFormat="1" ht="12" customHeight="1">
      <c r="D27" s="22"/>
      <c r="E27" s="22"/>
      <c r="J27" s="8"/>
      <c r="K27" s="8"/>
      <c r="L27" s="8"/>
      <c r="M27" s="8"/>
      <c r="N27" s="5"/>
      <c r="O27" s="5"/>
      <c r="P27" s="88"/>
      <c r="Q27" s="95"/>
    </row>
    <row r="28" spans="1:17" s="2" customFormat="1" ht="12" customHeight="1">
      <c r="D28" s="22"/>
      <c r="E28" s="22"/>
      <c r="J28" s="5"/>
      <c r="K28" s="5"/>
      <c r="L28" s="5"/>
      <c r="M28" s="5"/>
      <c r="N28" s="5"/>
      <c r="O28" s="5"/>
      <c r="P28" s="88"/>
      <c r="Q28" s="95"/>
    </row>
    <row r="29" spans="1:17" s="2" customFormat="1" ht="12" customHeight="1">
      <c r="D29" s="22"/>
      <c r="E29" s="22"/>
      <c r="J29" s="5"/>
      <c r="K29" s="5"/>
      <c r="L29" s="5"/>
      <c r="M29" s="5"/>
      <c r="N29" s="5"/>
      <c r="O29" s="5"/>
      <c r="P29" s="88"/>
      <c r="Q29" s="95"/>
    </row>
    <row r="30" spans="1:17" s="2" customFormat="1" ht="12" customHeight="1">
      <c r="D30" s="22"/>
      <c r="E30" s="22"/>
      <c r="J30" s="5"/>
      <c r="K30" s="5"/>
      <c r="L30" s="5"/>
      <c r="M30" s="5"/>
      <c r="N30" s="5"/>
      <c r="O30" s="5"/>
      <c r="P30" s="88"/>
      <c r="Q30" s="95"/>
    </row>
    <row r="31" spans="1:17" s="2" customFormat="1" ht="12" customHeight="1">
      <c r="D31" s="22"/>
      <c r="E31" s="22"/>
      <c r="J31" s="5"/>
      <c r="K31" s="5"/>
      <c r="L31" s="5"/>
      <c r="M31" s="5"/>
      <c r="N31" s="5"/>
      <c r="O31" s="5"/>
      <c r="P31" s="88"/>
      <c r="Q31" s="95"/>
    </row>
    <row r="32" spans="1:17" s="2" customFormat="1" ht="12" customHeight="1">
      <c r="D32" s="22"/>
      <c r="E32" s="22"/>
      <c r="J32" s="5"/>
      <c r="K32" s="5"/>
      <c r="L32" s="5"/>
      <c r="M32" s="5"/>
      <c r="N32" s="5"/>
      <c r="O32" s="5"/>
      <c r="P32" s="88"/>
      <c r="Q32" s="95"/>
    </row>
    <row r="33" spans="4:17" s="2" customFormat="1" ht="12" customHeight="1">
      <c r="D33" s="22"/>
      <c r="E33" s="22"/>
      <c r="J33" s="5"/>
      <c r="K33" s="5"/>
      <c r="L33" s="5"/>
      <c r="M33" s="5"/>
      <c r="N33" s="5"/>
      <c r="O33" s="5"/>
      <c r="P33" s="88"/>
      <c r="Q33" s="95"/>
    </row>
    <row r="34" spans="4:17" s="2" customFormat="1" ht="12" customHeight="1">
      <c r="D34" s="22"/>
      <c r="E34" s="22"/>
      <c r="J34" s="5"/>
      <c r="K34" s="5"/>
      <c r="L34" s="5"/>
      <c r="M34" s="5"/>
      <c r="N34" s="5"/>
      <c r="O34" s="5"/>
      <c r="P34" s="88"/>
      <c r="Q34" s="95"/>
    </row>
    <row r="35" spans="4:17" s="2" customFormat="1" ht="12" customHeight="1">
      <c r="D35" s="22"/>
      <c r="E35" s="22"/>
      <c r="J35" s="5"/>
      <c r="K35" s="5"/>
      <c r="L35" s="5"/>
      <c r="M35" s="5"/>
      <c r="N35" s="5"/>
      <c r="O35" s="5"/>
      <c r="P35" s="88"/>
      <c r="Q35" s="95"/>
    </row>
    <row r="36" spans="4:17" s="2" customFormat="1" ht="12" customHeight="1">
      <c r="D36" s="22"/>
      <c r="E36" s="22"/>
      <c r="J36" s="5"/>
      <c r="K36" s="5"/>
      <c r="L36" s="5"/>
      <c r="M36" s="5"/>
      <c r="N36" s="5"/>
      <c r="O36" s="5"/>
      <c r="P36" s="88"/>
      <c r="Q36" s="95"/>
    </row>
    <row r="37" spans="4:17" s="2" customFormat="1" ht="12" customHeight="1">
      <c r="D37" s="22"/>
      <c r="E37" s="22"/>
      <c r="J37" s="5"/>
      <c r="K37" s="5"/>
      <c r="L37" s="5"/>
      <c r="M37" s="5"/>
      <c r="N37" s="5"/>
      <c r="O37" s="5"/>
      <c r="P37" s="88"/>
      <c r="Q37" s="95"/>
    </row>
    <row r="38" spans="4:17" s="2" customFormat="1" ht="12" customHeight="1">
      <c r="D38" s="22"/>
      <c r="E38" s="22"/>
      <c r="J38" s="5"/>
      <c r="K38" s="5"/>
      <c r="L38" s="5"/>
      <c r="M38" s="5"/>
      <c r="N38" s="5"/>
      <c r="O38" s="5"/>
      <c r="P38" s="88"/>
      <c r="Q38" s="95"/>
    </row>
    <row r="39" spans="4:17" s="2" customFormat="1" ht="12" customHeight="1">
      <c r="D39" s="22"/>
      <c r="E39" s="22"/>
      <c r="J39" s="5"/>
      <c r="K39" s="5"/>
      <c r="L39" s="5"/>
      <c r="M39" s="5"/>
      <c r="N39" s="5"/>
      <c r="O39" s="5"/>
      <c r="P39" s="88"/>
      <c r="Q39" s="95"/>
    </row>
    <row r="40" spans="4:17" s="2" customFormat="1" ht="12" customHeight="1">
      <c r="D40" s="22"/>
      <c r="E40" s="22"/>
      <c r="J40" s="5"/>
      <c r="K40" s="5"/>
      <c r="L40" s="5"/>
      <c r="M40" s="5"/>
      <c r="N40" s="5"/>
      <c r="O40" s="5"/>
      <c r="P40" s="88"/>
      <c r="Q40" s="95"/>
    </row>
    <row r="41" spans="4:17" s="2" customFormat="1" ht="12" customHeight="1">
      <c r="D41" s="22"/>
      <c r="E41" s="22"/>
      <c r="J41" s="5"/>
      <c r="K41" s="5"/>
      <c r="L41" s="5"/>
      <c r="M41" s="5"/>
      <c r="N41" s="5"/>
      <c r="O41" s="5"/>
      <c r="P41" s="88"/>
      <c r="Q41" s="95"/>
    </row>
    <row r="42" spans="4:17" s="2" customFormat="1" ht="12" customHeight="1">
      <c r="D42" s="22"/>
      <c r="E42" s="22"/>
      <c r="J42" s="5"/>
      <c r="K42" s="5"/>
      <c r="L42" s="5"/>
      <c r="M42" s="5"/>
      <c r="N42" s="5"/>
      <c r="O42" s="5"/>
      <c r="P42" s="88"/>
      <c r="Q42" s="95"/>
    </row>
    <row r="43" spans="4:17" s="2" customFormat="1" ht="12" customHeight="1">
      <c r="D43" s="22"/>
      <c r="E43" s="22"/>
      <c r="J43" s="5"/>
      <c r="K43" s="5"/>
      <c r="L43" s="5"/>
      <c r="M43" s="5"/>
      <c r="N43" s="5"/>
      <c r="O43" s="5"/>
      <c r="P43" s="88"/>
      <c r="Q43" s="95"/>
    </row>
    <row r="44" spans="4:17" s="2" customFormat="1" ht="12" customHeight="1">
      <c r="D44" s="22"/>
      <c r="E44" s="22"/>
      <c r="J44" s="5"/>
      <c r="K44" s="5"/>
      <c r="L44" s="5"/>
      <c r="M44" s="5"/>
      <c r="N44" s="5"/>
      <c r="O44" s="5"/>
      <c r="P44" s="88"/>
      <c r="Q44" s="95"/>
    </row>
    <row r="45" spans="4:17" s="2" customFormat="1" ht="12" customHeight="1">
      <c r="D45" s="22"/>
      <c r="E45" s="22"/>
      <c r="J45" s="5"/>
      <c r="K45" s="5"/>
      <c r="L45" s="5"/>
      <c r="M45" s="5"/>
      <c r="N45" s="5"/>
      <c r="O45" s="5"/>
      <c r="P45" s="88"/>
      <c r="Q45" s="95"/>
    </row>
    <row r="46" spans="4:17" s="2" customFormat="1" ht="12" customHeight="1">
      <c r="D46" s="22"/>
      <c r="E46" s="22"/>
      <c r="J46" s="5"/>
      <c r="K46" s="5"/>
      <c r="L46" s="5"/>
      <c r="M46" s="5"/>
      <c r="N46" s="5"/>
      <c r="O46" s="5"/>
      <c r="P46" s="88"/>
      <c r="Q46" s="95"/>
    </row>
    <row r="47" spans="4:17" s="2" customFormat="1" ht="12" customHeight="1">
      <c r="D47" s="22"/>
      <c r="E47" s="22"/>
      <c r="J47" s="5"/>
      <c r="K47" s="5"/>
      <c r="L47" s="5"/>
      <c r="M47" s="5"/>
      <c r="N47" s="5"/>
      <c r="O47" s="5"/>
      <c r="P47" s="88"/>
      <c r="Q47" s="95"/>
    </row>
    <row r="48" spans="4:17" s="2" customFormat="1" ht="12" customHeight="1">
      <c r="D48" s="22"/>
      <c r="E48" s="22"/>
      <c r="J48" s="5"/>
      <c r="K48" s="5"/>
      <c r="L48" s="5"/>
      <c r="M48" s="5"/>
      <c r="N48" s="5"/>
      <c r="O48" s="5"/>
      <c r="P48" s="88"/>
      <c r="Q48" s="95"/>
    </row>
    <row r="49" spans="4:17" s="2" customFormat="1" ht="12" customHeight="1">
      <c r="D49" s="22"/>
      <c r="E49" s="22"/>
      <c r="J49" s="5"/>
      <c r="K49" s="5"/>
      <c r="L49" s="5"/>
      <c r="M49" s="5"/>
      <c r="N49" s="5"/>
      <c r="O49" s="5"/>
      <c r="P49" s="88"/>
      <c r="Q49" s="95"/>
    </row>
    <row r="50" spans="4:17" s="2" customFormat="1" ht="12" customHeight="1">
      <c r="D50" s="22"/>
      <c r="E50" s="22"/>
      <c r="J50" s="5"/>
      <c r="K50" s="5"/>
      <c r="L50" s="5"/>
      <c r="M50" s="5"/>
      <c r="N50" s="5"/>
      <c r="O50" s="5"/>
      <c r="P50" s="88"/>
      <c r="Q50" s="95"/>
    </row>
    <row r="51" spans="4:17" s="2" customFormat="1" ht="12" customHeight="1">
      <c r="D51" s="22"/>
      <c r="E51" s="22"/>
      <c r="J51" s="5"/>
      <c r="K51" s="5"/>
      <c r="L51" s="5"/>
      <c r="M51" s="5"/>
      <c r="N51" s="5"/>
      <c r="O51" s="5"/>
      <c r="P51" s="88"/>
      <c r="Q51" s="95"/>
    </row>
    <row r="52" spans="4:17" s="2" customFormat="1" ht="12" customHeight="1">
      <c r="D52" s="22"/>
      <c r="E52" s="22"/>
      <c r="J52" s="5"/>
      <c r="K52" s="5"/>
      <c r="L52" s="5"/>
      <c r="M52" s="5"/>
      <c r="N52" s="5"/>
      <c r="O52" s="5"/>
      <c r="P52" s="88"/>
      <c r="Q52" s="95"/>
    </row>
    <row r="53" spans="4:17" s="2" customFormat="1" ht="12" customHeight="1">
      <c r="D53" s="22"/>
      <c r="E53" s="22"/>
      <c r="J53" s="5"/>
      <c r="K53" s="5"/>
      <c r="L53" s="5"/>
      <c r="M53" s="5"/>
      <c r="N53" s="5"/>
      <c r="O53" s="5"/>
      <c r="P53" s="88"/>
      <c r="Q53" s="95"/>
    </row>
    <row r="54" spans="4:17" s="2" customFormat="1" ht="12" customHeight="1">
      <c r="D54" s="22"/>
      <c r="E54" s="22"/>
      <c r="J54" s="5"/>
      <c r="K54" s="5"/>
      <c r="L54" s="5"/>
      <c r="M54" s="5"/>
      <c r="N54" s="5"/>
      <c r="O54" s="5"/>
      <c r="P54" s="88"/>
      <c r="Q54" s="95"/>
    </row>
    <row r="55" spans="4:17" s="2" customFormat="1" ht="12" customHeight="1">
      <c r="D55" s="22"/>
      <c r="E55" s="22"/>
      <c r="J55" s="5"/>
      <c r="K55" s="5"/>
      <c r="L55" s="5"/>
      <c r="M55" s="5"/>
      <c r="N55" s="5"/>
      <c r="O55" s="5"/>
      <c r="P55" s="88"/>
      <c r="Q55" s="95"/>
    </row>
    <row r="56" spans="4:17" s="2" customFormat="1" ht="12" customHeight="1">
      <c r="D56" s="22"/>
      <c r="E56" s="22"/>
      <c r="J56" s="5"/>
      <c r="K56" s="5"/>
      <c r="L56" s="5"/>
      <c r="M56" s="5"/>
      <c r="N56" s="5"/>
      <c r="O56" s="5"/>
      <c r="P56" s="88"/>
      <c r="Q56" s="95"/>
    </row>
    <row r="57" spans="4:17" s="2" customFormat="1" ht="12" customHeight="1">
      <c r="D57" s="22"/>
      <c r="E57" s="22"/>
      <c r="J57" s="5"/>
      <c r="K57" s="5"/>
      <c r="L57" s="5"/>
      <c r="M57" s="5"/>
      <c r="N57" s="5"/>
      <c r="O57" s="5"/>
      <c r="P57" s="88"/>
      <c r="Q57" s="95"/>
    </row>
    <row r="58" spans="4:17" s="2" customFormat="1" ht="12" customHeight="1">
      <c r="D58" s="22"/>
      <c r="E58" s="22"/>
      <c r="J58" s="5"/>
      <c r="K58" s="5"/>
      <c r="L58" s="5"/>
      <c r="M58" s="5"/>
      <c r="N58" s="5"/>
      <c r="O58" s="5"/>
      <c r="P58" s="88"/>
      <c r="Q58" s="95"/>
    </row>
    <row r="59" spans="4:17" s="2" customFormat="1" ht="12" customHeight="1">
      <c r="D59" s="22"/>
      <c r="E59" s="22"/>
      <c r="J59" s="5"/>
      <c r="K59" s="5"/>
      <c r="L59" s="5"/>
      <c r="M59" s="5"/>
      <c r="N59" s="5"/>
      <c r="O59" s="5"/>
      <c r="P59" s="88"/>
      <c r="Q59" s="95"/>
    </row>
    <row r="60" spans="4:17" s="2" customFormat="1" ht="12" customHeight="1">
      <c r="D60" s="22"/>
      <c r="E60" s="22"/>
      <c r="J60" s="5"/>
      <c r="K60" s="5"/>
      <c r="L60" s="5"/>
      <c r="M60" s="5"/>
      <c r="N60" s="5"/>
      <c r="O60" s="5"/>
      <c r="P60" s="88"/>
      <c r="Q60" s="95"/>
    </row>
    <row r="61" spans="4:17" s="2" customFormat="1" ht="12" customHeight="1">
      <c r="D61" s="22"/>
      <c r="E61" s="22"/>
      <c r="J61" s="5"/>
      <c r="K61" s="5"/>
      <c r="L61" s="5"/>
      <c r="M61" s="5"/>
      <c r="N61" s="5"/>
      <c r="O61" s="5"/>
      <c r="P61" s="88"/>
      <c r="Q61" s="95"/>
    </row>
    <row r="62" spans="4:17" s="2" customFormat="1" ht="12" customHeight="1">
      <c r="D62" s="22"/>
      <c r="E62" s="22"/>
      <c r="J62" s="5"/>
      <c r="K62" s="5"/>
      <c r="L62" s="5"/>
      <c r="M62" s="5"/>
      <c r="N62" s="5"/>
      <c r="O62" s="5"/>
      <c r="P62" s="88"/>
      <c r="Q62" s="95"/>
    </row>
    <row r="63" spans="4:17" s="2" customFormat="1" ht="12" customHeight="1">
      <c r="D63" s="22"/>
      <c r="E63" s="22"/>
      <c r="J63" s="5"/>
      <c r="K63" s="5"/>
      <c r="L63" s="5"/>
      <c r="M63" s="5"/>
      <c r="N63" s="5"/>
      <c r="O63" s="5"/>
      <c r="P63" s="88"/>
      <c r="Q63" s="95"/>
    </row>
    <row r="64" spans="4:17" s="2" customFormat="1" ht="12" customHeight="1">
      <c r="D64" s="22"/>
      <c r="E64" s="22"/>
      <c r="J64" s="5"/>
      <c r="K64" s="5"/>
      <c r="L64" s="5"/>
      <c r="M64" s="5"/>
      <c r="N64" s="5"/>
      <c r="O64" s="5"/>
      <c r="P64" s="88"/>
      <c r="Q64" s="95"/>
    </row>
    <row r="65" spans="1:17" s="2" customFormat="1" ht="12" customHeight="1">
      <c r="D65" s="22"/>
      <c r="E65" s="22"/>
      <c r="J65" s="5"/>
      <c r="K65" s="5"/>
      <c r="L65" s="5"/>
      <c r="M65" s="5"/>
      <c r="N65" s="5"/>
      <c r="O65" s="5"/>
      <c r="P65" s="88"/>
      <c r="Q65" s="96"/>
    </row>
    <row r="66" spans="1:17" s="2" customFormat="1" ht="12" customHeight="1">
      <c r="D66" s="22"/>
      <c r="E66" s="22"/>
      <c r="J66" s="5"/>
      <c r="K66" s="5"/>
      <c r="L66" s="5"/>
      <c r="M66" s="5"/>
      <c r="N66" s="5"/>
      <c r="O66" s="5"/>
      <c r="P66" s="88"/>
      <c r="Q66" s="96"/>
    </row>
    <row r="67" spans="1:17" s="2" customFormat="1" ht="12" customHeight="1">
      <c r="D67" s="22"/>
      <c r="E67" s="22"/>
      <c r="J67" s="5"/>
      <c r="K67" s="5"/>
      <c r="L67" s="5"/>
      <c r="M67" s="5"/>
      <c r="N67" s="5"/>
      <c r="O67" s="5"/>
      <c r="P67" s="88"/>
      <c r="Q67" s="96"/>
    </row>
    <row r="68" spans="1:17" s="2" customFormat="1" ht="12" customHeight="1">
      <c r="D68" s="22"/>
      <c r="E68" s="22"/>
      <c r="J68" s="5"/>
      <c r="K68" s="5"/>
      <c r="L68" s="5"/>
      <c r="M68" s="5"/>
      <c r="N68" s="5"/>
      <c r="O68" s="5"/>
      <c r="P68" s="88"/>
      <c r="Q68" s="96"/>
    </row>
    <row r="69" spans="1:17" s="2" customFormat="1" ht="12" customHeight="1">
      <c r="A69"/>
      <c r="B69"/>
      <c r="C69"/>
      <c r="D69" s="23"/>
      <c r="E69" s="23"/>
      <c r="F69"/>
      <c r="G69"/>
      <c r="H69"/>
      <c r="I69"/>
      <c r="J69" s="19"/>
      <c r="K69" s="19"/>
      <c r="L69" s="19"/>
      <c r="M69" s="19"/>
      <c r="N69" s="19"/>
      <c r="O69" s="19"/>
      <c r="P69" s="90"/>
      <c r="Q69" s="96"/>
    </row>
    <row r="70" spans="1:17" s="2" customFormat="1" ht="12" customHeight="1">
      <c r="A70"/>
      <c r="B70"/>
      <c r="C70"/>
      <c r="D70" s="23"/>
      <c r="E70" s="23"/>
      <c r="F70"/>
      <c r="G70"/>
      <c r="H70"/>
      <c r="I70"/>
      <c r="J70" s="19"/>
      <c r="K70" s="19"/>
      <c r="L70" s="19"/>
      <c r="M70" s="19"/>
      <c r="N70" s="19"/>
      <c r="O70" s="19"/>
      <c r="P70" s="90"/>
      <c r="Q70" s="96"/>
    </row>
    <row r="71" spans="1:17" s="2" customFormat="1" ht="12" customHeight="1">
      <c r="A71"/>
      <c r="B71"/>
      <c r="C71"/>
      <c r="D71" s="23"/>
      <c r="E71" s="23"/>
      <c r="F71"/>
      <c r="G71"/>
      <c r="H71"/>
      <c r="I71"/>
      <c r="J71" s="19"/>
      <c r="K71" s="19"/>
      <c r="L71" s="19"/>
      <c r="M71" s="19"/>
      <c r="N71" s="19"/>
      <c r="O71" s="19"/>
      <c r="P71" s="90"/>
      <c r="Q71" s="96"/>
    </row>
    <row r="72" spans="1:17" s="2" customFormat="1" ht="12" customHeight="1">
      <c r="A72"/>
      <c r="B72"/>
      <c r="C72"/>
      <c r="D72" s="23"/>
      <c r="E72" s="23"/>
      <c r="F72"/>
      <c r="G72"/>
      <c r="H72"/>
      <c r="I72"/>
      <c r="J72" s="19"/>
      <c r="K72" s="19"/>
      <c r="L72" s="19"/>
      <c r="M72" s="19"/>
      <c r="N72" s="19"/>
      <c r="O72" s="19"/>
      <c r="P72" s="90"/>
      <c r="Q72" s="96"/>
    </row>
    <row r="73" spans="1:17" s="2" customFormat="1" ht="12" customHeight="1">
      <c r="A73"/>
      <c r="B73"/>
      <c r="C73"/>
      <c r="D73" s="23"/>
      <c r="E73" s="23"/>
      <c r="F73"/>
      <c r="G73"/>
      <c r="H73"/>
      <c r="I73"/>
      <c r="J73" s="19"/>
      <c r="K73" s="19"/>
      <c r="L73" s="19"/>
      <c r="M73" s="19"/>
      <c r="N73" s="19"/>
      <c r="O73" s="19"/>
      <c r="P73" s="90"/>
      <c r="Q73" s="96"/>
    </row>
    <row r="74" spans="1:17">
      <c r="Q74" s="96"/>
    </row>
    <row r="75" spans="1:17">
      <c r="Q75" s="96"/>
    </row>
    <row r="76" spans="1:17">
      <c r="Q76" s="96"/>
    </row>
    <row r="77" spans="1:17">
      <c r="Q77" s="96"/>
    </row>
    <row r="78" spans="1:17">
      <c r="Q78" s="96"/>
    </row>
    <row r="79" spans="1:17">
      <c r="Q79" s="96"/>
    </row>
    <row r="80" spans="1:17">
      <c r="Q80" s="96"/>
    </row>
    <row r="81" spans="17:17">
      <c r="Q81" s="96"/>
    </row>
    <row r="82" spans="17:17">
      <c r="Q82" s="96"/>
    </row>
    <row r="83" spans="17:17">
      <c r="Q83" s="96"/>
    </row>
    <row r="84" spans="17:17">
      <c r="Q84" s="96"/>
    </row>
    <row r="85" spans="17:17">
      <c r="Q85" s="96"/>
    </row>
    <row r="86" spans="17:17">
      <c r="Q86" s="96"/>
    </row>
    <row r="87" spans="17:17">
      <c r="Q87" s="96"/>
    </row>
    <row r="88" spans="17:17">
      <c r="Q88" s="96"/>
    </row>
    <row r="89" spans="17:17">
      <c r="Q89" s="96"/>
    </row>
    <row r="90" spans="17:17">
      <c r="Q90" s="96"/>
    </row>
    <row r="91" spans="17:17">
      <c r="Q91" s="96"/>
    </row>
    <row r="92" spans="17:17">
      <c r="Q92" s="96"/>
    </row>
    <row r="93" spans="17:17">
      <c r="Q93" s="96"/>
    </row>
    <row r="130" ht="12" customHeight="1"/>
    <row r="131" ht="12" customHeight="1"/>
    <row r="132" ht="12" customHeight="1"/>
    <row r="133" ht="12" customHeight="1"/>
    <row r="134" ht="12" customHeight="1"/>
    <row r="135" ht="12" customHeight="1"/>
    <row r="136" ht="12" customHeight="1"/>
    <row r="137" ht="12" customHeight="1"/>
    <row r="138" ht="12" customHeight="1"/>
    <row r="139" ht="12" customHeight="1"/>
    <row r="140" ht="12" customHeight="1"/>
    <row r="141" ht="12" customHeight="1"/>
    <row r="142" ht="12" customHeight="1"/>
    <row r="143" ht="12" customHeight="1"/>
    <row r="144" ht="12" customHeight="1"/>
    <row r="145" ht="12" customHeight="1"/>
    <row r="146" ht="12" customHeight="1"/>
    <row r="147" ht="12" customHeight="1"/>
    <row r="148" ht="12" customHeight="1"/>
    <row r="149" ht="12" customHeight="1"/>
    <row r="150" ht="12" customHeight="1"/>
    <row r="151" ht="12" customHeight="1"/>
    <row r="152" ht="12" customHeight="1"/>
    <row r="153" ht="12" customHeight="1"/>
    <row r="154" ht="12" customHeight="1"/>
    <row r="155" ht="12" customHeight="1"/>
    <row r="156" ht="12" customHeight="1"/>
    <row r="157" ht="12" customHeight="1"/>
    <row r="158" ht="12" customHeight="1"/>
    <row r="159" ht="12" customHeight="1"/>
    <row r="160" ht="12" customHeight="1"/>
    <row r="161" ht="12" customHeight="1"/>
    <row r="162" ht="12" customHeight="1"/>
    <row r="163" ht="12" customHeight="1"/>
    <row r="164" ht="12" customHeight="1"/>
    <row r="165" ht="12" customHeight="1"/>
    <row r="166" ht="12" customHeight="1"/>
    <row r="167" ht="12" customHeight="1"/>
    <row r="168" ht="12" customHeight="1"/>
    <row r="169" ht="12" customHeight="1"/>
    <row r="170" ht="12" customHeight="1"/>
    <row r="171" ht="12" customHeight="1"/>
    <row r="172" ht="12" customHeight="1"/>
    <row r="173" ht="12" customHeight="1"/>
    <row r="174" ht="12" customHeight="1"/>
    <row r="175" ht="12" customHeight="1"/>
    <row r="176" ht="12" customHeight="1"/>
    <row r="177" ht="12" customHeight="1"/>
    <row r="178" ht="12" customHeight="1"/>
    <row r="179" ht="12" customHeight="1"/>
  </sheetData>
  <mergeCells count="27">
    <mergeCell ref="D26:E26"/>
    <mergeCell ref="H26:I26"/>
    <mergeCell ref="D21:E21"/>
    <mergeCell ref="D23:E23"/>
    <mergeCell ref="D24:E24"/>
    <mergeCell ref="D17:E17"/>
    <mergeCell ref="D25:E25"/>
    <mergeCell ref="D16:E16"/>
    <mergeCell ref="H17:I17"/>
    <mergeCell ref="D18:E18"/>
    <mergeCell ref="D19:E19"/>
    <mergeCell ref="D20:E20"/>
    <mergeCell ref="D11:E11"/>
    <mergeCell ref="D12:E12"/>
    <mergeCell ref="D13:E13"/>
    <mergeCell ref="D14:E14"/>
    <mergeCell ref="D15:E15"/>
    <mergeCell ref="D7:E7"/>
    <mergeCell ref="D8:E8"/>
    <mergeCell ref="D9:E9"/>
    <mergeCell ref="D10:E10"/>
    <mergeCell ref="H10:I10"/>
    <mergeCell ref="D1:E1"/>
    <mergeCell ref="D4:E4"/>
    <mergeCell ref="H4:I4"/>
    <mergeCell ref="D5:E5"/>
    <mergeCell ref="D6:E6"/>
  </mergeCells>
  <conditionalFormatting sqref="M5:M9 M11:M16 M18:M25">
    <cfRule type="cellIs" dxfId="340" priority="3" stopIfTrue="1" operator="lessThanOrEqual">
      <formula>$L5</formula>
    </cfRule>
    <cfRule type="cellIs" dxfId="339" priority="4" operator="greaterThan">
      <formula>L5</formula>
    </cfRule>
  </conditionalFormatting>
  <pageMargins left="0.7" right="0.7" top="0.75" bottom="0.75" header="0.3" footer="0.3"/>
  <pageSetup paperSize="3" fitToHeight="0" orientation="landscape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89D5333-C837-493F-89F4-8868384FD816}">
          <x14:formula1>
            <xm:f>Bolts!$A:$A</xm:f>
          </x14:formula1>
          <xm:sqref>C18:C25</xm:sqref>
        </x14:dataValidation>
        <x14:dataValidation type="list" allowBlank="1" showInputMessage="1" showErrorMessage="1" xr:uid="{A5A8340F-3AC2-494C-9FF0-0D59163F7F5A}">
          <x14:formula1>
            <xm:f>Purchased!$A:$A</xm:f>
          </x14:formula1>
          <xm:sqref>C11:C16</xm:sqref>
        </x14:dataValidation>
        <x14:dataValidation type="list" allowBlank="1" showInputMessage="1" showErrorMessage="1" xr:uid="{B90FFA9E-B0EA-4DEC-97C7-7B31A0A505D9}">
          <x14:formula1>
            <xm:f>Machined!$C:$C</xm:f>
          </x14:formula1>
          <xm:sqref>C5:C9</xm:sqref>
        </x14:dataValidation>
      </x14:dataValidations>
    </ext>
  </extLst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666BC-3754-4EBD-843B-68BFF9141C68}">
  <sheetPr codeName="Sheet89">
    <tabColor theme="3" tint="0.79998168889431442"/>
    <pageSetUpPr fitToPage="1"/>
  </sheetPr>
  <dimension ref="A1:Q178"/>
  <sheetViews>
    <sheetView zoomScaleNormal="100" workbookViewId="0">
      <selection activeCell="E32" sqref="E32"/>
    </sheetView>
  </sheetViews>
  <sheetFormatPr defaultColWidth="9.140625" defaultRowHeight="15"/>
  <cols>
    <col min="1" max="1" width="5.7109375" customWidth="1"/>
    <col min="2" max="2" width="5.42578125" bestFit="1" customWidth="1"/>
    <col min="3" max="3" width="30.7109375" customWidth="1"/>
    <col min="4" max="5" width="20.7109375" style="23" customWidth="1"/>
    <col min="6" max="6" width="16.85546875" bestFit="1" customWidth="1"/>
    <col min="7" max="7" width="9.7109375" customWidth="1"/>
    <col min="8" max="8" width="8.7109375" customWidth="1"/>
    <col min="9" max="9" width="20.7109375" customWidth="1"/>
    <col min="10" max="13" width="11.7109375" style="19" customWidth="1"/>
    <col min="14" max="14" width="11.85546875" style="19" bestFit="1" customWidth="1"/>
    <col min="15" max="15" width="7.7109375" style="19" customWidth="1"/>
    <col min="16" max="16" width="10.7109375" style="90" customWidth="1"/>
    <col min="17" max="17" width="10.7109375" style="97" customWidth="1"/>
  </cols>
  <sheetData>
    <row r="1" spans="1:17" s="55" customFormat="1" ht="12" customHeight="1">
      <c r="A1" s="68" t="s">
        <v>0</v>
      </c>
      <c r="B1" s="69"/>
      <c r="C1" s="69"/>
      <c r="D1" s="262" t="s">
        <v>1</v>
      </c>
      <c r="E1" s="263"/>
      <c r="F1" s="70"/>
      <c r="G1" s="69"/>
      <c r="H1" s="70"/>
      <c r="I1" s="71"/>
      <c r="J1" s="72"/>
      <c r="K1" s="72"/>
      <c r="L1" s="72"/>
      <c r="M1" s="72"/>
      <c r="N1" s="72"/>
      <c r="O1" s="72"/>
      <c r="P1" s="85"/>
      <c r="Q1" s="91"/>
    </row>
    <row r="2" spans="1:17" s="55" customFormat="1" ht="12" customHeight="1">
      <c r="A2" s="74" t="s">
        <v>48</v>
      </c>
      <c r="B2" s="58"/>
      <c r="C2" s="57" t="e">
        <f ca="1">VLOOKUP(E3,Assemblies!B:F,4,0)</f>
        <v>#VALUE!</v>
      </c>
      <c r="D2" s="75" t="s">
        <v>3</v>
      </c>
      <c r="E2" s="76" t="e">
        <f ca="1">'GF12'!E2</f>
        <v>#VALUE!</v>
      </c>
      <c r="F2" s="77" t="s">
        <v>4</v>
      </c>
      <c r="G2" s="58" t="str">
        <f>'GF12'!G2</f>
        <v>GH</v>
      </c>
      <c r="H2" s="77" t="s">
        <v>6</v>
      </c>
      <c r="I2" s="59">
        <f>'GF12'!I2</f>
        <v>44775</v>
      </c>
      <c r="J2" s="39"/>
      <c r="K2" s="40" t="s">
        <v>49</v>
      </c>
      <c r="L2" s="41" t="e">
        <f ca="1">VLOOKUP(C2,Assemblies!E:G,3,0)</f>
        <v>#VALUE!</v>
      </c>
      <c r="M2" s="78"/>
      <c r="N2" s="78"/>
      <c r="O2" s="78"/>
      <c r="P2" s="86"/>
      <c r="Q2" s="92"/>
    </row>
    <row r="3" spans="1:17" s="55" customFormat="1" ht="12" customHeight="1" thickBot="1">
      <c r="A3" s="74" t="s">
        <v>7</v>
      </c>
      <c r="B3" s="58"/>
      <c r="C3" s="57" t="e">
        <f ca="1">VLOOKUP(E3,Assemblies!B:F,5,0)</f>
        <v>#VALUE!</v>
      </c>
      <c r="D3" s="75" t="s">
        <v>50</v>
      </c>
      <c r="E3" s="76" t="e">
        <f ca="1">MID(CELL("filename",A1),FIND("]",CELL("filename",A1))+1,256)</f>
        <v>#VALUE!</v>
      </c>
      <c r="F3" s="77" t="s">
        <v>11</v>
      </c>
      <c r="G3" s="58" t="str">
        <f>'GF12'!G3</f>
        <v>GH</v>
      </c>
      <c r="H3" s="77" t="s">
        <v>6</v>
      </c>
      <c r="I3" s="59">
        <f>'GF12'!I3</f>
        <v>44775</v>
      </c>
      <c r="J3" s="78"/>
      <c r="K3" s="78"/>
      <c r="L3" s="78"/>
      <c r="M3" s="78"/>
      <c r="N3" s="78"/>
      <c r="O3" s="78"/>
      <c r="P3" s="86"/>
      <c r="Q3" s="92"/>
    </row>
    <row r="4" spans="1:17" s="56" customFormat="1" ht="12.75" customHeight="1" thickBot="1">
      <c r="A4" s="80" t="s">
        <v>12</v>
      </c>
      <c r="B4" s="81" t="s">
        <v>13</v>
      </c>
      <c r="C4" s="81" t="s">
        <v>14</v>
      </c>
      <c r="D4" s="270" t="s">
        <v>15</v>
      </c>
      <c r="E4" s="271"/>
      <c r="F4" s="104" t="s">
        <v>16</v>
      </c>
      <c r="G4" s="81" t="s">
        <v>17</v>
      </c>
      <c r="H4" s="260" t="s">
        <v>18</v>
      </c>
      <c r="I4" s="261"/>
      <c r="J4" s="81" t="s">
        <v>51</v>
      </c>
      <c r="K4" s="81" t="s">
        <v>20</v>
      </c>
      <c r="L4" s="81" t="s">
        <v>21</v>
      </c>
      <c r="M4" s="81" t="s">
        <v>52</v>
      </c>
      <c r="N4" s="81" t="s">
        <v>22</v>
      </c>
      <c r="O4" s="81" t="s">
        <v>53</v>
      </c>
      <c r="P4" s="107" t="s">
        <v>26</v>
      </c>
      <c r="Q4" s="82" t="s">
        <v>27</v>
      </c>
    </row>
    <row r="5" spans="1:17" s="2" customFormat="1" ht="12.75" customHeight="1">
      <c r="A5" s="127">
        <v>1</v>
      </c>
      <c r="B5" s="21">
        <v>1</v>
      </c>
      <c r="C5" s="108" t="s">
        <v>1066</v>
      </c>
      <c r="D5" s="277" t="str">
        <f>VLOOKUP(C5,Machined!C:Q,2,0)</f>
        <v>LOWER SIDE SEAL BAR</v>
      </c>
      <c r="E5" s="278"/>
      <c r="F5" s="131" t="str">
        <f>VLOOKUP(C5,Machined!C:R,7,0)</f>
        <v xml:space="preserve">MIC 6 </v>
      </c>
      <c r="G5" s="131" t="str">
        <f>VLOOKUP(C5,Machined!C:R,10,0)</f>
        <v>XOMETRY</v>
      </c>
      <c r="H5" s="131" t="str">
        <f>VLOOKUP(C5,Machined!C:R,11,0)</f>
        <v xml:space="preserve">  </v>
      </c>
      <c r="I5" s="131"/>
      <c r="J5" s="42">
        <f>VLOOKUP(C5,Machined!C:R,12,0)</f>
        <v>45084</v>
      </c>
      <c r="K5" s="42">
        <f>VLOOKUP(C5,Machined!C:R,13,0)</f>
        <v>45127</v>
      </c>
      <c r="L5" s="42">
        <f>VLOOKUP(C5,Machined!C:R,14,0)</f>
        <v>45156</v>
      </c>
      <c r="M5" s="42">
        <f>VLOOKUP(C5,Machined!C:R,15,0)</f>
        <v>45156</v>
      </c>
      <c r="N5" s="43">
        <f>VLOOKUP(C5,Machined!C:R,16,0)</f>
        <v>55003</v>
      </c>
      <c r="O5" s="43" t="e">
        <f t="shared" ref="O5:O10" ca="1" si="0">B5*$L$2</f>
        <v>#VALUE!</v>
      </c>
      <c r="P5" s="47">
        <f>IFERROR(VLOOKUP(C5,Machined!C:F,3,0),"")</f>
        <v>285.83999999999997</v>
      </c>
      <c r="Q5" s="48">
        <f t="shared" ref="Q5:Q10" si="1">IFERROR(B5*P5,"")</f>
        <v>285.83999999999997</v>
      </c>
    </row>
    <row r="6" spans="1:17" s="2" customFormat="1" ht="12.75" customHeight="1">
      <c r="A6" s="127">
        <v>2</v>
      </c>
      <c r="B6" s="21">
        <v>1</v>
      </c>
      <c r="C6" s="108" t="s">
        <v>1067</v>
      </c>
      <c r="D6" s="277" t="str">
        <f>VLOOKUP(C6,Machined!C:Q,2,0)</f>
        <v xml:space="preserve">SIDE SEAL MID BAR </v>
      </c>
      <c r="E6" s="278"/>
      <c r="F6" s="131" t="str">
        <f>VLOOKUP(C6,Machined!C:R,7,0)</f>
        <v xml:space="preserve">MIC 6 </v>
      </c>
      <c r="G6" s="131" t="str">
        <f>VLOOKUP(C6,Machined!C:R,10,0)</f>
        <v>XOMETRY</v>
      </c>
      <c r="H6" s="131" t="str">
        <f>VLOOKUP(C6,Machined!C:R,11,0)</f>
        <v>Nuline add 2x M4 Taps</v>
      </c>
      <c r="I6" s="131"/>
      <c r="J6" s="42">
        <f>VLOOKUP(C6,Machined!C:R,12,0)</f>
        <v>45084</v>
      </c>
      <c r="K6" s="42">
        <f>VLOOKUP(C6,Machined!C:R,13,0)</f>
        <v>45127</v>
      </c>
      <c r="L6" s="42">
        <f>VLOOKUP(C6,Machined!C:R,14,0)</f>
        <v>45156</v>
      </c>
      <c r="M6" s="42">
        <f>VLOOKUP(C6,Machined!C:R,15,0)</f>
        <v>45156</v>
      </c>
      <c r="N6" s="43">
        <f>VLOOKUP(C6,Machined!C:R,16,0)</f>
        <v>55003</v>
      </c>
      <c r="O6" s="43" t="e">
        <f t="shared" ca="1" si="0"/>
        <v>#VALUE!</v>
      </c>
      <c r="P6" s="47">
        <f>IFERROR(VLOOKUP(C6,Machined!C:F,3,0),"")</f>
        <v>146.12</v>
      </c>
      <c r="Q6" s="48">
        <f t="shared" si="1"/>
        <v>146.12</v>
      </c>
    </row>
    <row r="7" spans="1:17" s="2" customFormat="1" ht="12.75" customHeight="1">
      <c r="A7" s="127">
        <v>3</v>
      </c>
      <c r="B7" s="21">
        <v>1</v>
      </c>
      <c r="C7" s="108" t="s">
        <v>1068</v>
      </c>
      <c r="D7" s="277" t="str">
        <f>VLOOKUP(C7,Machined!C:Q,2,0)</f>
        <v>SIDE SEAL DIE CAP</v>
      </c>
      <c r="E7" s="278"/>
      <c r="F7" s="131" t="str">
        <f>VLOOKUP(C7,Machined!C:R,7,0)</f>
        <v xml:space="preserve">MIC 6 </v>
      </c>
      <c r="G7" s="131" t="str">
        <f>VLOOKUP(C7,Machined!C:R,10,0)</f>
        <v>XOMETRY</v>
      </c>
      <c r="H7" s="131" t="str">
        <f>VLOOKUP(C7,Machined!C:R,11,0)</f>
        <v xml:space="preserve">  </v>
      </c>
      <c r="I7" s="131"/>
      <c r="J7" s="42">
        <f>VLOOKUP(C7,Machined!C:R,12,0)</f>
        <v>45084</v>
      </c>
      <c r="K7" s="42">
        <f>VLOOKUP(C7,Machined!C:R,13,0)</f>
        <v>45127</v>
      </c>
      <c r="L7" s="42">
        <f>VLOOKUP(C7,Machined!C:R,14,0)</f>
        <v>45156</v>
      </c>
      <c r="M7" s="42">
        <f>VLOOKUP(C7,Machined!C:R,15,0)</f>
        <v>45156</v>
      </c>
      <c r="N7" s="43">
        <f>VLOOKUP(C7,Machined!C:R,16,0)</f>
        <v>55003</v>
      </c>
      <c r="O7" s="43" t="e">
        <f t="shared" ca="1" si="0"/>
        <v>#VALUE!</v>
      </c>
      <c r="P7" s="47">
        <f>IFERROR(VLOOKUP(C7,Machined!C:F,3,0),"")</f>
        <v>201.45</v>
      </c>
      <c r="Q7" s="48">
        <f t="shared" si="1"/>
        <v>201.45</v>
      </c>
    </row>
    <row r="8" spans="1:17" s="2" customFormat="1" ht="12.75" customHeight="1">
      <c r="A8" s="127">
        <v>4</v>
      </c>
      <c r="B8" s="21">
        <v>1</v>
      </c>
      <c r="C8" s="108" t="s">
        <v>1069</v>
      </c>
      <c r="D8" s="277" t="str">
        <f>VLOOKUP(C8,Machined!C:Q,2,0)</f>
        <v xml:space="preserve">SIDE SEAL MOUNTING TUBE </v>
      </c>
      <c r="E8" s="278"/>
      <c r="F8" s="131" t="str">
        <f>VLOOKUP(C8,Machined!C:R,7,0)</f>
        <v>3"x3" 1018 Rec Tube</v>
      </c>
      <c r="G8" s="131" t="str">
        <f>VLOOKUP(C8,Machined!C:R,10,0)</f>
        <v>XOMETRY</v>
      </c>
      <c r="H8" s="131" t="str">
        <f>VLOOKUP(C8,Machined!C:R,11,0)</f>
        <v xml:space="preserve">  </v>
      </c>
      <c r="I8" s="131"/>
      <c r="J8" s="42">
        <f>VLOOKUP(C8,Machined!C:R,12,0)</f>
        <v>45084</v>
      </c>
      <c r="K8" s="42">
        <f>VLOOKUP(C8,Machined!C:R,13,0)</f>
        <v>45149</v>
      </c>
      <c r="L8" s="42">
        <f>VLOOKUP(C8,Machined!C:R,14,0)</f>
        <v>45177</v>
      </c>
      <c r="M8" s="42">
        <f>VLOOKUP(C8,Machined!C:R,15,0)</f>
        <v>45177</v>
      </c>
      <c r="N8" s="43">
        <f>VLOOKUP(C8,Machined!C:R,16,0)</f>
        <v>55053</v>
      </c>
      <c r="O8" s="43" t="e">
        <f t="shared" ca="1" si="0"/>
        <v>#VALUE!</v>
      </c>
      <c r="P8" s="47">
        <f>IFERROR(VLOOKUP(C8,Machined!C:F,3,0),"")</f>
        <v>402.88</v>
      </c>
      <c r="Q8" s="48">
        <f t="shared" si="1"/>
        <v>402.88</v>
      </c>
    </row>
    <row r="9" spans="1:17" s="2" customFormat="1" ht="12.75" customHeight="1">
      <c r="A9" s="127">
        <v>5</v>
      </c>
      <c r="B9" s="21">
        <v>1</v>
      </c>
      <c r="C9" s="108" t="s">
        <v>1070</v>
      </c>
      <c r="D9" s="277" t="str">
        <f>VLOOKUP(C9,Machined!C:Q,2,0)</f>
        <v>LOWER SIDE SEAL SILICONE</v>
      </c>
      <c r="E9" s="278"/>
      <c r="F9" s="131" t="str">
        <f>VLOOKUP(C9,Machined!C:R,7,0)</f>
        <v>Silicone</v>
      </c>
      <c r="G9" s="131" t="str">
        <f>VLOOKUP(C9,Machined!C:R,10,0)</f>
        <v>NULINE</v>
      </c>
      <c r="H9" s="131" t="str">
        <f>VLOOKUP(C9,Machined!C:R,11,0)</f>
        <v xml:space="preserve">  </v>
      </c>
      <c r="I9" s="131"/>
      <c r="J9" s="42" t="str">
        <f>VLOOKUP(C9,Machined!C:R,12,0)</f>
        <v>N/A</v>
      </c>
      <c r="K9" s="42" t="str">
        <f>VLOOKUP(C9,Machined!C:R,13,0)</f>
        <v>N/A</v>
      </c>
      <c r="L9" s="42" t="str">
        <f>VLOOKUP(C9,Machined!C:R,14,0)</f>
        <v>N/A</v>
      </c>
      <c r="M9" s="42" t="str">
        <f>VLOOKUP(C9,Machined!C:R,15,0)</f>
        <v>N/A</v>
      </c>
      <c r="N9" s="43" t="str">
        <f>VLOOKUP(C9,Machined!C:R,16,0)</f>
        <v>N/A</v>
      </c>
      <c r="O9" s="43" t="e">
        <f t="shared" ca="1" si="0"/>
        <v>#VALUE!</v>
      </c>
      <c r="P9" s="47">
        <f>IFERROR(VLOOKUP(C9,Machined!C:F,3,0),"")</f>
        <v>0</v>
      </c>
      <c r="Q9" s="48">
        <f t="shared" si="1"/>
        <v>0</v>
      </c>
    </row>
    <row r="10" spans="1:17" s="2" customFormat="1" ht="12.75" customHeight="1">
      <c r="A10" s="127">
        <v>6</v>
      </c>
      <c r="B10" s="21">
        <v>2</v>
      </c>
      <c r="C10" s="108" t="s">
        <v>1071</v>
      </c>
      <c r="D10" s="277" t="str">
        <f>VLOOKUP(C10,Machined!C:Q,2,0)</f>
        <v>MODIFIED MCM 9604T190 STEEL FLANGED SHAFT COLLAR, 30MM DIA</v>
      </c>
      <c r="E10" s="278"/>
      <c r="F10" s="131" t="str">
        <f>VLOOKUP(C10,Machined!C:R,7,0)</f>
        <v>PURCHASED</v>
      </c>
      <c r="G10" s="131" t="str">
        <f>VLOOKUP(C10,Machined!C:R,10,0)</f>
        <v>MCM, NULINE</v>
      </c>
      <c r="H10" s="131" t="str">
        <f>VLOOKUP(C10,Machined!C:R,11,0)</f>
        <v xml:space="preserve">  </v>
      </c>
      <c r="I10" s="131"/>
      <c r="J10" s="42" t="str">
        <f>VLOOKUP(C10,Machined!C:R,12,0)</f>
        <v>N/A</v>
      </c>
      <c r="K10" s="42" t="str">
        <f>VLOOKUP(C10,Machined!C:R,13,0)</f>
        <v>N/A</v>
      </c>
      <c r="L10" s="42" t="str">
        <f>VLOOKUP(C10,Machined!C:R,14,0)</f>
        <v>N/A</v>
      </c>
      <c r="M10" s="42" t="str">
        <f>VLOOKUP(C10,Machined!C:R,15,0)</f>
        <v>N/A</v>
      </c>
      <c r="N10" s="43" t="str">
        <f>VLOOKUP(C10,Machined!C:R,16,0)</f>
        <v>N/A</v>
      </c>
      <c r="O10" s="43" t="e">
        <f t="shared" ca="1" si="0"/>
        <v>#VALUE!</v>
      </c>
      <c r="P10" s="47">
        <f>IFERROR(VLOOKUP(C10,Machined!C:F,3,0),"")</f>
        <v>0</v>
      </c>
      <c r="Q10" s="48">
        <f t="shared" si="1"/>
        <v>0</v>
      </c>
    </row>
    <row r="11" spans="1:17" s="2" customFormat="1" ht="12.75" customHeight="1">
      <c r="A11" s="143"/>
      <c r="B11" s="26"/>
      <c r="C11" s="26"/>
      <c r="D11" s="272"/>
      <c r="E11" s="273"/>
      <c r="F11" s="26"/>
      <c r="G11" s="26"/>
      <c r="H11" s="274"/>
      <c r="I11" s="275"/>
      <c r="J11" s="27"/>
      <c r="K11" s="27"/>
      <c r="L11" s="27"/>
      <c r="M11" s="28"/>
      <c r="N11" s="29"/>
      <c r="O11" s="29"/>
      <c r="P11" s="141"/>
      <c r="Q11" s="142"/>
    </row>
    <row r="12" spans="1:17" s="2" customFormat="1" ht="12.75" customHeight="1">
      <c r="A12" s="4">
        <v>301</v>
      </c>
      <c r="C12" s="114"/>
      <c r="D12" s="268"/>
      <c r="E12" s="269"/>
      <c r="F12" s="112"/>
      <c r="G12" s="112"/>
      <c r="H12" s="112"/>
      <c r="I12" s="113"/>
      <c r="J12" s="44"/>
      <c r="K12" s="44"/>
      <c r="L12" s="44"/>
      <c r="M12" s="44"/>
      <c r="N12" s="45"/>
      <c r="O12" s="45"/>
      <c r="P12" s="49"/>
      <c r="Q12" s="50"/>
    </row>
    <row r="13" spans="1:17" s="2" customFormat="1" ht="12" customHeight="1">
      <c r="A13" s="4">
        <f t="shared" ref="A13:A17" si="2">A12+1</f>
        <v>302</v>
      </c>
      <c r="B13" s="2">
        <v>3</v>
      </c>
      <c r="C13" s="114" t="s">
        <v>1072</v>
      </c>
      <c r="D13" s="268" t="str">
        <f>VLOOKUP(C13,Purchased!A:B,2,0)</f>
        <v>1/8in Bayonet Adapter</v>
      </c>
      <c r="E13" s="269"/>
      <c r="F13" s="112" t="str">
        <f>VLOOKUP(C13,Purchased!A:Q,9,0)</f>
        <v>ACROLAB</v>
      </c>
      <c r="G13" s="112" t="str">
        <f>VLOOKUP(C13,Purchased!A:Q,10,0)</f>
        <v>ACROLAB</v>
      </c>
      <c r="H13" s="112" t="str">
        <f>VLOOKUP(C13,Purchased!A:Q,12,0)</f>
        <v xml:space="preserve"> </v>
      </c>
      <c r="I13" s="113"/>
      <c r="J13" s="44" t="str">
        <f>VLOOKUP(C13,Purchased!A:Q,13,0)</f>
        <v>N/A</v>
      </c>
      <c r="K13" s="44">
        <f>VLOOKUP(C13,Purchased!A:Q,14,0)</f>
        <v>45001</v>
      </c>
      <c r="L13" s="44">
        <f>VLOOKUP(C13,Purchased!A:Q,15,0)</f>
        <v>45031</v>
      </c>
      <c r="M13" s="44">
        <f>VLOOKUP(C13,Purchased!A:Q,16,0)</f>
        <v>45031</v>
      </c>
      <c r="N13" s="45">
        <f>VLOOKUP(C13,Purchased!A:Q,17,0)</f>
        <v>54804</v>
      </c>
      <c r="O13" s="45" t="e">
        <f t="shared" ref="O13:O17" ca="1" si="3">B13*$L$2</f>
        <v>#VALUE!</v>
      </c>
      <c r="P13" s="49">
        <f>IFERROR(VLOOKUP(C13,Purchased!A:E,3,FALSE),"")</f>
        <v>4.25</v>
      </c>
      <c r="Q13" s="50">
        <f t="shared" ref="Q13:Q17" si="4">IFERROR(B13*P13,"")</f>
        <v>12.75</v>
      </c>
    </row>
    <row r="14" spans="1:17" s="2" customFormat="1" ht="12" customHeight="1">
      <c r="A14" s="4">
        <f t="shared" si="2"/>
        <v>303</v>
      </c>
      <c r="B14" s="2">
        <v>1</v>
      </c>
      <c r="C14" s="114" t="s">
        <v>1073</v>
      </c>
      <c r="D14" s="268" t="str">
        <f>VLOOKUP(C14,Purchased!A:B,2,0)</f>
        <v xml:space="preserve">0.5” OD Isobar, 26” Long </v>
      </c>
      <c r="E14" s="269"/>
      <c r="F14" s="112" t="str">
        <f>VLOOKUP(C14,Purchased!A:Q,9,0)</f>
        <v>ACROLAB</v>
      </c>
      <c r="G14" s="112" t="str">
        <f>VLOOKUP(C14,Purchased!A:Q,10,0)</f>
        <v>ACROLAB</v>
      </c>
      <c r="H14" s="112" t="str">
        <f>VLOOKUP(C14,Purchased!A:Q,12,0)</f>
        <v xml:space="preserve"> </v>
      </c>
      <c r="I14" s="113"/>
      <c r="J14" s="44" t="str">
        <f>VLOOKUP(C14,Purchased!A:Q,13,0)</f>
        <v>N/A</v>
      </c>
      <c r="K14" s="44">
        <f>VLOOKUP(C14,Purchased!A:Q,14,0)</f>
        <v>45001</v>
      </c>
      <c r="L14" s="44">
        <f>VLOOKUP(C14,Purchased!A:Q,15,0)</f>
        <v>45031</v>
      </c>
      <c r="M14" s="44">
        <f>VLOOKUP(C14,Purchased!A:Q,16,0)</f>
        <v>45031</v>
      </c>
      <c r="N14" s="45">
        <f>VLOOKUP(C14,Purchased!A:Q,17,0)</f>
        <v>54804</v>
      </c>
      <c r="O14" s="45" t="e">
        <f t="shared" ca="1" si="3"/>
        <v>#VALUE!</v>
      </c>
      <c r="P14" s="49">
        <f>IFERROR(VLOOKUP(C14,Purchased!A:E,3,FALSE),"")</f>
        <v>68</v>
      </c>
      <c r="Q14" s="50">
        <f t="shared" si="4"/>
        <v>68</v>
      </c>
    </row>
    <row r="15" spans="1:17" s="2" customFormat="1" ht="12" customHeight="1">
      <c r="A15" s="4">
        <f t="shared" si="2"/>
        <v>304</v>
      </c>
      <c r="B15" s="2">
        <v>1</v>
      </c>
      <c r="C15" s="114" t="s">
        <v>1074</v>
      </c>
      <c r="D15" s="268" t="str">
        <f>VLOOKUP(C15,Purchased!A:B,2,0)</f>
        <v>CUSTOM CARTRIDGE HEATER 26.0" LONG</v>
      </c>
      <c r="E15" s="269"/>
      <c r="F15" s="112" t="str">
        <f>VLOOKUP(C15,Purchased!A:Q,9,0)</f>
        <v>ACROLAB</v>
      </c>
      <c r="G15" s="112" t="str">
        <f>VLOOKUP(C15,Purchased!A:Q,10,0)</f>
        <v>ACROLAB</v>
      </c>
      <c r="H15" s="112" t="str">
        <f>VLOOKUP(C15,Purchased!A:Q,12,0)</f>
        <v xml:space="preserve"> </v>
      </c>
      <c r="I15" s="113"/>
      <c r="J15" s="44" t="str">
        <f>VLOOKUP(C15,Purchased!A:Q,13,0)</f>
        <v>N/A</v>
      </c>
      <c r="K15" s="44">
        <f>VLOOKUP(C15,Purchased!A:Q,14,0)</f>
        <v>45001</v>
      </c>
      <c r="L15" s="44">
        <f>VLOOKUP(C15,Purchased!A:Q,15,0)</f>
        <v>45031</v>
      </c>
      <c r="M15" s="44">
        <f>VLOOKUP(C15,Purchased!A:Q,16,0)</f>
        <v>45031</v>
      </c>
      <c r="N15" s="45">
        <f>VLOOKUP(C15,Purchased!A:Q,17,0)</f>
        <v>54804</v>
      </c>
      <c r="O15" s="45" t="e">
        <f t="shared" ca="1" si="3"/>
        <v>#VALUE!</v>
      </c>
      <c r="P15" s="49">
        <f>IFERROR(VLOOKUP(C15,Purchased!A:E,3,FALSE),"")</f>
        <v>262.68</v>
      </c>
      <c r="Q15" s="50">
        <f t="shared" si="4"/>
        <v>262.68</v>
      </c>
    </row>
    <row r="16" spans="1:17" s="2" customFormat="1" ht="12" customHeight="1">
      <c r="A16" s="4">
        <f t="shared" si="2"/>
        <v>305</v>
      </c>
      <c r="B16" s="2">
        <v>14</v>
      </c>
      <c r="C16" s="114" t="s">
        <v>1075</v>
      </c>
      <c r="D16" s="268" t="str">
        <f>VLOOKUP(C16,Purchased!A:B,2,0)</f>
        <v>Alloy Steel Cup-Point Set Screw M6 x 1 mm Thread, 50 mm Long, 25pk</v>
      </c>
      <c r="E16" s="269"/>
      <c r="F16" s="112" t="str">
        <f>VLOOKUP(C16,Purchased!A:Q,9,0)</f>
        <v>MCM</v>
      </c>
      <c r="G16" s="112" t="str">
        <f>VLOOKUP(C16,Purchased!A:Q,10,0)</f>
        <v>MCM</v>
      </c>
      <c r="H16" s="112" t="str">
        <f>VLOOKUP(C16,Purchased!A:Q,12,0)</f>
        <v>Pack of 25</v>
      </c>
      <c r="I16" s="113"/>
      <c r="J16" s="44" t="str">
        <f>VLOOKUP(C16,Purchased!A:Q,13,0)</f>
        <v>N/A</v>
      </c>
      <c r="K16" s="44">
        <f>VLOOKUP(C16,Purchased!A:Q,14,0)</f>
        <v>45162</v>
      </c>
      <c r="L16" s="44">
        <f>VLOOKUP(C16,Purchased!A:Q,15,0)</f>
        <v>45189</v>
      </c>
      <c r="M16" s="44">
        <f>VLOOKUP(C16,Purchased!A:Q,16,0)</f>
        <v>45189</v>
      </c>
      <c r="N16" s="45" t="str">
        <f>VLOOKUP(C16,Purchased!A:Q,17,0)</f>
        <v>55088, 55152</v>
      </c>
      <c r="O16" s="45" t="e">
        <f t="shared" ca="1" si="3"/>
        <v>#VALUE!</v>
      </c>
      <c r="P16" s="49">
        <f>IFERROR(VLOOKUP(C16,Purchased!A:E,3,FALSE),"")</f>
        <v>13.62</v>
      </c>
      <c r="Q16" s="50">
        <f t="shared" si="4"/>
        <v>190.67999999999998</v>
      </c>
    </row>
    <row r="17" spans="1:17" s="2" customFormat="1" ht="12" customHeight="1">
      <c r="A17" s="4">
        <f t="shared" si="2"/>
        <v>306</v>
      </c>
      <c r="B17" s="2">
        <v>3</v>
      </c>
      <c r="C17" s="114" t="s">
        <v>1076</v>
      </c>
      <c r="D17" s="268" t="str">
        <f>VLOOKUP(C17,Purchased!A:B,2,0)</f>
        <v>CUSTOM A100 THERMOCOUPLE 60" LONG LEADS</v>
      </c>
      <c r="E17" s="269"/>
      <c r="F17" s="112" t="str">
        <f>VLOOKUP(C17,Purchased!A:Q,9,0)</f>
        <v>ACROLAB</v>
      </c>
      <c r="G17" s="112" t="str">
        <f>VLOOKUP(C17,Purchased!A:Q,10,0)</f>
        <v>ACROLAB</v>
      </c>
      <c r="H17" s="112" t="str">
        <f>VLOOKUP(C17,Purchased!A:Q,12,0)</f>
        <v xml:space="preserve"> </v>
      </c>
      <c r="I17" s="113"/>
      <c r="J17" s="44" t="str">
        <f>VLOOKUP(C17,Purchased!A:Q,13,0)</f>
        <v>N/A</v>
      </c>
      <c r="K17" s="44">
        <f>VLOOKUP(C17,Purchased!A:Q,14,0)</f>
        <v>45001</v>
      </c>
      <c r="L17" s="44">
        <f>VLOOKUP(C17,Purchased!A:Q,15,0)</f>
        <v>45031</v>
      </c>
      <c r="M17" s="44">
        <f>VLOOKUP(C17,Purchased!A:Q,16,0)</f>
        <v>45031</v>
      </c>
      <c r="N17" s="45">
        <f>VLOOKUP(C17,Purchased!A:Q,17,0)</f>
        <v>54807</v>
      </c>
      <c r="O17" s="45" t="e">
        <f t="shared" ca="1" si="3"/>
        <v>#VALUE!</v>
      </c>
      <c r="P17" s="49">
        <f>IFERROR(VLOOKUP(C17,Purchased!A:E,3,FALSE),"")</f>
        <v>45.75</v>
      </c>
      <c r="Q17" s="50">
        <f t="shared" si="4"/>
        <v>137.25</v>
      </c>
    </row>
    <row r="18" spans="1:17" s="2" customFormat="1" ht="12.75" customHeight="1">
      <c r="A18" s="25"/>
      <c r="B18" s="26"/>
      <c r="C18" s="26"/>
      <c r="D18" s="272"/>
      <c r="E18" s="273"/>
      <c r="F18" s="26"/>
      <c r="G18" s="26"/>
      <c r="H18" s="274"/>
      <c r="I18" s="275"/>
      <c r="J18" s="27"/>
      <c r="K18" s="27"/>
      <c r="L18" s="27"/>
      <c r="M18" s="28"/>
      <c r="N18" s="29"/>
      <c r="O18" s="29" t="e">
        <f t="shared" ref="O18:O20" ca="1" si="5">B18*$L$2</f>
        <v>#VALUE!</v>
      </c>
      <c r="P18" s="141"/>
      <c r="Q18" s="142"/>
    </row>
    <row r="19" spans="1:17" s="2" customFormat="1" ht="12.75" customHeight="1">
      <c r="A19" s="4">
        <v>501</v>
      </c>
      <c r="B19" s="2">
        <v>6</v>
      </c>
      <c r="C19" s="110" t="s">
        <v>1077</v>
      </c>
      <c r="D19" s="268"/>
      <c r="E19" s="276"/>
      <c r="F19" s="112">
        <f>VLOOKUP(C19,Bolts!A:L,5,0)</f>
        <v>0</v>
      </c>
      <c r="G19" s="112">
        <f>VLOOKUP(C19,Bolts!A:L,6,0)</f>
        <v>0</v>
      </c>
      <c r="H19" s="112">
        <f>VLOOKUP(C19,Bolts!A:L,7,0)</f>
        <v>0</v>
      </c>
      <c r="I19" s="112"/>
      <c r="J19" s="44">
        <f>VLOOKUP(C19,Bolts!A:L,8,0)</f>
        <v>0</v>
      </c>
      <c r="K19" s="44">
        <f>VLOOKUP(C19,Bolts!A:L,9,0)</f>
        <v>0</v>
      </c>
      <c r="L19" s="44">
        <f>VLOOKUP(C19,Bolts!A:L,10,0)</f>
        <v>0</v>
      </c>
      <c r="M19" s="44">
        <f>VLOOKUP(C19,Bolts!A:L,11,0)</f>
        <v>0</v>
      </c>
      <c r="N19" s="45">
        <f>VLOOKUP(C19,Bolts!A:L,12,0)</f>
        <v>0</v>
      </c>
      <c r="O19" s="45" t="e">
        <f t="shared" ca="1" si="5"/>
        <v>#VALUE!</v>
      </c>
      <c r="P19" s="49">
        <f>IFERROR(VLOOKUP(C19,Bolts!A:B,2,FALSE),"")</f>
        <v>0</v>
      </c>
      <c r="Q19" s="50">
        <f t="shared" ref="Q19:Q20" si="6">IFERROR(B19*P19,"")</f>
        <v>0</v>
      </c>
    </row>
    <row r="20" spans="1:17" s="2" customFormat="1" ht="12.75" customHeight="1">
      <c r="A20" s="4">
        <f t="shared" ref="A20:A24" si="7">A19+1</f>
        <v>502</v>
      </c>
      <c r="B20" s="2">
        <v>50</v>
      </c>
      <c r="C20" s="110" t="s">
        <v>853</v>
      </c>
      <c r="D20" s="268"/>
      <c r="E20" s="276"/>
      <c r="F20" s="112" t="str">
        <f>VLOOKUP(C20,Bolts!A:L,5,0)</f>
        <v xml:space="preserve">  </v>
      </c>
      <c r="G20" s="112" t="str">
        <f>VLOOKUP(C20,Bolts!A:L,6,0)</f>
        <v>Monroe Fasteners</v>
      </c>
      <c r="H20" s="112" t="str">
        <f>VLOOKUP(C20,Bolts!A:L,7,0)</f>
        <v xml:space="preserve">  </v>
      </c>
      <c r="I20" s="112"/>
      <c r="J20" s="44" t="str">
        <f>VLOOKUP(C20,Bolts!A:L,8,0)</f>
        <v xml:space="preserve"> </v>
      </c>
      <c r="K20" s="44" t="str">
        <f>VLOOKUP(C20,Bolts!A:L,9,0)</f>
        <v xml:space="preserve"> </v>
      </c>
      <c r="L20" s="44" t="str">
        <f>VLOOKUP(C20,Bolts!A:L,10,0)</f>
        <v xml:space="preserve"> </v>
      </c>
      <c r="M20" s="44" t="str">
        <f>VLOOKUP(C20,Bolts!A:L,11,0)</f>
        <v xml:space="preserve"> </v>
      </c>
      <c r="N20" s="45" t="str">
        <f>VLOOKUP(C20,Bolts!A:L,12,0)</f>
        <v xml:space="preserve"> </v>
      </c>
      <c r="O20" s="45" t="e">
        <f t="shared" ca="1" si="5"/>
        <v>#VALUE!</v>
      </c>
      <c r="P20" s="49" t="str">
        <f>IFERROR(VLOOKUP(C20,Bolts!A:B,2,FALSE),"")</f>
        <v xml:space="preserve"> </v>
      </c>
      <c r="Q20" s="50" t="str">
        <f t="shared" si="6"/>
        <v/>
      </c>
    </row>
    <row r="21" spans="1:17" s="2" customFormat="1" ht="12" customHeight="1">
      <c r="A21" s="4">
        <f t="shared" si="7"/>
        <v>503</v>
      </c>
      <c r="B21" s="2">
        <v>8</v>
      </c>
      <c r="C21" s="110" t="s">
        <v>828</v>
      </c>
      <c r="D21" s="268"/>
      <c r="E21" s="276"/>
      <c r="F21" s="112" t="str">
        <f>VLOOKUP(C21,Bolts!A:L,5,0)</f>
        <v xml:space="preserve">  </v>
      </c>
      <c r="G21" s="112" t="str">
        <f>VLOOKUP(C21,Bolts!A:L,6,0)</f>
        <v>Monroe Fasteners</v>
      </c>
      <c r="H21" s="112" t="str">
        <f>VLOOKUP(C21,Bolts!A:L,7,0)</f>
        <v xml:space="preserve">  </v>
      </c>
      <c r="I21" s="112"/>
      <c r="J21" s="44" t="str">
        <f>VLOOKUP(C21,Bolts!A:L,8,0)</f>
        <v xml:space="preserve"> </v>
      </c>
      <c r="K21" s="44" t="str">
        <f>VLOOKUP(C21,Bolts!A:L,9,0)</f>
        <v xml:space="preserve"> </v>
      </c>
      <c r="L21" s="44" t="str">
        <f>VLOOKUP(C21,Bolts!A:L,10,0)</f>
        <v xml:space="preserve"> </v>
      </c>
      <c r="M21" s="44" t="str">
        <f>VLOOKUP(C21,Bolts!A:L,11,0)</f>
        <v xml:space="preserve"> </v>
      </c>
      <c r="N21" s="45" t="str">
        <f>VLOOKUP(C21,Bolts!A:L,12,0)</f>
        <v xml:space="preserve"> </v>
      </c>
      <c r="O21" s="45" t="e">
        <f t="shared" ref="O21:O23" ca="1" si="8">B21*$L$2</f>
        <v>#VALUE!</v>
      </c>
      <c r="P21" s="49" t="str">
        <f>IFERROR(VLOOKUP(#REF!,Bolts!A:B,2,FALSE),"")</f>
        <v/>
      </c>
      <c r="Q21" s="50" t="str">
        <f>IFERROR(#REF!*P21,"")</f>
        <v/>
      </c>
    </row>
    <row r="22" spans="1:17" s="2" customFormat="1" ht="12" customHeight="1">
      <c r="A22" s="4">
        <f t="shared" si="7"/>
        <v>504</v>
      </c>
      <c r="B22" s="2">
        <v>12</v>
      </c>
      <c r="C22" s="110" t="s">
        <v>288</v>
      </c>
      <c r="D22" s="268"/>
      <c r="E22" s="276"/>
      <c r="F22" s="112" t="str">
        <f>VLOOKUP(C22,Bolts!A:L,5,0)</f>
        <v xml:space="preserve">  </v>
      </c>
      <c r="G22" s="112" t="str">
        <f>VLOOKUP(C22,Bolts!A:L,6,0)</f>
        <v>Monroe Fasteners</v>
      </c>
      <c r="H22" s="112" t="str">
        <f>VLOOKUP(C22,Bolts!A:L,7,0)</f>
        <v xml:space="preserve">  </v>
      </c>
      <c r="I22" s="112"/>
      <c r="J22" s="44" t="str">
        <f>VLOOKUP(C22,Bolts!A:L,8,0)</f>
        <v xml:space="preserve"> </v>
      </c>
      <c r="K22" s="44" t="str">
        <f>VLOOKUP(C22,Bolts!A:L,9,0)</f>
        <v xml:space="preserve"> </v>
      </c>
      <c r="L22" s="44" t="str">
        <f>VLOOKUP(C22,Bolts!A:L,10,0)</f>
        <v xml:space="preserve"> </v>
      </c>
      <c r="M22" s="44" t="str">
        <f>VLOOKUP(C22,Bolts!A:L,11,0)</f>
        <v xml:space="preserve"> </v>
      </c>
      <c r="N22" s="45" t="str">
        <f>VLOOKUP(C22,Bolts!A:L,12,0)</f>
        <v xml:space="preserve"> </v>
      </c>
      <c r="O22" s="45" t="e">
        <f t="shared" ca="1" si="8"/>
        <v>#VALUE!</v>
      </c>
      <c r="P22" s="49" t="str">
        <f>IFERROR(VLOOKUP(C21,Bolts!A:B,2,FALSE),"")</f>
        <v xml:space="preserve"> </v>
      </c>
      <c r="Q22" s="50" t="str">
        <f>IFERROR(B21*P22,"")</f>
        <v/>
      </c>
    </row>
    <row r="23" spans="1:17" s="2" customFormat="1" ht="12" customHeight="1">
      <c r="A23" s="4">
        <f t="shared" si="7"/>
        <v>505</v>
      </c>
      <c r="B23" s="2">
        <v>2</v>
      </c>
      <c r="C23" s="110" t="s">
        <v>1078</v>
      </c>
      <c r="D23" s="268"/>
      <c r="E23" s="276"/>
      <c r="F23" s="112" t="str">
        <f>VLOOKUP(C23,Bolts!A:L,5,0)</f>
        <v xml:space="preserve">  </v>
      </c>
      <c r="G23" s="112" t="str">
        <f>VLOOKUP(C23,Bolts!A:L,6,0)</f>
        <v>Monroe Fasteners</v>
      </c>
      <c r="H23" s="112" t="str">
        <f>VLOOKUP(C23,Bolts!A:L,7,0)</f>
        <v xml:space="preserve">  </v>
      </c>
      <c r="I23" s="112"/>
      <c r="J23" s="44" t="str">
        <f>VLOOKUP(C23,Bolts!A:L,8,0)</f>
        <v xml:space="preserve"> </v>
      </c>
      <c r="K23" s="44" t="str">
        <f>VLOOKUP(C23,Bolts!A:L,9,0)</f>
        <v xml:space="preserve"> </v>
      </c>
      <c r="L23" s="44" t="str">
        <f>VLOOKUP(C23,Bolts!A:L,10,0)</f>
        <v xml:space="preserve"> </v>
      </c>
      <c r="M23" s="44" t="str">
        <f>VLOOKUP(C23,Bolts!A:L,11,0)</f>
        <v xml:space="preserve"> </v>
      </c>
      <c r="N23" s="45" t="str">
        <f>VLOOKUP(C23,Bolts!A:L,12,0)</f>
        <v xml:space="preserve"> </v>
      </c>
      <c r="O23" s="45" t="e">
        <f t="shared" ca="1" si="8"/>
        <v>#VALUE!</v>
      </c>
      <c r="P23" s="49" t="str">
        <f>IFERROR(VLOOKUP(C22,Bolts!A:B,2,FALSE),"")</f>
        <v xml:space="preserve"> </v>
      </c>
      <c r="Q23" s="50" t="str">
        <f>IFERROR(B22*P23,"")</f>
        <v/>
      </c>
    </row>
    <row r="24" spans="1:17" s="2" customFormat="1" ht="12" customHeight="1" thickBot="1">
      <c r="A24" s="4">
        <f t="shared" si="7"/>
        <v>506</v>
      </c>
      <c r="B24" s="2">
        <v>58</v>
      </c>
      <c r="C24" s="110" t="s">
        <v>595</v>
      </c>
      <c r="D24" s="164"/>
      <c r="E24" s="165"/>
      <c r="F24" s="112" t="str">
        <f>VLOOKUP(C24,Bolts!A:L,5,0)</f>
        <v xml:space="preserve">  </v>
      </c>
      <c r="G24" s="112" t="str">
        <f>VLOOKUP(C24,Bolts!A:L,6,0)</f>
        <v>Monroe Fasteners</v>
      </c>
      <c r="H24" s="112" t="str">
        <f>VLOOKUP(C24,Bolts!A:L,7,0)</f>
        <v xml:space="preserve">  </v>
      </c>
      <c r="I24" s="112"/>
      <c r="J24" s="44" t="str">
        <f>VLOOKUP(C24,Bolts!A:L,8,0)</f>
        <v xml:space="preserve"> </v>
      </c>
      <c r="K24" s="44" t="str">
        <f>VLOOKUP(C24,Bolts!A:L,9,0)</f>
        <v xml:space="preserve"> </v>
      </c>
      <c r="L24" s="44" t="str">
        <f>VLOOKUP(C24,Bolts!A:L,10,0)</f>
        <v xml:space="preserve"> </v>
      </c>
      <c r="M24" s="44" t="str">
        <f>VLOOKUP(C24,Bolts!A:L,11,0)</f>
        <v xml:space="preserve"> </v>
      </c>
      <c r="N24" s="45" t="str">
        <f>VLOOKUP(C24,Bolts!A:L,12,0)</f>
        <v xml:space="preserve"> </v>
      </c>
      <c r="O24" s="45" t="e">
        <f t="shared" ref="O24" ca="1" si="9">B24*$L$2</f>
        <v>#VALUE!</v>
      </c>
      <c r="P24" s="49" t="str">
        <f>IFERROR(VLOOKUP(C23,Bolts!A:B,2,FALSE),"")</f>
        <v xml:space="preserve"> </v>
      </c>
      <c r="Q24" s="50" t="str">
        <f>IFERROR(B23*P24,"")</f>
        <v/>
      </c>
    </row>
    <row r="25" spans="1:17" s="2" customFormat="1" ht="12.75" customHeight="1" thickBot="1">
      <c r="A25" s="34"/>
      <c r="B25" s="35"/>
      <c r="C25" s="35"/>
      <c r="D25" s="256"/>
      <c r="E25" s="257"/>
      <c r="F25" s="35"/>
      <c r="G25" s="35"/>
      <c r="H25" s="294"/>
      <c r="I25" s="295"/>
      <c r="J25" s="36"/>
      <c r="K25" s="36"/>
      <c r="L25" s="36"/>
      <c r="M25" s="37"/>
      <c r="N25" s="38"/>
      <c r="O25" s="38"/>
      <c r="P25" s="89" t="s">
        <v>43</v>
      </c>
      <c r="Q25" s="94">
        <f>SUM(Q5:Q24)</f>
        <v>1707.65</v>
      </c>
    </row>
    <row r="26" spans="1:17" s="2" customFormat="1" ht="12" customHeight="1">
      <c r="D26" s="22"/>
      <c r="E26" s="22"/>
      <c r="J26" s="8"/>
      <c r="K26" s="8"/>
      <c r="L26" s="8"/>
      <c r="M26" s="8"/>
      <c r="N26" s="5"/>
      <c r="O26" s="5"/>
      <c r="P26" s="88"/>
      <c r="Q26" s="95"/>
    </row>
    <row r="27" spans="1:17" s="2" customFormat="1" ht="12" customHeight="1">
      <c r="D27" s="22"/>
      <c r="E27" s="22"/>
      <c r="J27" s="5"/>
      <c r="K27" s="5"/>
      <c r="L27" s="5"/>
      <c r="M27" s="5"/>
      <c r="N27" s="5"/>
      <c r="O27" s="5"/>
      <c r="P27" s="88"/>
      <c r="Q27" s="95"/>
    </row>
    <row r="28" spans="1:17" s="2" customFormat="1" ht="12" customHeight="1">
      <c r="D28" s="22"/>
      <c r="E28" s="22"/>
      <c r="J28" s="5"/>
      <c r="K28" s="5"/>
      <c r="L28" s="5"/>
      <c r="M28" s="5"/>
      <c r="N28" s="5"/>
      <c r="O28" s="5"/>
      <c r="P28" s="88"/>
      <c r="Q28" s="95"/>
    </row>
    <row r="29" spans="1:17" s="2" customFormat="1" ht="12" customHeight="1">
      <c r="D29" s="22"/>
      <c r="E29" s="22"/>
      <c r="J29" s="5"/>
      <c r="K29" s="5"/>
      <c r="L29" s="5"/>
      <c r="M29" s="5"/>
      <c r="N29" s="5"/>
      <c r="O29" s="5"/>
      <c r="P29" s="88"/>
      <c r="Q29" s="95"/>
    </row>
    <row r="30" spans="1:17" s="2" customFormat="1" ht="12" customHeight="1">
      <c r="D30" s="22"/>
      <c r="E30" s="22"/>
      <c r="J30" s="5"/>
      <c r="K30" s="5"/>
      <c r="L30" s="5"/>
      <c r="M30" s="5"/>
      <c r="N30" s="5"/>
      <c r="O30" s="5"/>
      <c r="P30" s="88"/>
      <c r="Q30" s="95"/>
    </row>
    <row r="31" spans="1:17" s="2" customFormat="1" ht="12" customHeight="1">
      <c r="D31" s="22"/>
      <c r="E31" s="22"/>
      <c r="J31" s="5"/>
      <c r="K31" s="5"/>
      <c r="L31" s="5"/>
      <c r="M31" s="5"/>
      <c r="N31" s="5"/>
      <c r="O31" s="5"/>
      <c r="P31" s="88"/>
      <c r="Q31" s="95"/>
    </row>
    <row r="32" spans="1:17" s="2" customFormat="1" ht="12" customHeight="1">
      <c r="D32" s="22"/>
      <c r="E32" s="22"/>
      <c r="J32" s="5"/>
      <c r="K32" s="5"/>
      <c r="L32" s="5"/>
      <c r="M32" s="5"/>
      <c r="N32" s="5"/>
      <c r="O32" s="5"/>
      <c r="P32" s="88"/>
      <c r="Q32" s="95"/>
    </row>
    <row r="33" spans="4:17" s="2" customFormat="1" ht="12" customHeight="1">
      <c r="D33" s="22"/>
      <c r="E33" s="22"/>
      <c r="J33" s="5"/>
      <c r="K33" s="5"/>
      <c r="L33" s="5"/>
      <c r="M33" s="5"/>
      <c r="N33" s="5"/>
      <c r="O33" s="5"/>
      <c r="P33" s="88"/>
      <c r="Q33" s="95"/>
    </row>
    <row r="34" spans="4:17" s="2" customFormat="1" ht="12" customHeight="1">
      <c r="D34" s="22"/>
      <c r="E34" s="22"/>
      <c r="J34" s="5"/>
      <c r="K34" s="5"/>
      <c r="L34" s="5"/>
      <c r="M34" s="5"/>
      <c r="N34" s="5"/>
      <c r="O34" s="5"/>
      <c r="P34" s="88"/>
      <c r="Q34" s="95"/>
    </row>
    <row r="35" spans="4:17" s="2" customFormat="1" ht="12" customHeight="1">
      <c r="D35" s="22"/>
      <c r="E35" s="22"/>
      <c r="J35" s="5"/>
      <c r="K35" s="5"/>
      <c r="L35" s="5"/>
      <c r="M35" s="5"/>
      <c r="N35" s="5"/>
      <c r="O35" s="5"/>
      <c r="P35" s="88"/>
      <c r="Q35" s="95"/>
    </row>
    <row r="36" spans="4:17" s="2" customFormat="1" ht="12" customHeight="1">
      <c r="D36" s="22"/>
      <c r="E36" s="22"/>
      <c r="J36" s="5"/>
      <c r="K36" s="5"/>
      <c r="L36" s="5"/>
      <c r="M36" s="5"/>
      <c r="N36" s="5"/>
      <c r="O36" s="5"/>
      <c r="P36" s="88"/>
      <c r="Q36" s="95"/>
    </row>
    <row r="37" spans="4:17" s="2" customFormat="1" ht="12" customHeight="1">
      <c r="D37" s="22"/>
      <c r="E37" s="22"/>
      <c r="J37" s="5"/>
      <c r="K37" s="5"/>
      <c r="L37" s="5"/>
      <c r="M37" s="5"/>
      <c r="N37" s="5"/>
      <c r="O37" s="5"/>
      <c r="P37" s="88"/>
      <c r="Q37" s="95"/>
    </row>
    <row r="38" spans="4:17" s="2" customFormat="1" ht="12" customHeight="1">
      <c r="D38" s="22"/>
      <c r="E38" s="22"/>
      <c r="J38" s="5"/>
      <c r="K38" s="5"/>
      <c r="L38" s="5"/>
      <c r="M38" s="5"/>
      <c r="N38" s="5"/>
      <c r="O38" s="5"/>
      <c r="P38" s="88"/>
      <c r="Q38" s="95"/>
    </row>
    <row r="39" spans="4:17" s="2" customFormat="1" ht="12" customHeight="1">
      <c r="D39" s="22"/>
      <c r="E39" s="22"/>
      <c r="J39" s="5"/>
      <c r="K39" s="5"/>
      <c r="L39" s="5"/>
      <c r="M39" s="5"/>
      <c r="N39" s="5"/>
      <c r="O39" s="5"/>
      <c r="P39" s="88"/>
      <c r="Q39" s="95"/>
    </row>
    <row r="40" spans="4:17" s="2" customFormat="1" ht="12" customHeight="1">
      <c r="D40" s="22"/>
      <c r="E40" s="22"/>
      <c r="J40" s="5"/>
      <c r="K40" s="5"/>
      <c r="L40" s="5"/>
      <c r="M40" s="5"/>
      <c r="N40" s="5"/>
      <c r="O40" s="5"/>
      <c r="P40" s="88"/>
      <c r="Q40" s="95"/>
    </row>
    <row r="41" spans="4:17" s="2" customFormat="1" ht="12" customHeight="1">
      <c r="D41" s="22"/>
      <c r="E41" s="22"/>
      <c r="J41" s="5"/>
      <c r="K41" s="5"/>
      <c r="L41" s="5"/>
      <c r="M41" s="5"/>
      <c r="N41" s="5"/>
      <c r="O41" s="5"/>
      <c r="P41" s="88"/>
      <c r="Q41" s="95"/>
    </row>
    <row r="42" spans="4:17" s="2" customFormat="1" ht="12" customHeight="1">
      <c r="D42" s="22"/>
      <c r="E42" s="22"/>
      <c r="J42" s="5"/>
      <c r="K42" s="5"/>
      <c r="L42" s="5"/>
      <c r="M42" s="5"/>
      <c r="N42" s="5"/>
      <c r="O42" s="5"/>
      <c r="P42" s="88"/>
      <c r="Q42" s="95"/>
    </row>
    <row r="43" spans="4:17" s="2" customFormat="1" ht="12" customHeight="1">
      <c r="D43" s="22"/>
      <c r="E43" s="22"/>
      <c r="J43" s="5"/>
      <c r="K43" s="5"/>
      <c r="L43" s="5"/>
      <c r="M43" s="5"/>
      <c r="N43" s="5"/>
      <c r="O43" s="5"/>
      <c r="P43" s="88"/>
      <c r="Q43" s="95"/>
    </row>
    <row r="44" spans="4:17" s="2" customFormat="1" ht="12" customHeight="1">
      <c r="D44" s="22"/>
      <c r="E44" s="22"/>
      <c r="J44" s="5"/>
      <c r="K44" s="5"/>
      <c r="L44" s="5"/>
      <c r="M44" s="5"/>
      <c r="N44" s="5"/>
      <c r="O44" s="5"/>
      <c r="P44" s="88"/>
      <c r="Q44" s="95"/>
    </row>
    <row r="45" spans="4:17" s="2" customFormat="1" ht="12" customHeight="1">
      <c r="D45" s="22"/>
      <c r="E45" s="22"/>
      <c r="J45" s="5"/>
      <c r="K45" s="5"/>
      <c r="L45" s="5"/>
      <c r="M45" s="5"/>
      <c r="N45" s="5"/>
      <c r="O45" s="5"/>
      <c r="P45" s="88"/>
      <c r="Q45" s="95"/>
    </row>
    <row r="46" spans="4:17" s="2" customFormat="1" ht="12" customHeight="1">
      <c r="D46" s="22"/>
      <c r="E46" s="22"/>
      <c r="J46" s="5"/>
      <c r="K46" s="5"/>
      <c r="L46" s="5"/>
      <c r="M46" s="5"/>
      <c r="N46" s="5"/>
      <c r="O46" s="5"/>
      <c r="P46" s="88"/>
      <c r="Q46" s="95"/>
    </row>
    <row r="47" spans="4:17" s="2" customFormat="1" ht="12" customHeight="1">
      <c r="D47" s="22"/>
      <c r="E47" s="22"/>
      <c r="J47" s="5"/>
      <c r="K47" s="5"/>
      <c r="L47" s="5"/>
      <c r="M47" s="5"/>
      <c r="N47" s="5"/>
      <c r="O47" s="5"/>
      <c r="P47" s="88"/>
      <c r="Q47" s="95"/>
    </row>
    <row r="48" spans="4:17" s="2" customFormat="1" ht="12" customHeight="1">
      <c r="D48" s="22"/>
      <c r="E48" s="22"/>
      <c r="J48" s="5"/>
      <c r="K48" s="5"/>
      <c r="L48" s="5"/>
      <c r="M48" s="5"/>
      <c r="N48" s="5"/>
      <c r="O48" s="5"/>
      <c r="P48" s="88"/>
      <c r="Q48" s="95"/>
    </row>
    <row r="49" spans="4:17" s="2" customFormat="1" ht="12" customHeight="1">
      <c r="D49" s="22"/>
      <c r="E49" s="22"/>
      <c r="J49" s="5"/>
      <c r="K49" s="5"/>
      <c r="L49" s="5"/>
      <c r="M49" s="5"/>
      <c r="N49" s="5"/>
      <c r="O49" s="5"/>
      <c r="P49" s="88"/>
      <c r="Q49" s="95"/>
    </row>
    <row r="50" spans="4:17" s="2" customFormat="1" ht="12" customHeight="1">
      <c r="D50" s="22"/>
      <c r="E50" s="22"/>
      <c r="J50" s="5"/>
      <c r="K50" s="5"/>
      <c r="L50" s="5"/>
      <c r="M50" s="5"/>
      <c r="N50" s="5"/>
      <c r="O50" s="5"/>
      <c r="P50" s="88"/>
      <c r="Q50" s="95"/>
    </row>
    <row r="51" spans="4:17" s="2" customFormat="1" ht="12" customHeight="1">
      <c r="D51" s="22"/>
      <c r="E51" s="22"/>
      <c r="J51" s="5"/>
      <c r="K51" s="5"/>
      <c r="L51" s="5"/>
      <c r="M51" s="5"/>
      <c r="N51" s="5"/>
      <c r="O51" s="5"/>
      <c r="P51" s="88"/>
      <c r="Q51" s="95"/>
    </row>
    <row r="52" spans="4:17" s="2" customFormat="1" ht="12" customHeight="1">
      <c r="D52" s="22"/>
      <c r="E52" s="22"/>
      <c r="J52" s="5"/>
      <c r="K52" s="5"/>
      <c r="L52" s="5"/>
      <c r="M52" s="5"/>
      <c r="N52" s="5"/>
      <c r="O52" s="5"/>
      <c r="P52" s="88"/>
      <c r="Q52" s="95"/>
    </row>
    <row r="53" spans="4:17" s="2" customFormat="1" ht="12" customHeight="1">
      <c r="D53" s="22"/>
      <c r="E53" s="22"/>
      <c r="J53" s="5"/>
      <c r="K53" s="5"/>
      <c r="L53" s="5"/>
      <c r="M53" s="5"/>
      <c r="N53" s="5"/>
      <c r="O53" s="5"/>
      <c r="P53" s="88"/>
      <c r="Q53" s="95"/>
    </row>
    <row r="54" spans="4:17" s="2" customFormat="1" ht="12" customHeight="1">
      <c r="D54" s="22"/>
      <c r="E54" s="22"/>
      <c r="J54" s="5"/>
      <c r="K54" s="5"/>
      <c r="L54" s="5"/>
      <c r="M54" s="5"/>
      <c r="N54" s="5"/>
      <c r="O54" s="5"/>
      <c r="P54" s="88"/>
      <c r="Q54" s="95"/>
    </row>
    <row r="55" spans="4:17" s="2" customFormat="1" ht="12" customHeight="1">
      <c r="D55" s="22"/>
      <c r="E55" s="22"/>
      <c r="J55" s="5"/>
      <c r="K55" s="5"/>
      <c r="L55" s="5"/>
      <c r="M55" s="5"/>
      <c r="N55" s="5"/>
      <c r="O55" s="5"/>
      <c r="P55" s="88"/>
      <c r="Q55" s="95"/>
    </row>
    <row r="56" spans="4:17" s="2" customFormat="1" ht="12" customHeight="1">
      <c r="D56" s="22"/>
      <c r="E56" s="22"/>
      <c r="J56" s="5"/>
      <c r="K56" s="5"/>
      <c r="L56" s="5"/>
      <c r="M56" s="5"/>
      <c r="N56" s="5"/>
      <c r="O56" s="5"/>
      <c r="P56" s="88"/>
      <c r="Q56" s="95"/>
    </row>
    <row r="57" spans="4:17" s="2" customFormat="1" ht="12" customHeight="1">
      <c r="D57" s="22"/>
      <c r="E57" s="22"/>
      <c r="J57" s="5"/>
      <c r="K57" s="5"/>
      <c r="L57" s="5"/>
      <c r="M57" s="5"/>
      <c r="N57" s="5"/>
      <c r="O57" s="5"/>
      <c r="P57" s="88"/>
      <c r="Q57" s="95"/>
    </row>
    <row r="58" spans="4:17" s="2" customFormat="1" ht="12" customHeight="1">
      <c r="D58" s="22"/>
      <c r="E58" s="22"/>
      <c r="J58" s="5"/>
      <c r="K58" s="5"/>
      <c r="L58" s="5"/>
      <c r="M58" s="5"/>
      <c r="N58" s="5"/>
      <c r="O58" s="5"/>
      <c r="P58" s="88"/>
      <c r="Q58" s="95"/>
    </row>
    <row r="59" spans="4:17" s="2" customFormat="1" ht="12" customHeight="1">
      <c r="D59" s="22"/>
      <c r="E59" s="22"/>
      <c r="J59" s="5"/>
      <c r="K59" s="5"/>
      <c r="L59" s="5"/>
      <c r="M59" s="5"/>
      <c r="N59" s="5"/>
      <c r="O59" s="5"/>
      <c r="P59" s="88"/>
      <c r="Q59" s="95"/>
    </row>
    <row r="60" spans="4:17" s="2" customFormat="1" ht="12" customHeight="1">
      <c r="D60" s="22"/>
      <c r="E60" s="22"/>
      <c r="J60" s="5"/>
      <c r="K60" s="5"/>
      <c r="L60" s="5"/>
      <c r="M60" s="5"/>
      <c r="N60" s="5"/>
      <c r="O60" s="5"/>
      <c r="P60" s="88"/>
      <c r="Q60" s="95"/>
    </row>
    <row r="61" spans="4:17" s="2" customFormat="1" ht="12" customHeight="1">
      <c r="D61" s="22"/>
      <c r="E61" s="22"/>
      <c r="J61" s="5"/>
      <c r="K61" s="5"/>
      <c r="L61" s="5"/>
      <c r="M61" s="5"/>
      <c r="N61" s="5"/>
      <c r="O61" s="5"/>
      <c r="P61" s="88"/>
      <c r="Q61" s="95"/>
    </row>
    <row r="62" spans="4:17" s="2" customFormat="1" ht="12" customHeight="1">
      <c r="D62" s="22"/>
      <c r="E62" s="22"/>
      <c r="J62" s="5"/>
      <c r="K62" s="5"/>
      <c r="L62" s="5"/>
      <c r="M62" s="5"/>
      <c r="N62" s="5"/>
      <c r="O62" s="5"/>
      <c r="P62" s="88"/>
      <c r="Q62" s="95"/>
    </row>
    <row r="63" spans="4:17" s="2" customFormat="1" ht="12" customHeight="1">
      <c r="D63" s="22"/>
      <c r="E63" s="22"/>
      <c r="J63" s="5"/>
      <c r="K63" s="5"/>
      <c r="L63" s="5"/>
      <c r="M63" s="5"/>
      <c r="N63" s="5"/>
      <c r="O63" s="5"/>
      <c r="P63" s="88"/>
      <c r="Q63" s="95"/>
    </row>
    <row r="64" spans="4:17" s="2" customFormat="1" ht="12" customHeight="1">
      <c r="D64" s="22"/>
      <c r="E64" s="22"/>
      <c r="J64" s="5"/>
      <c r="K64" s="5"/>
      <c r="L64" s="5"/>
      <c r="M64" s="5"/>
      <c r="N64" s="5"/>
      <c r="O64" s="5"/>
      <c r="P64" s="88"/>
      <c r="Q64" s="96"/>
    </row>
    <row r="65" spans="1:17" s="2" customFormat="1" ht="12" customHeight="1">
      <c r="D65" s="22"/>
      <c r="E65" s="22"/>
      <c r="J65" s="5"/>
      <c r="K65" s="5"/>
      <c r="L65" s="5"/>
      <c r="M65" s="5"/>
      <c r="N65" s="5"/>
      <c r="O65" s="5"/>
      <c r="P65" s="88"/>
      <c r="Q65" s="96"/>
    </row>
    <row r="66" spans="1:17" s="2" customFormat="1" ht="12" customHeight="1">
      <c r="D66" s="22"/>
      <c r="E66" s="22"/>
      <c r="J66" s="5"/>
      <c r="K66" s="5"/>
      <c r="L66" s="5"/>
      <c r="M66" s="5"/>
      <c r="N66" s="5"/>
      <c r="O66" s="5"/>
      <c r="P66" s="88"/>
      <c r="Q66" s="96"/>
    </row>
    <row r="67" spans="1:17" s="2" customFormat="1" ht="12" customHeight="1">
      <c r="D67" s="22"/>
      <c r="E67" s="22"/>
      <c r="J67" s="5"/>
      <c r="K67" s="5"/>
      <c r="L67" s="5"/>
      <c r="M67" s="5"/>
      <c r="N67" s="5"/>
      <c r="O67" s="5"/>
      <c r="P67" s="88"/>
      <c r="Q67" s="96"/>
    </row>
    <row r="68" spans="1:17" s="2" customFormat="1" ht="12" customHeight="1">
      <c r="A68"/>
      <c r="B68"/>
      <c r="C68"/>
      <c r="D68" s="23"/>
      <c r="E68" s="23"/>
      <c r="F68"/>
      <c r="G68"/>
      <c r="H68"/>
      <c r="I68"/>
      <c r="J68" s="19"/>
      <c r="K68" s="19"/>
      <c r="L68" s="19"/>
      <c r="M68" s="19"/>
      <c r="N68" s="19"/>
      <c r="O68" s="19"/>
      <c r="P68" s="90"/>
      <c r="Q68" s="96"/>
    </row>
    <row r="69" spans="1:17" s="2" customFormat="1" ht="12" customHeight="1">
      <c r="A69"/>
      <c r="B69"/>
      <c r="C69"/>
      <c r="D69" s="23"/>
      <c r="E69" s="23"/>
      <c r="F69"/>
      <c r="G69"/>
      <c r="H69"/>
      <c r="I69"/>
      <c r="J69" s="19"/>
      <c r="K69" s="19"/>
      <c r="L69" s="19"/>
      <c r="M69" s="19"/>
      <c r="N69" s="19"/>
      <c r="O69" s="19"/>
      <c r="P69" s="90"/>
      <c r="Q69" s="96"/>
    </row>
    <row r="70" spans="1:17" s="2" customFormat="1" ht="12" customHeight="1">
      <c r="A70"/>
      <c r="B70"/>
      <c r="C70"/>
      <c r="D70" s="23"/>
      <c r="E70" s="23"/>
      <c r="F70"/>
      <c r="G70"/>
      <c r="H70"/>
      <c r="I70"/>
      <c r="J70" s="19"/>
      <c r="K70" s="19"/>
      <c r="L70" s="19"/>
      <c r="M70" s="19"/>
      <c r="N70" s="19"/>
      <c r="O70" s="19"/>
      <c r="P70" s="90"/>
      <c r="Q70" s="96"/>
    </row>
    <row r="71" spans="1:17" s="2" customFormat="1" ht="12" customHeight="1">
      <c r="A71"/>
      <c r="B71"/>
      <c r="C71"/>
      <c r="D71" s="23"/>
      <c r="E71" s="23"/>
      <c r="F71"/>
      <c r="G71"/>
      <c r="H71"/>
      <c r="I71"/>
      <c r="J71" s="19"/>
      <c r="K71" s="19"/>
      <c r="L71" s="19"/>
      <c r="M71" s="19"/>
      <c r="N71" s="19"/>
      <c r="O71" s="19"/>
      <c r="P71" s="90"/>
      <c r="Q71" s="96"/>
    </row>
    <row r="72" spans="1:17" s="2" customFormat="1" ht="12" customHeight="1">
      <c r="A72"/>
      <c r="B72"/>
      <c r="C72"/>
      <c r="D72" s="23"/>
      <c r="E72" s="23"/>
      <c r="F72"/>
      <c r="G72"/>
      <c r="H72"/>
      <c r="I72"/>
      <c r="J72" s="19"/>
      <c r="K72" s="19"/>
      <c r="L72" s="19"/>
      <c r="M72" s="19"/>
      <c r="N72" s="19"/>
      <c r="O72" s="19"/>
      <c r="P72" s="90"/>
      <c r="Q72" s="96"/>
    </row>
    <row r="73" spans="1:17">
      <c r="Q73" s="96"/>
    </row>
    <row r="74" spans="1:17">
      <c r="Q74" s="96"/>
    </row>
    <row r="75" spans="1:17">
      <c r="Q75" s="96"/>
    </row>
    <row r="76" spans="1:17">
      <c r="Q76" s="96"/>
    </row>
    <row r="77" spans="1:17">
      <c r="Q77" s="96"/>
    </row>
    <row r="78" spans="1:17">
      <c r="Q78" s="96"/>
    </row>
    <row r="79" spans="1:17">
      <c r="Q79" s="96"/>
    </row>
    <row r="80" spans="1:17">
      <c r="Q80" s="96"/>
    </row>
    <row r="81" spans="17:17">
      <c r="Q81" s="96"/>
    </row>
    <row r="82" spans="17:17">
      <c r="Q82" s="96"/>
    </row>
    <row r="83" spans="17:17">
      <c r="Q83" s="96"/>
    </row>
    <row r="84" spans="17:17">
      <c r="Q84" s="96"/>
    </row>
    <row r="85" spans="17:17">
      <c r="Q85" s="96"/>
    </row>
    <row r="86" spans="17:17">
      <c r="Q86" s="96"/>
    </row>
    <row r="87" spans="17:17">
      <c r="Q87" s="96"/>
    </row>
    <row r="88" spans="17:17">
      <c r="Q88" s="96"/>
    </row>
    <row r="89" spans="17:17">
      <c r="Q89" s="96"/>
    </row>
    <row r="90" spans="17:17">
      <c r="Q90" s="96"/>
    </row>
    <row r="91" spans="17:17">
      <c r="Q91" s="96"/>
    </row>
    <row r="92" spans="17:17">
      <c r="Q92" s="96"/>
    </row>
    <row r="129" ht="12" customHeight="1"/>
    <row r="130" ht="12" customHeight="1"/>
    <row r="131" ht="12" customHeight="1"/>
    <row r="132" ht="12" customHeight="1"/>
    <row r="133" ht="12" customHeight="1"/>
    <row r="134" ht="12" customHeight="1"/>
    <row r="135" ht="12" customHeight="1"/>
    <row r="136" ht="12" customHeight="1"/>
    <row r="137" ht="12" customHeight="1"/>
    <row r="138" ht="12" customHeight="1"/>
    <row r="139" ht="12" customHeight="1"/>
    <row r="140" ht="12" customHeight="1"/>
    <row r="141" ht="12" customHeight="1"/>
    <row r="142" ht="12" customHeight="1"/>
    <row r="143" ht="12" customHeight="1"/>
    <row r="144" ht="12" customHeight="1"/>
    <row r="145" ht="12" customHeight="1"/>
    <row r="146" ht="12" customHeight="1"/>
    <row r="147" ht="12" customHeight="1"/>
    <row r="148" ht="12" customHeight="1"/>
    <row r="149" ht="12" customHeight="1"/>
    <row r="150" ht="12" customHeight="1"/>
    <row r="151" ht="12" customHeight="1"/>
    <row r="152" ht="12" customHeight="1"/>
    <row r="153" ht="12" customHeight="1"/>
    <row r="154" ht="12" customHeight="1"/>
    <row r="155" ht="12" customHeight="1"/>
    <row r="156" ht="12" customHeight="1"/>
    <row r="157" ht="12" customHeight="1"/>
    <row r="158" ht="12" customHeight="1"/>
    <row r="159" ht="12" customHeight="1"/>
    <row r="160" ht="12" customHeight="1"/>
    <row r="161" ht="12" customHeight="1"/>
    <row r="162" ht="12" customHeight="1"/>
    <row r="163" ht="12" customHeight="1"/>
    <row r="164" ht="12" customHeight="1"/>
    <row r="165" ht="12" customHeight="1"/>
    <row r="166" ht="12" customHeight="1"/>
    <row r="167" ht="12" customHeight="1"/>
    <row r="168" ht="12" customHeight="1"/>
    <row r="169" ht="12" customHeight="1"/>
    <row r="170" ht="12" customHeight="1"/>
    <row r="171" ht="12" customHeight="1"/>
    <row r="172" ht="12" customHeight="1"/>
    <row r="173" ht="12" customHeight="1"/>
    <row r="174" ht="12" customHeight="1"/>
    <row r="175" ht="12" customHeight="1"/>
    <row r="176" ht="12" customHeight="1"/>
    <row r="177" ht="12" customHeight="1"/>
    <row r="178" ht="12" customHeight="1"/>
  </sheetData>
  <mergeCells count="26">
    <mergeCell ref="D21:E21"/>
    <mergeCell ref="D25:E25"/>
    <mergeCell ref="H25:I25"/>
    <mergeCell ref="D22:E22"/>
    <mergeCell ref="D23:E23"/>
    <mergeCell ref="D18:E18"/>
    <mergeCell ref="D17:E17"/>
    <mergeCell ref="H18:I18"/>
    <mergeCell ref="D19:E19"/>
    <mergeCell ref="D20:E20"/>
    <mergeCell ref="D12:E12"/>
    <mergeCell ref="D13:E13"/>
    <mergeCell ref="D14:E14"/>
    <mergeCell ref="D15:E15"/>
    <mergeCell ref="D16:E16"/>
    <mergeCell ref="D1:E1"/>
    <mergeCell ref="D4:E4"/>
    <mergeCell ref="H4:I4"/>
    <mergeCell ref="D11:E11"/>
    <mergeCell ref="H11:I11"/>
    <mergeCell ref="D5:E5"/>
    <mergeCell ref="D6:E6"/>
    <mergeCell ref="D7:E7"/>
    <mergeCell ref="D8:E8"/>
    <mergeCell ref="D9:E9"/>
    <mergeCell ref="D10:E10"/>
  </mergeCells>
  <conditionalFormatting sqref="M5:M9 M19:M24">
    <cfRule type="cellIs" dxfId="338" priority="5" stopIfTrue="1" operator="lessThanOrEqual">
      <formula>$L5</formula>
    </cfRule>
    <cfRule type="cellIs" dxfId="337" priority="6" operator="greaterThan">
      <formula>L5</formula>
    </cfRule>
  </conditionalFormatting>
  <conditionalFormatting sqref="M12:M17">
    <cfRule type="cellIs" dxfId="336" priority="7" stopIfTrue="1" operator="lessThanOrEqual">
      <formula>$L12</formula>
    </cfRule>
    <cfRule type="cellIs" dxfId="335" priority="8" operator="greaterThan">
      <formula>L12</formula>
    </cfRule>
  </conditionalFormatting>
  <conditionalFormatting sqref="M10">
    <cfRule type="cellIs" dxfId="334" priority="1" stopIfTrue="1" operator="lessThanOrEqual">
      <formula>$L10</formula>
    </cfRule>
    <cfRule type="cellIs" dxfId="333" priority="2" operator="greaterThan">
      <formula>L10</formula>
    </cfRule>
  </conditionalFormatting>
  <pageMargins left="0.7" right="0.7" top="0.75" bottom="0.75" header="0.3" footer="0.3"/>
  <pageSetup paperSize="3" fitToHeight="0" orientation="landscape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8B67B9E-C065-42F9-8475-00CF142DD348}">
          <x14:formula1>
            <xm:f>Bolts!$A:$A</xm:f>
          </x14:formula1>
          <xm:sqref>C19:C24</xm:sqref>
        </x14:dataValidation>
        <x14:dataValidation type="list" allowBlank="1" showInputMessage="1" showErrorMessage="1" xr:uid="{16264FC0-DA04-4F08-901E-B6E1A849EFF9}">
          <x14:formula1>
            <xm:f>Purchased!$A:$A</xm:f>
          </x14:formula1>
          <xm:sqref>C12:C17</xm:sqref>
        </x14:dataValidation>
        <x14:dataValidation type="list" allowBlank="1" showInputMessage="1" showErrorMessage="1" xr:uid="{C73F3E4A-5128-45AE-9987-928084047C49}">
          <x14:formula1>
            <xm:f>Machined!$C:$C</xm:f>
          </x14:formula1>
          <xm:sqref>C5:C10</xm:sqref>
        </x14:dataValidation>
      </x14:dataValidations>
    </ext>
  </extLst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FD85B6-B24B-493B-BCB1-095E6AF29B77}">
  <sheetPr codeName="Sheet90">
    <tabColor theme="3" tint="0.79998168889431442"/>
    <pageSetUpPr fitToPage="1"/>
  </sheetPr>
  <dimension ref="A1:Q172"/>
  <sheetViews>
    <sheetView zoomScaleNormal="100" workbookViewId="0">
      <selection activeCell="C24" sqref="C24"/>
    </sheetView>
  </sheetViews>
  <sheetFormatPr defaultColWidth="9.140625" defaultRowHeight="15"/>
  <cols>
    <col min="1" max="1" width="5.7109375" customWidth="1"/>
    <col min="2" max="2" width="5.42578125" bestFit="1" customWidth="1"/>
    <col min="3" max="3" width="30.7109375" customWidth="1"/>
    <col min="4" max="5" width="20.7109375" style="23" customWidth="1"/>
    <col min="6" max="6" width="16.85546875" bestFit="1" customWidth="1"/>
    <col min="7" max="7" width="9.7109375" customWidth="1"/>
    <col min="8" max="8" width="8.7109375" customWidth="1"/>
    <col min="9" max="9" width="20.7109375" customWidth="1"/>
    <col min="10" max="13" width="11.7109375" style="19" customWidth="1"/>
    <col min="14" max="14" width="11.85546875" style="19" bestFit="1" customWidth="1"/>
    <col min="15" max="15" width="7.7109375" style="19" customWidth="1"/>
    <col min="16" max="16" width="10.7109375" style="90" customWidth="1"/>
    <col min="17" max="17" width="10.7109375" style="97" customWidth="1"/>
  </cols>
  <sheetData>
    <row r="1" spans="1:17" s="55" customFormat="1" ht="12" customHeight="1">
      <c r="A1" s="68" t="s">
        <v>0</v>
      </c>
      <c r="B1" s="69"/>
      <c r="C1" s="69"/>
      <c r="D1" s="262" t="s">
        <v>1</v>
      </c>
      <c r="E1" s="263"/>
      <c r="F1" s="70"/>
      <c r="G1" s="69"/>
      <c r="H1" s="70"/>
      <c r="I1" s="71"/>
      <c r="J1" s="72"/>
      <c r="K1" s="72"/>
      <c r="L1" s="72"/>
      <c r="M1" s="72"/>
      <c r="N1" s="72"/>
      <c r="O1" s="72"/>
      <c r="P1" s="85"/>
      <c r="Q1" s="91"/>
    </row>
    <row r="2" spans="1:17" s="55" customFormat="1" ht="12" customHeight="1">
      <c r="A2" s="74" t="s">
        <v>48</v>
      </c>
      <c r="B2" s="58"/>
      <c r="C2" s="57" t="e">
        <f ca="1">VLOOKUP(E3,Assemblies!B:F,4,0)</f>
        <v>#VALUE!</v>
      </c>
      <c r="D2" s="75" t="s">
        <v>3</v>
      </c>
      <c r="E2" s="76" t="e">
        <f ca="1">'GF12'!E2</f>
        <v>#VALUE!</v>
      </c>
      <c r="F2" s="77" t="s">
        <v>4</v>
      </c>
      <c r="G2" s="58" t="str">
        <f>'GF12'!G2</f>
        <v>GH</v>
      </c>
      <c r="H2" s="77" t="s">
        <v>6</v>
      </c>
      <c r="I2" s="59">
        <f>'GF12'!I2</f>
        <v>44775</v>
      </c>
      <c r="J2" s="39"/>
      <c r="K2" s="40" t="s">
        <v>49</v>
      </c>
      <c r="L2" s="41" t="e">
        <f ca="1">VLOOKUP(C2,Assemblies!E:G,3,0)</f>
        <v>#VALUE!</v>
      </c>
      <c r="M2" s="78"/>
      <c r="N2" s="78"/>
      <c r="O2" s="78"/>
      <c r="P2" s="86"/>
      <c r="Q2" s="92"/>
    </row>
    <row r="3" spans="1:17" s="55" customFormat="1" ht="12" customHeight="1" thickBot="1">
      <c r="A3" s="74" t="s">
        <v>7</v>
      </c>
      <c r="B3" s="58"/>
      <c r="C3" s="57" t="e">
        <f ca="1">VLOOKUP(E3,Assemblies!B:F,5,0)</f>
        <v>#VALUE!</v>
      </c>
      <c r="D3" s="75" t="s">
        <v>50</v>
      </c>
      <c r="E3" s="76" t="e">
        <f ca="1">MID(CELL("filename",A1),FIND("]",CELL("filename",A1))+1,256)</f>
        <v>#VALUE!</v>
      </c>
      <c r="F3" s="77" t="s">
        <v>11</v>
      </c>
      <c r="G3" s="58" t="str">
        <f>'GF12'!G3</f>
        <v>GH</v>
      </c>
      <c r="H3" s="77" t="s">
        <v>6</v>
      </c>
      <c r="I3" s="59">
        <f>'GF12'!I3</f>
        <v>44775</v>
      </c>
      <c r="J3" s="78"/>
      <c r="K3" s="78"/>
      <c r="L3" s="78"/>
      <c r="M3" s="78"/>
      <c r="N3" s="78"/>
      <c r="O3" s="78"/>
      <c r="P3" s="86"/>
      <c r="Q3" s="92"/>
    </row>
    <row r="4" spans="1:17" s="56" customFormat="1" ht="12.75" customHeight="1" thickBot="1">
      <c r="A4" s="80" t="s">
        <v>12</v>
      </c>
      <c r="B4" s="81" t="s">
        <v>13</v>
      </c>
      <c r="C4" s="81" t="s">
        <v>14</v>
      </c>
      <c r="D4" s="270" t="s">
        <v>15</v>
      </c>
      <c r="E4" s="271"/>
      <c r="F4" s="104" t="s">
        <v>16</v>
      </c>
      <c r="G4" s="81" t="s">
        <v>17</v>
      </c>
      <c r="H4" s="260" t="s">
        <v>18</v>
      </c>
      <c r="I4" s="261"/>
      <c r="J4" s="81" t="s">
        <v>51</v>
      </c>
      <c r="K4" s="81" t="s">
        <v>20</v>
      </c>
      <c r="L4" s="81" t="s">
        <v>21</v>
      </c>
      <c r="M4" s="81" t="s">
        <v>52</v>
      </c>
      <c r="N4" s="81" t="s">
        <v>22</v>
      </c>
      <c r="O4" s="81" t="s">
        <v>53</v>
      </c>
      <c r="P4" s="107" t="s">
        <v>26</v>
      </c>
      <c r="Q4" s="82" t="s">
        <v>27</v>
      </c>
    </row>
    <row r="5" spans="1:17" s="2" customFormat="1" ht="12.75" customHeight="1">
      <c r="A5" s="127">
        <v>1</v>
      </c>
      <c r="B5" s="21">
        <v>1</v>
      </c>
      <c r="C5" s="108" t="s">
        <v>1079</v>
      </c>
      <c r="D5" s="277" t="str">
        <f>VLOOKUP(C5,Machined!C:Q,2,0)</f>
        <v>CRANKSHAFT BLOCK</v>
      </c>
      <c r="E5" s="278"/>
      <c r="F5" s="131" t="str">
        <f>VLOOKUP(C5,Machined!C:R,7,0)</f>
        <v>1018 CRS</v>
      </c>
      <c r="G5" s="131" t="str">
        <f>VLOOKUP(C5,Machined!C:R,10,0)</f>
        <v>FRONTIER</v>
      </c>
      <c r="H5" s="131" t="str">
        <f>VLOOKUP(C5,Machined!C:R,11,0)</f>
        <v xml:space="preserve">  </v>
      </c>
      <c r="I5" s="131"/>
      <c r="J5" s="42">
        <f>VLOOKUP(C5,Machined!C:R,12,0)</f>
        <v>45139</v>
      </c>
      <c r="K5" s="42">
        <f>VLOOKUP(C5,Machined!C:R,13,0)</f>
        <v>45140</v>
      </c>
      <c r="L5" s="42">
        <f>VLOOKUP(C5,Machined!C:R,14,0)</f>
        <v>45170</v>
      </c>
      <c r="M5" s="42">
        <f>VLOOKUP(C5,Machined!C:R,15,0)</f>
        <v>45170</v>
      </c>
      <c r="N5" s="43">
        <f>VLOOKUP(C5,Machined!C:R,16,0)</f>
        <v>55025</v>
      </c>
      <c r="O5" s="43" t="e">
        <f t="shared" ref="O5:O6" ca="1" si="0">B5*$L$2</f>
        <v>#VALUE!</v>
      </c>
      <c r="P5" s="47">
        <f>IFERROR(VLOOKUP(C5,Machined!C:F,3,0),"")</f>
        <v>0</v>
      </c>
      <c r="Q5" s="48">
        <f t="shared" ref="Q5:Q6" si="1">IFERROR(B5*P5,"")</f>
        <v>0</v>
      </c>
    </row>
    <row r="6" spans="1:17" s="2" customFormat="1" ht="12.75" customHeight="1">
      <c r="A6" s="127">
        <v>2</v>
      </c>
      <c r="B6" s="21">
        <v>1</v>
      </c>
      <c r="C6" s="108" t="s">
        <v>1080</v>
      </c>
      <c r="D6" s="277" t="str">
        <f>VLOOKUP(C6,Machined!C:Q,2,0)</f>
        <v>LINEAR SHAFT CLAMP</v>
      </c>
      <c r="E6" s="278"/>
      <c r="F6" s="131" t="str">
        <f>VLOOKUP(C6,Machined!C:R,7,0)</f>
        <v>1018 CRS</v>
      </c>
      <c r="G6" s="131" t="str">
        <f>VLOOKUP(C6,Machined!C:R,10,0)</f>
        <v>FRONTIER</v>
      </c>
      <c r="H6" s="131" t="str">
        <f>VLOOKUP(C6,Machined!C:R,11,0)</f>
        <v xml:space="preserve">  </v>
      </c>
      <c r="I6" s="131"/>
      <c r="J6" s="42">
        <f>VLOOKUP(C6,Machined!C:R,12,0)</f>
        <v>45139</v>
      </c>
      <c r="K6" s="42">
        <f>VLOOKUP(C6,Machined!C:R,13,0)</f>
        <v>45140</v>
      </c>
      <c r="L6" s="42">
        <f>VLOOKUP(C6,Machined!C:R,14,0)</f>
        <v>45170</v>
      </c>
      <c r="M6" s="42">
        <f>VLOOKUP(C6,Machined!C:R,15,0)</f>
        <v>45170</v>
      </c>
      <c r="N6" s="43">
        <f>VLOOKUP(C6,Machined!C:R,16,0)</f>
        <v>55025</v>
      </c>
      <c r="O6" s="43" t="e">
        <f t="shared" ca="1" si="0"/>
        <v>#VALUE!</v>
      </c>
      <c r="P6" s="47">
        <f>IFERROR(VLOOKUP(C6,Machined!C:F,3,0),"")</f>
        <v>0</v>
      </c>
      <c r="Q6" s="48">
        <f t="shared" si="1"/>
        <v>0</v>
      </c>
    </row>
    <row r="7" spans="1:17" s="2" customFormat="1" ht="12.75" customHeight="1">
      <c r="A7" s="127">
        <v>3</v>
      </c>
      <c r="B7" s="21">
        <v>2</v>
      </c>
      <c r="C7" s="108" t="s">
        <v>1081</v>
      </c>
      <c r="D7" s="277" t="str">
        <f>VLOOKUP(C7,Machined!C:Q,2,0)</f>
        <v>MODIFIED MCM 6536N71 M20 X 1.5 ROD END</v>
      </c>
      <c r="E7" s="278"/>
      <c r="F7" s="131" t="str">
        <f>VLOOKUP(C7,Machined!C:R,7,0)</f>
        <v>PURCHASED</v>
      </c>
      <c r="G7" s="131" t="str">
        <f>VLOOKUP(C7,Machined!C:R,10,0)</f>
        <v>MCM, NULINE</v>
      </c>
      <c r="H7" s="131" t="str">
        <f>VLOOKUP(C7,Machined!C:R,11,0)</f>
        <v xml:space="preserve">  </v>
      </c>
      <c r="I7" s="131"/>
      <c r="J7" s="42" t="str">
        <f>VLOOKUP(C7,Machined!C:R,12,0)</f>
        <v>N/A</v>
      </c>
      <c r="K7" s="42" t="str">
        <f>VLOOKUP(C7,Machined!C:R,13,0)</f>
        <v>N/A</v>
      </c>
      <c r="L7" s="42" t="str">
        <f>VLOOKUP(C7,Machined!C:R,14,0)</f>
        <v>N/A</v>
      </c>
      <c r="M7" s="42" t="str">
        <f>VLOOKUP(C7,Machined!C:R,15,0)</f>
        <v>N/A</v>
      </c>
      <c r="N7" s="43" t="str">
        <f>VLOOKUP(C7,Machined!C:R,16,0)</f>
        <v>N/A</v>
      </c>
      <c r="O7" s="43" t="e">
        <f ca="1">B7*$L$2</f>
        <v>#VALUE!</v>
      </c>
      <c r="P7" s="47">
        <f>IFERROR(VLOOKUP(C7,Machined!C:F,3,0),"")</f>
        <v>0</v>
      </c>
      <c r="Q7" s="48">
        <f>IFERROR(B7*P7,"")</f>
        <v>0</v>
      </c>
    </row>
    <row r="8" spans="1:17" s="2" customFormat="1" ht="12.75" customHeight="1">
      <c r="A8" s="127">
        <v>4</v>
      </c>
      <c r="B8" s="21">
        <v>1</v>
      </c>
      <c r="C8" s="108" t="s">
        <v>1082</v>
      </c>
      <c r="D8" s="277" t="str">
        <f>VLOOKUP(C8,Machined!C:Q,2,0)</f>
        <v>MODIFIED MCM 95245A155 STEEL ROD</v>
      </c>
      <c r="E8" s="278"/>
      <c r="F8" s="131" t="str">
        <f>VLOOKUP(C8,Machined!C:R,7,0)</f>
        <v>PURCHASED</v>
      </c>
      <c r="G8" s="131" t="str">
        <f>VLOOKUP(C8,Machined!C:R,10,0)</f>
        <v>MCM, NULINE</v>
      </c>
      <c r="H8" s="131" t="str">
        <f>VLOOKUP(C8,Machined!C:R,11,0)</f>
        <v xml:space="preserve">  </v>
      </c>
      <c r="I8" s="131"/>
      <c r="J8" s="42" t="str">
        <f>VLOOKUP(C8,Machined!C:R,12,0)</f>
        <v>N/A</v>
      </c>
      <c r="K8" s="42" t="str">
        <f>VLOOKUP(C8,Machined!C:R,13,0)</f>
        <v>N/A</v>
      </c>
      <c r="L8" s="42" t="str">
        <f>VLOOKUP(C8,Machined!C:R,14,0)</f>
        <v>N/A</v>
      </c>
      <c r="M8" s="42" t="str">
        <f>VLOOKUP(C8,Machined!C:R,15,0)</f>
        <v>N/A</v>
      </c>
      <c r="N8" s="43" t="str">
        <f>VLOOKUP(C8,Machined!C:R,16,0)</f>
        <v>N/A</v>
      </c>
      <c r="O8" s="43" t="e">
        <f ca="1">B8*$L$2</f>
        <v>#VALUE!</v>
      </c>
      <c r="P8" s="47">
        <f>IFERROR(VLOOKUP(C8,Machined!C:F,3,0),"")</f>
        <v>0</v>
      </c>
      <c r="Q8" s="48">
        <f>IFERROR(B8*P8,"")</f>
        <v>0</v>
      </c>
    </row>
    <row r="9" spans="1:17" s="2" customFormat="1" ht="12.75" customHeight="1">
      <c r="A9" s="143"/>
      <c r="B9" s="26"/>
      <c r="C9" s="26"/>
      <c r="D9" s="272"/>
      <c r="E9" s="273"/>
      <c r="F9" s="26"/>
      <c r="G9" s="26"/>
      <c r="H9" s="274"/>
      <c r="I9" s="275"/>
      <c r="J9" s="27"/>
      <c r="K9" s="27"/>
      <c r="L9" s="27"/>
      <c r="M9" s="28"/>
      <c r="N9" s="29"/>
      <c r="O9" s="29"/>
      <c r="P9" s="141"/>
      <c r="Q9" s="142"/>
    </row>
    <row r="10" spans="1:17" s="2" customFormat="1" ht="12.75" customHeight="1">
      <c r="A10" s="4">
        <v>301</v>
      </c>
      <c r="B10" s="2">
        <v>2</v>
      </c>
      <c r="C10" s="114" t="s">
        <v>1083</v>
      </c>
      <c r="D10" s="268" t="str">
        <f>VLOOKUP(C10,Purchased!A:B,2,0)</f>
        <v>Slotted Spring Pins Spring Steel, 6mm Diameter, 30mm Long, for 6-6.2mm Hole, 50pk</v>
      </c>
      <c r="E10" s="269"/>
      <c r="F10" s="112" t="str">
        <f>VLOOKUP(C10,Purchased!A:Q,9,0)</f>
        <v>MCM</v>
      </c>
      <c r="G10" s="112" t="str">
        <f>VLOOKUP(C10,Purchased!A:Q,10,0)</f>
        <v>MCM</v>
      </c>
      <c r="H10" s="112" t="str">
        <f>VLOOKUP(C10,Purchased!A:Q,12,0)</f>
        <v>Pack of 50</v>
      </c>
      <c r="I10" s="113"/>
      <c r="J10" s="44" t="str">
        <f>VLOOKUP(C10,Purchased!A:Q,13,0)</f>
        <v>N/A</v>
      </c>
      <c r="K10" s="44">
        <f>VLOOKUP(C10,Purchased!A:Q,14,0)</f>
        <v>45162</v>
      </c>
      <c r="L10" s="44">
        <f>VLOOKUP(C10,Purchased!A:Q,15,0)</f>
        <v>45184</v>
      </c>
      <c r="M10" s="44">
        <f>VLOOKUP(C10,Purchased!A:Q,16,0)</f>
        <v>45163</v>
      </c>
      <c r="N10" s="45">
        <f>VLOOKUP(C10,Purchased!A:Q,17,0)</f>
        <v>55088</v>
      </c>
      <c r="O10" s="45" t="e">
        <f t="shared" ref="O10:O14" ca="1" si="2">B10*$L$2</f>
        <v>#VALUE!</v>
      </c>
      <c r="P10" s="49">
        <f>IFERROR(VLOOKUP(C10,Purchased!A:E,3,FALSE),"")</f>
        <v>10.92</v>
      </c>
      <c r="Q10" s="50">
        <f t="shared" ref="Q10:Q14" si="3">IFERROR(B10*P10,"")</f>
        <v>21.84</v>
      </c>
    </row>
    <row r="11" spans="1:17" s="2" customFormat="1" ht="12" customHeight="1">
      <c r="A11" s="4">
        <f t="shared" ref="A11:A14" si="4">A10+1</f>
        <v>302</v>
      </c>
      <c r="C11" s="114"/>
      <c r="D11" s="268"/>
      <c r="E11" s="269"/>
      <c r="F11" s="112"/>
      <c r="G11" s="112"/>
      <c r="H11" s="112"/>
      <c r="I11" s="113"/>
      <c r="J11" s="44"/>
      <c r="K11" s="44"/>
      <c r="L11" s="44"/>
      <c r="M11" s="44"/>
      <c r="N11" s="45"/>
      <c r="O11" s="45"/>
      <c r="P11" s="49" t="str">
        <f>IFERROR(VLOOKUP(C11,Purchased!A:E,3,FALSE),"")</f>
        <v/>
      </c>
      <c r="Q11" s="50" t="str">
        <f t="shared" si="3"/>
        <v/>
      </c>
    </row>
    <row r="12" spans="1:17" s="2" customFormat="1" ht="12" customHeight="1">
      <c r="A12" s="4">
        <f t="shared" si="4"/>
        <v>303</v>
      </c>
      <c r="B12" s="2">
        <v>2</v>
      </c>
      <c r="C12" s="114" t="s">
        <v>1084</v>
      </c>
      <c r="D12" s="268" t="str">
        <f>VLOOKUP(C12,Purchased!A:B,2,0)</f>
        <v>Extreme-Strength Hex Head Screw Class 12.9 Steel, M20 x 2.5 mm Thread, 50 mm Long</v>
      </c>
      <c r="E12" s="269"/>
      <c r="F12" s="112" t="str">
        <f>VLOOKUP(C12,Purchased!A:Q,9,0)</f>
        <v>MCM</v>
      </c>
      <c r="G12" s="112" t="str">
        <f>VLOOKUP(C12,Purchased!A:Q,10,0)</f>
        <v>MCM</v>
      </c>
      <c r="H12" s="112" t="str">
        <f>VLOOKUP(C12,Purchased!A:Q,12,0)</f>
        <v xml:space="preserve"> </v>
      </c>
      <c r="I12" s="113"/>
      <c r="J12" s="44" t="str">
        <f>VLOOKUP(C12,Purchased!A:Q,13,0)</f>
        <v>N/A</v>
      </c>
      <c r="K12" s="44">
        <f>VLOOKUP(C12,Purchased!A:Q,14,0)</f>
        <v>45162</v>
      </c>
      <c r="L12" s="44">
        <f>VLOOKUP(C12,Purchased!A:Q,15,0)</f>
        <v>45184</v>
      </c>
      <c r="M12" s="44">
        <f>VLOOKUP(C12,Purchased!A:Q,16,0)</f>
        <v>45163</v>
      </c>
      <c r="N12" s="45">
        <f>VLOOKUP(C12,Purchased!A:Q,17,0)</f>
        <v>55088</v>
      </c>
      <c r="O12" s="45" t="e">
        <f t="shared" ca="1" si="2"/>
        <v>#VALUE!</v>
      </c>
      <c r="P12" s="49">
        <f>IFERROR(VLOOKUP(C12,Purchased!A:E,3,FALSE),"")</f>
        <v>7.33</v>
      </c>
      <c r="Q12" s="50">
        <f t="shared" si="3"/>
        <v>14.66</v>
      </c>
    </row>
    <row r="13" spans="1:17" s="2" customFormat="1" ht="12" customHeight="1">
      <c r="A13" s="4">
        <f t="shared" si="4"/>
        <v>304</v>
      </c>
      <c r="B13" s="2">
        <v>1</v>
      </c>
      <c r="C13" s="114" t="s">
        <v>1085</v>
      </c>
      <c r="D13" s="268" t="str">
        <f>VLOOKUP(C13,Purchased!A:B,2,0)</f>
        <v>Misumi Linear Shaft - Straight, Precision 610mm</v>
      </c>
      <c r="E13" s="269"/>
      <c r="F13" s="112" t="str">
        <f>VLOOKUP(C13,Purchased!A:Q,9,0)</f>
        <v>MISUMI</v>
      </c>
      <c r="G13" s="112" t="str">
        <f>VLOOKUP(C13,Purchased!A:Q,10,0)</f>
        <v>MISUMI</v>
      </c>
      <c r="H13" s="112" t="str">
        <f>VLOOKUP(C13,Purchased!A:Q,12,0)</f>
        <v xml:space="preserve"> </v>
      </c>
      <c r="I13" s="113"/>
      <c r="J13" s="44" t="str">
        <f>VLOOKUP(C13,Purchased!A:Q,13,0)</f>
        <v>N/A</v>
      </c>
      <c r="K13" s="44">
        <f>VLOOKUP(C13,Purchased!A:Q,14,0)</f>
        <v>45140</v>
      </c>
      <c r="L13" s="44">
        <f>VLOOKUP(C13,Purchased!A:Q,15,0)</f>
        <v>45153</v>
      </c>
      <c r="M13" s="44">
        <f>VLOOKUP(C13,Purchased!A:Q,16,0)</f>
        <v>45156</v>
      </c>
      <c r="N13" s="45">
        <f>VLOOKUP(C13,Purchased!A:Q,17,0)</f>
        <v>55026</v>
      </c>
      <c r="O13" s="45" t="e">
        <f t="shared" ca="1" si="2"/>
        <v>#VALUE!</v>
      </c>
      <c r="P13" s="49">
        <f>IFERROR(VLOOKUP(C13,Purchased!A:E,3,FALSE),"")</f>
        <v>75.98</v>
      </c>
      <c r="Q13" s="50">
        <f t="shared" si="3"/>
        <v>75.98</v>
      </c>
    </row>
    <row r="14" spans="1:17" s="2" customFormat="1" ht="12" customHeight="1">
      <c r="A14" s="4">
        <f t="shared" si="4"/>
        <v>305</v>
      </c>
      <c r="B14" s="2">
        <v>7</v>
      </c>
      <c r="C14" s="114" t="s">
        <v>1086</v>
      </c>
      <c r="D14" s="268" t="str">
        <f>VLOOKUP(C14,Purchased!A:B,2,0)</f>
        <v>1008-1010 Carbon Steel Ring Shims, 2 mm Thick, 20 mm ID, 25pk</v>
      </c>
      <c r="E14" s="269"/>
      <c r="F14" s="112" t="str">
        <f>VLOOKUP(C14,Purchased!A:Q,9,0)</f>
        <v>MCM</v>
      </c>
      <c r="G14" s="112" t="str">
        <f>VLOOKUP(C14,Purchased!A:Q,10,0)</f>
        <v>MCM</v>
      </c>
      <c r="H14" s="112" t="str">
        <f>VLOOKUP(C14,Purchased!A:Q,12,0)</f>
        <v xml:space="preserve"> </v>
      </c>
      <c r="I14" s="113"/>
      <c r="J14" s="44" t="str">
        <f>VLOOKUP(C14,Purchased!A:Q,13,0)</f>
        <v>N/A</v>
      </c>
      <c r="K14" s="44">
        <f>VLOOKUP(C14,Purchased!A:Q,14,0)</f>
        <v>45162</v>
      </c>
      <c r="L14" s="44">
        <f>VLOOKUP(C14,Purchased!A:Q,15,0)</f>
        <v>45184</v>
      </c>
      <c r="M14" s="44">
        <f>VLOOKUP(C14,Purchased!A:Q,16,0)</f>
        <v>45166</v>
      </c>
      <c r="N14" s="45" t="str">
        <f>VLOOKUP(C14,Purchased!A:Q,17,0)</f>
        <v>4x55087, 1x55215</v>
      </c>
      <c r="O14" s="45" t="e">
        <f t="shared" ca="1" si="2"/>
        <v>#VALUE!</v>
      </c>
      <c r="P14" s="49">
        <f>IFERROR(VLOOKUP(C14,Purchased!A:E,3,FALSE),"")</f>
        <v>9</v>
      </c>
      <c r="Q14" s="50">
        <f t="shared" si="3"/>
        <v>63</v>
      </c>
    </row>
    <row r="15" spans="1:17" s="2" customFormat="1" ht="12.75" customHeight="1">
      <c r="A15" s="25"/>
      <c r="B15" s="26"/>
      <c r="C15" s="26"/>
      <c r="D15" s="272"/>
      <c r="E15" s="273"/>
      <c r="F15" s="26"/>
      <c r="G15" s="26"/>
      <c r="H15" s="274"/>
      <c r="I15" s="275"/>
      <c r="J15" s="27"/>
      <c r="K15" s="27"/>
      <c r="L15" s="27"/>
      <c r="M15" s="28"/>
      <c r="N15" s="29"/>
      <c r="O15" s="29" t="e">
        <f t="shared" ref="O15:O18" ca="1" si="5">B15*$L$2</f>
        <v>#VALUE!</v>
      </c>
      <c r="P15" s="141"/>
      <c r="Q15" s="142"/>
    </row>
    <row r="16" spans="1:17" s="2" customFormat="1" ht="12.75" customHeight="1">
      <c r="A16" s="4">
        <v>501</v>
      </c>
      <c r="B16" s="2">
        <v>2</v>
      </c>
      <c r="C16" s="110" t="s">
        <v>362</v>
      </c>
      <c r="D16" s="268"/>
      <c r="E16" s="276"/>
      <c r="F16" s="112" t="str">
        <f>VLOOKUP(C16,Bolts!A:L,5,0)</f>
        <v xml:space="preserve">  </v>
      </c>
      <c r="G16" s="112" t="str">
        <f>VLOOKUP(C16,Bolts!A:L,6,0)</f>
        <v>Monroe Fasteners</v>
      </c>
      <c r="H16" s="112" t="str">
        <f>VLOOKUP(C16,Bolts!A:L,7,0)</f>
        <v xml:space="preserve">  </v>
      </c>
      <c r="I16" s="112"/>
      <c r="J16" s="44" t="str">
        <f>VLOOKUP(C16,Bolts!A:L,8,0)</f>
        <v xml:space="preserve"> </v>
      </c>
      <c r="K16" s="44" t="str">
        <f>VLOOKUP(C16,Bolts!A:L,9,0)</f>
        <v xml:space="preserve"> </v>
      </c>
      <c r="L16" s="44" t="str">
        <f>VLOOKUP(C16,Bolts!A:L,10,0)</f>
        <v xml:space="preserve"> </v>
      </c>
      <c r="M16" s="44" t="str">
        <f>VLOOKUP(C16,Bolts!A:L,11,0)</f>
        <v xml:space="preserve"> </v>
      </c>
      <c r="N16" s="45" t="str">
        <f>VLOOKUP(C16,Bolts!A:L,12,0)</f>
        <v xml:space="preserve"> </v>
      </c>
      <c r="O16" s="45" t="e">
        <f t="shared" ca="1" si="5"/>
        <v>#VALUE!</v>
      </c>
      <c r="P16" s="49" t="str">
        <f>IFERROR(VLOOKUP(C16,Bolts!A:B,2,FALSE),"")</f>
        <v xml:space="preserve"> </v>
      </c>
      <c r="Q16" s="50" t="str">
        <f t="shared" ref="Q16:Q17" si="6">IFERROR(B16*P16,"")</f>
        <v/>
      </c>
    </row>
    <row r="17" spans="1:17" s="2" customFormat="1" ht="12.75" customHeight="1">
      <c r="A17" s="4">
        <f t="shared" ref="A17:A18" si="7">A16+1</f>
        <v>502</v>
      </c>
      <c r="B17" s="2">
        <v>1</v>
      </c>
      <c r="C17" s="110" t="s">
        <v>1087</v>
      </c>
      <c r="D17" s="268"/>
      <c r="E17" s="276"/>
      <c r="F17" s="112" t="str">
        <f>VLOOKUP(C17,Bolts!A:L,5,0)</f>
        <v xml:space="preserve">  </v>
      </c>
      <c r="G17" s="112" t="str">
        <f>VLOOKUP(C17,Bolts!A:L,6,0)</f>
        <v>Monroe Fasteners</v>
      </c>
      <c r="H17" s="112" t="str">
        <f>VLOOKUP(C17,Bolts!A:L,7,0)</f>
        <v xml:space="preserve">  </v>
      </c>
      <c r="I17" s="112"/>
      <c r="J17" s="44" t="str">
        <f>VLOOKUP(C17,Bolts!A:L,8,0)</f>
        <v xml:space="preserve"> </v>
      </c>
      <c r="K17" s="44" t="str">
        <f>VLOOKUP(C17,Bolts!A:L,9,0)</f>
        <v xml:space="preserve"> </v>
      </c>
      <c r="L17" s="44" t="str">
        <f>VLOOKUP(C17,Bolts!A:L,10,0)</f>
        <v xml:space="preserve"> </v>
      </c>
      <c r="M17" s="44" t="str">
        <f>VLOOKUP(C17,Bolts!A:L,11,0)</f>
        <v xml:space="preserve"> </v>
      </c>
      <c r="N17" s="45" t="str">
        <f>VLOOKUP(C17,Bolts!A:L,12,0)</f>
        <v xml:space="preserve"> </v>
      </c>
      <c r="O17" s="45" t="e">
        <f t="shared" ca="1" si="5"/>
        <v>#VALUE!</v>
      </c>
      <c r="P17" s="49" t="str">
        <f>IFERROR(VLOOKUP(C17,Bolts!A:B,2,FALSE),"")</f>
        <v xml:space="preserve"> </v>
      </c>
      <c r="Q17" s="50" t="str">
        <f t="shared" si="6"/>
        <v/>
      </c>
    </row>
    <row r="18" spans="1:17" s="2" customFormat="1" ht="12.75" customHeight="1" thickBot="1">
      <c r="A18" s="4">
        <f t="shared" si="7"/>
        <v>503</v>
      </c>
      <c r="B18" s="2">
        <v>1</v>
      </c>
      <c r="C18" s="110" t="s">
        <v>803</v>
      </c>
      <c r="D18" s="164"/>
      <c r="E18" s="165"/>
      <c r="F18" s="112"/>
      <c r="G18" s="112"/>
      <c r="H18" s="112"/>
      <c r="I18" s="112"/>
      <c r="J18" s="44"/>
      <c r="K18" s="44"/>
      <c r="L18" s="44"/>
      <c r="M18" s="44"/>
      <c r="N18" s="45"/>
      <c r="O18" s="45" t="e">
        <f t="shared" ca="1" si="5"/>
        <v>#VALUE!</v>
      </c>
      <c r="P18" s="49"/>
      <c r="Q18" s="50"/>
    </row>
    <row r="19" spans="1:17" s="2" customFormat="1" ht="12.75" customHeight="1" thickBot="1">
      <c r="A19" s="34"/>
      <c r="B19" s="35"/>
      <c r="C19" s="35"/>
      <c r="D19" s="256"/>
      <c r="E19" s="257"/>
      <c r="F19" s="35"/>
      <c r="G19" s="35"/>
      <c r="H19" s="294"/>
      <c r="I19" s="295"/>
      <c r="J19" s="36"/>
      <c r="K19" s="36"/>
      <c r="L19" s="36"/>
      <c r="M19" s="37"/>
      <c r="N19" s="38"/>
      <c r="O19" s="38"/>
      <c r="P19" s="89" t="s">
        <v>43</v>
      </c>
      <c r="Q19" s="94">
        <f>SUM(Q5:Q18)</f>
        <v>175.48000000000002</v>
      </c>
    </row>
    <row r="20" spans="1:17" s="2" customFormat="1" ht="12" customHeight="1">
      <c r="D20" s="22"/>
      <c r="E20" s="22"/>
      <c r="J20" s="8"/>
      <c r="K20" s="8"/>
      <c r="L20" s="8"/>
      <c r="M20" s="8"/>
      <c r="N20" s="5"/>
      <c r="O20" s="5"/>
      <c r="P20" s="88"/>
      <c r="Q20" s="95"/>
    </row>
    <row r="21" spans="1:17" s="2" customFormat="1" ht="12" customHeight="1">
      <c r="D21" s="22"/>
      <c r="E21" s="22"/>
      <c r="J21" s="5"/>
      <c r="K21" s="5"/>
      <c r="L21" s="5"/>
      <c r="M21" s="5"/>
      <c r="N21" s="5"/>
      <c r="O21" s="5"/>
      <c r="P21" s="88"/>
      <c r="Q21" s="95"/>
    </row>
    <row r="22" spans="1:17" s="2" customFormat="1" ht="12" customHeight="1">
      <c r="D22" s="22"/>
      <c r="E22" s="22"/>
      <c r="J22" s="5"/>
      <c r="K22" s="5"/>
      <c r="L22" s="5"/>
      <c r="M22" s="5"/>
      <c r="N22" s="5"/>
      <c r="O22" s="5"/>
      <c r="P22" s="88"/>
      <c r="Q22" s="95"/>
    </row>
    <row r="23" spans="1:17" s="2" customFormat="1" ht="12" customHeight="1">
      <c r="D23" s="22"/>
      <c r="E23" s="22"/>
      <c r="J23" s="5"/>
      <c r="K23" s="5"/>
      <c r="L23" s="5"/>
      <c r="M23" s="5"/>
      <c r="N23" s="5"/>
      <c r="O23" s="5"/>
      <c r="P23" s="88"/>
      <c r="Q23" s="95"/>
    </row>
    <row r="24" spans="1:17" s="2" customFormat="1" ht="12" customHeight="1">
      <c r="D24" s="22"/>
      <c r="E24" s="22"/>
      <c r="J24" s="5"/>
      <c r="K24" s="5"/>
      <c r="L24" s="5"/>
      <c r="M24" s="5"/>
      <c r="N24" s="5"/>
      <c r="O24" s="5"/>
      <c r="P24" s="88"/>
      <c r="Q24" s="95"/>
    </row>
    <row r="25" spans="1:17" s="2" customFormat="1" ht="12" customHeight="1">
      <c r="D25" s="22"/>
      <c r="E25" s="22"/>
      <c r="J25" s="5"/>
      <c r="K25" s="5"/>
      <c r="L25" s="5"/>
      <c r="M25" s="5"/>
      <c r="N25" s="5"/>
      <c r="O25" s="5"/>
      <c r="P25" s="88"/>
      <c r="Q25" s="95"/>
    </row>
    <row r="26" spans="1:17" s="2" customFormat="1" ht="12" customHeight="1">
      <c r="D26" s="22"/>
      <c r="E26" s="22"/>
      <c r="J26" s="5"/>
      <c r="K26" s="5"/>
      <c r="L26" s="5"/>
      <c r="M26" s="5"/>
      <c r="N26" s="5"/>
      <c r="O26" s="5"/>
      <c r="P26" s="88"/>
      <c r="Q26" s="95"/>
    </row>
    <row r="27" spans="1:17" s="2" customFormat="1" ht="12" customHeight="1">
      <c r="D27" s="22"/>
      <c r="E27" s="22"/>
      <c r="J27" s="5"/>
      <c r="K27" s="5"/>
      <c r="L27" s="5"/>
      <c r="M27" s="5"/>
      <c r="N27" s="5"/>
      <c r="O27" s="5"/>
      <c r="P27" s="88"/>
      <c r="Q27" s="95"/>
    </row>
    <row r="28" spans="1:17" s="2" customFormat="1" ht="12" customHeight="1">
      <c r="D28" s="22"/>
      <c r="E28" s="22"/>
      <c r="J28" s="5"/>
      <c r="K28" s="5"/>
      <c r="L28" s="5"/>
      <c r="M28" s="5"/>
      <c r="N28" s="5"/>
      <c r="O28" s="5"/>
      <c r="P28" s="88"/>
      <c r="Q28" s="95"/>
    </row>
    <row r="29" spans="1:17" s="2" customFormat="1" ht="12" customHeight="1">
      <c r="D29" s="22"/>
      <c r="E29" s="22"/>
      <c r="J29" s="5"/>
      <c r="K29" s="5"/>
      <c r="L29" s="5"/>
      <c r="M29" s="5"/>
      <c r="N29" s="5"/>
      <c r="O29" s="5"/>
      <c r="P29" s="88"/>
      <c r="Q29" s="95"/>
    </row>
    <row r="30" spans="1:17" s="2" customFormat="1" ht="12" customHeight="1">
      <c r="D30" s="22"/>
      <c r="E30" s="22"/>
      <c r="J30" s="5"/>
      <c r="K30" s="5"/>
      <c r="L30" s="5"/>
      <c r="M30" s="5"/>
      <c r="N30" s="5"/>
      <c r="O30" s="5"/>
      <c r="P30" s="88"/>
      <c r="Q30" s="95"/>
    </row>
    <row r="31" spans="1:17" s="2" customFormat="1" ht="12" customHeight="1">
      <c r="D31" s="22"/>
      <c r="E31" s="22"/>
      <c r="J31" s="5"/>
      <c r="K31" s="5"/>
      <c r="L31" s="5"/>
      <c r="M31" s="5"/>
      <c r="N31" s="5"/>
      <c r="O31" s="5"/>
      <c r="P31" s="88"/>
      <c r="Q31" s="95"/>
    </row>
    <row r="32" spans="1:17" s="2" customFormat="1" ht="12" customHeight="1">
      <c r="D32" s="22"/>
      <c r="E32" s="22"/>
      <c r="J32" s="5"/>
      <c r="K32" s="5"/>
      <c r="L32" s="5"/>
      <c r="M32" s="5"/>
      <c r="N32" s="5"/>
      <c r="O32" s="5"/>
      <c r="P32" s="88"/>
      <c r="Q32" s="95"/>
    </row>
    <row r="33" spans="4:17" s="2" customFormat="1" ht="12" customHeight="1">
      <c r="D33" s="22"/>
      <c r="E33" s="22"/>
      <c r="J33" s="5"/>
      <c r="K33" s="5"/>
      <c r="L33" s="5"/>
      <c r="M33" s="5"/>
      <c r="N33" s="5"/>
      <c r="O33" s="5"/>
      <c r="P33" s="88"/>
      <c r="Q33" s="95"/>
    </row>
    <row r="34" spans="4:17" s="2" customFormat="1" ht="12" customHeight="1">
      <c r="D34" s="22"/>
      <c r="E34" s="22"/>
      <c r="J34" s="5"/>
      <c r="K34" s="5"/>
      <c r="L34" s="5"/>
      <c r="M34" s="5"/>
      <c r="N34" s="5"/>
      <c r="O34" s="5"/>
      <c r="P34" s="88"/>
      <c r="Q34" s="95"/>
    </row>
    <row r="35" spans="4:17" s="2" customFormat="1" ht="12" customHeight="1">
      <c r="D35" s="22"/>
      <c r="E35" s="22"/>
      <c r="J35" s="5"/>
      <c r="K35" s="5"/>
      <c r="L35" s="5"/>
      <c r="M35" s="5"/>
      <c r="N35" s="5"/>
      <c r="O35" s="5"/>
      <c r="P35" s="88"/>
      <c r="Q35" s="95"/>
    </row>
    <row r="36" spans="4:17" s="2" customFormat="1" ht="12" customHeight="1">
      <c r="D36" s="22"/>
      <c r="E36" s="22"/>
      <c r="J36" s="5"/>
      <c r="K36" s="5"/>
      <c r="L36" s="5"/>
      <c r="M36" s="5"/>
      <c r="N36" s="5"/>
      <c r="O36" s="5"/>
      <c r="P36" s="88"/>
      <c r="Q36" s="95"/>
    </row>
    <row r="37" spans="4:17" s="2" customFormat="1" ht="12" customHeight="1">
      <c r="D37" s="22"/>
      <c r="E37" s="22"/>
      <c r="J37" s="5"/>
      <c r="K37" s="5"/>
      <c r="L37" s="5"/>
      <c r="M37" s="5"/>
      <c r="N37" s="5"/>
      <c r="O37" s="5"/>
      <c r="P37" s="88"/>
      <c r="Q37" s="95"/>
    </row>
    <row r="38" spans="4:17" s="2" customFormat="1" ht="12" customHeight="1">
      <c r="D38" s="22"/>
      <c r="E38" s="22"/>
      <c r="J38" s="5"/>
      <c r="K38" s="5"/>
      <c r="L38" s="5"/>
      <c r="M38" s="5"/>
      <c r="N38" s="5"/>
      <c r="O38" s="5"/>
      <c r="P38" s="88"/>
      <c r="Q38" s="95"/>
    </row>
    <row r="39" spans="4:17" s="2" customFormat="1" ht="12" customHeight="1">
      <c r="D39" s="22"/>
      <c r="E39" s="22"/>
      <c r="J39" s="5"/>
      <c r="K39" s="5"/>
      <c r="L39" s="5"/>
      <c r="M39" s="5"/>
      <c r="N39" s="5"/>
      <c r="O39" s="5"/>
      <c r="P39" s="88"/>
      <c r="Q39" s="95"/>
    </row>
    <row r="40" spans="4:17" s="2" customFormat="1" ht="12" customHeight="1">
      <c r="D40" s="22"/>
      <c r="E40" s="22"/>
      <c r="J40" s="5"/>
      <c r="K40" s="5"/>
      <c r="L40" s="5"/>
      <c r="M40" s="5"/>
      <c r="N40" s="5"/>
      <c r="O40" s="5"/>
      <c r="P40" s="88"/>
      <c r="Q40" s="95"/>
    </row>
    <row r="41" spans="4:17" s="2" customFormat="1" ht="12" customHeight="1">
      <c r="D41" s="22"/>
      <c r="E41" s="22"/>
      <c r="J41" s="5"/>
      <c r="K41" s="5"/>
      <c r="L41" s="5"/>
      <c r="M41" s="5"/>
      <c r="N41" s="5"/>
      <c r="O41" s="5"/>
      <c r="P41" s="88"/>
      <c r="Q41" s="95"/>
    </row>
    <row r="42" spans="4:17" s="2" customFormat="1" ht="12" customHeight="1">
      <c r="D42" s="22"/>
      <c r="E42" s="22"/>
      <c r="J42" s="5"/>
      <c r="K42" s="5"/>
      <c r="L42" s="5"/>
      <c r="M42" s="5"/>
      <c r="N42" s="5"/>
      <c r="O42" s="5"/>
      <c r="P42" s="88"/>
      <c r="Q42" s="95"/>
    </row>
    <row r="43" spans="4:17" s="2" customFormat="1" ht="12" customHeight="1">
      <c r="D43" s="22"/>
      <c r="E43" s="22"/>
      <c r="J43" s="5"/>
      <c r="K43" s="5"/>
      <c r="L43" s="5"/>
      <c r="M43" s="5"/>
      <c r="N43" s="5"/>
      <c r="O43" s="5"/>
      <c r="P43" s="88"/>
      <c r="Q43" s="95"/>
    </row>
    <row r="44" spans="4:17" s="2" customFormat="1" ht="12" customHeight="1">
      <c r="D44" s="22"/>
      <c r="E44" s="22"/>
      <c r="J44" s="5"/>
      <c r="K44" s="5"/>
      <c r="L44" s="5"/>
      <c r="M44" s="5"/>
      <c r="N44" s="5"/>
      <c r="O44" s="5"/>
      <c r="P44" s="88"/>
      <c r="Q44" s="95"/>
    </row>
    <row r="45" spans="4:17" s="2" customFormat="1" ht="12" customHeight="1">
      <c r="D45" s="22"/>
      <c r="E45" s="22"/>
      <c r="J45" s="5"/>
      <c r="K45" s="5"/>
      <c r="L45" s="5"/>
      <c r="M45" s="5"/>
      <c r="N45" s="5"/>
      <c r="O45" s="5"/>
      <c r="P45" s="88"/>
      <c r="Q45" s="95"/>
    </row>
    <row r="46" spans="4:17" s="2" customFormat="1" ht="12" customHeight="1">
      <c r="D46" s="22"/>
      <c r="E46" s="22"/>
      <c r="J46" s="5"/>
      <c r="K46" s="5"/>
      <c r="L46" s="5"/>
      <c r="M46" s="5"/>
      <c r="N46" s="5"/>
      <c r="O46" s="5"/>
      <c r="P46" s="88"/>
      <c r="Q46" s="95"/>
    </row>
    <row r="47" spans="4:17" s="2" customFormat="1" ht="12" customHeight="1">
      <c r="D47" s="22"/>
      <c r="E47" s="22"/>
      <c r="J47" s="5"/>
      <c r="K47" s="5"/>
      <c r="L47" s="5"/>
      <c r="M47" s="5"/>
      <c r="N47" s="5"/>
      <c r="O47" s="5"/>
      <c r="P47" s="88"/>
      <c r="Q47" s="95"/>
    </row>
    <row r="48" spans="4:17" s="2" customFormat="1" ht="12" customHeight="1">
      <c r="D48" s="22"/>
      <c r="E48" s="22"/>
      <c r="J48" s="5"/>
      <c r="K48" s="5"/>
      <c r="L48" s="5"/>
      <c r="M48" s="5"/>
      <c r="N48" s="5"/>
      <c r="O48" s="5"/>
      <c r="P48" s="88"/>
      <c r="Q48" s="95"/>
    </row>
    <row r="49" spans="1:17" s="2" customFormat="1" ht="12" customHeight="1">
      <c r="D49" s="22"/>
      <c r="E49" s="22"/>
      <c r="J49" s="5"/>
      <c r="K49" s="5"/>
      <c r="L49" s="5"/>
      <c r="M49" s="5"/>
      <c r="N49" s="5"/>
      <c r="O49" s="5"/>
      <c r="P49" s="88"/>
      <c r="Q49" s="95"/>
    </row>
    <row r="50" spans="1:17" s="2" customFormat="1" ht="12" customHeight="1">
      <c r="D50" s="22"/>
      <c r="E50" s="22"/>
      <c r="J50" s="5"/>
      <c r="K50" s="5"/>
      <c r="L50" s="5"/>
      <c r="M50" s="5"/>
      <c r="N50" s="5"/>
      <c r="O50" s="5"/>
      <c r="P50" s="88"/>
      <c r="Q50" s="95"/>
    </row>
    <row r="51" spans="1:17" s="2" customFormat="1" ht="12" customHeight="1">
      <c r="D51" s="22"/>
      <c r="E51" s="22"/>
      <c r="J51" s="5"/>
      <c r="K51" s="5"/>
      <c r="L51" s="5"/>
      <c r="M51" s="5"/>
      <c r="N51" s="5"/>
      <c r="O51" s="5"/>
      <c r="P51" s="88"/>
      <c r="Q51" s="95"/>
    </row>
    <row r="52" spans="1:17" s="2" customFormat="1" ht="12" customHeight="1">
      <c r="D52" s="22"/>
      <c r="E52" s="22"/>
      <c r="J52" s="5"/>
      <c r="K52" s="5"/>
      <c r="L52" s="5"/>
      <c r="M52" s="5"/>
      <c r="N52" s="5"/>
      <c r="O52" s="5"/>
      <c r="P52" s="88"/>
      <c r="Q52" s="95"/>
    </row>
    <row r="53" spans="1:17" s="2" customFormat="1" ht="12" customHeight="1">
      <c r="D53" s="22"/>
      <c r="E53" s="22"/>
      <c r="J53" s="5"/>
      <c r="K53" s="5"/>
      <c r="L53" s="5"/>
      <c r="M53" s="5"/>
      <c r="N53" s="5"/>
      <c r="O53" s="5"/>
      <c r="P53" s="88"/>
      <c r="Q53" s="95"/>
    </row>
    <row r="54" spans="1:17" s="2" customFormat="1" ht="12" customHeight="1">
      <c r="D54" s="22"/>
      <c r="E54" s="22"/>
      <c r="J54" s="5"/>
      <c r="K54" s="5"/>
      <c r="L54" s="5"/>
      <c r="M54" s="5"/>
      <c r="N54" s="5"/>
      <c r="O54" s="5"/>
      <c r="P54" s="88"/>
      <c r="Q54" s="95"/>
    </row>
    <row r="55" spans="1:17" s="2" customFormat="1" ht="12" customHeight="1">
      <c r="D55" s="22"/>
      <c r="E55" s="22"/>
      <c r="J55" s="5"/>
      <c r="K55" s="5"/>
      <c r="L55" s="5"/>
      <c r="M55" s="5"/>
      <c r="N55" s="5"/>
      <c r="O55" s="5"/>
      <c r="P55" s="88"/>
      <c r="Q55" s="95"/>
    </row>
    <row r="56" spans="1:17" s="2" customFormat="1" ht="12" customHeight="1">
      <c r="D56" s="22"/>
      <c r="E56" s="22"/>
      <c r="J56" s="5"/>
      <c r="K56" s="5"/>
      <c r="L56" s="5"/>
      <c r="M56" s="5"/>
      <c r="N56" s="5"/>
      <c r="O56" s="5"/>
      <c r="P56" s="88"/>
      <c r="Q56" s="95"/>
    </row>
    <row r="57" spans="1:17" s="2" customFormat="1" ht="12" customHeight="1">
      <c r="D57" s="22"/>
      <c r="E57" s="22"/>
      <c r="J57" s="5"/>
      <c r="K57" s="5"/>
      <c r="L57" s="5"/>
      <c r="M57" s="5"/>
      <c r="N57" s="5"/>
      <c r="O57" s="5"/>
      <c r="P57" s="88"/>
      <c r="Q57" s="95"/>
    </row>
    <row r="58" spans="1:17" s="2" customFormat="1" ht="12" customHeight="1">
      <c r="D58" s="22"/>
      <c r="E58" s="22"/>
      <c r="J58" s="5"/>
      <c r="K58" s="5"/>
      <c r="L58" s="5"/>
      <c r="M58" s="5"/>
      <c r="N58" s="5"/>
      <c r="O58" s="5"/>
      <c r="P58" s="88"/>
      <c r="Q58" s="96"/>
    </row>
    <row r="59" spans="1:17" s="2" customFormat="1" ht="12" customHeight="1">
      <c r="D59" s="22"/>
      <c r="E59" s="22"/>
      <c r="J59" s="5"/>
      <c r="K59" s="5"/>
      <c r="L59" s="5"/>
      <c r="M59" s="5"/>
      <c r="N59" s="5"/>
      <c r="O59" s="5"/>
      <c r="P59" s="88"/>
      <c r="Q59" s="96"/>
    </row>
    <row r="60" spans="1:17" s="2" customFormat="1" ht="12" customHeight="1">
      <c r="D60" s="22"/>
      <c r="E60" s="22"/>
      <c r="J60" s="5"/>
      <c r="K60" s="5"/>
      <c r="L60" s="5"/>
      <c r="M60" s="5"/>
      <c r="N60" s="5"/>
      <c r="O60" s="5"/>
      <c r="P60" s="88"/>
      <c r="Q60" s="96"/>
    </row>
    <row r="61" spans="1:17" s="2" customFormat="1" ht="12" customHeight="1">
      <c r="D61" s="22"/>
      <c r="E61" s="22"/>
      <c r="J61" s="5"/>
      <c r="K61" s="5"/>
      <c r="L61" s="5"/>
      <c r="M61" s="5"/>
      <c r="N61" s="5"/>
      <c r="O61" s="5"/>
      <c r="P61" s="88"/>
      <c r="Q61" s="96"/>
    </row>
    <row r="62" spans="1:17" s="2" customFormat="1" ht="12" customHeight="1">
      <c r="A62"/>
      <c r="B62"/>
      <c r="C62"/>
      <c r="D62" s="23"/>
      <c r="E62" s="23"/>
      <c r="F62"/>
      <c r="G62"/>
      <c r="H62"/>
      <c r="I62"/>
      <c r="J62" s="19"/>
      <c r="K62" s="19"/>
      <c r="L62" s="19"/>
      <c r="M62" s="19"/>
      <c r="N62" s="19"/>
      <c r="O62" s="19"/>
      <c r="P62" s="90"/>
      <c r="Q62" s="96"/>
    </row>
    <row r="63" spans="1:17" s="2" customFormat="1" ht="12" customHeight="1">
      <c r="A63"/>
      <c r="B63"/>
      <c r="C63"/>
      <c r="D63" s="23"/>
      <c r="E63" s="23"/>
      <c r="F63"/>
      <c r="G63"/>
      <c r="H63"/>
      <c r="I63"/>
      <c r="J63" s="19"/>
      <c r="K63" s="19"/>
      <c r="L63" s="19"/>
      <c r="M63" s="19"/>
      <c r="N63" s="19"/>
      <c r="O63" s="19"/>
      <c r="P63" s="90"/>
      <c r="Q63" s="96"/>
    </row>
    <row r="64" spans="1:17" s="2" customFormat="1" ht="12" customHeight="1">
      <c r="A64"/>
      <c r="B64"/>
      <c r="C64"/>
      <c r="D64" s="23"/>
      <c r="E64" s="23"/>
      <c r="F64"/>
      <c r="G64"/>
      <c r="H64"/>
      <c r="I64"/>
      <c r="J64" s="19"/>
      <c r="K64" s="19"/>
      <c r="L64" s="19"/>
      <c r="M64" s="19"/>
      <c r="N64" s="19"/>
      <c r="O64" s="19"/>
      <c r="P64" s="90"/>
      <c r="Q64" s="96"/>
    </row>
    <row r="65" spans="1:17" s="2" customFormat="1" ht="12" customHeight="1">
      <c r="A65"/>
      <c r="B65"/>
      <c r="C65"/>
      <c r="D65" s="23"/>
      <c r="E65" s="23"/>
      <c r="F65"/>
      <c r="G65"/>
      <c r="H65"/>
      <c r="I65"/>
      <c r="J65" s="19"/>
      <c r="K65" s="19"/>
      <c r="L65" s="19"/>
      <c r="M65" s="19"/>
      <c r="N65" s="19"/>
      <c r="O65" s="19"/>
      <c r="P65" s="90"/>
      <c r="Q65" s="96"/>
    </row>
    <row r="66" spans="1:17" s="2" customFormat="1" ht="12" customHeight="1">
      <c r="A66"/>
      <c r="B66"/>
      <c r="C66"/>
      <c r="D66" s="23"/>
      <c r="E66" s="23"/>
      <c r="F66"/>
      <c r="G66"/>
      <c r="H66"/>
      <c r="I66"/>
      <c r="J66" s="19"/>
      <c r="K66" s="19"/>
      <c r="L66" s="19"/>
      <c r="M66" s="19"/>
      <c r="N66" s="19"/>
      <c r="O66" s="19"/>
      <c r="P66" s="90"/>
      <c r="Q66" s="96"/>
    </row>
    <row r="67" spans="1:17">
      <c r="Q67" s="96"/>
    </row>
    <row r="68" spans="1:17">
      <c r="Q68" s="96"/>
    </row>
    <row r="69" spans="1:17">
      <c r="Q69" s="96"/>
    </row>
    <row r="70" spans="1:17">
      <c r="Q70" s="96"/>
    </row>
    <row r="71" spans="1:17">
      <c r="Q71" s="96"/>
    </row>
    <row r="72" spans="1:17">
      <c r="Q72" s="96"/>
    </row>
    <row r="73" spans="1:17">
      <c r="Q73" s="96"/>
    </row>
    <row r="74" spans="1:17">
      <c r="Q74" s="96"/>
    </row>
    <row r="75" spans="1:17">
      <c r="Q75" s="96"/>
    </row>
    <row r="76" spans="1:17">
      <c r="Q76" s="96"/>
    </row>
    <row r="77" spans="1:17">
      <c r="Q77" s="96"/>
    </row>
    <row r="78" spans="1:17">
      <c r="Q78" s="96"/>
    </row>
    <row r="79" spans="1:17">
      <c r="Q79" s="96"/>
    </row>
    <row r="80" spans="1:17">
      <c r="Q80" s="96"/>
    </row>
    <row r="81" spans="17:17">
      <c r="Q81" s="96"/>
    </row>
    <row r="82" spans="17:17">
      <c r="Q82" s="96"/>
    </row>
    <row r="83" spans="17:17">
      <c r="Q83" s="96"/>
    </row>
    <row r="84" spans="17:17">
      <c r="Q84" s="96"/>
    </row>
    <row r="85" spans="17:17">
      <c r="Q85" s="96"/>
    </row>
    <row r="86" spans="17:17">
      <c r="Q86" s="96"/>
    </row>
    <row r="123" ht="12" customHeight="1"/>
    <row r="124" ht="12" customHeight="1"/>
    <row r="125" ht="12" customHeight="1"/>
    <row r="126" ht="12" customHeight="1"/>
    <row r="127" ht="12" customHeight="1"/>
    <row r="128" ht="12" customHeight="1"/>
    <row r="129" ht="12" customHeight="1"/>
    <row r="130" ht="12" customHeight="1"/>
    <row r="131" ht="12" customHeight="1"/>
    <row r="132" ht="12" customHeight="1"/>
    <row r="133" ht="12" customHeight="1"/>
    <row r="134" ht="12" customHeight="1"/>
    <row r="135" ht="12" customHeight="1"/>
    <row r="136" ht="12" customHeight="1"/>
    <row r="137" ht="12" customHeight="1"/>
    <row r="138" ht="12" customHeight="1"/>
    <row r="139" ht="12" customHeight="1"/>
    <row r="140" ht="12" customHeight="1"/>
    <row r="141" ht="12" customHeight="1"/>
    <row r="142" ht="12" customHeight="1"/>
    <row r="143" ht="12" customHeight="1"/>
    <row r="144" ht="12" customHeight="1"/>
    <row r="145" ht="12" customHeight="1"/>
    <row r="146" ht="12" customHeight="1"/>
    <row r="147" ht="12" customHeight="1"/>
    <row r="148" ht="12" customHeight="1"/>
    <row r="149" ht="12" customHeight="1"/>
    <row r="150" ht="12" customHeight="1"/>
    <row r="151" ht="12" customHeight="1"/>
    <row r="152" ht="12" customHeight="1"/>
    <row r="153" ht="12" customHeight="1"/>
    <row r="154" ht="12" customHeight="1"/>
    <row r="155" ht="12" customHeight="1"/>
    <row r="156" ht="12" customHeight="1"/>
    <row r="157" ht="12" customHeight="1"/>
    <row r="158" ht="12" customHeight="1"/>
    <row r="159" ht="12" customHeight="1"/>
    <row r="160" ht="12" customHeight="1"/>
    <row r="161" ht="12" customHeight="1"/>
    <row r="162" ht="12" customHeight="1"/>
    <row r="163" ht="12" customHeight="1"/>
    <row r="164" ht="12" customHeight="1"/>
    <row r="165" ht="12" customHeight="1"/>
    <row r="166" ht="12" customHeight="1"/>
    <row r="167" ht="12" customHeight="1"/>
    <row r="168" ht="12" customHeight="1"/>
    <row r="169" ht="12" customHeight="1"/>
    <row r="170" ht="12" customHeight="1"/>
    <row r="171" ht="12" customHeight="1"/>
    <row r="172" ht="12" customHeight="1"/>
  </sheetData>
  <mergeCells count="20">
    <mergeCell ref="D19:E19"/>
    <mergeCell ref="H19:I19"/>
    <mergeCell ref="D16:E16"/>
    <mergeCell ref="D17:E17"/>
    <mergeCell ref="D11:E11"/>
    <mergeCell ref="D12:E12"/>
    <mergeCell ref="D13:E13"/>
    <mergeCell ref="D14:E14"/>
    <mergeCell ref="H15:I15"/>
    <mergeCell ref="D15:E15"/>
    <mergeCell ref="D10:E10"/>
    <mergeCell ref="D5:E5"/>
    <mergeCell ref="D6:E6"/>
    <mergeCell ref="D7:E7"/>
    <mergeCell ref="D8:E8"/>
    <mergeCell ref="D1:E1"/>
    <mergeCell ref="D4:E4"/>
    <mergeCell ref="H4:I4"/>
    <mergeCell ref="D9:E9"/>
    <mergeCell ref="H9:I9"/>
  </mergeCells>
  <conditionalFormatting sqref="M5:M8 M16:M18">
    <cfRule type="cellIs" dxfId="332" priority="3" stopIfTrue="1" operator="lessThanOrEqual">
      <formula>$L5</formula>
    </cfRule>
    <cfRule type="cellIs" dxfId="331" priority="4" operator="greaterThan">
      <formula>L5</formula>
    </cfRule>
  </conditionalFormatting>
  <conditionalFormatting sqref="M10:M14">
    <cfRule type="cellIs" dxfId="330" priority="5" stopIfTrue="1" operator="lessThanOrEqual">
      <formula>$L10</formula>
    </cfRule>
    <cfRule type="cellIs" dxfId="329" priority="6" operator="greaterThan">
      <formula>L10</formula>
    </cfRule>
  </conditionalFormatting>
  <pageMargins left="0.7" right="0.7" top="0.75" bottom="0.75" header="0.3" footer="0.3"/>
  <pageSetup paperSize="3" fitToHeight="0" orientation="landscape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93EB6F2-FBEB-4A18-BBEA-372ACDF10D65}">
          <x14:formula1>
            <xm:f>Bolts!$A:$A</xm:f>
          </x14:formula1>
          <xm:sqref>C16:C18</xm:sqref>
        </x14:dataValidation>
        <x14:dataValidation type="list" allowBlank="1" showInputMessage="1" showErrorMessage="1" xr:uid="{3A5B798F-B7D1-41E0-9D8E-BB3E040A50C9}">
          <x14:formula1>
            <xm:f>Purchased!$A:$A</xm:f>
          </x14:formula1>
          <xm:sqref>C10:C14</xm:sqref>
        </x14:dataValidation>
        <x14:dataValidation type="list" allowBlank="1" showInputMessage="1" showErrorMessage="1" xr:uid="{85EAA7CD-FB00-41B2-9E27-7DC19AF3C4B5}">
          <x14:formula1>
            <xm:f>Machined!$C:$C</xm:f>
          </x14:formula1>
          <xm:sqref>C5:C8</xm:sqref>
        </x14:dataValidation>
      </x14:dataValidations>
    </ext>
  </extLst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9C248-501C-42EF-B91C-A557EEB0CC1D}">
  <sheetPr codeName="Sheet91">
    <tabColor theme="3" tint="0.79998168889431442"/>
    <pageSetUpPr fitToPage="1"/>
  </sheetPr>
  <dimension ref="A1:Q167"/>
  <sheetViews>
    <sheetView zoomScaleNormal="100" workbookViewId="0">
      <selection activeCell="E35" sqref="E35"/>
    </sheetView>
  </sheetViews>
  <sheetFormatPr defaultColWidth="9.140625" defaultRowHeight="15"/>
  <cols>
    <col min="1" max="1" width="5.7109375" customWidth="1"/>
    <col min="2" max="2" width="5.42578125" bestFit="1" customWidth="1"/>
    <col min="3" max="3" width="30.7109375" customWidth="1"/>
    <col min="4" max="5" width="20.7109375" style="23" customWidth="1"/>
    <col min="6" max="6" width="16.85546875" bestFit="1" customWidth="1"/>
    <col min="7" max="7" width="9.7109375" customWidth="1"/>
    <col min="8" max="8" width="8.7109375" customWidth="1"/>
    <col min="9" max="9" width="26.140625" bestFit="1" customWidth="1"/>
    <col min="10" max="13" width="11.7109375" style="19" customWidth="1"/>
    <col min="14" max="14" width="11.85546875" style="19" bestFit="1" customWidth="1"/>
    <col min="15" max="15" width="7.7109375" style="19" customWidth="1"/>
    <col min="16" max="16" width="10.7109375" style="90" customWidth="1"/>
    <col min="17" max="17" width="10.7109375" style="97" customWidth="1"/>
  </cols>
  <sheetData>
    <row r="1" spans="1:17" s="55" customFormat="1" ht="12" customHeight="1">
      <c r="A1" s="68" t="s">
        <v>0</v>
      </c>
      <c r="B1" s="69"/>
      <c r="C1" s="69"/>
      <c r="D1" s="262" t="s">
        <v>1</v>
      </c>
      <c r="E1" s="262"/>
      <c r="F1" s="70"/>
      <c r="G1" s="69"/>
      <c r="H1" s="70"/>
      <c r="I1" s="71"/>
      <c r="J1" s="72"/>
      <c r="K1" s="72"/>
      <c r="L1" s="72"/>
      <c r="M1" s="72"/>
      <c r="N1" s="72"/>
      <c r="O1" s="72"/>
      <c r="P1" s="85"/>
      <c r="Q1" s="91"/>
    </row>
    <row r="2" spans="1:17" s="55" customFormat="1" ht="12" customHeight="1">
      <c r="A2" s="74" t="s">
        <v>48</v>
      </c>
      <c r="B2" s="58"/>
      <c r="C2" s="57" t="e">
        <f ca="1">VLOOKUP(E3,Assemblies!B:F,4,0)</f>
        <v>#VALUE!</v>
      </c>
      <c r="D2" s="75" t="s">
        <v>3</v>
      </c>
      <c r="E2" s="76" t="e">
        <f ca="1">'GF12'!E2</f>
        <v>#VALUE!</v>
      </c>
      <c r="F2" s="77" t="s">
        <v>4</v>
      </c>
      <c r="G2" s="58" t="str">
        <f>'GF12'!G2</f>
        <v>GH</v>
      </c>
      <c r="H2" s="77" t="s">
        <v>6</v>
      </c>
      <c r="I2" s="59">
        <f>'GF12'!I2</f>
        <v>44775</v>
      </c>
      <c r="J2" s="39"/>
      <c r="K2" s="40" t="s">
        <v>49</v>
      </c>
      <c r="L2" s="41" t="e">
        <f ca="1">VLOOKUP(C2,Assemblies!E:G,3,0)</f>
        <v>#VALUE!</v>
      </c>
      <c r="M2" s="78"/>
      <c r="N2" s="78"/>
      <c r="O2" s="78"/>
      <c r="P2" s="86"/>
      <c r="Q2" s="92"/>
    </row>
    <row r="3" spans="1:17" s="55" customFormat="1" ht="12" customHeight="1" thickBot="1">
      <c r="A3" s="74" t="s">
        <v>7</v>
      </c>
      <c r="B3" s="58"/>
      <c r="C3" s="57" t="e">
        <f ca="1">VLOOKUP(E3,Assemblies!B:F,5,0)</f>
        <v>#VALUE!</v>
      </c>
      <c r="D3" s="75" t="s">
        <v>50</v>
      </c>
      <c r="E3" s="76" t="e">
        <f ca="1">MID(CELL("filename",A1),FIND("]",CELL("filename",A1))+1,256)</f>
        <v>#VALUE!</v>
      </c>
      <c r="F3" s="77" t="s">
        <v>11</v>
      </c>
      <c r="G3" s="58" t="str">
        <f>'GF12'!G3</f>
        <v>GH</v>
      </c>
      <c r="H3" s="77" t="s">
        <v>6</v>
      </c>
      <c r="I3" s="59">
        <f>'GF12'!I3</f>
        <v>44775</v>
      </c>
      <c r="J3" s="78"/>
      <c r="K3" s="78"/>
      <c r="L3" s="78"/>
      <c r="M3" s="78"/>
      <c r="N3" s="78"/>
      <c r="O3" s="78"/>
      <c r="P3" s="86"/>
      <c r="Q3" s="92"/>
    </row>
    <row r="4" spans="1:17" s="56" customFormat="1" ht="12.75" customHeight="1" thickBot="1">
      <c r="A4" s="80" t="s">
        <v>12</v>
      </c>
      <c r="B4" s="81" t="s">
        <v>13</v>
      </c>
      <c r="C4" s="81" t="s">
        <v>14</v>
      </c>
      <c r="D4" s="270" t="s">
        <v>15</v>
      </c>
      <c r="E4" s="270"/>
      <c r="F4" s="104" t="s">
        <v>16</v>
      </c>
      <c r="G4" s="81" t="s">
        <v>17</v>
      </c>
      <c r="H4" s="260" t="s">
        <v>18</v>
      </c>
      <c r="I4" s="260"/>
      <c r="J4" s="81" t="s">
        <v>51</v>
      </c>
      <c r="K4" s="81" t="s">
        <v>20</v>
      </c>
      <c r="L4" s="81" t="s">
        <v>21</v>
      </c>
      <c r="M4" s="81" t="s">
        <v>52</v>
      </c>
      <c r="N4" s="81" t="s">
        <v>22</v>
      </c>
      <c r="O4" s="81" t="s">
        <v>53</v>
      </c>
      <c r="P4" s="107" t="s">
        <v>26</v>
      </c>
      <c r="Q4" s="82" t="s">
        <v>27</v>
      </c>
    </row>
    <row r="5" spans="1:17" s="2" customFormat="1" ht="12.75" customHeight="1">
      <c r="A5" s="127">
        <v>1</v>
      </c>
      <c r="B5" s="21">
        <v>1</v>
      </c>
      <c r="C5" s="108" t="s">
        <v>1088</v>
      </c>
      <c r="D5" s="277" t="str">
        <f>VLOOKUP(C5,Machined!C:Q,2,0)</f>
        <v>RUNNER BLOCK PLATE</v>
      </c>
      <c r="E5" s="277"/>
      <c r="F5" s="131" t="str">
        <f>VLOOKUP(C5,Machined!C:R,7,0)</f>
        <v>6061-T6 Alum</v>
      </c>
      <c r="G5" s="131" t="str">
        <f>VLOOKUP(C5,Machined!C:R,10,0)</f>
        <v>FRONTIER</v>
      </c>
      <c r="H5" s="131" t="str">
        <f>VLOOKUP(C5,Machined!C:R,11,0)</f>
        <v xml:space="preserve">  </v>
      </c>
      <c r="I5" s="131"/>
      <c r="J5" s="42">
        <f>VLOOKUP(C5,Machined!C:R,12,0)</f>
        <v>45139</v>
      </c>
      <c r="K5" s="42">
        <f>VLOOKUP(C5,Machined!C:R,13,0)</f>
        <v>45140</v>
      </c>
      <c r="L5" s="42">
        <f>VLOOKUP(C5,Machined!C:R,14,0)</f>
        <v>45170</v>
      </c>
      <c r="M5" s="42">
        <f>VLOOKUP(C5,Machined!C:R,15,0)</f>
        <v>45170</v>
      </c>
      <c r="N5" s="43">
        <f>VLOOKUP(C5,Machined!C:R,16,0)</f>
        <v>55025</v>
      </c>
      <c r="O5" s="43" t="e">
        <f t="shared" ref="O5" ca="1" si="0">B5*$L$2</f>
        <v>#VALUE!</v>
      </c>
      <c r="P5" s="47">
        <f>IFERROR(VLOOKUP(C5,Machined!C:F,3,0),"")</f>
        <v>0</v>
      </c>
      <c r="Q5" s="48">
        <f t="shared" ref="Q5" si="1">IFERROR(B5*P5,"")</f>
        <v>0</v>
      </c>
    </row>
    <row r="6" spans="1:17" s="2" customFormat="1" ht="12.75" customHeight="1">
      <c r="A6" s="143"/>
      <c r="B6" s="26"/>
      <c r="C6" s="26"/>
      <c r="D6" s="272"/>
      <c r="E6" s="273"/>
      <c r="F6" s="26"/>
      <c r="G6" s="26"/>
      <c r="H6" s="274"/>
      <c r="I6" s="275"/>
      <c r="J6" s="27"/>
      <c r="K6" s="27"/>
      <c r="L6" s="27"/>
      <c r="M6" s="28"/>
      <c r="N6" s="29"/>
      <c r="O6" s="29"/>
      <c r="P6" s="141"/>
      <c r="Q6" s="142"/>
    </row>
    <row r="7" spans="1:17" s="2" customFormat="1" ht="12.75" customHeight="1">
      <c r="A7" s="4">
        <v>301</v>
      </c>
      <c r="B7" s="2">
        <v>1</v>
      </c>
      <c r="C7" s="114" t="s">
        <v>1089</v>
      </c>
      <c r="D7" s="268" t="str">
        <f>VLOOKUP(C7,Purchased!A:B,2,0)</f>
        <v>BRL 15mm runner block, C1 Preload, flanged</v>
      </c>
      <c r="E7" s="269"/>
      <c r="F7" s="112" t="str">
        <f>VLOOKUP(C7,Purchased!A:Q,9,0)</f>
        <v>BRL</v>
      </c>
      <c r="G7" s="112" t="str">
        <f>VLOOKUP(C7,Purchased!A:Q,10,0)</f>
        <v>AAP</v>
      </c>
      <c r="H7" s="112" t="str">
        <f>VLOOKUP(C7,Purchased!A:Q,12,0)</f>
        <v xml:space="preserve"> </v>
      </c>
      <c r="I7" s="113"/>
      <c r="J7" s="44">
        <f>VLOOKUP(C7,Purchased!A:Q,13,0)</f>
        <v>45093</v>
      </c>
      <c r="K7" s="44">
        <f>VLOOKUP(C7,Purchased!A:Q,14,0)</f>
        <v>45093</v>
      </c>
      <c r="L7" s="44">
        <f>VLOOKUP(C7,Purchased!A:Q,15,0)</f>
        <v>45184</v>
      </c>
      <c r="M7" s="44">
        <f>VLOOKUP(C7,Purchased!A:Q,16,0)</f>
        <v>45184</v>
      </c>
      <c r="N7" s="45">
        <f>VLOOKUP(C7,Purchased!A:Q,17,0)</f>
        <v>54942</v>
      </c>
      <c r="O7" s="45" t="e">
        <f t="shared" ref="O7:O8" ca="1" si="2">B7*$L$2</f>
        <v>#VALUE!</v>
      </c>
      <c r="P7" s="49">
        <f>IFERROR(VLOOKUP(C7,Purchased!A:E,3,FALSE),"")</f>
        <v>109.21420000000001</v>
      </c>
      <c r="Q7" s="50">
        <f t="shared" ref="Q7:Q8" si="3">IFERROR(B7*P7,"")</f>
        <v>109.21420000000001</v>
      </c>
    </row>
    <row r="8" spans="1:17" s="2" customFormat="1" ht="12" customHeight="1">
      <c r="A8" s="4">
        <f t="shared" ref="A8:A9" si="4">A7+1</f>
        <v>302</v>
      </c>
      <c r="B8" s="2">
        <v>0.5</v>
      </c>
      <c r="C8" s="114" t="s">
        <v>900</v>
      </c>
      <c r="D8" s="268" t="str">
        <f>VLOOKUP(C8,Purchased!A:B,2,0)</f>
        <v>MKS Series Pneumatic clamp for 25mm bosch profile rail</v>
      </c>
      <c r="E8" s="269"/>
      <c r="F8" s="112" t="str">
        <f>VLOOKUP(C8,Purchased!A:Q,9,0)</f>
        <v>ZIMMER</v>
      </c>
      <c r="G8" s="112" t="str">
        <f>VLOOKUP(C8,Purchased!A:Q,10,0)</f>
        <v>ZIMMER</v>
      </c>
      <c r="H8" s="112" t="str">
        <f>VLOOKUP(C8,Purchased!A:Q,12,0)</f>
        <v xml:space="preserve"> </v>
      </c>
      <c r="I8" s="113" t="s">
        <v>1090</v>
      </c>
      <c r="J8" s="44" t="str">
        <f>VLOOKUP(C8,Purchased!A:Q,13,0)</f>
        <v>N/A</v>
      </c>
      <c r="K8" s="44">
        <f>VLOOKUP(C8,Purchased!A:Q,14,0)</f>
        <v>45117</v>
      </c>
      <c r="L8" s="44">
        <f>VLOOKUP(C8,Purchased!A:Q,15,0)</f>
        <v>45147</v>
      </c>
      <c r="M8" s="44">
        <f>VLOOKUP(C8,Purchased!A:Q,16,0)</f>
        <v>45180</v>
      </c>
      <c r="N8" s="45">
        <f>VLOOKUP(C8,Purchased!A:Q,17,0)</f>
        <v>54979</v>
      </c>
      <c r="O8" s="45" t="e">
        <f t="shared" ca="1" si="2"/>
        <v>#VALUE!</v>
      </c>
      <c r="P8" s="49">
        <f>IFERROR(VLOOKUP(C8,Purchased!A:E,3,FALSE),"")</f>
        <v>428.1</v>
      </c>
      <c r="Q8" s="50">
        <f t="shared" si="3"/>
        <v>214.05</v>
      </c>
    </row>
    <row r="9" spans="1:17" s="2" customFormat="1" ht="12" customHeight="1">
      <c r="A9" s="4">
        <f t="shared" si="4"/>
        <v>303</v>
      </c>
      <c r="B9" s="2">
        <v>0.5</v>
      </c>
      <c r="C9" s="114" t="s">
        <v>793</v>
      </c>
      <c r="D9" s="164" t="str">
        <f>VLOOKUP(C9,Purchased!A:B,2,0)</f>
        <v>SMC FITTING, MALE CONNECTOR</v>
      </c>
      <c r="E9" s="169"/>
      <c r="F9" s="112" t="str">
        <f>VLOOKUP(C9,Purchased!A:Q,9,0)</f>
        <v>SMC</v>
      </c>
      <c r="G9" s="112" t="str">
        <f>VLOOKUP(C9,Purchased!A:Q,10,0)</f>
        <v>AAP</v>
      </c>
      <c r="H9" s="112" t="str">
        <f>VLOOKUP(C9,Purchased!A:Q,12,0)</f>
        <v xml:space="preserve">  </v>
      </c>
      <c r="I9" s="113" t="s">
        <v>1091</v>
      </c>
      <c r="J9" s="44" t="str">
        <f>VLOOKUP(C9,Purchased!A:Q,13,0)</f>
        <v>N/A</v>
      </c>
      <c r="K9" s="44">
        <f>VLOOKUP(C9,Purchased!A:Q,14,0)</f>
        <v>45162</v>
      </c>
      <c r="L9" s="44">
        <f>VLOOKUP(C9,Purchased!A:Q,15,0)</f>
        <v>45184</v>
      </c>
      <c r="M9" s="44">
        <f>VLOOKUP(C9,Purchased!A:Q,16,0)</f>
        <v>45180</v>
      </c>
      <c r="N9" s="45">
        <f>VLOOKUP(C9,Purchased!A:Q,17,0)</f>
        <v>55037</v>
      </c>
      <c r="O9" s="45" t="e">
        <f t="shared" ref="O9" ca="1" si="5">B9*$L$2</f>
        <v>#VALUE!</v>
      </c>
      <c r="P9" s="49">
        <f>IFERROR(VLOOKUP(C9,Purchased!A:E,3,FALSE),"")</f>
        <v>0.84379999999999999</v>
      </c>
      <c r="Q9" s="50">
        <f t="shared" ref="Q9" si="6">IFERROR(B9*P9,"")</f>
        <v>0.4219</v>
      </c>
    </row>
    <row r="10" spans="1:17" s="2" customFormat="1" ht="12.75" customHeight="1">
      <c r="A10" s="25"/>
      <c r="B10" s="26"/>
      <c r="C10" s="26"/>
      <c r="D10" s="272"/>
      <c r="E10" s="273"/>
      <c r="F10" s="26"/>
      <c r="G10" s="26"/>
      <c r="H10" s="274"/>
      <c r="I10" s="275"/>
      <c r="J10" s="27"/>
      <c r="K10" s="27"/>
      <c r="L10" s="27"/>
      <c r="M10" s="28"/>
      <c r="N10" s="29"/>
      <c r="O10" s="29" t="e">
        <f t="shared" ref="O10:O12" ca="1" si="7">B10*$L$2</f>
        <v>#VALUE!</v>
      </c>
      <c r="P10" s="141"/>
      <c r="Q10" s="142"/>
    </row>
    <row r="11" spans="1:17" s="2" customFormat="1" ht="12.75" customHeight="1">
      <c r="A11" s="4">
        <v>501</v>
      </c>
      <c r="B11" s="2">
        <v>4</v>
      </c>
      <c r="C11" s="110" t="s">
        <v>638</v>
      </c>
      <c r="D11" s="268"/>
      <c r="E11" s="276"/>
      <c r="F11" s="112" t="str">
        <f>VLOOKUP(C11,Bolts!A:L,5,0)</f>
        <v xml:space="preserve">  </v>
      </c>
      <c r="G11" s="112" t="str">
        <f>VLOOKUP(C11,Bolts!A:L,6,0)</f>
        <v>Monroe Fasteners</v>
      </c>
      <c r="H11" s="112" t="str">
        <f>VLOOKUP(C11,Bolts!A:L,7,0)</f>
        <v xml:space="preserve">  </v>
      </c>
      <c r="I11" s="112"/>
      <c r="J11" s="44" t="str">
        <f>VLOOKUP(C11,Bolts!A:L,8,0)</f>
        <v xml:space="preserve"> </v>
      </c>
      <c r="K11" s="44" t="str">
        <f>VLOOKUP(C11,Bolts!A:L,9,0)</f>
        <v xml:space="preserve"> </v>
      </c>
      <c r="L11" s="44" t="str">
        <f>VLOOKUP(C11,Bolts!A:L,10,0)</f>
        <v xml:space="preserve"> </v>
      </c>
      <c r="M11" s="44" t="str">
        <f>VLOOKUP(C11,Bolts!A:L,11,0)</f>
        <v xml:space="preserve"> </v>
      </c>
      <c r="N11" s="45" t="str">
        <f>VLOOKUP(C11,Bolts!A:L,12,0)</f>
        <v xml:space="preserve"> </v>
      </c>
      <c r="O11" s="45" t="e">
        <f t="shared" ca="1" si="7"/>
        <v>#VALUE!</v>
      </c>
      <c r="P11" s="49" t="str">
        <f>IFERROR(VLOOKUP(C11,Bolts!A:B,2,FALSE),"")</f>
        <v xml:space="preserve"> </v>
      </c>
      <c r="Q11" s="50" t="str">
        <f t="shared" ref="Q11:Q12" si="8">IFERROR(B11*P11,"")</f>
        <v/>
      </c>
    </row>
    <row r="12" spans="1:17" s="2" customFormat="1" ht="12.75" customHeight="1">
      <c r="A12" s="4">
        <f t="shared" ref="A12" si="9">A11+1</f>
        <v>502</v>
      </c>
      <c r="B12" s="2">
        <v>4</v>
      </c>
      <c r="C12" s="110" t="s">
        <v>636</v>
      </c>
      <c r="D12" s="268"/>
      <c r="E12" s="276"/>
      <c r="F12" s="112" t="str">
        <f>VLOOKUP(C12,Bolts!A:L,5,0)</f>
        <v xml:space="preserve">  </v>
      </c>
      <c r="G12" s="112" t="str">
        <f>VLOOKUP(C12,Bolts!A:L,6,0)</f>
        <v>Monroe Fasteners</v>
      </c>
      <c r="H12" s="112" t="str">
        <f>VLOOKUP(C12,Bolts!A:L,7,0)</f>
        <v xml:space="preserve">  </v>
      </c>
      <c r="I12" s="112"/>
      <c r="J12" s="44" t="str">
        <f>VLOOKUP(C12,Bolts!A:L,8,0)</f>
        <v xml:space="preserve"> </v>
      </c>
      <c r="K12" s="44" t="str">
        <f>VLOOKUP(C12,Bolts!A:L,9,0)</f>
        <v xml:space="preserve"> </v>
      </c>
      <c r="L12" s="44" t="str">
        <f>VLOOKUP(C12,Bolts!A:L,10,0)</f>
        <v xml:space="preserve"> </v>
      </c>
      <c r="M12" s="44" t="str">
        <f>VLOOKUP(C12,Bolts!A:L,11,0)</f>
        <v xml:space="preserve"> </v>
      </c>
      <c r="N12" s="45" t="str">
        <f>VLOOKUP(C12,Bolts!A:L,12,0)</f>
        <v xml:space="preserve"> </v>
      </c>
      <c r="O12" s="45" t="e">
        <f t="shared" ca="1" si="7"/>
        <v>#VALUE!</v>
      </c>
      <c r="P12" s="49" t="str">
        <f>IFERROR(VLOOKUP(C12,Bolts!A:B,2,FALSE),"")</f>
        <v xml:space="preserve"> </v>
      </c>
      <c r="Q12" s="50" t="str">
        <f t="shared" si="8"/>
        <v/>
      </c>
    </row>
    <row r="13" spans="1:17" s="2" customFormat="1" ht="12.75" customHeight="1" thickBot="1">
      <c r="A13" s="4">
        <f>A12+1</f>
        <v>503</v>
      </c>
      <c r="B13" s="2">
        <v>4</v>
      </c>
      <c r="C13" s="110" t="s">
        <v>278</v>
      </c>
      <c r="D13" s="268"/>
      <c r="E13" s="276"/>
      <c r="F13" s="112" t="str">
        <f>VLOOKUP(C13,Bolts!A:L,5,0)</f>
        <v xml:space="preserve">  </v>
      </c>
      <c r="G13" s="112" t="str">
        <f>VLOOKUP(C13,Bolts!A:L,6,0)</f>
        <v>Monroe Fasteners</v>
      </c>
      <c r="H13" s="112" t="str">
        <f>VLOOKUP(C13,Bolts!A:L,7,0)</f>
        <v xml:space="preserve">  </v>
      </c>
      <c r="I13" s="112"/>
      <c r="J13" s="44" t="str">
        <f>VLOOKUP(C13,Bolts!A:L,8,0)</f>
        <v xml:space="preserve"> </v>
      </c>
      <c r="K13" s="44" t="str">
        <f>VLOOKUP(C13,Bolts!A:L,9,0)</f>
        <v xml:space="preserve"> </v>
      </c>
      <c r="L13" s="44" t="str">
        <f>VLOOKUP(C13,Bolts!A:L,10,0)</f>
        <v xml:space="preserve"> </v>
      </c>
      <c r="M13" s="44" t="str">
        <f>VLOOKUP(C13,Bolts!A:L,11,0)</f>
        <v xml:space="preserve"> </v>
      </c>
      <c r="N13" s="45" t="str">
        <f>VLOOKUP(C13,Bolts!A:L,12,0)</f>
        <v xml:space="preserve"> </v>
      </c>
      <c r="O13" s="45" t="e">
        <f ca="1">B13*$L$2</f>
        <v>#VALUE!</v>
      </c>
      <c r="P13" s="49" t="str">
        <f>IFERROR(VLOOKUP(C13,Bolts!A:B,2,FALSE),"")</f>
        <v xml:space="preserve"> </v>
      </c>
      <c r="Q13" s="50" t="str">
        <f>IFERROR(B13*P13,"")</f>
        <v/>
      </c>
    </row>
    <row r="14" spans="1:17" s="2" customFormat="1" ht="12.75" customHeight="1" thickBot="1">
      <c r="A14" s="34"/>
      <c r="B14" s="35"/>
      <c r="C14" s="35"/>
      <c r="D14" s="256"/>
      <c r="E14" s="257"/>
      <c r="F14" s="35"/>
      <c r="G14" s="35"/>
      <c r="H14" s="294"/>
      <c r="I14" s="295"/>
      <c r="J14" s="36"/>
      <c r="K14" s="36"/>
      <c r="L14" s="36"/>
      <c r="M14" s="37"/>
      <c r="N14" s="38"/>
      <c r="O14" s="38"/>
      <c r="P14" s="89" t="s">
        <v>43</v>
      </c>
      <c r="Q14" s="94">
        <f>SUM(Q5:Q13)</f>
        <v>323.68610000000001</v>
      </c>
    </row>
    <row r="15" spans="1:17" s="2" customFormat="1" ht="12" customHeight="1">
      <c r="D15" s="22"/>
      <c r="E15" s="22"/>
      <c r="J15" s="8"/>
      <c r="K15" s="8"/>
      <c r="L15" s="8"/>
      <c r="M15" s="8"/>
      <c r="N15" s="5"/>
      <c r="O15" s="5"/>
      <c r="P15" s="88"/>
      <c r="Q15" s="95"/>
    </row>
    <row r="16" spans="1:17" s="2" customFormat="1" ht="12" customHeight="1">
      <c r="D16" s="22"/>
      <c r="E16" s="22"/>
      <c r="J16" s="5"/>
      <c r="K16" s="5"/>
      <c r="L16" s="5"/>
      <c r="M16" s="5"/>
      <c r="N16" s="5"/>
      <c r="O16" s="5"/>
      <c r="P16" s="88"/>
      <c r="Q16" s="95"/>
    </row>
    <row r="17" spans="4:17" s="2" customFormat="1" ht="12" customHeight="1">
      <c r="D17" s="22"/>
      <c r="E17" s="22"/>
      <c r="J17" s="5"/>
      <c r="K17" s="5"/>
      <c r="L17" s="5"/>
      <c r="M17" s="5"/>
      <c r="N17" s="5"/>
      <c r="O17" s="5"/>
      <c r="P17" s="88"/>
      <c r="Q17" s="95"/>
    </row>
    <row r="18" spans="4:17" s="2" customFormat="1" ht="12" customHeight="1">
      <c r="D18" s="22"/>
      <c r="E18" s="22"/>
      <c r="J18" s="5"/>
      <c r="K18" s="5"/>
      <c r="L18" s="5"/>
      <c r="M18" s="5"/>
      <c r="N18" s="5"/>
      <c r="O18" s="5"/>
      <c r="P18" s="88"/>
      <c r="Q18" s="95"/>
    </row>
    <row r="19" spans="4:17" s="2" customFormat="1" ht="12" customHeight="1">
      <c r="D19" s="22"/>
      <c r="E19" s="22"/>
      <c r="J19" s="5"/>
      <c r="K19" s="5"/>
      <c r="L19" s="5"/>
      <c r="M19" s="5"/>
      <c r="N19" s="5"/>
      <c r="O19" s="5"/>
      <c r="P19" s="88"/>
      <c r="Q19" s="95"/>
    </row>
    <row r="20" spans="4:17" s="2" customFormat="1" ht="12" customHeight="1">
      <c r="D20" s="22"/>
      <c r="E20" s="22"/>
      <c r="J20" s="5"/>
      <c r="K20" s="5"/>
      <c r="L20" s="5"/>
      <c r="M20" s="5"/>
      <c r="N20" s="5"/>
      <c r="O20" s="5"/>
      <c r="P20" s="88"/>
      <c r="Q20" s="95"/>
    </row>
    <row r="21" spans="4:17" s="2" customFormat="1" ht="12" customHeight="1">
      <c r="D21" s="22"/>
      <c r="E21" s="22"/>
      <c r="J21" s="5"/>
      <c r="K21" s="5"/>
      <c r="L21" s="5"/>
      <c r="M21" s="5"/>
      <c r="N21" s="5"/>
      <c r="O21" s="5"/>
      <c r="P21" s="88"/>
      <c r="Q21" s="95"/>
    </row>
    <row r="22" spans="4:17" s="2" customFormat="1" ht="12" customHeight="1">
      <c r="D22" s="22"/>
      <c r="E22" s="22"/>
      <c r="J22" s="5"/>
      <c r="K22" s="5"/>
      <c r="L22" s="5"/>
      <c r="M22" s="5"/>
      <c r="N22" s="5"/>
      <c r="O22" s="5"/>
      <c r="P22" s="88"/>
      <c r="Q22" s="95"/>
    </row>
    <row r="23" spans="4:17" s="2" customFormat="1" ht="12" customHeight="1">
      <c r="D23" s="22"/>
      <c r="E23" s="22"/>
      <c r="J23" s="5"/>
      <c r="K23" s="5"/>
      <c r="L23" s="5"/>
      <c r="M23" s="5"/>
      <c r="N23" s="5"/>
      <c r="O23" s="5"/>
      <c r="P23" s="88"/>
      <c r="Q23" s="95"/>
    </row>
    <row r="24" spans="4:17" s="2" customFormat="1" ht="12" customHeight="1">
      <c r="D24" s="22"/>
      <c r="E24" s="22"/>
      <c r="J24" s="5"/>
      <c r="K24" s="5"/>
      <c r="L24" s="5"/>
      <c r="M24" s="5"/>
      <c r="N24" s="5"/>
      <c r="O24" s="5"/>
      <c r="P24" s="88"/>
      <c r="Q24" s="95"/>
    </row>
    <row r="25" spans="4:17" s="2" customFormat="1" ht="12" customHeight="1">
      <c r="D25" s="22"/>
      <c r="E25" s="22"/>
      <c r="J25" s="5"/>
      <c r="K25" s="5"/>
      <c r="L25" s="5"/>
      <c r="M25" s="5"/>
      <c r="N25" s="5"/>
      <c r="O25" s="5"/>
      <c r="P25" s="88"/>
      <c r="Q25" s="95"/>
    </row>
    <row r="26" spans="4:17" s="2" customFormat="1" ht="12" customHeight="1">
      <c r="D26" s="22"/>
      <c r="E26" s="22"/>
      <c r="J26" s="5"/>
      <c r="K26" s="5"/>
      <c r="L26" s="5"/>
      <c r="M26" s="5"/>
      <c r="N26" s="5"/>
      <c r="O26" s="5"/>
      <c r="P26" s="88"/>
      <c r="Q26" s="95"/>
    </row>
    <row r="27" spans="4:17" s="2" customFormat="1" ht="12" customHeight="1">
      <c r="D27" s="22"/>
      <c r="E27" s="22"/>
      <c r="J27" s="5"/>
      <c r="K27" s="5"/>
      <c r="L27" s="5"/>
      <c r="M27" s="5"/>
      <c r="N27" s="5"/>
      <c r="O27" s="5"/>
      <c r="P27" s="88"/>
      <c r="Q27" s="95"/>
    </row>
    <row r="28" spans="4:17" s="2" customFormat="1" ht="12" customHeight="1">
      <c r="D28" s="22"/>
      <c r="E28" s="22"/>
      <c r="J28" s="5"/>
      <c r="K28" s="5"/>
      <c r="L28" s="5"/>
      <c r="M28" s="5"/>
      <c r="N28" s="5"/>
      <c r="O28" s="5"/>
      <c r="P28" s="88"/>
      <c r="Q28" s="95"/>
    </row>
    <row r="29" spans="4:17" s="2" customFormat="1" ht="12" customHeight="1">
      <c r="D29" s="22"/>
      <c r="E29" s="22"/>
      <c r="J29" s="5"/>
      <c r="K29" s="5"/>
      <c r="L29" s="5"/>
      <c r="M29" s="5"/>
      <c r="N29" s="5"/>
      <c r="O29" s="5"/>
      <c r="P29" s="88"/>
      <c r="Q29" s="95"/>
    </row>
    <row r="30" spans="4:17" s="2" customFormat="1" ht="12" customHeight="1">
      <c r="D30" s="22"/>
      <c r="E30" s="22"/>
      <c r="J30" s="5"/>
      <c r="K30" s="5"/>
      <c r="L30" s="5"/>
      <c r="M30" s="5"/>
      <c r="N30" s="5"/>
      <c r="O30" s="5"/>
      <c r="P30" s="88"/>
      <c r="Q30" s="95"/>
    </row>
    <row r="31" spans="4:17" s="2" customFormat="1" ht="12" customHeight="1">
      <c r="D31" s="22"/>
      <c r="E31" s="22"/>
      <c r="J31" s="5"/>
      <c r="K31" s="5"/>
      <c r="L31" s="5"/>
      <c r="M31" s="5"/>
      <c r="N31" s="5"/>
      <c r="O31" s="5"/>
      <c r="P31" s="88"/>
      <c r="Q31" s="95"/>
    </row>
    <row r="32" spans="4:17" s="2" customFormat="1" ht="12" customHeight="1">
      <c r="D32" s="22"/>
      <c r="E32" s="22"/>
      <c r="J32" s="5"/>
      <c r="K32" s="5"/>
      <c r="L32" s="5"/>
      <c r="M32" s="5"/>
      <c r="N32" s="5"/>
      <c r="O32" s="5"/>
      <c r="P32" s="88"/>
      <c r="Q32" s="95"/>
    </row>
    <row r="33" spans="4:17" s="2" customFormat="1" ht="12" customHeight="1">
      <c r="D33" s="22"/>
      <c r="E33" s="22"/>
      <c r="J33" s="5"/>
      <c r="K33" s="5"/>
      <c r="L33" s="5"/>
      <c r="M33" s="5"/>
      <c r="N33" s="5"/>
      <c r="O33" s="5"/>
      <c r="P33" s="88"/>
      <c r="Q33" s="95"/>
    </row>
    <row r="34" spans="4:17" s="2" customFormat="1" ht="12" customHeight="1">
      <c r="D34" s="22"/>
      <c r="E34" s="22"/>
      <c r="J34" s="5"/>
      <c r="K34" s="5"/>
      <c r="L34" s="5"/>
      <c r="M34" s="5"/>
      <c r="N34" s="5"/>
      <c r="O34" s="5"/>
      <c r="P34" s="88"/>
      <c r="Q34" s="95"/>
    </row>
    <row r="35" spans="4:17" s="2" customFormat="1" ht="12" customHeight="1">
      <c r="D35" s="22"/>
      <c r="E35" s="22"/>
      <c r="J35" s="5"/>
      <c r="K35" s="5"/>
      <c r="L35" s="5"/>
      <c r="M35" s="5"/>
      <c r="N35" s="5"/>
      <c r="O35" s="5"/>
      <c r="P35" s="88"/>
      <c r="Q35" s="95"/>
    </row>
    <row r="36" spans="4:17" s="2" customFormat="1" ht="12" customHeight="1">
      <c r="D36" s="22"/>
      <c r="E36" s="22"/>
      <c r="J36" s="5"/>
      <c r="K36" s="5"/>
      <c r="L36" s="5"/>
      <c r="M36" s="5"/>
      <c r="N36" s="5"/>
      <c r="O36" s="5"/>
      <c r="P36" s="88"/>
      <c r="Q36" s="95"/>
    </row>
    <row r="37" spans="4:17" s="2" customFormat="1" ht="12" customHeight="1">
      <c r="D37" s="22"/>
      <c r="E37" s="22"/>
      <c r="J37" s="5"/>
      <c r="K37" s="5"/>
      <c r="L37" s="5"/>
      <c r="M37" s="5"/>
      <c r="N37" s="5"/>
      <c r="O37" s="5"/>
      <c r="P37" s="88"/>
      <c r="Q37" s="95"/>
    </row>
    <row r="38" spans="4:17" s="2" customFormat="1" ht="12" customHeight="1">
      <c r="D38" s="22"/>
      <c r="E38" s="22"/>
      <c r="J38" s="5"/>
      <c r="K38" s="5"/>
      <c r="L38" s="5"/>
      <c r="M38" s="5"/>
      <c r="N38" s="5"/>
      <c r="O38" s="5"/>
      <c r="P38" s="88"/>
      <c r="Q38" s="95"/>
    </row>
    <row r="39" spans="4:17" s="2" customFormat="1" ht="12" customHeight="1">
      <c r="D39" s="22"/>
      <c r="E39" s="22"/>
      <c r="J39" s="5"/>
      <c r="K39" s="5"/>
      <c r="L39" s="5"/>
      <c r="M39" s="5"/>
      <c r="N39" s="5"/>
      <c r="O39" s="5"/>
      <c r="P39" s="88"/>
      <c r="Q39" s="95"/>
    </row>
    <row r="40" spans="4:17" s="2" customFormat="1" ht="12" customHeight="1">
      <c r="D40" s="22"/>
      <c r="E40" s="22"/>
      <c r="J40" s="5"/>
      <c r="K40" s="5"/>
      <c r="L40" s="5"/>
      <c r="M40" s="5"/>
      <c r="N40" s="5"/>
      <c r="O40" s="5"/>
      <c r="P40" s="88"/>
      <c r="Q40" s="95"/>
    </row>
    <row r="41" spans="4:17" s="2" customFormat="1" ht="12" customHeight="1">
      <c r="D41" s="22"/>
      <c r="E41" s="22"/>
      <c r="J41" s="5"/>
      <c r="K41" s="5"/>
      <c r="L41" s="5"/>
      <c r="M41" s="5"/>
      <c r="N41" s="5"/>
      <c r="O41" s="5"/>
      <c r="P41" s="88"/>
      <c r="Q41" s="95"/>
    </row>
    <row r="42" spans="4:17" s="2" customFormat="1" ht="12" customHeight="1">
      <c r="D42" s="22"/>
      <c r="E42" s="22"/>
      <c r="J42" s="5"/>
      <c r="K42" s="5"/>
      <c r="L42" s="5"/>
      <c r="M42" s="5"/>
      <c r="N42" s="5"/>
      <c r="O42" s="5"/>
      <c r="P42" s="88"/>
      <c r="Q42" s="95"/>
    </row>
    <row r="43" spans="4:17" s="2" customFormat="1" ht="12" customHeight="1">
      <c r="D43" s="22"/>
      <c r="E43" s="22"/>
      <c r="J43" s="5"/>
      <c r="K43" s="5"/>
      <c r="L43" s="5"/>
      <c r="M43" s="5"/>
      <c r="N43" s="5"/>
      <c r="O43" s="5"/>
      <c r="P43" s="88"/>
      <c r="Q43" s="95"/>
    </row>
    <row r="44" spans="4:17" s="2" customFormat="1" ht="12" customHeight="1">
      <c r="D44" s="22"/>
      <c r="E44" s="22"/>
      <c r="J44" s="5"/>
      <c r="K44" s="5"/>
      <c r="L44" s="5"/>
      <c r="M44" s="5"/>
      <c r="N44" s="5"/>
      <c r="O44" s="5"/>
      <c r="P44" s="88"/>
      <c r="Q44" s="95"/>
    </row>
    <row r="45" spans="4:17" s="2" customFormat="1" ht="12" customHeight="1">
      <c r="D45" s="22"/>
      <c r="E45" s="22"/>
      <c r="J45" s="5"/>
      <c r="K45" s="5"/>
      <c r="L45" s="5"/>
      <c r="M45" s="5"/>
      <c r="N45" s="5"/>
      <c r="O45" s="5"/>
      <c r="P45" s="88"/>
      <c r="Q45" s="95"/>
    </row>
    <row r="46" spans="4:17" s="2" customFormat="1" ht="12" customHeight="1">
      <c r="D46" s="22"/>
      <c r="E46" s="22"/>
      <c r="J46" s="5"/>
      <c r="K46" s="5"/>
      <c r="L46" s="5"/>
      <c r="M46" s="5"/>
      <c r="N46" s="5"/>
      <c r="O46" s="5"/>
      <c r="P46" s="88"/>
      <c r="Q46" s="95"/>
    </row>
    <row r="47" spans="4:17" s="2" customFormat="1" ht="12" customHeight="1">
      <c r="D47" s="22"/>
      <c r="E47" s="22"/>
      <c r="J47" s="5"/>
      <c r="K47" s="5"/>
      <c r="L47" s="5"/>
      <c r="M47" s="5"/>
      <c r="N47" s="5"/>
      <c r="O47" s="5"/>
      <c r="P47" s="88"/>
      <c r="Q47" s="95"/>
    </row>
    <row r="48" spans="4:17" s="2" customFormat="1" ht="12" customHeight="1">
      <c r="D48" s="22"/>
      <c r="E48" s="22"/>
      <c r="J48" s="5"/>
      <c r="K48" s="5"/>
      <c r="L48" s="5"/>
      <c r="M48" s="5"/>
      <c r="N48" s="5"/>
      <c r="O48" s="5"/>
      <c r="P48" s="88"/>
      <c r="Q48" s="95"/>
    </row>
    <row r="49" spans="1:17" s="2" customFormat="1" ht="12" customHeight="1">
      <c r="D49" s="22"/>
      <c r="E49" s="22"/>
      <c r="J49" s="5"/>
      <c r="K49" s="5"/>
      <c r="L49" s="5"/>
      <c r="M49" s="5"/>
      <c r="N49" s="5"/>
      <c r="O49" s="5"/>
      <c r="P49" s="88"/>
      <c r="Q49" s="95"/>
    </row>
    <row r="50" spans="1:17" s="2" customFormat="1" ht="12" customHeight="1">
      <c r="D50" s="22"/>
      <c r="E50" s="22"/>
      <c r="J50" s="5"/>
      <c r="K50" s="5"/>
      <c r="L50" s="5"/>
      <c r="M50" s="5"/>
      <c r="N50" s="5"/>
      <c r="O50" s="5"/>
      <c r="P50" s="88"/>
      <c r="Q50" s="95"/>
    </row>
    <row r="51" spans="1:17" s="2" customFormat="1" ht="12" customHeight="1">
      <c r="D51" s="22"/>
      <c r="E51" s="22"/>
      <c r="J51" s="5"/>
      <c r="K51" s="5"/>
      <c r="L51" s="5"/>
      <c r="M51" s="5"/>
      <c r="N51" s="5"/>
      <c r="O51" s="5"/>
      <c r="P51" s="88"/>
      <c r="Q51" s="95"/>
    </row>
    <row r="52" spans="1:17" s="2" customFormat="1" ht="12" customHeight="1">
      <c r="D52" s="22"/>
      <c r="E52" s="22"/>
      <c r="J52" s="5"/>
      <c r="K52" s="5"/>
      <c r="L52" s="5"/>
      <c r="M52" s="5"/>
      <c r="N52" s="5"/>
      <c r="O52" s="5"/>
      <c r="P52" s="88"/>
      <c r="Q52" s="95"/>
    </row>
    <row r="53" spans="1:17" s="2" customFormat="1" ht="12" customHeight="1">
      <c r="D53" s="22"/>
      <c r="E53" s="22"/>
      <c r="J53" s="5"/>
      <c r="K53" s="5"/>
      <c r="L53" s="5"/>
      <c r="M53" s="5"/>
      <c r="N53" s="5"/>
      <c r="O53" s="5"/>
      <c r="P53" s="88"/>
      <c r="Q53" s="96"/>
    </row>
    <row r="54" spans="1:17" s="2" customFormat="1" ht="12" customHeight="1">
      <c r="D54" s="22"/>
      <c r="E54" s="22"/>
      <c r="J54" s="5"/>
      <c r="K54" s="5"/>
      <c r="L54" s="5"/>
      <c r="M54" s="5"/>
      <c r="N54" s="5"/>
      <c r="O54" s="5"/>
      <c r="P54" s="88"/>
      <c r="Q54" s="96"/>
    </row>
    <row r="55" spans="1:17" s="2" customFormat="1" ht="12" customHeight="1">
      <c r="D55" s="22"/>
      <c r="E55" s="22"/>
      <c r="J55" s="5"/>
      <c r="K55" s="5"/>
      <c r="L55" s="5"/>
      <c r="M55" s="5"/>
      <c r="N55" s="5"/>
      <c r="O55" s="5"/>
      <c r="P55" s="88"/>
      <c r="Q55" s="96"/>
    </row>
    <row r="56" spans="1:17" s="2" customFormat="1" ht="12" customHeight="1">
      <c r="D56" s="22"/>
      <c r="E56" s="22"/>
      <c r="J56" s="5"/>
      <c r="K56" s="5"/>
      <c r="L56" s="5"/>
      <c r="M56" s="5"/>
      <c r="N56" s="5"/>
      <c r="O56" s="5"/>
      <c r="P56" s="88"/>
      <c r="Q56" s="96"/>
    </row>
    <row r="57" spans="1:17" s="2" customFormat="1" ht="12" customHeight="1">
      <c r="A57"/>
      <c r="B57"/>
      <c r="C57"/>
      <c r="D57" s="23"/>
      <c r="E57" s="23"/>
      <c r="F57"/>
      <c r="G57"/>
      <c r="H57"/>
      <c r="I57"/>
      <c r="J57" s="19"/>
      <c r="K57" s="19"/>
      <c r="L57" s="19"/>
      <c r="M57" s="19"/>
      <c r="N57" s="19"/>
      <c r="O57" s="19"/>
      <c r="P57" s="90"/>
      <c r="Q57" s="96"/>
    </row>
    <row r="58" spans="1:17" s="2" customFormat="1" ht="12" customHeight="1">
      <c r="A58"/>
      <c r="B58"/>
      <c r="C58"/>
      <c r="D58" s="23"/>
      <c r="E58" s="23"/>
      <c r="F58"/>
      <c r="G58"/>
      <c r="H58"/>
      <c r="I58"/>
      <c r="J58" s="19"/>
      <c r="K58" s="19"/>
      <c r="L58" s="19"/>
      <c r="M58" s="19"/>
      <c r="N58" s="19"/>
      <c r="O58" s="19"/>
      <c r="P58" s="90"/>
      <c r="Q58" s="96"/>
    </row>
    <row r="59" spans="1:17" s="2" customFormat="1" ht="12" customHeight="1">
      <c r="A59"/>
      <c r="B59"/>
      <c r="C59"/>
      <c r="D59" s="23"/>
      <c r="E59" s="23"/>
      <c r="F59"/>
      <c r="G59"/>
      <c r="H59"/>
      <c r="I59"/>
      <c r="J59" s="19"/>
      <c r="K59" s="19"/>
      <c r="L59" s="19"/>
      <c r="M59" s="19"/>
      <c r="N59" s="19"/>
      <c r="O59" s="19"/>
      <c r="P59" s="90"/>
      <c r="Q59" s="96"/>
    </row>
    <row r="60" spans="1:17" s="2" customFormat="1" ht="12" customHeight="1">
      <c r="A60"/>
      <c r="B60"/>
      <c r="C60"/>
      <c r="D60" s="23"/>
      <c r="E60" s="23"/>
      <c r="F60"/>
      <c r="G60"/>
      <c r="H60"/>
      <c r="I60"/>
      <c r="J60" s="19"/>
      <c r="K60" s="19"/>
      <c r="L60" s="19"/>
      <c r="M60" s="19"/>
      <c r="N60" s="19"/>
      <c r="O60" s="19"/>
      <c r="P60" s="90"/>
      <c r="Q60" s="96"/>
    </row>
    <row r="61" spans="1:17" s="2" customFormat="1" ht="12" customHeight="1">
      <c r="A61"/>
      <c r="B61"/>
      <c r="C61"/>
      <c r="D61" s="23"/>
      <c r="E61" s="23"/>
      <c r="F61"/>
      <c r="G61"/>
      <c r="H61"/>
      <c r="I61"/>
      <c r="J61" s="19"/>
      <c r="K61" s="19"/>
      <c r="L61" s="19"/>
      <c r="M61" s="19"/>
      <c r="N61" s="19"/>
      <c r="O61" s="19"/>
      <c r="P61" s="90"/>
      <c r="Q61" s="96"/>
    </row>
    <row r="62" spans="1:17">
      <c r="Q62" s="96"/>
    </row>
    <row r="63" spans="1:17">
      <c r="Q63" s="96"/>
    </row>
    <row r="64" spans="1:17">
      <c r="Q64" s="96"/>
    </row>
    <row r="65" spans="17:17">
      <c r="Q65" s="96"/>
    </row>
    <row r="66" spans="17:17">
      <c r="Q66" s="96"/>
    </row>
    <row r="67" spans="17:17">
      <c r="Q67" s="96"/>
    </row>
    <row r="68" spans="17:17">
      <c r="Q68" s="96"/>
    </row>
    <row r="69" spans="17:17">
      <c r="Q69" s="96"/>
    </row>
    <row r="70" spans="17:17">
      <c r="Q70" s="96"/>
    </row>
    <row r="71" spans="17:17">
      <c r="Q71" s="96"/>
    </row>
    <row r="72" spans="17:17">
      <c r="Q72" s="96"/>
    </row>
    <row r="73" spans="17:17">
      <c r="Q73" s="96"/>
    </row>
    <row r="74" spans="17:17">
      <c r="Q74" s="96"/>
    </row>
    <row r="75" spans="17:17">
      <c r="Q75" s="96"/>
    </row>
    <row r="76" spans="17:17">
      <c r="Q76" s="96"/>
    </row>
    <row r="77" spans="17:17">
      <c r="Q77" s="96"/>
    </row>
    <row r="78" spans="17:17">
      <c r="Q78" s="96"/>
    </row>
    <row r="79" spans="17:17">
      <c r="Q79" s="96"/>
    </row>
    <row r="80" spans="17:17">
      <c r="Q80" s="96"/>
    </row>
    <row r="81" spans="17:17">
      <c r="Q81" s="96"/>
    </row>
    <row r="118" ht="12" customHeight="1"/>
    <row r="119" ht="12" customHeight="1"/>
    <row r="120" ht="12" customHeight="1"/>
    <row r="121" ht="12" customHeight="1"/>
    <row r="122" ht="12" customHeight="1"/>
    <row r="123" ht="12" customHeight="1"/>
    <row r="124" ht="12" customHeight="1"/>
    <row r="125" ht="12" customHeight="1"/>
    <row r="126" ht="12" customHeight="1"/>
    <row r="127" ht="12" customHeight="1"/>
    <row r="128" ht="12" customHeight="1"/>
    <row r="129" ht="12" customHeight="1"/>
    <row r="130" ht="12" customHeight="1"/>
    <row r="131" ht="12" customHeight="1"/>
    <row r="132" ht="12" customHeight="1"/>
    <row r="133" ht="12" customHeight="1"/>
    <row r="134" ht="12" customHeight="1"/>
    <row r="135" ht="12" customHeight="1"/>
    <row r="136" ht="12" customHeight="1"/>
    <row r="137" ht="12" customHeight="1"/>
    <row r="138" ht="12" customHeight="1"/>
    <row r="139" ht="12" customHeight="1"/>
    <row r="140" ht="12" customHeight="1"/>
    <row r="141" ht="12" customHeight="1"/>
    <row r="142" ht="12" customHeight="1"/>
    <row r="143" ht="12" customHeight="1"/>
    <row r="144" ht="12" customHeight="1"/>
    <row r="145" ht="12" customHeight="1"/>
    <row r="146" ht="12" customHeight="1"/>
    <row r="147" ht="12" customHeight="1"/>
    <row r="148" ht="12" customHeight="1"/>
    <row r="149" ht="12" customHeight="1"/>
    <row r="150" ht="12" customHeight="1"/>
    <row r="151" ht="12" customHeight="1"/>
    <row r="152" ht="12" customHeight="1"/>
    <row r="153" ht="12" customHeight="1"/>
    <row r="154" ht="12" customHeight="1"/>
    <row r="155" ht="12" customHeight="1"/>
    <row r="156" ht="12" customHeight="1"/>
    <row r="157" ht="12" customHeight="1"/>
    <row r="158" ht="12" customHeight="1"/>
    <row r="159" ht="12" customHeight="1"/>
    <row r="160" ht="12" customHeight="1"/>
    <row r="161" ht="12" customHeight="1"/>
    <row r="162" ht="12" customHeight="1"/>
    <row r="163" ht="12" customHeight="1"/>
    <row r="164" ht="12" customHeight="1"/>
    <row r="165" ht="12" customHeight="1"/>
    <row r="166" ht="12" customHeight="1"/>
    <row r="167" ht="12" customHeight="1"/>
  </sheetData>
  <mergeCells count="15">
    <mergeCell ref="D14:E14"/>
    <mergeCell ref="H14:I14"/>
    <mergeCell ref="D7:E7"/>
    <mergeCell ref="D8:E8"/>
    <mergeCell ref="H10:I10"/>
    <mergeCell ref="D11:E11"/>
    <mergeCell ref="D12:E12"/>
    <mergeCell ref="D10:E10"/>
    <mergeCell ref="D13:E13"/>
    <mergeCell ref="D1:E1"/>
    <mergeCell ref="D4:E4"/>
    <mergeCell ref="H4:I4"/>
    <mergeCell ref="D5:E5"/>
    <mergeCell ref="D6:E6"/>
    <mergeCell ref="H6:I6"/>
  </mergeCells>
  <conditionalFormatting sqref="M5 M7:M9 M11:M13">
    <cfRule type="cellIs" dxfId="328" priority="3" stopIfTrue="1" operator="lessThanOrEqual">
      <formula>$L5</formula>
    </cfRule>
    <cfRule type="cellIs" dxfId="327" priority="4" operator="greaterThan">
      <formula>L5</formula>
    </cfRule>
  </conditionalFormatting>
  <pageMargins left="0.7" right="0.7" top="0.75" bottom="0.75" header="0.3" footer="0.3"/>
  <pageSetup paperSize="3" fitToHeight="0" orientation="landscape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127EA6A-42E0-4EF7-8E43-71ABFB3C27D6}">
          <x14:formula1>
            <xm:f>Bolts!$A:$A</xm:f>
          </x14:formula1>
          <xm:sqref>C11:C13</xm:sqref>
        </x14:dataValidation>
        <x14:dataValidation type="list" allowBlank="1" showInputMessage="1" showErrorMessage="1" xr:uid="{1FDE56F9-1D2F-44A5-8D36-B4800FA29B8D}">
          <x14:formula1>
            <xm:f>Purchased!$A:$A</xm:f>
          </x14:formula1>
          <xm:sqref>C7:C9</xm:sqref>
        </x14:dataValidation>
        <x14:dataValidation type="list" allowBlank="1" showInputMessage="1" showErrorMessage="1" xr:uid="{C2EBDE92-4772-4B77-B0E2-714E70157441}">
          <x14:formula1>
            <xm:f>Machined!$C:$C</xm:f>
          </x14:formula1>
          <xm:sqref>C5</xm:sqref>
        </x14:dataValidation>
      </x14:dataValidations>
    </ext>
  </extLst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B7B60-E225-4581-88C5-E09DAAEAF8F3}">
  <sheetPr codeName="Sheet154">
    <tabColor theme="3" tint="0.79998168889431442"/>
    <pageSetUpPr fitToPage="1"/>
  </sheetPr>
  <dimension ref="A1:R168"/>
  <sheetViews>
    <sheetView zoomScaleNormal="100" workbookViewId="0">
      <selection activeCell="E22" sqref="E22"/>
    </sheetView>
  </sheetViews>
  <sheetFormatPr defaultColWidth="9.140625" defaultRowHeight="15"/>
  <cols>
    <col min="1" max="1" width="5.7109375" customWidth="1"/>
    <col min="2" max="2" width="5.42578125" bestFit="1" customWidth="1"/>
    <col min="3" max="3" width="30.7109375" customWidth="1"/>
    <col min="4" max="5" width="20.7109375" style="23" customWidth="1"/>
    <col min="6" max="6" width="16.85546875" bestFit="1" customWidth="1"/>
    <col min="7" max="7" width="9.7109375" customWidth="1"/>
    <col min="8" max="8" width="8.7109375" customWidth="1"/>
    <col min="9" max="9" width="20.7109375" customWidth="1"/>
    <col min="10" max="13" width="11.7109375" style="19" customWidth="1"/>
    <col min="14" max="14" width="11.85546875" style="19" bestFit="1" customWidth="1"/>
    <col min="15" max="15" width="7.7109375" style="19" customWidth="1"/>
    <col min="16" max="16" width="10.7109375" style="90" customWidth="1"/>
    <col min="17" max="17" width="10.7109375" style="97" customWidth="1"/>
  </cols>
  <sheetData>
    <row r="1" spans="1:18" s="55" customFormat="1" ht="12" customHeight="1">
      <c r="A1" s="68" t="s">
        <v>0</v>
      </c>
      <c r="B1" s="69"/>
      <c r="C1" s="69"/>
      <c r="D1" s="262" t="s">
        <v>1</v>
      </c>
      <c r="E1" s="263"/>
      <c r="F1" s="70"/>
      <c r="G1" s="69"/>
      <c r="H1" s="70"/>
      <c r="I1" s="71"/>
      <c r="J1" s="72"/>
      <c r="K1" s="72"/>
      <c r="L1" s="72"/>
      <c r="M1" s="72"/>
      <c r="N1" s="72"/>
      <c r="O1" s="72"/>
      <c r="P1" s="85"/>
      <c r="Q1" s="91"/>
    </row>
    <row r="2" spans="1:18" s="55" customFormat="1" ht="12" customHeight="1">
      <c r="A2" s="74" t="s">
        <v>48</v>
      </c>
      <c r="B2" s="58"/>
      <c r="C2" s="57" t="e">
        <f ca="1">VLOOKUP(E3,Assemblies!B:F,4,0)</f>
        <v>#VALUE!</v>
      </c>
      <c r="D2" s="75" t="s">
        <v>3</v>
      </c>
      <c r="E2" s="76" t="e">
        <f ca="1">'GF12'!E2</f>
        <v>#VALUE!</v>
      </c>
      <c r="F2" s="77" t="s">
        <v>4</v>
      </c>
      <c r="G2" s="58" t="str">
        <f>'GF12'!G2</f>
        <v>GH</v>
      </c>
      <c r="H2" s="77" t="s">
        <v>6</v>
      </c>
      <c r="I2" s="59">
        <f>'GF12'!I2</f>
        <v>44775</v>
      </c>
      <c r="J2" s="39"/>
      <c r="K2" s="40" t="s">
        <v>49</v>
      </c>
      <c r="L2" s="41" t="e">
        <f ca="1">VLOOKUP(C2,Assemblies!E:G,3,0)</f>
        <v>#VALUE!</v>
      </c>
      <c r="M2" s="78"/>
      <c r="N2" s="78"/>
      <c r="O2" s="78"/>
      <c r="P2" s="86"/>
      <c r="Q2" s="92"/>
    </row>
    <row r="3" spans="1:18" s="55" customFormat="1" ht="12" customHeight="1" thickBot="1">
      <c r="A3" s="74" t="s">
        <v>7</v>
      </c>
      <c r="B3" s="58"/>
      <c r="C3" s="57" t="e">
        <f ca="1">VLOOKUP(E3,Assemblies!B:F,5,0)</f>
        <v>#VALUE!</v>
      </c>
      <c r="D3" s="75" t="s">
        <v>50</v>
      </c>
      <c r="E3" s="76" t="e">
        <f ca="1">MID(CELL("filename",A1),FIND("]",CELL("filename",A1))+1,256)</f>
        <v>#VALUE!</v>
      </c>
      <c r="F3" s="77" t="s">
        <v>11</v>
      </c>
      <c r="G3" s="58" t="str">
        <f>'GF12'!G3</f>
        <v>GH</v>
      </c>
      <c r="H3" s="77" t="s">
        <v>6</v>
      </c>
      <c r="I3" s="59">
        <f>'GF12'!I3</f>
        <v>44775</v>
      </c>
      <c r="J3" s="78"/>
      <c r="K3" s="78"/>
      <c r="L3" s="78"/>
      <c r="M3" s="78"/>
      <c r="N3" s="78"/>
      <c r="O3" s="78"/>
      <c r="P3" s="86"/>
      <c r="Q3" s="92"/>
    </row>
    <row r="4" spans="1:18" s="56" customFormat="1" ht="12.75" customHeight="1" thickBot="1">
      <c r="A4" s="80" t="s">
        <v>12</v>
      </c>
      <c r="B4" s="81" t="s">
        <v>13</v>
      </c>
      <c r="C4" s="81" t="s">
        <v>14</v>
      </c>
      <c r="D4" s="270" t="s">
        <v>15</v>
      </c>
      <c r="E4" s="271"/>
      <c r="F4" s="104" t="s">
        <v>16</v>
      </c>
      <c r="G4" s="81" t="s">
        <v>17</v>
      </c>
      <c r="H4" s="260" t="s">
        <v>18</v>
      </c>
      <c r="I4" s="261"/>
      <c r="J4" s="81" t="s">
        <v>51</v>
      </c>
      <c r="K4" s="81" t="s">
        <v>20</v>
      </c>
      <c r="L4" s="81" t="s">
        <v>21</v>
      </c>
      <c r="M4" s="81" t="s">
        <v>52</v>
      </c>
      <c r="N4" s="81" t="s">
        <v>22</v>
      </c>
      <c r="O4" s="81" t="s">
        <v>53</v>
      </c>
      <c r="P4" s="107" t="s">
        <v>26</v>
      </c>
      <c r="Q4" s="82" t="s">
        <v>27</v>
      </c>
    </row>
    <row r="5" spans="1:18" s="21" customFormat="1" ht="12.75" customHeight="1">
      <c r="A5" s="25"/>
      <c r="B5" s="26"/>
      <c r="C5" s="26"/>
      <c r="D5" s="272"/>
      <c r="E5" s="273"/>
      <c r="F5" s="26"/>
      <c r="G5" s="26"/>
      <c r="H5" s="274"/>
      <c r="I5" s="275"/>
      <c r="J5" s="27"/>
      <c r="K5" s="27"/>
      <c r="L5" s="27"/>
      <c r="M5" s="28"/>
      <c r="N5" s="29"/>
      <c r="O5" s="29"/>
      <c r="P5" s="141"/>
      <c r="Q5" s="142"/>
      <c r="R5" s="20"/>
    </row>
    <row r="6" spans="1:18" s="2" customFormat="1" ht="12.75" customHeight="1">
      <c r="A6" s="127">
        <v>1</v>
      </c>
      <c r="B6" s="21">
        <v>2</v>
      </c>
      <c r="C6" s="108" t="s">
        <v>1092</v>
      </c>
      <c r="D6" s="277" t="str">
        <f>VLOOKUP(C6,Machined!C:Q,2,0)</f>
        <v>SIDE SEAL TEFLON ROLL SHAFT</v>
      </c>
      <c r="E6" s="278"/>
      <c r="F6" s="131">
        <f>VLOOKUP(C6,Machined!C:Q,6,0)</f>
        <v>0</v>
      </c>
      <c r="G6" s="131" t="str">
        <f>VLOOKUP(C6,Machined!C:Q,8,0)</f>
        <v>None</v>
      </c>
      <c r="H6" s="131" t="str">
        <f>VLOOKUP(C6,Machined!C:Q,9,0)</f>
        <v>N/A</v>
      </c>
      <c r="I6" s="131"/>
      <c r="J6" s="42" t="str">
        <f>VLOOKUP(C6,Machined!C:Q,10,0)</f>
        <v>ALEXANDRIA, NULINE</v>
      </c>
      <c r="K6" s="42">
        <f>VLOOKUP(C6,Machined!C:Q,11,0)</f>
        <v>0</v>
      </c>
      <c r="L6" s="42" t="str">
        <f>VLOOKUP(C6,Machined!C:Q,12,0)</f>
        <v>N/A</v>
      </c>
      <c r="M6" s="42" t="str">
        <f>VLOOKUP(C6,Machined!C:Q,13,0)</f>
        <v>N/A</v>
      </c>
      <c r="N6" s="43" t="str">
        <f>VLOOKUP(C6,Machined!C:Q,14,0)</f>
        <v>N/A</v>
      </c>
      <c r="O6" s="43" t="e">
        <f t="shared" ref="O6" ca="1" si="0">B6*$L$2</f>
        <v>#VALUE!</v>
      </c>
      <c r="P6" s="47">
        <f>IFERROR(VLOOKUP(C6,Machined!C:F,3,0),"")</f>
        <v>0</v>
      </c>
      <c r="Q6" s="48">
        <f t="shared" ref="Q6" si="1">IFERROR(B6*P6,"")</f>
        <v>0</v>
      </c>
    </row>
    <row r="7" spans="1:18" s="2" customFormat="1" ht="12.75" customHeight="1">
      <c r="A7" s="127">
        <f>A6+1</f>
        <v>2</v>
      </c>
      <c r="B7" s="21">
        <v>4</v>
      </c>
      <c r="C7" s="108" t="s">
        <v>1093</v>
      </c>
      <c r="D7" s="277" t="str">
        <f>VLOOKUP(C7,Machined!C:Q,2,0)</f>
        <v>TEFLON ROLL CLAMP</v>
      </c>
      <c r="E7" s="278"/>
      <c r="F7" s="131">
        <f>VLOOKUP(C7,Machined!C:Q,6,0)</f>
        <v>32</v>
      </c>
      <c r="G7" s="131" t="str">
        <f>VLOOKUP(C7,Machined!C:Q,8,0)</f>
        <v>Clear Zinc</v>
      </c>
      <c r="H7" s="131" t="str">
        <f>VLOOKUP(C7,Machined!C:Q,9,0)</f>
        <v>NO</v>
      </c>
      <c r="I7" s="131"/>
      <c r="J7" s="42" t="str">
        <f>VLOOKUP(C7,Machined!C:Q,10,0)</f>
        <v>FRONTIER</v>
      </c>
      <c r="K7" s="42">
        <f>VLOOKUP(C7,Machined!C:Q,11,0)</f>
        <v>0</v>
      </c>
      <c r="L7" s="42">
        <f>VLOOKUP(C7,Machined!C:Q,12,0)</f>
        <v>45209</v>
      </c>
      <c r="M7" s="42">
        <f>VLOOKUP(C7,Machined!C:Q,13,0)</f>
        <v>45210</v>
      </c>
      <c r="N7" s="43">
        <f>VLOOKUP(C7,Machined!C:Q,14,0)</f>
        <v>45216</v>
      </c>
      <c r="O7" s="43" t="e">
        <f t="shared" ref="O7:O8" ca="1" si="2">B7*$L$2</f>
        <v>#VALUE!</v>
      </c>
      <c r="P7" s="47">
        <f>IFERROR(VLOOKUP(C7,Machined!C:F,3,0),"")</f>
        <v>0</v>
      </c>
      <c r="Q7" s="48">
        <f t="shared" ref="Q7:Q8" si="3">IFERROR(B7*P7,"")</f>
        <v>0</v>
      </c>
    </row>
    <row r="8" spans="1:18" s="2" customFormat="1" ht="12.75" customHeight="1">
      <c r="A8" s="127">
        <f>A7+1</f>
        <v>3</v>
      </c>
      <c r="B8" s="21">
        <v>4</v>
      </c>
      <c r="C8" s="108" t="s">
        <v>1094</v>
      </c>
      <c r="D8" s="277" t="str">
        <f>VLOOKUP(C8,Machined!C:Q,2,0)</f>
        <v>TEFLON ROLL BRACKET</v>
      </c>
      <c r="E8" s="278"/>
      <c r="F8" s="131">
        <f>VLOOKUP(C8,Machined!C:Q,6,0)</f>
        <v>32</v>
      </c>
      <c r="G8" s="131" t="str">
        <f>VLOOKUP(C8,Machined!C:Q,8,0)</f>
        <v>Clear Zinc</v>
      </c>
      <c r="H8" s="131" t="str">
        <f>VLOOKUP(C8,Machined!C:Q,9,0)</f>
        <v>NO</v>
      </c>
      <c r="I8" s="131"/>
      <c r="J8" s="42" t="str">
        <f>VLOOKUP(C8,Machined!C:Q,10,0)</f>
        <v>FRONTIER</v>
      </c>
      <c r="K8" s="42">
        <f>VLOOKUP(C8,Machined!C:Q,11,0)</f>
        <v>0</v>
      </c>
      <c r="L8" s="42">
        <f>VLOOKUP(C8,Machined!C:Q,12,0)</f>
        <v>45209</v>
      </c>
      <c r="M8" s="42">
        <f>VLOOKUP(C8,Machined!C:Q,13,0)</f>
        <v>45210</v>
      </c>
      <c r="N8" s="43">
        <f>VLOOKUP(C8,Machined!C:Q,14,0)</f>
        <v>45216</v>
      </c>
      <c r="O8" s="43" t="e">
        <f t="shared" ca="1" si="2"/>
        <v>#VALUE!</v>
      </c>
      <c r="P8" s="47">
        <f>IFERROR(VLOOKUP(C8,Machined!C:F,3,0),"")</f>
        <v>0</v>
      </c>
      <c r="Q8" s="48">
        <f t="shared" si="3"/>
        <v>0</v>
      </c>
    </row>
    <row r="9" spans="1:18" s="2" customFormat="1" ht="12.75" customHeight="1">
      <c r="A9" s="143"/>
      <c r="B9" s="26"/>
      <c r="C9" s="26"/>
      <c r="D9" s="272"/>
      <c r="E9" s="273"/>
      <c r="F9" s="26"/>
      <c r="G9" s="26"/>
      <c r="H9" s="274"/>
      <c r="I9" s="275"/>
      <c r="J9" s="27"/>
      <c r="K9" s="27"/>
      <c r="L9" s="27"/>
      <c r="M9" s="28"/>
      <c r="N9" s="29"/>
      <c r="O9" s="29"/>
      <c r="P9" s="141"/>
      <c r="Q9" s="142"/>
    </row>
    <row r="10" spans="1:18" s="2" customFormat="1" ht="12" customHeight="1">
      <c r="A10" s="4">
        <v>301</v>
      </c>
      <c r="B10" s="2">
        <v>4</v>
      </c>
      <c r="C10" s="114" t="s">
        <v>1095</v>
      </c>
      <c r="D10" s="268" t="str">
        <f>VLOOKUP(C10,Purchased!A:B,2,0)</f>
        <v>Clamping Shaft Collar for 3/4" Diameter, Zinc-Plated 1215 Carbon Steel</v>
      </c>
      <c r="E10" s="269"/>
      <c r="F10" s="112" t="str">
        <f>VLOOKUP(C10,Purchased!A:Q,9,0)</f>
        <v>MCM</v>
      </c>
      <c r="G10" s="112" t="str">
        <f>VLOOKUP(C10,Purchased!A:Q,10,0)</f>
        <v>MCM</v>
      </c>
      <c r="H10" s="112">
        <f>VLOOKUP(C10,Purchased!A:Q,12,0)</f>
        <v>0</v>
      </c>
      <c r="I10" s="113"/>
      <c r="J10" s="44" t="str">
        <f>VLOOKUP(C10,Purchased!A:Q,13,0)</f>
        <v>N/A</v>
      </c>
      <c r="K10" s="44">
        <f>VLOOKUP(C10,Purchased!A:Q,14,0)</f>
        <v>45216</v>
      </c>
      <c r="L10" s="44">
        <f>VLOOKUP(C10,Purchased!A:Q,15,0)</f>
        <v>45217</v>
      </c>
      <c r="M10" s="44">
        <f>VLOOKUP(C10,Purchased!A:Q,16,0)</f>
        <v>45217</v>
      </c>
      <c r="N10" s="45">
        <f>VLOOKUP(C10,Purchased!A:Q,17,0)</f>
        <v>55215</v>
      </c>
      <c r="O10" s="45" t="e">
        <f t="shared" ref="O10:O12" ca="1" si="4">B10*$L$2</f>
        <v>#VALUE!</v>
      </c>
      <c r="P10" s="49">
        <f>IFERROR(VLOOKUP(C10,Purchased!A:E,3,FALSE),"")</f>
        <v>7.99</v>
      </c>
      <c r="Q10" s="50">
        <f t="shared" ref="Q10" si="5">IFERROR(B10*P10,"")</f>
        <v>31.96</v>
      </c>
    </row>
    <row r="11" spans="1:18" s="2" customFormat="1" ht="12.75" customHeight="1">
      <c r="A11" s="25"/>
      <c r="B11" s="26"/>
      <c r="C11" s="26"/>
      <c r="D11" s="272"/>
      <c r="E11" s="273"/>
      <c r="F11" s="26"/>
      <c r="G11" s="26"/>
      <c r="H11" s="274"/>
      <c r="I11" s="275"/>
      <c r="J11" s="27"/>
      <c r="K11" s="27"/>
      <c r="L11" s="27"/>
      <c r="M11" s="28"/>
      <c r="N11" s="29"/>
      <c r="O11" s="29" t="e">
        <f t="shared" ca="1" si="4"/>
        <v>#VALUE!</v>
      </c>
      <c r="P11" s="141"/>
      <c r="Q11" s="142"/>
    </row>
    <row r="12" spans="1:18" s="2" customFormat="1" ht="12.75" customHeight="1">
      <c r="A12" s="4">
        <v>501</v>
      </c>
      <c r="B12" s="2">
        <v>16</v>
      </c>
      <c r="C12" s="110" t="s">
        <v>828</v>
      </c>
      <c r="D12" s="268"/>
      <c r="E12" s="276"/>
      <c r="F12" s="112" t="str">
        <f>VLOOKUP(C12,Bolts!A:L,5,0)</f>
        <v xml:space="preserve">  </v>
      </c>
      <c r="G12" s="112" t="str">
        <f>VLOOKUP(C12,Bolts!A:L,6,0)</f>
        <v>Monroe Fasteners</v>
      </c>
      <c r="H12" s="112" t="str">
        <f>VLOOKUP(C12,Bolts!A:L,7,0)</f>
        <v xml:space="preserve">  </v>
      </c>
      <c r="I12" s="112"/>
      <c r="J12" s="44" t="str">
        <f>VLOOKUP(C12,Bolts!A:L,8,0)</f>
        <v xml:space="preserve"> </v>
      </c>
      <c r="K12" s="44" t="str">
        <f>VLOOKUP(C12,Bolts!A:L,9,0)</f>
        <v xml:space="preserve"> </v>
      </c>
      <c r="L12" s="44" t="str">
        <f>VLOOKUP(C12,Bolts!A:L,10,0)</f>
        <v xml:space="preserve"> </v>
      </c>
      <c r="M12" s="44" t="str">
        <f>VLOOKUP(C12,Bolts!A:L,11,0)</f>
        <v xml:space="preserve"> </v>
      </c>
      <c r="N12" s="45" t="str">
        <f>VLOOKUP(C12,Bolts!A:L,12,0)</f>
        <v xml:space="preserve"> </v>
      </c>
      <c r="O12" s="45" t="e">
        <f t="shared" ca="1" si="4"/>
        <v>#VALUE!</v>
      </c>
      <c r="P12" s="49" t="str">
        <f>IFERROR(VLOOKUP(C12,Bolts!A:B,2,FALSE),"")</f>
        <v xml:space="preserve"> </v>
      </c>
      <c r="Q12" s="50" t="str">
        <f t="shared" ref="Q12" si="6">IFERROR(B12*P12,"")</f>
        <v/>
      </c>
    </row>
    <row r="13" spans="1:18" s="2" customFormat="1" ht="12.75" customHeight="1">
      <c r="A13" s="4">
        <v>502</v>
      </c>
      <c r="B13" s="2">
        <v>4</v>
      </c>
      <c r="C13" s="110" t="s">
        <v>479</v>
      </c>
      <c r="D13" s="268"/>
      <c r="E13" s="276"/>
      <c r="F13" s="112" t="str">
        <f>VLOOKUP(C13,Bolts!A:L,5,0)</f>
        <v xml:space="preserve">  </v>
      </c>
      <c r="G13" s="112" t="str">
        <f>VLOOKUP(C13,Bolts!A:L,6,0)</f>
        <v>Monroe Fasteners</v>
      </c>
      <c r="H13" s="112" t="str">
        <f>VLOOKUP(C13,Bolts!A:L,7,0)</f>
        <v xml:space="preserve">  </v>
      </c>
      <c r="I13" s="112"/>
      <c r="J13" s="44" t="str">
        <f>VLOOKUP(C13,Bolts!A:L,8,0)</f>
        <v xml:space="preserve"> </v>
      </c>
      <c r="K13" s="44" t="str">
        <f>VLOOKUP(C13,Bolts!A:L,9,0)</f>
        <v xml:space="preserve"> </v>
      </c>
      <c r="L13" s="44" t="str">
        <f>VLOOKUP(C13,Bolts!A:L,10,0)</f>
        <v xml:space="preserve"> </v>
      </c>
      <c r="M13" s="44" t="str">
        <f>VLOOKUP(C13,Bolts!A:L,11,0)</f>
        <v xml:space="preserve"> </v>
      </c>
      <c r="N13" s="45" t="str">
        <f>VLOOKUP(C13,Bolts!A:L,12,0)</f>
        <v xml:space="preserve"> </v>
      </c>
      <c r="O13" s="45" t="e">
        <f ca="1">B13*$L$2</f>
        <v>#VALUE!</v>
      </c>
      <c r="P13" s="49" t="str">
        <f>IFERROR(VLOOKUP(C13,Bolts!A:B,2,FALSE),"")</f>
        <v xml:space="preserve"> </v>
      </c>
      <c r="Q13" s="50" t="str">
        <f>IFERROR(B13*P13,"")</f>
        <v/>
      </c>
    </row>
    <row r="14" spans="1:18" s="2" customFormat="1" ht="12.75" customHeight="1" thickBot="1">
      <c r="A14" s="4">
        <v>503</v>
      </c>
      <c r="B14" s="2">
        <v>16</v>
      </c>
      <c r="C14" s="110" t="s">
        <v>595</v>
      </c>
      <c r="D14" s="268"/>
      <c r="E14" s="276"/>
      <c r="F14" s="112" t="str">
        <f>VLOOKUP(C14,Bolts!A:L,5,0)</f>
        <v xml:space="preserve">  </v>
      </c>
      <c r="G14" s="112" t="str">
        <f>VLOOKUP(C14,Bolts!A:L,6,0)</f>
        <v>Monroe Fasteners</v>
      </c>
      <c r="H14" s="112" t="str">
        <f>VLOOKUP(C14,Bolts!A:L,7,0)</f>
        <v xml:space="preserve">  </v>
      </c>
      <c r="I14" s="112"/>
      <c r="J14" s="44" t="str">
        <f>VLOOKUP(C14,Bolts!A:L,8,0)</f>
        <v xml:space="preserve"> </v>
      </c>
      <c r="K14" s="44" t="str">
        <f>VLOOKUP(C14,Bolts!A:L,9,0)</f>
        <v xml:space="preserve"> </v>
      </c>
      <c r="L14" s="44" t="str">
        <f>VLOOKUP(C14,Bolts!A:L,10,0)</f>
        <v xml:space="preserve"> </v>
      </c>
      <c r="M14" s="44" t="str">
        <f>VLOOKUP(C14,Bolts!A:L,11,0)</f>
        <v xml:space="preserve"> </v>
      </c>
      <c r="N14" s="45" t="str">
        <f>VLOOKUP(C14,Bolts!A:L,12,0)</f>
        <v xml:space="preserve"> </v>
      </c>
      <c r="O14" s="45" t="e">
        <f ca="1">B14*$L$2</f>
        <v>#VALUE!</v>
      </c>
      <c r="P14" s="49" t="str">
        <f>IFERROR(VLOOKUP(C14,Bolts!A:B,2,FALSE),"")</f>
        <v xml:space="preserve"> </v>
      </c>
      <c r="Q14" s="50" t="str">
        <f>IFERROR(B14*P14,"")</f>
        <v/>
      </c>
    </row>
    <row r="15" spans="1:18" s="2" customFormat="1" ht="12.75" customHeight="1" thickBot="1">
      <c r="A15" s="34"/>
      <c r="B15" s="35"/>
      <c r="C15" s="35"/>
      <c r="D15" s="256"/>
      <c r="E15" s="257"/>
      <c r="F15" s="35"/>
      <c r="G15" s="35"/>
      <c r="H15" s="294"/>
      <c r="I15" s="295"/>
      <c r="J15" s="36"/>
      <c r="K15" s="36"/>
      <c r="L15" s="36"/>
      <c r="M15" s="37"/>
      <c r="N15" s="38"/>
      <c r="O15" s="38"/>
      <c r="P15" s="89" t="s">
        <v>43</v>
      </c>
      <c r="Q15" s="94">
        <f>SUM(Q5:Q14)</f>
        <v>31.96</v>
      </c>
    </row>
    <row r="16" spans="1:18" s="2" customFormat="1" ht="12" customHeight="1">
      <c r="D16" s="22"/>
      <c r="E16" s="22"/>
      <c r="J16" s="8"/>
      <c r="K16" s="8"/>
      <c r="L16" s="8"/>
      <c r="M16" s="8"/>
      <c r="N16" s="5"/>
      <c r="O16" s="5"/>
      <c r="P16" s="88"/>
      <c r="Q16" s="95"/>
    </row>
    <row r="17" spans="4:17" s="2" customFormat="1" ht="12" customHeight="1">
      <c r="D17" s="22"/>
      <c r="E17" s="22"/>
      <c r="J17" s="5"/>
      <c r="K17" s="5"/>
      <c r="L17" s="5"/>
      <c r="M17" s="5"/>
      <c r="N17" s="5"/>
      <c r="O17" s="5"/>
      <c r="P17" s="88"/>
      <c r="Q17" s="95"/>
    </row>
    <row r="18" spans="4:17" s="2" customFormat="1" ht="12" customHeight="1">
      <c r="D18" s="22"/>
      <c r="E18" s="22"/>
      <c r="J18" s="5"/>
      <c r="K18" s="5"/>
      <c r="L18" s="5"/>
      <c r="M18" s="5"/>
      <c r="N18" s="5"/>
      <c r="O18" s="5"/>
      <c r="P18" s="88"/>
      <c r="Q18" s="95"/>
    </row>
    <row r="19" spans="4:17" s="2" customFormat="1" ht="12" customHeight="1">
      <c r="D19" s="22"/>
      <c r="E19" s="22"/>
      <c r="J19" s="5"/>
      <c r="K19" s="5"/>
      <c r="L19" s="5"/>
      <c r="M19" s="5"/>
      <c r="N19" s="5"/>
      <c r="O19" s="5"/>
      <c r="P19" s="88"/>
      <c r="Q19" s="95"/>
    </row>
    <row r="20" spans="4:17" s="2" customFormat="1" ht="12" customHeight="1">
      <c r="D20" s="22"/>
      <c r="E20" s="22"/>
      <c r="J20" s="5"/>
      <c r="K20" s="5"/>
      <c r="L20" s="5"/>
      <c r="M20" s="5"/>
      <c r="N20" s="5"/>
      <c r="O20" s="5"/>
      <c r="P20" s="88"/>
      <c r="Q20" s="95"/>
    </row>
    <row r="21" spans="4:17" s="2" customFormat="1" ht="12" customHeight="1">
      <c r="D21" s="22"/>
      <c r="E21" s="22"/>
      <c r="J21" s="5"/>
      <c r="K21" s="5"/>
      <c r="L21" s="5"/>
      <c r="M21" s="5"/>
      <c r="N21" s="5"/>
      <c r="O21" s="5"/>
      <c r="P21" s="88"/>
      <c r="Q21" s="95"/>
    </row>
    <row r="22" spans="4:17" s="2" customFormat="1" ht="12" customHeight="1">
      <c r="D22" s="22"/>
      <c r="E22" s="22"/>
      <c r="J22" s="5"/>
      <c r="K22" s="5"/>
      <c r="L22" s="5"/>
      <c r="M22" s="5"/>
      <c r="N22" s="5"/>
      <c r="O22" s="5"/>
      <c r="P22" s="88"/>
      <c r="Q22" s="95"/>
    </row>
    <row r="23" spans="4:17" s="2" customFormat="1" ht="12" customHeight="1">
      <c r="D23" s="22"/>
      <c r="E23" s="22"/>
      <c r="J23" s="5"/>
      <c r="K23" s="5"/>
      <c r="L23" s="5"/>
      <c r="M23" s="5"/>
      <c r="N23" s="5"/>
      <c r="O23" s="5"/>
      <c r="P23" s="88"/>
      <c r="Q23" s="95"/>
    </row>
    <row r="24" spans="4:17" s="2" customFormat="1" ht="12" customHeight="1">
      <c r="D24" s="22"/>
      <c r="E24" s="22"/>
      <c r="J24" s="5"/>
      <c r="K24" s="5"/>
      <c r="L24" s="5"/>
      <c r="M24" s="5"/>
      <c r="N24" s="5"/>
      <c r="O24" s="5"/>
      <c r="P24" s="88"/>
      <c r="Q24" s="95"/>
    </row>
    <row r="25" spans="4:17" s="2" customFormat="1" ht="12" customHeight="1">
      <c r="D25" s="22"/>
      <c r="E25" s="22"/>
      <c r="J25" s="5"/>
      <c r="K25" s="5"/>
      <c r="L25" s="5"/>
      <c r="M25" s="5"/>
      <c r="N25" s="5"/>
      <c r="O25" s="5"/>
      <c r="P25" s="88"/>
      <c r="Q25" s="95"/>
    </row>
    <row r="26" spans="4:17" s="2" customFormat="1" ht="12" customHeight="1">
      <c r="D26" s="22"/>
      <c r="E26" s="22"/>
      <c r="J26" s="5"/>
      <c r="K26" s="5"/>
      <c r="L26" s="5"/>
      <c r="M26" s="5"/>
      <c r="N26" s="5"/>
      <c r="O26" s="5"/>
      <c r="P26" s="88"/>
      <c r="Q26" s="95"/>
    </row>
    <row r="27" spans="4:17" s="2" customFormat="1" ht="12" customHeight="1">
      <c r="D27" s="22"/>
      <c r="E27" s="22"/>
      <c r="J27" s="5"/>
      <c r="K27" s="5"/>
      <c r="L27" s="5"/>
      <c r="M27" s="5"/>
      <c r="N27" s="5"/>
      <c r="O27" s="5"/>
      <c r="P27" s="88"/>
      <c r="Q27" s="95"/>
    </row>
    <row r="28" spans="4:17" s="2" customFormat="1" ht="12" customHeight="1">
      <c r="D28" s="22"/>
      <c r="E28" s="22"/>
      <c r="J28" s="5"/>
      <c r="K28" s="5"/>
      <c r="L28" s="5"/>
      <c r="M28" s="5"/>
      <c r="N28" s="5"/>
      <c r="O28" s="5"/>
      <c r="P28" s="88"/>
      <c r="Q28" s="95"/>
    </row>
    <row r="29" spans="4:17" s="2" customFormat="1" ht="12" customHeight="1">
      <c r="D29" s="22"/>
      <c r="E29" s="22"/>
      <c r="J29" s="5"/>
      <c r="K29" s="5"/>
      <c r="L29" s="5"/>
      <c r="M29" s="5"/>
      <c r="N29" s="5"/>
      <c r="O29" s="5"/>
      <c r="P29" s="88"/>
      <c r="Q29" s="95"/>
    </row>
    <row r="30" spans="4:17" s="2" customFormat="1" ht="12" customHeight="1">
      <c r="D30" s="22"/>
      <c r="E30" s="22"/>
      <c r="J30" s="5"/>
      <c r="K30" s="5"/>
      <c r="L30" s="5"/>
      <c r="M30" s="5"/>
      <c r="N30" s="5"/>
      <c r="O30" s="5"/>
      <c r="P30" s="88"/>
      <c r="Q30" s="95"/>
    </row>
    <row r="31" spans="4:17" s="2" customFormat="1" ht="12" customHeight="1">
      <c r="D31" s="22"/>
      <c r="E31" s="22"/>
      <c r="J31" s="5"/>
      <c r="K31" s="5"/>
      <c r="L31" s="5"/>
      <c r="M31" s="5"/>
      <c r="N31" s="5"/>
      <c r="O31" s="5"/>
      <c r="P31" s="88"/>
      <c r="Q31" s="95"/>
    </row>
    <row r="32" spans="4:17" s="2" customFormat="1" ht="12" customHeight="1">
      <c r="D32" s="22"/>
      <c r="E32" s="22"/>
      <c r="J32" s="5"/>
      <c r="K32" s="5"/>
      <c r="L32" s="5"/>
      <c r="M32" s="5"/>
      <c r="N32" s="5"/>
      <c r="O32" s="5"/>
      <c r="P32" s="88"/>
      <c r="Q32" s="95"/>
    </row>
    <row r="33" spans="4:17" s="2" customFormat="1" ht="12" customHeight="1">
      <c r="D33" s="22"/>
      <c r="E33" s="22"/>
      <c r="J33" s="5"/>
      <c r="K33" s="5"/>
      <c r="L33" s="5"/>
      <c r="M33" s="5"/>
      <c r="N33" s="5"/>
      <c r="O33" s="5"/>
      <c r="P33" s="88"/>
      <c r="Q33" s="95"/>
    </row>
    <row r="34" spans="4:17" s="2" customFormat="1" ht="12" customHeight="1">
      <c r="D34" s="22"/>
      <c r="E34" s="22"/>
      <c r="J34" s="5"/>
      <c r="K34" s="5"/>
      <c r="L34" s="5"/>
      <c r="M34" s="5"/>
      <c r="N34" s="5"/>
      <c r="O34" s="5"/>
      <c r="P34" s="88"/>
      <c r="Q34" s="95"/>
    </row>
    <row r="35" spans="4:17" s="2" customFormat="1" ht="12" customHeight="1">
      <c r="D35" s="22"/>
      <c r="E35" s="22"/>
      <c r="J35" s="5"/>
      <c r="K35" s="5"/>
      <c r="L35" s="5"/>
      <c r="M35" s="5"/>
      <c r="N35" s="5"/>
      <c r="O35" s="5"/>
      <c r="P35" s="88"/>
      <c r="Q35" s="95"/>
    </row>
    <row r="36" spans="4:17" s="2" customFormat="1" ht="12" customHeight="1">
      <c r="D36" s="22"/>
      <c r="E36" s="22"/>
      <c r="J36" s="5"/>
      <c r="K36" s="5"/>
      <c r="L36" s="5"/>
      <c r="M36" s="5"/>
      <c r="N36" s="5"/>
      <c r="O36" s="5"/>
      <c r="P36" s="88"/>
      <c r="Q36" s="95"/>
    </row>
    <row r="37" spans="4:17" s="2" customFormat="1" ht="12" customHeight="1">
      <c r="D37" s="22"/>
      <c r="E37" s="22"/>
      <c r="J37" s="5"/>
      <c r="K37" s="5"/>
      <c r="L37" s="5"/>
      <c r="M37" s="5"/>
      <c r="N37" s="5"/>
      <c r="O37" s="5"/>
      <c r="P37" s="88"/>
      <c r="Q37" s="95"/>
    </row>
    <row r="38" spans="4:17" s="2" customFormat="1" ht="12" customHeight="1">
      <c r="D38" s="22"/>
      <c r="E38" s="22"/>
      <c r="J38" s="5"/>
      <c r="K38" s="5"/>
      <c r="L38" s="5"/>
      <c r="M38" s="5"/>
      <c r="N38" s="5"/>
      <c r="O38" s="5"/>
      <c r="P38" s="88"/>
      <c r="Q38" s="95"/>
    </row>
    <row r="39" spans="4:17" s="2" customFormat="1" ht="12" customHeight="1">
      <c r="D39" s="22"/>
      <c r="E39" s="22"/>
      <c r="J39" s="5"/>
      <c r="K39" s="5"/>
      <c r="L39" s="5"/>
      <c r="M39" s="5"/>
      <c r="N39" s="5"/>
      <c r="O39" s="5"/>
      <c r="P39" s="88"/>
      <c r="Q39" s="95"/>
    </row>
    <row r="40" spans="4:17" s="2" customFormat="1" ht="12" customHeight="1">
      <c r="D40" s="22"/>
      <c r="E40" s="22"/>
      <c r="J40" s="5"/>
      <c r="K40" s="5"/>
      <c r="L40" s="5"/>
      <c r="M40" s="5"/>
      <c r="N40" s="5"/>
      <c r="O40" s="5"/>
      <c r="P40" s="88"/>
      <c r="Q40" s="95"/>
    </row>
    <row r="41" spans="4:17" s="2" customFormat="1" ht="12" customHeight="1">
      <c r="D41" s="22"/>
      <c r="E41" s="22"/>
      <c r="J41" s="5"/>
      <c r="K41" s="5"/>
      <c r="L41" s="5"/>
      <c r="M41" s="5"/>
      <c r="N41" s="5"/>
      <c r="O41" s="5"/>
      <c r="P41" s="88"/>
      <c r="Q41" s="95"/>
    </row>
    <row r="42" spans="4:17" s="2" customFormat="1" ht="12" customHeight="1">
      <c r="D42" s="22"/>
      <c r="E42" s="22"/>
      <c r="J42" s="5"/>
      <c r="K42" s="5"/>
      <c r="L42" s="5"/>
      <c r="M42" s="5"/>
      <c r="N42" s="5"/>
      <c r="O42" s="5"/>
      <c r="P42" s="88"/>
      <c r="Q42" s="95"/>
    </row>
    <row r="43" spans="4:17" s="2" customFormat="1" ht="12" customHeight="1">
      <c r="D43" s="22"/>
      <c r="E43" s="22"/>
      <c r="J43" s="5"/>
      <c r="K43" s="5"/>
      <c r="L43" s="5"/>
      <c r="M43" s="5"/>
      <c r="N43" s="5"/>
      <c r="O43" s="5"/>
      <c r="P43" s="88"/>
      <c r="Q43" s="95"/>
    </row>
    <row r="44" spans="4:17" s="2" customFormat="1" ht="12" customHeight="1">
      <c r="D44" s="22"/>
      <c r="E44" s="22"/>
      <c r="J44" s="5"/>
      <c r="K44" s="5"/>
      <c r="L44" s="5"/>
      <c r="M44" s="5"/>
      <c r="N44" s="5"/>
      <c r="O44" s="5"/>
      <c r="P44" s="88"/>
      <c r="Q44" s="95"/>
    </row>
    <row r="45" spans="4:17" s="2" customFormat="1" ht="12" customHeight="1">
      <c r="D45" s="22"/>
      <c r="E45" s="22"/>
      <c r="J45" s="5"/>
      <c r="K45" s="5"/>
      <c r="L45" s="5"/>
      <c r="M45" s="5"/>
      <c r="N45" s="5"/>
      <c r="O45" s="5"/>
      <c r="P45" s="88"/>
      <c r="Q45" s="95"/>
    </row>
    <row r="46" spans="4:17" s="2" customFormat="1" ht="12" customHeight="1">
      <c r="D46" s="22"/>
      <c r="E46" s="22"/>
      <c r="J46" s="5"/>
      <c r="K46" s="5"/>
      <c r="L46" s="5"/>
      <c r="M46" s="5"/>
      <c r="N46" s="5"/>
      <c r="O46" s="5"/>
      <c r="P46" s="88"/>
      <c r="Q46" s="95"/>
    </row>
    <row r="47" spans="4:17" s="2" customFormat="1" ht="12" customHeight="1">
      <c r="D47" s="22"/>
      <c r="E47" s="22"/>
      <c r="J47" s="5"/>
      <c r="K47" s="5"/>
      <c r="L47" s="5"/>
      <c r="M47" s="5"/>
      <c r="N47" s="5"/>
      <c r="O47" s="5"/>
      <c r="P47" s="88"/>
      <c r="Q47" s="95"/>
    </row>
    <row r="48" spans="4:17" s="2" customFormat="1" ht="12" customHeight="1">
      <c r="D48" s="22"/>
      <c r="E48" s="22"/>
      <c r="J48" s="5"/>
      <c r="K48" s="5"/>
      <c r="L48" s="5"/>
      <c r="M48" s="5"/>
      <c r="N48" s="5"/>
      <c r="O48" s="5"/>
      <c r="P48" s="88"/>
      <c r="Q48" s="95"/>
    </row>
    <row r="49" spans="1:17" s="2" customFormat="1" ht="12" customHeight="1">
      <c r="D49" s="22"/>
      <c r="E49" s="22"/>
      <c r="J49" s="5"/>
      <c r="K49" s="5"/>
      <c r="L49" s="5"/>
      <c r="M49" s="5"/>
      <c r="N49" s="5"/>
      <c r="O49" s="5"/>
      <c r="P49" s="88"/>
      <c r="Q49" s="95"/>
    </row>
    <row r="50" spans="1:17" s="2" customFormat="1" ht="12" customHeight="1">
      <c r="D50" s="22"/>
      <c r="E50" s="22"/>
      <c r="J50" s="5"/>
      <c r="K50" s="5"/>
      <c r="L50" s="5"/>
      <c r="M50" s="5"/>
      <c r="N50" s="5"/>
      <c r="O50" s="5"/>
      <c r="P50" s="88"/>
      <c r="Q50" s="95"/>
    </row>
    <row r="51" spans="1:17" s="2" customFormat="1" ht="12" customHeight="1">
      <c r="D51" s="22"/>
      <c r="E51" s="22"/>
      <c r="J51" s="5"/>
      <c r="K51" s="5"/>
      <c r="L51" s="5"/>
      <c r="M51" s="5"/>
      <c r="N51" s="5"/>
      <c r="O51" s="5"/>
      <c r="P51" s="88"/>
      <c r="Q51" s="95"/>
    </row>
    <row r="52" spans="1:17" s="2" customFormat="1" ht="12" customHeight="1">
      <c r="D52" s="22"/>
      <c r="E52" s="22"/>
      <c r="J52" s="5"/>
      <c r="K52" s="5"/>
      <c r="L52" s="5"/>
      <c r="M52" s="5"/>
      <c r="N52" s="5"/>
      <c r="O52" s="5"/>
      <c r="P52" s="88"/>
      <c r="Q52" s="95"/>
    </row>
    <row r="53" spans="1:17" s="2" customFormat="1" ht="12" customHeight="1">
      <c r="D53" s="22"/>
      <c r="E53" s="22"/>
      <c r="J53" s="5"/>
      <c r="K53" s="5"/>
      <c r="L53" s="5"/>
      <c r="M53" s="5"/>
      <c r="N53" s="5"/>
      <c r="O53" s="5"/>
      <c r="P53" s="88"/>
      <c r="Q53" s="95"/>
    </row>
    <row r="54" spans="1:17" s="2" customFormat="1" ht="12" customHeight="1">
      <c r="D54" s="22"/>
      <c r="E54" s="22"/>
      <c r="J54" s="5"/>
      <c r="K54" s="5"/>
      <c r="L54" s="5"/>
      <c r="M54" s="5"/>
      <c r="N54" s="5"/>
      <c r="O54" s="5"/>
      <c r="P54" s="88"/>
      <c r="Q54" s="96"/>
    </row>
    <row r="55" spans="1:17" s="2" customFormat="1" ht="12" customHeight="1">
      <c r="D55" s="22"/>
      <c r="E55" s="22"/>
      <c r="J55" s="5"/>
      <c r="K55" s="5"/>
      <c r="L55" s="5"/>
      <c r="M55" s="5"/>
      <c r="N55" s="5"/>
      <c r="O55" s="5"/>
      <c r="P55" s="88"/>
      <c r="Q55" s="96"/>
    </row>
    <row r="56" spans="1:17" s="2" customFormat="1" ht="12" customHeight="1">
      <c r="D56" s="22"/>
      <c r="E56" s="22"/>
      <c r="J56" s="5"/>
      <c r="K56" s="5"/>
      <c r="L56" s="5"/>
      <c r="M56" s="5"/>
      <c r="N56" s="5"/>
      <c r="O56" s="5"/>
      <c r="P56" s="88"/>
      <c r="Q56" s="96"/>
    </row>
    <row r="57" spans="1:17" s="2" customFormat="1" ht="12" customHeight="1">
      <c r="D57" s="22"/>
      <c r="E57" s="22"/>
      <c r="J57" s="5"/>
      <c r="K57" s="5"/>
      <c r="L57" s="5"/>
      <c r="M57" s="5"/>
      <c r="N57" s="5"/>
      <c r="O57" s="5"/>
      <c r="P57" s="88"/>
      <c r="Q57" s="96"/>
    </row>
    <row r="58" spans="1:17" s="2" customFormat="1" ht="12" customHeight="1">
      <c r="A58"/>
      <c r="B58"/>
      <c r="C58"/>
      <c r="D58" s="23"/>
      <c r="E58" s="23"/>
      <c r="F58"/>
      <c r="G58"/>
      <c r="H58"/>
      <c r="I58"/>
      <c r="J58" s="19"/>
      <c r="K58" s="19"/>
      <c r="L58" s="19"/>
      <c r="M58" s="19"/>
      <c r="N58" s="19"/>
      <c r="O58" s="19"/>
      <c r="P58" s="90"/>
      <c r="Q58" s="96"/>
    </row>
    <row r="59" spans="1:17" s="2" customFormat="1" ht="12" customHeight="1">
      <c r="A59"/>
      <c r="B59"/>
      <c r="C59"/>
      <c r="D59" s="23"/>
      <c r="E59" s="23"/>
      <c r="F59"/>
      <c r="G59"/>
      <c r="H59"/>
      <c r="I59"/>
      <c r="J59" s="19"/>
      <c r="K59" s="19"/>
      <c r="L59" s="19"/>
      <c r="M59" s="19"/>
      <c r="N59" s="19"/>
      <c r="O59" s="19"/>
      <c r="P59" s="90"/>
      <c r="Q59" s="96"/>
    </row>
    <row r="60" spans="1:17" s="2" customFormat="1" ht="12" customHeight="1">
      <c r="A60"/>
      <c r="B60"/>
      <c r="C60"/>
      <c r="D60" s="23"/>
      <c r="E60" s="23"/>
      <c r="F60"/>
      <c r="G60"/>
      <c r="H60"/>
      <c r="I60"/>
      <c r="J60" s="19"/>
      <c r="K60" s="19"/>
      <c r="L60" s="19"/>
      <c r="M60" s="19"/>
      <c r="N60" s="19"/>
      <c r="O60" s="19"/>
      <c r="P60" s="90"/>
      <c r="Q60" s="96"/>
    </row>
    <row r="61" spans="1:17" s="2" customFormat="1" ht="12" customHeight="1">
      <c r="A61"/>
      <c r="B61"/>
      <c r="C61"/>
      <c r="D61" s="23"/>
      <c r="E61" s="23"/>
      <c r="F61"/>
      <c r="G61"/>
      <c r="H61"/>
      <c r="I61"/>
      <c r="J61" s="19"/>
      <c r="K61" s="19"/>
      <c r="L61" s="19"/>
      <c r="M61" s="19"/>
      <c r="N61" s="19"/>
      <c r="O61" s="19"/>
      <c r="P61" s="90"/>
      <c r="Q61" s="96"/>
    </row>
    <row r="62" spans="1:17" s="2" customFormat="1" ht="12" customHeight="1">
      <c r="A62"/>
      <c r="B62"/>
      <c r="C62"/>
      <c r="D62" s="23"/>
      <c r="E62" s="23"/>
      <c r="F62"/>
      <c r="G62"/>
      <c r="H62"/>
      <c r="I62"/>
      <c r="J62" s="19"/>
      <c r="K62" s="19"/>
      <c r="L62" s="19"/>
      <c r="M62" s="19"/>
      <c r="N62" s="19"/>
      <c r="O62" s="19"/>
      <c r="P62" s="90"/>
      <c r="Q62" s="96"/>
    </row>
    <row r="63" spans="1:17">
      <c r="Q63" s="96"/>
    </row>
    <row r="64" spans="1:17">
      <c r="Q64" s="96"/>
    </row>
    <row r="65" spans="17:17">
      <c r="Q65" s="96"/>
    </row>
    <row r="66" spans="17:17">
      <c r="Q66" s="96"/>
    </row>
    <row r="67" spans="17:17">
      <c r="Q67" s="96"/>
    </row>
    <row r="68" spans="17:17">
      <c r="Q68" s="96"/>
    </row>
    <row r="69" spans="17:17">
      <c r="Q69" s="96"/>
    </row>
    <row r="70" spans="17:17">
      <c r="Q70" s="96"/>
    </row>
    <row r="71" spans="17:17">
      <c r="Q71" s="96"/>
    </row>
    <row r="72" spans="17:17">
      <c r="Q72" s="96"/>
    </row>
    <row r="73" spans="17:17">
      <c r="Q73" s="96"/>
    </row>
    <row r="74" spans="17:17">
      <c r="Q74" s="96"/>
    </row>
    <row r="75" spans="17:17">
      <c r="Q75" s="96"/>
    </row>
    <row r="76" spans="17:17">
      <c r="Q76" s="96"/>
    </row>
    <row r="77" spans="17:17">
      <c r="Q77" s="96"/>
    </row>
    <row r="78" spans="17:17">
      <c r="Q78" s="96"/>
    </row>
    <row r="79" spans="17:17">
      <c r="Q79" s="96"/>
    </row>
    <row r="80" spans="17:17">
      <c r="Q80" s="96"/>
    </row>
    <row r="81" spans="17:17">
      <c r="Q81" s="96"/>
    </row>
    <row r="82" spans="17:17">
      <c r="Q82" s="96"/>
    </row>
    <row r="119" ht="12" customHeight="1"/>
    <row r="120" ht="12" customHeight="1"/>
    <row r="121" ht="12" customHeight="1"/>
    <row r="122" ht="12" customHeight="1"/>
    <row r="123" ht="12" customHeight="1"/>
    <row r="124" ht="12" customHeight="1"/>
    <row r="125" ht="12" customHeight="1"/>
    <row r="126" ht="12" customHeight="1"/>
    <row r="127" ht="12" customHeight="1"/>
    <row r="128" ht="12" customHeight="1"/>
    <row r="129" ht="12" customHeight="1"/>
    <row r="130" ht="12" customHeight="1"/>
    <row r="131" ht="12" customHeight="1"/>
    <row r="132" ht="12" customHeight="1"/>
    <row r="133" ht="12" customHeight="1"/>
    <row r="134" ht="12" customHeight="1"/>
    <row r="135" ht="12" customHeight="1"/>
    <row r="136" ht="12" customHeight="1"/>
    <row r="137" ht="12" customHeight="1"/>
    <row r="138" ht="12" customHeight="1"/>
    <row r="139" ht="12" customHeight="1"/>
    <row r="140" ht="12" customHeight="1"/>
    <row r="141" ht="12" customHeight="1"/>
    <row r="142" ht="12" customHeight="1"/>
    <row r="143" ht="12" customHeight="1"/>
    <row r="144" ht="12" customHeight="1"/>
    <row r="145" ht="12" customHeight="1"/>
    <row r="146" ht="12" customHeight="1"/>
    <row r="147" ht="12" customHeight="1"/>
    <row r="148" ht="12" customHeight="1"/>
    <row r="149" ht="12" customHeight="1"/>
    <row r="150" ht="12" customHeight="1"/>
    <row r="151" ht="12" customHeight="1"/>
    <row r="152" ht="12" customHeight="1"/>
    <row r="153" ht="12" customHeight="1"/>
    <row r="154" ht="12" customHeight="1"/>
    <row r="155" ht="12" customHeight="1"/>
    <row r="156" ht="12" customHeight="1"/>
    <row r="157" ht="12" customHeight="1"/>
    <row r="158" ht="12" customHeight="1"/>
    <row r="159" ht="12" customHeight="1"/>
    <row r="160" ht="12" customHeight="1"/>
    <row r="161" ht="12" customHeight="1"/>
    <row r="162" ht="12" customHeight="1"/>
    <row r="163" ht="12" customHeight="1"/>
    <row r="164" ht="12" customHeight="1"/>
    <row r="165" ht="12" customHeight="1"/>
    <row r="166" ht="12" customHeight="1"/>
    <row r="167" ht="12" customHeight="1"/>
    <row r="168" ht="12" customHeight="1"/>
  </sheetData>
  <mergeCells count="18">
    <mergeCell ref="D15:E15"/>
    <mergeCell ref="H15:I15"/>
    <mergeCell ref="D11:E11"/>
    <mergeCell ref="H11:I11"/>
    <mergeCell ref="D12:E12"/>
    <mergeCell ref="D13:E13"/>
    <mergeCell ref="D14:E14"/>
    <mergeCell ref="D1:E1"/>
    <mergeCell ref="D4:E4"/>
    <mergeCell ref="H4:I4"/>
    <mergeCell ref="D5:E5"/>
    <mergeCell ref="H5:I5"/>
    <mergeCell ref="D6:E6"/>
    <mergeCell ref="D9:E9"/>
    <mergeCell ref="H9:I9"/>
    <mergeCell ref="D10:E10"/>
    <mergeCell ref="D7:E7"/>
    <mergeCell ref="D8:E8"/>
  </mergeCells>
  <conditionalFormatting sqref="M6:M8 M12:M14 M10">
    <cfRule type="cellIs" dxfId="326" priority="1" stopIfTrue="1" operator="lessThanOrEqual">
      <formula>$L6</formula>
    </cfRule>
    <cfRule type="cellIs" dxfId="325" priority="2" operator="greaterThan">
      <formula>L6</formula>
    </cfRule>
  </conditionalFormatting>
  <pageMargins left="0.7" right="0.7" top="0.75" bottom="0.75" header="0.3" footer="0.3"/>
  <pageSetup paperSize="3" fitToHeight="0" orientation="landscape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3A58AE4-99A8-4278-AFBF-81497577006C}">
          <x14:formula1>
            <xm:f>Bolts!$A:$A</xm:f>
          </x14:formula1>
          <xm:sqref>C12:C14</xm:sqref>
        </x14:dataValidation>
        <x14:dataValidation type="list" allowBlank="1" showInputMessage="1" showErrorMessage="1" xr:uid="{00EE99A4-35BC-4324-ACF2-B23DB43723E3}">
          <x14:formula1>
            <xm:f>Purchased!$A:$A</xm:f>
          </x14:formula1>
          <xm:sqref>C10</xm:sqref>
        </x14:dataValidation>
        <x14:dataValidation type="list" allowBlank="1" showInputMessage="1" showErrorMessage="1" xr:uid="{68C08DAF-98D8-41EB-8C23-44E627DBCF4A}">
          <x14:formula1>
            <xm:f>Machined!$C:$C</xm:f>
          </x14:formula1>
          <xm:sqref>C6:C8</xm:sqref>
        </x14:dataValidation>
      </x14:dataValidations>
    </ext>
  </extLst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82BAB-98E6-4C5C-B65B-EF9C162948A0}">
  <sheetPr codeName="Sheet92">
    <tabColor theme="3" tint="0.59999389629810485"/>
    <pageSetUpPr fitToPage="1"/>
  </sheetPr>
  <dimension ref="A1:R171"/>
  <sheetViews>
    <sheetView zoomScaleNormal="100" workbookViewId="0">
      <selection activeCell="G33" sqref="G33"/>
    </sheetView>
  </sheetViews>
  <sheetFormatPr defaultColWidth="9.140625" defaultRowHeight="15"/>
  <cols>
    <col min="1" max="1" width="5.7109375" customWidth="1"/>
    <col min="2" max="2" width="5.42578125" bestFit="1" customWidth="1"/>
    <col min="3" max="3" width="30.7109375" customWidth="1"/>
    <col min="4" max="5" width="20.7109375" style="23" customWidth="1"/>
    <col min="6" max="6" width="16.85546875" bestFit="1" customWidth="1"/>
    <col min="7" max="7" width="9.7109375" customWidth="1"/>
    <col min="8" max="8" width="8.7109375" customWidth="1"/>
    <col min="9" max="9" width="20.7109375" customWidth="1"/>
    <col min="10" max="13" width="11.7109375" style="19" customWidth="1"/>
    <col min="14" max="14" width="11.85546875" style="19" bestFit="1" customWidth="1"/>
    <col min="15" max="15" width="7.7109375" style="19" customWidth="1"/>
    <col min="16" max="16" width="10.7109375" style="90" customWidth="1"/>
    <col min="17" max="17" width="10.7109375" style="97" customWidth="1"/>
  </cols>
  <sheetData>
    <row r="1" spans="1:18" s="55" customFormat="1" ht="12" customHeight="1">
      <c r="A1" s="68" t="s">
        <v>0</v>
      </c>
      <c r="B1" s="69"/>
      <c r="C1" s="69"/>
      <c r="D1" s="262" t="s">
        <v>1</v>
      </c>
      <c r="E1" s="262"/>
      <c r="F1" s="70"/>
      <c r="G1" s="69"/>
      <c r="H1" s="70"/>
      <c r="I1" s="71"/>
      <c r="J1" s="72"/>
      <c r="K1" s="72"/>
      <c r="L1" s="72"/>
      <c r="M1" s="72"/>
      <c r="N1" s="72"/>
      <c r="O1" s="72"/>
      <c r="P1" s="85"/>
      <c r="Q1" s="91"/>
    </row>
    <row r="2" spans="1:18" s="55" customFormat="1" ht="12" customHeight="1">
      <c r="A2" s="74" t="s">
        <v>48</v>
      </c>
      <c r="B2" s="58"/>
      <c r="C2" s="57" t="e">
        <f ca="1">VLOOKUP(E3,Assemblies!B:F,4,0)</f>
        <v>#VALUE!</v>
      </c>
      <c r="D2" s="75" t="s">
        <v>3</v>
      </c>
      <c r="E2" s="76" t="e">
        <f ca="1">'GF12'!E2</f>
        <v>#VALUE!</v>
      </c>
      <c r="F2" s="77" t="s">
        <v>4</v>
      </c>
      <c r="G2" s="58" t="str">
        <f>'GF12'!G2</f>
        <v>GH</v>
      </c>
      <c r="H2" s="77" t="s">
        <v>6</v>
      </c>
      <c r="I2" s="59">
        <f>'GF12'!I2</f>
        <v>44775</v>
      </c>
      <c r="J2" s="39"/>
      <c r="K2" s="40" t="s">
        <v>49</v>
      </c>
      <c r="L2" s="41" t="e">
        <f ca="1">VLOOKUP(C2,Assemblies!E:G,3,0)</f>
        <v>#VALUE!</v>
      </c>
      <c r="M2" s="78"/>
      <c r="N2" s="78"/>
      <c r="O2" s="78"/>
      <c r="P2" s="86"/>
      <c r="Q2" s="92"/>
    </row>
    <row r="3" spans="1:18" s="55" customFormat="1" ht="12" customHeight="1" thickBot="1">
      <c r="A3" s="74" t="s">
        <v>7</v>
      </c>
      <c r="B3" s="58"/>
      <c r="C3" s="57" t="e">
        <f ca="1">VLOOKUP(E3,Assemblies!B:F,5,0)</f>
        <v>#VALUE!</v>
      </c>
      <c r="D3" s="75" t="s">
        <v>50</v>
      </c>
      <c r="E3" s="76" t="e">
        <f ca="1">MID(CELL("filename",A1),FIND("]",CELL("filename",A1))+1,256)</f>
        <v>#VALUE!</v>
      </c>
      <c r="F3" s="77" t="s">
        <v>11</v>
      </c>
      <c r="G3" s="58" t="str">
        <f>'GF12'!G3</f>
        <v>GH</v>
      </c>
      <c r="H3" s="77" t="s">
        <v>6</v>
      </c>
      <c r="I3" s="59">
        <f>'GF12'!I3</f>
        <v>44775</v>
      </c>
      <c r="J3" s="78"/>
      <c r="K3" s="78"/>
      <c r="L3" s="78"/>
      <c r="M3" s="78"/>
      <c r="N3" s="78"/>
      <c r="O3" s="78"/>
      <c r="P3" s="86"/>
      <c r="Q3" s="92"/>
    </row>
    <row r="4" spans="1:18" s="56" customFormat="1" ht="12.75" customHeight="1" thickBot="1">
      <c r="A4" s="80" t="s">
        <v>12</v>
      </c>
      <c r="B4" s="81" t="s">
        <v>13</v>
      </c>
      <c r="C4" s="81" t="s">
        <v>14</v>
      </c>
      <c r="D4" s="270" t="s">
        <v>15</v>
      </c>
      <c r="E4" s="270"/>
      <c r="F4" s="104" t="s">
        <v>16</v>
      </c>
      <c r="G4" s="81" t="s">
        <v>17</v>
      </c>
      <c r="H4" s="260" t="s">
        <v>18</v>
      </c>
      <c r="I4" s="260"/>
      <c r="J4" s="81" t="s">
        <v>51</v>
      </c>
      <c r="K4" s="81" t="s">
        <v>20</v>
      </c>
      <c r="L4" s="81" t="s">
        <v>21</v>
      </c>
      <c r="M4" s="81" t="s">
        <v>52</v>
      </c>
      <c r="N4" s="81" t="s">
        <v>22</v>
      </c>
      <c r="O4" s="81" t="s">
        <v>53</v>
      </c>
      <c r="P4" s="107" t="s">
        <v>26</v>
      </c>
      <c r="Q4" s="82" t="s">
        <v>27</v>
      </c>
    </row>
    <row r="5" spans="1:18" s="21" customFormat="1" ht="12.75" customHeight="1">
      <c r="A5" s="66" t="s">
        <v>54</v>
      </c>
      <c r="B5" s="1">
        <v>1</v>
      </c>
      <c r="C5" s="67" t="s">
        <v>1038</v>
      </c>
      <c r="D5" s="277" t="e">
        <f ca="1">VLOOKUP(C5,Assemblies!E:S,2,0)</f>
        <v>#N/A</v>
      </c>
      <c r="E5" s="277"/>
      <c r="F5" s="32"/>
      <c r="G5" s="32"/>
      <c r="H5" s="292"/>
      <c r="I5" s="292"/>
      <c r="J5" s="28"/>
      <c r="K5" s="28"/>
      <c r="L5" s="28"/>
      <c r="M5" s="28"/>
      <c r="N5" s="33"/>
      <c r="O5" s="46" t="e">
        <f t="shared" ref="O5:O9" ca="1" si="0">B5*$L$2</f>
        <v>#VALUE!</v>
      </c>
      <c r="P5" s="87">
        <f>'411'!Q19</f>
        <v>766.74613543333328</v>
      </c>
      <c r="Q5" s="93">
        <f t="shared" ref="Q5:Q9" si="1">B5*P5</f>
        <v>766.74613543333328</v>
      </c>
    </row>
    <row r="6" spans="1:18" s="21" customFormat="1" ht="12.75" customHeight="1">
      <c r="A6" s="66" t="s">
        <v>56</v>
      </c>
      <c r="B6" s="1">
        <v>1</v>
      </c>
      <c r="C6" s="67" t="s">
        <v>1096</v>
      </c>
      <c r="D6" s="277" t="e">
        <f ca="1">VLOOKUP(C6,Assemblies!E:S,2,0)</f>
        <v>#N/A</v>
      </c>
      <c r="E6" s="277"/>
      <c r="F6" s="32"/>
      <c r="G6" s="32"/>
      <c r="H6" s="292"/>
      <c r="I6" s="292"/>
      <c r="J6" s="28"/>
      <c r="K6" s="28"/>
      <c r="L6" s="28"/>
      <c r="M6" s="28"/>
      <c r="N6" s="33"/>
      <c r="O6" s="46" t="e">
        <f t="shared" ca="1" si="0"/>
        <v>#VALUE!</v>
      </c>
      <c r="P6" s="87">
        <f>'422'!Q27</f>
        <v>5976.7051999999994</v>
      </c>
      <c r="Q6" s="93">
        <f t="shared" si="1"/>
        <v>5976.7051999999994</v>
      </c>
    </row>
    <row r="7" spans="1:18" s="21" customFormat="1" ht="12.75" customHeight="1">
      <c r="A7" s="66" t="s">
        <v>58</v>
      </c>
      <c r="B7" s="1">
        <v>1</v>
      </c>
      <c r="C7" s="67" t="s">
        <v>1097</v>
      </c>
      <c r="D7" s="277" t="e">
        <f ca="1">VLOOKUP(C7,Assemblies!E:S,2,0)</f>
        <v>#N/A</v>
      </c>
      <c r="E7" s="277"/>
      <c r="F7" s="32"/>
      <c r="G7" s="32"/>
      <c r="H7" s="292"/>
      <c r="I7" s="292"/>
      <c r="J7" s="28"/>
      <c r="K7" s="28"/>
      <c r="L7" s="28"/>
      <c r="M7" s="28"/>
      <c r="N7" s="33"/>
      <c r="O7" s="46" t="e">
        <f t="shared" ca="1" si="0"/>
        <v>#VALUE!</v>
      </c>
      <c r="P7" s="87">
        <f>'423'!Q24</f>
        <v>1725.0500000000002</v>
      </c>
      <c r="Q7" s="93">
        <f t="shared" si="1"/>
        <v>1725.0500000000002</v>
      </c>
    </row>
    <row r="8" spans="1:18" s="21" customFormat="1" ht="12.75" customHeight="1">
      <c r="A8" s="66" t="s">
        <v>60</v>
      </c>
      <c r="B8" s="1">
        <v>2</v>
      </c>
      <c r="C8" s="67" t="s">
        <v>1041</v>
      </c>
      <c r="D8" s="277" t="e">
        <f ca="1">VLOOKUP(C8,Assemblies!E:S,2,0)</f>
        <v>#N/A</v>
      </c>
      <c r="E8" s="277"/>
      <c r="F8" s="32"/>
      <c r="G8" s="32"/>
      <c r="H8" s="292"/>
      <c r="I8" s="292"/>
      <c r="J8" s="28"/>
      <c r="K8" s="28"/>
      <c r="L8" s="28"/>
      <c r="M8" s="28"/>
      <c r="N8" s="33"/>
      <c r="O8" s="46" t="e">
        <f t="shared" ca="1" si="0"/>
        <v>#VALUE!</v>
      </c>
      <c r="P8" s="87">
        <f>'414'!Q19</f>
        <v>175.48000000000002</v>
      </c>
      <c r="Q8" s="93">
        <f t="shared" si="1"/>
        <v>350.96000000000004</v>
      </c>
    </row>
    <row r="9" spans="1:18" s="21" customFormat="1" ht="12.75" customHeight="1">
      <c r="A9" s="66" t="s">
        <v>62</v>
      </c>
      <c r="B9" s="1">
        <v>4</v>
      </c>
      <c r="C9" s="67" t="s">
        <v>1042</v>
      </c>
      <c r="D9" s="277" t="e">
        <f ca="1">VLOOKUP(C9,Assemblies!E:S,2,0)</f>
        <v>#N/A</v>
      </c>
      <c r="E9" s="277"/>
      <c r="F9" s="32"/>
      <c r="G9" s="32"/>
      <c r="H9" s="292"/>
      <c r="I9" s="292"/>
      <c r="J9" s="28"/>
      <c r="K9" s="28"/>
      <c r="L9" s="28"/>
      <c r="M9" s="28"/>
      <c r="N9" s="33"/>
      <c r="O9" s="46" t="e">
        <f t="shared" ca="1" si="0"/>
        <v>#VALUE!</v>
      </c>
      <c r="P9" s="87">
        <f>'415'!Q14</f>
        <v>323.68610000000001</v>
      </c>
      <c r="Q9" s="93">
        <f t="shared" si="1"/>
        <v>1294.7444</v>
      </c>
    </row>
    <row r="10" spans="1:18" s="21" customFormat="1" ht="12.75" customHeight="1">
      <c r="A10" s="66" t="s">
        <v>64</v>
      </c>
      <c r="B10" s="1">
        <v>1</v>
      </c>
      <c r="C10" s="67" t="s">
        <v>1043</v>
      </c>
      <c r="D10" s="277" t="e">
        <f ca="1">VLOOKUP(C10,Assemblies!E:S,2,0)</f>
        <v>#N/A</v>
      </c>
      <c r="E10" s="277"/>
      <c r="F10" s="32"/>
      <c r="G10" s="32"/>
      <c r="H10" s="292"/>
      <c r="I10" s="292"/>
      <c r="J10" s="28"/>
      <c r="K10" s="28"/>
      <c r="L10" s="28"/>
      <c r="M10" s="28"/>
      <c r="N10" s="33"/>
      <c r="O10" s="46" t="e">
        <f t="shared" ref="O10" ca="1" si="2">B10*$L$2</f>
        <v>#VALUE!</v>
      </c>
      <c r="P10" s="87">
        <f>'416'!Q15</f>
        <v>31.96</v>
      </c>
      <c r="Q10" s="93">
        <f t="shared" ref="Q10" si="3">B10*P10</f>
        <v>31.96</v>
      </c>
    </row>
    <row r="11" spans="1:18" s="21" customFormat="1" ht="12.75" customHeight="1">
      <c r="A11" s="25"/>
      <c r="B11" s="26"/>
      <c r="C11" s="26"/>
      <c r="D11" s="272"/>
      <c r="E11" s="272"/>
      <c r="F11" s="26"/>
      <c r="G11" s="26"/>
      <c r="H11" s="274"/>
      <c r="I11" s="274"/>
      <c r="J11" s="27"/>
      <c r="K11" s="27"/>
      <c r="L11" s="27"/>
      <c r="M11" s="28"/>
      <c r="N11" s="29"/>
      <c r="O11" s="29"/>
      <c r="P11" s="141"/>
      <c r="Q11" s="142"/>
      <c r="R11" s="20"/>
    </row>
    <row r="12" spans="1:18" s="2" customFormat="1" ht="12.75" customHeight="1">
      <c r="A12" s="127">
        <v>1</v>
      </c>
      <c r="B12" s="21">
        <v>2</v>
      </c>
      <c r="C12" s="108" t="s">
        <v>1044</v>
      </c>
      <c r="D12" s="277" t="str">
        <f>VLOOKUP(C12,Machined!C:Q,2,0)</f>
        <v>MODIFIED IGUS JFRM 2835TR16X4 LEAD NUT</v>
      </c>
      <c r="E12" s="278"/>
      <c r="F12" s="131" t="str">
        <f>VLOOKUP(C12,Machined!C:R,7,0)</f>
        <v>PURCHASED</v>
      </c>
      <c r="G12" s="131" t="str">
        <f>VLOOKUP(C12,Machined!C:R,10,0)</f>
        <v>IGUS, NULINE</v>
      </c>
      <c r="H12" s="131" t="str">
        <f>VLOOKUP(C12,Machined!C:R,11,0)</f>
        <v>Nuline add center clearance hole</v>
      </c>
      <c r="I12" s="131"/>
      <c r="J12" s="42">
        <f>VLOOKUP(C12,Machined!C:R,12,0)</f>
        <v>45160</v>
      </c>
      <c r="K12" s="42">
        <f>VLOOKUP(C12,Machined!C:R,13,0)</f>
        <v>45160</v>
      </c>
      <c r="L12" s="42">
        <f>VLOOKUP(C12,Machined!C:R,14,0)</f>
        <v>45166</v>
      </c>
      <c r="M12" s="42">
        <f>VLOOKUP(C12,Machined!C:R,15,0)</f>
        <v>45166</v>
      </c>
      <c r="N12" s="43">
        <f>VLOOKUP(C12,Machined!C:R,16,0)</f>
        <v>55085</v>
      </c>
      <c r="O12" s="43" t="e">
        <f ca="1">B12*$L$2</f>
        <v>#VALUE!</v>
      </c>
      <c r="P12" s="47">
        <f>IFERROR(VLOOKUP(C12,Machined!C:F,3,0),"")</f>
        <v>26.56</v>
      </c>
      <c r="Q12" s="48">
        <f>IFERROR(B12*P12,"")</f>
        <v>53.12</v>
      </c>
    </row>
    <row r="13" spans="1:18" s="2" customFormat="1" ht="12.75" customHeight="1">
      <c r="A13" s="143"/>
      <c r="B13" s="26"/>
      <c r="C13" s="26"/>
      <c r="D13" s="272"/>
      <c r="E13" s="273"/>
      <c r="F13" s="26"/>
      <c r="G13" s="26"/>
      <c r="H13" s="274"/>
      <c r="I13" s="275"/>
      <c r="J13" s="27"/>
      <c r="K13" s="27"/>
      <c r="L13" s="27"/>
      <c r="M13" s="28"/>
      <c r="N13" s="29"/>
      <c r="O13" s="29"/>
      <c r="P13" s="141"/>
      <c r="Q13" s="142"/>
    </row>
    <row r="14" spans="1:18" s="2" customFormat="1" ht="12.75" customHeight="1">
      <c r="A14" s="4">
        <v>301</v>
      </c>
      <c r="B14" s="2">
        <v>1</v>
      </c>
      <c r="C14" s="114" t="s">
        <v>1045</v>
      </c>
      <c r="D14" s="268" t="str">
        <f>VLOOKUP(C14,Purchased!A:B,2,0)</f>
        <v>IGUS Drylin Lead Screw Nut</v>
      </c>
      <c r="E14" s="269"/>
      <c r="F14" s="112" t="str">
        <f>VLOOKUP(C14,Purchased!A:Q,9,0)</f>
        <v>IGUS</v>
      </c>
      <c r="G14" s="112" t="str">
        <f>VLOOKUP(C14,Purchased!A:Q,10,0)</f>
        <v>IGUS</v>
      </c>
      <c r="H14" s="112" t="str">
        <f>VLOOKUP(C14,Purchased!A:Q,12,0)</f>
        <v xml:space="preserve"> </v>
      </c>
      <c r="I14" s="113"/>
      <c r="J14" s="44">
        <f>VLOOKUP(C14,Purchased!A:Q,13,0)</f>
        <v>45154</v>
      </c>
      <c r="K14" s="44">
        <f>VLOOKUP(C14,Purchased!A:Q,14,0)</f>
        <v>45161</v>
      </c>
      <c r="L14" s="44">
        <f>VLOOKUP(C14,Purchased!A:Q,15,0)</f>
        <v>45191</v>
      </c>
      <c r="M14" s="44">
        <f>VLOOKUP(C14,Purchased!A:Q,16,0)</f>
        <v>45208</v>
      </c>
      <c r="N14" s="45">
        <f>VLOOKUP(C14,Purchased!A:Q,17,0)</f>
        <v>55076</v>
      </c>
      <c r="O14" s="45" t="e">
        <f t="shared" ref="O14" ca="1" si="4">B14*$L$2</f>
        <v>#VALUE!</v>
      </c>
      <c r="P14" s="49">
        <f>IFERROR(VLOOKUP(C14,Purchased!A:E,3,FALSE),"")</f>
        <v>27.9</v>
      </c>
      <c r="Q14" s="50">
        <f t="shared" ref="Q14" si="5">IFERROR(B14*P14,"")</f>
        <v>27.9</v>
      </c>
    </row>
    <row r="15" spans="1:18" s="2" customFormat="1" ht="12.75" customHeight="1">
      <c r="A15" s="25"/>
      <c r="B15" s="26"/>
      <c r="C15" s="26"/>
      <c r="D15" s="272"/>
      <c r="E15" s="273"/>
      <c r="F15" s="26"/>
      <c r="G15" s="26"/>
      <c r="H15" s="274"/>
      <c r="I15" s="275"/>
      <c r="J15" s="27"/>
      <c r="K15" s="27"/>
      <c r="L15" s="27"/>
      <c r="M15" s="28"/>
      <c r="N15" s="29"/>
      <c r="O15" s="29" t="e">
        <f t="shared" ref="O15:O16" ca="1" si="6">B15*$L$2</f>
        <v>#VALUE!</v>
      </c>
      <c r="P15" s="141"/>
      <c r="Q15" s="142"/>
    </row>
    <row r="16" spans="1:18" s="2" customFormat="1" ht="12.75" customHeight="1">
      <c r="A16" s="4">
        <v>501</v>
      </c>
      <c r="B16" s="2">
        <v>18</v>
      </c>
      <c r="C16" s="110" t="s">
        <v>828</v>
      </c>
      <c r="D16" s="268"/>
      <c r="E16" s="276"/>
      <c r="F16" s="112" t="str">
        <f>VLOOKUP(C16,Bolts!A:L,5,0)</f>
        <v xml:space="preserve">  </v>
      </c>
      <c r="G16" s="112" t="str">
        <f>VLOOKUP(C16,Bolts!A:L,6,0)</f>
        <v>Monroe Fasteners</v>
      </c>
      <c r="H16" s="112" t="str">
        <f>VLOOKUP(C16,Bolts!A:L,7,0)</f>
        <v xml:space="preserve">  </v>
      </c>
      <c r="I16" s="112"/>
      <c r="J16" s="44" t="str">
        <f>VLOOKUP(C16,Bolts!A:L,8,0)</f>
        <v xml:space="preserve"> </v>
      </c>
      <c r="K16" s="44" t="str">
        <f>VLOOKUP(C16,Bolts!A:L,9,0)</f>
        <v xml:space="preserve"> </v>
      </c>
      <c r="L16" s="44" t="str">
        <f>VLOOKUP(C16,Bolts!A:L,10,0)</f>
        <v xml:space="preserve"> </v>
      </c>
      <c r="M16" s="44" t="str">
        <f>VLOOKUP(C16,Bolts!A:L,11,0)</f>
        <v xml:space="preserve"> </v>
      </c>
      <c r="N16" s="45" t="str">
        <f>VLOOKUP(C16,Bolts!A:L,12,0)</f>
        <v xml:space="preserve"> </v>
      </c>
      <c r="O16" s="45" t="e">
        <f t="shared" ca="1" si="6"/>
        <v>#VALUE!</v>
      </c>
      <c r="P16" s="49" t="str">
        <f>IFERROR(VLOOKUP(C16,Bolts!A:B,2,FALSE),"")</f>
        <v xml:space="preserve"> </v>
      </c>
      <c r="Q16" s="50" t="str">
        <f t="shared" ref="Q16" si="7">IFERROR(B16*P16,"")</f>
        <v/>
      </c>
    </row>
    <row r="17" spans="1:17" s="2" customFormat="1" ht="12.75" customHeight="1" thickBot="1">
      <c r="A17" s="4">
        <v>502</v>
      </c>
      <c r="B17" s="2">
        <v>18</v>
      </c>
      <c r="C17" s="110" t="s">
        <v>595</v>
      </c>
      <c r="D17" s="268"/>
      <c r="E17" s="276"/>
      <c r="F17" s="112" t="str">
        <f>VLOOKUP(C17,Bolts!A:L,5,0)</f>
        <v xml:space="preserve">  </v>
      </c>
      <c r="G17" s="112" t="str">
        <f>VLOOKUP(C17,Bolts!A:L,6,0)</f>
        <v>Monroe Fasteners</v>
      </c>
      <c r="H17" s="112" t="str">
        <f>VLOOKUP(C17,Bolts!A:L,7,0)</f>
        <v xml:space="preserve">  </v>
      </c>
      <c r="I17" s="112"/>
      <c r="J17" s="44" t="str">
        <f>VLOOKUP(C17,Bolts!A:L,8,0)</f>
        <v xml:space="preserve"> </v>
      </c>
      <c r="K17" s="44" t="str">
        <f>VLOOKUP(C17,Bolts!A:L,9,0)</f>
        <v xml:space="preserve"> </v>
      </c>
      <c r="L17" s="44" t="str">
        <f>VLOOKUP(C17,Bolts!A:L,10,0)</f>
        <v xml:space="preserve"> </v>
      </c>
      <c r="M17" s="44" t="str">
        <f>VLOOKUP(C17,Bolts!A:L,11,0)</f>
        <v xml:space="preserve"> </v>
      </c>
      <c r="N17" s="45" t="str">
        <f>VLOOKUP(C17,Bolts!A:L,12,0)</f>
        <v xml:space="preserve"> </v>
      </c>
      <c r="O17" s="45" t="e">
        <f ca="1">B17*$L$2</f>
        <v>#VALUE!</v>
      </c>
      <c r="P17" s="49" t="str">
        <f>IFERROR(VLOOKUP(C17,Bolts!A:B,2,FALSE),"")</f>
        <v xml:space="preserve"> </v>
      </c>
      <c r="Q17" s="50" t="str">
        <f>IFERROR(B17*P17,"")</f>
        <v/>
      </c>
    </row>
    <row r="18" spans="1:17" s="2" customFormat="1" ht="12.75" customHeight="1" thickBot="1">
      <c r="A18" s="34"/>
      <c r="B18" s="35"/>
      <c r="C18" s="35"/>
      <c r="D18" s="256"/>
      <c r="E18" s="257"/>
      <c r="F18" s="35"/>
      <c r="G18" s="35"/>
      <c r="H18" s="294"/>
      <c r="I18" s="295"/>
      <c r="J18" s="36"/>
      <c r="K18" s="36"/>
      <c r="L18" s="36"/>
      <c r="M18" s="37"/>
      <c r="N18" s="38"/>
      <c r="O18" s="38"/>
      <c r="P18" s="89" t="s">
        <v>43</v>
      </c>
      <c r="Q18" s="94">
        <f>SUM(Q5:Q17)</f>
        <v>10227.185735433333</v>
      </c>
    </row>
    <row r="19" spans="1:17" s="2" customFormat="1" ht="12" customHeight="1">
      <c r="D19" s="22"/>
      <c r="E19" s="22"/>
      <c r="J19" s="8"/>
      <c r="K19" s="8"/>
      <c r="L19" s="8"/>
      <c r="M19" s="8"/>
      <c r="N19" s="5"/>
      <c r="O19" s="5"/>
      <c r="P19" s="88"/>
      <c r="Q19" s="95"/>
    </row>
    <row r="20" spans="1:17" s="2" customFormat="1" ht="12" customHeight="1">
      <c r="D20" s="22"/>
      <c r="E20" s="22"/>
      <c r="J20" s="5"/>
      <c r="K20" s="5"/>
      <c r="L20" s="5"/>
      <c r="M20" s="5"/>
      <c r="N20" s="5"/>
      <c r="O20" s="5"/>
      <c r="P20" s="88"/>
      <c r="Q20" s="95"/>
    </row>
    <row r="21" spans="1:17" s="2" customFormat="1" ht="12" customHeight="1">
      <c r="D21" s="22"/>
      <c r="E21" s="22"/>
      <c r="J21" s="5"/>
      <c r="K21" s="5"/>
      <c r="L21" s="5"/>
      <c r="M21" s="5"/>
      <c r="N21" s="5"/>
      <c r="O21" s="5"/>
      <c r="P21" s="88"/>
      <c r="Q21" s="95"/>
    </row>
    <row r="22" spans="1:17" s="2" customFormat="1" ht="12" customHeight="1">
      <c r="D22" s="22"/>
      <c r="E22" s="22"/>
      <c r="J22" s="5"/>
      <c r="K22" s="5"/>
      <c r="L22" s="5"/>
      <c r="M22" s="5"/>
      <c r="N22" s="5"/>
      <c r="O22" s="5"/>
      <c r="P22" s="88"/>
      <c r="Q22" s="95"/>
    </row>
    <row r="23" spans="1:17" s="2" customFormat="1" ht="12" customHeight="1">
      <c r="D23" s="22"/>
      <c r="E23" s="22"/>
      <c r="J23" s="5"/>
      <c r="K23" s="5"/>
      <c r="L23" s="5"/>
      <c r="M23" s="5"/>
      <c r="N23" s="5"/>
      <c r="O23" s="5"/>
      <c r="P23" s="88"/>
      <c r="Q23" s="95"/>
    </row>
    <row r="24" spans="1:17" s="2" customFormat="1" ht="12" customHeight="1">
      <c r="D24" s="22"/>
      <c r="E24" s="22"/>
      <c r="J24" s="5"/>
      <c r="K24" s="5"/>
      <c r="L24" s="5"/>
      <c r="M24" s="5"/>
      <c r="N24" s="5"/>
      <c r="O24" s="5"/>
      <c r="P24" s="88"/>
      <c r="Q24" s="95"/>
    </row>
    <row r="25" spans="1:17" s="2" customFormat="1" ht="12" customHeight="1">
      <c r="D25" s="22"/>
      <c r="E25" s="22"/>
      <c r="J25" s="5"/>
      <c r="K25" s="5"/>
      <c r="L25" s="5"/>
      <c r="M25" s="5"/>
      <c r="N25" s="5"/>
      <c r="O25" s="5"/>
      <c r="P25" s="88"/>
      <c r="Q25" s="95"/>
    </row>
    <row r="26" spans="1:17" s="2" customFormat="1" ht="12" customHeight="1">
      <c r="D26" s="22"/>
      <c r="E26" s="22"/>
      <c r="J26" s="5"/>
      <c r="K26" s="5"/>
      <c r="L26" s="5"/>
      <c r="M26" s="5"/>
      <c r="N26" s="5"/>
      <c r="O26" s="5"/>
      <c r="P26" s="88"/>
      <c r="Q26" s="95"/>
    </row>
    <row r="27" spans="1:17" s="2" customFormat="1" ht="12" customHeight="1">
      <c r="D27" s="22"/>
      <c r="E27" s="22"/>
      <c r="J27" s="5"/>
      <c r="K27" s="5"/>
      <c r="L27" s="5"/>
      <c r="M27" s="5"/>
      <c r="N27" s="5"/>
      <c r="O27" s="5"/>
      <c r="P27" s="88"/>
      <c r="Q27" s="95"/>
    </row>
    <row r="28" spans="1:17" s="2" customFormat="1" ht="12" customHeight="1">
      <c r="D28" s="22"/>
      <c r="E28" s="22"/>
      <c r="J28" s="5"/>
      <c r="K28" s="5"/>
      <c r="L28" s="5"/>
      <c r="M28" s="5"/>
      <c r="N28" s="5"/>
      <c r="O28" s="5"/>
      <c r="P28" s="88"/>
      <c r="Q28" s="95"/>
    </row>
    <row r="29" spans="1:17" s="2" customFormat="1" ht="12" customHeight="1">
      <c r="D29" s="22"/>
      <c r="E29" s="22"/>
      <c r="J29" s="5"/>
      <c r="K29" s="5"/>
      <c r="L29" s="5"/>
      <c r="M29" s="5"/>
      <c r="N29" s="5"/>
      <c r="O29" s="5"/>
      <c r="P29" s="88"/>
      <c r="Q29" s="95"/>
    </row>
    <row r="30" spans="1:17" s="2" customFormat="1" ht="12" customHeight="1">
      <c r="D30" s="22"/>
      <c r="E30" s="22"/>
      <c r="J30" s="5"/>
      <c r="K30" s="5"/>
      <c r="L30" s="5"/>
      <c r="M30" s="5"/>
      <c r="N30" s="5"/>
      <c r="O30" s="5"/>
      <c r="P30" s="88"/>
      <c r="Q30" s="95"/>
    </row>
    <row r="31" spans="1:17" s="2" customFormat="1" ht="12" customHeight="1">
      <c r="D31" s="22"/>
      <c r="E31" s="22"/>
      <c r="J31" s="5"/>
      <c r="K31" s="5"/>
      <c r="L31" s="5"/>
      <c r="M31" s="5"/>
      <c r="N31" s="5"/>
      <c r="O31" s="5"/>
      <c r="P31" s="88"/>
      <c r="Q31" s="95"/>
    </row>
    <row r="32" spans="1:17" s="2" customFormat="1" ht="12" customHeight="1">
      <c r="D32" s="22"/>
      <c r="E32" s="22"/>
      <c r="J32" s="5"/>
      <c r="K32" s="5"/>
      <c r="L32" s="5"/>
      <c r="M32" s="5"/>
      <c r="N32" s="5"/>
      <c r="O32" s="5"/>
      <c r="P32" s="88"/>
      <c r="Q32" s="95"/>
    </row>
    <row r="33" spans="4:17" s="2" customFormat="1" ht="12" customHeight="1">
      <c r="D33" s="22"/>
      <c r="E33" s="22"/>
      <c r="J33" s="5"/>
      <c r="K33" s="5"/>
      <c r="L33" s="5"/>
      <c r="M33" s="5"/>
      <c r="N33" s="5"/>
      <c r="O33" s="5"/>
      <c r="P33" s="88"/>
      <c r="Q33" s="95"/>
    </row>
    <row r="34" spans="4:17" s="2" customFormat="1" ht="12" customHeight="1">
      <c r="D34" s="22"/>
      <c r="E34" s="22"/>
      <c r="J34" s="5"/>
      <c r="K34" s="5"/>
      <c r="L34" s="5"/>
      <c r="M34" s="5"/>
      <c r="N34" s="5"/>
      <c r="O34" s="5"/>
      <c r="P34" s="88"/>
      <c r="Q34" s="95"/>
    </row>
    <row r="35" spans="4:17" s="2" customFormat="1" ht="12" customHeight="1">
      <c r="D35" s="22"/>
      <c r="E35" s="22"/>
      <c r="J35" s="5"/>
      <c r="K35" s="5"/>
      <c r="L35" s="5"/>
      <c r="M35" s="5"/>
      <c r="N35" s="5"/>
      <c r="O35" s="5"/>
      <c r="P35" s="88"/>
      <c r="Q35" s="95"/>
    </row>
    <row r="36" spans="4:17" s="2" customFormat="1" ht="12" customHeight="1">
      <c r="D36" s="22"/>
      <c r="E36" s="22"/>
      <c r="J36" s="5"/>
      <c r="K36" s="5"/>
      <c r="L36" s="5"/>
      <c r="M36" s="5"/>
      <c r="N36" s="5"/>
      <c r="O36" s="5"/>
      <c r="P36" s="88"/>
      <c r="Q36" s="95"/>
    </row>
    <row r="37" spans="4:17" s="2" customFormat="1" ht="12" customHeight="1">
      <c r="D37" s="22"/>
      <c r="E37" s="22"/>
      <c r="J37" s="5"/>
      <c r="K37" s="5"/>
      <c r="L37" s="5"/>
      <c r="M37" s="5"/>
      <c r="N37" s="5"/>
      <c r="O37" s="5"/>
      <c r="P37" s="88"/>
      <c r="Q37" s="95"/>
    </row>
    <row r="38" spans="4:17" s="2" customFormat="1" ht="12" customHeight="1">
      <c r="D38" s="22"/>
      <c r="E38" s="22"/>
      <c r="J38" s="5"/>
      <c r="K38" s="5"/>
      <c r="L38" s="5"/>
      <c r="M38" s="5"/>
      <c r="N38" s="5"/>
      <c r="O38" s="5"/>
      <c r="P38" s="88"/>
      <c r="Q38" s="95"/>
    </row>
    <row r="39" spans="4:17" s="2" customFormat="1" ht="12" customHeight="1">
      <c r="D39" s="22"/>
      <c r="E39" s="22"/>
      <c r="J39" s="5"/>
      <c r="K39" s="5"/>
      <c r="L39" s="5"/>
      <c r="M39" s="5"/>
      <c r="N39" s="5"/>
      <c r="O39" s="5"/>
      <c r="P39" s="88"/>
      <c r="Q39" s="95"/>
    </row>
    <row r="40" spans="4:17" s="2" customFormat="1" ht="12" customHeight="1">
      <c r="D40" s="22"/>
      <c r="E40" s="22"/>
      <c r="J40" s="5"/>
      <c r="K40" s="5"/>
      <c r="L40" s="5"/>
      <c r="M40" s="5"/>
      <c r="N40" s="5"/>
      <c r="O40" s="5"/>
      <c r="P40" s="88"/>
      <c r="Q40" s="95"/>
    </row>
    <row r="41" spans="4:17" s="2" customFormat="1" ht="12" customHeight="1">
      <c r="D41" s="22"/>
      <c r="E41" s="22"/>
      <c r="J41" s="5"/>
      <c r="K41" s="5"/>
      <c r="L41" s="5"/>
      <c r="M41" s="5"/>
      <c r="N41" s="5"/>
      <c r="O41" s="5"/>
      <c r="P41" s="88"/>
      <c r="Q41" s="95"/>
    </row>
    <row r="42" spans="4:17" s="2" customFormat="1" ht="12" customHeight="1">
      <c r="D42" s="22"/>
      <c r="E42" s="22"/>
      <c r="J42" s="5"/>
      <c r="K42" s="5"/>
      <c r="L42" s="5"/>
      <c r="M42" s="5"/>
      <c r="N42" s="5"/>
      <c r="O42" s="5"/>
      <c r="P42" s="88"/>
      <c r="Q42" s="95"/>
    </row>
    <row r="43" spans="4:17" s="2" customFormat="1" ht="12" customHeight="1">
      <c r="D43" s="22"/>
      <c r="E43" s="22"/>
      <c r="J43" s="5"/>
      <c r="K43" s="5"/>
      <c r="L43" s="5"/>
      <c r="M43" s="5"/>
      <c r="N43" s="5"/>
      <c r="O43" s="5"/>
      <c r="P43" s="88"/>
      <c r="Q43" s="95"/>
    </row>
    <row r="44" spans="4:17" s="2" customFormat="1" ht="12" customHeight="1">
      <c r="D44" s="22"/>
      <c r="E44" s="22"/>
      <c r="J44" s="5"/>
      <c r="K44" s="5"/>
      <c r="L44" s="5"/>
      <c r="M44" s="5"/>
      <c r="N44" s="5"/>
      <c r="O44" s="5"/>
      <c r="P44" s="88"/>
      <c r="Q44" s="95"/>
    </row>
    <row r="45" spans="4:17" s="2" customFormat="1" ht="12" customHeight="1">
      <c r="D45" s="22"/>
      <c r="E45" s="22"/>
      <c r="J45" s="5"/>
      <c r="K45" s="5"/>
      <c r="L45" s="5"/>
      <c r="M45" s="5"/>
      <c r="N45" s="5"/>
      <c r="O45" s="5"/>
      <c r="P45" s="88"/>
      <c r="Q45" s="95"/>
    </row>
    <row r="46" spans="4:17" s="2" customFormat="1" ht="12" customHeight="1">
      <c r="D46" s="22"/>
      <c r="E46" s="22"/>
      <c r="J46" s="5"/>
      <c r="K46" s="5"/>
      <c r="L46" s="5"/>
      <c r="M46" s="5"/>
      <c r="N46" s="5"/>
      <c r="O46" s="5"/>
      <c r="P46" s="88"/>
      <c r="Q46" s="95"/>
    </row>
    <row r="47" spans="4:17" s="2" customFormat="1" ht="12" customHeight="1">
      <c r="D47" s="22"/>
      <c r="E47" s="22"/>
      <c r="J47" s="5"/>
      <c r="K47" s="5"/>
      <c r="L47" s="5"/>
      <c r="M47" s="5"/>
      <c r="N47" s="5"/>
      <c r="O47" s="5"/>
      <c r="P47" s="88"/>
      <c r="Q47" s="95"/>
    </row>
    <row r="48" spans="4:17" s="2" customFormat="1" ht="12" customHeight="1">
      <c r="D48" s="22"/>
      <c r="E48" s="22"/>
      <c r="J48" s="5"/>
      <c r="K48" s="5"/>
      <c r="L48" s="5"/>
      <c r="M48" s="5"/>
      <c r="N48" s="5"/>
      <c r="O48" s="5"/>
      <c r="P48" s="88"/>
      <c r="Q48" s="95"/>
    </row>
    <row r="49" spans="1:17" s="2" customFormat="1" ht="12" customHeight="1">
      <c r="D49" s="22"/>
      <c r="E49" s="22"/>
      <c r="J49" s="5"/>
      <c r="K49" s="5"/>
      <c r="L49" s="5"/>
      <c r="M49" s="5"/>
      <c r="N49" s="5"/>
      <c r="O49" s="5"/>
      <c r="P49" s="88"/>
      <c r="Q49" s="95"/>
    </row>
    <row r="50" spans="1:17" s="2" customFormat="1" ht="12" customHeight="1">
      <c r="D50" s="22"/>
      <c r="E50" s="22"/>
      <c r="J50" s="5"/>
      <c r="K50" s="5"/>
      <c r="L50" s="5"/>
      <c r="M50" s="5"/>
      <c r="N50" s="5"/>
      <c r="O50" s="5"/>
      <c r="P50" s="88"/>
      <c r="Q50" s="95"/>
    </row>
    <row r="51" spans="1:17" s="2" customFormat="1" ht="12" customHeight="1">
      <c r="D51" s="22"/>
      <c r="E51" s="22"/>
      <c r="J51" s="5"/>
      <c r="K51" s="5"/>
      <c r="L51" s="5"/>
      <c r="M51" s="5"/>
      <c r="N51" s="5"/>
      <c r="O51" s="5"/>
      <c r="P51" s="88"/>
      <c r="Q51" s="95"/>
    </row>
    <row r="52" spans="1:17" s="2" customFormat="1" ht="12" customHeight="1">
      <c r="D52" s="22"/>
      <c r="E52" s="22"/>
      <c r="J52" s="5"/>
      <c r="K52" s="5"/>
      <c r="L52" s="5"/>
      <c r="M52" s="5"/>
      <c r="N52" s="5"/>
      <c r="O52" s="5"/>
      <c r="P52" s="88"/>
      <c r="Q52" s="95"/>
    </row>
    <row r="53" spans="1:17" s="2" customFormat="1" ht="12" customHeight="1">
      <c r="D53" s="22"/>
      <c r="E53" s="22"/>
      <c r="J53" s="5"/>
      <c r="K53" s="5"/>
      <c r="L53" s="5"/>
      <c r="M53" s="5"/>
      <c r="N53" s="5"/>
      <c r="O53" s="5"/>
      <c r="P53" s="88"/>
      <c r="Q53" s="95"/>
    </row>
    <row r="54" spans="1:17" s="2" customFormat="1" ht="12" customHeight="1">
      <c r="D54" s="22"/>
      <c r="E54" s="22"/>
      <c r="J54" s="5"/>
      <c r="K54" s="5"/>
      <c r="L54" s="5"/>
      <c r="M54" s="5"/>
      <c r="N54" s="5"/>
      <c r="O54" s="5"/>
      <c r="P54" s="88"/>
      <c r="Q54" s="95"/>
    </row>
    <row r="55" spans="1:17" s="2" customFormat="1" ht="12" customHeight="1">
      <c r="D55" s="22"/>
      <c r="E55" s="22"/>
      <c r="J55" s="5"/>
      <c r="K55" s="5"/>
      <c r="L55" s="5"/>
      <c r="M55" s="5"/>
      <c r="N55" s="5"/>
      <c r="O55" s="5"/>
      <c r="P55" s="88"/>
      <c r="Q55" s="95"/>
    </row>
    <row r="56" spans="1:17" s="2" customFormat="1" ht="12" customHeight="1">
      <c r="D56" s="22"/>
      <c r="E56" s="22"/>
      <c r="J56" s="5"/>
      <c r="K56" s="5"/>
      <c r="L56" s="5"/>
      <c r="M56" s="5"/>
      <c r="N56" s="5"/>
      <c r="O56" s="5"/>
      <c r="P56" s="88"/>
      <c r="Q56" s="95"/>
    </row>
    <row r="57" spans="1:17" s="2" customFormat="1" ht="12" customHeight="1">
      <c r="D57" s="22"/>
      <c r="E57" s="22"/>
      <c r="J57" s="5"/>
      <c r="K57" s="5"/>
      <c r="L57" s="5"/>
      <c r="M57" s="5"/>
      <c r="N57" s="5"/>
      <c r="O57" s="5"/>
      <c r="P57" s="88"/>
      <c r="Q57" s="96"/>
    </row>
    <row r="58" spans="1:17" s="2" customFormat="1" ht="12" customHeight="1">
      <c r="D58" s="22"/>
      <c r="E58" s="22"/>
      <c r="J58" s="5"/>
      <c r="K58" s="5"/>
      <c r="L58" s="5"/>
      <c r="M58" s="5"/>
      <c r="N58" s="5"/>
      <c r="O58" s="5"/>
      <c r="P58" s="88"/>
      <c r="Q58" s="96"/>
    </row>
    <row r="59" spans="1:17" s="2" customFormat="1" ht="12" customHeight="1">
      <c r="D59" s="22"/>
      <c r="E59" s="22"/>
      <c r="J59" s="5"/>
      <c r="K59" s="5"/>
      <c r="L59" s="5"/>
      <c r="M59" s="5"/>
      <c r="N59" s="5"/>
      <c r="O59" s="5"/>
      <c r="P59" s="88"/>
      <c r="Q59" s="96"/>
    </row>
    <row r="60" spans="1:17" s="2" customFormat="1" ht="12" customHeight="1">
      <c r="D60" s="22"/>
      <c r="E60" s="22"/>
      <c r="J60" s="5"/>
      <c r="K60" s="5"/>
      <c r="L60" s="5"/>
      <c r="M60" s="5"/>
      <c r="N60" s="5"/>
      <c r="O60" s="5"/>
      <c r="P60" s="88"/>
      <c r="Q60" s="96"/>
    </row>
    <row r="61" spans="1:17" s="2" customFormat="1" ht="12" customHeight="1">
      <c r="A61"/>
      <c r="B61"/>
      <c r="C61"/>
      <c r="D61" s="23"/>
      <c r="E61" s="23"/>
      <c r="F61"/>
      <c r="G61"/>
      <c r="H61"/>
      <c r="I61"/>
      <c r="J61" s="19"/>
      <c r="K61" s="19"/>
      <c r="L61" s="19"/>
      <c r="M61" s="19"/>
      <c r="N61" s="19"/>
      <c r="O61" s="19"/>
      <c r="P61" s="90"/>
      <c r="Q61" s="96"/>
    </row>
    <row r="62" spans="1:17" s="2" customFormat="1" ht="12" customHeight="1">
      <c r="A62"/>
      <c r="B62"/>
      <c r="C62"/>
      <c r="D62" s="23"/>
      <c r="E62" s="23"/>
      <c r="F62"/>
      <c r="G62"/>
      <c r="H62"/>
      <c r="I62"/>
      <c r="J62" s="19"/>
      <c r="K62" s="19"/>
      <c r="L62" s="19"/>
      <c r="M62" s="19"/>
      <c r="N62" s="19"/>
      <c r="O62" s="19"/>
      <c r="P62" s="90"/>
      <c r="Q62" s="96"/>
    </row>
    <row r="63" spans="1:17" s="2" customFormat="1" ht="12" customHeight="1">
      <c r="A63"/>
      <c r="B63"/>
      <c r="C63"/>
      <c r="D63" s="23"/>
      <c r="E63" s="23"/>
      <c r="F63"/>
      <c r="G63"/>
      <c r="H63"/>
      <c r="I63"/>
      <c r="J63" s="19"/>
      <c r="K63" s="19"/>
      <c r="L63" s="19"/>
      <c r="M63" s="19"/>
      <c r="N63" s="19"/>
      <c r="O63" s="19"/>
      <c r="P63" s="90"/>
      <c r="Q63" s="96"/>
    </row>
    <row r="64" spans="1:17" s="2" customFormat="1" ht="12" customHeight="1">
      <c r="A64"/>
      <c r="B64"/>
      <c r="C64"/>
      <c r="D64" s="23"/>
      <c r="E64" s="23"/>
      <c r="F64"/>
      <c r="G64"/>
      <c r="H64"/>
      <c r="I64"/>
      <c r="J64" s="19"/>
      <c r="K64" s="19"/>
      <c r="L64" s="19"/>
      <c r="M64" s="19"/>
      <c r="N64" s="19"/>
      <c r="O64" s="19"/>
      <c r="P64" s="90"/>
      <c r="Q64" s="96"/>
    </row>
    <row r="65" spans="1:17" s="2" customFormat="1" ht="12" customHeight="1">
      <c r="A65"/>
      <c r="B65"/>
      <c r="C65"/>
      <c r="D65" s="23"/>
      <c r="E65" s="23"/>
      <c r="F65"/>
      <c r="G65"/>
      <c r="H65"/>
      <c r="I65"/>
      <c r="J65" s="19"/>
      <c r="K65" s="19"/>
      <c r="L65" s="19"/>
      <c r="M65" s="19"/>
      <c r="N65" s="19"/>
      <c r="O65" s="19"/>
      <c r="P65" s="90"/>
      <c r="Q65" s="96"/>
    </row>
    <row r="66" spans="1:17">
      <c r="Q66" s="96"/>
    </row>
    <row r="67" spans="1:17">
      <c r="Q67" s="96"/>
    </row>
    <row r="68" spans="1:17">
      <c r="Q68" s="96"/>
    </row>
    <row r="69" spans="1:17">
      <c r="Q69" s="96"/>
    </row>
    <row r="70" spans="1:17">
      <c r="Q70" s="96"/>
    </row>
    <row r="71" spans="1:17">
      <c r="Q71" s="96"/>
    </row>
    <row r="72" spans="1:17">
      <c r="Q72" s="96"/>
    </row>
    <row r="73" spans="1:17">
      <c r="Q73" s="96"/>
    </row>
    <row r="74" spans="1:17">
      <c r="Q74" s="96"/>
    </row>
    <row r="75" spans="1:17">
      <c r="Q75" s="96"/>
    </row>
    <row r="76" spans="1:17">
      <c r="Q76" s="96"/>
    </row>
    <row r="77" spans="1:17">
      <c r="Q77" s="96"/>
    </row>
    <row r="78" spans="1:17">
      <c r="Q78" s="96"/>
    </row>
    <row r="79" spans="1:17">
      <c r="Q79" s="96"/>
    </row>
    <row r="80" spans="1:17">
      <c r="Q80" s="96"/>
    </row>
    <row r="81" spans="17:17">
      <c r="Q81" s="96"/>
    </row>
    <row r="82" spans="17:17">
      <c r="Q82" s="96"/>
    </row>
    <row r="83" spans="17:17">
      <c r="Q83" s="96"/>
    </row>
    <row r="84" spans="17:17">
      <c r="Q84" s="96"/>
    </row>
    <row r="85" spans="17:17">
      <c r="Q85" s="96"/>
    </row>
    <row r="122" ht="12" customHeight="1"/>
    <row r="123" ht="12" customHeight="1"/>
    <row r="124" ht="12" customHeight="1"/>
    <row r="125" ht="12" customHeight="1"/>
    <row r="126" ht="12" customHeight="1"/>
    <row r="127" ht="12" customHeight="1"/>
    <row r="128" ht="12" customHeight="1"/>
    <row r="129" ht="12" customHeight="1"/>
    <row r="130" ht="12" customHeight="1"/>
    <row r="131" ht="12" customHeight="1"/>
    <row r="132" ht="12" customHeight="1"/>
    <row r="133" ht="12" customHeight="1"/>
    <row r="134" ht="12" customHeight="1"/>
    <row r="135" ht="12" customHeight="1"/>
    <row r="136" ht="12" customHeight="1"/>
    <row r="137" ht="12" customHeight="1"/>
    <row r="138" ht="12" customHeight="1"/>
    <row r="139" ht="12" customHeight="1"/>
    <row r="140" ht="12" customHeight="1"/>
    <row r="141" ht="12" customHeight="1"/>
    <row r="142" ht="12" customHeight="1"/>
    <row r="143" ht="12" customHeight="1"/>
    <row r="144" ht="12" customHeight="1"/>
    <row r="145" ht="12" customHeight="1"/>
    <row r="146" ht="12" customHeight="1"/>
    <row r="147" ht="12" customHeight="1"/>
    <row r="148" ht="12" customHeight="1"/>
    <row r="149" ht="12" customHeight="1"/>
    <row r="150" ht="12" customHeight="1"/>
    <row r="151" ht="12" customHeight="1"/>
    <row r="152" ht="12" customHeight="1"/>
    <row r="153" ht="12" customHeight="1"/>
    <row r="154" ht="12" customHeight="1"/>
    <row r="155" ht="12" customHeight="1"/>
    <row r="156" ht="12" customHeight="1"/>
    <row r="157" ht="12" customHeight="1"/>
    <row r="158" ht="12" customHeight="1"/>
    <row r="159" ht="12" customHeight="1"/>
    <row r="160" ht="12" customHeight="1"/>
    <row r="161" ht="12" customHeight="1"/>
    <row r="162" ht="12" customHeight="1"/>
    <row r="163" ht="12" customHeight="1"/>
    <row r="164" ht="12" customHeight="1"/>
    <row r="165" ht="12" customHeight="1"/>
    <row r="166" ht="12" customHeight="1"/>
    <row r="167" ht="12" customHeight="1"/>
    <row r="168" ht="12" customHeight="1"/>
    <row r="169" ht="12" customHeight="1"/>
    <row r="170" ht="12" customHeight="1"/>
    <row r="171" ht="12" customHeight="1"/>
  </sheetData>
  <mergeCells count="27">
    <mergeCell ref="D18:E18"/>
    <mergeCell ref="H18:I18"/>
    <mergeCell ref="D13:E13"/>
    <mergeCell ref="H13:I13"/>
    <mergeCell ref="D14:E14"/>
    <mergeCell ref="H15:I15"/>
    <mergeCell ref="D16:E16"/>
    <mergeCell ref="D15:E15"/>
    <mergeCell ref="D17:E17"/>
    <mergeCell ref="D6:E6"/>
    <mergeCell ref="H6:I6"/>
    <mergeCell ref="D12:E12"/>
    <mergeCell ref="D11:E11"/>
    <mergeCell ref="H11:I11"/>
    <mergeCell ref="D7:E7"/>
    <mergeCell ref="H7:I7"/>
    <mergeCell ref="D8:E8"/>
    <mergeCell ref="H8:I8"/>
    <mergeCell ref="D9:E9"/>
    <mergeCell ref="H9:I9"/>
    <mergeCell ref="D10:E10"/>
    <mergeCell ref="H10:I10"/>
    <mergeCell ref="D1:E1"/>
    <mergeCell ref="D4:E4"/>
    <mergeCell ref="H4:I4"/>
    <mergeCell ref="D5:E5"/>
    <mergeCell ref="H5:I5"/>
  </mergeCells>
  <conditionalFormatting sqref="M12">
    <cfRule type="cellIs" dxfId="324" priority="3" stopIfTrue="1" operator="lessThanOrEqual">
      <formula>$L12</formula>
    </cfRule>
    <cfRule type="cellIs" dxfId="323" priority="4" operator="greaterThan">
      <formula>L12</formula>
    </cfRule>
  </conditionalFormatting>
  <conditionalFormatting sqref="M14 M16:M17">
    <cfRule type="cellIs" dxfId="322" priority="5" stopIfTrue="1" operator="lessThanOrEqual">
      <formula>$L14</formula>
    </cfRule>
    <cfRule type="cellIs" dxfId="321" priority="6" operator="greaterThan">
      <formula>L14</formula>
    </cfRule>
  </conditionalFormatting>
  <pageMargins left="0.7" right="0.7" top="0.75" bottom="0.75" header="0.3" footer="0.3"/>
  <pageSetup paperSize="3" fitToHeight="0" orientation="landscape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 xr:uid="{9CC92602-75ED-485B-97FB-527F286ACCB6}">
          <x14:formula1>
            <xm:f>Bolts!$A:$A</xm:f>
          </x14:formula1>
          <xm:sqref>C16:C17</xm:sqref>
        </x14:dataValidation>
        <x14:dataValidation type="list" allowBlank="1" showInputMessage="1" showErrorMessage="1" xr:uid="{F9871D00-8001-416D-B8FF-6E6CF33C0B43}">
          <x14:formula1>
            <xm:f>Assemblies!$E:$E</xm:f>
          </x14:formula1>
          <xm:sqref>C5:C10</xm:sqref>
        </x14:dataValidation>
        <x14:dataValidation type="list" allowBlank="1" showInputMessage="1" showErrorMessage="1" xr:uid="{620EF268-2888-423B-B526-5C7A846E9D30}">
          <x14:formula1>
            <xm:f>Purchased!$A:$A</xm:f>
          </x14:formula1>
          <xm:sqref>C14</xm:sqref>
        </x14:dataValidation>
        <x14:dataValidation type="list" allowBlank="1" showInputMessage="1" showErrorMessage="1" xr:uid="{9A24DC90-D67B-4727-95F4-7ED21DAE373E}">
          <x14:formula1>
            <xm:f>Machined!$C:$C</xm:f>
          </x14:formula1>
          <xm:sqref>C12</xm:sqref>
        </x14:dataValidation>
      </x14:dataValidations>
    </ext>
  </extLst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88DCBB-1C06-4EB1-BB0F-513CA03822E6}">
  <sheetPr codeName="Sheet93">
    <tabColor theme="3" tint="0.79998168889431442"/>
    <pageSetUpPr fitToPage="1"/>
  </sheetPr>
  <dimension ref="A1:Q180"/>
  <sheetViews>
    <sheetView zoomScaleNormal="100" workbookViewId="0">
      <selection activeCell="D25" sqref="D25:Q25"/>
    </sheetView>
  </sheetViews>
  <sheetFormatPr defaultColWidth="9.140625" defaultRowHeight="15"/>
  <cols>
    <col min="1" max="1" width="5.7109375" customWidth="1"/>
    <col min="2" max="2" width="6" bestFit="1" customWidth="1"/>
    <col min="3" max="3" width="30.7109375" customWidth="1"/>
    <col min="4" max="5" width="20.7109375" style="23" customWidth="1"/>
    <col min="6" max="6" width="16.85546875" bestFit="1" customWidth="1"/>
    <col min="7" max="7" width="9.7109375" customWidth="1"/>
    <col min="8" max="8" width="8.7109375" customWidth="1"/>
    <col min="9" max="9" width="20.7109375" customWidth="1"/>
    <col min="10" max="13" width="11.7109375" style="19" customWidth="1"/>
    <col min="14" max="14" width="11.85546875" style="19" bestFit="1" customWidth="1"/>
    <col min="15" max="15" width="7.7109375" style="19" customWidth="1"/>
    <col min="16" max="16" width="10.7109375" style="90" customWidth="1"/>
    <col min="17" max="17" width="10.7109375" style="97" customWidth="1"/>
  </cols>
  <sheetData>
    <row r="1" spans="1:17" s="55" customFormat="1" ht="12" customHeight="1">
      <c r="A1" s="68" t="s">
        <v>0</v>
      </c>
      <c r="B1" s="69"/>
      <c r="C1" s="69"/>
      <c r="D1" s="262" t="s">
        <v>1</v>
      </c>
      <c r="E1" s="263"/>
      <c r="F1" s="70"/>
      <c r="G1" s="69"/>
      <c r="H1" s="70"/>
      <c r="I1" s="71"/>
      <c r="J1" s="72"/>
      <c r="K1" s="72"/>
      <c r="L1" s="72"/>
      <c r="M1" s="72"/>
      <c r="N1" s="72"/>
      <c r="O1" s="72"/>
      <c r="P1" s="85"/>
      <c r="Q1" s="91"/>
    </row>
    <row r="2" spans="1:17" s="55" customFormat="1" ht="12" customHeight="1">
      <c r="A2" s="74" t="s">
        <v>48</v>
      </c>
      <c r="B2" s="58"/>
      <c r="C2" s="57" t="e">
        <f ca="1">VLOOKUP(E3,Assemblies!B:F,4,0)</f>
        <v>#VALUE!</v>
      </c>
      <c r="D2" s="75" t="s">
        <v>3</v>
      </c>
      <c r="E2" s="76" t="e">
        <f ca="1">'GF12'!E2</f>
        <v>#VALUE!</v>
      </c>
      <c r="F2" s="77" t="s">
        <v>4</v>
      </c>
      <c r="G2" s="58" t="str">
        <f>'GF12'!G2</f>
        <v>GH</v>
      </c>
      <c r="H2" s="77" t="s">
        <v>6</v>
      </c>
      <c r="I2" s="59">
        <f>'GF12'!I2</f>
        <v>44775</v>
      </c>
      <c r="J2" s="39"/>
      <c r="K2" s="40" t="s">
        <v>49</v>
      </c>
      <c r="L2" s="41" t="e">
        <f ca="1">VLOOKUP(C2,Assemblies!E:G,3,0)</f>
        <v>#VALUE!</v>
      </c>
      <c r="M2" s="78"/>
      <c r="N2" s="78"/>
      <c r="O2" s="78"/>
      <c r="P2" s="86"/>
      <c r="Q2" s="92"/>
    </row>
    <row r="3" spans="1:17" s="55" customFormat="1" ht="12" customHeight="1" thickBot="1">
      <c r="A3" s="74" t="s">
        <v>7</v>
      </c>
      <c r="B3" s="58"/>
      <c r="C3" s="57" t="e">
        <f ca="1">VLOOKUP(E3,Assemblies!B:F,5,0)</f>
        <v>#VALUE!</v>
      </c>
      <c r="D3" s="75" t="s">
        <v>50</v>
      </c>
      <c r="E3" s="76" t="e">
        <f ca="1">MID(CELL("filename",A1),FIND("]",CELL("filename",A1))+1,256)</f>
        <v>#VALUE!</v>
      </c>
      <c r="F3" s="77" t="s">
        <v>11</v>
      </c>
      <c r="G3" s="58" t="str">
        <f>'GF12'!G3</f>
        <v>GH</v>
      </c>
      <c r="H3" s="77" t="s">
        <v>6</v>
      </c>
      <c r="I3" s="59">
        <f>'GF12'!I3</f>
        <v>44775</v>
      </c>
      <c r="J3" s="78"/>
      <c r="K3" s="78"/>
      <c r="L3" s="78"/>
      <c r="M3" s="78"/>
      <c r="N3" s="78"/>
      <c r="O3" s="78"/>
      <c r="P3" s="86"/>
      <c r="Q3" s="92"/>
    </row>
    <row r="4" spans="1:17" s="56" customFormat="1" ht="12.75" customHeight="1" thickBot="1">
      <c r="A4" s="80" t="s">
        <v>12</v>
      </c>
      <c r="B4" s="81" t="s">
        <v>13</v>
      </c>
      <c r="C4" s="81" t="s">
        <v>14</v>
      </c>
      <c r="D4" s="270" t="s">
        <v>15</v>
      </c>
      <c r="E4" s="271"/>
      <c r="F4" s="104" t="s">
        <v>16</v>
      </c>
      <c r="G4" s="81" t="s">
        <v>17</v>
      </c>
      <c r="H4" s="260" t="s">
        <v>18</v>
      </c>
      <c r="I4" s="261"/>
      <c r="J4" s="81" t="s">
        <v>51</v>
      </c>
      <c r="K4" s="81" t="s">
        <v>20</v>
      </c>
      <c r="L4" s="81" t="s">
        <v>21</v>
      </c>
      <c r="M4" s="81" t="s">
        <v>52</v>
      </c>
      <c r="N4" s="81" t="s">
        <v>22</v>
      </c>
      <c r="O4" s="81" t="s">
        <v>53</v>
      </c>
      <c r="P4" s="107" t="s">
        <v>26</v>
      </c>
      <c r="Q4" s="82" t="s">
        <v>27</v>
      </c>
    </row>
    <row r="5" spans="1:17" s="2" customFormat="1" ht="12.75" customHeight="1">
      <c r="A5" s="127">
        <v>1</v>
      </c>
      <c r="B5" s="21">
        <v>1</v>
      </c>
      <c r="C5" s="108" t="s">
        <v>1055</v>
      </c>
      <c r="D5" s="277" t="str">
        <f>VLOOKUP(C5,Machined!C:Q,2,0)</f>
        <v>SIDE SEAL CRANK SHAFT</v>
      </c>
      <c r="E5" s="278"/>
      <c r="F5" s="131" t="str">
        <f>VLOOKUP(C5,Machined!C:R,7,0)</f>
        <v>303 SS - TG&amp;P</v>
      </c>
      <c r="G5" s="131" t="str">
        <f>VLOOKUP(C5,Machined!C:R,10,0)</f>
        <v>ALEXANDRIA, Nuline</v>
      </c>
      <c r="H5" s="131" t="str">
        <f>VLOOKUP(C5,Machined!C:R,11,0)</f>
        <v xml:space="preserve">  </v>
      </c>
      <c r="I5" s="131"/>
      <c r="J5" s="42" t="str">
        <f>VLOOKUP(C5,Machined!C:R,12,0)</f>
        <v>N/A</v>
      </c>
      <c r="K5" s="42" t="str">
        <f>VLOOKUP(C5,Machined!C:R,13,0)</f>
        <v>N/A</v>
      </c>
      <c r="L5" s="42" t="str">
        <f>VLOOKUP(C5,Machined!C:R,14,0)</f>
        <v>N/A</v>
      </c>
      <c r="M5" s="42" t="str">
        <f>VLOOKUP(C5,Machined!C:R,15,0)</f>
        <v>N/A</v>
      </c>
      <c r="N5" s="43">
        <f>VLOOKUP(C5,Machined!C:R,16,0)</f>
        <v>55018</v>
      </c>
      <c r="O5" s="43" t="e">
        <f t="shared" ref="O5:O9" ca="1" si="0">B5*$L$2</f>
        <v>#VALUE!</v>
      </c>
      <c r="P5" s="47">
        <f>IFERROR(VLOOKUP(C5,Machined!C:F,3,0),"")</f>
        <v>53.79</v>
      </c>
      <c r="Q5" s="48">
        <f t="shared" ref="Q5:Q9" si="1">IFERROR(B5*P5,"")</f>
        <v>53.79</v>
      </c>
    </row>
    <row r="6" spans="1:17" s="2" customFormat="1" ht="12.75" customHeight="1">
      <c r="A6" s="127">
        <v>2</v>
      </c>
      <c r="B6" s="21">
        <v>1</v>
      </c>
      <c r="C6" s="108" t="s">
        <v>1056</v>
      </c>
      <c r="D6" s="277" t="str">
        <f>VLOOKUP(C6,Machined!C:Q,2,0)</f>
        <v>SEAL BAR GEARBOX PLATE</v>
      </c>
      <c r="E6" s="278"/>
      <c r="F6" s="131" t="str">
        <f>VLOOKUP(C6,Machined!C:R,7,0)</f>
        <v>6061-T6 Alum</v>
      </c>
      <c r="G6" s="131" t="str">
        <f>VLOOKUP(C6,Machined!C:R,10,0)</f>
        <v>FRONTIER</v>
      </c>
      <c r="H6" s="131" t="str">
        <f>VLOOKUP(C6,Machined!C:R,11,0)</f>
        <v xml:space="preserve">  </v>
      </c>
      <c r="I6" s="131"/>
      <c r="J6" s="42">
        <f>VLOOKUP(C6,Machined!C:R,12,0)</f>
        <v>45139</v>
      </c>
      <c r="K6" s="42">
        <f>VLOOKUP(C6,Machined!C:R,13,0)</f>
        <v>45140</v>
      </c>
      <c r="L6" s="42">
        <f>VLOOKUP(C6,Machined!C:R,14,0)</f>
        <v>45170</v>
      </c>
      <c r="M6" s="42">
        <f>VLOOKUP(C6,Machined!C:R,15,0)</f>
        <v>45170</v>
      </c>
      <c r="N6" s="43">
        <f>VLOOKUP(C6,Machined!C:R,16,0)</f>
        <v>55025</v>
      </c>
      <c r="O6" s="43" t="e">
        <f t="shared" ca="1" si="0"/>
        <v>#VALUE!</v>
      </c>
      <c r="P6" s="47">
        <f>IFERROR(VLOOKUP(C6,Machined!C:F,3,0),"")</f>
        <v>0</v>
      </c>
      <c r="Q6" s="48">
        <f t="shared" si="1"/>
        <v>0</v>
      </c>
    </row>
    <row r="7" spans="1:17" s="2" customFormat="1" ht="12.75" customHeight="1">
      <c r="A7" s="127">
        <v>3</v>
      </c>
      <c r="B7" s="21">
        <v>2</v>
      </c>
      <c r="C7" s="108" t="s">
        <v>1057</v>
      </c>
      <c r="D7" s="277" t="str">
        <f>VLOOKUP(C7,Machined!C:Q,2,0)</f>
        <v>SMALL GEARBOX OFFSET BLOCK</v>
      </c>
      <c r="E7" s="278"/>
      <c r="F7" s="131" t="str">
        <f>VLOOKUP(C7,Machined!C:R,7,0)</f>
        <v>6061-T6 Alum</v>
      </c>
      <c r="G7" s="131" t="str">
        <f>VLOOKUP(C7,Machined!C:R,10,0)</f>
        <v>FRONTIER</v>
      </c>
      <c r="H7" s="131" t="str">
        <f>VLOOKUP(C7,Machined!C:R,11,0)</f>
        <v xml:space="preserve">  </v>
      </c>
      <c r="I7" s="131"/>
      <c r="J7" s="42">
        <f>VLOOKUP(C7,Machined!C:R,12,0)</f>
        <v>45139</v>
      </c>
      <c r="K7" s="42">
        <f>VLOOKUP(C7,Machined!C:R,13,0)</f>
        <v>45140</v>
      </c>
      <c r="L7" s="42">
        <f>VLOOKUP(C7,Machined!C:R,14,0)</f>
        <v>45170</v>
      </c>
      <c r="M7" s="42">
        <f>VLOOKUP(C7,Machined!C:R,15,0)</f>
        <v>45170</v>
      </c>
      <c r="N7" s="43">
        <f>VLOOKUP(C7,Machined!C:R,16,0)</f>
        <v>55025</v>
      </c>
      <c r="O7" s="43" t="e">
        <f t="shared" ca="1" si="0"/>
        <v>#VALUE!</v>
      </c>
      <c r="P7" s="47">
        <f>IFERROR(VLOOKUP(C7,Machined!C:F,3,0),"")</f>
        <v>0</v>
      </c>
      <c r="Q7" s="48">
        <f t="shared" si="1"/>
        <v>0</v>
      </c>
    </row>
    <row r="8" spans="1:17" s="2" customFormat="1" ht="12.75" customHeight="1">
      <c r="A8" s="127">
        <v>4</v>
      </c>
      <c r="B8" s="21">
        <v>1</v>
      </c>
      <c r="C8" s="108" t="s">
        <v>1058</v>
      </c>
      <c r="D8" s="277" t="str">
        <f>VLOOKUP(C8,Machined!C:Q,2,0)</f>
        <v>LARGE GEARBOX OFFSET BLOCK</v>
      </c>
      <c r="E8" s="278"/>
      <c r="F8" s="131" t="str">
        <f>VLOOKUP(C8,Machined!C:R,7,0)</f>
        <v>6061-T6 Alum</v>
      </c>
      <c r="G8" s="131" t="str">
        <f>VLOOKUP(C8,Machined!C:R,10,0)</f>
        <v>FRONTIER</v>
      </c>
      <c r="H8" s="131" t="str">
        <f>VLOOKUP(C8,Machined!C:R,11,0)</f>
        <v xml:space="preserve">  </v>
      </c>
      <c r="I8" s="131"/>
      <c r="J8" s="42">
        <f>VLOOKUP(C8,Machined!C:R,12,0)</f>
        <v>45139</v>
      </c>
      <c r="K8" s="42">
        <f>VLOOKUP(C8,Machined!C:R,13,0)</f>
        <v>45140</v>
      </c>
      <c r="L8" s="42">
        <f>VLOOKUP(C8,Machined!C:R,14,0)</f>
        <v>45170</v>
      </c>
      <c r="M8" s="42">
        <f>VLOOKUP(C8,Machined!C:R,15,0)</f>
        <v>45170</v>
      </c>
      <c r="N8" s="43">
        <f>VLOOKUP(C8,Machined!C:R,16,0)</f>
        <v>55025</v>
      </c>
      <c r="O8" s="43" t="e">
        <f t="shared" ca="1" si="0"/>
        <v>#VALUE!</v>
      </c>
      <c r="P8" s="47">
        <f>IFERROR(VLOOKUP(C8,Machined!C:F,3,0),"")</f>
        <v>0</v>
      </c>
      <c r="Q8" s="48">
        <f t="shared" si="1"/>
        <v>0</v>
      </c>
    </row>
    <row r="9" spans="1:17" s="2" customFormat="1" ht="12.75" customHeight="1">
      <c r="A9" s="127">
        <v>5</v>
      </c>
      <c r="B9" s="21">
        <v>2</v>
      </c>
      <c r="C9" s="108" t="s">
        <v>1059</v>
      </c>
      <c r="D9" s="277" t="str">
        <f>VLOOKUP(C9,Machined!C:Q,2,0)</f>
        <v>CRANKSHAFT BEARING MOUNT PLATE</v>
      </c>
      <c r="E9" s="278"/>
      <c r="F9" s="131" t="str">
        <f>VLOOKUP(C9,Machined!C:R,7,0)</f>
        <v>6061-T6 Alum</v>
      </c>
      <c r="G9" s="131" t="str">
        <f>VLOOKUP(C9,Machined!C:R,10,0)</f>
        <v>FRONTIER</v>
      </c>
      <c r="H9" s="131" t="str">
        <f>VLOOKUP(C9,Machined!C:R,11,0)</f>
        <v xml:space="preserve">  </v>
      </c>
      <c r="I9" s="131"/>
      <c r="J9" s="42">
        <f>VLOOKUP(C9,Machined!C:R,12,0)</f>
        <v>45139</v>
      </c>
      <c r="K9" s="42">
        <f>VLOOKUP(C9,Machined!C:R,13,0)</f>
        <v>45140</v>
      </c>
      <c r="L9" s="42">
        <f>VLOOKUP(C9,Machined!C:R,14,0)</f>
        <v>45170</v>
      </c>
      <c r="M9" s="42">
        <f>VLOOKUP(C9,Machined!C:R,15,0)</f>
        <v>45170</v>
      </c>
      <c r="N9" s="43">
        <f>VLOOKUP(C9,Machined!C:R,16,0)</f>
        <v>55025</v>
      </c>
      <c r="O9" s="43" t="e">
        <f t="shared" ca="1" si="0"/>
        <v>#VALUE!</v>
      </c>
      <c r="P9" s="47">
        <f>IFERROR(VLOOKUP(C9,Machined!C:F,3,0),"")</f>
        <v>0</v>
      </c>
      <c r="Q9" s="48">
        <f t="shared" si="1"/>
        <v>0</v>
      </c>
    </row>
    <row r="10" spans="1:17" s="2" customFormat="1" ht="12.75" customHeight="1">
      <c r="A10" s="143"/>
      <c r="B10" s="26"/>
      <c r="C10" s="26"/>
      <c r="D10" s="272"/>
      <c r="E10" s="273"/>
      <c r="F10" s="26"/>
      <c r="G10" s="26"/>
      <c r="H10" s="274"/>
      <c r="I10" s="275"/>
      <c r="J10" s="27"/>
      <c r="K10" s="27"/>
      <c r="L10" s="27"/>
      <c r="M10" s="28"/>
      <c r="N10" s="29"/>
      <c r="O10" s="29"/>
      <c r="P10" s="141"/>
      <c r="Q10" s="142"/>
    </row>
    <row r="11" spans="1:17" s="2" customFormat="1" ht="12.75" customHeight="1">
      <c r="A11" s="4">
        <v>301</v>
      </c>
      <c r="B11" s="2">
        <v>2</v>
      </c>
      <c r="C11" s="114" t="s">
        <v>1060</v>
      </c>
      <c r="D11" s="268" t="str">
        <f>VLOOKUP(C11,Purchased!A:B,2,0)</f>
        <v>Mounted Steel Ball Bearing with Cast Iron Housing for 35 mm Shaft Diameter, with Set Screw</v>
      </c>
      <c r="E11" s="269"/>
      <c r="F11" s="112" t="str">
        <f>VLOOKUP(C11,Purchased!A:Q,9,0)</f>
        <v>MOTION</v>
      </c>
      <c r="G11" s="112" t="str">
        <f>VLOOKUP(C11,Purchased!A:Q,10,0)</f>
        <v>MOTION</v>
      </c>
      <c r="H11" s="112" t="str">
        <f>VLOOKUP(C11,Purchased!A:Q,12,0)</f>
        <v>MCM=7835T54</v>
      </c>
      <c r="I11" s="113"/>
      <c r="J11" s="44" t="str">
        <f>VLOOKUP(C11,Purchased!A:Q,13,0)</f>
        <v>N/A</v>
      </c>
      <c r="K11" s="44">
        <f>VLOOKUP(C11,Purchased!A:Q,14,0)</f>
        <v>45161</v>
      </c>
      <c r="L11" s="44">
        <f>VLOOKUP(C11,Purchased!A:Q,15,0)</f>
        <v>45191</v>
      </c>
      <c r="M11" s="44">
        <f>VLOOKUP(C11,Purchased!A:Q,16,0)</f>
        <v>45191</v>
      </c>
      <c r="N11" s="45">
        <f>VLOOKUP(C11,Purchased!A:Q,17,0)</f>
        <v>55079</v>
      </c>
      <c r="O11" s="45" t="e">
        <f t="shared" ref="O11:O17" ca="1" si="2">B11*$L$2</f>
        <v>#VALUE!</v>
      </c>
      <c r="P11" s="49">
        <f>IFERROR(VLOOKUP(C11,Purchased!A:E,3,FALSE),"")</f>
        <v>41.75</v>
      </c>
      <c r="Q11" s="50">
        <f t="shared" ref="Q11:Q17" si="3">IFERROR(B11*P11,"")</f>
        <v>83.5</v>
      </c>
    </row>
    <row r="12" spans="1:17" s="2" customFormat="1" ht="12" customHeight="1">
      <c r="A12" s="4">
        <f t="shared" ref="A12:A17" si="4">A11+1</f>
        <v>302</v>
      </c>
      <c r="B12" s="2">
        <v>16</v>
      </c>
      <c r="C12" s="114" t="s">
        <v>256</v>
      </c>
      <c r="D12" s="268" t="str">
        <f>VLOOKUP(C12,Purchased!A:B,2,0)</f>
        <v>BRX GOTO T-NUT 10 M8</v>
      </c>
      <c r="E12" s="269"/>
      <c r="F12" s="112" t="str">
        <f>VLOOKUP(C12,Purchased!A:Q,9,0)</f>
        <v>BRX</v>
      </c>
      <c r="G12" s="112" t="str">
        <f>VLOOKUP(C12,Purchased!A:Q,10,0)</f>
        <v>AAP</v>
      </c>
      <c r="H12" s="112" t="str">
        <f>VLOOKUP(C12,Purchased!A:Q,12,0)</f>
        <v xml:space="preserve">  </v>
      </c>
      <c r="I12" s="113"/>
      <c r="J12" s="44">
        <f>VLOOKUP(C12,Purchased!A:Q,13,0)</f>
        <v>45104</v>
      </c>
      <c r="K12" s="44">
        <f>VLOOKUP(C12,Purchased!A:Q,14,0)</f>
        <v>45105</v>
      </c>
      <c r="L12" s="44">
        <f>VLOOKUP(C12,Purchased!A:Q,15,0)</f>
        <v>45133</v>
      </c>
      <c r="M12" s="44">
        <f>VLOOKUP(C12,Purchased!A:Q,16,0)</f>
        <v>45133</v>
      </c>
      <c r="N12" s="45" t="str">
        <f>VLOOKUP(C12,Purchased!A:Q,17,0)</f>
        <v>54968, 55147</v>
      </c>
      <c r="O12" s="45" t="e">
        <f t="shared" ca="1" si="2"/>
        <v>#VALUE!</v>
      </c>
      <c r="P12" s="49">
        <f>IFERROR(VLOOKUP(C12,Purchased!A:E,3,FALSE),"")</f>
        <v>0.64290000000000003</v>
      </c>
      <c r="Q12" s="50">
        <f t="shared" si="3"/>
        <v>10.2864</v>
      </c>
    </row>
    <row r="13" spans="1:17" s="2" customFormat="1" ht="12" customHeight="1">
      <c r="A13" s="4">
        <f t="shared" si="4"/>
        <v>303</v>
      </c>
      <c r="B13" s="2">
        <v>1</v>
      </c>
      <c r="C13" s="114" t="s">
        <v>1061</v>
      </c>
      <c r="D13" s="268" t="str">
        <f>VLOOKUP(C13,Purchased!A:B,2,0)</f>
        <v>BRC MS2N06-D0BNN-CMSK2-NNNNN-NN Servo Motor</v>
      </c>
      <c r="E13" s="269"/>
      <c r="F13" s="112" t="str">
        <f>VLOOKUP(C13,Purchased!A:Q,9,0)</f>
        <v>BRC</v>
      </c>
      <c r="G13" s="112" t="str">
        <f>VLOOKUP(C13,Purchased!A:Q,10,0)</f>
        <v>AAP</v>
      </c>
      <c r="H13" s="112" t="str">
        <f>VLOOKUP(C13,Purchased!A:Q,12,0)</f>
        <v xml:space="preserve"> </v>
      </c>
      <c r="I13" s="113"/>
      <c r="J13" s="44" t="str">
        <f>VLOOKUP(C13,Purchased!A:Q,13,0)</f>
        <v>N/A</v>
      </c>
      <c r="K13" s="44">
        <f>VLOOKUP(C13,Purchased!A:Q,14,0)</f>
        <v>44881</v>
      </c>
      <c r="L13" s="44">
        <f>VLOOKUP(C13,Purchased!A:Q,15,0)</f>
        <v>44986</v>
      </c>
      <c r="M13" s="44">
        <f>VLOOKUP(C13,Purchased!A:Q,16,0)</f>
        <v>44986</v>
      </c>
      <c r="N13" s="45">
        <f>VLOOKUP(C13,Purchased!A:Q,17,0)</f>
        <v>54563</v>
      </c>
      <c r="O13" s="45" t="e">
        <f t="shared" ca="1" si="2"/>
        <v>#VALUE!</v>
      </c>
      <c r="P13" s="49">
        <f>IFERROR(VLOOKUP(C13,Purchased!A:E,3,FALSE),"")</f>
        <v>2414.9888000000001</v>
      </c>
      <c r="Q13" s="50">
        <f t="shared" si="3"/>
        <v>2414.9888000000001</v>
      </c>
    </row>
    <row r="14" spans="1:17" s="2" customFormat="1" ht="12" customHeight="1">
      <c r="A14" s="4">
        <f t="shared" si="4"/>
        <v>304</v>
      </c>
      <c r="B14" s="2">
        <v>1</v>
      </c>
      <c r="C14" s="114" t="s">
        <v>1098</v>
      </c>
      <c r="D14" s="268" t="str">
        <f>VLOOKUP(C14,Purchased!A:B,2,0)</f>
        <v>STOBER K302SG0200ME20 GEARBOX</v>
      </c>
      <c r="E14" s="269"/>
      <c r="F14" s="112" t="str">
        <f>VLOOKUP(C14,Purchased!A:Q,9,0)</f>
        <v>STOBER</v>
      </c>
      <c r="G14" s="112" t="str">
        <f>VLOOKUP(C14,Purchased!A:Q,10,0)</f>
        <v>AAP</v>
      </c>
      <c r="H14" s="112" t="str">
        <f>VLOOKUP(C14,Purchased!A:Q,12,0)</f>
        <v xml:space="preserve"> </v>
      </c>
      <c r="I14" s="113"/>
      <c r="J14" s="44" t="str">
        <f>VLOOKUP(C14,Purchased!A:Q,13,0)</f>
        <v>N/A</v>
      </c>
      <c r="K14" s="44">
        <f>VLOOKUP(C14,Purchased!A:Q,14,0)</f>
        <v>45096</v>
      </c>
      <c r="L14" s="44">
        <f>VLOOKUP(C14,Purchased!A:Q,15,0)</f>
        <v>45110</v>
      </c>
      <c r="M14" s="44">
        <f>VLOOKUP(C14,Purchased!A:Q,16,0)</f>
        <v>45110</v>
      </c>
      <c r="N14" s="45">
        <f>VLOOKUP(C14,Purchased!A:Q,17,0)</f>
        <v>54937</v>
      </c>
      <c r="O14" s="45" t="e">
        <f t="shared" ca="1" si="2"/>
        <v>#VALUE!</v>
      </c>
      <c r="P14" s="49">
        <f>IFERROR(VLOOKUP(C14,Purchased!A:E,3,FALSE),"")</f>
        <v>2926.1097</v>
      </c>
      <c r="Q14" s="50">
        <f t="shared" si="3"/>
        <v>2926.1097</v>
      </c>
    </row>
    <row r="15" spans="1:17" s="2" customFormat="1" ht="12" customHeight="1">
      <c r="A15" s="4">
        <f t="shared" si="4"/>
        <v>305</v>
      </c>
      <c r="B15" s="2">
        <v>2</v>
      </c>
      <c r="C15" s="114" t="s">
        <v>1063</v>
      </c>
      <c r="D15" s="268" t="str">
        <f>VLOOKUP(C15,Purchased!A:B,2,0)</f>
        <v>Rounded Machine Key 316 Stainless Steel, 7 mm x 8 mm, 35 mm Long</v>
      </c>
      <c r="E15" s="269"/>
      <c r="F15" s="112" t="str">
        <f>VLOOKUP(C15,Purchased!A:Q,9,0)</f>
        <v>MCM</v>
      </c>
      <c r="G15" s="112" t="str">
        <f>VLOOKUP(C15,Purchased!A:Q,10,0)</f>
        <v>MCM</v>
      </c>
      <c r="H15" s="112" t="str">
        <f>VLOOKUP(C15,Purchased!A:Q,12,0)</f>
        <v xml:space="preserve"> </v>
      </c>
      <c r="I15" s="113"/>
      <c r="J15" s="44" t="str">
        <f>VLOOKUP(C15,Purchased!A:Q,13,0)</f>
        <v>N/A</v>
      </c>
      <c r="K15" s="44">
        <f>VLOOKUP(C15,Purchased!A:Q,14,0)</f>
        <v>45162</v>
      </c>
      <c r="L15" s="44">
        <f>VLOOKUP(C15,Purchased!A:Q,15,0)</f>
        <v>45184</v>
      </c>
      <c r="M15" s="44">
        <f>VLOOKUP(C15,Purchased!A:Q,16,0)</f>
        <v>45166</v>
      </c>
      <c r="N15" s="45">
        <f>VLOOKUP(C15,Purchased!A:Q,17,0)</f>
        <v>55087</v>
      </c>
      <c r="O15" s="45" t="e">
        <f t="shared" ca="1" si="2"/>
        <v>#VALUE!</v>
      </c>
      <c r="P15" s="49">
        <f>IFERROR(VLOOKUP(C15,Purchased!A:E,3,FALSE),"")</f>
        <v>6.04</v>
      </c>
      <c r="Q15" s="50">
        <f t="shared" si="3"/>
        <v>12.08</v>
      </c>
    </row>
    <row r="16" spans="1:17" s="2" customFormat="1" ht="12" customHeight="1">
      <c r="A16" s="4">
        <f t="shared" si="4"/>
        <v>306</v>
      </c>
      <c r="B16" s="2">
        <f>1/3</f>
        <v>0.33333333333333331</v>
      </c>
      <c r="C16" s="114" t="s">
        <v>1064</v>
      </c>
      <c r="D16" s="268" t="str">
        <f>VLOOKUP(C16,Purchased!A:B,2,0)</f>
        <v>BRC RH2-023DBB-NN-010,0 - 10m Hybrid Servo Cable</v>
      </c>
      <c r="E16" s="269"/>
      <c r="F16" s="112" t="str">
        <f>VLOOKUP(C16,Purchased!A:Q,9,0)</f>
        <v>BRC</v>
      </c>
      <c r="G16" s="112" t="str">
        <f>VLOOKUP(C16,Purchased!A:Q,10,0)</f>
        <v>AAP</v>
      </c>
      <c r="H16" s="112" t="str">
        <f>VLOOKUP(C16,Purchased!A:Q,12,0)</f>
        <v>Side Seals (4 in stock)</v>
      </c>
      <c r="I16" s="113"/>
      <c r="J16" s="44">
        <f>VLOOKUP(C16,Purchased!A:Q,13,0)</f>
        <v>45089</v>
      </c>
      <c r="K16" s="44">
        <f>VLOOKUP(C16,Purchased!A:Q,14,0)</f>
        <v>45092</v>
      </c>
      <c r="L16" s="44">
        <f>VLOOKUP(C16,Purchased!A:Q,15,0)</f>
        <v>45155</v>
      </c>
      <c r="M16" s="44">
        <f>VLOOKUP(C16,Purchased!A:Q,16,0)</f>
        <v>45155</v>
      </c>
      <c r="N16" s="45" t="str">
        <f>VLOOKUP(C16,Purchased!A:Q,17,0)</f>
        <v>2x54940, 4xSTOCK</v>
      </c>
      <c r="O16" s="45" t="e">
        <f t="shared" ca="1" si="2"/>
        <v>#VALUE!</v>
      </c>
      <c r="P16" s="49">
        <f>IFERROR(VLOOKUP(C16,Purchased!A:E,3,FALSE),"")</f>
        <v>475.95030000000003</v>
      </c>
      <c r="Q16" s="50">
        <f t="shared" si="3"/>
        <v>158.65010000000001</v>
      </c>
    </row>
    <row r="17" spans="1:17" s="2" customFormat="1" ht="12" customHeight="1">
      <c r="A17" s="4">
        <f t="shared" si="4"/>
        <v>307</v>
      </c>
      <c r="B17" s="2">
        <f>2/3</f>
        <v>0.66666666666666663</v>
      </c>
      <c r="C17" s="114" t="s">
        <v>1099</v>
      </c>
      <c r="D17" s="268" t="str">
        <f>VLOOKUP(C17,Purchased!A:B,2,0)</f>
        <v>BRC RH2-021DBB-NN-015,0 - 15m Hybrid Servo Cable</v>
      </c>
      <c r="E17" s="269"/>
      <c r="F17" s="112" t="str">
        <f>VLOOKUP(C17,Purchased!A:Q,9,0)</f>
        <v>BRC</v>
      </c>
      <c r="G17" s="112" t="str">
        <f>VLOOKUP(C17,Purchased!A:Q,10,0)</f>
        <v>AAP</v>
      </c>
      <c r="H17" s="112" t="str">
        <f>VLOOKUP(C17,Purchased!A:Q,12,0)</f>
        <v>conveyor, flying knife and side Seals (4 in stock)</v>
      </c>
      <c r="I17" s="113"/>
      <c r="J17" s="44" t="str">
        <f>VLOOKUP(C17,Purchased!A:Q,13,0)</f>
        <v>IN STOCK</v>
      </c>
      <c r="K17" s="44" t="str">
        <f>VLOOKUP(C17,Purchased!A:Q,14,0)</f>
        <v>IN STOCK</v>
      </c>
      <c r="L17" s="44" t="str">
        <f>VLOOKUP(C17,Purchased!A:Q,15,0)</f>
        <v>IN STOCK</v>
      </c>
      <c r="M17" s="44">
        <f>VLOOKUP(C17,Purchased!A:Q,16,0)</f>
        <v>45155</v>
      </c>
      <c r="N17" s="45" t="str">
        <f>VLOOKUP(C17,Purchased!A:Q,17,0)</f>
        <v>IN STOCK</v>
      </c>
      <c r="O17" s="45" t="e">
        <f t="shared" ca="1" si="2"/>
        <v>#VALUE!</v>
      </c>
      <c r="P17" s="49">
        <f>IFERROR(VLOOKUP(C17,Purchased!A:E,3,FALSE),"")</f>
        <v>475.95030000000003</v>
      </c>
      <c r="Q17" s="50">
        <f t="shared" si="3"/>
        <v>317.30020000000002</v>
      </c>
    </row>
    <row r="18" spans="1:17" s="2" customFormat="1" ht="12.75" customHeight="1">
      <c r="A18" s="25"/>
      <c r="B18" s="26"/>
      <c r="C18" s="26"/>
      <c r="D18" s="272"/>
      <c r="E18" s="273"/>
      <c r="F18" s="26"/>
      <c r="G18" s="26"/>
      <c r="H18" s="274"/>
      <c r="I18" s="275"/>
      <c r="J18" s="27"/>
      <c r="K18" s="27"/>
      <c r="L18" s="27"/>
      <c r="M18" s="28"/>
      <c r="N18" s="29"/>
      <c r="O18" s="29" t="e">
        <f t="shared" ref="O18:O26" ca="1" si="5">B18*$L$2</f>
        <v>#VALUE!</v>
      </c>
      <c r="P18" s="141"/>
      <c r="Q18" s="142"/>
    </row>
    <row r="19" spans="1:17" s="2" customFormat="1" ht="12.75" customHeight="1">
      <c r="A19" s="4">
        <v>501</v>
      </c>
      <c r="B19" s="2">
        <v>8</v>
      </c>
      <c r="C19" s="110" t="s">
        <v>606</v>
      </c>
      <c r="D19" s="268"/>
      <c r="E19" s="276"/>
      <c r="F19" s="112" t="str">
        <f>VLOOKUP(C19,Bolts!A:L,5,0)</f>
        <v xml:space="preserve">  </v>
      </c>
      <c r="G19" s="112" t="str">
        <f>VLOOKUP(C19,Bolts!A:L,6,0)</f>
        <v>Monroe Fasteners</v>
      </c>
      <c r="H19" s="112" t="str">
        <f>VLOOKUP(C19,Bolts!A:L,7,0)</f>
        <v xml:space="preserve">  </v>
      </c>
      <c r="I19" s="112"/>
      <c r="J19" s="44" t="str">
        <f>VLOOKUP(C19,Bolts!A:L,8,0)</f>
        <v xml:space="preserve"> </v>
      </c>
      <c r="K19" s="44" t="str">
        <f>VLOOKUP(C19,Bolts!A:L,9,0)</f>
        <v xml:space="preserve"> </v>
      </c>
      <c r="L19" s="44" t="str">
        <f>VLOOKUP(C19,Bolts!A:L,10,0)</f>
        <v xml:space="preserve"> </v>
      </c>
      <c r="M19" s="44" t="str">
        <f>VLOOKUP(C19,Bolts!A:L,11,0)</f>
        <v xml:space="preserve"> </v>
      </c>
      <c r="N19" s="45" t="str">
        <f>VLOOKUP(C19,Bolts!A:L,12,0)</f>
        <v xml:space="preserve"> </v>
      </c>
      <c r="O19" s="45" t="e">
        <f t="shared" ca="1" si="5"/>
        <v>#VALUE!</v>
      </c>
      <c r="P19" s="49" t="str">
        <f>IFERROR(VLOOKUP(C19,Bolts!A:B,2,FALSE),"")</f>
        <v xml:space="preserve"> </v>
      </c>
      <c r="Q19" s="50" t="str">
        <f t="shared" ref="Q19:Q26" si="6">IFERROR(B19*P19,"")</f>
        <v/>
      </c>
    </row>
    <row r="20" spans="1:17" s="2" customFormat="1" ht="12.75" customHeight="1">
      <c r="A20" s="4">
        <f t="shared" ref="A20:A26" si="7">A19+1</f>
        <v>502</v>
      </c>
      <c r="B20" s="2">
        <v>4</v>
      </c>
      <c r="C20" s="110" t="s">
        <v>362</v>
      </c>
      <c r="D20" s="268"/>
      <c r="E20" s="276"/>
      <c r="F20" s="112" t="str">
        <f>VLOOKUP(C20,Bolts!A:L,5,0)</f>
        <v xml:space="preserve">  </v>
      </c>
      <c r="G20" s="112" t="str">
        <f>VLOOKUP(C20,Bolts!A:L,6,0)</f>
        <v>Monroe Fasteners</v>
      </c>
      <c r="H20" s="112" t="str">
        <f>VLOOKUP(C20,Bolts!A:L,7,0)</f>
        <v xml:space="preserve">  </v>
      </c>
      <c r="I20" s="112"/>
      <c r="J20" s="44" t="str">
        <f>VLOOKUP(C20,Bolts!A:L,8,0)</f>
        <v xml:space="preserve"> </v>
      </c>
      <c r="K20" s="44" t="str">
        <f>VLOOKUP(C20,Bolts!A:L,9,0)</f>
        <v xml:space="preserve"> </v>
      </c>
      <c r="L20" s="44" t="str">
        <f>VLOOKUP(C20,Bolts!A:L,10,0)</f>
        <v xml:space="preserve"> </v>
      </c>
      <c r="M20" s="44" t="str">
        <f>VLOOKUP(C20,Bolts!A:L,11,0)</f>
        <v xml:space="preserve"> </v>
      </c>
      <c r="N20" s="45" t="str">
        <f>VLOOKUP(C20,Bolts!A:L,12,0)</f>
        <v xml:space="preserve"> </v>
      </c>
      <c r="O20" s="45" t="e">
        <f t="shared" ca="1" si="5"/>
        <v>#VALUE!</v>
      </c>
      <c r="P20" s="49" t="str">
        <f>IFERROR(VLOOKUP(C20,Bolts!A:B,2,FALSE),"")</f>
        <v xml:space="preserve"> </v>
      </c>
      <c r="Q20" s="50" t="str">
        <f t="shared" si="6"/>
        <v/>
      </c>
    </row>
    <row r="21" spans="1:17" s="2" customFormat="1" ht="12" customHeight="1">
      <c r="A21" s="4">
        <f t="shared" si="7"/>
        <v>503</v>
      </c>
      <c r="B21" s="2">
        <v>4</v>
      </c>
      <c r="C21" s="110" t="s">
        <v>434</v>
      </c>
      <c r="D21" s="268"/>
      <c r="E21" s="276"/>
      <c r="F21" s="112" t="str">
        <f>VLOOKUP(C21,Bolts!A:L,5,0)</f>
        <v xml:space="preserve">  </v>
      </c>
      <c r="G21" s="112" t="str">
        <f>VLOOKUP(C21,Bolts!A:L,6,0)</f>
        <v>Monroe Fasteners</v>
      </c>
      <c r="H21" s="112" t="str">
        <f>VLOOKUP(C21,Bolts!A:L,7,0)</f>
        <v xml:space="preserve">  </v>
      </c>
      <c r="I21" s="112"/>
      <c r="J21" s="44" t="str">
        <f>VLOOKUP(C21,Bolts!A:L,8,0)</f>
        <v xml:space="preserve"> </v>
      </c>
      <c r="K21" s="44" t="str">
        <f>VLOOKUP(C21,Bolts!A:L,9,0)</f>
        <v xml:space="preserve"> </v>
      </c>
      <c r="L21" s="44" t="str">
        <f>VLOOKUP(C21,Bolts!A:L,10,0)</f>
        <v xml:space="preserve"> </v>
      </c>
      <c r="M21" s="44" t="str">
        <f>VLOOKUP(C21,Bolts!A:L,11,0)</f>
        <v xml:space="preserve"> </v>
      </c>
      <c r="N21" s="45" t="str">
        <f>VLOOKUP(C21,Bolts!A:L,12,0)</f>
        <v xml:space="preserve"> </v>
      </c>
      <c r="O21" s="45" t="e">
        <f t="shared" ca="1" si="5"/>
        <v>#VALUE!</v>
      </c>
      <c r="P21" s="49" t="str">
        <f>IFERROR(VLOOKUP(C21,Bolts!A:B,2,FALSE),"")</f>
        <v xml:space="preserve"> </v>
      </c>
      <c r="Q21" s="50" t="str">
        <f t="shared" si="6"/>
        <v/>
      </c>
    </row>
    <row r="22" spans="1:17" s="2" customFormat="1" ht="12" customHeight="1">
      <c r="A22" s="4">
        <f t="shared" si="7"/>
        <v>504</v>
      </c>
      <c r="B22" s="2">
        <v>4</v>
      </c>
      <c r="C22" s="110" t="s">
        <v>830</v>
      </c>
      <c r="D22" s="268"/>
      <c r="E22" s="276"/>
      <c r="F22" s="112" t="str">
        <f>VLOOKUP(C22,Bolts!A:L,5,0)</f>
        <v xml:space="preserve">  </v>
      </c>
      <c r="G22" s="112" t="str">
        <f>VLOOKUP(C22,Bolts!A:L,6,0)</f>
        <v>Monroe Fasteners</v>
      </c>
      <c r="H22" s="112" t="str">
        <f>VLOOKUP(C22,Bolts!A:L,7,0)</f>
        <v xml:space="preserve">  </v>
      </c>
      <c r="I22" s="112"/>
      <c r="J22" s="44" t="str">
        <f>VLOOKUP(C22,Bolts!A:L,8,0)</f>
        <v xml:space="preserve"> </v>
      </c>
      <c r="K22" s="44" t="str">
        <f>VLOOKUP(C22,Bolts!A:L,9,0)</f>
        <v xml:space="preserve"> </v>
      </c>
      <c r="L22" s="44" t="str">
        <f>VLOOKUP(C22,Bolts!A:L,10,0)</f>
        <v xml:space="preserve"> </v>
      </c>
      <c r="M22" s="44" t="str">
        <f>VLOOKUP(C22,Bolts!A:L,11,0)</f>
        <v xml:space="preserve"> </v>
      </c>
      <c r="N22" s="45" t="str">
        <f>VLOOKUP(C22,Bolts!A:L,12,0)</f>
        <v xml:space="preserve"> </v>
      </c>
      <c r="O22" s="45" t="e">
        <f t="shared" ca="1" si="5"/>
        <v>#VALUE!</v>
      </c>
      <c r="P22" s="49" t="str">
        <f>IFERROR(VLOOKUP(C22,Bolts!A:B,2,FALSE),"")</f>
        <v xml:space="preserve"> </v>
      </c>
      <c r="Q22" s="50" t="str">
        <f t="shared" si="6"/>
        <v/>
      </c>
    </row>
    <row r="23" spans="1:17" s="2" customFormat="1" ht="12" customHeight="1">
      <c r="A23" s="4">
        <f t="shared" si="7"/>
        <v>505</v>
      </c>
      <c r="B23" s="2">
        <v>4</v>
      </c>
      <c r="C23" s="110" t="s">
        <v>1065</v>
      </c>
      <c r="D23" s="268"/>
      <c r="E23" s="276"/>
      <c r="F23" s="112" t="str">
        <f>VLOOKUP(C23,Bolts!A:L,5,0)</f>
        <v xml:space="preserve">  </v>
      </c>
      <c r="G23" s="112" t="str">
        <f>VLOOKUP(C23,Bolts!A:L,6,0)</f>
        <v>Monroe Fasteners</v>
      </c>
      <c r="H23" s="112" t="str">
        <f>VLOOKUP(C23,Bolts!A:L,7,0)</f>
        <v xml:space="preserve">  </v>
      </c>
      <c r="I23" s="112"/>
      <c r="J23" s="44" t="str">
        <f>VLOOKUP(C23,Bolts!A:L,8,0)</f>
        <v xml:space="preserve"> </v>
      </c>
      <c r="K23" s="44" t="str">
        <f>VLOOKUP(C23,Bolts!A:L,9,0)</f>
        <v xml:space="preserve"> </v>
      </c>
      <c r="L23" s="44" t="str">
        <f>VLOOKUP(C23,Bolts!A:L,10,0)</f>
        <v xml:space="preserve"> </v>
      </c>
      <c r="M23" s="44" t="str">
        <f>VLOOKUP(C23,Bolts!A:L,11,0)</f>
        <v xml:space="preserve"> </v>
      </c>
      <c r="N23" s="45" t="str">
        <f>VLOOKUP(C23,Bolts!A:L,12,0)</f>
        <v xml:space="preserve"> </v>
      </c>
      <c r="O23" s="45" t="e">
        <f t="shared" ca="1" si="5"/>
        <v>#VALUE!</v>
      </c>
      <c r="P23" s="49" t="str">
        <f>IFERROR(VLOOKUP(C23,Bolts!A:B,2,FALSE),"")</f>
        <v xml:space="preserve"> </v>
      </c>
      <c r="Q23" s="50" t="str">
        <f t="shared" si="6"/>
        <v/>
      </c>
    </row>
    <row r="24" spans="1:17" s="2" customFormat="1" ht="12" customHeight="1">
      <c r="A24" s="4">
        <f t="shared" si="7"/>
        <v>506</v>
      </c>
      <c r="B24" s="2">
        <v>2</v>
      </c>
      <c r="C24" s="110" t="s">
        <v>428</v>
      </c>
      <c r="D24" s="268"/>
      <c r="E24" s="276"/>
      <c r="F24" s="112" t="str">
        <f>VLOOKUP(C24,Bolts!A:L,5,0)</f>
        <v xml:space="preserve">  </v>
      </c>
      <c r="G24" s="112" t="str">
        <f>VLOOKUP(C24,Bolts!A:L,6,0)</f>
        <v>Monroe Fasteners</v>
      </c>
      <c r="H24" s="112" t="str">
        <f>VLOOKUP(C24,Bolts!A:L,7,0)</f>
        <v xml:space="preserve">  </v>
      </c>
      <c r="I24" s="112"/>
      <c r="J24" s="44" t="str">
        <f>VLOOKUP(C24,Bolts!A:L,8,0)</f>
        <v xml:space="preserve"> </v>
      </c>
      <c r="K24" s="44" t="str">
        <f>VLOOKUP(C24,Bolts!A:L,9,0)</f>
        <v xml:space="preserve"> </v>
      </c>
      <c r="L24" s="44" t="str">
        <f>VLOOKUP(C24,Bolts!A:L,10,0)</f>
        <v xml:space="preserve"> </v>
      </c>
      <c r="M24" s="44" t="str">
        <f>VLOOKUP(C24,Bolts!A:L,11,0)</f>
        <v xml:space="preserve"> </v>
      </c>
      <c r="N24" s="45" t="str">
        <f>VLOOKUP(C24,Bolts!A:L,12,0)</f>
        <v xml:space="preserve"> </v>
      </c>
      <c r="O24" s="45" t="e">
        <f t="shared" ca="1" si="5"/>
        <v>#VALUE!</v>
      </c>
      <c r="P24" s="49" t="str">
        <f>IFERROR(VLOOKUP(C24,Bolts!A:B,2,FALSE),"")</f>
        <v xml:space="preserve"> </v>
      </c>
      <c r="Q24" s="50" t="str">
        <f t="shared" si="6"/>
        <v/>
      </c>
    </row>
    <row r="25" spans="1:17" s="2" customFormat="1" ht="12" customHeight="1">
      <c r="A25" s="4">
        <f t="shared" si="7"/>
        <v>507</v>
      </c>
      <c r="B25" s="2">
        <v>4</v>
      </c>
      <c r="C25" s="110" t="s">
        <v>660</v>
      </c>
      <c r="D25" s="268"/>
      <c r="E25" s="276"/>
      <c r="F25" s="112" t="str">
        <f>VLOOKUP(C25,Bolts!A:L,5,0)</f>
        <v xml:space="preserve">  </v>
      </c>
      <c r="G25" s="112" t="str">
        <f>VLOOKUP(C25,Bolts!A:L,6,0)</f>
        <v>Monroe Fasteners</v>
      </c>
      <c r="H25" s="112" t="str">
        <f>VLOOKUP(C25,Bolts!A:L,7,0)</f>
        <v xml:space="preserve">  </v>
      </c>
      <c r="I25" s="112"/>
      <c r="J25" s="44" t="str">
        <f>VLOOKUP(C25,Bolts!A:L,8,0)</f>
        <v xml:space="preserve"> </v>
      </c>
      <c r="K25" s="44" t="str">
        <f>VLOOKUP(C25,Bolts!A:L,9,0)</f>
        <v xml:space="preserve"> </v>
      </c>
      <c r="L25" s="44" t="str">
        <f>VLOOKUP(C25,Bolts!A:L,10,0)</f>
        <v xml:space="preserve"> </v>
      </c>
      <c r="M25" s="44" t="str">
        <f>VLOOKUP(C25,Bolts!A:L,11,0)</f>
        <v xml:space="preserve"> </v>
      </c>
      <c r="N25" s="45" t="str">
        <f>VLOOKUP(C25,Bolts!A:L,12,0)</f>
        <v xml:space="preserve"> </v>
      </c>
      <c r="O25" s="45" t="e">
        <f t="shared" ref="O25" ca="1" si="8">B25*$L$2</f>
        <v>#VALUE!</v>
      </c>
      <c r="P25" s="49" t="str">
        <f>IFERROR(VLOOKUP(C25,Bolts!A:B,2,FALSE),"")</f>
        <v xml:space="preserve"> </v>
      </c>
      <c r="Q25" s="50" t="str">
        <f t="shared" ref="Q25" si="9">IFERROR(B25*P25,"")</f>
        <v/>
      </c>
    </row>
    <row r="26" spans="1:17" s="2" customFormat="1" ht="12" customHeight="1" thickBot="1">
      <c r="A26" s="4">
        <f t="shared" si="7"/>
        <v>508</v>
      </c>
      <c r="B26" s="2">
        <v>4</v>
      </c>
      <c r="C26" s="110" t="s">
        <v>803</v>
      </c>
      <c r="D26" s="268"/>
      <c r="E26" s="276"/>
      <c r="F26" s="112" t="str">
        <f>VLOOKUP(C26,Bolts!A:L,5,0)</f>
        <v xml:space="preserve">  </v>
      </c>
      <c r="G26" s="112" t="str">
        <f>VLOOKUP(C26,Bolts!A:L,6,0)</f>
        <v>Monroe Fasteners</v>
      </c>
      <c r="H26" s="112" t="str">
        <f>VLOOKUP(C26,Bolts!A:L,7,0)</f>
        <v xml:space="preserve">  </v>
      </c>
      <c r="I26" s="112"/>
      <c r="J26" s="44" t="str">
        <f>VLOOKUP(C26,Bolts!A:L,8,0)</f>
        <v xml:space="preserve"> </v>
      </c>
      <c r="K26" s="44" t="str">
        <f>VLOOKUP(C26,Bolts!A:L,9,0)</f>
        <v xml:space="preserve"> </v>
      </c>
      <c r="L26" s="44" t="str">
        <f>VLOOKUP(C26,Bolts!A:L,10,0)</f>
        <v xml:space="preserve"> </v>
      </c>
      <c r="M26" s="44" t="str">
        <f>VLOOKUP(C26,Bolts!A:L,11,0)</f>
        <v xml:space="preserve"> </v>
      </c>
      <c r="N26" s="45" t="str">
        <f>VLOOKUP(C26,Bolts!A:L,12,0)</f>
        <v xml:space="preserve"> </v>
      </c>
      <c r="O26" s="45" t="e">
        <f t="shared" ca="1" si="5"/>
        <v>#VALUE!</v>
      </c>
      <c r="P26" s="49" t="str">
        <f>IFERROR(VLOOKUP(C26,Bolts!A:B,2,FALSE),"")</f>
        <v xml:space="preserve"> </v>
      </c>
      <c r="Q26" s="50" t="str">
        <f t="shared" si="6"/>
        <v/>
      </c>
    </row>
    <row r="27" spans="1:17" s="2" customFormat="1" ht="12.75" customHeight="1" thickBot="1">
      <c r="A27" s="34"/>
      <c r="B27" s="35"/>
      <c r="C27" s="35"/>
      <c r="D27" s="256"/>
      <c r="E27" s="257"/>
      <c r="F27" s="35"/>
      <c r="G27" s="35"/>
      <c r="H27" s="294"/>
      <c r="I27" s="295"/>
      <c r="J27" s="36"/>
      <c r="K27" s="36"/>
      <c r="L27" s="36"/>
      <c r="M27" s="37"/>
      <c r="N27" s="38"/>
      <c r="O27" s="38"/>
      <c r="P27" s="89" t="s">
        <v>43</v>
      </c>
      <c r="Q27" s="94">
        <f>SUM(Q5:Q26)</f>
        <v>5976.7051999999994</v>
      </c>
    </row>
    <row r="28" spans="1:17" s="2" customFormat="1" ht="12" customHeight="1">
      <c r="D28" s="22"/>
      <c r="E28" s="22"/>
      <c r="J28" s="8"/>
      <c r="K28" s="8"/>
      <c r="L28" s="8"/>
      <c r="M28" s="8"/>
      <c r="N28" s="5"/>
      <c r="O28" s="5"/>
      <c r="P28" s="88"/>
      <c r="Q28" s="95"/>
    </row>
    <row r="29" spans="1:17" s="2" customFormat="1" ht="12" customHeight="1">
      <c r="D29" s="22"/>
      <c r="E29" s="22"/>
      <c r="J29" s="5"/>
      <c r="K29" s="5"/>
      <c r="L29" s="5"/>
      <c r="M29" s="5"/>
      <c r="N29" s="5"/>
      <c r="O29" s="5"/>
      <c r="P29" s="88"/>
      <c r="Q29" s="95"/>
    </row>
    <row r="30" spans="1:17" s="2" customFormat="1" ht="12" customHeight="1">
      <c r="D30" s="22"/>
      <c r="E30" s="22"/>
      <c r="J30" s="5"/>
      <c r="K30" s="5"/>
      <c r="L30" s="5"/>
      <c r="M30" s="5"/>
      <c r="N30" s="5"/>
      <c r="O30" s="5"/>
      <c r="P30" s="88"/>
      <c r="Q30" s="95"/>
    </row>
    <row r="31" spans="1:17" s="2" customFormat="1" ht="12" customHeight="1">
      <c r="B31" s="22"/>
      <c r="C31" s="22"/>
      <c r="H31" s="5"/>
      <c r="I31" s="5"/>
      <c r="J31" s="5"/>
      <c r="K31" s="5"/>
      <c r="L31" s="5"/>
      <c r="M31" s="5"/>
      <c r="N31" s="88"/>
      <c r="O31" s="95"/>
    </row>
    <row r="32" spans="1:17" s="2" customFormat="1" ht="12" customHeight="1">
      <c r="B32" s="22"/>
      <c r="C32" s="22"/>
      <c r="H32" s="5"/>
      <c r="I32" s="5"/>
      <c r="J32" s="5"/>
      <c r="K32" s="5"/>
      <c r="L32" s="5"/>
      <c r="M32" s="5"/>
      <c r="N32" s="88"/>
      <c r="O32" s="95"/>
    </row>
    <row r="33" spans="2:17" s="2" customFormat="1" ht="12" customHeight="1">
      <c r="B33" s="22"/>
      <c r="C33" s="22"/>
      <c r="H33" s="5"/>
      <c r="I33" s="5"/>
      <c r="J33" s="5"/>
      <c r="K33" s="5"/>
      <c r="L33" s="5"/>
      <c r="M33" s="5"/>
      <c r="N33" s="88"/>
      <c r="O33" s="95"/>
    </row>
    <row r="34" spans="2:17" s="2" customFormat="1" ht="12" customHeight="1">
      <c r="B34" s="22"/>
      <c r="C34" s="22"/>
      <c r="H34" s="5"/>
      <c r="I34" s="5"/>
      <c r="J34" s="5"/>
      <c r="K34" s="5"/>
      <c r="L34" s="5"/>
      <c r="M34" s="5"/>
      <c r="N34" s="88"/>
      <c r="O34" s="95"/>
    </row>
    <row r="35" spans="2:17" s="2" customFormat="1" ht="12" customHeight="1">
      <c r="B35" s="22"/>
      <c r="C35" s="22"/>
      <c r="H35" s="5"/>
      <c r="I35" s="5"/>
      <c r="J35" s="5"/>
      <c r="K35" s="5"/>
      <c r="L35" s="5"/>
      <c r="M35" s="5"/>
      <c r="N35" s="88"/>
      <c r="O35" s="95"/>
    </row>
    <row r="36" spans="2:17" s="2" customFormat="1" ht="12" customHeight="1">
      <c r="B36" s="22"/>
      <c r="C36" s="22"/>
      <c r="H36" s="5"/>
      <c r="I36" s="5"/>
      <c r="J36" s="5"/>
      <c r="K36" s="5"/>
      <c r="L36" s="5"/>
      <c r="M36" s="5"/>
      <c r="N36" s="88"/>
      <c r="O36" s="95"/>
    </row>
    <row r="37" spans="2:17" s="2" customFormat="1" ht="12" customHeight="1">
      <c r="D37" s="22"/>
      <c r="E37" s="22"/>
      <c r="J37" s="5"/>
      <c r="K37" s="5"/>
      <c r="L37" s="5"/>
      <c r="M37" s="5"/>
      <c r="N37" s="5"/>
      <c r="O37" s="5"/>
      <c r="P37" s="88"/>
      <c r="Q37" s="95"/>
    </row>
    <row r="38" spans="2:17" s="2" customFormat="1" ht="12" customHeight="1">
      <c r="D38" s="22"/>
      <c r="E38" s="22"/>
      <c r="J38" s="5"/>
      <c r="K38" s="5"/>
      <c r="L38" s="5"/>
      <c r="M38" s="5"/>
      <c r="N38" s="5"/>
      <c r="O38" s="5"/>
      <c r="P38" s="88"/>
      <c r="Q38" s="95"/>
    </row>
    <row r="39" spans="2:17" s="2" customFormat="1" ht="12" customHeight="1">
      <c r="D39" s="22"/>
      <c r="E39" s="22"/>
      <c r="J39" s="5"/>
      <c r="K39" s="5"/>
      <c r="L39" s="5"/>
      <c r="M39" s="5"/>
      <c r="N39" s="5"/>
      <c r="O39" s="5"/>
      <c r="P39" s="88"/>
      <c r="Q39" s="95"/>
    </row>
    <row r="40" spans="2:17" s="2" customFormat="1" ht="12" customHeight="1">
      <c r="D40" s="22"/>
      <c r="E40" s="22"/>
      <c r="J40" s="5"/>
      <c r="K40" s="5"/>
      <c r="L40" s="5"/>
      <c r="M40" s="5"/>
      <c r="N40" s="5"/>
      <c r="O40" s="5"/>
      <c r="P40" s="88"/>
      <c r="Q40" s="95"/>
    </row>
    <row r="41" spans="2:17" s="2" customFormat="1" ht="12" customHeight="1">
      <c r="D41" s="22"/>
      <c r="E41" s="22"/>
      <c r="J41" s="5"/>
      <c r="K41" s="5"/>
      <c r="L41" s="5"/>
      <c r="M41" s="5"/>
      <c r="N41" s="5"/>
      <c r="O41" s="5"/>
      <c r="P41" s="88"/>
      <c r="Q41" s="95"/>
    </row>
    <row r="42" spans="2:17" s="2" customFormat="1" ht="12" customHeight="1">
      <c r="D42" s="22"/>
      <c r="E42" s="22"/>
      <c r="J42" s="5"/>
      <c r="K42" s="5"/>
      <c r="L42" s="5"/>
      <c r="M42" s="5"/>
      <c r="N42" s="5"/>
      <c r="O42" s="5"/>
      <c r="P42" s="88"/>
      <c r="Q42" s="95"/>
    </row>
    <row r="43" spans="2:17" s="2" customFormat="1" ht="12" customHeight="1">
      <c r="D43" s="22"/>
      <c r="E43" s="22"/>
      <c r="J43" s="5"/>
      <c r="K43" s="5"/>
      <c r="L43" s="5"/>
      <c r="M43" s="5"/>
      <c r="N43" s="5"/>
      <c r="O43" s="5"/>
      <c r="P43" s="88"/>
      <c r="Q43" s="95"/>
    </row>
    <row r="44" spans="2:17" s="2" customFormat="1" ht="12" customHeight="1">
      <c r="D44" s="22"/>
      <c r="E44" s="22"/>
      <c r="J44" s="5"/>
      <c r="K44" s="5"/>
      <c r="L44" s="5"/>
      <c r="M44" s="5"/>
      <c r="N44" s="5"/>
      <c r="O44" s="5"/>
      <c r="P44" s="88"/>
      <c r="Q44" s="95"/>
    </row>
    <row r="45" spans="2:17" s="2" customFormat="1" ht="12" customHeight="1">
      <c r="D45" s="22"/>
      <c r="E45" s="22"/>
      <c r="J45" s="5"/>
      <c r="K45" s="5"/>
      <c r="L45" s="5"/>
      <c r="M45" s="5"/>
      <c r="N45" s="5"/>
      <c r="O45" s="5"/>
      <c r="P45" s="88"/>
      <c r="Q45" s="95"/>
    </row>
    <row r="46" spans="2:17" s="2" customFormat="1" ht="12" customHeight="1">
      <c r="D46" s="22"/>
      <c r="E46" s="22"/>
      <c r="J46" s="5"/>
      <c r="K46" s="5"/>
      <c r="L46" s="5"/>
      <c r="M46" s="5"/>
      <c r="N46" s="5"/>
      <c r="O46" s="5"/>
      <c r="P46" s="88"/>
      <c r="Q46" s="95"/>
    </row>
    <row r="47" spans="2:17" s="2" customFormat="1" ht="12" customHeight="1">
      <c r="D47" s="22"/>
      <c r="E47" s="22"/>
      <c r="J47" s="5"/>
      <c r="K47" s="5"/>
      <c r="L47" s="5"/>
      <c r="M47" s="5"/>
      <c r="N47" s="5"/>
      <c r="O47" s="5"/>
      <c r="P47" s="88"/>
      <c r="Q47" s="95"/>
    </row>
    <row r="48" spans="2:17" s="2" customFormat="1" ht="12" customHeight="1">
      <c r="D48" s="22"/>
      <c r="E48" s="22"/>
      <c r="J48" s="5"/>
      <c r="K48" s="5"/>
      <c r="L48" s="5"/>
      <c r="M48" s="5"/>
      <c r="N48" s="5"/>
      <c r="O48" s="5"/>
      <c r="P48" s="88"/>
      <c r="Q48" s="95"/>
    </row>
    <row r="49" spans="4:17" s="2" customFormat="1" ht="12" customHeight="1">
      <c r="D49" s="22"/>
      <c r="E49" s="22"/>
      <c r="J49" s="5"/>
      <c r="K49" s="5"/>
      <c r="L49" s="5"/>
      <c r="M49" s="5"/>
      <c r="N49" s="5"/>
      <c r="O49" s="5"/>
      <c r="P49" s="88"/>
      <c r="Q49" s="95"/>
    </row>
    <row r="50" spans="4:17" s="2" customFormat="1" ht="12" customHeight="1">
      <c r="D50" s="22"/>
      <c r="E50" s="22"/>
      <c r="J50" s="5"/>
      <c r="K50" s="5"/>
      <c r="L50" s="5"/>
      <c r="M50" s="5"/>
      <c r="N50" s="5"/>
      <c r="O50" s="5"/>
      <c r="P50" s="88"/>
      <c r="Q50" s="95"/>
    </row>
    <row r="51" spans="4:17" s="2" customFormat="1" ht="12" customHeight="1">
      <c r="D51" s="22"/>
      <c r="E51" s="22"/>
      <c r="J51" s="5"/>
      <c r="K51" s="5"/>
      <c r="L51" s="5"/>
      <c r="M51" s="5"/>
      <c r="N51" s="5"/>
      <c r="O51" s="5"/>
      <c r="P51" s="88"/>
      <c r="Q51" s="95"/>
    </row>
    <row r="52" spans="4:17" s="2" customFormat="1" ht="12" customHeight="1">
      <c r="D52" s="22"/>
      <c r="E52" s="22"/>
      <c r="J52" s="5"/>
      <c r="K52" s="5"/>
      <c r="L52" s="5"/>
      <c r="M52" s="5"/>
      <c r="N52" s="5"/>
      <c r="O52" s="5"/>
      <c r="P52" s="88"/>
      <c r="Q52" s="95"/>
    </row>
    <row r="53" spans="4:17" s="2" customFormat="1" ht="12" customHeight="1">
      <c r="D53" s="22"/>
      <c r="E53" s="22"/>
      <c r="J53" s="5"/>
      <c r="K53" s="5"/>
      <c r="L53" s="5"/>
      <c r="M53" s="5"/>
      <c r="N53" s="5"/>
      <c r="O53" s="5"/>
      <c r="P53" s="88"/>
      <c r="Q53" s="95"/>
    </row>
    <row r="54" spans="4:17" s="2" customFormat="1" ht="12" customHeight="1">
      <c r="D54" s="22"/>
      <c r="E54" s="22"/>
      <c r="J54" s="5"/>
      <c r="K54" s="5"/>
      <c r="L54" s="5"/>
      <c r="M54" s="5"/>
      <c r="N54" s="5"/>
      <c r="O54" s="5"/>
      <c r="P54" s="88"/>
      <c r="Q54" s="95"/>
    </row>
    <row r="55" spans="4:17" s="2" customFormat="1" ht="12" customHeight="1">
      <c r="D55" s="22"/>
      <c r="E55" s="22"/>
      <c r="J55" s="5"/>
      <c r="K55" s="5"/>
      <c r="L55" s="5"/>
      <c r="M55" s="5"/>
      <c r="N55" s="5"/>
      <c r="O55" s="5"/>
      <c r="P55" s="88"/>
      <c r="Q55" s="95"/>
    </row>
    <row r="56" spans="4:17" s="2" customFormat="1" ht="12" customHeight="1">
      <c r="D56" s="22"/>
      <c r="E56" s="22"/>
      <c r="J56" s="5"/>
      <c r="K56" s="5"/>
      <c r="L56" s="5"/>
      <c r="M56" s="5"/>
      <c r="N56" s="5"/>
      <c r="O56" s="5"/>
      <c r="P56" s="88"/>
      <c r="Q56" s="95"/>
    </row>
    <row r="57" spans="4:17" s="2" customFormat="1" ht="12" customHeight="1">
      <c r="D57" s="22"/>
      <c r="E57" s="22"/>
      <c r="J57" s="5"/>
      <c r="K57" s="5"/>
      <c r="L57" s="5"/>
      <c r="M57" s="5"/>
      <c r="N57" s="5"/>
      <c r="O57" s="5"/>
      <c r="P57" s="88"/>
      <c r="Q57" s="95"/>
    </row>
    <row r="58" spans="4:17" s="2" customFormat="1" ht="12" customHeight="1">
      <c r="D58" s="22"/>
      <c r="E58" s="22"/>
      <c r="J58" s="5"/>
      <c r="K58" s="5"/>
      <c r="L58" s="5"/>
      <c r="M58" s="5"/>
      <c r="N58" s="5"/>
      <c r="O58" s="5"/>
      <c r="P58" s="88"/>
      <c r="Q58" s="95"/>
    </row>
    <row r="59" spans="4:17" s="2" customFormat="1" ht="12" customHeight="1">
      <c r="D59" s="22"/>
      <c r="E59" s="22"/>
      <c r="J59" s="5"/>
      <c r="K59" s="5"/>
      <c r="L59" s="5"/>
      <c r="M59" s="5"/>
      <c r="N59" s="5"/>
      <c r="O59" s="5"/>
      <c r="P59" s="88"/>
      <c r="Q59" s="95"/>
    </row>
    <row r="60" spans="4:17" s="2" customFormat="1" ht="12" customHeight="1">
      <c r="D60" s="22"/>
      <c r="E60" s="22"/>
      <c r="J60" s="5"/>
      <c r="K60" s="5"/>
      <c r="L60" s="5"/>
      <c r="M60" s="5"/>
      <c r="N60" s="5"/>
      <c r="O60" s="5"/>
      <c r="P60" s="88"/>
      <c r="Q60" s="95"/>
    </row>
    <row r="61" spans="4:17" s="2" customFormat="1" ht="12" customHeight="1">
      <c r="D61" s="22"/>
      <c r="E61" s="22"/>
      <c r="J61" s="5"/>
      <c r="K61" s="5"/>
      <c r="L61" s="5"/>
      <c r="M61" s="5"/>
      <c r="N61" s="5"/>
      <c r="O61" s="5"/>
      <c r="P61" s="88"/>
      <c r="Q61" s="95"/>
    </row>
    <row r="62" spans="4:17" s="2" customFormat="1" ht="12" customHeight="1">
      <c r="D62" s="22"/>
      <c r="E62" s="22"/>
      <c r="J62" s="5"/>
      <c r="K62" s="5"/>
      <c r="L62" s="5"/>
      <c r="M62" s="5"/>
      <c r="N62" s="5"/>
      <c r="O62" s="5"/>
      <c r="P62" s="88"/>
      <c r="Q62" s="95"/>
    </row>
    <row r="63" spans="4:17" s="2" customFormat="1" ht="12" customHeight="1">
      <c r="D63" s="22"/>
      <c r="E63" s="22"/>
      <c r="J63" s="5"/>
      <c r="K63" s="5"/>
      <c r="L63" s="5"/>
      <c r="M63" s="5"/>
      <c r="N63" s="5"/>
      <c r="O63" s="5"/>
      <c r="P63" s="88"/>
      <c r="Q63" s="95"/>
    </row>
    <row r="64" spans="4:17" s="2" customFormat="1" ht="12" customHeight="1">
      <c r="D64" s="22"/>
      <c r="E64" s="22"/>
      <c r="J64" s="5"/>
      <c r="K64" s="5"/>
      <c r="L64" s="5"/>
      <c r="M64" s="5"/>
      <c r="N64" s="5"/>
      <c r="O64" s="5"/>
      <c r="P64" s="88"/>
      <c r="Q64" s="95"/>
    </row>
    <row r="65" spans="1:17" s="2" customFormat="1" ht="12" customHeight="1">
      <c r="D65" s="22"/>
      <c r="E65" s="22"/>
      <c r="J65" s="5"/>
      <c r="K65" s="5"/>
      <c r="L65" s="5"/>
      <c r="M65" s="5"/>
      <c r="N65" s="5"/>
      <c r="O65" s="5"/>
      <c r="P65" s="88"/>
      <c r="Q65" s="95"/>
    </row>
    <row r="66" spans="1:17" s="2" customFormat="1" ht="12" customHeight="1">
      <c r="D66" s="22"/>
      <c r="E66" s="22"/>
      <c r="J66" s="5"/>
      <c r="K66" s="5"/>
      <c r="L66" s="5"/>
      <c r="M66" s="5"/>
      <c r="N66" s="5"/>
      <c r="O66" s="5"/>
      <c r="P66" s="88"/>
      <c r="Q66" s="96"/>
    </row>
    <row r="67" spans="1:17" s="2" customFormat="1" ht="12" customHeight="1">
      <c r="D67" s="22"/>
      <c r="E67" s="22"/>
      <c r="J67" s="5"/>
      <c r="K67" s="5"/>
      <c r="L67" s="5"/>
      <c r="M67" s="5"/>
      <c r="N67" s="5"/>
      <c r="O67" s="5"/>
      <c r="P67" s="88"/>
      <c r="Q67" s="96"/>
    </row>
    <row r="68" spans="1:17" s="2" customFormat="1" ht="12" customHeight="1">
      <c r="D68" s="22"/>
      <c r="E68" s="22"/>
      <c r="J68" s="5"/>
      <c r="K68" s="5"/>
      <c r="L68" s="5"/>
      <c r="M68" s="5"/>
      <c r="N68" s="5"/>
      <c r="O68" s="5"/>
      <c r="P68" s="88"/>
      <c r="Q68" s="96"/>
    </row>
    <row r="69" spans="1:17" s="2" customFormat="1" ht="12" customHeight="1">
      <c r="D69" s="22"/>
      <c r="E69" s="22"/>
      <c r="J69" s="5"/>
      <c r="K69" s="5"/>
      <c r="L69" s="5"/>
      <c r="M69" s="5"/>
      <c r="N69" s="5"/>
      <c r="O69" s="5"/>
      <c r="P69" s="88"/>
      <c r="Q69" s="96"/>
    </row>
    <row r="70" spans="1:17" s="2" customFormat="1" ht="12" customHeight="1">
      <c r="A70"/>
      <c r="B70"/>
      <c r="C70"/>
      <c r="D70" s="23"/>
      <c r="E70" s="23"/>
      <c r="F70"/>
      <c r="G70"/>
      <c r="H70"/>
      <c r="I70"/>
      <c r="J70" s="19"/>
      <c r="K70" s="19"/>
      <c r="L70" s="19"/>
      <c r="M70" s="19"/>
      <c r="N70" s="19"/>
      <c r="O70" s="19"/>
      <c r="P70" s="90"/>
      <c r="Q70" s="96"/>
    </row>
    <row r="71" spans="1:17" s="2" customFormat="1" ht="12" customHeight="1">
      <c r="A71"/>
      <c r="B71"/>
      <c r="C71"/>
      <c r="D71" s="23"/>
      <c r="E71" s="23"/>
      <c r="F71"/>
      <c r="G71"/>
      <c r="H71"/>
      <c r="I71"/>
      <c r="J71" s="19"/>
      <c r="K71" s="19"/>
      <c r="L71" s="19"/>
      <c r="M71" s="19"/>
      <c r="N71" s="19"/>
      <c r="O71" s="19"/>
      <c r="P71" s="90"/>
      <c r="Q71" s="96"/>
    </row>
    <row r="72" spans="1:17" s="2" customFormat="1" ht="12" customHeight="1">
      <c r="A72"/>
      <c r="B72"/>
      <c r="C72"/>
      <c r="D72" s="23"/>
      <c r="E72" s="23"/>
      <c r="F72"/>
      <c r="G72"/>
      <c r="H72"/>
      <c r="I72"/>
      <c r="J72" s="19"/>
      <c r="K72" s="19"/>
      <c r="L72" s="19"/>
      <c r="M72" s="19"/>
      <c r="N72" s="19"/>
      <c r="O72" s="19"/>
      <c r="P72" s="90"/>
      <c r="Q72" s="96"/>
    </row>
    <row r="73" spans="1:17" s="2" customFormat="1" ht="12" customHeight="1">
      <c r="A73"/>
      <c r="B73"/>
      <c r="C73"/>
      <c r="D73" s="23"/>
      <c r="E73" s="23"/>
      <c r="F73"/>
      <c r="G73"/>
      <c r="H73"/>
      <c r="I73"/>
      <c r="J73" s="19"/>
      <c r="K73" s="19"/>
      <c r="L73" s="19"/>
      <c r="M73" s="19"/>
      <c r="N73" s="19"/>
      <c r="O73" s="19"/>
      <c r="P73" s="90"/>
      <c r="Q73" s="96"/>
    </row>
    <row r="74" spans="1:17" s="2" customFormat="1" ht="12" customHeight="1">
      <c r="A74"/>
      <c r="B74"/>
      <c r="C74"/>
      <c r="D74" s="23"/>
      <c r="E74" s="23"/>
      <c r="F74"/>
      <c r="G74"/>
      <c r="H74"/>
      <c r="I74"/>
      <c r="J74" s="19"/>
      <c r="K74" s="19"/>
      <c r="L74" s="19"/>
      <c r="M74" s="19"/>
      <c r="N74" s="19"/>
      <c r="O74" s="19"/>
      <c r="P74" s="90"/>
      <c r="Q74" s="96"/>
    </row>
    <row r="75" spans="1:17">
      <c r="Q75" s="96"/>
    </row>
    <row r="76" spans="1:17">
      <c r="Q76" s="96"/>
    </row>
    <row r="77" spans="1:17">
      <c r="Q77" s="96"/>
    </row>
    <row r="78" spans="1:17">
      <c r="Q78" s="96"/>
    </row>
    <row r="79" spans="1:17">
      <c r="Q79" s="96"/>
    </row>
    <row r="80" spans="1:17">
      <c r="Q80" s="96"/>
    </row>
    <row r="81" spans="17:17">
      <c r="Q81" s="96"/>
    </row>
    <row r="82" spans="17:17">
      <c r="Q82" s="96"/>
    </row>
    <row r="83" spans="17:17">
      <c r="Q83" s="96"/>
    </row>
    <row r="84" spans="17:17">
      <c r="Q84" s="96"/>
    </row>
    <row r="85" spans="17:17">
      <c r="Q85" s="96"/>
    </row>
    <row r="86" spans="17:17">
      <c r="Q86" s="96"/>
    </row>
    <row r="87" spans="17:17">
      <c r="Q87" s="96"/>
    </row>
    <row r="88" spans="17:17">
      <c r="Q88" s="96"/>
    </row>
    <row r="89" spans="17:17">
      <c r="Q89" s="96"/>
    </row>
    <row r="90" spans="17:17">
      <c r="Q90" s="96"/>
    </row>
    <row r="91" spans="17:17">
      <c r="Q91" s="96"/>
    </row>
    <row r="92" spans="17:17">
      <c r="Q92" s="96"/>
    </row>
    <row r="93" spans="17:17">
      <c r="Q93" s="96"/>
    </row>
    <row r="94" spans="17:17">
      <c r="Q94" s="96"/>
    </row>
    <row r="131" ht="12" customHeight="1"/>
    <row r="132" ht="12" customHeight="1"/>
    <row r="133" ht="12" customHeight="1"/>
    <row r="134" ht="12" customHeight="1"/>
    <row r="135" ht="12" customHeight="1"/>
    <row r="136" ht="12" customHeight="1"/>
    <row r="137" ht="12" customHeight="1"/>
    <row r="138" ht="12" customHeight="1"/>
    <row r="139" ht="12" customHeight="1"/>
    <row r="140" ht="12" customHeight="1"/>
    <row r="141" ht="12" customHeight="1"/>
    <row r="142" ht="12" customHeight="1"/>
    <row r="143" ht="12" customHeight="1"/>
    <row r="144" ht="12" customHeight="1"/>
    <row r="145" ht="12" customHeight="1"/>
    <row r="146" ht="12" customHeight="1"/>
    <row r="147" ht="12" customHeight="1"/>
    <row r="148" ht="12" customHeight="1"/>
    <row r="149" ht="12" customHeight="1"/>
    <row r="150" ht="12" customHeight="1"/>
    <row r="151" ht="12" customHeight="1"/>
    <row r="152" ht="12" customHeight="1"/>
    <row r="153" ht="12" customHeight="1"/>
    <row r="154" ht="12" customHeight="1"/>
    <row r="155" ht="12" customHeight="1"/>
    <row r="156" ht="12" customHeight="1"/>
    <row r="157" ht="12" customHeight="1"/>
    <row r="158" ht="12" customHeight="1"/>
    <row r="159" ht="12" customHeight="1"/>
    <row r="160" ht="12" customHeight="1"/>
    <row r="161" ht="12" customHeight="1"/>
    <row r="162" ht="12" customHeight="1"/>
    <row r="163" ht="12" customHeight="1"/>
    <row r="164" ht="12" customHeight="1"/>
    <row r="165" ht="12" customHeight="1"/>
    <row r="166" ht="12" customHeight="1"/>
    <row r="167" ht="12" customHeight="1"/>
    <row r="168" ht="12" customHeight="1"/>
    <row r="169" ht="12" customHeight="1"/>
    <row r="170" ht="12" customHeight="1"/>
    <row r="171" ht="12" customHeight="1"/>
    <row r="172" ht="12" customHeight="1"/>
    <row r="173" ht="12" customHeight="1"/>
    <row r="174" ht="12" customHeight="1"/>
    <row r="175" ht="12" customHeight="1"/>
    <row r="176" ht="12" customHeight="1"/>
    <row r="177" ht="12" customHeight="1"/>
    <row r="178" ht="12" customHeight="1"/>
    <row r="179" ht="12" customHeight="1"/>
    <row r="180" ht="12" customHeight="1"/>
  </sheetData>
  <mergeCells count="29">
    <mergeCell ref="D26:E26"/>
    <mergeCell ref="D27:E27"/>
    <mergeCell ref="H27:I27"/>
    <mergeCell ref="D20:E20"/>
    <mergeCell ref="D21:E21"/>
    <mergeCell ref="D22:E22"/>
    <mergeCell ref="D23:E23"/>
    <mergeCell ref="D24:E24"/>
    <mergeCell ref="D25:E25"/>
    <mergeCell ref="D16:E16"/>
    <mergeCell ref="D17:E17"/>
    <mergeCell ref="H18:I18"/>
    <mergeCell ref="D19:E19"/>
    <mergeCell ref="D18:E18"/>
    <mergeCell ref="D11:E11"/>
    <mergeCell ref="D12:E12"/>
    <mergeCell ref="D13:E13"/>
    <mergeCell ref="D14:E14"/>
    <mergeCell ref="D15:E15"/>
    <mergeCell ref="D1:E1"/>
    <mergeCell ref="D4:E4"/>
    <mergeCell ref="H4:I4"/>
    <mergeCell ref="D10:E10"/>
    <mergeCell ref="H10:I10"/>
    <mergeCell ref="D5:E5"/>
    <mergeCell ref="D6:E6"/>
    <mergeCell ref="D7:E7"/>
    <mergeCell ref="D8:E8"/>
    <mergeCell ref="D9:E9"/>
  </mergeCells>
  <conditionalFormatting sqref="M5:M9 M11:M17">
    <cfRule type="cellIs" dxfId="320" priority="3" stopIfTrue="1" operator="lessThanOrEqual">
      <formula>$L5</formula>
    </cfRule>
    <cfRule type="cellIs" dxfId="319" priority="4" operator="greaterThan">
      <formula>L5</formula>
    </cfRule>
  </conditionalFormatting>
  <conditionalFormatting sqref="M19:M26">
    <cfRule type="cellIs" dxfId="318" priority="5" stopIfTrue="1" operator="lessThanOrEqual">
      <formula>$L19</formula>
    </cfRule>
    <cfRule type="cellIs" dxfId="317" priority="6" operator="greaterThan">
      <formula>L19</formula>
    </cfRule>
  </conditionalFormatting>
  <pageMargins left="0.7" right="0.7" top="0.75" bottom="0.75" header="0.3" footer="0.3"/>
  <pageSetup paperSize="3" fitToHeight="0" orientation="landscape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DFDCAFB9-43A0-43D1-A51F-6BF74FACFA76}">
          <x14:formula1>
            <xm:f>Bolts!$A:$A</xm:f>
          </x14:formula1>
          <xm:sqref>C19:C26</xm:sqref>
        </x14:dataValidation>
        <x14:dataValidation type="list" allowBlank="1" showInputMessage="1" showErrorMessage="1" xr:uid="{9CD8E3E0-0BD0-4B0F-BDFF-33FEAAA45F55}">
          <x14:formula1>
            <xm:f>Purchased!$A:$A</xm:f>
          </x14:formula1>
          <xm:sqref>C11:C17</xm:sqref>
        </x14:dataValidation>
        <x14:dataValidation type="list" allowBlank="1" showInputMessage="1" showErrorMessage="1" xr:uid="{9BDA04FA-108B-4824-885C-B00F5CC90031}">
          <x14:formula1>
            <xm:f>Machined!$C:$C</xm:f>
          </x14:formula1>
          <xm:sqref>C5:C9</xm:sqref>
        </x14:dataValidation>
      </x14:dataValidations>
    </ext>
  </extLst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DE4DE-163F-49E4-B32C-5F3FCA9DD9E3}">
  <sheetPr codeName="Sheet94">
    <tabColor theme="3" tint="0.79998168889431442"/>
    <pageSetUpPr fitToPage="1"/>
  </sheetPr>
  <dimension ref="A1:Q177"/>
  <sheetViews>
    <sheetView zoomScaleNormal="100" workbookViewId="0">
      <selection activeCell="A9" sqref="A9"/>
    </sheetView>
  </sheetViews>
  <sheetFormatPr defaultColWidth="9.140625" defaultRowHeight="15"/>
  <cols>
    <col min="1" max="1" width="5.7109375" customWidth="1"/>
    <col min="2" max="2" width="5.42578125" bestFit="1" customWidth="1"/>
    <col min="3" max="3" width="30.7109375" customWidth="1"/>
    <col min="4" max="5" width="20.7109375" style="23" customWidth="1"/>
    <col min="6" max="6" width="16.85546875" bestFit="1" customWidth="1"/>
    <col min="7" max="7" width="9.7109375" customWidth="1"/>
    <col min="8" max="8" width="8.7109375" customWidth="1"/>
    <col min="9" max="9" width="20.7109375" customWidth="1"/>
    <col min="10" max="13" width="11.7109375" style="19" customWidth="1"/>
    <col min="14" max="14" width="11.85546875" style="19" bestFit="1" customWidth="1"/>
    <col min="15" max="15" width="7.7109375" style="19" customWidth="1"/>
    <col min="16" max="16" width="10.7109375" style="90" customWidth="1"/>
    <col min="17" max="17" width="10.7109375" style="97" customWidth="1"/>
  </cols>
  <sheetData>
    <row r="1" spans="1:17" s="55" customFormat="1" ht="12" customHeight="1">
      <c r="A1" s="68" t="s">
        <v>0</v>
      </c>
      <c r="B1" s="69"/>
      <c r="C1" s="69"/>
      <c r="D1" s="262" t="s">
        <v>1</v>
      </c>
      <c r="E1" s="262"/>
      <c r="F1" s="70"/>
      <c r="G1" s="69"/>
      <c r="H1" s="70"/>
      <c r="I1" s="71"/>
      <c r="J1" s="72"/>
      <c r="K1" s="72"/>
      <c r="L1" s="72"/>
      <c r="M1" s="72"/>
      <c r="N1" s="72"/>
      <c r="O1" s="72"/>
      <c r="P1" s="85"/>
      <c r="Q1" s="91"/>
    </row>
    <row r="2" spans="1:17" s="55" customFormat="1" ht="12" customHeight="1">
      <c r="A2" s="74" t="s">
        <v>48</v>
      </c>
      <c r="B2" s="58"/>
      <c r="C2" s="57" t="e">
        <f ca="1">VLOOKUP(E3,Assemblies!B:F,4,0)</f>
        <v>#VALUE!</v>
      </c>
      <c r="D2" s="75" t="s">
        <v>3</v>
      </c>
      <c r="E2" s="76" t="e">
        <f ca="1">'GF12'!E2</f>
        <v>#VALUE!</v>
      </c>
      <c r="F2" s="77" t="s">
        <v>4</v>
      </c>
      <c r="G2" s="58" t="str">
        <f>'GF12'!G2</f>
        <v>GH</v>
      </c>
      <c r="H2" s="77" t="s">
        <v>6</v>
      </c>
      <c r="I2" s="59">
        <f>'GF12'!I2</f>
        <v>44775</v>
      </c>
      <c r="J2" s="39"/>
      <c r="K2" s="40" t="s">
        <v>49</v>
      </c>
      <c r="L2" s="41" t="e">
        <f ca="1">VLOOKUP(C2,Assemblies!E:G,3,0)</f>
        <v>#VALUE!</v>
      </c>
      <c r="M2" s="78"/>
      <c r="N2" s="78"/>
      <c r="O2" s="78"/>
      <c r="P2" s="86"/>
      <c r="Q2" s="92"/>
    </row>
    <row r="3" spans="1:17" s="55" customFormat="1" ht="12" customHeight="1" thickBot="1">
      <c r="A3" s="74" t="s">
        <v>7</v>
      </c>
      <c r="B3" s="58"/>
      <c r="C3" s="57" t="e">
        <f ca="1">VLOOKUP(E3,Assemblies!B:F,5,0)</f>
        <v>#VALUE!</v>
      </c>
      <c r="D3" s="75" t="s">
        <v>50</v>
      </c>
      <c r="E3" s="76" t="e">
        <f ca="1">MID(CELL("filename",A1),FIND("]",CELL("filename",A1))+1,256)</f>
        <v>#VALUE!</v>
      </c>
      <c r="F3" s="77" t="s">
        <v>11</v>
      </c>
      <c r="G3" s="58" t="str">
        <f>'GF12'!G3</f>
        <v>GH</v>
      </c>
      <c r="H3" s="77" t="s">
        <v>6</v>
      </c>
      <c r="I3" s="59">
        <f>'GF12'!I3</f>
        <v>44775</v>
      </c>
      <c r="J3" s="78"/>
      <c r="K3" s="78"/>
      <c r="L3" s="78"/>
      <c r="M3" s="78"/>
      <c r="N3" s="78"/>
      <c r="O3" s="78"/>
      <c r="P3" s="86"/>
      <c r="Q3" s="92"/>
    </row>
    <row r="4" spans="1:17" s="56" customFormat="1" ht="12.75" customHeight="1" thickBot="1">
      <c r="A4" s="80" t="s">
        <v>12</v>
      </c>
      <c r="B4" s="81" t="s">
        <v>13</v>
      </c>
      <c r="C4" s="81" t="s">
        <v>14</v>
      </c>
      <c r="D4" s="270" t="s">
        <v>15</v>
      </c>
      <c r="E4" s="270"/>
      <c r="F4" s="104" t="s">
        <v>16</v>
      </c>
      <c r="G4" s="81" t="s">
        <v>17</v>
      </c>
      <c r="H4" s="260" t="s">
        <v>18</v>
      </c>
      <c r="I4" s="260"/>
      <c r="J4" s="81" t="s">
        <v>51</v>
      </c>
      <c r="K4" s="81" t="s">
        <v>20</v>
      </c>
      <c r="L4" s="81" t="s">
        <v>21</v>
      </c>
      <c r="M4" s="81" t="s">
        <v>52</v>
      </c>
      <c r="N4" s="81" t="s">
        <v>22</v>
      </c>
      <c r="O4" s="81" t="s">
        <v>53</v>
      </c>
      <c r="P4" s="107" t="s">
        <v>26</v>
      </c>
      <c r="Q4" s="82" t="s">
        <v>27</v>
      </c>
    </row>
    <row r="5" spans="1:17" s="2" customFormat="1" ht="12.75" customHeight="1">
      <c r="A5" s="127">
        <v>1</v>
      </c>
      <c r="B5" s="21">
        <v>1</v>
      </c>
      <c r="C5" s="108" t="s">
        <v>1100</v>
      </c>
      <c r="D5" s="277" t="str">
        <f>VLOOKUP(C5,Machined!C:Q,2,0)</f>
        <v>UPPER SIDE SEAL BAR</v>
      </c>
      <c r="E5" s="277"/>
      <c r="F5" s="131" t="str">
        <f>VLOOKUP(C5,Machined!C:R,7,0)</f>
        <v xml:space="preserve">MIC 6 </v>
      </c>
      <c r="G5" s="131" t="str">
        <f>VLOOKUP(C5,Machined!C:R,10,0)</f>
        <v>XOMETRY</v>
      </c>
      <c r="H5" s="131" t="str">
        <f>VLOOKUP(C5,Machined!C:R,11,0)</f>
        <v xml:space="preserve">  </v>
      </c>
      <c r="I5" s="131"/>
      <c r="J5" s="42">
        <f>VLOOKUP(C5,Machined!C:R,12,0)</f>
        <v>45084</v>
      </c>
      <c r="K5" s="42">
        <f>VLOOKUP(C5,Machined!C:R,13,0)</f>
        <v>45127</v>
      </c>
      <c r="L5" s="42">
        <f>VLOOKUP(C5,Machined!C:R,14,0)</f>
        <v>45156</v>
      </c>
      <c r="M5" s="42">
        <f>VLOOKUP(C5,Machined!C:R,15,0)</f>
        <v>45156</v>
      </c>
      <c r="N5" s="43">
        <f>VLOOKUP(C5,Machined!C:R,16,0)</f>
        <v>55003</v>
      </c>
      <c r="O5" s="43" t="e">
        <f t="shared" ref="O5:O9" ca="1" si="0">B5*$L$2</f>
        <v>#VALUE!</v>
      </c>
      <c r="P5" s="47">
        <f>IFERROR(VLOOKUP(C5,Machined!C:F,3,0),"")</f>
        <v>303.24</v>
      </c>
      <c r="Q5" s="48">
        <f t="shared" ref="Q5:Q9" si="1">IFERROR(B5*P5,"")</f>
        <v>303.24</v>
      </c>
    </row>
    <row r="6" spans="1:17" s="2" customFormat="1" ht="12.75" customHeight="1">
      <c r="A6" s="127">
        <v>2</v>
      </c>
      <c r="B6" s="21">
        <v>1</v>
      </c>
      <c r="C6" s="108" t="s">
        <v>1067</v>
      </c>
      <c r="D6" s="277" t="str">
        <f>VLOOKUP(C6,Machined!C:Q,2,0)</f>
        <v xml:space="preserve">SIDE SEAL MID BAR </v>
      </c>
      <c r="E6" s="277"/>
      <c r="F6" s="131" t="str">
        <f>VLOOKUP(C6,Machined!C:R,7,0)</f>
        <v xml:space="preserve">MIC 6 </v>
      </c>
      <c r="G6" s="131" t="str">
        <f>VLOOKUP(C6,Machined!C:R,10,0)</f>
        <v>XOMETRY</v>
      </c>
      <c r="H6" s="131" t="str">
        <f>VLOOKUP(C6,Machined!C:R,11,0)</f>
        <v>Nuline add 2x M4 Taps</v>
      </c>
      <c r="I6" s="131"/>
      <c r="J6" s="42">
        <f>VLOOKUP(C6,Machined!C:R,12,0)</f>
        <v>45084</v>
      </c>
      <c r="K6" s="42">
        <f>VLOOKUP(C6,Machined!C:R,13,0)</f>
        <v>45127</v>
      </c>
      <c r="L6" s="42">
        <f>VLOOKUP(C6,Machined!C:R,14,0)</f>
        <v>45156</v>
      </c>
      <c r="M6" s="42">
        <f>VLOOKUP(C6,Machined!C:R,15,0)</f>
        <v>45156</v>
      </c>
      <c r="N6" s="43">
        <f>VLOOKUP(C6,Machined!C:R,16,0)</f>
        <v>55003</v>
      </c>
      <c r="O6" s="43" t="e">
        <f t="shared" ca="1" si="0"/>
        <v>#VALUE!</v>
      </c>
      <c r="P6" s="47">
        <f>IFERROR(VLOOKUP(C6,Machined!C:F,3,0),"")</f>
        <v>146.12</v>
      </c>
      <c r="Q6" s="48">
        <f t="shared" si="1"/>
        <v>146.12</v>
      </c>
    </row>
    <row r="7" spans="1:17" s="2" customFormat="1" ht="12.75" customHeight="1">
      <c r="A7" s="127">
        <v>3</v>
      </c>
      <c r="B7" s="21">
        <v>1</v>
      </c>
      <c r="C7" s="108" t="s">
        <v>1068</v>
      </c>
      <c r="D7" s="277" t="str">
        <f>VLOOKUP(C7,Machined!C:Q,2,0)</f>
        <v>SIDE SEAL DIE CAP</v>
      </c>
      <c r="E7" s="277"/>
      <c r="F7" s="131" t="str">
        <f>VLOOKUP(C7,Machined!C:R,7,0)</f>
        <v xml:space="preserve">MIC 6 </v>
      </c>
      <c r="G7" s="131" t="str">
        <f>VLOOKUP(C7,Machined!C:R,10,0)</f>
        <v>XOMETRY</v>
      </c>
      <c r="H7" s="131" t="str">
        <f>VLOOKUP(C7,Machined!C:R,11,0)</f>
        <v xml:space="preserve">  </v>
      </c>
      <c r="I7" s="131"/>
      <c r="J7" s="42">
        <f>VLOOKUP(C7,Machined!C:R,12,0)</f>
        <v>45084</v>
      </c>
      <c r="K7" s="42">
        <f>VLOOKUP(C7,Machined!C:R,13,0)</f>
        <v>45127</v>
      </c>
      <c r="L7" s="42">
        <f>VLOOKUP(C7,Machined!C:R,14,0)</f>
        <v>45156</v>
      </c>
      <c r="M7" s="42">
        <f>VLOOKUP(C7,Machined!C:R,15,0)</f>
        <v>45156</v>
      </c>
      <c r="N7" s="43">
        <f>VLOOKUP(C7,Machined!C:R,16,0)</f>
        <v>55003</v>
      </c>
      <c r="O7" s="43" t="e">
        <f t="shared" ca="1" si="0"/>
        <v>#VALUE!</v>
      </c>
      <c r="P7" s="47">
        <f>IFERROR(VLOOKUP(C7,Machined!C:F,3,0),"")</f>
        <v>201.45</v>
      </c>
      <c r="Q7" s="48">
        <f t="shared" si="1"/>
        <v>201.45</v>
      </c>
    </row>
    <row r="8" spans="1:17" s="2" customFormat="1" ht="12.75" customHeight="1">
      <c r="A8" s="127">
        <v>4</v>
      </c>
      <c r="B8" s="21">
        <v>1</v>
      </c>
      <c r="C8" s="108" t="s">
        <v>1069</v>
      </c>
      <c r="D8" s="277" t="str">
        <f>VLOOKUP(C8,Machined!C:Q,2,0)</f>
        <v xml:space="preserve">SIDE SEAL MOUNTING TUBE </v>
      </c>
      <c r="E8" s="277"/>
      <c r="F8" s="131" t="str">
        <f>VLOOKUP(C8,Machined!C:R,7,0)</f>
        <v>3"x3" 1018 Rec Tube</v>
      </c>
      <c r="G8" s="131" t="str">
        <f>VLOOKUP(C8,Machined!C:R,10,0)</f>
        <v>XOMETRY</v>
      </c>
      <c r="H8" s="131" t="str">
        <f>VLOOKUP(C8,Machined!C:R,11,0)</f>
        <v xml:space="preserve">  </v>
      </c>
      <c r="I8" s="131"/>
      <c r="J8" s="42">
        <f>VLOOKUP(C8,Machined!C:R,12,0)</f>
        <v>45084</v>
      </c>
      <c r="K8" s="42">
        <f>VLOOKUP(C8,Machined!C:R,13,0)</f>
        <v>45149</v>
      </c>
      <c r="L8" s="42">
        <f>VLOOKUP(C8,Machined!C:R,14,0)</f>
        <v>45177</v>
      </c>
      <c r="M8" s="42">
        <f>VLOOKUP(C8,Machined!C:R,15,0)</f>
        <v>45177</v>
      </c>
      <c r="N8" s="43">
        <f>VLOOKUP(C8,Machined!C:R,16,0)</f>
        <v>55053</v>
      </c>
      <c r="O8" s="43" t="e">
        <f t="shared" ca="1" si="0"/>
        <v>#VALUE!</v>
      </c>
      <c r="P8" s="47">
        <f>IFERROR(VLOOKUP(C8,Machined!C:F,3,0),"")</f>
        <v>402.88</v>
      </c>
      <c r="Q8" s="48">
        <f t="shared" si="1"/>
        <v>402.88</v>
      </c>
    </row>
    <row r="9" spans="1:17" s="2" customFormat="1" ht="12.75" customHeight="1">
      <c r="A9" s="127">
        <v>5</v>
      </c>
      <c r="B9" s="21">
        <v>2</v>
      </c>
      <c r="C9" s="108" t="s">
        <v>1071</v>
      </c>
      <c r="D9" s="277" t="str">
        <f>VLOOKUP(C9,Machined!C:Q,2,0)</f>
        <v>MODIFIED MCM 9604T190 STEEL FLANGED SHAFT COLLAR, 30MM DIA</v>
      </c>
      <c r="E9" s="278"/>
      <c r="F9" s="131" t="str">
        <f>VLOOKUP(C9,Machined!C:R,7,0)</f>
        <v>PURCHASED</v>
      </c>
      <c r="G9" s="131" t="str">
        <f>VLOOKUP(C9,Machined!C:R,10,0)</f>
        <v>MCM, NULINE</v>
      </c>
      <c r="H9" s="131" t="str">
        <f>VLOOKUP(C9,Machined!C:R,11,0)</f>
        <v xml:space="preserve">  </v>
      </c>
      <c r="I9" s="131"/>
      <c r="J9" s="42" t="str">
        <f>VLOOKUP(C9,Machined!C:R,12,0)</f>
        <v>N/A</v>
      </c>
      <c r="K9" s="42" t="str">
        <f>VLOOKUP(C9,Machined!C:R,13,0)</f>
        <v>N/A</v>
      </c>
      <c r="L9" s="42" t="str">
        <f>VLOOKUP(C9,Machined!C:R,14,0)</f>
        <v>N/A</v>
      </c>
      <c r="M9" s="42" t="str">
        <f>VLOOKUP(C9,Machined!C:R,15,0)</f>
        <v>N/A</v>
      </c>
      <c r="N9" s="43" t="str">
        <f>VLOOKUP(C9,Machined!C:R,16,0)</f>
        <v>N/A</v>
      </c>
      <c r="O9" s="43" t="e">
        <f t="shared" ca="1" si="0"/>
        <v>#VALUE!</v>
      </c>
      <c r="P9" s="47">
        <f>IFERROR(VLOOKUP(C9,Machined!C:F,3,0),"")</f>
        <v>0</v>
      </c>
      <c r="Q9" s="48">
        <f t="shared" si="1"/>
        <v>0</v>
      </c>
    </row>
    <row r="10" spans="1:17" s="2" customFormat="1" ht="12.75" customHeight="1">
      <c r="A10" s="143"/>
      <c r="B10" s="26"/>
      <c r="C10" s="26"/>
      <c r="D10" s="272"/>
      <c r="E10" s="272"/>
      <c r="F10" s="26"/>
      <c r="G10" s="26"/>
      <c r="H10" s="274"/>
      <c r="I10" s="274"/>
      <c r="J10" s="27"/>
      <c r="K10" s="27"/>
      <c r="L10" s="27"/>
      <c r="M10" s="28"/>
      <c r="N10" s="29"/>
      <c r="O10" s="29"/>
      <c r="P10" s="141"/>
      <c r="Q10" s="142"/>
    </row>
    <row r="11" spans="1:17" s="2" customFormat="1" ht="12.75" customHeight="1">
      <c r="A11" s="4">
        <v>301</v>
      </c>
      <c r="C11" s="114"/>
      <c r="D11" s="268"/>
      <c r="E11" s="268"/>
      <c r="F11" s="112"/>
      <c r="G11" s="112"/>
      <c r="H11" s="112"/>
      <c r="I11" s="113"/>
      <c r="J11" s="44"/>
      <c r="K11" s="44"/>
      <c r="L11" s="44"/>
      <c r="M11" s="44"/>
      <c r="N11" s="45"/>
      <c r="O11" s="45"/>
      <c r="P11" s="49"/>
      <c r="Q11" s="50"/>
    </row>
    <row r="12" spans="1:17" s="2" customFormat="1" ht="12" customHeight="1">
      <c r="A12" s="4">
        <f t="shared" ref="A12:A16" si="2">A11+1</f>
        <v>302</v>
      </c>
      <c r="B12" s="2">
        <v>3</v>
      </c>
      <c r="C12" s="114" t="s">
        <v>1072</v>
      </c>
      <c r="D12" s="268" t="str">
        <f>VLOOKUP(C12,Purchased!A:B,2,0)</f>
        <v>1/8in Bayonet Adapter</v>
      </c>
      <c r="E12" s="268"/>
      <c r="F12" s="112" t="str">
        <f>VLOOKUP(C12,Purchased!A:Q,9,0)</f>
        <v>ACROLAB</v>
      </c>
      <c r="G12" s="112" t="str">
        <f>VLOOKUP(C12,Purchased!A:Q,10,0)</f>
        <v>ACROLAB</v>
      </c>
      <c r="H12" s="112" t="str">
        <f>VLOOKUP(C12,Purchased!A:Q,12,0)</f>
        <v xml:space="preserve"> </v>
      </c>
      <c r="I12" s="113"/>
      <c r="J12" s="44" t="str">
        <f>VLOOKUP(C12,Purchased!A:Q,13,0)</f>
        <v>N/A</v>
      </c>
      <c r="K12" s="44">
        <f>VLOOKUP(C12,Purchased!A:Q,14,0)</f>
        <v>45001</v>
      </c>
      <c r="L12" s="44">
        <f>VLOOKUP(C12,Purchased!A:Q,15,0)</f>
        <v>45031</v>
      </c>
      <c r="M12" s="44">
        <f>VLOOKUP(C12,Purchased!A:Q,16,0)</f>
        <v>45031</v>
      </c>
      <c r="N12" s="45">
        <f>VLOOKUP(C12,Purchased!A:Q,17,0)</f>
        <v>54804</v>
      </c>
      <c r="O12" s="45" t="e">
        <f t="shared" ref="O12:O16" ca="1" si="3">B12*$L$2</f>
        <v>#VALUE!</v>
      </c>
      <c r="P12" s="49">
        <f>IFERROR(VLOOKUP(C12,Purchased!A:E,3,FALSE),"")</f>
        <v>4.25</v>
      </c>
      <c r="Q12" s="50">
        <f t="shared" ref="Q12:Q16" si="4">IFERROR(B12*P12,"")</f>
        <v>12.75</v>
      </c>
    </row>
    <row r="13" spans="1:17" s="2" customFormat="1" ht="12" customHeight="1">
      <c r="A13" s="4">
        <f t="shared" si="2"/>
        <v>303</v>
      </c>
      <c r="B13" s="2">
        <v>1</v>
      </c>
      <c r="C13" s="114" t="s">
        <v>1073</v>
      </c>
      <c r="D13" s="268" t="str">
        <f>VLOOKUP(C13,Purchased!A:B,2,0)</f>
        <v xml:space="preserve">0.5” OD Isobar, 26” Long </v>
      </c>
      <c r="E13" s="268"/>
      <c r="F13" s="112" t="str">
        <f>VLOOKUP(C13,Purchased!A:Q,9,0)</f>
        <v>ACROLAB</v>
      </c>
      <c r="G13" s="112" t="str">
        <f>VLOOKUP(C13,Purchased!A:Q,10,0)</f>
        <v>ACROLAB</v>
      </c>
      <c r="H13" s="112" t="str">
        <f>VLOOKUP(C13,Purchased!A:Q,12,0)</f>
        <v xml:space="preserve"> </v>
      </c>
      <c r="I13" s="113"/>
      <c r="J13" s="44" t="str">
        <f>VLOOKUP(C13,Purchased!A:Q,13,0)</f>
        <v>N/A</v>
      </c>
      <c r="K13" s="44">
        <f>VLOOKUP(C13,Purchased!A:Q,14,0)</f>
        <v>45001</v>
      </c>
      <c r="L13" s="44">
        <f>VLOOKUP(C13,Purchased!A:Q,15,0)</f>
        <v>45031</v>
      </c>
      <c r="M13" s="44">
        <f>VLOOKUP(C13,Purchased!A:Q,16,0)</f>
        <v>45031</v>
      </c>
      <c r="N13" s="45">
        <f>VLOOKUP(C13,Purchased!A:Q,17,0)</f>
        <v>54804</v>
      </c>
      <c r="O13" s="45" t="e">
        <f t="shared" ca="1" si="3"/>
        <v>#VALUE!</v>
      </c>
      <c r="P13" s="49">
        <f>IFERROR(VLOOKUP(C13,Purchased!A:E,3,FALSE),"")</f>
        <v>68</v>
      </c>
      <c r="Q13" s="50">
        <f t="shared" si="4"/>
        <v>68</v>
      </c>
    </row>
    <row r="14" spans="1:17" s="2" customFormat="1" ht="12" customHeight="1">
      <c r="A14" s="4">
        <f t="shared" si="2"/>
        <v>304</v>
      </c>
      <c r="B14" s="2">
        <v>1</v>
      </c>
      <c r="C14" s="114" t="s">
        <v>1074</v>
      </c>
      <c r="D14" s="268" t="str">
        <f>VLOOKUP(C14,Purchased!A:B,2,0)</f>
        <v>CUSTOM CARTRIDGE HEATER 26.0" LONG</v>
      </c>
      <c r="E14" s="268"/>
      <c r="F14" s="112" t="str">
        <f>VLOOKUP(C14,Purchased!A:Q,9,0)</f>
        <v>ACROLAB</v>
      </c>
      <c r="G14" s="112" t="str">
        <f>VLOOKUP(C14,Purchased!A:Q,10,0)</f>
        <v>ACROLAB</v>
      </c>
      <c r="H14" s="112" t="str">
        <f>VLOOKUP(C14,Purchased!A:Q,12,0)</f>
        <v xml:space="preserve"> </v>
      </c>
      <c r="I14" s="113"/>
      <c r="J14" s="44" t="str">
        <f>VLOOKUP(C14,Purchased!A:Q,13,0)</f>
        <v>N/A</v>
      </c>
      <c r="K14" s="44">
        <f>VLOOKUP(C14,Purchased!A:Q,14,0)</f>
        <v>45001</v>
      </c>
      <c r="L14" s="44">
        <f>VLOOKUP(C14,Purchased!A:Q,15,0)</f>
        <v>45031</v>
      </c>
      <c r="M14" s="44">
        <f>VLOOKUP(C14,Purchased!A:Q,16,0)</f>
        <v>45031</v>
      </c>
      <c r="N14" s="45">
        <f>VLOOKUP(C14,Purchased!A:Q,17,0)</f>
        <v>54804</v>
      </c>
      <c r="O14" s="45" t="e">
        <f t="shared" ca="1" si="3"/>
        <v>#VALUE!</v>
      </c>
      <c r="P14" s="49">
        <f>IFERROR(VLOOKUP(C14,Purchased!A:E,3,FALSE),"")</f>
        <v>262.68</v>
      </c>
      <c r="Q14" s="50">
        <f t="shared" si="4"/>
        <v>262.68</v>
      </c>
    </row>
    <row r="15" spans="1:17" s="2" customFormat="1" ht="12" customHeight="1">
      <c r="A15" s="4">
        <f t="shared" si="2"/>
        <v>305</v>
      </c>
      <c r="B15" s="2">
        <v>14</v>
      </c>
      <c r="C15" s="114" t="s">
        <v>1075</v>
      </c>
      <c r="D15" s="268" t="str">
        <f>VLOOKUP(C15,Purchased!A:B,2,0)</f>
        <v>Alloy Steel Cup-Point Set Screw M6 x 1 mm Thread, 50 mm Long, 25pk</v>
      </c>
      <c r="E15" s="268"/>
      <c r="F15" s="112" t="str">
        <f>VLOOKUP(C15,Purchased!A:Q,9,0)</f>
        <v>MCM</v>
      </c>
      <c r="G15" s="112" t="str">
        <f>VLOOKUP(C15,Purchased!A:Q,10,0)</f>
        <v>MCM</v>
      </c>
      <c r="H15" s="112" t="str">
        <f>VLOOKUP(C15,Purchased!A:Q,12,0)</f>
        <v>Pack of 25</v>
      </c>
      <c r="I15" s="113"/>
      <c r="J15" s="44" t="str">
        <f>VLOOKUP(C15,Purchased!A:Q,13,0)</f>
        <v>N/A</v>
      </c>
      <c r="K15" s="44">
        <f>VLOOKUP(C15,Purchased!A:Q,14,0)</f>
        <v>45162</v>
      </c>
      <c r="L15" s="44">
        <f>VLOOKUP(C15,Purchased!A:Q,15,0)</f>
        <v>45189</v>
      </c>
      <c r="M15" s="44">
        <f>VLOOKUP(C15,Purchased!A:Q,16,0)</f>
        <v>45189</v>
      </c>
      <c r="N15" s="45" t="str">
        <f>VLOOKUP(C15,Purchased!A:Q,17,0)</f>
        <v>55088, 55152</v>
      </c>
      <c r="O15" s="45" t="e">
        <f t="shared" ca="1" si="3"/>
        <v>#VALUE!</v>
      </c>
      <c r="P15" s="49">
        <f>IFERROR(VLOOKUP(C15,Purchased!A:E,3,FALSE),"")</f>
        <v>13.62</v>
      </c>
      <c r="Q15" s="50">
        <f t="shared" si="4"/>
        <v>190.67999999999998</v>
      </c>
    </row>
    <row r="16" spans="1:17" s="2" customFormat="1" ht="12" customHeight="1">
      <c r="A16" s="4">
        <f t="shared" si="2"/>
        <v>306</v>
      </c>
      <c r="B16" s="2">
        <v>3</v>
      </c>
      <c r="C16" s="114" t="s">
        <v>1076</v>
      </c>
      <c r="D16" s="268" t="str">
        <f>VLOOKUP(C16,Purchased!A:B,2,0)</f>
        <v>CUSTOM A100 THERMOCOUPLE 60" LONG LEADS</v>
      </c>
      <c r="E16" s="268"/>
      <c r="F16" s="112" t="str">
        <f>VLOOKUP(C16,Purchased!A:Q,9,0)</f>
        <v>ACROLAB</v>
      </c>
      <c r="G16" s="112" t="str">
        <f>VLOOKUP(C16,Purchased!A:Q,10,0)</f>
        <v>ACROLAB</v>
      </c>
      <c r="H16" s="112" t="str">
        <f>VLOOKUP(C16,Purchased!A:Q,12,0)</f>
        <v xml:space="preserve"> </v>
      </c>
      <c r="I16" s="113"/>
      <c r="J16" s="44" t="str">
        <f>VLOOKUP(C16,Purchased!A:Q,13,0)</f>
        <v>N/A</v>
      </c>
      <c r="K16" s="44">
        <f>VLOOKUP(C16,Purchased!A:Q,14,0)</f>
        <v>45001</v>
      </c>
      <c r="L16" s="44">
        <f>VLOOKUP(C16,Purchased!A:Q,15,0)</f>
        <v>45031</v>
      </c>
      <c r="M16" s="44">
        <f>VLOOKUP(C16,Purchased!A:Q,16,0)</f>
        <v>45031</v>
      </c>
      <c r="N16" s="45">
        <f>VLOOKUP(C16,Purchased!A:Q,17,0)</f>
        <v>54807</v>
      </c>
      <c r="O16" s="45" t="e">
        <f t="shared" ca="1" si="3"/>
        <v>#VALUE!</v>
      </c>
      <c r="P16" s="49">
        <f>IFERROR(VLOOKUP(C16,Purchased!A:E,3,FALSE),"")</f>
        <v>45.75</v>
      </c>
      <c r="Q16" s="50">
        <f t="shared" si="4"/>
        <v>137.25</v>
      </c>
    </row>
    <row r="17" spans="1:17" s="2" customFormat="1" ht="12.75" customHeight="1">
      <c r="A17" s="25"/>
      <c r="B17" s="26"/>
      <c r="C17" s="26"/>
      <c r="D17" s="272"/>
      <c r="E17" s="272"/>
      <c r="F17" s="26"/>
      <c r="G17" s="26"/>
      <c r="H17" s="274"/>
      <c r="I17" s="274"/>
      <c r="J17" s="27"/>
      <c r="K17" s="27"/>
      <c r="L17" s="27"/>
      <c r="M17" s="28"/>
      <c r="N17" s="29"/>
      <c r="O17" s="29" t="e">
        <f t="shared" ref="O17:O18" ca="1" si="5">B17*$L$2</f>
        <v>#VALUE!</v>
      </c>
      <c r="P17" s="141"/>
      <c r="Q17" s="142"/>
    </row>
    <row r="18" spans="1:17" s="2" customFormat="1" ht="12.75" customHeight="1">
      <c r="A18" s="4">
        <v>501</v>
      </c>
      <c r="B18" s="2">
        <v>6</v>
      </c>
      <c r="C18" s="110" t="s">
        <v>1077</v>
      </c>
      <c r="D18" s="268"/>
      <c r="E18" s="268"/>
      <c r="F18" s="112">
        <f>VLOOKUP(C18,Bolts!A:L,5,0)</f>
        <v>0</v>
      </c>
      <c r="G18" s="112">
        <f>VLOOKUP(C18,Bolts!A:L,6,0)</f>
        <v>0</v>
      </c>
      <c r="H18" s="112">
        <f>VLOOKUP(C18,Bolts!A:L,7,0)</f>
        <v>0</v>
      </c>
      <c r="I18" s="112"/>
      <c r="J18" s="44">
        <f>VLOOKUP(C18,Bolts!A:L,8,0)</f>
        <v>0</v>
      </c>
      <c r="K18" s="44">
        <f>VLOOKUP(C18,Bolts!A:L,9,0)</f>
        <v>0</v>
      </c>
      <c r="L18" s="44">
        <f>VLOOKUP(C18,Bolts!A:L,10,0)</f>
        <v>0</v>
      </c>
      <c r="M18" s="44">
        <f>VLOOKUP(C18,Bolts!A:L,11,0)</f>
        <v>0</v>
      </c>
      <c r="N18" s="45">
        <f>VLOOKUP(C18,Bolts!A:L,12,0)</f>
        <v>0</v>
      </c>
      <c r="O18" s="45" t="e">
        <f t="shared" ca="1" si="5"/>
        <v>#VALUE!</v>
      </c>
      <c r="P18" s="49">
        <f>IFERROR(VLOOKUP(C18,Bolts!A:B,2,FALSE),"")</f>
        <v>0</v>
      </c>
      <c r="Q18" s="50">
        <f t="shared" ref="Q18" si="6">IFERROR(B18*P18,"")</f>
        <v>0</v>
      </c>
    </row>
    <row r="19" spans="1:17" s="2" customFormat="1" ht="12.75" customHeight="1">
      <c r="A19" s="4">
        <f t="shared" ref="A19:A23" si="7">A18+1</f>
        <v>502</v>
      </c>
      <c r="B19" s="2">
        <v>50</v>
      </c>
      <c r="C19" s="110" t="s">
        <v>853</v>
      </c>
      <c r="D19" s="268"/>
      <c r="E19" s="268"/>
      <c r="F19" s="112" t="str">
        <f>VLOOKUP(C19,Bolts!A:L,5,0)</f>
        <v xml:space="preserve">  </v>
      </c>
      <c r="G19" s="112" t="str">
        <f>VLOOKUP(C19,Bolts!A:L,6,0)</f>
        <v>Monroe Fasteners</v>
      </c>
      <c r="H19" s="112" t="str">
        <f>VLOOKUP(C19,Bolts!A:L,7,0)</f>
        <v xml:space="preserve">  </v>
      </c>
      <c r="I19" s="112"/>
      <c r="J19" s="44" t="str">
        <f>VLOOKUP(C19,Bolts!A:L,8,0)</f>
        <v xml:space="preserve"> </v>
      </c>
      <c r="K19" s="44" t="str">
        <f>VLOOKUP(C19,Bolts!A:L,9,0)</f>
        <v xml:space="preserve"> </v>
      </c>
      <c r="L19" s="44" t="str">
        <f>VLOOKUP(C19,Bolts!A:L,10,0)</f>
        <v xml:space="preserve"> </v>
      </c>
      <c r="M19" s="44" t="str">
        <f>VLOOKUP(C19,Bolts!A:L,11,0)</f>
        <v xml:space="preserve"> </v>
      </c>
      <c r="N19" s="45" t="str">
        <f>VLOOKUP(C19,Bolts!A:L,12,0)</f>
        <v xml:space="preserve"> </v>
      </c>
      <c r="O19" s="45" t="e">
        <f t="shared" ref="O19:O23" ca="1" si="8">B19*$L$2</f>
        <v>#VALUE!</v>
      </c>
      <c r="P19" s="49" t="str">
        <f>IFERROR(VLOOKUP(C19,Bolts!A:B,2,FALSE),"")</f>
        <v xml:space="preserve"> </v>
      </c>
      <c r="Q19" s="50" t="str">
        <f t="shared" ref="Q19:Q23" si="9">IFERROR(B19*P19,"")</f>
        <v/>
      </c>
    </row>
    <row r="20" spans="1:17" s="2" customFormat="1" ht="12" customHeight="1">
      <c r="A20" s="4">
        <f t="shared" si="7"/>
        <v>503</v>
      </c>
      <c r="B20" s="2">
        <v>8</v>
      </c>
      <c r="C20" s="110" t="s">
        <v>828</v>
      </c>
      <c r="D20" s="268"/>
      <c r="E20" s="268"/>
      <c r="F20" s="112" t="str">
        <f>VLOOKUP(C20,Bolts!A:L,5,0)</f>
        <v xml:space="preserve">  </v>
      </c>
      <c r="G20" s="112" t="str">
        <f>VLOOKUP(C20,Bolts!A:L,6,0)</f>
        <v>Monroe Fasteners</v>
      </c>
      <c r="H20" s="112" t="str">
        <f>VLOOKUP(C20,Bolts!A:L,7,0)</f>
        <v xml:space="preserve">  </v>
      </c>
      <c r="I20" s="112"/>
      <c r="J20" s="44" t="str">
        <f>VLOOKUP(C20,Bolts!A:L,8,0)</f>
        <v xml:space="preserve"> </v>
      </c>
      <c r="K20" s="44" t="str">
        <f>VLOOKUP(C20,Bolts!A:L,9,0)</f>
        <v xml:space="preserve"> </v>
      </c>
      <c r="L20" s="44" t="str">
        <f>VLOOKUP(C20,Bolts!A:L,10,0)</f>
        <v xml:space="preserve"> </v>
      </c>
      <c r="M20" s="44" t="str">
        <f>VLOOKUP(C20,Bolts!A:L,11,0)</f>
        <v xml:space="preserve"> </v>
      </c>
      <c r="N20" s="45" t="str">
        <f>VLOOKUP(C20,Bolts!A:L,12,0)</f>
        <v xml:space="preserve"> </v>
      </c>
      <c r="O20" s="45" t="e">
        <f t="shared" ca="1" si="8"/>
        <v>#VALUE!</v>
      </c>
      <c r="P20" s="49" t="str">
        <f>IFERROR(VLOOKUP(C20,Bolts!A:B,2,FALSE),"")</f>
        <v xml:space="preserve"> </v>
      </c>
      <c r="Q20" s="50" t="str">
        <f t="shared" si="9"/>
        <v/>
      </c>
    </row>
    <row r="21" spans="1:17" s="2" customFormat="1" ht="12" customHeight="1">
      <c r="A21" s="4">
        <f t="shared" si="7"/>
        <v>504</v>
      </c>
      <c r="B21" s="2">
        <v>12</v>
      </c>
      <c r="C21" s="110" t="s">
        <v>288</v>
      </c>
      <c r="D21" s="268"/>
      <c r="E21" s="268"/>
      <c r="F21" s="112" t="str">
        <f>VLOOKUP(C21,Bolts!A:L,5,0)</f>
        <v xml:space="preserve">  </v>
      </c>
      <c r="G21" s="112" t="str">
        <f>VLOOKUP(C21,Bolts!A:L,6,0)</f>
        <v>Monroe Fasteners</v>
      </c>
      <c r="H21" s="112" t="str">
        <f>VLOOKUP(C21,Bolts!A:L,7,0)</f>
        <v xml:space="preserve">  </v>
      </c>
      <c r="I21" s="112"/>
      <c r="J21" s="44" t="str">
        <f>VLOOKUP(C21,Bolts!A:L,8,0)</f>
        <v xml:space="preserve"> </v>
      </c>
      <c r="K21" s="44" t="str">
        <f>VLOOKUP(C21,Bolts!A:L,9,0)</f>
        <v xml:space="preserve"> </v>
      </c>
      <c r="L21" s="44" t="str">
        <f>VLOOKUP(C21,Bolts!A:L,10,0)</f>
        <v xml:space="preserve"> </v>
      </c>
      <c r="M21" s="44" t="str">
        <f>VLOOKUP(C21,Bolts!A:L,11,0)</f>
        <v xml:space="preserve"> </v>
      </c>
      <c r="N21" s="45" t="str">
        <f>VLOOKUP(C21,Bolts!A:L,12,0)</f>
        <v xml:space="preserve"> </v>
      </c>
      <c r="O21" s="45" t="e">
        <f t="shared" ca="1" si="8"/>
        <v>#VALUE!</v>
      </c>
      <c r="P21" s="49" t="str">
        <f>IFERROR(VLOOKUP(C21,Bolts!A:B,2,FALSE),"")</f>
        <v xml:space="preserve"> </v>
      </c>
      <c r="Q21" s="50" t="str">
        <f t="shared" si="9"/>
        <v/>
      </c>
    </row>
    <row r="22" spans="1:17" s="2" customFormat="1" ht="12" customHeight="1">
      <c r="A22" s="4">
        <f t="shared" si="7"/>
        <v>505</v>
      </c>
      <c r="B22" s="2">
        <v>2</v>
      </c>
      <c r="C22" s="110" t="s">
        <v>1078</v>
      </c>
      <c r="D22" s="268"/>
      <c r="E22" s="268"/>
      <c r="F22" s="112" t="str">
        <f>VLOOKUP(C22,Bolts!A:L,5,0)</f>
        <v xml:space="preserve">  </v>
      </c>
      <c r="G22" s="112" t="str">
        <f>VLOOKUP(C22,Bolts!A:L,6,0)</f>
        <v>Monroe Fasteners</v>
      </c>
      <c r="H22" s="112" t="str">
        <f>VLOOKUP(C22,Bolts!A:L,7,0)</f>
        <v xml:space="preserve">  </v>
      </c>
      <c r="I22" s="112"/>
      <c r="J22" s="44" t="str">
        <f>VLOOKUP(C22,Bolts!A:L,8,0)</f>
        <v xml:space="preserve"> </v>
      </c>
      <c r="K22" s="44" t="str">
        <f>VLOOKUP(C22,Bolts!A:L,9,0)</f>
        <v xml:space="preserve"> </v>
      </c>
      <c r="L22" s="44" t="str">
        <f>VLOOKUP(C22,Bolts!A:L,10,0)</f>
        <v xml:space="preserve"> </v>
      </c>
      <c r="M22" s="44" t="str">
        <f>VLOOKUP(C22,Bolts!A:L,11,0)</f>
        <v xml:space="preserve"> </v>
      </c>
      <c r="N22" s="45" t="str">
        <f>VLOOKUP(C22,Bolts!A:L,12,0)</f>
        <v xml:space="preserve"> </v>
      </c>
      <c r="O22" s="45" t="e">
        <f t="shared" ca="1" si="8"/>
        <v>#VALUE!</v>
      </c>
      <c r="P22" s="49" t="str">
        <f>IFERROR(VLOOKUP(C22,Bolts!A:B,2,FALSE),"")</f>
        <v xml:space="preserve"> </v>
      </c>
      <c r="Q22" s="50" t="str">
        <f t="shared" si="9"/>
        <v/>
      </c>
    </row>
    <row r="23" spans="1:17" s="2" customFormat="1" ht="12" customHeight="1" thickBot="1">
      <c r="A23" s="4">
        <f t="shared" si="7"/>
        <v>506</v>
      </c>
      <c r="B23" s="2">
        <v>58</v>
      </c>
      <c r="C23" s="110" t="s">
        <v>595</v>
      </c>
      <c r="D23" s="164"/>
      <c r="E23" s="164"/>
      <c r="F23" s="112" t="str">
        <f>VLOOKUP(C23,Bolts!A:L,5,0)</f>
        <v xml:space="preserve">  </v>
      </c>
      <c r="G23" s="112" t="str">
        <f>VLOOKUP(C23,Bolts!A:L,6,0)</f>
        <v>Monroe Fasteners</v>
      </c>
      <c r="H23" s="112" t="str">
        <f>VLOOKUP(C23,Bolts!A:L,7,0)</f>
        <v xml:space="preserve">  </v>
      </c>
      <c r="I23" s="112"/>
      <c r="J23" s="44" t="str">
        <f>VLOOKUP(C23,Bolts!A:L,8,0)</f>
        <v xml:space="preserve"> </v>
      </c>
      <c r="K23" s="44" t="str">
        <f>VLOOKUP(C23,Bolts!A:L,9,0)</f>
        <v xml:space="preserve"> </v>
      </c>
      <c r="L23" s="44" t="str">
        <f>VLOOKUP(C23,Bolts!A:L,10,0)</f>
        <v xml:space="preserve"> </v>
      </c>
      <c r="M23" s="44" t="str">
        <f>VLOOKUP(C23,Bolts!A:L,11,0)</f>
        <v xml:space="preserve"> </v>
      </c>
      <c r="N23" s="45" t="str">
        <f>VLOOKUP(C23,Bolts!A:L,12,0)</f>
        <v xml:space="preserve"> </v>
      </c>
      <c r="O23" s="45" t="e">
        <f t="shared" ca="1" si="8"/>
        <v>#VALUE!</v>
      </c>
      <c r="P23" s="49" t="str">
        <f>IFERROR(VLOOKUP(C23,Bolts!A:B,2,FALSE),"")</f>
        <v xml:space="preserve"> </v>
      </c>
      <c r="Q23" s="50" t="str">
        <f t="shared" si="9"/>
        <v/>
      </c>
    </row>
    <row r="24" spans="1:17" s="2" customFormat="1" ht="12.75" customHeight="1" thickBot="1">
      <c r="A24" s="34"/>
      <c r="B24" s="35"/>
      <c r="C24" s="35"/>
      <c r="D24" s="256"/>
      <c r="E24" s="257"/>
      <c r="F24" s="35"/>
      <c r="G24" s="35"/>
      <c r="H24" s="294"/>
      <c r="I24" s="295"/>
      <c r="J24" s="36"/>
      <c r="K24" s="36"/>
      <c r="L24" s="36"/>
      <c r="M24" s="37"/>
      <c r="N24" s="38"/>
      <c r="O24" s="38"/>
      <c r="P24" s="89" t="s">
        <v>43</v>
      </c>
      <c r="Q24" s="94">
        <f>SUM(Q5:Q23)</f>
        <v>1725.0500000000002</v>
      </c>
    </row>
    <row r="25" spans="1:17" s="2" customFormat="1" ht="12" customHeight="1">
      <c r="D25" s="22"/>
      <c r="E25" s="22"/>
      <c r="J25" s="8"/>
      <c r="K25" s="8"/>
      <c r="L25" s="8"/>
      <c r="M25" s="8"/>
      <c r="N25" s="5"/>
      <c r="O25" s="5"/>
      <c r="P25" s="88"/>
      <c r="Q25" s="95"/>
    </row>
    <row r="26" spans="1:17" s="2" customFormat="1" ht="12" customHeight="1">
      <c r="D26" s="22"/>
      <c r="E26" s="22"/>
      <c r="J26" s="5"/>
      <c r="K26" s="5"/>
      <c r="L26" s="5"/>
      <c r="M26" s="5"/>
      <c r="N26" s="5"/>
      <c r="O26" s="5"/>
      <c r="P26" s="88"/>
      <c r="Q26" s="95"/>
    </row>
    <row r="27" spans="1:17" s="2" customFormat="1" ht="12" customHeight="1">
      <c r="D27" s="22"/>
      <c r="E27" s="22"/>
      <c r="J27" s="5"/>
      <c r="K27" s="5"/>
      <c r="L27" s="5"/>
      <c r="M27" s="5"/>
      <c r="N27" s="5"/>
      <c r="O27" s="5"/>
      <c r="P27" s="88"/>
      <c r="Q27" s="95"/>
    </row>
    <row r="28" spans="1:17" s="2" customFormat="1" ht="12" customHeight="1">
      <c r="D28" s="22"/>
      <c r="E28" s="22"/>
      <c r="J28" s="5"/>
      <c r="K28" s="5"/>
      <c r="L28" s="5"/>
      <c r="M28" s="5"/>
      <c r="N28" s="5"/>
      <c r="O28" s="5"/>
      <c r="P28" s="88"/>
      <c r="Q28" s="95"/>
    </row>
    <row r="29" spans="1:17" s="2" customFormat="1" ht="12" customHeight="1">
      <c r="D29" s="22"/>
      <c r="E29" s="22"/>
      <c r="J29" s="5"/>
      <c r="K29" s="5"/>
      <c r="L29" s="5"/>
      <c r="M29" s="5"/>
      <c r="N29" s="5"/>
      <c r="O29" s="5"/>
      <c r="P29" s="88"/>
      <c r="Q29" s="95"/>
    </row>
    <row r="30" spans="1:17" s="2" customFormat="1" ht="12" customHeight="1">
      <c r="D30" s="22"/>
      <c r="E30" s="22"/>
      <c r="J30" s="5"/>
      <c r="K30" s="5"/>
      <c r="L30" s="5"/>
      <c r="M30" s="5"/>
      <c r="N30" s="5"/>
      <c r="O30" s="5"/>
      <c r="P30" s="88"/>
      <c r="Q30" s="95"/>
    </row>
    <row r="31" spans="1:17" s="2" customFormat="1" ht="12" customHeight="1">
      <c r="D31" s="22"/>
      <c r="E31" s="22"/>
      <c r="J31" s="5"/>
      <c r="K31" s="5"/>
      <c r="L31" s="5"/>
      <c r="M31" s="5"/>
      <c r="N31" s="5"/>
      <c r="O31" s="5"/>
      <c r="P31" s="88"/>
      <c r="Q31" s="95"/>
    </row>
    <row r="32" spans="1:17" s="2" customFormat="1" ht="12" customHeight="1">
      <c r="D32" s="22"/>
      <c r="E32" s="22"/>
      <c r="J32" s="5"/>
      <c r="K32" s="5"/>
      <c r="L32" s="5"/>
      <c r="M32" s="5"/>
      <c r="N32" s="5"/>
      <c r="O32" s="5"/>
      <c r="P32" s="88"/>
      <c r="Q32" s="95"/>
    </row>
    <row r="33" spans="4:17" s="2" customFormat="1" ht="12" customHeight="1">
      <c r="D33" s="22"/>
      <c r="E33" s="22"/>
      <c r="J33" s="5"/>
      <c r="K33" s="5"/>
      <c r="L33" s="5"/>
      <c r="M33" s="5"/>
      <c r="N33" s="5"/>
      <c r="O33" s="5"/>
      <c r="P33" s="88"/>
      <c r="Q33" s="95"/>
    </row>
    <row r="34" spans="4:17" s="2" customFormat="1" ht="12" customHeight="1">
      <c r="D34" s="22"/>
      <c r="E34" s="22"/>
      <c r="J34" s="5"/>
      <c r="K34" s="5"/>
      <c r="L34" s="5"/>
      <c r="M34" s="5"/>
      <c r="N34" s="5"/>
      <c r="O34" s="5"/>
      <c r="P34" s="88"/>
      <c r="Q34" s="95"/>
    </row>
    <row r="35" spans="4:17" s="2" customFormat="1" ht="12" customHeight="1">
      <c r="D35" s="22"/>
      <c r="E35" s="22"/>
      <c r="J35" s="5"/>
      <c r="K35" s="5"/>
      <c r="L35" s="5"/>
      <c r="M35" s="5"/>
      <c r="N35" s="5"/>
      <c r="O35" s="5"/>
      <c r="P35" s="88"/>
      <c r="Q35" s="95"/>
    </row>
    <row r="36" spans="4:17" s="2" customFormat="1" ht="12" customHeight="1">
      <c r="D36" s="22"/>
      <c r="E36" s="22"/>
      <c r="J36" s="5"/>
      <c r="K36" s="5"/>
      <c r="L36" s="5"/>
      <c r="M36" s="5"/>
      <c r="N36" s="5"/>
      <c r="O36" s="5"/>
      <c r="P36" s="88"/>
      <c r="Q36" s="95"/>
    </row>
    <row r="37" spans="4:17" s="2" customFormat="1" ht="12" customHeight="1">
      <c r="D37" s="22"/>
      <c r="E37" s="22"/>
      <c r="J37" s="5"/>
      <c r="K37" s="5"/>
      <c r="L37" s="5"/>
      <c r="M37" s="5"/>
      <c r="N37" s="5"/>
      <c r="O37" s="5"/>
      <c r="P37" s="88"/>
      <c r="Q37" s="95"/>
    </row>
    <row r="38" spans="4:17" s="2" customFormat="1" ht="12" customHeight="1">
      <c r="D38" s="22"/>
      <c r="E38" s="22"/>
      <c r="J38" s="5"/>
      <c r="K38" s="5"/>
      <c r="L38" s="5"/>
      <c r="M38" s="5"/>
      <c r="N38" s="5"/>
      <c r="O38" s="5"/>
      <c r="P38" s="88"/>
      <c r="Q38" s="95"/>
    </row>
    <row r="39" spans="4:17" s="2" customFormat="1" ht="12" customHeight="1">
      <c r="D39" s="22"/>
      <c r="E39" s="22"/>
      <c r="J39" s="5"/>
      <c r="K39" s="5"/>
      <c r="L39" s="5"/>
      <c r="M39" s="5"/>
      <c r="N39" s="5"/>
      <c r="O39" s="5"/>
      <c r="P39" s="88"/>
      <c r="Q39" s="95"/>
    </row>
    <row r="40" spans="4:17" s="2" customFormat="1" ht="12" customHeight="1">
      <c r="D40" s="22"/>
      <c r="E40" s="22"/>
      <c r="J40" s="5"/>
      <c r="K40" s="5"/>
      <c r="L40" s="5"/>
      <c r="M40" s="5"/>
      <c r="N40" s="5"/>
      <c r="O40" s="5"/>
      <c r="P40" s="88"/>
      <c r="Q40" s="95"/>
    </row>
    <row r="41" spans="4:17" s="2" customFormat="1" ht="12" customHeight="1">
      <c r="D41" s="22"/>
      <c r="E41" s="22"/>
      <c r="J41" s="5"/>
      <c r="K41" s="5"/>
      <c r="L41" s="5"/>
      <c r="M41" s="5"/>
      <c r="N41" s="5"/>
      <c r="O41" s="5"/>
      <c r="P41" s="88"/>
      <c r="Q41" s="95"/>
    </row>
    <row r="42" spans="4:17" s="2" customFormat="1" ht="12" customHeight="1">
      <c r="D42" s="22"/>
      <c r="E42" s="22"/>
      <c r="J42" s="5"/>
      <c r="K42" s="5"/>
      <c r="L42" s="5"/>
      <c r="M42" s="5"/>
      <c r="N42" s="5"/>
      <c r="O42" s="5"/>
      <c r="P42" s="88"/>
      <c r="Q42" s="95"/>
    </row>
    <row r="43" spans="4:17" s="2" customFormat="1" ht="12" customHeight="1">
      <c r="D43" s="22"/>
      <c r="E43" s="22"/>
      <c r="J43" s="5"/>
      <c r="K43" s="5"/>
      <c r="L43" s="5"/>
      <c r="M43" s="5"/>
      <c r="N43" s="5"/>
      <c r="O43" s="5"/>
      <c r="P43" s="88"/>
      <c r="Q43" s="95"/>
    </row>
    <row r="44" spans="4:17" s="2" customFormat="1" ht="12" customHeight="1">
      <c r="D44" s="22"/>
      <c r="E44" s="22"/>
      <c r="J44" s="5"/>
      <c r="K44" s="5"/>
      <c r="L44" s="5"/>
      <c r="M44" s="5"/>
      <c r="N44" s="5"/>
      <c r="O44" s="5"/>
      <c r="P44" s="88"/>
      <c r="Q44" s="95"/>
    </row>
    <row r="45" spans="4:17" s="2" customFormat="1" ht="12" customHeight="1">
      <c r="D45" s="22"/>
      <c r="E45" s="22"/>
      <c r="J45" s="5"/>
      <c r="K45" s="5"/>
      <c r="L45" s="5"/>
      <c r="M45" s="5"/>
      <c r="N45" s="5"/>
      <c r="O45" s="5"/>
      <c r="P45" s="88"/>
      <c r="Q45" s="95"/>
    </row>
    <row r="46" spans="4:17" s="2" customFormat="1" ht="12" customHeight="1">
      <c r="D46" s="22"/>
      <c r="E46" s="22"/>
      <c r="J46" s="5"/>
      <c r="K46" s="5"/>
      <c r="L46" s="5"/>
      <c r="M46" s="5"/>
      <c r="N46" s="5"/>
      <c r="O46" s="5"/>
      <c r="P46" s="88"/>
      <c r="Q46" s="95"/>
    </row>
    <row r="47" spans="4:17" s="2" customFormat="1" ht="12" customHeight="1">
      <c r="D47" s="22"/>
      <c r="E47" s="22"/>
      <c r="J47" s="5"/>
      <c r="K47" s="5"/>
      <c r="L47" s="5"/>
      <c r="M47" s="5"/>
      <c r="N47" s="5"/>
      <c r="O47" s="5"/>
      <c r="P47" s="88"/>
      <c r="Q47" s="95"/>
    </row>
    <row r="48" spans="4:17" s="2" customFormat="1" ht="12" customHeight="1">
      <c r="D48" s="22"/>
      <c r="E48" s="22"/>
      <c r="J48" s="5"/>
      <c r="K48" s="5"/>
      <c r="L48" s="5"/>
      <c r="M48" s="5"/>
      <c r="N48" s="5"/>
      <c r="O48" s="5"/>
      <c r="P48" s="88"/>
      <c r="Q48" s="95"/>
    </row>
    <row r="49" spans="4:17" s="2" customFormat="1" ht="12" customHeight="1">
      <c r="D49" s="22"/>
      <c r="E49" s="22"/>
      <c r="J49" s="5"/>
      <c r="K49" s="5"/>
      <c r="L49" s="5"/>
      <c r="M49" s="5"/>
      <c r="N49" s="5"/>
      <c r="O49" s="5"/>
      <c r="P49" s="88"/>
      <c r="Q49" s="95"/>
    </row>
    <row r="50" spans="4:17" s="2" customFormat="1" ht="12" customHeight="1">
      <c r="D50" s="22"/>
      <c r="E50" s="22"/>
      <c r="J50" s="5"/>
      <c r="K50" s="5"/>
      <c r="L50" s="5"/>
      <c r="M50" s="5"/>
      <c r="N50" s="5"/>
      <c r="O50" s="5"/>
      <c r="P50" s="88"/>
      <c r="Q50" s="95"/>
    </row>
    <row r="51" spans="4:17" s="2" customFormat="1" ht="12" customHeight="1">
      <c r="D51" s="22"/>
      <c r="E51" s="22"/>
      <c r="J51" s="5"/>
      <c r="K51" s="5"/>
      <c r="L51" s="5"/>
      <c r="M51" s="5"/>
      <c r="N51" s="5"/>
      <c r="O51" s="5"/>
      <c r="P51" s="88"/>
      <c r="Q51" s="95"/>
    </row>
    <row r="52" spans="4:17" s="2" customFormat="1" ht="12" customHeight="1">
      <c r="D52" s="22"/>
      <c r="E52" s="22"/>
      <c r="J52" s="5"/>
      <c r="K52" s="5"/>
      <c r="L52" s="5"/>
      <c r="M52" s="5"/>
      <c r="N52" s="5"/>
      <c r="O52" s="5"/>
      <c r="P52" s="88"/>
      <c r="Q52" s="95"/>
    </row>
    <row r="53" spans="4:17" s="2" customFormat="1" ht="12" customHeight="1">
      <c r="D53" s="22"/>
      <c r="E53" s="22"/>
      <c r="J53" s="5"/>
      <c r="K53" s="5"/>
      <c r="L53" s="5"/>
      <c r="M53" s="5"/>
      <c r="N53" s="5"/>
      <c r="O53" s="5"/>
      <c r="P53" s="88"/>
      <c r="Q53" s="95"/>
    </row>
    <row r="54" spans="4:17" s="2" customFormat="1" ht="12" customHeight="1">
      <c r="D54" s="22"/>
      <c r="E54" s="22"/>
      <c r="J54" s="5"/>
      <c r="K54" s="5"/>
      <c r="L54" s="5"/>
      <c r="M54" s="5"/>
      <c r="N54" s="5"/>
      <c r="O54" s="5"/>
      <c r="P54" s="88"/>
      <c r="Q54" s="95"/>
    </row>
    <row r="55" spans="4:17" s="2" customFormat="1" ht="12" customHeight="1">
      <c r="D55" s="22"/>
      <c r="E55" s="22"/>
      <c r="J55" s="5"/>
      <c r="K55" s="5"/>
      <c r="L55" s="5"/>
      <c r="M55" s="5"/>
      <c r="N55" s="5"/>
      <c r="O55" s="5"/>
      <c r="P55" s="88"/>
      <c r="Q55" s="95"/>
    </row>
    <row r="56" spans="4:17" s="2" customFormat="1" ht="12" customHeight="1">
      <c r="D56" s="22"/>
      <c r="E56" s="22"/>
      <c r="J56" s="5"/>
      <c r="K56" s="5"/>
      <c r="L56" s="5"/>
      <c r="M56" s="5"/>
      <c r="N56" s="5"/>
      <c r="O56" s="5"/>
      <c r="P56" s="88"/>
      <c r="Q56" s="95"/>
    </row>
    <row r="57" spans="4:17" s="2" customFormat="1" ht="12" customHeight="1">
      <c r="D57" s="22"/>
      <c r="E57" s="22"/>
      <c r="J57" s="5"/>
      <c r="K57" s="5"/>
      <c r="L57" s="5"/>
      <c r="M57" s="5"/>
      <c r="N57" s="5"/>
      <c r="O57" s="5"/>
      <c r="P57" s="88"/>
      <c r="Q57" s="95"/>
    </row>
    <row r="58" spans="4:17" s="2" customFormat="1" ht="12" customHeight="1">
      <c r="D58" s="22"/>
      <c r="E58" s="22"/>
      <c r="J58" s="5"/>
      <c r="K58" s="5"/>
      <c r="L58" s="5"/>
      <c r="M58" s="5"/>
      <c r="N58" s="5"/>
      <c r="O58" s="5"/>
      <c r="P58" s="88"/>
      <c r="Q58" s="95"/>
    </row>
    <row r="59" spans="4:17" s="2" customFormat="1" ht="12" customHeight="1">
      <c r="D59" s="22"/>
      <c r="E59" s="22"/>
      <c r="J59" s="5"/>
      <c r="K59" s="5"/>
      <c r="L59" s="5"/>
      <c r="M59" s="5"/>
      <c r="N59" s="5"/>
      <c r="O59" s="5"/>
      <c r="P59" s="88"/>
      <c r="Q59" s="95"/>
    </row>
    <row r="60" spans="4:17" s="2" customFormat="1" ht="12" customHeight="1">
      <c r="D60" s="22"/>
      <c r="E60" s="22"/>
      <c r="J60" s="5"/>
      <c r="K60" s="5"/>
      <c r="L60" s="5"/>
      <c r="M60" s="5"/>
      <c r="N60" s="5"/>
      <c r="O60" s="5"/>
      <c r="P60" s="88"/>
      <c r="Q60" s="95"/>
    </row>
    <row r="61" spans="4:17" s="2" customFormat="1" ht="12" customHeight="1">
      <c r="D61" s="22"/>
      <c r="E61" s="22"/>
      <c r="J61" s="5"/>
      <c r="K61" s="5"/>
      <c r="L61" s="5"/>
      <c r="M61" s="5"/>
      <c r="N61" s="5"/>
      <c r="O61" s="5"/>
      <c r="P61" s="88"/>
      <c r="Q61" s="95"/>
    </row>
    <row r="62" spans="4:17" s="2" customFormat="1" ht="12" customHeight="1">
      <c r="D62" s="22"/>
      <c r="E62" s="22"/>
      <c r="J62" s="5"/>
      <c r="K62" s="5"/>
      <c r="L62" s="5"/>
      <c r="M62" s="5"/>
      <c r="N62" s="5"/>
      <c r="O62" s="5"/>
      <c r="P62" s="88"/>
      <c r="Q62" s="95"/>
    </row>
    <row r="63" spans="4:17" s="2" customFormat="1" ht="12" customHeight="1">
      <c r="D63" s="22"/>
      <c r="E63" s="22"/>
      <c r="J63" s="5"/>
      <c r="K63" s="5"/>
      <c r="L63" s="5"/>
      <c r="M63" s="5"/>
      <c r="N63" s="5"/>
      <c r="O63" s="5"/>
      <c r="P63" s="88"/>
      <c r="Q63" s="96"/>
    </row>
    <row r="64" spans="4:17" s="2" customFormat="1" ht="12" customHeight="1">
      <c r="D64" s="22"/>
      <c r="E64" s="22"/>
      <c r="J64" s="5"/>
      <c r="K64" s="5"/>
      <c r="L64" s="5"/>
      <c r="M64" s="5"/>
      <c r="N64" s="5"/>
      <c r="O64" s="5"/>
      <c r="P64" s="88"/>
      <c r="Q64" s="96"/>
    </row>
    <row r="65" spans="1:17" s="2" customFormat="1" ht="12" customHeight="1">
      <c r="D65" s="22"/>
      <c r="E65" s="22"/>
      <c r="J65" s="5"/>
      <c r="K65" s="5"/>
      <c r="L65" s="5"/>
      <c r="M65" s="5"/>
      <c r="N65" s="5"/>
      <c r="O65" s="5"/>
      <c r="P65" s="88"/>
      <c r="Q65" s="96"/>
    </row>
    <row r="66" spans="1:17" s="2" customFormat="1" ht="12" customHeight="1">
      <c r="D66" s="22"/>
      <c r="E66" s="22"/>
      <c r="J66" s="5"/>
      <c r="K66" s="5"/>
      <c r="L66" s="5"/>
      <c r="M66" s="5"/>
      <c r="N66" s="5"/>
      <c r="O66" s="5"/>
      <c r="P66" s="88"/>
      <c r="Q66" s="96"/>
    </row>
    <row r="67" spans="1:17" s="2" customFormat="1" ht="12" customHeight="1">
      <c r="A67"/>
      <c r="B67"/>
      <c r="C67"/>
      <c r="D67" s="23"/>
      <c r="E67" s="23"/>
      <c r="F67"/>
      <c r="G67"/>
      <c r="H67"/>
      <c r="I67"/>
      <c r="J67" s="19"/>
      <c r="K67" s="19"/>
      <c r="L67" s="19"/>
      <c r="M67" s="19"/>
      <c r="N67" s="19"/>
      <c r="O67" s="19"/>
      <c r="P67" s="90"/>
      <c r="Q67" s="96"/>
    </row>
    <row r="68" spans="1:17" s="2" customFormat="1" ht="12" customHeight="1">
      <c r="A68"/>
      <c r="B68"/>
      <c r="C68"/>
      <c r="D68" s="23"/>
      <c r="E68" s="23"/>
      <c r="F68"/>
      <c r="G68"/>
      <c r="H68"/>
      <c r="I68"/>
      <c r="J68" s="19"/>
      <c r="K68" s="19"/>
      <c r="L68" s="19"/>
      <c r="M68" s="19"/>
      <c r="N68" s="19"/>
      <c r="O68" s="19"/>
      <c r="P68" s="90"/>
      <c r="Q68" s="96"/>
    </row>
    <row r="69" spans="1:17" s="2" customFormat="1" ht="12" customHeight="1">
      <c r="A69"/>
      <c r="B69"/>
      <c r="C69"/>
      <c r="D69" s="23"/>
      <c r="E69" s="23"/>
      <c r="F69"/>
      <c r="G69"/>
      <c r="H69"/>
      <c r="I69"/>
      <c r="J69" s="19"/>
      <c r="K69" s="19"/>
      <c r="L69" s="19"/>
      <c r="M69" s="19"/>
      <c r="N69" s="19"/>
      <c r="O69" s="19"/>
      <c r="P69" s="90"/>
      <c r="Q69" s="96"/>
    </row>
    <row r="70" spans="1:17" s="2" customFormat="1" ht="12" customHeight="1">
      <c r="A70"/>
      <c r="B70"/>
      <c r="C70"/>
      <c r="D70" s="23"/>
      <c r="E70" s="23"/>
      <c r="F70"/>
      <c r="G70"/>
      <c r="H70"/>
      <c r="I70"/>
      <c r="J70" s="19"/>
      <c r="K70" s="19"/>
      <c r="L70" s="19"/>
      <c r="M70" s="19"/>
      <c r="N70" s="19"/>
      <c r="O70" s="19"/>
      <c r="P70" s="90"/>
      <c r="Q70" s="96"/>
    </row>
    <row r="71" spans="1:17" s="2" customFormat="1" ht="12" customHeight="1">
      <c r="A71"/>
      <c r="B71"/>
      <c r="C71"/>
      <c r="D71" s="23"/>
      <c r="E71" s="23"/>
      <c r="F71"/>
      <c r="G71"/>
      <c r="H71"/>
      <c r="I71"/>
      <c r="J71" s="19"/>
      <c r="K71" s="19"/>
      <c r="L71" s="19"/>
      <c r="M71" s="19"/>
      <c r="N71" s="19"/>
      <c r="O71" s="19"/>
      <c r="P71" s="90"/>
      <c r="Q71" s="96"/>
    </row>
    <row r="72" spans="1:17">
      <c r="Q72" s="96"/>
    </row>
    <row r="73" spans="1:17">
      <c r="Q73" s="96"/>
    </row>
    <row r="74" spans="1:17">
      <c r="Q74" s="96"/>
    </row>
    <row r="75" spans="1:17">
      <c r="Q75" s="96"/>
    </row>
    <row r="76" spans="1:17">
      <c r="Q76" s="96"/>
    </row>
    <row r="77" spans="1:17">
      <c r="Q77" s="96"/>
    </row>
    <row r="78" spans="1:17">
      <c r="Q78" s="96"/>
    </row>
    <row r="79" spans="1:17">
      <c r="Q79" s="96"/>
    </row>
    <row r="80" spans="1:17">
      <c r="Q80" s="96"/>
    </row>
    <row r="81" spans="17:17">
      <c r="Q81" s="96"/>
    </row>
    <row r="82" spans="17:17">
      <c r="Q82" s="96"/>
    </row>
    <row r="83" spans="17:17">
      <c r="Q83" s="96"/>
    </row>
    <row r="84" spans="17:17">
      <c r="Q84" s="96"/>
    </row>
    <row r="85" spans="17:17">
      <c r="Q85" s="96"/>
    </row>
    <row r="86" spans="17:17">
      <c r="Q86" s="96"/>
    </row>
    <row r="87" spans="17:17">
      <c r="Q87" s="96"/>
    </row>
    <row r="88" spans="17:17">
      <c r="Q88" s="96"/>
    </row>
    <row r="89" spans="17:17">
      <c r="Q89" s="96"/>
    </row>
    <row r="90" spans="17:17">
      <c r="Q90" s="96"/>
    </row>
    <row r="91" spans="17:17">
      <c r="Q91" s="96"/>
    </row>
    <row r="128" ht="12" customHeight="1"/>
    <row r="129" ht="12" customHeight="1"/>
    <row r="130" ht="12" customHeight="1"/>
    <row r="131" ht="12" customHeight="1"/>
    <row r="132" ht="12" customHeight="1"/>
    <row r="133" ht="12" customHeight="1"/>
    <row r="134" ht="12" customHeight="1"/>
    <row r="135" ht="12" customHeight="1"/>
    <row r="136" ht="12" customHeight="1"/>
    <row r="137" ht="12" customHeight="1"/>
    <row r="138" ht="12" customHeight="1"/>
    <row r="139" ht="12" customHeight="1"/>
    <row r="140" ht="12" customHeight="1"/>
    <row r="141" ht="12" customHeight="1"/>
    <row r="142" ht="12" customHeight="1"/>
    <row r="143" ht="12" customHeight="1"/>
    <row r="144" ht="12" customHeight="1"/>
    <row r="145" ht="12" customHeight="1"/>
    <row r="146" ht="12" customHeight="1"/>
    <row r="147" ht="12" customHeight="1"/>
    <row r="148" ht="12" customHeight="1"/>
    <row r="149" ht="12" customHeight="1"/>
    <row r="150" ht="12" customHeight="1"/>
    <row r="151" ht="12" customHeight="1"/>
    <row r="152" ht="12" customHeight="1"/>
    <row r="153" ht="12" customHeight="1"/>
    <row r="154" ht="12" customHeight="1"/>
    <row r="155" ht="12" customHeight="1"/>
    <row r="156" ht="12" customHeight="1"/>
    <row r="157" ht="12" customHeight="1"/>
    <row r="158" ht="12" customHeight="1"/>
    <row r="159" ht="12" customHeight="1"/>
    <row r="160" ht="12" customHeight="1"/>
    <row r="161" ht="12" customHeight="1"/>
    <row r="162" ht="12" customHeight="1"/>
    <row r="163" ht="12" customHeight="1"/>
    <row r="164" ht="12" customHeight="1"/>
    <row r="165" ht="12" customHeight="1"/>
    <row r="166" ht="12" customHeight="1"/>
    <row r="167" ht="12" customHeight="1"/>
    <row r="168" ht="12" customHeight="1"/>
    <row r="169" ht="12" customHeight="1"/>
    <row r="170" ht="12" customHeight="1"/>
    <row r="171" ht="12" customHeight="1"/>
    <row r="172" ht="12" customHeight="1"/>
    <row r="173" ht="12" customHeight="1"/>
    <row r="174" ht="12" customHeight="1"/>
    <row r="175" ht="12" customHeight="1"/>
    <row r="176" ht="12" customHeight="1"/>
    <row r="177" ht="12" customHeight="1"/>
  </sheetData>
  <mergeCells count="25">
    <mergeCell ref="D24:E24"/>
    <mergeCell ref="H24:I24"/>
    <mergeCell ref="D22:E22"/>
    <mergeCell ref="H10:I10"/>
    <mergeCell ref="D11:E11"/>
    <mergeCell ref="D12:E12"/>
    <mergeCell ref="D13:E13"/>
    <mergeCell ref="D14:E14"/>
    <mergeCell ref="H17:I17"/>
    <mergeCell ref="D18:E18"/>
    <mergeCell ref="D19:E19"/>
    <mergeCell ref="D20:E20"/>
    <mergeCell ref="D21:E21"/>
    <mergeCell ref="D17:E17"/>
    <mergeCell ref="D7:E7"/>
    <mergeCell ref="D8:E8"/>
    <mergeCell ref="D10:E10"/>
    <mergeCell ref="D15:E15"/>
    <mergeCell ref="D16:E16"/>
    <mergeCell ref="D9:E9"/>
    <mergeCell ref="D1:E1"/>
    <mergeCell ref="D4:E4"/>
    <mergeCell ref="H4:I4"/>
    <mergeCell ref="D5:E5"/>
    <mergeCell ref="D6:E6"/>
  </mergeCells>
  <conditionalFormatting sqref="M5:M8 M18:M23">
    <cfRule type="cellIs" dxfId="316" priority="5" stopIfTrue="1" operator="lessThanOrEqual">
      <formula>$L5</formula>
    </cfRule>
    <cfRule type="cellIs" dxfId="315" priority="6" operator="greaterThan">
      <formula>L5</formula>
    </cfRule>
  </conditionalFormatting>
  <conditionalFormatting sqref="M11:M16">
    <cfRule type="cellIs" dxfId="314" priority="7" stopIfTrue="1" operator="lessThanOrEqual">
      <formula>$L11</formula>
    </cfRule>
    <cfRule type="cellIs" dxfId="313" priority="8" operator="greaterThan">
      <formula>L11</formula>
    </cfRule>
  </conditionalFormatting>
  <conditionalFormatting sqref="M9">
    <cfRule type="cellIs" dxfId="312" priority="1" stopIfTrue="1" operator="lessThanOrEqual">
      <formula>$L9</formula>
    </cfRule>
    <cfRule type="cellIs" dxfId="311" priority="2" operator="greaterThan">
      <formula>L9</formula>
    </cfRule>
  </conditionalFormatting>
  <pageMargins left="0.7" right="0.7" top="0.75" bottom="0.75" header="0.3" footer="0.3"/>
  <pageSetup paperSize="3" fitToHeight="0" orientation="landscape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97215A4D-6C96-454B-81A1-4240DA9F6C2E}">
          <x14:formula1>
            <xm:f>Bolts!$A:$A</xm:f>
          </x14:formula1>
          <xm:sqref>C18:C23</xm:sqref>
        </x14:dataValidation>
        <x14:dataValidation type="list" allowBlank="1" showInputMessage="1" showErrorMessage="1" xr:uid="{691641A7-40DD-41A2-A264-3E62D73DD9CA}">
          <x14:formula1>
            <xm:f>Purchased!$A:$A</xm:f>
          </x14:formula1>
          <xm:sqref>C11:C16</xm:sqref>
        </x14:dataValidation>
        <x14:dataValidation type="list" allowBlank="1" showInputMessage="1" showErrorMessage="1" xr:uid="{68633795-C3E5-4579-9EBD-766BC13ED5A4}">
          <x14:formula1>
            <xm:f>Machined!$C:$C</xm:f>
          </x14:formula1>
          <xm:sqref>C5:C9</xm:sqref>
        </x14:dataValidation>
      </x14:dataValidations>
    </ext>
  </extLst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33EEFE-45E1-446D-B817-EC2B1784E024}">
  <sheetPr codeName="Sheet95">
    <tabColor theme="3" tint="0.59999389629810485"/>
    <pageSetUpPr fitToPage="1"/>
  </sheetPr>
  <dimension ref="A1:R171"/>
  <sheetViews>
    <sheetView zoomScaleNormal="100" workbookViewId="0">
      <selection activeCell="M38" sqref="M38"/>
    </sheetView>
  </sheetViews>
  <sheetFormatPr defaultColWidth="9.140625" defaultRowHeight="15"/>
  <cols>
    <col min="1" max="1" width="5.7109375" customWidth="1"/>
    <col min="2" max="2" width="5.42578125" bestFit="1" customWidth="1"/>
    <col min="3" max="3" width="30.7109375" customWidth="1"/>
    <col min="4" max="5" width="20.7109375" style="23" customWidth="1"/>
    <col min="6" max="6" width="16.85546875" bestFit="1" customWidth="1"/>
    <col min="7" max="7" width="9.7109375" customWidth="1"/>
    <col min="8" max="8" width="8.7109375" customWidth="1"/>
    <col min="9" max="9" width="20.7109375" customWidth="1"/>
    <col min="10" max="13" width="11.7109375" style="19" customWidth="1"/>
    <col min="14" max="14" width="11.85546875" style="19" bestFit="1" customWidth="1"/>
    <col min="15" max="15" width="7.7109375" style="19" customWidth="1"/>
    <col min="16" max="16" width="10.7109375" style="90" customWidth="1"/>
    <col min="17" max="17" width="10.7109375" style="97" customWidth="1"/>
  </cols>
  <sheetData>
    <row r="1" spans="1:18" s="55" customFormat="1" ht="12" customHeight="1">
      <c r="A1" s="68" t="s">
        <v>0</v>
      </c>
      <c r="B1" s="69"/>
      <c r="C1" s="69"/>
      <c r="D1" s="262" t="s">
        <v>1</v>
      </c>
      <c r="E1" s="263"/>
      <c r="F1" s="70"/>
      <c r="G1" s="69"/>
      <c r="H1" s="70"/>
      <c r="I1" s="71"/>
      <c r="J1" s="72"/>
      <c r="K1" s="72"/>
      <c r="L1" s="72"/>
      <c r="M1" s="72"/>
      <c r="N1" s="72"/>
      <c r="O1" s="72"/>
      <c r="P1" s="85"/>
      <c r="Q1" s="91"/>
    </row>
    <row r="2" spans="1:18" s="55" customFormat="1" ht="12" customHeight="1">
      <c r="A2" s="74" t="s">
        <v>48</v>
      </c>
      <c r="B2" s="58"/>
      <c r="C2" s="57" t="e">
        <f ca="1">VLOOKUP(E3,Assemblies!B:F,4,0)</f>
        <v>#VALUE!</v>
      </c>
      <c r="D2" s="75" t="s">
        <v>3</v>
      </c>
      <c r="E2" s="76" t="e">
        <f ca="1">'GF12'!E2</f>
        <v>#VALUE!</v>
      </c>
      <c r="F2" s="77" t="s">
        <v>4</v>
      </c>
      <c r="G2" s="58" t="str">
        <f>'GF12'!G2</f>
        <v>GH</v>
      </c>
      <c r="H2" s="77" t="s">
        <v>6</v>
      </c>
      <c r="I2" s="59">
        <f>'GF12'!I2</f>
        <v>44775</v>
      </c>
      <c r="J2" s="39"/>
      <c r="K2" s="40" t="s">
        <v>49</v>
      </c>
      <c r="L2" s="41" t="e">
        <f ca="1">VLOOKUP(C2,Assemblies!E:G,3,0)</f>
        <v>#VALUE!</v>
      </c>
      <c r="M2" s="78"/>
      <c r="N2" s="78"/>
      <c r="O2" s="78"/>
      <c r="P2" s="86"/>
      <c r="Q2" s="92"/>
    </row>
    <row r="3" spans="1:18" s="55" customFormat="1" ht="12" customHeight="1" thickBot="1">
      <c r="A3" s="74" t="s">
        <v>7</v>
      </c>
      <c r="B3" s="58"/>
      <c r="C3" s="57" t="e">
        <f ca="1">VLOOKUP(E3,Assemblies!B:F,5,0)</f>
        <v>#VALUE!</v>
      </c>
      <c r="D3" s="75" t="s">
        <v>50</v>
      </c>
      <c r="E3" s="76" t="e">
        <f ca="1">MID(CELL("filename",A1),FIND("]",CELL("filename",A1))+1,256)</f>
        <v>#VALUE!</v>
      </c>
      <c r="F3" s="77" t="s">
        <v>11</v>
      </c>
      <c r="G3" s="58" t="str">
        <f>'GF12'!G3</f>
        <v>GH</v>
      </c>
      <c r="H3" s="77" t="s">
        <v>6</v>
      </c>
      <c r="I3" s="59">
        <f>'GF12'!I3</f>
        <v>44775</v>
      </c>
      <c r="J3" s="78"/>
      <c r="K3" s="78"/>
      <c r="L3" s="78"/>
      <c r="M3" s="78"/>
      <c r="N3" s="78"/>
      <c r="O3" s="78"/>
      <c r="P3" s="86"/>
      <c r="Q3" s="92"/>
    </row>
    <row r="4" spans="1:18" s="56" customFormat="1" ht="12.75" customHeight="1" thickBot="1">
      <c r="A4" s="80" t="s">
        <v>12</v>
      </c>
      <c r="B4" s="81" t="s">
        <v>13</v>
      </c>
      <c r="C4" s="81" t="s">
        <v>14</v>
      </c>
      <c r="D4" s="270" t="s">
        <v>15</v>
      </c>
      <c r="E4" s="271"/>
      <c r="F4" s="104" t="s">
        <v>16</v>
      </c>
      <c r="G4" s="81" t="s">
        <v>17</v>
      </c>
      <c r="H4" s="260" t="s">
        <v>18</v>
      </c>
      <c r="I4" s="261"/>
      <c r="J4" s="81" t="s">
        <v>51</v>
      </c>
      <c r="K4" s="81" t="s">
        <v>20</v>
      </c>
      <c r="L4" s="81" t="s">
        <v>21</v>
      </c>
      <c r="M4" s="81" t="s">
        <v>52</v>
      </c>
      <c r="N4" s="81" t="s">
        <v>22</v>
      </c>
      <c r="O4" s="81" t="s">
        <v>53</v>
      </c>
      <c r="P4" s="107" t="s">
        <v>26</v>
      </c>
      <c r="Q4" s="82" t="s">
        <v>27</v>
      </c>
    </row>
    <row r="5" spans="1:18" s="21" customFormat="1" ht="12.75" customHeight="1">
      <c r="A5" s="66" t="s">
        <v>54</v>
      </c>
      <c r="B5" s="1">
        <v>1</v>
      </c>
      <c r="C5" s="67" t="s">
        <v>1038</v>
      </c>
      <c r="D5" s="277" t="e">
        <f ca="1">VLOOKUP(C5,Assemblies!E:S,2,0)</f>
        <v>#N/A</v>
      </c>
      <c r="E5" s="278"/>
      <c r="F5" s="32"/>
      <c r="G5" s="32"/>
      <c r="H5" s="292"/>
      <c r="I5" s="293"/>
      <c r="J5" s="28"/>
      <c r="K5" s="28"/>
      <c r="L5" s="28"/>
      <c r="M5" s="28"/>
      <c r="N5" s="33"/>
      <c r="O5" s="46" t="e">
        <f t="shared" ref="O5:O9" ca="1" si="0">B5*$L$2</f>
        <v>#VALUE!</v>
      </c>
      <c r="P5" s="87">
        <f>'411'!Q19</f>
        <v>766.74613543333328</v>
      </c>
      <c r="Q5" s="93">
        <f t="shared" ref="Q5:Q9" si="1">B5*P5</f>
        <v>766.74613543333328</v>
      </c>
    </row>
    <row r="6" spans="1:18" s="21" customFormat="1" ht="12.75" customHeight="1">
      <c r="A6" s="66" t="s">
        <v>56</v>
      </c>
      <c r="B6" s="1">
        <v>1</v>
      </c>
      <c r="C6" s="67" t="s">
        <v>1039</v>
      </c>
      <c r="D6" s="277" t="e">
        <f ca="1">VLOOKUP(C6,Assemblies!E:S,2,0)</f>
        <v>#N/A</v>
      </c>
      <c r="E6" s="278"/>
      <c r="F6" s="32"/>
      <c r="G6" s="32"/>
      <c r="H6" s="292"/>
      <c r="I6" s="293"/>
      <c r="J6" s="28"/>
      <c r="K6" s="28"/>
      <c r="L6" s="28"/>
      <c r="M6" s="28"/>
      <c r="N6" s="33"/>
      <c r="O6" s="46" t="e">
        <f t="shared" ca="1" si="0"/>
        <v>#VALUE!</v>
      </c>
      <c r="P6" s="87">
        <f>'412'!Q26</f>
        <v>5976.7052000000003</v>
      </c>
      <c r="Q6" s="93">
        <f t="shared" si="1"/>
        <v>5976.7052000000003</v>
      </c>
    </row>
    <row r="7" spans="1:18" s="21" customFormat="1" ht="12.75" customHeight="1">
      <c r="A7" s="66" t="s">
        <v>58</v>
      </c>
      <c r="B7" s="1">
        <v>1</v>
      </c>
      <c r="C7" s="67" t="s">
        <v>1040</v>
      </c>
      <c r="D7" s="277" t="e">
        <f ca="1">VLOOKUP(C7,Assemblies!E:S,2,0)</f>
        <v>#N/A</v>
      </c>
      <c r="E7" s="278"/>
      <c r="F7" s="32"/>
      <c r="G7" s="32"/>
      <c r="H7" s="292"/>
      <c r="I7" s="293"/>
      <c r="J7" s="28"/>
      <c r="K7" s="28"/>
      <c r="L7" s="28"/>
      <c r="M7" s="28"/>
      <c r="N7" s="33"/>
      <c r="O7" s="46" t="e">
        <f t="shared" ca="1" si="0"/>
        <v>#VALUE!</v>
      </c>
      <c r="P7" s="87">
        <f>'413'!Q25</f>
        <v>1707.65</v>
      </c>
      <c r="Q7" s="93">
        <f t="shared" si="1"/>
        <v>1707.65</v>
      </c>
    </row>
    <row r="8" spans="1:18" s="21" customFormat="1" ht="12.75" customHeight="1">
      <c r="A8" s="66" t="s">
        <v>60</v>
      </c>
      <c r="B8" s="1">
        <v>2</v>
      </c>
      <c r="C8" s="67" t="s">
        <v>1041</v>
      </c>
      <c r="D8" s="277" t="e">
        <f ca="1">VLOOKUP(C8,Assemblies!E:S,2,0)</f>
        <v>#N/A</v>
      </c>
      <c r="E8" s="278"/>
      <c r="F8" s="32"/>
      <c r="G8" s="32"/>
      <c r="H8" s="292"/>
      <c r="I8" s="293"/>
      <c r="J8" s="28"/>
      <c r="K8" s="28"/>
      <c r="L8" s="28"/>
      <c r="M8" s="28"/>
      <c r="N8" s="33"/>
      <c r="O8" s="46" t="e">
        <f t="shared" ca="1" si="0"/>
        <v>#VALUE!</v>
      </c>
      <c r="P8" s="87">
        <f>'414'!Q19</f>
        <v>175.48000000000002</v>
      </c>
      <c r="Q8" s="93">
        <f t="shared" si="1"/>
        <v>350.96000000000004</v>
      </c>
    </row>
    <row r="9" spans="1:18" s="21" customFormat="1" ht="12.75" customHeight="1">
      <c r="A9" s="66" t="s">
        <v>62</v>
      </c>
      <c r="B9" s="1">
        <v>4</v>
      </c>
      <c r="C9" s="67" t="s">
        <v>1042</v>
      </c>
      <c r="D9" s="277" t="e">
        <f ca="1">VLOOKUP(C9,Assemblies!E:S,2,0)</f>
        <v>#N/A</v>
      </c>
      <c r="E9" s="278"/>
      <c r="F9" s="32"/>
      <c r="G9" s="32"/>
      <c r="H9" s="292"/>
      <c r="I9" s="293"/>
      <c r="J9" s="28"/>
      <c r="K9" s="28"/>
      <c r="L9" s="28"/>
      <c r="M9" s="28"/>
      <c r="N9" s="33"/>
      <c r="O9" s="46" t="e">
        <f t="shared" ca="1" si="0"/>
        <v>#VALUE!</v>
      </c>
      <c r="P9" s="87">
        <f>'415'!Q14</f>
        <v>323.68610000000001</v>
      </c>
      <c r="Q9" s="93">
        <f t="shared" si="1"/>
        <v>1294.7444</v>
      </c>
    </row>
    <row r="10" spans="1:18" s="21" customFormat="1" ht="12.75" customHeight="1">
      <c r="A10" s="66" t="s">
        <v>64</v>
      </c>
      <c r="B10" s="1">
        <v>1</v>
      </c>
      <c r="C10" s="67" t="s">
        <v>1043</v>
      </c>
      <c r="D10" s="277" t="e">
        <f ca="1">VLOOKUP(C10,Assemblies!E:S,2,0)</f>
        <v>#N/A</v>
      </c>
      <c r="E10" s="278"/>
      <c r="F10" s="32"/>
      <c r="G10" s="32"/>
      <c r="H10" s="292"/>
      <c r="I10" s="293"/>
      <c r="J10" s="28"/>
      <c r="K10" s="28"/>
      <c r="L10" s="28"/>
      <c r="M10" s="28"/>
      <c r="N10" s="33"/>
      <c r="O10" s="46" t="e">
        <f t="shared" ref="O10" ca="1" si="2">B10*$L$2</f>
        <v>#VALUE!</v>
      </c>
      <c r="P10" s="87">
        <f>'416'!Q15</f>
        <v>31.96</v>
      </c>
      <c r="Q10" s="93">
        <f t="shared" ref="Q10" si="3">B10*P10</f>
        <v>31.96</v>
      </c>
    </row>
    <row r="11" spans="1:18" s="21" customFormat="1" ht="12.75" customHeight="1">
      <c r="A11" s="25"/>
      <c r="B11" s="26"/>
      <c r="C11" s="26"/>
      <c r="D11" s="272"/>
      <c r="E11" s="273"/>
      <c r="F11" s="26"/>
      <c r="G11" s="26"/>
      <c r="H11" s="274"/>
      <c r="I11" s="275"/>
      <c r="J11" s="27"/>
      <c r="K11" s="27"/>
      <c r="L11" s="27"/>
      <c r="M11" s="28"/>
      <c r="N11" s="29"/>
      <c r="O11" s="29"/>
      <c r="P11" s="141"/>
      <c r="Q11" s="142"/>
      <c r="R11" s="20"/>
    </row>
    <row r="12" spans="1:18" s="2" customFormat="1" ht="12.75" customHeight="1">
      <c r="A12" s="127">
        <v>1</v>
      </c>
      <c r="B12" s="21">
        <v>2</v>
      </c>
      <c r="C12" s="108" t="s">
        <v>1044</v>
      </c>
      <c r="D12" s="277" t="str">
        <f>VLOOKUP(C12,Machined!C:Q,2,0)</f>
        <v>MODIFIED IGUS JFRM 2835TR16X4 LEAD NUT</v>
      </c>
      <c r="E12" s="278"/>
      <c r="F12" s="131" t="str">
        <f>VLOOKUP(C12,Machined!C:R,7,0)</f>
        <v>PURCHASED</v>
      </c>
      <c r="G12" s="131" t="str">
        <f>VLOOKUP(C12,Machined!C:R,10,0)</f>
        <v>IGUS, NULINE</v>
      </c>
      <c r="H12" s="131" t="str">
        <f>VLOOKUP(C12,Machined!C:R,11,0)</f>
        <v>Nuline add center clearance hole</v>
      </c>
      <c r="I12" s="131"/>
      <c r="J12" s="42">
        <f>VLOOKUP(C12,Machined!C:R,12,0)</f>
        <v>45160</v>
      </c>
      <c r="K12" s="42">
        <f>VLOOKUP(C12,Machined!C:R,13,0)</f>
        <v>45160</v>
      </c>
      <c r="L12" s="42">
        <f>VLOOKUP(C12,Machined!C:R,14,0)</f>
        <v>45166</v>
      </c>
      <c r="M12" s="42">
        <f>VLOOKUP(C12,Machined!C:R,15,0)</f>
        <v>45166</v>
      </c>
      <c r="N12" s="43">
        <f>VLOOKUP(C12,Machined!C:R,16,0)</f>
        <v>55085</v>
      </c>
      <c r="O12" s="43" t="e">
        <f t="shared" ref="O12" ca="1" si="4">B12*$L$2</f>
        <v>#VALUE!</v>
      </c>
      <c r="P12" s="47">
        <f>IFERROR(VLOOKUP(C12,Machined!C:F,3,0),"")</f>
        <v>26.56</v>
      </c>
      <c r="Q12" s="48">
        <f t="shared" ref="Q12" si="5">IFERROR(B12*P12,"")</f>
        <v>53.12</v>
      </c>
    </row>
    <row r="13" spans="1:18" s="2" customFormat="1" ht="12.75" customHeight="1">
      <c r="A13" s="143"/>
      <c r="B13" s="26"/>
      <c r="C13" s="26"/>
      <c r="D13" s="272"/>
      <c r="E13" s="273"/>
      <c r="F13" s="26"/>
      <c r="G13" s="26"/>
      <c r="H13" s="274"/>
      <c r="I13" s="275"/>
      <c r="J13" s="27"/>
      <c r="K13" s="27"/>
      <c r="L13" s="27"/>
      <c r="M13" s="28"/>
      <c r="N13" s="29"/>
      <c r="O13" s="29"/>
      <c r="P13" s="141"/>
      <c r="Q13" s="142"/>
    </row>
    <row r="14" spans="1:18" s="2" customFormat="1" ht="12.75" customHeight="1">
      <c r="A14" s="4">
        <v>301</v>
      </c>
      <c r="B14" s="2">
        <v>1</v>
      </c>
      <c r="C14" s="114" t="s">
        <v>1045</v>
      </c>
      <c r="D14" s="268" t="str">
        <f>VLOOKUP(C14,Purchased!A:B,2,0)</f>
        <v>IGUS Drylin Lead Screw Nut</v>
      </c>
      <c r="E14" s="269"/>
      <c r="F14" s="112" t="str">
        <f>VLOOKUP(C14,Purchased!A:Q,9,0)</f>
        <v>IGUS</v>
      </c>
      <c r="G14" s="112" t="str">
        <f>VLOOKUP(C14,Purchased!A:Q,10,0)</f>
        <v>IGUS</v>
      </c>
      <c r="H14" s="112" t="str">
        <f>VLOOKUP(C14,Purchased!A:Q,12,0)</f>
        <v xml:space="preserve"> </v>
      </c>
      <c r="I14" s="113"/>
      <c r="J14" s="44">
        <f>VLOOKUP(C14,Purchased!A:Q,13,0)</f>
        <v>45154</v>
      </c>
      <c r="K14" s="44">
        <f>VLOOKUP(C14,Purchased!A:Q,14,0)</f>
        <v>45161</v>
      </c>
      <c r="L14" s="44">
        <f>VLOOKUP(C14,Purchased!A:Q,15,0)</f>
        <v>45191</v>
      </c>
      <c r="M14" s="44">
        <f>VLOOKUP(C14,Purchased!A:Q,16,0)</f>
        <v>45208</v>
      </c>
      <c r="N14" s="45">
        <f>VLOOKUP(C14,Purchased!A:Q,17,0)</f>
        <v>55076</v>
      </c>
      <c r="O14" s="45" t="e">
        <f t="shared" ref="O14" ca="1" si="6">B14*$L$2</f>
        <v>#VALUE!</v>
      </c>
      <c r="P14" s="49">
        <f>IFERROR(VLOOKUP(C14,Purchased!A:E,3,FALSE),"")</f>
        <v>27.9</v>
      </c>
      <c r="Q14" s="50">
        <f t="shared" ref="Q14" si="7">IFERROR(B14*P14,"")</f>
        <v>27.9</v>
      </c>
    </row>
    <row r="15" spans="1:18" s="2" customFormat="1" ht="12.75" customHeight="1">
      <c r="A15" s="25"/>
      <c r="B15" s="26"/>
      <c r="C15" s="26"/>
      <c r="D15" s="272"/>
      <c r="E15" s="273"/>
      <c r="F15" s="26"/>
      <c r="G15" s="26"/>
      <c r="H15" s="274"/>
      <c r="I15" s="275"/>
      <c r="J15" s="27"/>
      <c r="K15" s="27"/>
      <c r="L15" s="27"/>
      <c r="M15" s="28"/>
      <c r="N15" s="29"/>
      <c r="O15" s="29" t="e">
        <f t="shared" ref="O15:O16" ca="1" si="8">B15*$L$2</f>
        <v>#VALUE!</v>
      </c>
      <c r="P15" s="141"/>
      <c r="Q15" s="142"/>
    </row>
    <row r="16" spans="1:18" s="2" customFormat="1" ht="12.75" customHeight="1">
      <c r="A16" s="4">
        <v>501</v>
      </c>
      <c r="B16" s="2">
        <v>18</v>
      </c>
      <c r="C16" s="110" t="s">
        <v>828</v>
      </c>
      <c r="D16" s="268"/>
      <c r="E16" s="276"/>
      <c r="F16" s="112" t="str">
        <f>VLOOKUP(C16,Bolts!A:L,5,0)</f>
        <v xml:space="preserve">  </v>
      </c>
      <c r="G16" s="112" t="str">
        <f>VLOOKUP(C16,Bolts!A:L,6,0)</f>
        <v>Monroe Fasteners</v>
      </c>
      <c r="H16" s="112" t="str">
        <f>VLOOKUP(C16,Bolts!A:L,7,0)</f>
        <v xml:space="preserve">  </v>
      </c>
      <c r="I16" s="112"/>
      <c r="J16" s="44" t="str">
        <f>VLOOKUP(C16,Bolts!A:L,8,0)</f>
        <v xml:space="preserve"> </v>
      </c>
      <c r="K16" s="44" t="str">
        <f>VLOOKUP(C16,Bolts!A:L,9,0)</f>
        <v xml:space="preserve"> </v>
      </c>
      <c r="L16" s="44" t="str">
        <f>VLOOKUP(C16,Bolts!A:L,10,0)</f>
        <v xml:space="preserve"> </v>
      </c>
      <c r="M16" s="44" t="str">
        <f>VLOOKUP(C16,Bolts!A:L,11,0)</f>
        <v xml:space="preserve"> </v>
      </c>
      <c r="N16" s="45" t="str">
        <f>VLOOKUP(C16,Bolts!A:L,12,0)</f>
        <v xml:space="preserve"> </v>
      </c>
      <c r="O16" s="45" t="e">
        <f t="shared" ca="1" si="8"/>
        <v>#VALUE!</v>
      </c>
      <c r="P16" s="49" t="str">
        <f>IFERROR(VLOOKUP(C16,Bolts!A:B,2,FALSE),"")</f>
        <v xml:space="preserve"> </v>
      </c>
      <c r="Q16" s="50" t="str">
        <f t="shared" ref="Q16" si="9">IFERROR(B16*P16,"")</f>
        <v/>
      </c>
    </row>
    <row r="17" spans="1:17" s="2" customFormat="1" ht="12.75" customHeight="1" thickBot="1">
      <c r="A17" s="4">
        <v>502</v>
      </c>
      <c r="B17" s="2">
        <v>18</v>
      </c>
      <c r="C17" s="110" t="s">
        <v>595</v>
      </c>
      <c r="D17" s="268"/>
      <c r="E17" s="276"/>
      <c r="F17" s="112" t="str">
        <f>VLOOKUP(C17,Bolts!A:L,5,0)</f>
        <v xml:space="preserve">  </v>
      </c>
      <c r="G17" s="112" t="str">
        <f>VLOOKUP(C17,Bolts!A:L,6,0)</f>
        <v>Monroe Fasteners</v>
      </c>
      <c r="H17" s="112" t="str">
        <f>VLOOKUP(C17,Bolts!A:L,7,0)</f>
        <v xml:space="preserve">  </v>
      </c>
      <c r="I17" s="112"/>
      <c r="J17" s="44" t="str">
        <f>VLOOKUP(C17,Bolts!A:L,8,0)</f>
        <v xml:space="preserve"> </v>
      </c>
      <c r="K17" s="44" t="str">
        <f>VLOOKUP(C17,Bolts!A:L,9,0)</f>
        <v xml:space="preserve"> </v>
      </c>
      <c r="L17" s="44" t="str">
        <f>VLOOKUP(C17,Bolts!A:L,10,0)</f>
        <v xml:space="preserve"> </v>
      </c>
      <c r="M17" s="44" t="str">
        <f>VLOOKUP(C17,Bolts!A:L,11,0)</f>
        <v xml:space="preserve"> </v>
      </c>
      <c r="N17" s="45" t="str">
        <f>VLOOKUP(C17,Bolts!A:L,12,0)</f>
        <v xml:space="preserve"> </v>
      </c>
      <c r="O17" s="45" t="e">
        <f ca="1">B17*$L$2</f>
        <v>#VALUE!</v>
      </c>
      <c r="P17" s="49" t="str">
        <f>IFERROR(VLOOKUP(C17,Bolts!A:B,2,FALSE),"")</f>
        <v xml:space="preserve"> </v>
      </c>
      <c r="Q17" s="50" t="str">
        <f>IFERROR(B17*P17,"")</f>
        <v/>
      </c>
    </row>
    <row r="18" spans="1:17" s="2" customFormat="1" ht="12.75" customHeight="1" thickBot="1">
      <c r="A18" s="34"/>
      <c r="B18" s="35"/>
      <c r="C18" s="35"/>
      <c r="D18" s="256"/>
      <c r="E18" s="257"/>
      <c r="F18" s="35"/>
      <c r="G18" s="35"/>
      <c r="H18" s="294"/>
      <c r="I18" s="295"/>
      <c r="J18" s="36"/>
      <c r="K18" s="36"/>
      <c r="L18" s="36"/>
      <c r="M18" s="37"/>
      <c r="N18" s="38"/>
      <c r="O18" s="38"/>
      <c r="P18" s="89" t="s">
        <v>43</v>
      </c>
      <c r="Q18" s="94">
        <f>SUM(Q5:Q17)</f>
        <v>10209.785735433332</v>
      </c>
    </row>
    <row r="19" spans="1:17" s="2" customFormat="1" ht="12" customHeight="1">
      <c r="D19" s="22"/>
      <c r="E19" s="22"/>
      <c r="J19" s="8"/>
      <c r="K19" s="8"/>
      <c r="L19" s="8"/>
      <c r="M19" s="8"/>
      <c r="N19" s="5"/>
      <c r="O19" s="5"/>
      <c r="P19" s="88"/>
      <c r="Q19" s="95"/>
    </row>
    <row r="20" spans="1:17" s="2" customFormat="1" ht="12" customHeight="1">
      <c r="D20" s="22"/>
      <c r="E20" s="22"/>
      <c r="J20" s="5"/>
      <c r="K20" s="5"/>
      <c r="L20" s="5"/>
      <c r="M20" s="5"/>
      <c r="N20" s="5"/>
      <c r="O20" s="5"/>
      <c r="P20" s="88"/>
      <c r="Q20" s="95"/>
    </row>
    <row r="21" spans="1:17" s="2" customFormat="1" ht="12" customHeight="1">
      <c r="D21" s="22"/>
      <c r="E21" s="22"/>
      <c r="J21" s="5"/>
      <c r="K21" s="5"/>
      <c r="L21" s="5"/>
      <c r="M21" s="5"/>
      <c r="N21" s="5"/>
      <c r="O21" s="5"/>
      <c r="P21" s="88"/>
      <c r="Q21" s="95"/>
    </row>
    <row r="22" spans="1:17" s="2" customFormat="1" ht="12" customHeight="1">
      <c r="D22" s="22"/>
      <c r="E22" s="22"/>
      <c r="J22" s="5"/>
      <c r="K22" s="5"/>
      <c r="L22" s="5"/>
      <c r="M22" s="5"/>
      <c r="N22" s="5"/>
      <c r="O22" s="5"/>
      <c r="P22" s="88"/>
      <c r="Q22" s="95"/>
    </row>
    <row r="23" spans="1:17" s="2" customFormat="1" ht="12" customHeight="1">
      <c r="D23" s="22"/>
      <c r="E23" s="22"/>
      <c r="J23" s="5"/>
      <c r="K23" s="5"/>
      <c r="L23" s="5"/>
      <c r="M23" s="5"/>
      <c r="N23" s="5"/>
      <c r="O23" s="5"/>
      <c r="P23" s="88"/>
      <c r="Q23" s="95"/>
    </row>
    <row r="24" spans="1:17" s="2" customFormat="1" ht="12" customHeight="1">
      <c r="D24" s="22"/>
      <c r="E24" s="22"/>
      <c r="J24" s="5"/>
      <c r="K24" s="5"/>
      <c r="L24" s="5"/>
      <c r="M24" s="5"/>
      <c r="N24" s="5"/>
      <c r="O24" s="5"/>
      <c r="P24" s="88"/>
      <c r="Q24" s="95"/>
    </row>
    <row r="25" spans="1:17" s="2" customFormat="1" ht="12" customHeight="1">
      <c r="D25" s="22"/>
      <c r="E25" s="22"/>
      <c r="J25" s="5"/>
      <c r="K25" s="5"/>
      <c r="L25" s="5"/>
      <c r="M25" s="5"/>
      <c r="N25" s="5"/>
      <c r="O25" s="5"/>
      <c r="P25" s="88"/>
      <c r="Q25" s="95"/>
    </row>
    <row r="26" spans="1:17" s="2" customFormat="1" ht="12" customHeight="1">
      <c r="D26" s="22"/>
      <c r="E26" s="22"/>
      <c r="J26" s="5"/>
      <c r="K26" s="5"/>
      <c r="L26" s="5"/>
      <c r="M26" s="5"/>
      <c r="N26" s="5"/>
      <c r="O26" s="5"/>
      <c r="P26" s="88"/>
      <c r="Q26" s="95"/>
    </row>
    <row r="27" spans="1:17" s="2" customFormat="1" ht="12" customHeight="1">
      <c r="D27" s="22"/>
      <c r="E27" s="22"/>
      <c r="J27" s="5"/>
      <c r="K27" s="5"/>
      <c r="L27" s="5"/>
      <c r="M27" s="5"/>
      <c r="N27" s="5"/>
      <c r="O27" s="5"/>
      <c r="P27" s="88"/>
      <c r="Q27" s="95"/>
    </row>
    <row r="28" spans="1:17" s="2" customFormat="1" ht="12" customHeight="1">
      <c r="D28" s="22"/>
      <c r="E28" s="22"/>
      <c r="J28" s="5"/>
      <c r="K28" s="5"/>
      <c r="L28" s="5"/>
      <c r="M28" s="5"/>
      <c r="N28" s="5"/>
      <c r="O28" s="5"/>
      <c r="P28" s="88"/>
      <c r="Q28" s="95"/>
    </row>
    <row r="29" spans="1:17" s="2" customFormat="1" ht="12" customHeight="1">
      <c r="D29" s="22"/>
      <c r="E29" s="22"/>
      <c r="J29" s="5"/>
      <c r="K29" s="5"/>
      <c r="L29" s="5"/>
      <c r="M29" s="5"/>
      <c r="N29" s="5"/>
      <c r="O29" s="5"/>
      <c r="P29" s="88"/>
      <c r="Q29" s="95"/>
    </row>
    <row r="30" spans="1:17" s="2" customFormat="1" ht="12" customHeight="1">
      <c r="D30" s="22"/>
      <c r="E30" s="22"/>
      <c r="J30" s="5"/>
      <c r="K30" s="5"/>
      <c r="L30" s="5"/>
      <c r="M30" s="5"/>
      <c r="N30" s="5"/>
      <c r="O30" s="5"/>
      <c r="P30" s="88"/>
      <c r="Q30" s="95"/>
    </row>
    <row r="31" spans="1:17" s="2" customFormat="1" ht="12" customHeight="1">
      <c r="D31" s="22"/>
      <c r="E31" s="22"/>
      <c r="J31" s="5"/>
      <c r="K31" s="5"/>
      <c r="L31" s="5"/>
      <c r="M31" s="5"/>
      <c r="N31" s="5"/>
      <c r="O31" s="5"/>
      <c r="P31" s="88"/>
      <c r="Q31" s="95"/>
    </row>
    <row r="32" spans="1:17" s="2" customFormat="1" ht="12" customHeight="1">
      <c r="D32" s="22"/>
      <c r="E32" s="22"/>
      <c r="J32" s="5"/>
      <c r="K32" s="5"/>
      <c r="L32" s="5"/>
      <c r="M32" s="5"/>
      <c r="N32" s="5"/>
      <c r="O32" s="5"/>
      <c r="P32" s="88"/>
      <c r="Q32" s="95"/>
    </row>
    <row r="33" spans="4:17" s="2" customFormat="1" ht="12" customHeight="1">
      <c r="D33" s="22"/>
      <c r="E33" s="22"/>
      <c r="J33" s="5"/>
      <c r="K33" s="5"/>
      <c r="L33" s="5"/>
      <c r="M33" s="5"/>
      <c r="N33" s="5"/>
      <c r="O33" s="5"/>
      <c r="P33" s="88"/>
      <c r="Q33" s="95"/>
    </row>
    <row r="34" spans="4:17" s="2" customFormat="1" ht="12" customHeight="1">
      <c r="D34" s="22"/>
      <c r="E34" s="22"/>
      <c r="J34" s="5"/>
      <c r="K34" s="5"/>
      <c r="L34" s="5"/>
      <c r="M34" s="5"/>
      <c r="N34" s="5"/>
      <c r="O34" s="5"/>
      <c r="P34" s="88"/>
      <c r="Q34" s="95"/>
    </row>
    <row r="35" spans="4:17" s="2" customFormat="1" ht="12" customHeight="1">
      <c r="D35" s="22"/>
      <c r="E35" s="22"/>
      <c r="J35" s="5"/>
      <c r="K35" s="5"/>
      <c r="L35" s="5"/>
      <c r="M35" s="5"/>
      <c r="N35" s="5"/>
      <c r="O35" s="5"/>
      <c r="P35" s="88"/>
      <c r="Q35" s="95"/>
    </row>
    <row r="36" spans="4:17" s="2" customFormat="1" ht="12" customHeight="1">
      <c r="D36" s="22"/>
      <c r="E36" s="22"/>
      <c r="J36" s="5"/>
      <c r="K36" s="5"/>
      <c r="L36" s="5"/>
      <c r="M36" s="5"/>
      <c r="N36" s="5"/>
      <c r="O36" s="5"/>
      <c r="P36" s="88"/>
      <c r="Q36" s="95"/>
    </row>
    <row r="37" spans="4:17" s="2" customFormat="1" ht="12" customHeight="1">
      <c r="D37" s="22"/>
      <c r="E37" s="22"/>
      <c r="J37" s="5"/>
      <c r="K37" s="5"/>
      <c r="L37" s="5"/>
      <c r="M37" s="5"/>
      <c r="N37" s="5"/>
      <c r="O37" s="5"/>
      <c r="P37" s="88"/>
      <c r="Q37" s="95"/>
    </row>
    <row r="38" spans="4:17" s="2" customFormat="1" ht="12" customHeight="1">
      <c r="D38" s="22"/>
      <c r="E38" s="22"/>
      <c r="J38" s="5"/>
      <c r="K38" s="5"/>
      <c r="L38" s="5"/>
      <c r="M38" s="5"/>
      <c r="N38" s="5"/>
      <c r="O38" s="5"/>
      <c r="P38" s="88"/>
      <c r="Q38" s="95"/>
    </row>
    <row r="39" spans="4:17" s="2" customFormat="1" ht="12" customHeight="1">
      <c r="D39" s="22"/>
      <c r="E39" s="22"/>
      <c r="J39" s="5"/>
      <c r="K39" s="5"/>
      <c r="L39" s="5"/>
      <c r="M39" s="5"/>
      <c r="N39" s="5"/>
      <c r="O39" s="5"/>
      <c r="P39" s="88"/>
      <c r="Q39" s="95"/>
    </row>
    <row r="40" spans="4:17" s="2" customFormat="1" ht="12" customHeight="1">
      <c r="D40" s="22"/>
      <c r="E40" s="22"/>
      <c r="J40" s="5"/>
      <c r="K40" s="5"/>
      <c r="L40" s="5"/>
      <c r="M40" s="5"/>
      <c r="N40" s="5"/>
      <c r="O40" s="5"/>
      <c r="P40" s="88"/>
      <c r="Q40" s="95"/>
    </row>
    <row r="41" spans="4:17" s="2" customFormat="1" ht="12" customHeight="1">
      <c r="D41" s="22"/>
      <c r="E41" s="22"/>
      <c r="J41" s="5"/>
      <c r="K41" s="5"/>
      <c r="L41" s="5"/>
      <c r="M41" s="5"/>
      <c r="N41" s="5"/>
      <c r="O41" s="5"/>
      <c r="P41" s="88"/>
      <c r="Q41" s="95"/>
    </row>
    <row r="42" spans="4:17" s="2" customFormat="1" ht="12" customHeight="1">
      <c r="D42" s="22"/>
      <c r="E42" s="22"/>
      <c r="J42" s="5"/>
      <c r="K42" s="5"/>
      <c r="L42" s="5"/>
      <c r="M42" s="5"/>
      <c r="N42" s="5"/>
      <c r="O42" s="5"/>
      <c r="P42" s="88"/>
      <c r="Q42" s="95"/>
    </row>
    <row r="43" spans="4:17" s="2" customFormat="1" ht="12" customHeight="1">
      <c r="D43" s="22"/>
      <c r="E43" s="22"/>
      <c r="J43" s="5"/>
      <c r="K43" s="5"/>
      <c r="L43" s="5"/>
      <c r="M43" s="5"/>
      <c r="N43" s="5"/>
      <c r="O43" s="5"/>
      <c r="P43" s="88"/>
      <c r="Q43" s="95"/>
    </row>
    <row r="44" spans="4:17" s="2" customFormat="1" ht="12" customHeight="1">
      <c r="D44" s="22"/>
      <c r="E44" s="22"/>
      <c r="J44" s="5"/>
      <c r="K44" s="5"/>
      <c r="L44" s="5"/>
      <c r="M44" s="5"/>
      <c r="N44" s="5"/>
      <c r="O44" s="5"/>
      <c r="P44" s="88"/>
      <c r="Q44" s="95"/>
    </row>
    <row r="45" spans="4:17" s="2" customFormat="1" ht="12" customHeight="1">
      <c r="D45" s="22"/>
      <c r="E45" s="22"/>
      <c r="J45" s="5"/>
      <c r="K45" s="5"/>
      <c r="L45" s="5"/>
      <c r="M45" s="5"/>
      <c r="N45" s="5"/>
      <c r="O45" s="5"/>
      <c r="P45" s="88"/>
      <c r="Q45" s="95"/>
    </row>
    <row r="46" spans="4:17" s="2" customFormat="1" ht="12" customHeight="1">
      <c r="D46" s="22"/>
      <c r="E46" s="22"/>
      <c r="J46" s="5"/>
      <c r="K46" s="5"/>
      <c r="L46" s="5"/>
      <c r="M46" s="5"/>
      <c r="N46" s="5"/>
      <c r="O46" s="5"/>
      <c r="P46" s="88"/>
      <c r="Q46" s="95"/>
    </row>
    <row r="47" spans="4:17" s="2" customFormat="1" ht="12" customHeight="1">
      <c r="D47" s="22"/>
      <c r="E47" s="22"/>
      <c r="J47" s="5"/>
      <c r="K47" s="5"/>
      <c r="L47" s="5"/>
      <c r="M47" s="5"/>
      <c r="N47" s="5"/>
      <c r="O47" s="5"/>
      <c r="P47" s="88"/>
      <c r="Q47" s="95"/>
    </row>
    <row r="48" spans="4:17" s="2" customFormat="1" ht="12" customHeight="1">
      <c r="D48" s="22"/>
      <c r="E48" s="22"/>
      <c r="J48" s="5"/>
      <c r="K48" s="5"/>
      <c r="L48" s="5"/>
      <c r="M48" s="5"/>
      <c r="N48" s="5"/>
      <c r="O48" s="5"/>
      <c r="P48" s="88"/>
      <c r="Q48" s="95"/>
    </row>
    <row r="49" spans="1:17" s="2" customFormat="1" ht="12" customHeight="1">
      <c r="D49" s="22"/>
      <c r="E49" s="22"/>
      <c r="J49" s="5"/>
      <c r="K49" s="5"/>
      <c r="L49" s="5"/>
      <c r="M49" s="5"/>
      <c r="N49" s="5"/>
      <c r="O49" s="5"/>
      <c r="P49" s="88"/>
      <c r="Q49" s="95"/>
    </row>
    <row r="50" spans="1:17" s="2" customFormat="1" ht="12" customHeight="1">
      <c r="D50" s="22"/>
      <c r="E50" s="22"/>
      <c r="J50" s="5"/>
      <c r="K50" s="5"/>
      <c r="L50" s="5"/>
      <c r="M50" s="5"/>
      <c r="N50" s="5"/>
      <c r="O50" s="5"/>
      <c r="P50" s="88"/>
      <c r="Q50" s="95"/>
    </row>
    <row r="51" spans="1:17" s="2" customFormat="1" ht="12" customHeight="1">
      <c r="D51" s="22"/>
      <c r="E51" s="22"/>
      <c r="J51" s="5"/>
      <c r="K51" s="5"/>
      <c r="L51" s="5"/>
      <c r="M51" s="5"/>
      <c r="N51" s="5"/>
      <c r="O51" s="5"/>
      <c r="P51" s="88"/>
      <c r="Q51" s="95"/>
    </row>
    <row r="52" spans="1:17" s="2" customFormat="1" ht="12" customHeight="1">
      <c r="D52" s="22"/>
      <c r="E52" s="22"/>
      <c r="J52" s="5"/>
      <c r="K52" s="5"/>
      <c r="L52" s="5"/>
      <c r="M52" s="5"/>
      <c r="N52" s="5"/>
      <c r="O52" s="5"/>
      <c r="P52" s="88"/>
      <c r="Q52" s="95"/>
    </row>
    <row r="53" spans="1:17" s="2" customFormat="1" ht="12" customHeight="1">
      <c r="D53" s="22"/>
      <c r="E53" s="22"/>
      <c r="J53" s="5"/>
      <c r="K53" s="5"/>
      <c r="L53" s="5"/>
      <c r="M53" s="5"/>
      <c r="N53" s="5"/>
      <c r="O53" s="5"/>
      <c r="P53" s="88"/>
      <c r="Q53" s="95"/>
    </row>
    <row r="54" spans="1:17" s="2" customFormat="1" ht="12" customHeight="1">
      <c r="D54" s="22"/>
      <c r="E54" s="22"/>
      <c r="J54" s="5"/>
      <c r="K54" s="5"/>
      <c r="L54" s="5"/>
      <c r="M54" s="5"/>
      <c r="N54" s="5"/>
      <c r="O54" s="5"/>
      <c r="P54" s="88"/>
      <c r="Q54" s="95"/>
    </row>
    <row r="55" spans="1:17" s="2" customFormat="1" ht="12" customHeight="1">
      <c r="D55" s="22"/>
      <c r="E55" s="22"/>
      <c r="J55" s="5"/>
      <c r="K55" s="5"/>
      <c r="L55" s="5"/>
      <c r="M55" s="5"/>
      <c r="N55" s="5"/>
      <c r="O55" s="5"/>
      <c r="P55" s="88"/>
      <c r="Q55" s="95"/>
    </row>
    <row r="56" spans="1:17" s="2" customFormat="1" ht="12" customHeight="1">
      <c r="D56" s="22"/>
      <c r="E56" s="22"/>
      <c r="J56" s="5"/>
      <c r="K56" s="5"/>
      <c r="L56" s="5"/>
      <c r="M56" s="5"/>
      <c r="N56" s="5"/>
      <c r="O56" s="5"/>
      <c r="P56" s="88"/>
      <c r="Q56" s="95"/>
    </row>
    <row r="57" spans="1:17" s="2" customFormat="1" ht="12" customHeight="1">
      <c r="D57" s="22"/>
      <c r="E57" s="22"/>
      <c r="J57" s="5"/>
      <c r="K57" s="5"/>
      <c r="L57" s="5"/>
      <c r="M57" s="5"/>
      <c r="N57" s="5"/>
      <c r="O57" s="5"/>
      <c r="P57" s="88"/>
      <c r="Q57" s="96"/>
    </row>
    <row r="58" spans="1:17" s="2" customFormat="1" ht="12" customHeight="1">
      <c r="D58" s="22"/>
      <c r="E58" s="22"/>
      <c r="J58" s="5"/>
      <c r="K58" s="5"/>
      <c r="L58" s="5"/>
      <c r="M58" s="5"/>
      <c r="N58" s="5"/>
      <c r="O58" s="5"/>
      <c r="P58" s="88"/>
      <c r="Q58" s="96"/>
    </row>
    <row r="59" spans="1:17" s="2" customFormat="1" ht="12" customHeight="1">
      <c r="D59" s="22"/>
      <c r="E59" s="22"/>
      <c r="J59" s="5"/>
      <c r="K59" s="5"/>
      <c r="L59" s="5"/>
      <c r="M59" s="5"/>
      <c r="N59" s="5"/>
      <c r="O59" s="5"/>
      <c r="P59" s="88"/>
      <c r="Q59" s="96"/>
    </row>
    <row r="60" spans="1:17" s="2" customFormat="1" ht="12" customHeight="1">
      <c r="D60" s="22"/>
      <c r="E60" s="22"/>
      <c r="J60" s="5"/>
      <c r="K60" s="5"/>
      <c r="L60" s="5"/>
      <c r="M60" s="5"/>
      <c r="N60" s="5"/>
      <c r="O60" s="5"/>
      <c r="P60" s="88"/>
      <c r="Q60" s="96"/>
    </row>
    <row r="61" spans="1:17" s="2" customFormat="1" ht="12" customHeight="1">
      <c r="A61"/>
      <c r="B61"/>
      <c r="C61"/>
      <c r="D61" s="23"/>
      <c r="E61" s="23"/>
      <c r="F61"/>
      <c r="G61"/>
      <c r="H61"/>
      <c r="I61"/>
      <c r="J61" s="19"/>
      <c r="K61" s="19"/>
      <c r="L61" s="19"/>
      <c r="M61" s="19"/>
      <c r="N61" s="19"/>
      <c r="O61" s="19"/>
      <c r="P61" s="90"/>
      <c r="Q61" s="96"/>
    </row>
    <row r="62" spans="1:17" s="2" customFormat="1" ht="12" customHeight="1">
      <c r="A62"/>
      <c r="B62"/>
      <c r="C62"/>
      <c r="D62" s="23"/>
      <c r="E62" s="23"/>
      <c r="F62"/>
      <c r="G62"/>
      <c r="H62"/>
      <c r="I62"/>
      <c r="J62" s="19"/>
      <c r="K62" s="19"/>
      <c r="L62" s="19"/>
      <c r="M62" s="19"/>
      <c r="N62" s="19"/>
      <c r="O62" s="19"/>
      <c r="P62" s="90"/>
      <c r="Q62" s="96"/>
    </row>
    <row r="63" spans="1:17" s="2" customFormat="1" ht="12" customHeight="1">
      <c r="A63"/>
      <c r="B63"/>
      <c r="C63"/>
      <c r="D63" s="23"/>
      <c r="E63" s="23"/>
      <c r="F63"/>
      <c r="G63"/>
      <c r="H63"/>
      <c r="I63"/>
      <c r="J63" s="19"/>
      <c r="K63" s="19"/>
      <c r="L63" s="19"/>
      <c r="M63" s="19"/>
      <c r="N63" s="19"/>
      <c r="O63" s="19"/>
      <c r="P63" s="90"/>
      <c r="Q63" s="96"/>
    </row>
    <row r="64" spans="1:17" s="2" customFormat="1" ht="12" customHeight="1">
      <c r="A64"/>
      <c r="B64"/>
      <c r="C64"/>
      <c r="D64" s="23"/>
      <c r="E64" s="23"/>
      <c r="F64"/>
      <c r="G64"/>
      <c r="H64"/>
      <c r="I64"/>
      <c r="J64" s="19"/>
      <c r="K64" s="19"/>
      <c r="L64" s="19"/>
      <c r="M64" s="19"/>
      <c r="N64" s="19"/>
      <c r="O64" s="19"/>
      <c r="P64" s="90"/>
      <c r="Q64" s="96"/>
    </row>
    <row r="65" spans="1:17" s="2" customFormat="1" ht="12" customHeight="1">
      <c r="A65"/>
      <c r="B65"/>
      <c r="C65"/>
      <c r="D65" s="23"/>
      <c r="E65" s="23"/>
      <c r="F65"/>
      <c r="G65"/>
      <c r="H65"/>
      <c r="I65"/>
      <c r="J65" s="19"/>
      <c r="K65" s="19"/>
      <c r="L65" s="19"/>
      <c r="M65" s="19"/>
      <c r="N65" s="19"/>
      <c r="O65" s="19"/>
      <c r="P65" s="90"/>
      <c r="Q65" s="96"/>
    </row>
    <row r="66" spans="1:17">
      <c r="Q66" s="96"/>
    </row>
    <row r="67" spans="1:17">
      <c r="Q67" s="96"/>
    </row>
    <row r="68" spans="1:17">
      <c r="Q68" s="96"/>
    </row>
    <row r="69" spans="1:17">
      <c r="Q69" s="96"/>
    </row>
    <row r="70" spans="1:17">
      <c r="Q70" s="96"/>
    </row>
    <row r="71" spans="1:17">
      <c r="Q71" s="96"/>
    </row>
    <row r="72" spans="1:17">
      <c r="Q72" s="96"/>
    </row>
    <row r="73" spans="1:17">
      <c r="Q73" s="96"/>
    </row>
    <row r="74" spans="1:17">
      <c r="Q74" s="96"/>
    </row>
    <row r="75" spans="1:17">
      <c r="Q75" s="96"/>
    </row>
    <row r="76" spans="1:17">
      <c r="Q76" s="96"/>
    </row>
    <row r="77" spans="1:17">
      <c r="Q77" s="96"/>
    </row>
    <row r="78" spans="1:17">
      <c r="Q78" s="96"/>
    </row>
    <row r="79" spans="1:17">
      <c r="Q79" s="96"/>
    </row>
    <row r="80" spans="1:17">
      <c r="Q80" s="96"/>
    </row>
    <row r="81" spans="17:17">
      <c r="Q81" s="96"/>
    </row>
    <row r="82" spans="17:17">
      <c r="Q82" s="96"/>
    </row>
    <row r="83" spans="17:17">
      <c r="Q83" s="96"/>
    </row>
    <row r="84" spans="17:17">
      <c r="Q84" s="96"/>
    </row>
    <row r="85" spans="17:17">
      <c r="Q85" s="96"/>
    </row>
    <row r="122" ht="12" customHeight="1"/>
    <row r="123" ht="12" customHeight="1"/>
    <row r="124" ht="12" customHeight="1"/>
    <row r="125" ht="12" customHeight="1"/>
    <row r="126" ht="12" customHeight="1"/>
    <row r="127" ht="12" customHeight="1"/>
    <row r="128" ht="12" customHeight="1"/>
    <row r="129" ht="12" customHeight="1"/>
    <row r="130" ht="12" customHeight="1"/>
    <row r="131" ht="12" customHeight="1"/>
    <row r="132" ht="12" customHeight="1"/>
    <row r="133" ht="12" customHeight="1"/>
    <row r="134" ht="12" customHeight="1"/>
    <row r="135" ht="12" customHeight="1"/>
    <row r="136" ht="12" customHeight="1"/>
    <row r="137" ht="12" customHeight="1"/>
    <row r="138" ht="12" customHeight="1"/>
    <row r="139" ht="12" customHeight="1"/>
    <row r="140" ht="12" customHeight="1"/>
    <row r="141" ht="12" customHeight="1"/>
    <row r="142" ht="12" customHeight="1"/>
    <row r="143" ht="12" customHeight="1"/>
    <row r="144" ht="12" customHeight="1"/>
    <row r="145" ht="12" customHeight="1"/>
    <row r="146" ht="12" customHeight="1"/>
    <row r="147" ht="12" customHeight="1"/>
    <row r="148" ht="12" customHeight="1"/>
    <row r="149" ht="12" customHeight="1"/>
    <row r="150" ht="12" customHeight="1"/>
    <row r="151" ht="12" customHeight="1"/>
    <row r="152" ht="12" customHeight="1"/>
    <row r="153" ht="12" customHeight="1"/>
    <row r="154" ht="12" customHeight="1"/>
    <row r="155" ht="12" customHeight="1"/>
    <row r="156" ht="12" customHeight="1"/>
    <row r="157" ht="12" customHeight="1"/>
    <row r="158" ht="12" customHeight="1"/>
    <row r="159" ht="12" customHeight="1"/>
    <row r="160" ht="12" customHeight="1"/>
    <row r="161" ht="12" customHeight="1"/>
    <row r="162" ht="12" customHeight="1"/>
    <row r="163" ht="12" customHeight="1"/>
    <row r="164" ht="12" customHeight="1"/>
    <row r="165" ht="12" customHeight="1"/>
    <row r="166" ht="12" customHeight="1"/>
    <row r="167" ht="12" customHeight="1"/>
    <row r="168" ht="12" customHeight="1"/>
    <row r="169" ht="12" customHeight="1"/>
    <row r="170" ht="12" customHeight="1"/>
    <row r="171" ht="12" customHeight="1"/>
  </sheetData>
  <mergeCells count="27">
    <mergeCell ref="D18:E18"/>
    <mergeCell ref="H18:I18"/>
    <mergeCell ref="D15:E15"/>
    <mergeCell ref="D13:E13"/>
    <mergeCell ref="H13:I13"/>
    <mergeCell ref="D14:E14"/>
    <mergeCell ref="H15:I15"/>
    <mergeCell ref="D16:E16"/>
    <mergeCell ref="D17:E17"/>
    <mergeCell ref="D6:E6"/>
    <mergeCell ref="H6:I6"/>
    <mergeCell ref="D12:E12"/>
    <mergeCell ref="D11:E11"/>
    <mergeCell ref="H11:I11"/>
    <mergeCell ref="D7:E7"/>
    <mergeCell ref="H7:I7"/>
    <mergeCell ref="D8:E8"/>
    <mergeCell ref="H8:I8"/>
    <mergeCell ref="D9:E9"/>
    <mergeCell ref="H9:I9"/>
    <mergeCell ref="D10:E10"/>
    <mergeCell ref="H10:I10"/>
    <mergeCell ref="D1:E1"/>
    <mergeCell ref="D4:E4"/>
    <mergeCell ref="H4:I4"/>
    <mergeCell ref="D5:E5"/>
    <mergeCell ref="H5:I5"/>
  </mergeCells>
  <conditionalFormatting sqref="M12 M16:M17">
    <cfRule type="cellIs" dxfId="310" priority="3" stopIfTrue="1" operator="lessThanOrEqual">
      <formula>$L12</formula>
    </cfRule>
    <cfRule type="cellIs" dxfId="309" priority="4" operator="greaterThan">
      <formula>L12</formula>
    </cfRule>
  </conditionalFormatting>
  <conditionalFormatting sqref="M14">
    <cfRule type="cellIs" dxfId="308" priority="5" stopIfTrue="1" operator="lessThanOrEqual">
      <formula>$L14</formula>
    </cfRule>
    <cfRule type="cellIs" dxfId="307" priority="6" operator="greaterThan">
      <formula>L14</formula>
    </cfRule>
  </conditionalFormatting>
  <pageMargins left="0.7" right="0.7" top="0.75" bottom="0.75" header="0.3" footer="0.3"/>
  <pageSetup paperSize="3" fitToHeight="0" orientation="landscape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 xr:uid="{99779F74-EE93-4AAE-85B4-6681C7F97182}">
          <x14:formula1>
            <xm:f>Bolts!$A:$A</xm:f>
          </x14:formula1>
          <xm:sqref>C16:C17</xm:sqref>
        </x14:dataValidation>
        <x14:dataValidation type="list" allowBlank="1" showInputMessage="1" showErrorMessage="1" xr:uid="{E01BA07E-42AD-4A97-81D3-761D2F4F8556}">
          <x14:formula1>
            <xm:f>Assemblies!$E:$E</xm:f>
          </x14:formula1>
          <xm:sqref>C5:C10</xm:sqref>
        </x14:dataValidation>
        <x14:dataValidation type="list" allowBlank="1" showInputMessage="1" showErrorMessage="1" xr:uid="{C8C62BC3-6ECB-4488-9DE7-23452F4F88A5}">
          <x14:formula1>
            <xm:f>Purchased!$A:$A</xm:f>
          </x14:formula1>
          <xm:sqref>C14</xm:sqref>
        </x14:dataValidation>
        <x14:dataValidation type="list" allowBlank="1" showInputMessage="1" showErrorMessage="1" xr:uid="{27741B4E-C449-4023-B4EF-794D6DA63E4C}">
          <x14:formula1>
            <xm:f>Machined!$C:$C</xm:f>
          </x14:formula1>
          <xm:sqref>C12</xm:sqref>
        </x14:dataValidation>
      </x14:dataValidations>
    </ext>
  </extLst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A21E7-74EA-4FD4-84BD-4754221BE639}">
  <sheetPr codeName="Sheet96">
    <tabColor theme="3" tint="0.59999389629810485"/>
    <pageSetUpPr fitToPage="1"/>
  </sheetPr>
  <dimension ref="A1:R171"/>
  <sheetViews>
    <sheetView zoomScaleNormal="100" workbookViewId="0">
      <selection activeCell="L31" sqref="L31"/>
    </sheetView>
  </sheetViews>
  <sheetFormatPr defaultColWidth="9.140625" defaultRowHeight="15"/>
  <cols>
    <col min="1" max="1" width="5.7109375" customWidth="1"/>
    <col min="2" max="2" width="5.42578125" bestFit="1" customWidth="1"/>
    <col min="3" max="3" width="30.7109375" customWidth="1"/>
    <col min="4" max="5" width="20.7109375" style="23" customWidth="1"/>
    <col min="6" max="6" width="16.85546875" bestFit="1" customWidth="1"/>
    <col min="7" max="7" width="9.7109375" customWidth="1"/>
    <col min="8" max="8" width="8.7109375" customWidth="1"/>
    <col min="9" max="9" width="20.7109375" customWidth="1"/>
    <col min="10" max="13" width="11.7109375" style="19" customWidth="1"/>
    <col min="14" max="14" width="11.85546875" style="19" bestFit="1" customWidth="1"/>
    <col min="15" max="15" width="7.7109375" style="19" customWidth="1"/>
    <col min="16" max="16" width="10.7109375" style="90" customWidth="1"/>
    <col min="17" max="17" width="10.7109375" style="97" customWidth="1"/>
  </cols>
  <sheetData>
    <row r="1" spans="1:18" s="55" customFormat="1" ht="12" customHeight="1">
      <c r="A1" s="68" t="s">
        <v>0</v>
      </c>
      <c r="B1" s="69"/>
      <c r="C1" s="69"/>
      <c r="D1" s="262" t="s">
        <v>1</v>
      </c>
      <c r="E1" s="263"/>
      <c r="F1" s="70"/>
      <c r="G1" s="69"/>
      <c r="H1" s="70"/>
      <c r="I1" s="71"/>
      <c r="J1" s="72"/>
      <c r="K1" s="72"/>
      <c r="L1" s="72"/>
      <c r="M1" s="72"/>
      <c r="N1" s="72"/>
      <c r="O1" s="72"/>
      <c r="P1" s="85"/>
      <c r="Q1" s="91"/>
    </row>
    <row r="2" spans="1:18" s="55" customFormat="1" ht="12" customHeight="1">
      <c r="A2" s="74" t="s">
        <v>48</v>
      </c>
      <c r="B2" s="58"/>
      <c r="C2" s="57" t="e">
        <f ca="1">VLOOKUP(E3,Assemblies!B:F,4,0)</f>
        <v>#VALUE!</v>
      </c>
      <c r="D2" s="75" t="s">
        <v>3</v>
      </c>
      <c r="E2" s="76" t="e">
        <f ca="1">'GF12'!E2</f>
        <v>#VALUE!</v>
      </c>
      <c r="F2" s="77" t="s">
        <v>4</v>
      </c>
      <c r="G2" s="58" t="str">
        <f>'GF12'!G2</f>
        <v>GH</v>
      </c>
      <c r="H2" s="77" t="s">
        <v>6</v>
      </c>
      <c r="I2" s="59">
        <f>'GF12'!I2</f>
        <v>44775</v>
      </c>
      <c r="J2" s="39"/>
      <c r="K2" s="40" t="s">
        <v>49</v>
      </c>
      <c r="L2" s="41" t="e">
        <f ca="1">VLOOKUP(C2,Assemblies!E:G,3,0)</f>
        <v>#VALUE!</v>
      </c>
      <c r="M2" s="78"/>
      <c r="N2" s="78"/>
      <c r="O2" s="78"/>
      <c r="P2" s="86"/>
      <c r="Q2" s="92"/>
    </row>
    <row r="3" spans="1:18" s="55" customFormat="1" ht="12" customHeight="1" thickBot="1">
      <c r="A3" s="74" t="s">
        <v>7</v>
      </c>
      <c r="B3" s="58"/>
      <c r="C3" s="57" t="e">
        <f ca="1">VLOOKUP(E3,Assemblies!B:F,5,0)</f>
        <v>#VALUE!</v>
      </c>
      <c r="D3" s="75" t="s">
        <v>50</v>
      </c>
      <c r="E3" s="76" t="e">
        <f ca="1">MID(CELL("filename",A1),FIND("]",CELL("filename",A1))+1,256)</f>
        <v>#VALUE!</v>
      </c>
      <c r="F3" s="77" t="s">
        <v>11</v>
      </c>
      <c r="G3" s="58" t="str">
        <f>'GF12'!G3</f>
        <v>GH</v>
      </c>
      <c r="H3" s="77" t="s">
        <v>6</v>
      </c>
      <c r="I3" s="59">
        <f>'GF12'!I3</f>
        <v>44775</v>
      </c>
      <c r="J3" s="78"/>
      <c r="K3" s="78"/>
      <c r="L3" s="78"/>
      <c r="M3" s="78"/>
      <c r="N3" s="78"/>
      <c r="O3" s="78"/>
      <c r="P3" s="86"/>
      <c r="Q3" s="92"/>
    </row>
    <row r="4" spans="1:18" s="56" customFormat="1" ht="12.75" customHeight="1" thickBot="1">
      <c r="A4" s="80" t="s">
        <v>12</v>
      </c>
      <c r="B4" s="81" t="s">
        <v>13</v>
      </c>
      <c r="C4" s="81" t="s">
        <v>14</v>
      </c>
      <c r="D4" s="270" t="s">
        <v>15</v>
      </c>
      <c r="E4" s="271"/>
      <c r="F4" s="104" t="s">
        <v>16</v>
      </c>
      <c r="G4" s="81" t="s">
        <v>17</v>
      </c>
      <c r="H4" s="260" t="s">
        <v>18</v>
      </c>
      <c r="I4" s="261"/>
      <c r="J4" s="81" t="s">
        <v>51</v>
      </c>
      <c r="K4" s="81" t="s">
        <v>20</v>
      </c>
      <c r="L4" s="81" t="s">
        <v>21</v>
      </c>
      <c r="M4" s="81" t="s">
        <v>52</v>
      </c>
      <c r="N4" s="81" t="s">
        <v>22</v>
      </c>
      <c r="O4" s="81" t="s">
        <v>53</v>
      </c>
      <c r="P4" s="107" t="s">
        <v>26</v>
      </c>
      <c r="Q4" s="82" t="s">
        <v>27</v>
      </c>
    </row>
    <row r="5" spans="1:18" s="21" customFormat="1" ht="12.75" customHeight="1">
      <c r="A5" s="66" t="s">
        <v>54</v>
      </c>
      <c r="B5" s="1">
        <v>1</v>
      </c>
      <c r="C5" s="67" t="s">
        <v>1038</v>
      </c>
      <c r="D5" s="277" t="e">
        <f ca="1">VLOOKUP(C5,Assemblies!E:S,2,0)</f>
        <v>#N/A</v>
      </c>
      <c r="E5" s="278"/>
      <c r="F5" s="32"/>
      <c r="G5" s="32"/>
      <c r="H5" s="292"/>
      <c r="I5" s="293"/>
      <c r="J5" s="28"/>
      <c r="K5" s="28"/>
      <c r="L5" s="28"/>
      <c r="M5" s="28"/>
      <c r="N5" s="33"/>
      <c r="O5" s="46" t="e">
        <f t="shared" ref="O5:O9" ca="1" si="0">B5*$L$2</f>
        <v>#VALUE!</v>
      </c>
      <c r="P5" s="87">
        <f>'411'!Q19</f>
        <v>766.74613543333328</v>
      </c>
      <c r="Q5" s="93">
        <f t="shared" ref="Q5:Q9" si="1">B5*P5</f>
        <v>766.74613543333328</v>
      </c>
    </row>
    <row r="6" spans="1:18" s="21" customFormat="1" ht="12.75" customHeight="1">
      <c r="A6" s="66" t="s">
        <v>56</v>
      </c>
      <c r="B6" s="1">
        <v>1</v>
      </c>
      <c r="C6" s="67" t="s">
        <v>1096</v>
      </c>
      <c r="D6" s="277" t="e">
        <f ca="1">VLOOKUP(C6,Assemblies!E:S,2,0)</f>
        <v>#N/A</v>
      </c>
      <c r="E6" s="278"/>
      <c r="F6" s="32"/>
      <c r="G6" s="32"/>
      <c r="H6" s="292"/>
      <c r="I6" s="293"/>
      <c r="J6" s="28"/>
      <c r="K6" s="28"/>
      <c r="L6" s="28"/>
      <c r="M6" s="28"/>
      <c r="N6" s="33"/>
      <c r="O6" s="46" t="e">
        <f t="shared" ca="1" si="0"/>
        <v>#VALUE!</v>
      </c>
      <c r="P6" s="87">
        <f>'422'!Q27</f>
        <v>5976.7051999999994</v>
      </c>
      <c r="Q6" s="93">
        <f t="shared" si="1"/>
        <v>5976.7051999999994</v>
      </c>
    </row>
    <row r="7" spans="1:18" s="21" customFormat="1" ht="12.75" customHeight="1">
      <c r="A7" s="66" t="s">
        <v>58</v>
      </c>
      <c r="B7" s="1">
        <v>1</v>
      </c>
      <c r="C7" s="67" t="s">
        <v>1097</v>
      </c>
      <c r="D7" s="277" t="e">
        <f ca="1">VLOOKUP(C7,Assemblies!E:S,2,0)</f>
        <v>#N/A</v>
      </c>
      <c r="E7" s="278"/>
      <c r="F7" s="32"/>
      <c r="G7" s="32"/>
      <c r="H7" s="292"/>
      <c r="I7" s="293"/>
      <c r="J7" s="28"/>
      <c r="K7" s="28"/>
      <c r="L7" s="28"/>
      <c r="M7" s="28"/>
      <c r="N7" s="33"/>
      <c r="O7" s="46" t="e">
        <f t="shared" ca="1" si="0"/>
        <v>#VALUE!</v>
      </c>
      <c r="P7" s="87">
        <f>'423'!Q24</f>
        <v>1725.0500000000002</v>
      </c>
      <c r="Q7" s="93">
        <f t="shared" si="1"/>
        <v>1725.0500000000002</v>
      </c>
    </row>
    <row r="8" spans="1:18" s="21" customFormat="1" ht="12.75" customHeight="1">
      <c r="A8" s="66" t="s">
        <v>60</v>
      </c>
      <c r="B8" s="1">
        <v>2</v>
      </c>
      <c r="C8" s="67" t="s">
        <v>1041</v>
      </c>
      <c r="D8" s="277" t="e">
        <f ca="1">VLOOKUP(C8,Assemblies!E:S,2,0)</f>
        <v>#N/A</v>
      </c>
      <c r="E8" s="278"/>
      <c r="F8" s="32"/>
      <c r="G8" s="32"/>
      <c r="H8" s="292"/>
      <c r="I8" s="293"/>
      <c r="J8" s="28"/>
      <c r="K8" s="28"/>
      <c r="L8" s="28"/>
      <c r="M8" s="28"/>
      <c r="N8" s="33"/>
      <c r="O8" s="46" t="e">
        <f t="shared" ca="1" si="0"/>
        <v>#VALUE!</v>
      </c>
      <c r="P8" s="87">
        <f>'414'!Q19</f>
        <v>175.48000000000002</v>
      </c>
      <c r="Q8" s="93">
        <f t="shared" si="1"/>
        <v>350.96000000000004</v>
      </c>
    </row>
    <row r="9" spans="1:18" s="21" customFormat="1" ht="12.75" customHeight="1">
      <c r="A9" s="66" t="s">
        <v>62</v>
      </c>
      <c r="B9" s="1">
        <v>4</v>
      </c>
      <c r="C9" s="67" t="s">
        <v>1042</v>
      </c>
      <c r="D9" s="277" t="e">
        <f ca="1">VLOOKUP(C9,Assemblies!E:S,2,0)</f>
        <v>#N/A</v>
      </c>
      <c r="E9" s="278"/>
      <c r="F9" s="32"/>
      <c r="G9" s="32"/>
      <c r="H9" s="292"/>
      <c r="I9" s="293"/>
      <c r="J9" s="28"/>
      <c r="K9" s="28"/>
      <c r="L9" s="28"/>
      <c r="M9" s="28"/>
      <c r="N9" s="33"/>
      <c r="O9" s="46" t="e">
        <f t="shared" ca="1" si="0"/>
        <v>#VALUE!</v>
      </c>
      <c r="P9" s="87">
        <f>'415'!Q14</f>
        <v>323.68610000000001</v>
      </c>
      <c r="Q9" s="93">
        <f t="shared" si="1"/>
        <v>1294.7444</v>
      </c>
    </row>
    <row r="10" spans="1:18" s="21" customFormat="1" ht="12.75" customHeight="1">
      <c r="A10" s="66" t="s">
        <v>64</v>
      </c>
      <c r="B10" s="1">
        <v>1</v>
      </c>
      <c r="C10" s="67" t="s">
        <v>1043</v>
      </c>
      <c r="D10" s="277" t="e">
        <f ca="1">VLOOKUP(C10,Assemblies!E:S,2,0)</f>
        <v>#N/A</v>
      </c>
      <c r="E10" s="278"/>
      <c r="F10" s="32"/>
      <c r="G10" s="32"/>
      <c r="H10" s="292"/>
      <c r="I10" s="293"/>
      <c r="J10" s="28"/>
      <c r="K10" s="28"/>
      <c r="L10" s="28"/>
      <c r="M10" s="28"/>
      <c r="N10" s="33"/>
      <c r="O10" s="46" t="e">
        <f t="shared" ref="O10" ca="1" si="2">B10*$L$2</f>
        <v>#VALUE!</v>
      </c>
      <c r="P10" s="87">
        <f>'416'!Q15</f>
        <v>31.96</v>
      </c>
      <c r="Q10" s="93">
        <f t="shared" ref="Q10" si="3">B10*P10</f>
        <v>31.96</v>
      </c>
    </row>
    <row r="11" spans="1:18" s="21" customFormat="1" ht="12.75" customHeight="1">
      <c r="A11" s="25"/>
      <c r="B11" s="26"/>
      <c r="C11" s="26"/>
      <c r="D11" s="272"/>
      <c r="E11" s="273"/>
      <c r="F11" s="26"/>
      <c r="G11" s="26"/>
      <c r="H11" s="274"/>
      <c r="I11" s="275"/>
      <c r="J11" s="27"/>
      <c r="K11" s="27"/>
      <c r="L11" s="27"/>
      <c r="M11" s="28"/>
      <c r="N11" s="29"/>
      <c r="O11" s="29"/>
      <c r="P11" s="141"/>
      <c r="Q11" s="142"/>
      <c r="R11" s="20"/>
    </row>
    <row r="12" spans="1:18" s="2" customFormat="1" ht="12.75" customHeight="1">
      <c r="A12" s="127">
        <v>1</v>
      </c>
      <c r="B12" s="21">
        <v>2</v>
      </c>
      <c r="C12" s="108" t="s">
        <v>1044</v>
      </c>
      <c r="D12" s="277" t="str">
        <f>VLOOKUP(C12,Machined!C:Q,2,0)</f>
        <v>MODIFIED IGUS JFRM 2835TR16X4 LEAD NUT</v>
      </c>
      <c r="E12" s="278"/>
      <c r="F12" s="131" t="str">
        <f>VLOOKUP(C12,Machined!C:R,7,0)</f>
        <v>PURCHASED</v>
      </c>
      <c r="G12" s="131" t="str">
        <f>VLOOKUP(C12,Machined!C:R,10,0)</f>
        <v>IGUS, NULINE</v>
      </c>
      <c r="H12" s="131" t="str">
        <f>VLOOKUP(C12,Machined!C:R,11,0)</f>
        <v>Nuline add center clearance hole</v>
      </c>
      <c r="I12" s="131"/>
      <c r="J12" s="42">
        <f>VLOOKUP(C12,Machined!C:R,12,0)</f>
        <v>45160</v>
      </c>
      <c r="K12" s="42">
        <f>VLOOKUP(C12,Machined!C:R,13,0)</f>
        <v>45160</v>
      </c>
      <c r="L12" s="42">
        <f>VLOOKUP(C12,Machined!C:R,14,0)</f>
        <v>45166</v>
      </c>
      <c r="M12" s="42">
        <f>VLOOKUP(C12,Machined!C:R,15,0)</f>
        <v>45166</v>
      </c>
      <c r="N12" s="43">
        <f>VLOOKUP(C12,Machined!C:R,16,0)</f>
        <v>55085</v>
      </c>
      <c r="O12" s="43" t="e">
        <f t="shared" ref="O12" ca="1" si="4">B12*$L$2</f>
        <v>#VALUE!</v>
      </c>
      <c r="P12" s="47">
        <f>IFERROR(VLOOKUP(C12,Machined!C:F,3,0),"")</f>
        <v>26.56</v>
      </c>
      <c r="Q12" s="48">
        <f t="shared" ref="Q12" si="5">IFERROR(B12*P12,"")</f>
        <v>53.12</v>
      </c>
    </row>
    <row r="13" spans="1:18" s="2" customFormat="1" ht="12.75" customHeight="1">
      <c r="A13" s="143"/>
      <c r="B13" s="26"/>
      <c r="C13" s="26"/>
      <c r="D13" s="272"/>
      <c r="E13" s="273"/>
      <c r="F13" s="26"/>
      <c r="G13" s="26"/>
      <c r="H13" s="274"/>
      <c r="I13" s="275"/>
      <c r="J13" s="27"/>
      <c r="K13" s="27"/>
      <c r="L13" s="27"/>
      <c r="M13" s="28"/>
      <c r="N13" s="29"/>
      <c r="O13" s="29"/>
      <c r="P13" s="141"/>
      <c r="Q13" s="142"/>
    </row>
    <row r="14" spans="1:18" s="2" customFormat="1" ht="12.75" customHeight="1">
      <c r="A14" s="4">
        <v>301</v>
      </c>
      <c r="B14" s="2">
        <v>1</v>
      </c>
      <c r="C14" s="114" t="s">
        <v>1045</v>
      </c>
      <c r="D14" s="268" t="str">
        <f>VLOOKUP(C14,Purchased!A:B,2,0)</f>
        <v>IGUS Drylin Lead Screw Nut</v>
      </c>
      <c r="E14" s="269"/>
      <c r="F14" s="112" t="str">
        <f>VLOOKUP(C14,Purchased!A:Q,9,0)</f>
        <v>IGUS</v>
      </c>
      <c r="G14" s="112" t="str">
        <f>VLOOKUP(C14,Purchased!A:Q,10,0)</f>
        <v>IGUS</v>
      </c>
      <c r="H14" s="112" t="str">
        <f>VLOOKUP(C14,Purchased!A:Q,12,0)</f>
        <v xml:space="preserve"> </v>
      </c>
      <c r="I14" s="113"/>
      <c r="J14" s="44">
        <f>VLOOKUP(C14,Purchased!A:Q,13,0)</f>
        <v>45154</v>
      </c>
      <c r="K14" s="44">
        <f>VLOOKUP(C14,Purchased!A:Q,14,0)</f>
        <v>45161</v>
      </c>
      <c r="L14" s="44">
        <f>VLOOKUP(C14,Purchased!A:Q,15,0)</f>
        <v>45191</v>
      </c>
      <c r="M14" s="44">
        <f>VLOOKUP(C14,Purchased!A:Q,16,0)</f>
        <v>45208</v>
      </c>
      <c r="N14" s="45">
        <f>VLOOKUP(C14,Purchased!A:Q,17,0)</f>
        <v>55076</v>
      </c>
      <c r="O14" s="45" t="e">
        <f t="shared" ref="O14" ca="1" si="6">B14*$L$2</f>
        <v>#VALUE!</v>
      </c>
      <c r="P14" s="49">
        <f>IFERROR(VLOOKUP(C14,Purchased!A:E,3,FALSE),"")</f>
        <v>27.9</v>
      </c>
      <c r="Q14" s="50">
        <f t="shared" ref="Q14" si="7">IFERROR(B14*P14,"")</f>
        <v>27.9</v>
      </c>
    </row>
    <row r="15" spans="1:18" s="2" customFormat="1" ht="12.75" customHeight="1">
      <c r="A15" s="25"/>
      <c r="B15" s="26"/>
      <c r="C15" s="26"/>
      <c r="D15" s="272"/>
      <c r="E15" s="273"/>
      <c r="F15" s="26"/>
      <c r="G15" s="26"/>
      <c r="H15" s="274"/>
      <c r="I15" s="275"/>
      <c r="J15" s="27"/>
      <c r="K15" s="27"/>
      <c r="L15" s="27"/>
      <c r="M15" s="28"/>
      <c r="N15" s="29"/>
      <c r="O15" s="29" t="e">
        <f t="shared" ref="O15:O16" ca="1" si="8">B15*$L$2</f>
        <v>#VALUE!</v>
      </c>
      <c r="P15" s="141"/>
      <c r="Q15" s="142"/>
    </row>
    <row r="16" spans="1:18" s="2" customFormat="1" ht="12.75" customHeight="1">
      <c r="A16" s="4">
        <v>501</v>
      </c>
      <c r="B16" s="2">
        <v>18</v>
      </c>
      <c r="C16" s="110" t="s">
        <v>828</v>
      </c>
      <c r="D16" s="268"/>
      <c r="E16" s="276"/>
      <c r="F16" s="112" t="str">
        <f>VLOOKUP(C16,Bolts!A:L,5,0)</f>
        <v xml:space="preserve">  </v>
      </c>
      <c r="G16" s="112" t="str">
        <f>VLOOKUP(C16,Bolts!A:L,6,0)</f>
        <v>Monroe Fasteners</v>
      </c>
      <c r="H16" s="112" t="str">
        <f>VLOOKUP(C16,Bolts!A:L,7,0)</f>
        <v xml:space="preserve">  </v>
      </c>
      <c r="I16" s="112"/>
      <c r="J16" s="44" t="str">
        <f>VLOOKUP(C16,Bolts!A:L,8,0)</f>
        <v xml:space="preserve"> </v>
      </c>
      <c r="K16" s="44" t="str">
        <f>VLOOKUP(C16,Bolts!A:L,9,0)</f>
        <v xml:space="preserve"> </v>
      </c>
      <c r="L16" s="44" t="str">
        <f>VLOOKUP(C16,Bolts!A:L,10,0)</f>
        <v xml:space="preserve"> </v>
      </c>
      <c r="M16" s="44" t="str">
        <f>VLOOKUP(C16,Bolts!A:L,11,0)</f>
        <v xml:space="preserve"> </v>
      </c>
      <c r="N16" s="45" t="str">
        <f>VLOOKUP(C16,Bolts!A:L,12,0)</f>
        <v xml:space="preserve"> </v>
      </c>
      <c r="O16" s="45" t="e">
        <f t="shared" ca="1" si="8"/>
        <v>#VALUE!</v>
      </c>
      <c r="P16" s="49" t="str">
        <f>IFERROR(VLOOKUP(C16,Bolts!A:B,2,FALSE),"")</f>
        <v xml:space="preserve"> </v>
      </c>
      <c r="Q16" s="50" t="str">
        <f t="shared" ref="Q16" si="9">IFERROR(B16*P16,"")</f>
        <v/>
      </c>
    </row>
    <row r="17" spans="1:17" s="2" customFormat="1" ht="12.75" customHeight="1" thickBot="1">
      <c r="A17" s="4">
        <v>502</v>
      </c>
      <c r="B17" s="2">
        <v>18</v>
      </c>
      <c r="C17" s="110" t="s">
        <v>595</v>
      </c>
      <c r="D17" s="268"/>
      <c r="E17" s="276"/>
      <c r="F17" s="112" t="str">
        <f>VLOOKUP(C17,Bolts!A:L,5,0)</f>
        <v xml:space="preserve">  </v>
      </c>
      <c r="G17" s="112" t="str">
        <f>VLOOKUP(C17,Bolts!A:L,6,0)</f>
        <v>Monroe Fasteners</v>
      </c>
      <c r="H17" s="112" t="str">
        <f>VLOOKUP(C17,Bolts!A:L,7,0)</f>
        <v xml:space="preserve">  </v>
      </c>
      <c r="I17" s="112"/>
      <c r="J17" s="44" t="str">
        <f>VLOOKUP(C17,Bolts!A:L,8,0)</f>
        <v xml:space="preserve"> </v>
      </c>
      <c r="K17" s="44" t="str">
        <f>VLOOKUP(C17,Bolts!A:L,9,0)</f>
        <v xml:space="preserve"> </v>
      </c>
      <c r="L17" s="44" t="str">
        <f>VLOOKUP(C17,Bolts!A:L,10,0)</f>
        <v xml:space="preserve"> </v>
      </c>
      <c r="M17" s="44" t="str">
        <f>VLOOKUP(C17,Bolts!A:L,11,0)</f>
        <v xml:space="preserve"> </v>
      </c>
      <c r="N17" s="45" t="str">
        <f>VLOOKUP(C17,Bolts!A:L,12,0)</f>
        <v xml:space="preserve"> </v>
      </c>
      <c r="O17" s="45" t="e">
        <f ca="1">B17*$L$2</f>
        <v>#VALUE!</v>
      </c>
      <c r="P17" s="49" t="str">
        <f>IFERROR(VLOOKUP(C17,Bolts!A:B,2,FALSE),"")</f>
        <v xml:space="preserve"> </v>
      </c>
      <c r="Q17" s="50" t="str">
        <f>IFERROR(B17*P17,"")</f>
        <v/>
      </c>
    </row>
    <row r="18" spans="1:17" s="2" customFormat="1" ht="12.75" customHeight="1" thickBot="1">
      <c r="A18" s="34"/>
      <c r="B18" s="35"/>
      <c r="C18" s="35"/>
      <c r="D18" s="256"/>
      <c r="E18" s="257"/>
      <c r="F18" s="35"/>
      <c r="G18" s="35"/>
      <c r="H18" s="294"/>
      <c r="I18" s="295"/>
      <c r="J18" s="36"/>
      <c r="K18" s="36"/>
      <c r="L18" s="36"/>
      <c r="M18" s="37"/>
      <c r="N18" s="38"/>
      <c r="O18" s="38"/>
      <c r="P18" s="89" t="s">
        <v>43</v>
      </c>
      <c r="Q18" s="94">
        <f>SUM(Q5:Q17)</f>
        <v>10227.185735433333</v>
      </c>
    </row>
    <row r="19" spans="1:17" s="2" customFormat="1" ht="12" customHeight="1">
      <c r="D19" s="22"/>
      <c r="E19" s="22"/>
      <c r="J19" s="8"/>
      <c r="K19" s="8"/>
      <c r="L19" s="8"/>
      <c r="M19" s="8"/>
      <c r="N19" s="5"/>
      <c r="O19" s="5"/>
      <c r="P19" s="88"/>
      <c r="Q19" s="95"/>
    </row>
    <row r="20" spans="1:17" s="2" customFormat="1" ht="12" customHeight="1">
      <c r="D20" s="22"/>
      <c r="E20" s="22"/>
      <c r="J20" s="5"/>
      <c r="K20" s="5"/>
      <c r="L20" s="5"/>
      <c r="M20" s="5"/>
      <c r="N20" s="5"/>
      <c r="O20" s="5"/>
      <c r="P20" s="88"/>
      <c r="Q20" s="95"/>
    </row>
    <row r="21" spans="1:17" s="2" customFormat="1" ht="12" customHeight="1">
      <c r="D21" s="22"/>
      <c r="E21" s="22"/>
      <c r="J21" s="5"/>
      <c r="K21" s="5"/>
      <c r="L21" s="5"/>
      <c r="M21" s="5"/>
      <c r="N21" s="5"/>
      <c r="O21" s="5"/>
      <c r="P21" s="88"/>
      <c r="Q21" s="95"/>
    </row>
    <row r="22" spans="1:17" s="2" customFormat="1" ht="12" customHeight="1">
      <c r="D22" s="22"/>
      <c r="E22" s="22"/>
      <c r="J22" s="5"/>
      <c r="K22" s="5"/>
      <c r="L22" s="5"/>
      <c r="M22" s="5"/>
      <c r="N22" s="5"/>
      <c r="O22" s="5"/>
      <c r="P22" s="88"/>
      <c r="Q22" s="95"/>
    </row>
    <row r="23" spans="1:17" s="2" customFormat="1" ht="12" customHeight="1">
      <c r="D23" s="22"/>
      <c r="E23" s="22"/>
      <c r="J23" s="5"/>
      <c r="K23" s="5"/>
      <c r="L23" s="5"/>
      <c r="M23" s="5"/>
      <c r="N23" s="5"/>
      <c r="O23" s="5"/>
      <c r="P23" s="88"/>
      <c r="Q23" s="95"/>
    </row>
    <row r="24" spans="1:17" s="2" customFormat="1" ht="12" customHeight="1">
      <c r="D24" s="22"/>
      <c r="E24" s="22"/>
      <c r="J24" s="5"/>
      <c r="K24" s="5"/>
      <c r="L24" s="5"/>
      <c r="M24" s="5"/>
      <c r="N24" s="5"/>
      <c r="O24" s="5"/>
      <c r="P24" s="88"/>
      <c r="Q24" s="95"/>
    </row>
    <row r="25" spans="1:17" s="2" customFormat="1" ht="12" customHeight="1">
      <c r="D25" s="22"/>
      <c r="E25" s="22"/>
      <c r="J25" s="5"/>
      <c r="K25" s="5"/>
      <c r="L25" s="5"/>
      <c r="M25" s="5"/>
      <c r="N25" s="5"/>
      <c r="O25" s="5"/>
      <c r="P25" s="88"/>
      <c r="Q25" s="95"/>
    </row>
    <row r="26" spans="1:17" s="2" customFormat="1" ht="12" customHeight="1">
      <c r="D26" s="22"/>
      <c r="E26" s="22"/>
      <c r="J26" s="5"/>
      <c r="K26" s="5"/>
      <c r="L26" s="5"/>
      <c r="M26" s="5"/>
      <c r="N26" s="5"/>
      <c r="O26" s="5"/>
      <c r="P26" s="88"/>
      <c r="Q26" s="95"/>
    </row>
    <row r="27" spans="1:17" s="2" customFormat="1" ht="12" customHeight="1">
      <c r="D27" s="22"/>
      <c r="E27" s="22"/>
      <c r="J27" s="5"/>
      <c r="K27" s="5"/>
      <c r="L27" s="5"/>
      <c r="M27" s="5"/>
      <c r="N27" s="5"/>
      <c r="O27" s="5"/>
      <c r="P27" s="88"/>
      <c r="Q27" s="95"/>
    </row>
    <row r="28" spans="1:17" s="2" customFormat="1" ht="12" customHeight="1">
      <c r="D28" s="22"/>
      <c r="E28" s="22"/>
      <c r="J28" s="5"/>
      <c r="K28" s="5"/>
      <c r="L28" s="5"/>
      <c r="M28" s="5"/>
      <c r="N28" s="5"/>
      <c r="O28" s="5"/>
      <c r="P28" s="88"/>
      <c r="Q28" s="95"/>
    </row>
    <row r="29" spans="1:17" s="2" customFormat="1" ht="12" customHeight="1">
      <c r="D29" s="22"/>
      <c r="E29" s="22"/>
      <c r="J29" s="5"/>
      <c r="K29" s="5"/>
      <c r="L29" s="5"/>
      <c r="M29" s="5"/>
      <c r="N29" s="5"/>
      <c r="O29" s="5"/>
      <c r="P29" s="88"/>
      <c r="Q29" s="95"/>
    </row>
    <row r="30" spans="1:17" s="2" customFormat="1" ht="12" customHeight="1">
      <c r="D30" s="22"/>
      <c r="E30" s="22"/>
      <c r="J30" s="5"/>
      <c r="K30" s="5"/>
      <c r="L30" s="5"/>
      <c r="M30" s="5"/>
      <c r="N30" s="5"/>
      <c r="O30" s="5"/>
      <c r="P30" s="88"/>
      <c r="Q30" s="95"/>
    </row>
    <row r="31" spans="1:17" s="2" customFormat="1" ht="12" customHeight="1">
      <c r="D31" s="22"/>
      <c r="E31" s="22"/>
      <c r="J31" s="5"/>
      <c r="K31" s="5"/>
      <c r="L31" s="5"/>
      <c r="M31" s="5"/>
      <c r="N31" s="5"/>
      <c r="O31" s="5"/>
      <c r="P31" s="88"/>
      <c r="Q31" s="95"/>
    </row>
    <row r="32" spans="1:17" s="2" customFormat="1" ht="12" customHeight="1">
      <c r="D32" s="22"/>
      <c r="E32" s="22"/>
      <c r="J32" s="5"/>
      <c r="K32" s="5"/>
      <c r="L32" s="5"/>
      <c r="M32" s="5"/>
      <c r="N32" s="5"/>
      <c r="O32" s="5"/>
      <c r="P32" s="88"/>
      <c r="Q32" s="95"/>
    </row>
    <row r="33" spans="4:17" s="2" customFormat="1" ht="12" customHeight="1">
      <c r="D33" s="22"/>
      <c r="E33" s="22"/>
      <c r="J33" s="5"/>
      <c r="K33" s="5"/>
      <c r="L33" s="5"/>
      <c r="M33" s="5"/>
      <c r="N33" s="5"/>
      <c r="O33" s="5"/>
      <c r="P33" s="88"/>
      <c r="Q33" s="95"/>
    </row>
    <row r="34" spans="4:17" s="2" customFormat="1" ht="12" customHeight="1">
      <c r="D34" s="22"/>
      <c r="E34" s="22"/>
      <c r="J34" s="5"/>
      <c r="K34" s="5"/>
      <c r="L34" s="5"/>
      <c r="M34" s="5"/>
      <c r="N34" s="5"/>
      <c r="O34" s="5"/>
      <c r="P34" s="88"/>
      <c r="Q34" s="95"/>
    </row>
    <row r="35" spans="4:17" s="2" customFormat="1" ht="12" customHeight="1">
      <c r="D35" s="22"/>
      <c r="E35" s="22"/>
      <c r="J35" s="5"/>
      <c r="K35" s="5"/>
      <c r="L35" s="5"/>
      <c r="M35" s="5"/>
      <c r="N35" s="5"/>
      <c r="O35" s="5"/>
      <c r="P35" s="88"/>
      <c r="Q35" s="95"/>
    </row>
    <row r="36" spans="4:17" s="2" customFormat="1" ht="12" customHeight="1">
      <c r="D36" s="22"/>
      <c r="E36" s="22"/>
      <c r="J36" s="5"/>
      <c r="K36" s="5"/>
      <c r="L36" s="5"/>
      <c r="M36" s="5"/>
      <c r="N36" s="5"/>
      <c r="O36" s="5"/>
      <c r="P36" s="88"/>
      <c r="Q36" s="95"/>
    </row>
    <row r="37" spans="4:17" s="2" customFormat="1" ht="12" customHeight="1">
      <c r="D37" s="22"/>
      <c r="E37" s="22"/>
      <c r="J37" s="5"/>
      <c r="K37" s="5"/>
      <c r="L37" s="5"/>
      <c r="M37" s="5"/>
      <c r="N37" s="5"/>
      <c r="O37" s="5"/>
      <c r="P37" s="88"/>
      <c r="Q37" s="95"/>
    </row>
    <row r="38" spans="4:17" s="2" customFormat="1" ht="12" customHeight="1">
      <c r="D38" s="22"/>
      <c r="E38" s="22"/>
      <c r="J38" s="5"/>
      <c r="K38" s="5"/>
      <c r="L38" s="5"/>
      <c r="M38" s="5"/>
      <c r="N38" s="5"/>
      <c r="O38" s="5"/>
      <c r="P38" s="88"/>
      <c r="Q38" s="95"/>
    </row>
    <row r="39" spans="4:17" s="2" customFormat="1" ht="12" customHeight="1">
      <c r="D39" s="22"/>
      <c r="E39" s="22"/>
      <c r="J39" s="5"/>
      <c r="K39" s="5"/>
      <c r="L39" s="5"/>
      <c r="M39" s="5"/>
      <c r="N39" s="5"/>
      <c r="O39" s="5"/>
      <c r="P39" s="88"/>
      <c r="Q39" s="95"/>
    </row>
    <row r="40" spans="4:17" s="2" customFormat="1" ht="12" customHeight="1">
      <c r="D40" s="22"/>
      <c r="E40" s="22"/>
      <c r="J40" s="5"/>
      <c r="K40" s="5"/>
      <c r="L40" s="5"/>
      <c r="M40" s="5"/>
      <c r="N40" s="5"/>
      <c r="O40" s="5"/>
      <c r="P40" s="88"/>
      <c r="Q40" s="95"/>
    </row>
    <row r="41" spans="4:17" s="2" customFormat="1" ht="12" customHeight="1">
      <c r="D41" s="22"/>
      <c r="E41" s="22"/>
      <c r="J41" s="5"/>
      <c r="K41" s="5"/>
      <c r="L41" s="5"/>
      <c r="M41" s="5"/>
      <c r="N41" s="5"/>
      <c r="O41" s="5"/>
      <c r="P41" s="88"/>
      <c r="Q41" s="95"/>
    </row>
    <row r="42" spans="4:17" s="2" customFormat="1" ht="12" customHeight="1">
      <c r="D42" s="22"/>
      <c r="E42" s="22"/>
      <c r="J42" s="5"/>
      <c r="K42" s="5"/>
      <c r="L42" s="5"/>
      <c r="M42" s="5"/>
      <c r="N42" s="5"/>
      <c r="O42" s="5"/>
      <c r="P42" s="88"/>
      <c r="Q42" s="95"/>
    </row>
    <row r="43" spans="4:17" s="2" customFormat="1" ht="12" customHeight="1">
      <c r="D43" s="22"/>
      <c r="E43" s="22"/>
      <c r="J43" s="5"/>
      <c r="K43" s="5"/>
      <c r="L43" s="5"/>
      <c r="M43" s="5"/>
      <c r="N43" s="5"/>
      <c r="O43" s="5"/>
      <c r="P43" s="88"/>
      <c r="Q43" s="95"/>
    </row>
    <row r="44" spans="4:17" s="2" customFormat="1" ht="12" customHeight="1">
      <c r="D44" s="22"/>
      <c r="E44" s="22"/>
      <c r="J44" s="5"/>
      <c r="K44" s="5"/>
      <c r="L44" s="5"/>
      <c r="M44" s="5"/>
      <c r="N44" s="5"/>
      <c r="O44" s="5"/>
      <c r="P44" s="88"/>
      <c r="Q44" s="95"/>
    </row>
    <row r="45" spans="4:17" s="2" customFormat="1" ht="12" customHeight="1">
      <c r="D45" s="22"/>
      <c r="E45" s="22"/>
      <c r="J45" s="5"/>
      <c r="K45" s="5"/>
      <c r="L45" s="5"/>
      <c r="M45" s="5"/>
      <c r="N45" s="5"/>
      <c r="O45" s="5"/>
      <c r="P45" s="88"/>
      <c r="Q45" s="95"/>
    </row>
    <row r="46" spans="4:17" s="2" customFormat="1" ht="12" customHeight="1">
      <c r="D46" s="22"/>
      <c r="E46" s="22"/>
      <c r="J46" s="5"/>
      <c r="K46" s="5"/>
      <c r="L46" s="5"/>
      <c r="M46" s="5"/>
      <c r="N46" s="5"/>
      <c r="O46" s="5"/>
      <c r="P46" s="88"/>
      <c r="Q46" s="95"/>
    </row>
    <row r="47" spans="4:17" s="2" customFormat="1" ht="12" customHeight="1">
      <c r="D47" s="22"/>
      <c r="E47" s="22"/>
      <c r="J47" s="5"/>
      <c r="K47" s="5"/>
      <c r="L47" s="5"/>
      <c r="M47" s="5"/>
      <c r="N47" s="5"/>
      <c r="O47" s="5"/>
      <c r="P47" s="88"/>
      <c r="Q47" s="95"/>
    </row>
    <row r="48" spans="4:17" s="2" customFormat="1" ht="12" customHeight="1">
      <c r="D48" s="22"/>
      <c r="E48" s="22"/>
      <c r="J48" s="5"/>
      <c r="K48" s="5"/>
      <c r="L48" s="5"/>
      <c r="M48" s="5"/>
      <c r="N48" s="5"/>
      <c r="O48" s="5"/>
      <c r="P48" s="88"/>
      <c r="Q48" s="95"/>
    </row>
    <row r="49" spans="1:17" s="2" customFormat="1" ht="12" customHeight="1">
      <c r="D49" s="22"/>
      <c r="E49" s="22"/>
      <c r="J49" s="5"/>
      <c r="K49" s="5"/>
      <c r="L49" s="5"/>
      <c r="M49" s="5"/>
      <c r="N49" s="5"/>
      <c r="O49" s="5"/>
      <c r="P49" s="88"/>
      <c r="Q49" s="95"/>
    </row>
    <row r="50" spans="1:17" s="2" customFormat="1" ht="12" customHeight="1">
      <c r="D50" s="22"/>
      <c r="E50" s="22"/>
      <c r="J50" s="5"/>
      <c r="K50" s="5"/>
      <c r="L50" s="5"/>
      <c r="M50" s="5"/>
      <c r="N50" s="5"/>
      <c r="O50" s="5"/>
      <c r="P50" s="88"/>
      <c r="Q50" s="95"/>
    </row>
    <row r="51" spans="1:17" s="2" customFormat="1" ht="12" customHeight="1">
      <c r="D51" s="22"/>
      <c r="E51" s="22"/>
      <c r="J51" s="5"/>
      <c r="K51" s="5"/>
      <c r="L51" s="5"/>
      <c r="M51" s="5"/>
      <c r="N51" s="5"/>
      <c r="O51" s="5"/>
      <c r="P51" s="88"/>
      <c r="Q51" s="95"/>
    </row>
    <row r="52" spans="1:17" s="2" customFormat="1" ht="12" customHeight="1">
      <c r="D52" s="22"/>
      <c r="E52" s="22"/>
      <c r="J52" s="5"/>
      <c r="K52" s="5"/>
      <c r="L52" s="5"/>
      <c r="M52" s="5"/>
      <c r="N52" s="5"/>
      <c r="O52" s="5"/>
      <c r="P52" s="88"/>
      <c r="Q52" s="95"/>
    </row>
    <row r="53" spans="1:17" s="2" customFormat="1" ht="12" customHeight="1">
      <c r="D53" s="22"/>
      <c r="E53" s="22"/>
      <c r="J53" s="5"/>
      <c r="K53" s="5"/>
      <c r="L53" s="5"/>
      <c r="M53" s="5"/>
      <c r="N53" s="5"/>
      <c r="O53" s="5"/>
      <c r="P53" s="88"/>
      <c r="Q53" s="95"/>
    </row>
    <row r="54" spans="1:17" s="2" customFormat="1" ht="12" customHeight="1">
      <c r="D54" s="22"/>
      <c r="E54" s="22"/>
      <c r="J54" s="5"/>
      <c r="K54" s="5"/>
      <c r="L54" s="5"/>
      <c r="M54" s="5"/>
      <c r="N54" s="5"/>
      <c r="O54" s="5"/>
      <c r="P54" s="88"/>
      <c r="Q54" s="95"/>
    </row>
    <row r="55" spans="1:17" s="2" customFormat="1" ht="12" customHeight="1">
      <c r="D55" s="22"/>
      <c r="E55" s="22"/>
      <c r="J55" s="5"/>
      <c r="K55" s="5"/>
      <c r="L55" s="5"/>
      <c r="M55" s="5"/>
      <c r="N55" s="5"/>
      <c r="O55" s="5"/>
      <c r="P55" s="88"/>
      <c r="Q55" s="95"/>
    </row>
    <row r="56" spans="1:17" s="2" customFormat="1" ht="12" customHeight="1">
      <c r="D56" s="22"/>
      <c r="E56" s="22"/>
      <c r="J56" s="5"/>
      <c r="K56" s="5"/>
      <c r="L56" s="5"/>
      <c r="M56" s="5"/>
      <c r="N56" s="5"/>
      <c r="O56" s="5"/>
      <c r="P56" s="88"/>
      <c r="Q56" s="95"/>
    </row>
    <row r="57" spans="1:17" s="2" customFormat="1" ht="12" customHeight="1">
      <c r="D57" s="22"/>
      <c r="E57" s="22"/>
      <c r="J57" s="5"/>
      <c r="K57" s="5"/>
      <c r="L57" s="5"/>
      <c r="M57" s="5"/>
      <c r="N57" s="5"/>
      <c r="O57" s="5"/>
      <c r="P57" s="88"/>
      <c r="Q57" s="96"/>
    </row>
    <row r="58" spans="1:17" s="2" customFormat="1" ht="12" customHeight="1">
      <c r="D58" s="22"/>
      <c r="E58" s="22"/>
      <c r="J58" s="5"/>
      <c r="K58" s="5"/>
      <c r="L58" s="5"/>
      <c r="M58" s="5"/>
      <c r="N58" s="5"/>
      <c r="O58" s="5"/>
      <c r="P58" s="88"/>
      <c r="Q58" s="96"/>
    </row>
    <row r="59" spans="1:17" s="2" customFormat="1" ht="12" customHeight="1">
      <c r="D59" s="22"/>
      <c r="E59" s="22"/>
      <c r="J59" s="5"/>
      <c r="K59" s="5"/>
      <c r="L59" s="5"/>
      <c r="M59" s="5"/>
      <c r="N59" s="5"/>
      <c r="O59" s="5"/>
      <c r="P59" s="88"/>
      <c r="Q59" s="96"/>
    </row>
    <row r="60" spans="1:17" s="2" customFormat="1" ht="12" customHeight="1">
      <c r="D60" s="22"/>
      <c r="E60" s="22"/>
      <c r="J60" s="5"/>
      <c r="K60" s="5"/>
      <c r="L60" s="5"/>
      <c r="M60" s="5"/>
      <c r="N60" s="5"/>
      <c r="O60" s="5"/>
      <c r="P60" s="88"/>
      <c r="Q60" s="96"/>
    </row>
    <row r="61" spans="1:17" s="2" customFormat="1" ht="12" customHeight="1">
      <c r="A61"/>
      <c r="B61"/>
      <c r="C61"/>
      <c r="D61" s="23"/>
      <c r="E61" s="23"/>
      <c r="F61"/>
      <c r="G61"/>
      <c r="H61"/>
      <c r="I61"/>
      <c r="J61" s="19"/>
      <c r="K61" s="19"/>
      <c r="L61" s="19"/>
      <c r="M61" s="19"/>
      <c r="N61" s="19"/>
      <c r="O61" s="19"/>
      <c r="P61" s="90"/>
      <c r="Q61" s="96"/>
    </row>
    <row r="62" spans="1:17" s="2" customFormat="1" ht="12" customHeight="1">
      <c r="A62"/>
      <c r="B62"/>
      <c r="C62"/>
      <c r="D62" s="23"/>
      <c r="E62" s="23"/>
      <c r="F62"/>
      <c r="G62"/>
      <c r="H62"/>
      <c r="I62"/>
      <c r="J62" s="19"/>
      <c r="K62" s="19"/>
      <c r="L62" s="19"/>
      <c r="M62" s="19"/>
      <c r="N62" s="19"/>
      <c r="O62" s="19"/>
      <c r="P62" s="90"/>
      <c r="Q62" s="96"/>
    </row>
    <row r="63" spans="1:17" s="2" customFormat="1" ht="12" customHeight="1">
      <c r="A63"/>
      <c r="B63"/>
      <c r="C63"/>
      <c r="D63" s="23"/>
      <c r="E63" s="23"/>
      <c r="F63"/>
      <c r="G63"/>
      <c r="H63"/>
      <c r="I63"/>
      <c r="J63" s="19"/>
      <c r="K63" s="19"/>
      <c r="L63" s="19"/>
      <c r="M63" s="19"/>
      <c r="N63" s="19"/>
      <c r="O63" s="19"/>
      <c r="P63" s="90"/>
      <c r="Q63" s="96"/>
    </row>
    <row r="64" spans="1:17" s="2" customFormat="1" ht="12" customHeight="1">
      <c r="A64"/>
      <c r="B64"/>
      <c r="C64"/>
      <c r="D64" s="23"/>
      <c r="E64" s="23"/>
      <c r="F64"/>
      <c r="G64"/>
      <c r="H64"/>
      <c r="I64"/>
      <c r="J64" s="19"/>
      <c r="K64" s="19"/>
      <c r="L64" s="19"/>
      <c r="M64" s="19"/>
      <c r="N64" s="19"/>
      <c r="O64" s="19"/>
      <c r="P64" s="90"/>
      <c r="Q64" s="96"/>
    </row>
    <row r="65" spans="1:17" s="2" customFormat="1" ht="12" customHeight="1">
      <c r="A65"/>
      <c r="B65"/>
      <c r="C65"/>
      <c r="D65" s="23"/>
      <c r="E65" s="23"/>
      <c r="F65"/>
      <c r="G65"/>
      <c r="H65"/>
      <c r="I65"/>
      <c r="J65" s="19"/>
      <c r="K65" s="19"/>
      <c r="L65" s="19"/>
      <c r="M65" s="19"/>
      <c r="N65" s="19"/>
      <c r="O65" s="19"/>
      <c r="P65" s="90"/>
      <c r="Q65" s="96"/>
    </row>
    <row r="66" spans="1:17">
      <c r="Q66" s="96"/>
    </row>
    <row r="67" spans="1:17">
      <c r="Q67" s="96"/>
    </row>
    <row r="68" spans="1:17">
      <c r="Q68" s="96"/>
    </row>
    <row r="69" spans="1:17">
      <c r="Q69" s="96"/>
    </row>
    <row r="70" spans="1:17">
      <c r="Q70" s="96"/>
    </row>
    <row r="71" spans="1:17">
      <c r="Q71" s="96"/>
    </row>
    <row r="72" spans="1:17">
      <c r="Q72" s="96"/>
    </row>
    <row r="73" spans="1:17">
      <c r="Q73" s="96"/>
    </row>
    <row r="74" spans="1:17">
      <c r="Q74" s="96"/>
    </row>
    <row r="75" spans="1:17">
      <c r="Q75" s="96"/>
    </row>
    <row r="76" spans="1:17">
      <c r="Q76" s="96"/>
    </row>
    <row r="77" spans="1:17">
      <c r="Q77" s="96"/>
    </row>
    <row r="78" spans="1:17">
      <c r="Q78" s="96"/>
    </row>
    <row r="79" spans="1:17">
      <c r="Q79" s="96"/>
    </row>
    <row r="80" spans="1:17">
      <c r="Q80" s="96"/>
    </row>
    <row r="81" spans="17:17">
      <c r="Q81" s="96"/>
    </row>
    <row r="82" spans="17:17">
      <c r="Q82" s="96"/>
    </row>
    <row r="83" spans="17:17">
      <c r="Q83" s="96"/>
    </row>
    <row r="84" spans="17:17">
      <c r="Q84" s="96"/>
    </row>
    <row r="85" spans="17:17">
      <c r="Q85" s="96"/>
    </row>
    <row r="122" ht="12" customHeight="1"/>
    <row r="123" ht="12" customHeight="1"/>
    <row r="124" ht="12" customHeight="1"/>
    <row r="125" ht="12" customHeight="1"/>
    <row r="126" ht="12" customHeight="1"/>
    <row r="127" ht="12" customHeight="1"/>
    <row r="128" ht="12" customHeight="1"/>
    <row r="129" ht="12" customHeight="1"/>
    <row r="130" ht="12" customHeight="1"/>
    <row r="131" ht="12" customHeight="1"/>
    <row r="132" ht="12" customHeight="1"/>
    <row r="133" ht="12" customHeight="1"/>
    <row r="134" ht="12" customHeight="1"/>
    <row r="135" ht="12" customHeight="1"/>
    <row r="136" ht="12" customHeight="1"/>
    <row r="137" ht="12" customHeight="1"/>
    <row r="138" ht="12" customHeight="1"/>
    <row r="139" ht="12" customHeight="1"/>
    <row r="140" ht="12" customHeight="1"/>
    <row r="141" ht="12" customHeight="1"/>
    <row r="142" ht="12" customHeight="1"/>
    <row r="143" ht="12" customHeight="1"/>
    <row r="144" ht="12" customHeight="1"/>
    <row r="145" ht="12" customHeight="1"/>
    <row r="146" ht="12" customHeight="1"/>
    <row r="147" ht="12" customHeight="1"/>
    <row r="148" ht="12" customHeight="1"/>
    <row r="149" ht="12" customHeight="1"/>
    <row r="150" ht="12" customHeight="1"/>
    <row r="151" ht="12" customHeight="1"/>
    <row r="152" ht="12" customHeight="1"/>
    <row r="153" ht="12" customHeight="1"/>
    <row r="154" ht="12" customHeight="1"/>
    <row r="155" ht="12" customHeight="1"/>
    <row r="156" ht="12" customHeight="1"/>
    <row r="157" ht="12" customHeight="1"/>
    <row r="158" ht="12" customHeight="1"/>
    <row r="159" ht="12" customHeight="1"/>
    <row r="160" ht="12" customHeight="1"/>
    <row r="161" ht="12" customHeight="1"/>
    <row r="162" ht="12" customHeight="1"/>
    <row r="163" ht="12" customHeight="1"/>
    <row r="164" ht="12" customHeight="1"/>
    <row r="165" ht="12" customHeight="1"/>
    <row r="166" ht="12" customHeight="1"/>
    <row r="167" ht="12" customHeight="1"/>
    <row r="168" ht="12" customHeight="1"/>
    <row r="169" ht="12" customHeight="1"/>
    <row r="170" ht="12" customHeight="1"/>
    <row r="171" ht="12" customHeight="1"/>
  </sheetData>
  <mergeCells count="27">
    <mergeCell ref="D18:E18"/>
    <mergeCell ref="H18:I18"/>
    <mergeCell ref="D13:E13"/>
    <mergeCell ref="H13:I13"/>
    <mergeCell ref="D14:E14"/>
    <mergeCell ref="H15:I15"/>
    <mergeCell ref="D16:E16"/>
    <mergeCell ref="D15:E15"/>
    <mergeCell ref="D17:E17"/>
    <mergeCell ref="D6:E6"/>
    <mergeCell ref="H6:I6"/>
    <mergeCell ref="D12:E12"/>
    <mergeCell ref="D11:E11"/>
    <mergeCell ref="H11:I11"/>
    <mergeCell ref="D7:E7"/>
    <mergeCell ref="H7:I7"/>
    <mergeCell ref="D8:E8"/>
    <mergeCell ref="H8:I8"/>
    <mergeCell ref="D9:E9"/>
    <mergeCell ref="H9:I9"/>
    <mergeCell ref="D10:E10"/>
    <mergeCell ref="H10:I10"/>
    <mergeCell ref="D1:E1"/>
    <mergeCell ref="D4:E4"/>
    <mergeCell ref="H4:I4"/>
    <mergeCell ref="D5:E5"/>
    <mergeCell ref="H5:I5"/>
  </mergeCells>
  <conditionalFormatting sqref="M14 M16:M17">
    <cfRule type="cellIs" dxfId="306" priority="9" stopIfTrue="1" operator="lessThanOrEqual">
      <formula>$L14</formula>
    </cfRule>
    <cfRule type="cellIs" dxfId="305" priority="10" operator="greaterThan">
      <formula>L14</formula>
    </cfRule>
  </conditionalFormatting>
  <conditionalFormatting sqref="M12">
    <cfRule type="cellIs" dxfId="304" priority="1" stopIfTrue="1" operator="lessThanOrEqual">
      <formula>$L12</formula>
    </cfRule>
    <cfRule type="cellIs" dxfId="303" priority="2" operator="greaterThan">
      <formula>L12</formula>
    </cfRule>
  </conditionalFormatting>
  <pageMargins left="0.7" right="0.7" top="0.75" bottom="0.75" header="0.3" footer="0.3"/>
  <pageSetup paperSize="3" fitToHeight="0" orientation="landscape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 xr:uid="{9F06246D-41D2-45E4-88C5-E3575E0C8624}">
          <x14:formula1>
            <xm:f>Bolts!$A:$A</xm:f>
          </x14:formula1>
          <xm:sqref>C16:C17</xm:sqref>
        </x14:dataValidation>
        <x14:dataValidation type="list" allowBlank="1" showInputMessage="1" showErrorMessage="1" xr:uid="{567380B0-C025-4019-8827-63AFA48B02F2}">
          <x14:formula1>
            <xm:f>Assemblies!$E:$E</xm:f>
          </x14:formula1>
          <xm:sqref>C5:C10</xm:sqref>
        </x14:dataValidation>
        <x14:dataValidation type="list" allowBlank="1" showInputMessage="1" showErrorMessage="1" xr:uid="{0B4673E4-FF2B-40E0-BD81-31B648C5F462}">
          <x14:formula1>
            <xm:f>Purchased!$A:$A</xm:f>
          </x14:formula1>
          <xm:sqref>C14</xm:sqref>
        </x14:dataValidation>
        <x14:dataValidation type="list" allowBlank="1" showInputMessage="1" showErrorMessage="1" xr:uid="{AB37C225-34F1-4A52-BC1C-6DC7EE9A94A0}">
          <x14:formula1>
            <xm:f>Machined!$C:$C</xm:f>
          </x14:formula1>
          <xm:sqref>C12</xm:sqref>
        </x14:dataValidation>
      </x14:dataValidations>
    </ext>
  </extLst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E30BCA-946E-4061-A8EE-0D63509B6FDB}">
  <sheetPr codeName="Sheet97">
    <tabColor theme="3" tint="0.59999389629810485"/>
    <pageSetUpPr fitToPage="1"/>
  </sheetPr>
  <dimension ref="A1:R171"/>
  <sheetViews>
    <sheetView zoomScaleNormal="100" workbookViewId="0">
      <selection activeCell="K25" sqref="K25"/>
    </sheetView>
  </sheetViews>
  <sheetFormatPr defaultColWidth="9.140625" defaultRowHeight="15"/>
  <cols>
    <col min="1" max="1" width="5.7109375" customWidth="1"/>
    <col min="2" max="2" width="5.42578125" bestFit="1" customWidth="1"/>
    <col min="3" max="3" width="30.7109375" customWidth="1"/>
    <col min="4" max="5" width="20.7109375" style="23" customWidth="1"/>
    <col min="6" max="6" width="16.85546875" bestFit="1" customWidth="1"/>
    <col min="7" max="7" width="9.7109375" customWidth="1"/>
    <col min="8" max="8" width="8.7109375" customWidth="1"/>
    <col min="9" max="9" width="20.7109375" customWidth="1"/>
    <col min="10" max="13" width="11.7109375" style="19" customWidth="1"/>
    <col min="14" max="14" width="11.85546875" style="19" bestFit="1" customWidth="1"/>
    <col min="15" max="15" width="7.7109375" style="19" customWidth="1"/>
    <col min="16" max="16" width="10.7109375" style="90" customWidth="1"/>
    <col min="17" max="17" width="10.7109375" style="97" customWidth="1"/>
  </cols>
  <sheetData>
    <row r="1" spans="1:18" s="55" customFormat="1" ht="12" customHeight="1">
      <c r="A1" s="68" t="s">
        <v>0</v>
      </c>
      <c r="B1" s="69"/>
      <c r="C1" s="69"/>
      <c r="D1" s="262" t="s">
        <v>1</v>
      </c>
      <c r="E1" s="263"/>
      <c r="F1" s="70"/>
      <c r="G1" s="69"/>
      <c r="H1" s="70"/>
      <c r="I1" s="71"/>
      <c r="J1" s="72"/>
      <c r="K1" s="72"/>
      <c r="L1" s="72"/>
      <c r="M1" s="72"/>
      <c r="N1" s="72"/>
      <c r="O1" s="72"/>
      <c r="P1" s="85"/>
      <c r="Q1" s="91"/>
    </row>
    <row r="2" spans="1:18" s="55" customFormat="1" ht="12" customHeight="1">
      <c r="A2" s="74" t="s">
        <v>48</v>
      </c>
      <c r="B2" s="58"/>
      <c r="C2" s="57" t="e">
        <f ca="1">VLOOKUP(E3,Assemblies!B:F,4,0)</f>
        <v>#VALUE!</v>
      </c>
      <c r="D2" s="75" t="s">
        <v>3</v>
      </c>
      <c r="E2" s="76" t="e">
        <f ca="1">'GF12'!E2</f>
        <v>#VALUE!</v>
      </c>
      <c r="F2" s="77" t="s">
        <v>4</v>
      </c>
      <c r="G2" s="58" t="str">
        <f>'GF12'!G2</f>
        <v>GH</v>
      </c>
      <c r="H2" s="77" t="s">
        <v>6</v>
      </c>
      <c r="I2" s="59">
        <f>'GF12'!I2</f>
        <v>44775</v>
      </c>
      <c r="J2" s="39"/>
      <c r="K2" s="40" t="s">
        <v>49</v>
      </c>
      <c r="L2" s="41" t="e">
        <f ca="1">VLOOKUP(C2,Assemblies!E:G,3,0)</f>
        <v>#VALUE!</v>
      </c>
      <c r="M2" s="78"/>
      <c r="N2" s="78"/>
      <c r="O2" s="78"/>
      <c r="P2" s="86"/>
      <c r="Q2" s="92"/>
    </row>
    <row r="3" spans="1:18" s="55" customFormat="1" ht="12" customHeight="1" thickBot="1">
      <c r="A3" s="74" t="s">
        <v>7</v>
      </c>
      <c r="B3" s="58"/>
      <c r="C3" s="57" t="e">
        <f ca="1">VLOOKUP(E3,Assemblies!B:F,5,0)</f>
        <v>#VALUE!</v>
      </c>
      <c r="D3" s="75" t="s">
        <v>50</v>
      </c>
      <c r="E3" s="76" t="e">
        <f ca="1">MID(CELL("filename",A1),FIND("]",CELL("filename",A1))+1,256)</f>
        <v>#VALUE!</v>
      </c>
      <c r="F3" s="77" t="s">
        <v>11</v>
      </c>
      <c r="G3" s="58" t="str">
        <f>'GF12'!G3</f>
        <v>GH</v>
      </c>
      <c r="H3" s="77" t="s">
        <v>6</v>
      </c>
      <c r="I3" s="59">
        <f>'GF12'!I3</f>
        <v>44775</v>
      </c>
      <c r="J3" s="78"/>
      <c r="K3" s="78"/>
      <c r="L3" s="78"/>
      <c r="M3" s="78"/>
      <c r="N3" s="78"/>
      <c r="O3" s="78"/>
      <c r="P3" s="86"/>
      <c r="Q3" s="92"/>
    </row>
    <row r="4" spans="1:18" s="56" customFormat="1" ht="12.75" customHeight="1" thickBot="1">
      <c r="A4" s="80" t="s">
        <v>12</v>
      </c>
      <c r="B4" s="81" t="s">
        <v>13</v>
      </c>
      <c r="C4" s="81" t="s">
        <v>14</v>
      </c>
      <c r="D4" s="270" t="s">
        <v>15</v>
      </c>
      <c r="E4" s="271"/>
      <c r="F4" s="104" t="s">
        <v>16</v>
      </c>
      <c r="G4" s="81" t="s">
        <v>17</v>
      </c>
      <c r="H4" s="260" t="s">
        <v>18</v>
      </c>
      <c r="I4" s="261"/>
      <c r="J4" s="81" t="s">
        <v>51</v>
      </c>
      <c r="K4" s="81" t="s">
        <v>20</v>
      </c>
      <c r="L4" s="81" t="s">
        <v>21</v>
      </c>
      <c r="M4" s="81" t="s">
        <v>52</v>
      </c>
      <c r="N4" s="81" t="s">
        <v>22</v>
      </c>
      <c r="O4" s="81" t="s">
        <v>53</v>
      </c>
      <c r="P4" s="107" t="s">
        <v>26</v>
      </c>
      <c r="Q4" s="82" t="s">
        <v>27</v>
      </c>
    </row>
    <row r="5" spans="1:18" s="21" customFormat="1" ht="12.75" customHeight="1">
      <c r="A5" s="66" t="s">
        <v>54</v>
      </c>
      <c r="B5" s="1">
        <v>1</v>
      </c>
      <c r="C5" s="67" t="s">
        <v>1038</v>
      </c>
      <c r="D5" s="277" t="e">
        <f ca="1">VLOOKUP(C5,Assemblies!E:S,2,0)</f>
        <v>#N/A</v>
      </c>
      <c r="E5" s="278"/>
      <c r="F5" s="32"/>
      <c r="G5" s="32"/>
      <c r="H5" s="292"/>
      <c r="I5" s="293"/>
      <c r="J5" s="28"/>
      <c r="K5" s="28"/>
      <c r="L5" s="28"/>
      <c r="M5" s="28"/>
      <c r="N5" s="33"/>
      <c r="O5" s="46" t="e">
        <f t="shared" ref="O5:O9" ca="1" si="0">B5*$L$2</f>
        <v>#VALUE!</v>
      </c>
      <c r="P5" s="87">
        <f>'411'!Q19</f>
        <v>766.74613543333328</v>
      </c>
      <c r="Q5" s="93">
        <f t="shared" ref="Q5:Q9" si="1">B5*P5</f>
        <v>766.74613543333328</v>
      </c>
    </row>
    <row r="6" spans="1:18" s="21" customFormat="1" ht="12.75" customHeight="1">
      <c r="A6" s="66" t="s">
        <v>56</v>
      </c>
      <c r="B6" s="1">
        <v>1</v>
      </c>
      <c r="C6" s="67" t="s">
        <v>1039</v>
      </c>
      <c r="D6" s="277" t="e">
        <f ca="1">VLOOKUP(C6,Assemblies!E:S,2,0)</f>
        <v>#N/A</v>
      </c>
      <c r="E6" s="278"/>
      <c r="F6" s="32"/>
      <c r="G6" s="32"/>
      <c r="H6" s="292"/>
      <c r="I6" s="293"/>
      <c r="J6" s="28"/>
      <c r="K6" s="28"/>
      <c r="L6" s="28"/>
      <c r="M6" s="28"/>
      <c r="N6" s="33"/>
      <c r="O6" s="46" t="e">
        <f t="shared" ca="1" si="0"/>
        <v>#VALUE!</v>
      </c>
      <c r="P6" s="87">
        <f>'412'!Q26</f>
        <v>5976.7052000000003</v>
      </c>
      <c r="Q6" s="93">
        <f t="shared" si="1"/>
        <v>5976.7052000000003</v>
      </c>
    </row>
    <row r="7" spans="1:18" s="21" customFormat="1" ht="12.75" customHeight="1">
      <c r="A7" s="66" t="s">
        <v>58</v>
      </c>
      <c r="B7" s="1">
        <v>1</v>
      </c>
      <c r="C7" s="67" t="s">
        <v>1101</v>
      </c>
      <c r="D7" s="277" t="e">
        <f ca="1">VLOOKUP(C7,Assemblies!E:S,2,0)</f>
        <v>#N/A</v>
      </c>
      <c r="E7" s="278"/>
      <c r="F7" s="32"/>
      <c r="G7" s="32"/>
      <c r="H7" s="292"/>
      <c r="I7" s="293"/>
      <c r="J7" s="28"/>
      <c r="K7" s="28"/>
      <c r="L7" s="28"/>
      <c r="M7" s="28"/>
      <c r="N7" s="33"/>
      <c r="O7" s="46" t="e">
        <f t="shared" ca="1" si="0"/>
        <v>#VALUE!</v>
      </c>
      <c r="P7" s="87">
        <f>'453'!Q25</f>
        <v>1707.65</v>
      </c>
      <c r="Q7" s="93">
        <f t="shared" si="1"/>
        <v>1707.65</v>
      </c>
    </row>
    <row r="8" spans="1:18" s="21" customFormat="1" ht="12.75" customHeight="1">
      <c r="A8" s="66" t="s">
        <v>60</v>
      </c>
      <c r="B8" s="1">
        <v>2</v>
      </c>
      <c r="C8" s="67" t="s">
        <v>1041</v>
      </c>
      <c r="D8" s="277" t="e">
        <f ca="1">VLOOKUP(C8,Assemblies!E:S,2,0)</f>
        <v>#N/A</v>
      </c>
      <c r="E8" s="278"/>
      <c r="F8" s="32"/>
      <c r="G8" s="32"/>
      <c r="H8" s="292"/>
      <c r="I8" s="293"/>
      <c r="J8" s="28"/>
      <c r="K8" s="28"/>
      <c r="L8" s="28"/>
      <c r="M8" s="28"/>
      <c r="N8" s="33"/>
      <c r="O8" s="46" t="e">
        <f t="shared" ca="1" si="0"/>
        <v>#VALUE!</v>
      </c>
      <c r="P8" s="87">
        <f>'414'!Q19</f>
        <v>175.48000000000002</v>
      </c>
      <c r="Q8" s="93">
        <f t="shared" si="1"/>
        <v>350.96000000000004</v>
      </c>
    </row>
    <row r="9" spans="1:18" s="21" customFormat="1" ht="12.75" customHeight="1">
      <c r="A9" s="66" t="s">
        <v>62</v>
      </c>
      <c r="B9" s="1">
        <v>4</v>
      </c>
      <c r="C9" s="67" t="s">
        <v>1042</v>
      </c>
      <c r="D9" s="277" t="e">
        <f ca="1">VLOOKUP(C9,Assemblies!E:S,2,0)</f>
        <v>#N/A</v>
      </c>
      <c r="E9" s="278"/>
      <c r="F9" s="32"/>
      <c r="G9" s="32"/>
      <c r="H9" s="292"/>
      <c r="I9" s="293"/>
      <c r="J9" s="28"/>
      <c r="K9" s="28"/>
      <c r="L9" s="28"/>
      <c r="M9" s="28"/>
      <c r="N9" s="33"/>
      <c r="O9" s="46" t="e">
        <f t="shared" ca="1" si="0"/>
        <v>#VALUE!</v>
      </c>
      <c r="P9" s="87">
        <f>'415'!Q14</f>
        <v>323.68610000000001</v>
      </c>
      <c r="Q9" s="93">
        <f t="shared" si="1"/>
        <v>1294.7444</v>
      </c>
    </row>
    <row r="10" spans="1:18" s="21" customFormat="1" ht="12.75" customHeight="1">
      <c r="A10" s="66" t="s">
        <v>64</v>
      </c>
      <c r="B10" s="1">
        <v>1</v>
      </c>
      <c r="C10" s="67" t="s">
        <v>1043</v>
      </c>
      <c r="D10" s="277" t="e">
        <f ca="1">VLOOKUP(C10,Assemblies!E:S,2,0)</f>
        <v>#N/A</v>
      </c>
      <c r="E10" s="278"/>
      <c r="F10" s="32"/>
      <c r="G10" s="32"/>
      <c r="H10" s="292"/>
      <c r="I10" s="293"/>
      <c r="J10" s="28"/>
      <c r="K10" s="28"/>
      <c r="L10" s="28"/>
      <c r="M10" s="28"/>
      <c r="N10" s="33"/>
      <c r="O10" s="46" t="e">
        <f t="shared" ref="O10" ca="1" si="2">B10*$L$2</f>
        <v>#VALUE!</v>
      </c>
      <c r="P10" s="87">
        <f>'416'!Q15</f>
        <v>31.96</v>
      </c>
      <c r="Q10" s="93">
        <f t="shared" ref="Q10" si="3">B10*P10</f>
        <v>31.96</v>
      </c>
    </row>
    <row r="11" spans="1:18" s="21" customFormat="1" ht="12.75" customHeight="1">
      <c r="A11" s="25"/>
      <c r="B11" s="26"/>
      <c r="C11" s="26"/>
      <c r="D11" s="272"/>
      <c r="E11" s="273"/>
      <c r="F11" s="26"/>
      <c r="G11" s="26"/>
      <c r="H11" s="274"/>
      <c r="I11" s="275"/>
      <c r="J11" s="27"/>
      <c r="K11" s="27"/>
      <c r="L11" s="27"/>
      <c r="M11" s="28"/>
      <c r="N11" s="29"/>
      <c r="O11" s="29"/>
      <c r="P11" s="141"/>
      <c r="Q11" s="142"/>
      <c r="R11" s="20"/>
    </row>
    <row r="12" spans="1:18" s="2" customFormat="1" ht="12.75" customHeight="1">
      <c r="A12" s="127">
        <v>1</v>
      </c>
      <c r="B12" s="21">
        <v>2</v>
      </c>
      <c r="C12" s="108" t="s">
        <v>1044</v>
      </c>
      <c r="D12" s="277" t="str">
        <f>VLOOKUP(C12,Machined!C:Q,2,0)</f>
        <v>MODIFIED IGUS JFRM 2835TR16X4 LEAD NUT</v>
      </c>
      <c r="E12" s="278"/>
      <c r="F12" s="131" t="str">
        <f>VLOOKUP(C12,Machined!C:R,7,0)</f>
        <v>PURCHASED</v>
      </c>
      <c r="G12" s="131" t="str">
        <f>VLOOKUP(C12,Machined!C:R,10,0)</f>
        <v>IGUS, NULINE</v>
      </c>
      <c r="H12" s="131" t="str">
        <f>VLOOKUP(C12,Machined!C:R,11,0)</f>
        <v>Nuline add center clearance hole</v>
      </c>
      <c r="I12" s="131"/>
      <c r="J12" s="42">
        <f>VLOOKUP(C12,Machined!C:R,12,0)</f>
        <v>45160</v>
      </c>
      <c r="K12" s="42">
        <f>VLOOKUP(C12,Machined!C:R,13,0)</f>
        <v>45160</v>
      </c>
      <c r="L12" s="42">
        <f>VLOOKUP(C12,Machined!C:R,14,0)</f>
        <v>45166</v>
      </c>
      <c r="M12" s="42">
        <f>VLOOKUP(C12,Machined!C:R,15,0)</f>
        <v>45166</v>
      </c>
      <c r="N12" s="43">
        <f>VLOOKUP(C12,Machined!C:R,16,0)</f>
        <v>55085</v>
      </c>
      <c r="O12" s="43" t="e">
        <f t="shared" ref="O12" ca="1" si="4">B12*$L$2</f>
        <v>#VALUE!</v>
      </c>
      <c r="P12" s="47">
        <f>IFERROR(VLOOKUP(C12,Machined!C:F,3,0),"")</f>
        <v>26.56</v>
      </c>
      <c r="Q12" s="48">
        <f t="shared" ref="Q12" si="5">IFERROR(B12*P12,"")</f>
        <v>53.12</v>
      </c>
    </row>
    <row r="13" spans="1:18" s="2" customFormat="1" ht="12.75" customHeight="1">
      <c r="A13" s="143"/>
      <c r="B13" s="26"/>
      <c r="C13" s="26"/>
      <c r="D13" s="272"/>
      <c r="E13" s="273"/>
      <c r="F13" s="26"/>
      <c r="G13" s="26"/>
      <c r="H13" s="274"/>
      <c r="I13" s="275"/>
      <c r="J13" s="27"/>
      <c r="K13" s="27"/>
      <c r="L13" s="27"/>
      <c r="M13" s="28"/>
      <c r="N13" s="29"/>
      <c r="O13" s="29"/>
      <c r="P13" s="141"/>
      <c r="Q13" s="142"/>
    </row>
    <row r="14" spans="1:18" s="2" customFormat="1" ht="12.75" customHeight="1">
      <c r="A14" s="4">
        <v>301</v>
      </c>
      <c r="B14" s="2">
        <v>1</v>
      </c>
      <c r="C14" s="114" t="s">
        <v>1045</v>
      </c>
      <c r="D14" s="268" t="str">
        <f>VLOOKUP(C14,Purchased!A:B,2,0)</f>
        <v>IGUS Drylin Lead Screw Nut</v>
      </c>
      <c r="E14" s="269"/>
      <c r="F14" s="112" t="str">
        <f>VLOOKUP(C14,Purchased!A:Q,9,0)</f>
        <v>IGUS</v>
      </c>
      <c r="G14" s="112" t="str">
        <f>VLOOKUP(C14,Purchased!A:Q,10,0)</f>
        <v>IGUS</v>
      </c>
      <c r="H14" s="112" t="str">
        <f>VLOOKUP(C14,Purchased!A:Q,12,0)</f>
        <v xml:space="preserve"> </v>
      </c>
      <c r="I14" s="113"/>
      <c r="J14" s="44">
        <f>VLOOKUP(C14,Purchased!A:Q,13,0)</f>
        <v>45154</v>
      </c>
      <c r="K14" s="44">
        <f>VLOOKUP(C14,Purchased!A:Q,14,0)</f>
        <v>45161</v>
      </c>
      <c r="L14" s="44">
        <f>VLOOKUP(C14,Purchased!A:Q,15,0)</f>
        <v>45191</v>
      </c>
      <c r="M14" s="44">
        <f>VLOOKUP(C14,Purchased!A:Q,16,0)</f>
        <v>45208</v>
      </c>
      <c r="N14" s="45">
        <f>VLOOKUP(C14,Purchased!A:Q,17,0)</f>
        <v>55076</v>
      </c>
      <c r="O14" s="45" t="e">
        <f t="shared" ref="O14" ca="1" si="6">B14*$L$2</f>
        <v>#VALUE!</v>
      </c>
      <c r="P14" s="49">
        <f>IFERROR(VLOOKUP(C14,Purchased!A:E,3,FALSE),"")</f>
        <v>27.9</v>
      </c>
      <c r="Q14" s="50">
        <f t="shared" ref="Q14" si="7">IFERROR(B14*P14,"")</f>
        <v>27.9</v>
      </c>
    </row>
    <row r="15" spans="1:18" s="2" customFormat="1" ht="12.75" customHeight="1">
      <c r="A15" s="25"/>
      <c r="B15" s="26"/>
      <c r="C15" s="26"/>
      <c r="D15" s="272"/>
      <c r="E15" s="273"/>
      <c r="F15" s="26"/>
      <c r="G15" s="26"/>
      <c r="H15" s="274"/>
      <c r="I15" s="275"/>
      <c r="J15" s="27"/>
      <c r="K15" s="27"/>
      <c r="L15" s="27"/>
      <c r="M15" s="28"/>
      <c r="N15" s="29"/>
      <c r="O15" s="29" t="e">
        <f t="shared" ref="O15:O16" ca="1" si="8">B15*$L$2</f>
        <v>#VALUE!</v>
      </c>
      <c r="P15" s="141"/>
      <c r="Q15" s="142"/>
    </row>
    <row r="16" spans="1:18" s="2" customFormat="1" ht="12.75" customHeight="1">
      <c r="A16" s="4">
        <v>501</v>
      </c>
      <c r="B16" s="2">
        <v>18</v>
      </c>
      <c r="C16" s="110" t="s">
        <v>828</v>
      </c>
      <c r="D16" s="268"/>
      <c r="E16" s="276"/>
      <c r="F16" s="112" t="str">
        <f>VLOOKUP(C16,Bolts!A:L,5,0)</f>
        <v xml:space="preserve">  </v>
      </c>
      <c r="G16" s="112" t="str">
        <f>VLOOKUP(C16,Bolts!A:L,6,0)</f>
        <v>Monroe Fasteners</v>
      </c>
      <c r="H16" s="112" t="str">
        <f>VLOOKUP(C16,Bolts!A:L,7,0)</f>
        <v xml:space="preserve">  </v>
      </c>
      <c r="I16" s="112"/>
      <c r="J16" s="44" t="str">
        <f>VLOOKUP(C16,Bolts!A:L,8,0)</f>
        <v xml:space="preserve"> </v>
      </c>
      <c r="K16" s="44" t="str">
        <f>VLOOKUP(C16,Bolts!A:L,9,0)</f>
        <v xml:space="preserve"> </v>
      </c>
      <c r="L16" s="44" t="str">
        <f>VLOOKUP(C16,Bolts!A:L,10,0)</f>
        <v xml:space="preserve"> </v>
      </c>
      <c r="M16" s="44" t="str">
        <f>VLOOKUP(C16,Bolts!A:L,11,0)</f>
        <v xml:space="preserve"> </v>
      </c>
      <c r="N16" s="45" t="str">
        <f>VLOOKUP(C16,Bolts!A:L,12,0)</f>
        <v xml:space="preserve"> </v>
      </c>
      <c r="O16" s="45" t="e">
        <f t="shared" ca="1" si="8"/>
        <v>#VALUE!</v>
      </c>
      <c r="P16" s="49" t="str">
        <f>IFERROR(VLOOKUP(C16,Bolts!A:B,2,FALSE),"")</f>
        <v xml:space="preserve"> </v>
      </c>
      <c r="Q16" s="50" t="str">
        <f t="shared" ref="Q16" si="9">IFERROR(B16*P16,"")</f>
        <v/>
      </c>
    </row>
    <row r="17" spans="1:17" s="2" customFormat="1" ht="12.75" customHeight="1" thickBot="1">
      <c r="A17" s="4">
        <v>502</v>
      </c>
      <c r="B17" s="2">
        <v>18</v>
      </c>
      <c r="C17" s="110" t="s">
        <v>595</v>
      </c>
      <c r="D17" s="268"/>
      <c r="E17" s="276"/>
      <c r="F17" s="112" t="str">
        <f>VLOOKUP(C17,Bolts!A:L,5,0)</f>
        <v xml:space="preserve">  </v>
      </c>
      <c r="G17" s="112" t="str">
        <f>VLOOKUP(C17,Bolts!A:L,6,0)</f>
        <v>Monroe Fasteners</v>
      </c>
      <c r="H17" s="112" t="str">
        <f>VLOOKUP(C17,Bolts!A:L,7,0)</f>
        <v xml:space="preserve">  </v>
      </c>
      <c r="I17" s="112"/>
      <c r="J17" s="44" t="str">
        <f>VLOOKUP(C17,Bolts!A:L,8,0)</f>
        <v xml:space="preserve"> </v>
      </c>
      <c r="K17" s="44" t="str">
        <f>VLOOKUP(C17,Bolts!A:L,9,0)</f>
        <v xml:space="preserve"> </v>
      </c>
      <c r="L17" s="44" t="str">
        <f>VLOOKUP(C17,Bolts!A:L,10,0)</f>
        <v xml:space="preserve"> </v>
      </c>
      <c r="M17" s="44" t="str">
        <f>VLOOKUP(C17,Bolts!A:L,11,0)</f>
        <v xml:space="preserve"> </v>
      </c>
      <c r="N17" s="45" t="str">
        <f>VLOOKUP(C17,Bolts!A:L,12,0)</f>
        <v xml:space="preserve"> </v>
      </c>
      <c r="O17" s="45" t="e">
        <f ca="1">B17*$L$2</f>
        <v>#VALUE!</v>
      </c>
      <c r="P17" s="49" t="str">
        <f>IFERROR(VLOOKUP(C17,Bolts!A:B,2,FALSE),"")</f>
        <v xml:space="preserve"> </v>
      </c>
      <c r="Q17" s="50" t="str">
        <f>IFERROR(B17*P17,"")</f>
        <v/>
      </c>
    </row>
    <row r="18" spans="1:17" s="2" customFormat="1" ht="12.75" customHeight="1" thickBot="1">
      <c r="A18" s="34"/>
      <c r="B18" s="35"/>
      <c r="C18" s="35"/>
      <c r="D18" s="256"/>
      <c r="E18" s="257"/>
      <c r="F18" s="35"/>
      <c r="G18" s="35"/>
      <c r="H18" s="294"/>
      <c r="I18" s="295"/>
      <c r="J18" s="36"/>
      <c r="K18" s="36"/>
      <c r="L18" s="36"/>
      <c r="M18" s="37"/>
      <c r="N18" s="38"/>
      <c r="O18" s="38"/>
      <c r="P18" s="89" t="s">
        <v>43</v>
      </c>
      <c r="Q18" s="94">
        <f>SUM(Q5:Q17)</f>
        <v>10209.785735433332</v>
      </c>
    </row>
    <row r="19" spans="1:17" s="2" customFormat="1" ht="12" customHeight="1">
      <c r="D19" s="22"/>
      <c r="E19" s="22"/>
      <c r="J19" s="8"/>
      <c r="K19" s="8"/>
      <c r="L19" s="8"/>
      <c r="M19" s="8"/>
      <c r="N19" s="5"/>
      <c r="O19" s="5"/>
      <c r="P19" s="88"/>
      <c r="Q19" s="95"/>
    </row>
    <row r="20" spans="1:17" s="2" customFormat="1" ht="12" customHeight="1">
      <c r="D20" s="22"/>
      <c r="E20" s="22"/>
      <c r="J20" s="5"/>
      <c r="K20" s="5"/>
      <c r="L20" s="5"/>
      <c r="M20" s="5"/>
      <c r="N20" s="5"/>
      <c r="O20" s="5"/>
      <c r="P20" s="88"/>
      <c r="Q20" s="95"/>
    </row>
    <row r="21" spans="1:17" s="2" customFormat="1" ht="12" customHeight="1">
      <c r="D21" s="22"/>
      <c r="E21" s="22"/>
      <c r="J21" s="5"/>
      <c r="K21" s="5"/>
      <c r="L21" s="5"/>
      <c r="M21" s="5"/>
      <c r="N21" s="5"/>
      <c r="O21" s="5"/>
      <c r="P21" s="88"/>
      <c r="Q21" s="95"/>
    </row>
    <row r="22" spans="1:17" s="2" customFormat="1" ht="12" customHeight="1">
      <c r="D22" s="22"/>
      <c r="E22" s="22"/>
      <c r="J22" s="5"/>
      <c r="K22" s="5"/>
      <c r="L22" s="5"/>
      <c r="M22" s="5"/>
      <c r="N22" s="5"/>
      <c r="O22" s="5"/>
      <c r="P22" s="88"/>
      <c r="Q22" s="95"/>
    </row>
    <row r="23" spans="1:17" s="2" customFormat="1" ht="12" customHeight="1">
      <c r="D23" s="22"/>
      <c r="E23" s="22"/>
      <c r="J23" s="5"/>
      <c r="K23" s="5"/>
      <c r="L23" s="5"/>
      <c r="M23" s="5"/>
      <c r="N23" s="5"/>
      <c r="O23" s="5"/>
      <c r="P23" s="88"/>
      <c r="Q23" s="95"/>
    </row>
    <row r="24" spans="1:17" s="2" customFormat="1" ht="12" customHeight="1">
      <c r="D24" s="22"/>
      <c r="E24" s="22"/>
      <c r="J24" s="5"/>
      <c r="K24" s="5"/>
      <c r="L24" s="5"/>
      <c r="M24" s="5"/>
      <c r="N24" s="5"/>
      <c r="O24" s="5"/>
      <c r="P24" s="88"/>
      <c r="Q24" s="95"/>
    </row>
    <row r="25" spans="1:17" s="2" customFormat="1" ht="12" customHeight="1">
      <c r="D25" s="22"/>
      <c r="E25" s="22"/>
      <c r="J25" s="5"/>
      <c r="K25" s="5"/>
      <c r="L25" s="5"/>
      <c r="M25" s="5"/>
      <c r="N25" s="5"/>
      <c r="O25" s="5"/>
      <c r="P25" s="88"/>
      <c r="Q25" s="95"/>
    </row>
    <row r="26" spans="1:17" s="2" customFormat="1" ht="12" customHeight="1">
      <c r="D26" s="22"/>
      <c r="E26" s="22"/>
      <c r="J26" s="5"/>
      <c r="K26" s="5"/>
      <c r="L26" s="5"/>
      <c r="M26" s="5"/>
      <c r="N26" s="5"/>
      <c r="O26" s="5"/>
      <c r="P26" s="88"/>
      <c r="Q26" s="95"/>
    </row>
    <row r="27" spans="1:17" s="2" customFormat="1" ht="12" customHeight="1">
      <c r="D27" s="22"/>
      <c r="E27" s="22"/>
      <c r="J27" s="5"/>
      <c r="K27" s="5"/>
      <c r="L27" s="5"/>
      <c r="M27" s="5"/>
      <c r="N27" s="5"/>
      <c r="O27" s="5"/>
      <c r="P27" s="88"/>
      <c r="Q27" s="95"/>
    </row>
    <row r="28" spans="1:17" s="2" customFormat="1" ht="12" customHeight="1">
      <c r="D28" s="22"/>
      <c r="E28" s="22"/>
      <c r="J28" s="5"/>
      <c r="K28" s="5"/>
      <c r="L28" s="5"/>
      <c r="M28" s="5"/>
      <c r="N28" s="5"/>
      <c r="O28" s="5"/>
      <c r="P28" s="88"/>
      <c r="Q28" s="95"/>
    </row>
    <row r="29" spans="1:17" s="2" customFormat="1" ht="12" customHeight="1">
      <c r="D29" s="22"/>
      <c r="E29" s="22"/>
      <c r="J29" s="5"/>
      <c r="K29" s="5"/>
      <c r="L29" s="5"/>
      <c r="M29" s="5"/>
      <c r="N29" s="5"/>
      <c r="O29" s="5"/>
      <c r="P29" s="88"/>
      <c r="Q29" s="95"/>
    </row>
    <row r="30" spans="1:17" s="2" customFormat="1" ht="12" customHeight="1">
      <c r="D30" s="22"/>
      <c r="E30" s="22"/>
      <c r="J30" s="5"/>
      <c r="K30" s="5"/>
      <c r="L30" s="5"/>
      <c r="M30" s="5"/>
      <c r="N30" s="5"/>
      <c r="O30" s="5"/>
      <c r="P30" s="88"/>
      <c r="Q30" s="95"/>
    </row>
    <row r="31" spans="1:17" s="2" customFormat="1" ht="12" customHeight="1">
      <c r="D31" s="22"/>
      <c r="E31" s="22"/>
      <c r="J31" s="5"/>
      <c r="K31" s="5"/>
      <c r="L31" s="5"/>
      <c r="M31" s="5"/>
      <c r="N31" s="5"/>
      <c r="O31" s="5"/>
      <c r="P31" s="88"/>
      <c r="Q31" s="95"/>
    </row>
    <row r="32" spans="1:17" s="2" customFormat="1" ht="12" customHeight="1">
      <c r="D32" s="22"/>
      <c r="E32" s="22"/>
      <c r="J32" s="5"/>
      <c r="K32" s="5"/>
      <c r="L32" s="5"/>
      <c r="M32" s="5"/>
      <c r="N32" s="5"/>
      <c r="O32" s="5"/>
      <c r="P32" s="88"/>
      <c r="Q32" s="95"/>
    </row>
    <row r="33" spans="4:17" s="2" customFormat="1" ht="12" customHeight="1">
      <c r="D33" s="22"/>
      <c r="E33" s="22"/>
      <c r="J33" s="5"/>
      <c r="K33" s="5"/>
      <c r="L33" s="5"/>
      <c r="M33" s="5"/>
      <c r="N33" s="5"/>
      <c r="O33" s="5"/>
      <c r="P33" s="88"/>
      <c r="Q33" s="95"/>
    </row>
    <row r="34" spans="4:17" s="2" customFormat="1" ht="12" customHeight="1">
      <c r="D34" s="22"/>
      <c r="E34" s="22"/>
      <c r="J34" s="5"/>
      <c r="K34" s="5"/>
      <c r="L34" s="5"/>
      <c r="M34" s="5"/>
      <c r="N34" s="5"/>
      <c r="O34" s="5"/>
      <c r="P34" s="88"/>
      <c r="Q34" s="95"/>
    </row>
    <row r="35" spans="4:17" s="2" customFormat="1" ht="12" customHeight="1">
      <c r="D35" s="22"/>
      <c r="E35" s="22"/>
      <c r="J35" s="5"/>
      <c r="K35" s="5"/>
      <c r="L35" s="5"/>
      <c r="M35" s="5"/>
      <c r="N35" s="5"/>
      <c r="O35" s="5"/>
      <c r="P35" s="88"/>
      <c r="Q35" s="95"/>
    </row>
    <row r="36" spans="4:17" s="2" customFormat="1" ht="12" customHeight="1">
      <c r="D36" s="22"/>
      <c r="E36" s="22"/>
      <c r="J36" s="5"/>
      <c r="K36" s="5"/>
      <c r="L36" s="5"/>
      <c r="M36" s="5"/>
      <c r="N36" s="5"/>
      <c r="O36" s="5"/>
      <c r="P36" s="88"/>
      <c r="Q36" s="95"/>
    </row>
    <row r="37" spans="4:17" s="2" customFormat="1" ht="12" customHeight="1">
      <c r="D37" s="22"/>
      <c r="E37" s="22"/>
      <c r="J37" s="5"/>
      <c r="K37" s="5"/>
      <c r="L37" s="5"/>
      <c r="M37" s="5"/>
      <c r="N37" s="5"/>
      <c r="O37" s="5"/>
      <c r="P37" s="88"/>
      <c r="Q37" s="95"/>
    </row>
    <row r="38" spans="4:17" s="2" customFormat="1" ht="12" customHeight="1">
      <c r="D38" s="22"/>
      <c r="E38" s="22"/>
      <c r="J38" s="5"/>
      <c r="K38" s="5"/>
      <c r="L38" s="5"/>
      <c r="M38" s="5"/>
      <c r="N38" s="5"/>
      <c r="O38" s="5"/>
      <c r="P38" s="88"/>
      <c r="Q38" s="95"/>
    </row>
    <row r="39" spans="4:17" s="2" customFormat="1" ht="12" customHeight="1">
      <c r="D39" s="22"/>
      <c r="E39" s="22"/>
      <c r="J39" s="5"/>
      <c r="K39" s="5"/>
      <c r="L39" s="5"/>
      <c r="M39" s="5"/>
      <c r="N39" s="5"/>
      <c r="O39" s="5"/>
      <c r="P39" s="88"/>
      <c r="Q39" s="95"/>
    </row>
    <row r="40" spans="4:17" s="2" customFormat="1" ht="12" customHeight="1">
      <c r="D40" s="22"/>
      <c r="E40" s="22"/>
      <c r="J40" s="5"/>
      <c r="K40" s="5"/>
      <c r="L40" s="5"/>
      <c r="M40" s="5"/>
      <c r="N40" s="5"/>
      <c r="O40" s="5"/>
      <c r="P40" s="88"/>
      <c r="Q40" s="95"/>
    </row>
    <row r="41" spans="4:17" s="2" customFormat="1" ht="12" customHeight="1">
      <c r="D41" s="22"/>
      <c r="E41" s="22"/>
      <c r="J41" s="5"/>
      <c r="K41" s="5"/>
      <c r="L41" s="5"/>
      <c r="M41" s="5"/>
      <c r="N41" s="5"/>
      <c r="O41" s="5"/>
      <c r="P41" s="88"/>
      <c r="Q41" s="95"/>
    </row>
    <row r="42" spans="4:17" s="2" customFormat="1" ht="12" customHeight="1">
      <c r="D42" s="22"/>
      <c r="E42" s="22"/>
      <c r="J42" s="5"/>
      <c r="K42" s="5"/>
      <c r="L42" s="5"/>
      <c r="M42" s="5"/>
      <c r="N42" s="5"/>
      <c r="O42" s="5"/>
      <c r="P42" s="88"/>
      <c r="Q42" s="95"/>
    </row>
    <row r="43" spans="4:17" s="2" customFormat="1" ht="12" customHeight="1">
      <c r="D43" s="22"/>
      <c r="E43" s="22"/>
      <c r="J43" s="5"/>
      <c r="K43" s="5"/>
      <c r="L43" s="5"/>
      <c r="M43" s="5"/>
      <c r="N43" s="5"/>
      <c r="O43" s="5"/>
      <c r="P43" s="88"/>
      <c r="Q43" s="95"/>
    </row>
    <row r="44" spans="4:17" s="2" customFormat="1" ht="12" customHeight="1">
      <c r="D44" s="22"/>
      <c r="E44" s="22"/>
      <c r="J44" s="5"/>
      <c r="K44" s="5"/>
      <c r="L44" s="5"/>
      <c r="M44" s="5"/>
      <c r="N44" s="5"/>
      <c r="O44" s="5"/>
      <c r="P44" s="88"/>
      <c r="Q44" s="95"/>
    </row>
    <row r="45" spans="4:17" s="2" customFormat="1" ht="12" customHeight="1">
      <c r="D45" s="22"/>
      <c r="E45" s="22"/>
      <c r="J45" s="5"/>
      <c r="K45" s="5"/>
      <c r="L45" s="5"/>
      <c r="M45" s="5"/>
      <c r="N45" s="5"/>
      <c r="O45" s="5"/>
      <c r="P45" s="88"/>
      <c r="Q45" s="95"/>
    </row>
    <row r="46" spans="4:17" s="2" customFormat="1" ht="12" customHeight="1">
      <c r="D46" s="22"/>
      <c r="E46" s="22"/>
      <c r="J46" s="5"/>
      <c r="K46" s="5"/>
      <c r="L46" s="5"/>
      <c r="M46" s="5"/>
      <c r="N46" s="5"/>
      <c r="O46" s="5"/>
      <c r="P46" s="88"/>
      <c r="Q46" s="95"/>
    </row>
    <row r="47" spans="4:17" s="2" customFormat="1" ht="12" customHeight="1">
      <c r="D47" s="22"/>
      <c r="E47" s="22"/>
      <c r="J47" s="5"/>
      <c r="K47" s="5"/>
      <c r="L47" s="5"/>
      <c r="M47" s="5"/>
      <c r="N47" s="5"/>
      <c r="O47" s="5"/>
      <c r="P47" s="88"/>
      <c r="Q47" s="95"/>
    </row>
    <row r="48" spans="4:17" s="2" customFormat="1" ht="12" customHeight="1">
      <c r="D48" s="22"/>
      <c r="E48" s="22"/>
      <c r="J48" s="5"/>
      <c r="K48" s="5"/>
      <c r="L48" s="5"/>
      <c r="M48" s="5"/>
      <c r="N48" s="5"/>
      <c r="O48" s="5"/>
      <c r="P48" s="88"/>
      <c r="Q48" s="95"/>
    </row>
    <row r="49" spans="1:17" s="2" customFormat="1" ht="12" customHeight="1">
      <c r="D49" s="22"/>
      <c r="E49" s="22"/>
      <c r="J49" s="5"/>
      <c r="K49" s="5"/>
      <c r="L49" s="5"/>
      <c r="M49" s="5"/>
      <c r="N49" s="5"/>
      <c r="O49" s="5"/>
      <c r="P49" s="88"/>
      <c r="Q49" s="95"/>
    </row>
    <row r="50" spans="1:17" s="2" customFormat="1" ht="12" customHeight="1">
      <c r="D50" s="22"/>
      <c r="E50" s="22"/>
      <c r="J50" s="5"/>
      <c r="K50" s="5"/>
      <c r="L50" s="5"/>
      <c r="M50" s="5"/>
      <c r="N50" s="5"/>
      <c r="O50" s="5"/>
      <c r="P50" s="88"/>
      <c r="Q50" s="95"/>
    </row>
    <row r="51" spans="1:17" s="2" customFormat="1" ht="12" customHeight="1">
      <c r="D51" s="22"/>
      <c r="E51" s="22"/>
      <c r="J51" s="5"/>
      <c r="K51" s="5"/>
      <c r="L51" s="5"/>
      <c r="M51" s="5"/>
      <c r="N51" s="5"/>
      <c r="O51" s="5"/>
      <c r="P51" s="88"/>
      <c r="Q51" s="95"/>
    </row>
    <row r="52" spans="1:17" s="2" customFormat="1" ht="12" customHeight="1">
      <c r="D52" s="22"/>
      <c r="E52" s="22"/>
      <c r="J52" s="5"/>
      <c r="K52" s="5"/>
      <c r="L52" s="5"/>
      <c r="M52" s="5"/>
      <c r="N52" s="5"/>
      <c r="O52" s="5"/>
      <c r="P52" s="88"/>
      <c r="Q52" s="95"/>
    </row>
    <row r="53" spans="1:17" s="2" customFormat="1" ht="12" customHeight="1">
      <c r="D53" s="22"/>
      <c r="E53" s="22"/>
      <c r="J53" s="5"/>
      <c r="K53" s="5"/>
      <c r="L53" s="5"/>
      <c r="M53" s="5"/>
      <c r="N53" s="5"/>
      <c r="O53" s="5"/>
      <c r="P53" s="88"/>
      <c r="Q53" s="95"/>
    </row>
    <row r="54" spans="1:17" s="2" customFormat="1" ht="12" customHeight="1">
      <c r="D54" s="22"/>
      <c r="E54" s="22"/>
      <c r="J54" s="5"/>
      <c r="K54" s="5"/>
      <c r="L54" s="5"/>
      <c r="M54" s="5"/>
      <c r="N54" s="5"/>
      <c r="O54" s="5"/>
      <c r="P54" s="88"/>
      <c r="Q54" s="95"/>
    </row>
    <row r="55" spans="1:17" s="2" customFormat="1" ht="12" customHeight="1">
      <c r="D55" s="22"/>
      <c r="E55" s="22"/>
      <c r="J55" s="5"/>
      <c r="K55" s="5"/>
      <c r="L55" s="5"/>
      <c r="M55" s="5"/>
      <c r="N55" s="5"/>
      <c r="O55" s="5"/>
      <c r="P55" s="88"/>
      <c r="Q55" s="95"/>
    </row>
    <row r="56" spans="1:17" s="2" customFormat="1" ht="12" customHeight="1">
      <c r="D56" s="22"/>
      <c r="E56" s="22"/>
      <c r="J56" s="5"/>
      <c r="K56" s="5"/>
      <c r="L56" s="5"/>
      <c r="M56" s="5"/>
      <c r="N56" s="5"/>
      <c r="O56" s="5"/>
      <c r="P56" s="88"/>
      <c r="Q56" s="95"/>
    </row>
    <row r="57" spans="1:17" s="2" customFormat="1" ht="12" customHeight="1">
      <c r="D57" s="22"/>
      <c r="E57" s="22"/>
      <c r="J57" s="5"/>
      <c r="K57" s="5"/>
      <c r="L57" s="5"/>
      <c r="M57" s="5"/>
      <c r="N57" s="5"/>
      <c r="O57" s="5"/>
      <c r="P57" s="88"/>
      <c r="Q57" s="96"/>
    </row>
    <row r="58" spans="1:17" s="2" customFormat="1" ht="12" customHeight="1">
      <c r="D58" s="22"/>
      <c r="E58" s="22"/>
      <c r="J58" s="5"/>
      <c r="K58" s="5"/>
      <c r="L58" s="5"/>
      <c r="M58" s="5"/>
      <c r="N58" s="5"/>
      <c r="O58" s="5"/>
      <c r="P58" s="88"/>
      <c r="Q58" s="96"/>
    </row>
    <row r="59" spans="1:17" s="2" customFormat="1" ht="12" customHeight="1">
      <c r="D59" s="22"/>
      <c r="E59" s="22"/>
      <c r="J59" s="5"/>
      <c r="K59" s="5"/>
      <c r="L59" s="5"/>
      <c r="M59" s="5"/>
      <c r="N59" s="5"/>
      <c r="O59" s="5"/>
      <c r="P59" s="88"/>
      <c r="Q59" s="96"/>
    </row>
    <row r="60" spans="1:17" s="2" customFormat="1" ht="12" customHeight="1">
      <c r="D60" s="22"/>
      <c r="E60" s="22"/>
      <c r="J60" s="5"/>
      <c r="K60" s="5"/>
      <c r="L60" s="5"/>
      <c r="M60" s="5"/>
      <c r="N60" s="5"/>
      <c r="O60" s="5"/>
      <c r="P60" s="88"/>
      <c r="Q60" s="96"/>
    </row>
    <row r="61" spans="1:17" s="2" customFormat="1" ht="12" customHeight="1">
      <c r="A61"/>
      <c r="B61"/>
      <c r="C61"/>
      <c r="D61" s="23"/>
      <c r="E61" s="23"/>
      <c r="F61"/>
      <c r="G61"/>
      <c r="H61"/>
      <c r="I61"/>
      <c r="J61" s="19"/>
      <c r="K61" s="19"/>
      <c r="L61" s="19"/>
      <c r="M61" s="19"/>
      <c r="N61" s="19"/>
      <c r="O61" s="19"/>
      <c r="P61" s="90"/>
      <c r="Q61" s="96"/>
    </row>
    <row r="62" spans="1:17" s="2" customFormat="1" ht="12" customHeight="1">
      <c r="A62"/>
      <c r="B62"/>
      <c r="C62"/>
      <c r="D62" s="23"/>
      <c r="E62" s="23"/>
      <c r="F62"/>
      <c r="G62"/>
      <c r="H62"/>
      <c r="I62"/>
      <c r="J62" s="19"/>
      <c r="K62" s="19"/>
      <c r="L62" s="19"/>
      <c r="M62" s="19"/>
      <c r="N62" s="19"/>
      <c r="O62" s="19"/>
      <c r="P62" s="90"/>
      <c r="Q62" s="96"/>
    </row>
    <row r="63" spans="1:17" s="2" customFormat="1" ht="12" customHeight="1">
      <c r="A63"/>
      <c r="B63"/>
      <c r="C63"/>
      <c r="D63" s="23"/>
      <c r="E63" s="23"/>
      <c r="F63"/>
      <c r="G63"/>
      <c r="H63"/>
      <c r="I63"/>
      <c r="J63" s="19"/>
      <c r="K63" s="19"/>
      <c r="L63" s="19"/>
      <c r="M63" s="19"/>
      <c r="N63" s="19"/>
      <c r="O63" s="19"/>
      <c r="P63" s="90"/>
      <c r="Q63" s="96"/>
    </row>
    <row r="64" spans="1:17" s="2" customFormat="1" ht="12" customHeight="1">
      <c r="A64"/>
      <c r="B64"/>
      <c r="C64"/>
      <c r="D64" s="23"/>
      <c r="E64" s="23"/>
      <c r="F64"/>
      <c r="G64"/>
      <c r="H64"/>
      <c r="I64"/>
      <c r="J64" s="19"/>
      <c r="K64" s="19"/>
      <c r="L64" s="19"/>
      <c r="M64" s="19"/>
      <c r="N64" s="19"/>
      <c r="O64" s="19"/>
      <c r="P64" s="90"/>
      <c r="Q64" s="96"/>
    </row>
    <row r="65" spans="1:17" s="2" customFormat="1" ht="12" customHeight="1">
      <c r="A65"/>
      <c r="B65"/>
      <c r="C65"/>
      <c r="D65" s="23"/>
      <c r="E65" s="23"/>
      <c r="F65"/>
      <c r="G65"/>
      <c r="H65"/>
      <c r="I65"/>
      <c r="J65" s="19"/>
      <c r="K65" s="19"/>
      <c r="L65" s="19"/>
      <c r="M65" s="19"/>
      <c r="N65" s="19"/>
      <c r="O65" s="19"/>
      <c r="P65" s="90"/>
      <c r="Q65" s="96"/>
    </row>
    <row r="66" spans="1:17">
      <c r="Q66" s="96"/>
    </row>
    <row r="67" spans="1:17">
      <c r="Q67" s="96"/>
    </row>
    <row r="68" spans="1:17">
      <c r="Q68" s="96"/>
    </row>
    <row r="69" spans="1:17">
      <c r="Q69" s="96"/>
    </row>
    <row r="70" spans="1:17">
      <c r="Q70" s="96"/>
    </row>
    <row r="71" spans="1:17">
      <c r="Q71" s="96"/>
    </row>
    <row r="72" spans="1:17">
      <c r="Q72" s="96"/>
    </row>
    <row r="73" spans="1:17">
      <c r="Q73" s="96"/>
    </row>
    <row r="74" spans="1:17">
      <c r="Q74" s="96"/>
    </row>
    <row r="75" spans="1:17">
      <c r="Q75" s="96"/>
    </row>
    <row r="76" spans="1:17">
      <c r="Q76" s="96"/>
    </row>
    <row r="77" spans="1:17">
      <c r="Q77" s="96"/>
    </row>
    <row r="78" spans="1:17">
      <c r="Q78" s="96"/>
    </row>
    <row r="79" spans="1:17">
      <c r="Q79" s="96"/>
    </row>
    <row r="80" spans="1:17">
      <c r="Q80" s="96"/>
    </row>
    <row r="81" spans="17:17">
      <c r="Q81" s="96"/>
    </row>
    <row r="82" spans="17:17">
      <c r="Q82" s="96"/>
    </row>
    <row r="83" spans="17:17">
      <c r="Q83" s="96"/>
    </row>
    <row r="84" spans="17:17">
      <c r="Q84" s="96"/>
    </row>
    <row r="85" spans="17:17">
      <c r="Q85" s="96"/>
    </row>
    <row r="122" ht="12" customHeight="1"/>
    <row r="123" ht="12" customHeight="1"/>
    <row r="124" ht="12" customHeight="1"/>
    <row r="125" ht="12" customHeight="1"/>
    <row r="126" ht="12" customHeight="1"/>
    <row r="127" ht="12" customHeight="1"/>
    <row r="128" ht="12" customHeight="1"/>
    <row r="129" ht="12" customHeight="1"/>
    <row r="130" ht="12" customHeight="1"/>
    <row r="131" ht="12" customHeight="1"/>
    <row r="132" ht="12" customHeight="1"/>
    <row r="133" ht="12" customHeight="1"/>
    <row r="134" ht="12" customHeight="1"/>
    <row r="135" ht="12" customHeight="1"/>
    <row r="136" ht="12" customHeight="1"/>
    <row r="137" ht="12" customHeight="1"/>
    <row r="138" ht="12" customHeight="1"/>
    <row r="139" ht="12" customHeight="1"/>
    <row r="140" ht="12" customHeight="1"/>
    <row r="141" ht="12" customHeight="1"/>
    <row r="142" ht="12" customHeight="1"/>
    <row r="143" ht="12" customHeight="1"/>
    <row r="144" ht="12" customHeight="1"/>
    <row r="145" ht="12" customHeight="1"/>
    <row r="146" ht="12" customHeight="1"/>
    <row r="147" ht="12" customHeight="1"/>
    <row r="148" ht="12" customHeight="1"/>
    <row r="149" ht="12" customHeight="1"/>
    <row r="150" ht="12" customHeight="1"/>
    <row r="151" ht="12" customHeight="1"/>
    <row r="152" ht="12" customHeight="1"/>
    <row r="153" ht="12" customHeight="1"/>
    <row r="154" ht="12" customHeight="1"/>
    <row r="155" ht="12" customHeight="1"/>
    <row r="156" ht="12" customHeight="1"/>
    <row r="157" ht="12" customHeight="1"/>
    <row r="158" ht="12" customHeight="1"/>
    <row r="159" ht="12" customHeight="1"/>
    <row r="160" ht="12" customHeight="1"/>
    <row r="161" ht="12" customHeight="1"/>
    <row r="162" ht="12" customHeight="1"/>
    <row r="163" ht="12" customHeight="1"/>
    <row r="164" ht="12" customHeight="1"/>
    <row r="165" ht="12" customHeight="1"/>
    <row r="166" ht="12" customHeight="1"/>
    <row r="167" ht="12" customHeight="1"/>
    <row r="168" ht="12" customHeight="1"/>
    <row r="169" ht="12" customHeight="1"/>
    <row r="170" ht="12" customHeight="1"/>
    <row r="171" ht="12" customHeight="1"/>
  </sheetData>
  <mergeCells count="27">
    <mergeCell ref="D16:E16"/>
    <mergeCell ref="D18:E18"/>
    <mergeCell ref="H18:I18"/>
    <mergeCell ref="D13:E13"/>
    <mergeCell ref="H13:I13"/>
    <mergeCell ref="D14:E14"/>
    <mergeCell ref="D15:E15"/>
    <mergeCell ref="H15:I15"/>
    <mergeCell ref="D17:E17"/>
    <mergeCell ref="D6:E6"/>
    <mergeCell ref="H6:I6"/>
    <mergeCell ref="D12:E12"/>
    <mergeCell ref="D7:E7"/>
    <mergeCell ref="H7:I7"/>
    <mergeCell ref="D8:E8"/>
    <mergeCell ref="H8:I8"/>
    <mergeCell ref="D9:E9"/>
    <mergeCell ref="H9:I9"/>
    <mergeCell ref="D11:E11"/>
    <mergeCell ref="H11:I11"/>
    <mergeCell ref="D10:E10"/>
    <mergeCell ref="H10:I10"/>
    <mergeCell ref="D1:E1"/>
    <mergeCell ref="D4:E4"/>
    <mergeCell ref="H4:I4"/>
    <mergeCell ref="D5:E5"/>
    <mergeCell ref="H5:I5"/>
  </mergeCells>
  <conditionalFormatting sqref="M14 M16:M17">
    <cfRule type="cellIs" dxfId="302" priority="9" stopIfTrue="1" operator="lessThanOrEqual">
      <formula>$L14</formula>
    </cfRule>
    <cfRule type="cellIs" dxfId="301" priority="10" operator="greaterThan">
      <formula>L14</formula>
    </cfRule>
  </conditionalFormatting>
  <conditionalFormatting sqref="M12">
    <cfRule type="cellIs" dxfId="300" priority="1" stopIfTrue="1" operator="lessThanOrEqual">
      <formula>$L12</formula>
    </cfRule>
    <cfRule type="cellIs" dxfId="299" priority="2" operator="greaterThan">
      <formula>L12</formula>
    </cfRule>
  </conditionalFormatting>
  <pageMargins left="0.7" right="0.7" top="0.75" bottom="0.75" header="0.3" footer="0.3"/>
  <pageSetup paperSize="3" fitToHeight="0" orientation="landscape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 xr:uid="{C8B4D8EF-7ADC-489F-9545-CBF6BAE20117}">
          <x14:formula1>
            <xm:f>Bolts!$A:$A</xm:f>
          </x14:formula1>
          <xm:sqref>C16:C17</xm:sqref>
        </x14:dataValidation>
        <x14:dataValidation type="list" allowBlank="1" showInputMessage="1" showErrorMessage="1" xr:uid="{863AB90B-AAD4-4237-B5F1-151A82AC6454}">
          <x14:formula1>
            <xm:f>Assemblies!$E:$E</xm:f>
          </x14:formula1>
          <xm:sqref>C5:C10</xm:sqref>
        </x14:dataValidation>
        <x14:dataValidation type="list" allowBlank="1" showInputMessage="1" showErrorMessage="1" xr:uid="{3431F55D-FBF4-4EBA-87E1-E42342D8A8CB}">
          <x14:formula1>
            <xm:f>Purchased!$A:$A</xm:f>
          </x14:formula1>
          <xm:sqref>C14</xm:sqref>
        </x14:dataValidation>
        <x14:dataValidation type="list" allowBlank="1" showInputMessage="1" showErrorMessage="1" xr:uid="{786D6F48-537F-4AA2-A17C-0E7C164FB72B}">
          <x14:formula1>
            <xm:f>Machined!$C:$C</xm:f>
          </x14:formula1>
          <xm:sqref>C12</xm:sqref>
        </x14:dataValidation>
      </x14:dataValidations>
    </ext>
  </extLst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B7A076-AFAA-423F-AA19-F2B91BF615DC}">
  <sheetPr codeName="Sheet98">
    <tabColor theme="3" tint="0.79998168889431442"/>
    <pageSetUpPr fitToPage="1"/>
  </sheetPr>
  <dimension ref="A1:Q178"/>
  <sheetViews>
    <sheetView zoomScaleNormal="100" workbookViewId="0">
      <selection activeCell="G35" sqref="G35"/>
    </sheetView>
  </sheetViews>
  <sheetFormatPr defaultColWidth="9.140625" defaultRowHeight="15"/>
  <cols>
    <col min="1" max="1" width="5.7109375" customWidth="1"/>
    <col min="2" max="2" width="5.42578125" bestFit="1" customWidth="1"/>
    <col min="3" max="3" width="30.7109375" customWidth="1"/>
    <col min="4" max="5" width="20.7109375" style="23" customWidth="1"/>
    <col min="6" max="6" width="16.85546875" bestFit="1" customWidth="1"/>
    <col min="7" max="7" width="9.7109375" customWidth="1"/>
    <col min="8" max="8" width="8.7109375" customWidth="1"/>
    <col min="9" max="9" width="20.7109375" customWidth="1"/>
    <col min="10" max="13" width="11.7109375" style="19" customWidth="1"/>
    <col min="14" max="14" width="11.85546875" style="19" bestFit="1" customWidth="1"/>
    <col min="15" max="15" width="7.7109375" style="19" customWidth="1"/>
    <col min="16" max="16" width="10.7109375" style="90" customWidth="1"/>
    <col min="17" max="17" width="10.7109375" style="97" customWidth="1"/>
  </cols>
  <sheetData>
    <row r="1" spans="1:17" s="55" customFormat="1" ht="12" customHeight="1">
      <c r="A1" s="68" t="s">
        <v>0</v>
      </c>
      <c r="B1" s="69"/>
      <c r="C1" s="69"/>
      <c r="D1" s="262" t="s">
        <v>1</v>
      </c>
      <c r="E1" s="263"/>
      <c r="F1" s="70"/>
      <c r="G1" s="69"/>
      <c r="H1" s="70"/>
      <c r="I1" s="71"/>
      <c r="J1" s="72"/>
      <c r="K1" s="72"/>
      <c r="L1" s="72"/>
      <c r="M1" s="72"/>
      <c r="N1" s="72"/>
      <c r="O1" s="72"/>
      <c r="P1" s="85"/>
      <c r="Q1" s="91"/>
    </row>
    <row r="2" spans="1:17" s="55" customFormat="1" ht="12" customHeight="1">
      <c r="A2" s="74" t="s">
        <v>48</v>
      </c>
      <c r="B2" s="58"/>
      <c r="C2" s="57" t="e">
        <f ca="1">VLOOKUP(E3,Assemblies!B:F,4,0)</f>
        <v>#VALUE!</v>
      </c>
      <c r="D2" s="75" t="s">
        <v>3</v>
      </c>
      <c r="E2" s="76" t="e">
        <f ca="1">'GF12'!E2</f>
        <v>#VALUE!</v>
      </c>
      <c r="F2" s="77" t="s">
        <v>4</v>
      </c>
      <c r="G2" s="58" t="str">
        <f>'GF12'!G2</f>
        <v>GH</v>
      </c>
      <c r="H2" s="77" t="s">
        <v>6</v>
      </c>
      <c r="I2" s="59">
        <f>'GF12'!I2</f>
        <v>44775</v>
      </c>
      <c r="J2" s="39"/>
      <c r="K2" s="40" t="s">
        <v>49</v>
      </c>
      <c r="L2" s="41" t="e">
        <f ca="1">VLOOKUP(C2,Assemblies!E:G,3,0)</f>
        <v>#VALUE!</v>
      </c>
      <c r="M2" s="78"/>
      <c r="N2" s="78"/>
      <c r="O2" s="78"/>
      <c r="P2" s="86"/>
      <c r="Q2" s="92"/>
    </row>
    <row r="3" spans="1:17" s="55" customFormat="1" ht="12" customHeight="1" thickBot="1">
      <c r="A3" s="74" t="s">
        <v>7</v>
      </c>
      <c r="B3" s="58"/>
      <c r="C3" s="57" t="e">
        <f ca="1">VLOOKUP(E3,Assemblies!B:F,5,0)</f>
        <v>#VALUE!</v>
      </c>
      <c r="D3" s="75" t="s">
        <v>50</v>
      </c>
      <c r="E3" s="76" t="e">
        <f ca="1">MID(CELL("filename",A1),FIND("]",CELL("filename",A1))+1,256)</f>
        <v>#VALUE!</v>
      </c>
      <c r="F3" s="77" t="s">
        <v>11</v>
      </c>
      <c r="G3" s="58" t="str">
        <f>'GF12'!G3</f>
        <v>GH</v>
      </c>
      <c r="H3" s="77" t="s">
        <v>6</v>
      </c>
      <c r="I3" s="59">
        <f>'GF12'!I3</f>
        <v>44775</v>
      </c>
      <c r="J3" s="78"/>
      <c r="K3" s="78"/>
      <c r="L3" s="78"/>
      <c r="M3" s="78"/>
      <c r="N3" s="78"/>
      <c r="O3" s="78"/>
      <c r="P3" s="86"/>
      <c r="Q3" s="92"/>
    </row>
    <row r="4" spans="1:17" s="56" customFormat="1" ht="12.75" customHeight="1" thickBot="1">
      <c r="A4" s="80" t="s">
        <v>12</v>
      </c>
      <c r="B4" s="81" t="s">
        <v>13</v>
      </c>
      <c r="C4" s="81" t="s">
        <v>14</v>
      </c>
      <c r="D4" s="270" t="s">
        <v>15</v>
      </c>
      <c r="E4" s="271"/>
      <c r="F4" s="104" t="s">
        <v>16</v>
      </c>
      <c r="G4" s="81" t="s">
        <v>17</v>
      </c>
      <c r="H4" s="260" t="s">
        <v>18</v>
      </c>
      <c r="I4" s="261"/>
      <c r="J4" s="81" t="s">
        <v>51</v>
      </c>
      <c r="K4" s="81" t="s">
        <v>20</v>
      </c>
      <c r="L4" s="81" t="s">
        <v>21</v>
      </c>
      <c r="M4" s="81" t="s">
        <v>52</v>
      </c>
      <c r="N4" s="81" t="s">
        <v>22</v>
      </c>
      <c r="O4" s="81" t="s">
        <v>53</v>
      </c>
      <c r="P4" s="107" t="s">
        <v>26</v>
      </c>
      <c r="Q4" s="82" t="s">
        <v>27</v>
      </c>
    </row>
    <row r="5" spans="1:17" s="2" customFormat="1" ht="12.75" customHeight="1">
      <c r="A5" s="127">
        <v>1</v>
      </c>
      <c r="B5" s="21">
        <v>1</v>
      </c>
      <c r="C5" s="108" t="s">
        <v>1066</v>
      </c>
      <c r="D5" s="277" t="str">
        <f>VLOOKUP(C5,Machined!C:Q,2,0)</f>
        <v>LOWER SIDE SEAL BAR</v>
      </c>
      <c r="E5" s="278"/>
      <c r="F5" s="131" t="str">
        <f>VLOOKUP(C5,Machined!C:R,7,0)</f>
        <v xml:space="preserve">MIC 6 </v>
      </c>
      <c r="G5" s="131" t="str">
        <f>VLOOKUP(C5,Machined!C:R,10,0)</f>
        <v>XOMETRY</v>
      </c>
      <c r="H5" s="131" t="str">
        <f>VLOOKUP(C5,Machined!C:R,11,0)</f>
        <v xml:space="preserve">  </v>
      </c>
      <c r="I5" s="131"/>
      <c r="J5" s="42">
        <f>VLOOKUP(C5,Machined!C:R,12,0)</f>
        <v>45084</v>
      </c>
      <c r="K5" s="42">
        <f>VLOOKUP(C5,Machined!C:R,13,0)</f>
        <v>45127</v>
      </c>
      <c r="L5" s="42">
        <f>VLOOKUP(C5,Machined!C:R,14,0)</f>
        <v>45156</v>
      </c>
      <c r="M5" s="42">
        <f>VLOOKUP(C5,Machined!C:R,15,0)</f>
        <v>45156</v>
      </c>
      <c r="N5" s="43">
        <f>VLOOKUP(C5,Machined!C:R,16,0)</f>
        <v>55003</v>
      </c>
      <c r="O5" s="43" t="e">
        <f t="shared" ref="O5:O10" ca="1" si="0">B5*$L$2</f>
        <v>#VALUE!</v>
      </c>
      <c r="P5" s="47">
        <f>IFERROR(VLOOKUP(C5,Machined!C:F,3,0),"")</f>
        <v>285.83999999999997</v>
      </c>
      <c r="Q5" s="48">
        <f t="shared" ref="Q5:Q10" si="1">IFERROR(B5*P5,"")</f>
        <v>285.83999999999997</v>
      </c>
    </row>
    <row r="6" spans="1:17" s="2" customFormat="1" ht="12.75" customHeight="1">
      <c r="A6" s="127">
        <v>2</v>
      </c>
      <c r="B6" s="21">
        <v>1</v>
      </c>
      <c r="C6" s="108" t="s">
        <v>1067</v>
      </c>
      <c r="D6" s="277" t="str">
        <f>VLOOKUP(C6,Machined!C:Q,2,0)</f>
        <v xml:space="preserve">SIDE SEAL MID BAR </v>
      </c>
      <c r="E6" s="278"/>
      <c r="F6" s="131" t="str">
        <f>VLOOKUP(C6,Machined!C:R,7,0)</f>
        <v xml:space="preserve">MIC 6 </v>
      </c>
      <c r="G6" s="131" t="str">
        <f>VLOOKUP(C6,Machined!C:R,10,0)</f>
        <v>XOMETRY</v>
      </c>
      <c r="H6" s="131" t="str">
        <f>VLOOKUP(C6,Machined!C:R,11,0)</f>
        <v>Nuline add 2x M4 Taps</v>
      </c>
      <c r="I6" s="131"/>
      <c r="J6" s="42">
        <f>VLOOKUP(C6,Machined!C:R,12,0)</f>
        <v>45084</v>
      </c>
      <c r="K6" s="42">
        <f>VLOOKUP(C6,Machined!C:R,13,0)</f>
        <v>45127</v>
      </c>
      <c r="L6" s="42">
        <f>VLOOKUP(C6,Machined!C:R,14,0)</f>
        <v>45156</v>
      </c>
      <c r="M6" s="42">
        <f>VLOOKUP(C6,Machined!C:R,15,0)</f>
        <v>45156</v>
      </c>
      <c r="N6" s="43">
        <f>VLOOKUP(C6,Machined!C:R,16,0)</f>
        <v>55003</v>
      </c>
      <c r="O6" s="43" t="e">
        <f t="shared" ca="1" si="0"/>
        <v>#VALUE!</v>
      </c>
      <c r="P6" s="47">
        <f>IFERROR(VLOOKUP(C6,Machined!C:F,3,0),"")</f>
        <v>146.12</v>
      </c>
      <c r="Q6" s="48">
        <f t="shared" si="1"/>
        <v>146.12</v>
      </c>
    </row>
    <row r="7" spans="1:17" s="2" customFormat="1" ht="12.75" customHeight="1">
      <c r="A7" s="127">
        <v>3</v>
      </c>
      <c r="B7" s="21">
        <v>1</v>
      </c>
      <c r="C7" s="108" t="s">
        <v>1068</v>
      </c>
      <c r="D7" s="277" t="str">
        <f>VLOOKUP(C7,Machined!C:Q,2,0)</f>
        <v>SIDE SEAL DIE CAP</v>
      </c>
      <c r="E7" s="278"/>
      <c r="F7" s="131" t="str">
        <f>VLOOKUP(C7,Machined!C:R,7,0)</f>
        <v xml:space="preserve">MIC 6 </v>
      </c>
      <c r="G7" s="131" t="str">
        <f>VLOOKUP(C7,Machined!C:R,10,0)</f>
        <v>XOMETRY</v>
      </c>
      <c r="H7" s="131" t="str">
        <f>VLOOKUP(C7,Machined!C:R,11,0)</f>
        <v xml:space="preserve">  </v>
      </c>
      <c r="I7" s="131"/>
      <c r="J7" s="42">
        <f>VLOOKUP(C7,Machined!C:R,12,0)</f>
        <v>45084</v>
      </c>
      <c r="K7" s="42">
        <f>VLOOKUP(C7,Machined!C:R,13,0)</f>
        <v>45127</v>
      </c>
      <c r="L7" s="42">
        <f>VLOOKUP(C7,Machined!C:R,14,0)</f>
        <v>45156</v>
      </c>
      <c r="M7" s="42">
        <f>VLOOKUP(C7,Machined!C:R,15,0)</f>
        <v>45156</v>
      </c>
      <c r="N7" s="43">
        <f>VLOOKUP(C7,Machined!C:R,16,0)</f>
        <v>55003</v>
      </c>
      <c r="O7" s="43" t="e">
        <f t="shared" ca="1" si="0"/>
        <v>#VALUE!</v>
      </c>
      <c r="P7" s="47">
        <f>IFERROR(VLOOKUP(C7,Machined!C:F,3,0),"")</f>
        <v>201.45</v>
      </c>
      <c r="Q7" s="48">
        <f t="shared" si="1"/>
        <v>201.45</v>
      </c>
    </row>
    <row r="8" spans="1:17" s="2" customFormat="1" ht="12.75" customHeight="1">
      <c r="A8" s="127">
        <v>4</v>
      </c>
      <c r="B8" s="21">
        <v>1</v>
      </c>
      <c r="C8" s="108" t="s">
        <v>1069</v>
      </c>
      <c r="D8" s="277" t="str">
        <f>VLOOKUP(C8,Machined!C:Q,2,0)</f>
        <v xml:space="preserve">SIDE SEAL MOUNTING TUBE </v>
      </c>
      <c r="E8" s="278"/>
      <c r="F8" s="131" t="str">
        <f>VLOOKUP(C8,Machined!C:R,7,0)</f>
        <v>3"x3" 1018 Rec Tube</v>
      </c>
      <c r="G8" s="131" t="str">
        <f>VLOOKUP(C8,Machined!C:R,10,0)</f>
        <v>XOMETRY</v>
      </c>
      <c r="H8" s="131" t="str">
        <f>VLOOKUP(C8,Machined!C:R,11,0)</f>
        <v xml:space="preserve">  </v>
      </c>
      <c r="I8" s="131"/>
      <c r="J8" s="42">
        <f>VLOOKUP(C8,Machined!C:R,12,0)</f>
        <v>45084</v>
      </c>
      <c r="K8" s="42">
        <f>VLOOKUP(C8,Machined!C:R,13,0)</f>
        <v>45149</v>
      </c>
      <c r="L8" s="42">
        <f>VLOOKUP(C8,Machined!C:R,14,0)</f>
        <v>45177</v>
      </c>
      <c r="M8" s="42">
        <f>VLOOKUP(C8,Machined!C:R,15,0)</f>
        <v>45177</v>
      </c>
      <c r="N8" s="43">
        <f>VLOOKUP(C8,Machined!C:R,16,0)</f>
        <v>55053</v>
      </c>
      <c r="O8" s="43" t="e">
        <f t="shared" ca="1" si="0"/>
        <v>#VALUE!</v>
      </c>
      <c r="P8" s="47">
        <f>IFERROR(VLOOKUP(C8,Machined!C:F,3,0),"")</f>
        <v>402.88</v>
      </c>
      <c r="Q8" s="48">
        <f t="shared" si="1"/>
        <v>402.88</v>
      </c>
    </row>
    <row r="9" spans="1:17" s="2" customFormat="1" ht="12.75" customHeight="1">
      <c r="A9" s="127">
        <v>5</v>
      </c>
      <c r="B9" s="21">
        <v>1</v>
      </c>
      <c r="C9" s="108" t="s">
        <v>1070</v>
      </c>
      <c r="D9" s="277" t="str">
        <f>VLOOKUP(C9,Machined!C:Q,2,0)</f>
        <v>LOWER SIDE SEAL SILICONE</v>
      </c>
      <c r="E9" s="278"/>
      <c r="F9" s="131" t="str">
        <f>VLOOKUP(C9,Machined!C:R,7,0)</f>
        <v>Silicone</v>
      </c>
      <c r="G9" s="131" t="str">
        <f>VLOOKUP(C9,Machined!C:R,10,0)</f>
        <v>NULINE</v>
      </c>
      <c r="H9" s="131" t="str">
        <f>VLOOKUP(C9,Machined!C:R,11,0)</f>
        <v xml:space="preserve">  </v>
      </c>
      <c r="I9" s="131"/>
      <c r="J9" s="42" t="str">
        <f>VLOOKUP(C9,Machined!C:R,12,0)</f>
        <v>N/A</v>
      </c>
      <c r="K9" s="42" t="str">
        <f>VLOOKUP(C9,Machined!C:R,13,0)</f>
        <v>N/A</v>
      </c>
      <c r="L9" s="42" t="str">
        <f>VLOOKUP(C9,Machined!C:R,14,0)</f>
        <v>N/A</v>
      </c>
      <c r="M9" s="42" t="str">
        <f>VLOOKUP(C9,Machined!C:R,15,0)</f>
        <v>N/A</v>
      </c>
      <c r="N9" s="43" t="str">
        <f>VLOOKUP(C9,Machined!C:R,16,0)</f>
        <v>N/A</v>
      </c>
      <c r="O9" s="43" t="e">
        <f t="shared" ca="1" si="0"/>
        <v>#VALUE!</v>
      </c>
      <c r="P9" s="47">
        <f>IFERROR(VLOOKUP(C9,Machined!C:F,3,0),"")</f>
        <v>0</v>
      </c>
      <c r="Q9" s="48">
        <f t="shared" si="1"/>
        <v>0</v>
      </c>
    </row>
    <row r="10" spans="1:17" s="2" customFormat="1" ht="12.75" customHeight="1">
      <c r="A10" s="127">
        <v>6</v>
      </c>
      <c r="B10" s="21">
        <v>2</v>
      </c>
      <c r="C10" s="108" t="s">
        <v>1071</v>
      </c>
      <c r="D10" s="277" t="str">
        <f>VLOOKUP(C10,Machined!C:Q,2,0)</f>
        <v>MODIFIED MCM 9604T190 STEEL FLANGED SHAFT COLLAR, 30MM DIA</v>
      </c>
      <c r="E10" s="278"/>
      <c r="F10" s="131" t="str">
        <f>VLOOKUP(C10,Machined!C:R,7,0)</f>
        <v>PURCHASED</v>
      </c>
      <c r="G10" s="131" t="str">
        <f>VLOOKUP(C10,Machined!C:R,10,0)</f>
        <v>MCM, NULINE</v>
      </c>
      <c r="H10" s="131" t="str">
        <f>VLOOKUP(C10,Machined!C:R,11,0)</f>
        <v xml:space="preserve">  </v>
      </c>
      <c r="I10" s="131"/>
      <c r="J10" s="42" t="str">
        <f>VLOOKUP(C10,Machined!C:R,12,0)</f>
        <v>N/A</v>
      </c>
      <c r="K10" s="42" t="str">
        <f>VLOOKUP(C10,Machined!C:R,13,0)</f>
        <v>N/A</v>
      </c>
      <c r="L10" s="42" t="str">
        <f>VLOOKUP(C10,Machined!C:R,14,0)</f>
        <v>N/A</v>
      </c>
      <c r="M10" s="42" t="str">
        <f>VLOOKUP(C10,Machined!C:R,15,0)</f>
        <v>N/A</v>
      </c>
      <c r="N10" s="43" t="str">
        <f>VLOOKUP(C10,Machined!C:R,16,0)</f>
        <v>N/A</v>
      </c>
      <c r="O10" s="43" t="e">
        <f t="shared" ca="1" si="0"/>
        <v>#VALUE!</v>
      </c>
      <c r="P10" s="47">
        <f>IFERROR(VLOOKUP(C10,Machined!C:F,3,0),"")</f>
        <v>0</v>
      </c>
      <c r="Q10" s="48">
        <f t="shared" si="1"/>
        <v>0</v>
      </c>
    </row>
    <row r="11" spans="1:17" s="2" customFormat="1" ht="12.75" customHeight="1">
      <c r="A11" s="143"/>
      <c r="B11" s="26"/>
      <c r="C11" s="26"/>
      <c r="D11" s="272"/>
      <c r="E11" s="273"/>
      <c r="F11" s="26"/>
      <c r="G11" s="26"/>
      <c r="H11" s="274"/>
      <c r="I11" s="275"/>
      <c r="J11" s="27"/>
      <c r="K11" s="27"/>
      <c r="L11" s="27"/>
      <c r="M11" s="28"/>
      <c r="N11" s="29"/>
      <c r="O11" s="29"/>
      <c r="P11" s="141"/>
      <c r="Q11" s="142"/>
    </row>
    <row r="12" spans="1:17" s="2" customFormat="1" ht="12.75" customHeight="1">
      <c r="A12" s="4">
        <v>301</v>
      </c>
      <c r="C12" s="114"/>
      <c r="D12" s="268"/>
      <c r="E12" s="269"/>
      <c r="F12" s="112"/>
      <c r="G12" s="112"/>
      <c r="H12" s="112"/>
      <c r="I12" s="113"/>
      <c r="J12" s="44"/>
      <c r="K12" s="44"/>
      <c r="L12" s="44"/>
      <c r="M12" s="44"/>
      <c r="N12" s="45"/>
      <c r="O12" s="45"/>
      <c r="P12" s="49"/>
      <c r="Q12" s="50"/>
    </row>
    <row r="13" spans="1:17" s="2" customFormat="1" ht="12" customHeight="1">
      <c r="A13" s="4">
        <f t="shared" ref="A13:A17" si="2">A12+1</f>
        <v>302</v>
      </c>
      <c r="B13" s="2">
        <v>3</v>
      </c>
      <c r="C13" s="114" t="s">
        <v>1072</v>
      </c>
      <c r="D13" s="268" t="str">
        <f>VLOOKUP(C13,Purchased!A:B,2,0)</f>
        <v>1/8in Bayonet Adapter</v>
      </c>
      <c r="E13" s="269"/>
      <c r="F13" s="112" t="str">
        <f>VLOOKUP(C13,Purchased!A:Q,9,0)</f>
        <v>ACROLAB</v>
      </c>
      <c r="G13" s="112" t="str">
        <f>VLOOKUP(C13,Purchased!A:Q,10,0)</f>
        <v>ACROLAB</v>
      </c>
      <c r="H13" s="112" t="str">
        <f>VLOOKUP(C13,Purchased!A:Q,12,0)</f>
        <v xml:space="preserve"> </v>
      </c>
      <c r="I13" s="113"/>
      <c r="J13" s="44" t="str">
        <f>VLOOKUP(C13,Purchased!A:Q,13,0)</f>
        <v>N/A</v>
      </c>
      <c r="K13" s="44">
        <f>VLOOKUP(C13,Purchased!A:Q,14,0)</f>
        <v>45001</v>
      </c>
      <c r="L13" s="44">
        <f>VLOOKUP(C13,Purchased!A:Q,15,0)</f>
        <v>45031</v>
      </c>
      <c r="M13" s="44">
        <f>VLOOKUP(C13,Purchased!A:Q,16,0)</f>
        <v>45031</v>
      </c>
      <c r="N13" s="45">
        <f>VLOOKUP(C13,Purchased!A:Q,17,0)</f>
        <v>54804</v>
      </c>
      <c r="O13" s="45" t="e">
        <f t="shared" ref="O13:O17" ca="1" si="3">B13*$L$2</f>
        <v>#VALUE!</v>
      </c>
      <c r="P13" s="49">
        <f>IFERROR(VLOOKUP(C13,Purchased!A:E,3,FALSE),"")</f>
        <v>4.25</v>
      </c>
      <c r="Q13" s="50">
        <f t="shared" ref="Q13:Q17" si="4">IFERROR(B13*P13,"")</f>
        <v>12.75</v>
      </c>
    </row>
    <row r="14" spans="1:17" s="2" customFormat="1" ht="12" customHeight="1">
      <c r="A14" s="4">
        <f t="shared" si="2"/>
        <v>303</v>
      </c>
      <c r="B14" s="2">
        <v>1</v>
      </c>
      <c r="C14" s="114" t="s">
        <v>1073</v>
      </c>
      <c r="D14" s="268" t="str">
        <f>VLOOKUP(C14,Purchased!A:B,2,0)</f>
        <v xml:space="preserve">0.5” OD Isobar, 26” Long </v>
      </c>
      <c r="E14" s="269"/>
      <c r="F14" s="112" t="str">
        <f>VLOOKUP(C14,Purchased!A:Q,9,0)</f>
        <v>ACROLAB</v>
      </c>
      <c r="G14" s="112" t="str">
        <f>VLOOKUP(C14,Purchased!A:Q,10,0)</f>
        <v>ACROLAB</v>
      </c>
      <c r="H14" s="112" t="str">
        <f>VLOOKUP(C14,Purchased!A:Q,12,0)</f>
        <v xml:space="preserve"> </v>
      </c>
      <c r="I14" s="113"/>
      <c r="J14" s="44" t="str">
        <f>VLOOKUP(C14,Purchased!A:Q,13,0)</f>
        <v>N/A</v>
      </c>
      <c r="K14" s="44">
        <f>VLOOKUP(C14,Purchased!A:Q,14,0)</f>
        <v>45001</v>
      </c>
      <c r="L14" s="44">
        <f>VLOOKUP(C14,Purchased!A:Q,15,0)</f>
        <v>45031</v>
      </c>
      <c r="M14" s="44">
        <f>VLOOKUP(C14,Purchased!A:Q,16,0)</f>
        <v>45031</v>
      </c>
      <c r="N14" s="45">
        <f>VLOOKUP(C14,Purchased!A:Q,17,0)</f>
        <v>54804</v>
      </c>
      <c r="O14" s="45" t="e">
        <f t="shared" ca="1" si="3"/>
        <v>#VALUE!</v>
      </c>
      <c r="P14" s="49">
        <f>IFERROR(VLOOKUP(C14,Purchased!A:E,3,FALSE),"")</f>
        <v>68</v>
      </c>
      <c r="Q14" s="50">
        <f t="shared" si="4"/>
        <v>68</v>
      </c>
    </row>
    <row r="15" spans="1:17" s="2" customFormat="1" ht="12" customHeight="1">
      <c r="A15" s="4">
        <f t="shared" si="2"/>
        <v>304</v>
      </c>
      <c r="B15" s="2">
        <v>1</v>
      </c>
      <c r="C15" s="114" t="s">
        <v>1074</v>
      </c>
      <c r="D15" s="268" t="str">
        <f>VLOOKUP(C15,Purchased!A:B,2,0)</f>
        <v>CUSTOM CARTRIDGE HEATER 26.0" LONG</v>
      </c>
      <c r="E15" s="269"/>
      <c r="F15" s="112" t="str">
        <f>VLOOKUP(C15,Purchased!A:Q,9,0)</f>
        <v>ACROLAB</v>
      </c>
      <c r="G15" s="112" t="str">
        <f>VLOOKUP(C15,Purchased!A:Q,10,0)</f>
        <v>ACROLAB</v>
      </c>
      <c r="H15" s="112" t="str">
        <f>VLOOKUP(C15,Purchased!A:Q,12,0)</f>
        <v xml:space="preserve"> </v>
      </c>
      <c r="I15" s="113"/>
      <c r="J15" s="44" t="str">
        <f>VLOOKUP(C15,Purchased!A:Q,13,0)</f>
        <v>N/A</v>
      </c>
      <c r="K15" s="44">
        <f>VLOOKUP(C15,Purchased!A:Q,14,0)</f>
        <v>45001</v>
      </c>
      <c r="L15" s="44">
        <f>VLOOKUP(C15,Purchased!A:Q,15,0)</f>
        <v>45031</v>
      </c>
      <c r="M15" s="44">
        <f>VLOOKUP(C15,Purchased!A:Q,16,0)</f>
        <v>45031</v>
      </c>
      <c r="N15" s="45">
        <f>VLOOKUP(C15,Purchased!A:Q,17,0)</f>
        <v>54804</v>
      </c>
      <c r="O15" s="45" t="e">
        <f t="shared" ca="1" si="3"/>
        <v>#VALUE!</v>
      </c>
      <c r="P15" s="49">
        <f>IFERROR(VLOOKUP(C15,Purchased!A:E,3,FALSE),"")</f>
        <v>262.68</v>
      </c>
      <c r="Q15" s="50">
        <f t="shared" si="4"/>
        <v>262.68</v>
      </c>
    </row>
    <row r="16" spans="1:17" s="2" customFormat="1" ht="12" customHeight="1">
      <c r="A16" s="4">
        <f t="shared" si="2"/>
        <v>305</v>
      </c>
      <c r="B16" s="2">
        <v>14</v>
      </c>
      <c r="C16" s="114" t="s">
        <v>1075</v>
      </c>
      <c r="D16" s="268" t="str">
        <f>VLOOKUP(C16,Purchased!A:B,2,0)</f>
        <v>Alloy Steel Cup-Point Set Screw M6 x 1 mm Thread, 50 mm Long, 25pk</v>
      </c>
      <c r="E16" s="269"/>
      <c r="F16" s="112" t="str">
        <f>VLOOKUP(C16,Purchased!A:Q,9,0)</f>
        <v>MCM</v>
      </c>
      <c r="G16" s="112" t="str">
        <f>VLOOKUP(C16,Purchased!A:Q,10,0)</f>
        <v>MCM</v>
      </c>
      <c r="H16" s="112" t="str">
        <f>VLOOKUP(C16,Purchased!A:Q,12,0)</f>
        <v>Pack of 25</v>
      </c>
      <c r="I16" s="113"/>
      <c r="J16" s="44" t="str">
        <f>VLOOKUP(C16,Purchased!A:Q,13,0)</f>
        <v>N/A</v>
      </c>
      <c r="K16" s="44">
        <f>VLOOKUP(C16,Purchased!A:Q,14,0)</f>
        <v>45162</v>
      </c>
      <c r="L16" s="44">
        <f>VLOOKUP(C16,Purchased!A:Q,15,0)</f>
        <v>45189</v>
      </c>
      <c r="M16" s="44">
        <f>VLOOKUP(C16,Purchased!A:Q,16,0)</f>
        <v>45189</v>
      </c>
      <c r="N16" s="45" t="str">
        <f>VLOOKUP(C16,Purchased!A:Q,17,0)</f>
        <v>55088, 55152</v>
      </c>
      <c r="O16" s="45" t="e">
        <f t="shared" ca="1" si="3"/>
        <v>#VALUE!</v>
      </c>
      <c r="P16" s="49">
        <f>IFERROR(VLOOKUP(C16,Purchased!A:E,3,FALSE),"")</f>
        <v>13.62</v>
      </c>
      <c r="Q16" s="50">
        <f t="shared" si="4"/>
        <v>190.67999999999998</v>
      </c>
    </row>
    <row r="17" spans="1:17" s="2" customFormat="1" ht="12" customHeight="1">
      <c r="A17" s="4">
        <f t="shared" si="2"/>
        <v>306</v>
      </c>
      <c r="B17" s="2">
        <v>3</v>
      </c>
      <c r="C17" s="114" t="s">
        <v>1076</v>
      </c>
      <c r="D17" s="268" t="str">
        <f>VLOOKUP(C17,Purchased!A:B,2,0)</f>
        <v>CUSTOM A100 THERMOCOUPLE 60" LONG LEADS</v>
      </c>
      <c r="E17" s="269"/>
      <c r="F17" s="112" t="str">
        <f>VLOOKUP(C17,Purchased!A:Q,9,0)</f>
        <v>ACROLAB</v>
      </c>
      <c r="G17" s="112" t="str">
        <f>VLOOKUP(C17,Purchased!A:Q,10,0)</f>
        <v>ACROLAB</v>
      </c>
      <c r="H17" s="112" t="str">
        <f>VLOOKUP(C17,Purchased!A:Q,12,0)</f>
        <v xml:space="preserve"> </v>
      </c>
      <c r="I17" s="113"/>
      <c r="J17" s="44" t="str">
        <f>VLOOKUP(C17,Purchased!A:Q,13,0)</f>
        <v>N/A</v>
      </c>
      <c r="K17" s="44">
        <f>VLOOKUP(C17,Purchased!A:Q,14,0)</f>
        <v>45001</v>
      </c>
      <c r="L17" s="44">
        <f>VLOOKUP(C17,Purchased!A:Q,15,0)</f>
        <v>45031</v>
      </c>
      <c r="M17" s="44">
        <f>VLOOKUP(C17,Purchased!A:Q,16,0)</f>
        <v>45031</v>
      </c>
      <c r="N17" s="45">
        <f>VLOOKUP(C17,Purchased!A:Q,17,0)</f>
        <v>54807</v>
      </c>
      <c r="O17" s="45" t="e">
        <f t="shared" ca="1" si="3"/>
        <v>#VALUE!</v>
      </c>
      <c r="P17" s="49">
        <f>IFERROR(VLOOKUP(C17,Purchased!A:E,3,FALSE),"")</f>
        <v>45.75</v>
      </c>
      <c r="Q17" s="50">
        <f t="shared" si="4"/>
        <v>137.25</v>
      </c>
    </row>
    <row r="18" spans="1:17" s="2" customFormat="1" ht="12.75" customHeight="1">
      <c r="A18" s="25"/>
      <c r="B18" s="26"/>
      <c r="C18" s="26"/>
      <c r="D18" s="272"/>
      <c r="E18" s="273"/>
      <c r="F18" s="26"/>
      <c r="G18" s="26"/>
      <c r="H18" s="274"/>
      <c r="I18" s="275"/>
      <c r="J18" s="27"/>
      <c r="K18" s="27"/>
      <c r="L18" s="27"/>
      <c r="M18" s="28"/>
      <c r="N18" s="29"/>
      <c r="O18" s="29" t="e">
        <f t="shared" ref="O18:O19" ca="1" si="5">B18*$L$2</f>
        <v>#VALUE!</v>
      </c>
      <c r="P18" s="141"/>
      <c r="Q18" s="142"/>
    </row>
    <row r="19" spans="1:17" s="2" customFormat="1" ht="12.75" customHeight="1">
      <c r="A19" s="4">
        <v>501</v>
      </c>
      <c r="B19" s="2">
        <v>6</v>
      </c>
      <c r="C19" s="110" t="s">
        <v>1077</v>
      </c>
      <c r="D19" s="268"/>
      <c r="E19" s="276"/>
      <c r="F19" s="112">
        <f>VLOOKUP(C19,Bolts!A:L,5,0)</f>
        <v>0</v>
      </c>
      <c r="G19" s="112">
        <f>VLOOKUP(C19,Bolts!A:L,6,0)</f>
        <v>0</v>
      </c>
      <c r="H19" s="112">
        <f>VLOOKUP(C19,Bolts!A:L,7,0)</f>
        <v>0</v>
      </c>
      <c r="I19" s="112"/>
      <c r="J19" s="44">
        <f>VLOOKUP(C19,Bolts!A:L,8,0)</f>
        <v>0</v>
      </c>
      <c r="K19" s="44">
        <f>VLOOKUP(C19,Bolts!A:L,9,0)</f>
        <v>0</v>
      </c>
      <c r="L19" s="44">
        <f>VLOOKUP(C19,Bolts!A:L,10,0)</f>
        <v>0</v>
      </c>
      <c r="M19" s="44">
        <f>VLOOKUP(C19,Bolts!A:L,11,0)</f>
        <v>0</v>
      </c>
      <c r="N19" s="45">
        <f>VLOOKUP(C19,Bolts!A:L,12,0)</f>
        <v>0</v>
      </c>
      <c r="O19" s="45" t="e">
        <f t="shared" ca="1" si="5"/>
        <v>#VALUE!</v>
      </c>
      <c r="P19" s="49">
        <f>IFERROR(VLOOKUP(C19,Bolts!A:B,2,FALSE),"")</f>
        <v>0</v>
      </c>
      <c r="Q19" s="50">
        <f t="shared" ref="Q19" si="6">IFERROR(B19*P19,"")</f>
        <v>0</v>
      </c>
    </row>
    <row r="20" spans="1:17" s="2" customFormat="1" ht="12.75" customHeight="1">
      <c r="A20" s="4">
        <f t="shared" ref="A20:A24" si="7">A19+1</f>
        <v>502</v>
      </c>
      <c r="B20" s="2">
        <v>50</v>
      </c>
      <c r="C20" s="110" t="s">
        <v>853</v>
      </c>
      <c r="D20" s="268"/>
      <c r="E20" s="276"/>
      <c r="F20" s="112" t="str">
        <f>VLOOKUP(C20,Bolts!A:L,5,0)</f>
        <v xml:space="preserve">  </v>
      </c>
      <c r="G20" s="112" t="str">
        <f>VLOOKUP(C20,Bolts!A:L,6,0)</f>
        <v>Monroe Fasteners</v>
      </c>
      <c r="H20" s="112" t="str">
        <f>VLOOKUP(C20,Bolts!A:L,7,0)</f>
        <v xml:space="preserve">  </v>
      </c>
      <c r="I20" s="112"/>
      <c r="J20" s="44" t="str">
        <f>VLOOKUP(C20,Bolts!A:L,8,0)</f>
        <v xml:space="preserve"> </v>
      </c>
      <c r="K20" s="44" t="str">
        <f>VLOOKUP(C20,Bolts!A:L,9,0)</f>
        <v xml:space="preserve"> </v>
      </c>
      <c r="L20" s="44" t="str">
        <f>VLOOKUP(C20,Bolts!A:L,10,0)</f>
        <v xml:space="preserve"> </v>
      </c>
      <c r="M20" s="44" t="str">
        <f>VLOOKUP(C20,Bolts!A:L,11,0)</f>
        <v xml:space="preserve"> </v>
      </c>
      <c r="N20" s="45" t="str">
        <f>VLOOKUP(C20,Bolts!A:L,12,0)</f>
        <v xml:space="preserve"> </v>
      </c>
      <c r="O20" s="45" t="e">
        <f t="shared" ref="O20:O24" ca="1" si="8">B20*$L$2</f>
        <v>#VALUE!</v>
      </c>
      <c r="P20" s="49" t="str">
        <f>IFERROR(VLOOKUP(C20,Bolts!A:B,2,FALSE),"")</f>
        <v xml:space="preserve"> </v>
      </c>
      <c r="Q20" s="50" t="str">
        <f t="shared" ref="Q20:Q24" si="9">IFERROR(B20*P20,"")</f>
        <v/>
      </c>
    </row>
    <row r="21" spans="1:17" s="2" customFormat="1" ht="12" customHeight="1">
      <c r="A21" s="4">
        <f t="shared" si="7"/>
        <v>503</v>
      </c>
      <c r="B21" s="2">
        <v>8</v>
      </c>
      <c r="C21" s="110" t="s">
        <v>828</v>
      </c>
      <c r="D21" s="268"/>
      <c r="E21" s="276"/>
      <c r="F21" s="112" t="str">
        <f>VLOOKUP(C21,Bolts!A:L,5,0)</f>
        <v xml:space="preserve">  </v>
      </c>
      <c r="G21" s="112" t="str">
        <f>VLOOKUP(C21,Bolts!A:L,6,0)</f>
        <v>Monroe Fasteners</v>
      </c>
      <c r="H21" s="112" t="str">
        <f>VLOOKUP(C21,Bolts!A:L,7,0)</f>
        <v xml:space="preserve">  </v>
      </c>
      <c r="I21" s="112"/>
      <c r="J21" s="44" t="str">
        <f>VLOOKUP(C21,Bolts!A:L,8,0)</f>
        <v xml:space="preserve"> </v>
      </c>
      <c r="K21" s="44" t="str">
        <f>VLOOKUP(C21,Bolts!A:L,9,0)</f>
        <v xml:space="preserve"> </v>
      </c>
      <c r="L21" s="44" t="str">
        <f>VLOOKUP(C21,Bolts!A:L,10,0)</f>
        <v xml:space="preserve"> </v>
      </c>
      <c r="M21" s="44" t="str">
        <f>VLOOKUP(C21,Bolts!A:L,11,0)</f>
        <v xml:space="preserve"> </v>
      </c>
      <c r="N21" s="45" t="str">
        <f>VLOOKUP(C21,Bolts!A:L,12,0)</f>
        <v xml:space="preserve"> </v>
      </c>
      <c r="O21" s="45" t="e">
        <f t="shared" ca="1" si="8"/>
        <v>#VALUE!</v>
      </c>
      <c r="P21" s="49" t="str">
        <f>IFERROR(VLOOKUP(C21,Bolts!A:B,2,FALSE),"")</f>
        <v xml:space="preserve"> </v>
      </c>
      <c r="Q21" s="50" t="str">
        <f t="shared" si="9"/>
        <v/>
      </c>
    </row>
    <row r="22" spans="1:17" s="2" customFormat="1" ht="12" customHeight="1">
      <c r="A22" s="4">
        <f t="shared" si="7"/>
        <v>504</v>
      </c>
      <c r="B22" s="2">
        <v>12</v>
      </c>
      <c r="C22" s="110" t="s">
        <v>288</v>
      </c>
      <c r="D22" s="268"/>
      <c r="E22" s="276"/>
      <c r="F22" s="112" t="str">
        <f>VLOOKUP(C22,Bolts!A:L,5,0)</f>
        <v xml:space="preserve">  </v>
      </c>
      <c r="G22" s="112" t="str">
        <f>VLOOKUP(C22,Bolts!A:L,6,0)</f>
        <v>Monroe Fasteners</v>
      </c>
      <c r="H22" s="112" t="str">
        <f>VLOOKUP(C22,Bolts!A:L,7,0)</f>
        <v xml:space="preserve">  </v>
      </c>
      <c r="I22" s="112"/>
      <c r="J22" s="44" t="str">
        <f>VLOOKUP(C22,Bolts!A:L,8,0)</f>
        <v xml:space="preserve"> </v>
      </c>
      <c r="K22" s="44" t="str">
        <f>VLOOKUP(C22,Bolts!A:L,9,0)</f>
        <v xml:space="preserve"> </v>
      </c>
      <c r="L22" s="44" t="str">
        <f>VLOOKUP(C22,Bolts!A:L,10,0)</f>
        <v xml:space="preserve"> </v>
      </c>
      <c r="M22" s="44" t="str">
        <f>VLOOKUP(C22,Bolts!A:L,11,0)</f>
        <v xml:space="preserve"> </v>
      </c>
      <c r="N22" s="45" t="str">
        <f>VLOOKUP(C22,Bolts!A:L,12,0)</f>
        <v xml:space="preserve"> </v>
      </c>
      <c r="O22" s="45" t="e">
        <f t="shared" ca="1" si="8"/>
        <v>#VALUE!</v>
      </c>
      <c r="P22" s="49" t="str">
        <f>IFERROR(VLOOKUP(C22,Bolts!A:B,2,FALSE),"")</f>
        <v xml:space="preserve"> </v>
      </c>
      <c r="Q22" s="50" t="str">
        <f t="shared" si="9"/>
        <v/>
      </c>
    </row>
    <row r="23" spans="1:17" s="2" customFormat="1" ht="12" customHeight="1">
      <c r="A23" s="4">
        <f t="shared" si="7"/>
        <v>505</v>
      </c>
      <c r="B23" s="2">
        <v>2</v>
      </c>
      <c r="C23" s="110" t="s">
        <v>1078</v>
      </c>
      <c r="D23" s="268"/>
      <c r="E23" s="276"/>
      <c r="F23" s="112" t="str">
        <f>VLOOKUP(C23,Bolts!A:L,5,0)</f>
        <v xml:space="preserve">  </v>
      </c>
      <c r="G23" s="112" t="str">
        <f>VLOOKUP(C23,Bolts!A:L,6,0)</f>
        <v>Monroe Fasteners</v>
      </c>
      <c r="H23" s="112" t="str">
        <f>VLOOKUP(C23,Bolts!A:L,7,0)</f>
        <v xml:space="preserve">  </v>
      </c>
      <c r="I23" s="112"/>
      <c r="J23" s="44" t="str">
        <f>VLOOKUP(C23,Bolts!A:L,8,0)</f>
        <v xml:space="preserve"> </v>
      </c>
      <c r="K23" s="44" t="str">
        <f>VLOOKUP(C23,Bolts!A:L,9,0)</f>
        <v xml:space="preserve"> </v>
      </c>
      <c r="L23" s="44" t="str">
        <f>VLOOKUP(C23,Bolts!A:L,10,0)</f>
        <v xml:space="preserve"> </v>
      </c>
      <c r="M23" s="44" t="str">
        <f>VLOOKUP(C23,Bolts!A:L,11,0)</f>
        <v xml:space="preserve"> </v>
      </c>
      <c r="N23" s="45" t="str">
        <f>VLOOKUP(C23,Bolts!A:L,12,0)</f>
        <v xml:space="preserve"> </v>
      </c>
      <c r="O23" s="45" t="e">
        <f t="shared" ca="1" si="8"/>
        <v>#VALUE!</v>
      </c>
      <c r="P23" s="49" t="str">
        <f>IFERROR(VLOOKUP(C23,Bolts!A:B,2,FALSE),"")</f>
        <v xml:space="preserve"> </v>
      </c>
      <c r="Q23" s="50" t="str">
        <f t="shared" si="9"/>
        <v/>
      </c>
    </row>
    <row r="24" spans="1:17" s="2" customFormat="1" ht="12" customHeight="1" thickBot="1">
      <c r="A24" s="4">
        <f t="shared" si="7"/>
        <v>506</v>
      </c>
      <c r="B24" s="2">
        <v>58</v>
      </c>
      <c r="C24" s="110" t="s">
        <v>595</v>
      </c>
      <c r="D24" s="164"/>
      <c r="E24" s="165"/>
      <c r="F24" s="112" t="str">
        <f>VLOOKUP(C24,Bolts!A:L,5,0)</f>
        <v xml:space="preserve">  </v>
      </c>
      <c r="G24" s="112" t="str">
        <f>VLOOKUP(C24,Bolts!A:L,6,0)</f>
        <v>Monroe Fasteners</v>
      </c>
      <c r="H24" s="112" t="str">
        <f>VLOOKUP(C24,Bolts!A:L,7,0)</f>
        <v xml:space="preserve">  </v>
      </c>
      <c r="I24" s="112"/>
      <c r="J24" s="44" t="str">
        <f>VLOOKUP(C24,Bolts!A:L,8,0)</f>
        <v xml:space="preserve"> </v>
      </c>
      <c r="K24" s="44" t="str">
        <f>VLOOKUP(C24,Bolts!A:L,9,0)</f>
        <v xml:space="preserve"> </v>
      </c>
      <c r="L24" s="44" t="str">
        <f>VLOOKUP(C24,Bolts!A:L,10,0)</f>
        <v xml:space="preserve"> </v>
      </c>
      <c r="M24" s="44" t="str">
        <f>VLOOKUP(C24,Bolts!A:L,11,0)</f>
        <v xml:space="preserve"> </v>
      </c>
      <c r="N24" s="45" t="str">
        <f>VLOOKUP(C24,Bolts!A:L,12,0)</f>
        <v xml:space="preserve"> </v>
      </c>
      <c r="O24" s="45" t="e">
        <f t="shared" ca="1" si="8"/>
        <v>#VALUE!</v>
      </c>
      <c r="P24" s="49" t="str">
        <f>IFERROR(VLOOKUP(C24,Bolts!A:B,2,FALSE),"")</f>
        <v xml:space="preserve"> </v>
      </c>
      <c r="Q24" s="50" t="str">
        <f t="shared" si="9"/>
        <v/>
      </c>
    </row>
    <row r="25" spans="1:17" s="2" customFormat="1" ht="12.75" customHeight="1" thickBot="1">
      <c r="A25" s="34"/>
      <c r="B25" s="35"/>
      <c r="C25" s="35"/>
      <c r="D25" s="256"/>
      <c r="E25" s="257"/>
      <c r="F25" s="35"/>
      <c r="G25" s="35"/>
      <c r="H25" s="294"/>
      <c r="I25" s="295"/>
      <c r="J25" s="36"/>
      <c r="K25" s="36"/>
      <c r="L25" s="36"/>
      <c r="M25" s="37"/>
      <c r="N25" s="38"/>
      <c r="O25" s="38"/>
      <c r="P25" s="89" t="s">
        <v>43</v>
      </c>
      <c r="Q25" s="94">
        <f>SUM(Q5:Q24)</f>
        <v>1707.65</v>
      </c>
    </row>
    <row r="26" spans="1:17" s="2" customFormat="1" ht="12" customHeight="1">
      <c r="D26" s="22"/>
      <c r="E26" s="22"/>
      <c r="J26" s="8"/>
      <c r="K26" s="8"/>
      <c r="L26" s="8"/>
      <c r="M26" s="8"/>
      <c r="N26" s="5"/>
      <c r="O26" s="5"/>
      <c r="P26" s="88"/>
      <c r="Q26" s="95"/>
    </row>
    <row r="27" spans="1:17" s="2" customFormat="1" ht="12" customHeight="1">
      <c r="D27" s="22"/>
      <c r="E27" s="22"/>
      <c r="J27" s="5"/>
      <c r="K27" s="5"/>
      <c r="L27" s="5"/>
      <c r="M27" s="5"/>
      <c r="N27" s="5"/>
      <c r="O27" s="5"/>
      <c r="P27" s="88"/>
      <c r="Q27" s="95"/>
    </row>
    <row r="28" spans="1:17" s="2" customFormat="1" ht="12" customHeight="1">
      <c r="D28" s="22"/>
      <c r="E28" s="22"/>
      <c r="J28" s="5"/>
      <c r="K28" s="5"/>
      <c r="L28" s="5"/>
      <c r="M28" s="5"/>
      <c r="N28" s="5"/>
      <c r="O28" s="5"/>
      <c r="P28" s="88"/>
      <c r="Q28" s="95"/>
    </row>
    <row r="29" spans="1:17" s="2" customFormat="1" ht="12" customHeight="1">
      <c r="D29" s="22"/>
      <c r="E29" s="22"/>
      <c r="J29" s="5"/>
      <c r="K29" s="5"/>
      <c r="L29" s="5"/>
      <c r="M29" s="5"/>
      <c r="N29" s="5"/>
      <c r="O29" s="5"/>
      <c r="P29" s="88"/>
      <c r="Q29" s="95"/>
    </row>
    <row r="30" spans="1:17" s="2" customFormat="1" ht="12" customHeight="1">
      <c r="D30" s="22"/>
      <c r="E30" s="22"/>
      <c r="J30" s="5"/>
      <c r="K30" s="5"/>
      <c r="L30" s="5"/>
      <c r="M30" s="5"/>
      <c r="N30" s="5"/>
      <c r="O30" s="5"/>
      <c r="P30" s="88"/>
      <c r="Q30" s="95"/>
    </row>
    <row r="31" spans="1:17" s="2" customFormat="1" ht="12" customHeight="1">
      <c r="D31" s="22"/>
      <c r="E31" s="22"/>
      <c r="J31" s="5"/>
      <c r="K31" s="5"/>
      <c r="L31" s="5"/>
      <c r="M31" s="5"/>
      <c r="N31" s="5"/>
      <c r="O31" s="5"/>
      <c r="P31" s="88"/>
      <c r="Q31" s="95"/>
    </row>
    <row r="32" spans="1:17" s="2" customFormat="1" ht="12" customHeight="1">
      <c r="D32" s="22"/>
      <c r="E32" s="22"/>
      <c r="J32" s="5"/>
      <c r="K32" s="5"/>
      <c r="L32" s="5"/>
      <c r="M32" s="5"/>
      <c r="N32" s="5"/>
      <c r="O32" s="5"/>
      <c r="P32" s="88"/>
      <c r="Q32" s="95"/>
    </row>
    <row r="33" spans="4:17" s="2" customFormat="1" ht="12" customHeight="1">
      <c r="D33" s="22"/>
      <c r="E33" s="22"/>
      <c r="J33" s="5"/>
      <c r="K33" s="5"/>
      <c r="L33" s="5"/>
      <c r="M33" s="5"/>
      <c r="N33" s="5"/>
      <c r="O33" s="5"/>
      <c r="P33" s="88"/>
      <c r="Q33" s="95"/>
    </row>
    <row r="34" spans="4:17" s="2" customFormat="1" ht="12" customHeight="1">
      <c r="D34" s="22"/>
      <c r="E34" s="22"/>
      <c r="J34" s="5"/>
      <c r="K34" s="5"/>
      <c r="L34" s="5"/>
      <c r="M34" s="5"/>
      <c r="N34" s="5"/>
      <c r="O34" s="5"/>
      <c r="P34" s="88"/>
      <c r="Q34" s="95"/>
    </row>
    <row r="35" spans="4:17" s="2" customFormat="1" ht="12" customHeight="1">
      <c r="D35" s="22"/>
      <c r="E35" s="22"/>
      <c r="J35" s="5"/>
      <c r="K35" s="5"/>
      <c r="L35" s="5"/>
      <c r="M35" s="5"/>
      <c r="N35" s="5"/>
      <c r="O35" s="5"/>
      <c r="P35" s="88"/>
      <c r="Q35" s="95"/>
    </row>
    <row r="36" spans="4:17" s="2" customFormat="1" ht="12" customHeight="1">
      <c r="D36" s="22"/>
      <c r="E36" s="22"/>
      <c r="J36" s="5"/>
      <c r="K36" s="5"/>
      <c r="L36" s="5"/>
      <c r="M36" s="5"/>
      <c r="N36" s="5"/>
      <c r="O36" s="5"/>
      <c r="P36" s="88"/>
      <c r="Q36" s="95"/>
    </row>
    <row r="37" spans="4:17" s="2" customFormat="1" ht="12" customHeight="1">
      <c r="D37" s="22"/>
      <c r="E37" s="22"/>
      <c r="J37" s="5"/>
      <c r="K37" s="5"/>
      <c r="L37" s="5"/>
      <c r="M37" s="5"/>
      <c r="N37" s="5"/>
      <c r="O37" s="5"/>
      <c r="P37" s="88"/>
      <c r="Q37" s="95"/>
    </row>
    <row r="38" spans="4:17" s="2" customFormat="1" ht="12" customHeight="1">
      <c r="D38" s="22"/>
      <c r="E38" s="22"/>
      <c r="J38" s="5"/>
      <c r="K38" s="5"/>
      <c r="L38" s="5"/>
      <c r="M38" s="5"/>
      <c r="N38" s="5"/>
      <c r="O38" s="5"/>
      <c r="P38" s="88"/>
      <c r="Q38" s="95"/>
    </row>
    <row r="39" spans="4:17" s="2" customFormat="1" ht="12" customHeight="1">
      <c r="D39" s="22"/>
      <c r="E39" s="22"/>
      <c r="J39" s="5"/>
      <c r="K39" s="5"/>
      <c r="L39" s="5"/>
      <c r="M39" s="5"/>
      <c r="N39" s="5"/>
      <c r="O39" s="5"/>
      <c r="P39" s="88"/>
      <c r="Q39" s="95"/>
    </row>
    <row r="40" spans="4:17" s="2" customFormat="1" ht="12" customHeight="1">
      <c r="D40" s="22"/>
      <c r="E40" s="22"/>
      <c r="J40" s="5"/>
      <c r="K40" s="5"/>
      <c r="L40" s="5"/>
      <c r="M40" s="5"/>
      <c r="N40" s="5"/>
      <c r="O40" s="5"/>
      <c r="P40" s="88"/>
      <c r="Q40" s="95"/>
    </row>
    <row r="41" spans="4:17" s="2" customFormat="1" ht="12" customHeight="1">
      <c r="D41" s="22"/>
      <c r="E41" s="22"/>
      <c r="J41" s="5"/>
      <c r="K41" s="5"/>
      <c r="L41" s="5"/>
      <c r="M41" s="5"/>
      <c r="N41" s="5"/>
      <c r="O41" s="5"/>
      <c r="P41" s="88"/>
      <c r="Q41" s="95"/>
    </row>
    <row r="42" spans="4:17" s="2" customFormat="1" ht="12" customHeight="1">
      <c r="D42" s="22"/>
      <c r="E42" s="22"/>
      <c r="J42" s="5"/>
      <c r="K42" s="5"/>
      <c r="L42" s="5"/>
      <c r="M42" s="5"/>
      <c r="N42" s="5"/>
      <c r="O42" s="5"/>
      <c r="P42" s="88"/>
      <c r="Q42" s="95"/>
    </row>
    <row r="43" spans="4:17" s="2" customFormat="1" ht="12" customHeight="1">
      <c r="D43" s="22"/>
      <c r="E43" s="22"/>
      <c r="J43" s="5"/>
      <c r="K43" s="5"/>
      <c r="L43" s="5"/>
      <c r="M43" s="5"/>
      <c r="N43" s="5"/>
      <c r="O43" s="5"/>
      <c r="P43" s="88"/>
      <c r="Q43" s="95"/>
    </row>
    <row r="44" spans="4:17" s="2" customFormat="1" ht="12" customHeight="1">
      <c r="D44" s="22"/>
      <c r="E44" s="22"/>
      <c r="J44" s="5"/>
      <c r="K44" s="5"/>
      <c r="L44" s="5"/>
      <c r="M44" s="5"/>
      <c r="N44" s="5"/>
      <c r="O44" s="5"/>
      <c r="P44" s="88"/>
      <c r="Q44" s="95"/>
    </row>
    <row r="45" spans="4:17" s="2" customFormat="1" ht="12" customHeight="1">
      <c r="D45" s="22"/>
      <c r="E45" s="22"/>
      <c r="J45" s="5"/>
      <c r="K45" s="5"/>
      <c r="L45" s="5"/>
      <c r="M45" s="5"/>
      <c r="N45" s="5"/>
      <c r="O45" s="5"/>
      <c r="P45" s="88"/>
      <c r="Q45" s="95"/>
    </row>
    <row r="46" spans="4:17" s="2" customFormat="1" ht="12" customHeight="1">
      <c r="D46" s="22"/>
      <c r="E46" s="22"/>
      <c r="J46" s="5"/>
      <c r="K46" s="5"/>
      <c r="L46" s="5"/>
      <c r="M46" s="5"/>
      <c r="N46" s="5"/>
      <c r="O46" s="5"/>
      <c r="P46" s="88"/>
      <c r="Q46" s="95"/>
    </row>
    <row r="47" spans="4:17" s="2" customFormat="1" ht="12" customHeight="1">
      <c r="D47" s="22"/>
      <c r="E47" s="22"/>
      <c r="J47" s="5"/>
      <c r="K47" s="5"/>
      <c r="L47" s="5"/>
      <c r="M47" s="5"/>
      <c r="N47" s="5"/>
      <c r="O47" s="5"/>
      <c r="P47" s="88"/>
      <c r="Q47" s="95"/>
    </row>
    <row r="48" spans="4:17" s="2" customFormat="1" ht="12" customHeight="1">
      <c r="D48" s="22"/>
      <c r="E48" s="22"/>
      <c r="J48" s="5"/>
      <c r="K48" s="5"/>
      <c r="L48" s="5"/>
      <c r="M48" s="5"/>
      <c r="N48" s="5"/>
      <c r="O48" s="5"/>
      <c r="P48" s="88"/>
      <c r="Q48" s="95"/>
    </row>
    <row r="49" spans="4:17" s="2" customFormat="1" ht="12" customHeight="1">
      <c r="D49" s="22"/>
      <c r="E49" s="22"/>
      <c r="J49" s="5"/>
      <c r="K49" s="5"/>
      <c r="L49" s="5"/>
      <c r="M49" s="5"/>
      <c r="N49" s="5"/>
      <c r="O49" s="5"/>
      <c r="P49" s="88"/>
      <c r="Q49" s="95"/>
    </row>
    <row r="50" spans="4:17" s="2" customFormat="1" ht="12" customHeight="1">
      <c r="D50" s="22"/>
      <c r="E50" s="22"/>
      <c r="J50" s="5"/>
      <c r="K50" s="5"/>
      <c r="L50" s="5"/>
      <c r="M50" s="5"/>
      <c r="N50" s="5"/>
      <c r="O50" s="5"/>
      <c r="P50" s="88"/>
      <c r="Q50" s="95"/>
    </row>
    <row r="51" spans="4:17" s="2" customFormat="1" ht="12" customHeight="1">
      <c r="D51" s="22"/>
      <c r="E51" s="22"/>
      <c r="J51" s="5"/>
      <c r="K51" s="5"/>
      <c r="L51" s="5"/>
      <c r="M51" s="5"/>
      <c r="N51" s="5"/>
      <c r="O51" s="5"/>
      <c r="P51" s="88"/>
      <c r="Q51" s="95"/>
    </row>
    <row r="52" spans="4:17" s="2" customFormat="1" ht="12" customHeight="1">
      <c r="D52" s="22"/>
      <c r="E52" s="22"/>
      <c r="J52" s="5"/>
      <c r="K52" s="5"/>
      <c r="L52" s="5"/>
      <c r="M52" s="5"/>
      <c r="N52" s="5"/>
      <c r="O52" s="5"/>
      <c r="P52" s="88"/>
      <c r="Q52" s="95"/>
    </row>
    <row r="53" spans="4:17" s="2" customFormat="1" ht="12" customHeight="1">
      <c r="D53" s="22"/>
      <c r="E53" s="22"/>
      <c r="J53" s="5"/>
      <c r="K53" s="5"/>
      <c r="L53" s="5"/>
      <c r="M53" s="5"/>
      <c r="N53" s="5"/>
      <c r="O53" s="5"/>
      <c r="P53" s="88"/>
      <c r="Q53" s="95"/>
    </row>
    <row r="54" spans="4:17" s="2" customFormat="1" ht="12" customHeight="1">
      <c r="D54" s="22"/>
      <c r="E54" s="22"/>
      <c r="J54" s="5"/>
      <c r="K54" s="5"/>
      <c r="L54" s="5"/>
      <c r="M54" s="5"/>
      <c r="N54" s="5"/>
      <c r="O54" s="5"/>
      <c r="P54" s="88"/>
      <c r="Q54" s="95"/>
    </row>
    <row r="55" spans="4:17" s="2" customFormat="1" ht="12" customHeight="1">
      <c r="D55" s="22"/>
      <c r="E55" s="22"/>
      <c r="J55" s="5"/>
      <c r="K55" s="5"/>
      <c r="L55" s="5"/>
      <c r="M55" s="5"/>
      <c r="N55" s="5"/>
      <c r="O55" s="5"/>
      <c r="P55" s="88"/>
      <c r="Q55" s="95"/>
    </row>
    <row r="56" spans="4:17" s="2" customFormat="1" ht="12" customHeight="1">
      <c r="D56" s="22"/>
      <c r="E56" s="22"/>
      <c r="J56" s="5"/>
      <c r="K56" s="5"/>
      <c r="L56" s="5"/>
      <c r="M56" s="5"/>
      <c r="N56" s="5"/>
      <c r="O56" s="5"/>
      <c r="P56" s="88"/>
      <c r="Q56" s="95"/>
    </row>
    <row r="57" spans="4:17" s="2" customFormat="1" ht="12" customHeight="1">
      <c r="D57" s="22"/>
      <c r="E57" s="22"/>
      <c r="J57" s="5"/>
      <c r="K57" s="5"/>
      <c r="L57" s="5"/>
      <c r="M57" s="5"/>
      <c r="N57" s="5"/>
      <c r="O57" s="5"/>
      <c r="P57" s="88"/>
      <c r="Q57" s="95"/>
    </row>
    <row r="58" spans="4:17" s="2" customFormat="1" ht="12" customHeight="1">
      <c r="D58" s="22"/>
      <c r="E58" s="22"/>
      <c r="J58" s="5"/>
      <c r="K58" s="5"/>
      <c r="L58" s="5"/>
      <c r="M58" s="5"/>
      <c r="N58" s="5"/>
      <c r="O58" s="5"/>
      <c r="P58" s="88"/>
      <c r="Q58" s="95"/>
    </row>
    <row r="59" spans="4:17" s="2" customFormat="1" ht="12" customHeight="1">
      <c r="D59" s="22"/>
      <c r="E59" s="22"/>
      <c r="J59" s="5"/>
      <c r="K59" s="5"/>
      <c r="L59" s="5"/>
      <c r="M59" s="5"/>
      <c r="N59" s="5"/>
      <c r="O59" s="5"/>
      <c r="P59" s="88"/>
      <c r="Q59" s="95"/>
    </row>
    <row r="60" spans="4:17" s="2" customFormat="1" ht="12" customHeight="1">
      <c r="D60" s="22"/>
      <c r="E60" s="22"/>
      <c r="J60" s="5"/>
      <c r="K60" s="5"/>
      <c r="L60" s="5"/>
      <c r="M60" s="5"/>
      <c r="N60" s="5"/>
      <c r="O60" s="5"/>
      <c r="P60" s="88"/>
      <c r="Q60" s="95"/>
    </row>
    <row r="61" spans="4:17" s="2" customFormat="1" ht="12" customHeight="1">
      <c r="D61" s="22"/>
      <c r="E61" s="22"/>
      <c r="J61" s="5"/>
      <c r="K61" s="5"/>
      <c r="L61" s="5"/>
      <c r="M61" s="5"/>
      <c r="N61" s="5"/>
      <c r="O61" s="5"/>
      <c r="P61" s="88"/>
      <c r="Q61" s="95"/>
    </row>
    <row r="62" spans="4:17" s="2" customFormat="1" ht="12" customHeight="1">
      <c r="D62" s="22"/>
      <c r="E62" s="22"/>
      <c r="J62" s="5"/>
      <c r="K62" s="5"/>
      <c r="L62" s="5"/>
      <c r="M62" s="5"/>
      <c r="N62" s="5"/>
      <c r="O62" s="5"/>
      <c r="P62" s="88"/>
      <c r="Q62" s="95"/>
    </row>
    <row r="63" spans="4:17" s="2" customFormat="1" ht="12" customHeight="1">
      <c r="D63" s="22"/>
      <c r="E63" s="22"/>
      <c r="J63" s="5"/>
      <c r="K63" s="5"/>
      <c r="L63" s="5"/>
      <c r="M63" s="5"/>
      <c r="N63" s="5"/>
      <c r="O63" s="5"/>
      <c r="P63" s="88"/>
      <c r="Q63" s="95"/>
    </row>
    <row r="64" spans="4:17" s="2" customFormat="1" ht="12" customHeight="1">
      <c r="D64" s="22"/>
      <c r="E64" s="22"/>
      <c r="J64" s="5"/>
      <c r="K64" s="5"/>
      <c r="L64" s="5"/>
      <c r="M64" s="5"/>
      <c r="N64" s="5"/>
      <c r="O64" s="5"/>
      <c r="P64" s="88"/>
      <c r="Q64" s="96"/>
    </row>
    <row r="65" spans="1:17" s="2" customFormat="1" ht="12" customHeight="1">
      <c r="D65" s="22"/>
      <c r="E65" s="22"/>
      <c r="J65" s="5"/>
      <c r="K65" s="5"/>
      <c r="L65" s="5"/>
      <c r="M65" s="5"/>
      <c r="N65" s="5"/>
      <c r="O65" s="5"/>
      <c r="P65" s="88"/>
      <c r="Q65" s="96"/>
    </row>
    <row r="66" spans="1:17" s="2" customFormat="1" ht="12" customHeight="1">
      <c r="D66" s="22"/>
      <c r="E66" s="22"/>
      <c r="J66" s="5"/>
      <c r="K66" s="5"/>
      <c r="L66" s="5"/>
      <c r="M66" s="5"/>
      <c r="N66" s="5"/>
      <c r="O66" s="5"/>
      <c r="P66" s="88"/>
      <c r="Q66" s="96"/>
    </row>
    <row r="67" spans="1:17" s="2" customFormat="1" ht="12" customHeight="1">
      <c r="D67" s="22"/>
      <c r="E67" s="22"/>
      <c r="J67" s="5"/>
      <c r="K67" s="5"/>
      <c r="L67" s="5"/>
      <c r="M67" s="5"/>
      <c r="N67" s="5"/>
      <c r="O67" s="5"/>
      <c r="P67" s="88"/>
      <c r="Q67" s="96"/>
    </row>
    <row r="68" spans="1:17" s="2" customFormat="1" ht="12" customHeight="1">
      <c r="A68"/>
      <c r="B68"/>
      <c r="C68"/>
      <c r="D68" s="23"/>
      <c r="E68" s="23"/>
      <c r="F68"/>
      <c r="G68"/>
      <c r="H68"/>
      <c r="I68"/>
      <c r="J68" s="19"/>
      <c r="K68" s="19"/>
      <c r="L68" s="19"/>
      <c r="M68" s="19"/>
      <c r="N68" s="19"/>
      <c r="O68" s="19"/>
      <c r="P68" s="90"/>
      <c r="Q68" s="96"/>
    </row>
    <row r="69" spans="1:17" s="2" customFormat="1" ht="12" customHeight="1">
      <c r="A69"/>
      <c r="B69"/>
      <c r="C69"/>
      <c r="D69" s="23"/>
      <c r="E69" s="23"/>
      <c r="F69"/>
      <c r="G69"/>
      <c r="H69"/>
      <c r="I69"/>
      <c r="J69" s="19"/>
      <c r="K69" s="19"/>
      <c r="L69" s="19"/>
      <c r="M69" s="19"/>
      <c r="N69" s="19"/>
      <c r="O69" s="19"/>
      <c r="P69" s="90"/>
      <c r="Q69" s="96"/>
    </row>
    <row r="70" spans="1:17" s="2" customFormat="1" ht="12" customHeight="1">
      <c r="A70"/>
      <c r="B70"/>
      <c r="C70"/>
      <c r="D70" s="23"/>
      <c r="E70" s="23"/>
      <c r="F70"/>
      <c r="G70"/>
      <c r="H70"/>
      <c r="I70"/>
      <c r="J70" s="19"/>
      <c r="K70" s="19"/>
      <c r="L70" s="19"/>
      <c r="M70" s="19"/>
      <c r="N70" s="19"/>
      <c r="O70" s="19"/>
      <c r="P70" s="90"/>
      <c r="Q70" s="96"/>
    </row>
    <row r="71" spans="1:17" s="2" customFormat="1" ht="12" customHeight="1">
      <c r="A71"/>
      <c r="B71"/>
      <c r="C71"/>
      <c r="D71" s="23"/>
      <c r="E71" s="23"/>
      <c r="F71"/>
      <c r="G71"/>
      <c r="H71"/>
      <c r="I71"/>
      <c r="J71" s="19"/>
      <c r="K71" s="19"/>
      <c r="L71" s="19"/>
      <c r="M71" s="19"/>
      <c r="N71" s="19"/>
      <c r="O71" s="19"/>
      <c r="P71" s="90"/>
      <c r="Q71" s="96"/>
    </row>
    <row r="72" spans="1:17" s="2" customFormat="1" ht="12" customHeight="1">
      <c r="A72"/>
      <c r="B72"/>
      <c r="C72"/>
      <c r="D72" s="23"/>
      <c r="E72" s="23"/>
      <c r="F72"/>
      <c r="G72"/>
      <c r="H72"/>
      <c r="I72"/>
      <c r="J72" s="19"/>
      <c r="K72" s="19"/>
      <c r="L72" s="19"/>
      <c r="M72" s="19"/>
      <c r="N72" s="19"/>
      <c r="O72" s="19"/>
      <c r="P72" s="90"/>
      <c r="Q72" s="96"/>
    </row>
    <row r="73" spans="1:17">
      <c r="Q73" s="96"/>
    </row>
    <row r="74" spans="1:17">
      <c r="Q74" s="96"/>
    </row>
    <row r="75" spans="1:17">
      <c r="Q75" s="96"/>
    </row>
    <row r="76" spans="1:17">
      <c r="Q76" s="96"/>
    </row>
    <row r="77" spans="1:17">
      <c r="Q77" s="96"/>
    </row>
    <row r="78" spans="1:17">
      <c r="Q78" s="96"/>
    </row>
    <row r="79" spans="1:17">
      <c r="Q79" s="96"/>
    </row>
    <row r="80" spans="1:17">
      <c r="Q80" s="96"/>
    </row>
    <row r="81" spans="17:17">
      <c r="Q81" s="96"/>
    </row>
    <row r="82" spans="17:17">
      <c r="Q82" s="96"/>
    </row>
    <row r="83" spans="17:17">
      <c r="Q83" s="96"/>
    </row>
    <row r="84" spans="17:17">
      <c r="Q84" s="96"/>
    </row>
    <row r="85" spans="17:17">
      <c r="Q85" s="96"/>
    </row>
    <row r="86" spans="17:17">
      <c r="Q86" s="96"/>
    </row>
    <row r="87" spans="17:17">
      <c r="Q87" s="96"/>
    </row>
    <row r="88" spans="17:17">
      <c r="Q88" s="96"/>
    </row>
    <row r="89" spans="17:17">
      <c r="Q89" s="96"/>
    </row>
    <row r="90" spans="17:17">
      <c r="Q90" s="96"/>
    </row>
    <row r="91" spans="17:17">
      <c r="Q91" s="96"/>
    </row>
    <row r="92" spans="17:17">
      <c r="Q92" s="96"/>
    </row>
    <row r="129" ht="12" customHeight="1"/>
    <row r="130" ht="12" customHeight="1"/>
    <row r="131" ht="12" customHeight="1"/>
    <row r="132" ht="12" customHeight="1"/>
    <row r="133" ht="12" customHeight="1"/>
    <row r="134" ht="12" customHeight="1"/>
    <row r="135" ht="12" customHeight="1"/>
    <row r="136" ht="12" customHeight="1"/>
    <row r="137" ht="12" customHeight="1"/>
    <row r="138" ht="12" customHeight="1"/>
    <row r="139" ht="12" customHeight="1"/>
    <row r="140" ht="12" customHeight="1"/>
    <row r="141" ht="12" customHeight="1"/>
    <row r="142" ht="12" customHeight="1"/>
    <row r="143" ht="12" customHeight="1"/>
    <row r="144" ht="12" customHeight="1"/>
    <row r="145" ht="12" customHeight="1"/>
    <row r="146" ht="12" customHeight="1"/>
    <row r="147" ht="12" customHeight="1"/>
    <row r="148" ht="12" customHeight="1"/>
    <row r="149" ht="12" customHeight="1"/>
    <row r="150" ht="12" customHeight="1"/>
    <row r="151" ht="12" customHeight="1"/>
    <row r="152" ht="12" customHeight="1"/>
    <row r="153" ht="12" customHeight="1"/>
    <row r="154" ht="12" customHeight="1"/>
    <row r="155" ht="12" customHeight="1"/>
    <row r="156" ht="12" customHeight="1"/>
    <row r="157" ht="12" customHeight="1"/>
    <row r="158" ht="12" customHeight="1"/>
    <row r="159" ht="12" customHeight="1"/>
    <row r="160" ht="12" customHeight="1"/>
    <row r="161" ht="12" customHeight="1"/>
    <row r="162" ht="12" customHeight="1"/>
    <row r="163" ht="12" customHeight="1"/>
    <row r="164" ht="12" customHeight="1"/>
    <row r="165" ht="12" customHeight="1"/>
    <row r="166" ht="12" customHeight="1"/>
    <row r="167" ht="12" customHeight="1"/>
    <row r="168" ht="12" customHeight="1"/>
    <row r="169" ht="12" customHeight="1"/>
    <row r="170" ht="12" customHeight="1"/>
    <row r="171" ht="12" customHeight="1"/>
    <row r="172" ht="12" customHeight="1"/>
    <row r="173" ht="12" customHeight="1"/>
    <row r="174" ht="12" customHeight="1"/>
    <row r="175" ht="12" customHeight="1"/>
    <row r="176" ht="12" customHeight="1"/>
    <row r="177" ht="12" customHeight="1"/>
    <row r="178" ht="12" customHeight="1"/>
  </sheetData>
  <mergeCells count="26">
    <mergeCell ref="D22:E22"/>
    <mergeCell ref="D23:E23"/>
    <mergeCell ref="D18:E18"/>
    <mergeCell ref="D25:E25"/>
    <mergeCell ref="H25:I25"/>
    <mergeCell ref="D17:E17"/>
    <mergeCell ref="H18:I18"/>
    <mergeCell ref="D19:E19"/>
    <mergeCell ref="D20:E20"/>
    <mergeCell ref="D21:E21"/>
    <mergeCell ref="D12:E12"/>
    <mergeCell ref="D13:E13"/>
    <mergeCell ref="D14:E14"/>
    <mergeCell ref="D15:E15"/>
    <mergeCell ref="D16:E16"/>
    <mergeCell ref="D7:E7"/>
    <mergeCell ref="D8:E8"/>
    <mergeCell ref="D9:E9"/>
    <mergeCell ref="D11:E11"/>
    <mergeCell ref="H11:I11"/>
    <mergeCell ref="D10:E10"/>
    <mergeCell ref="D1:E1"/>
    <mergeCell ref="D4:E4"/>
    <mergeCell ref="H4:I4"/>
    <mergeCell ref="D5:E5"/>
    <mergeCell ref="D6:E6"/>
  </mergeCells>
  <conditionalFormatting sqref="M5:M9 M12:M17 M19:M24">
    <cfRule type="cellIs" dxfId="298" priority="5" stopIfTrue="1" operator="lessThanOrEqual">
      <formula>$L5</formula>
    </cfRule>
    <cfRule type="cellIs" dxfId="297" priority="6" operator="greaterThan">
      <formula>L5</formula>
    </cfRule>
  </conditionalFormatting>
  <conditionalFormatting sqref="M10">
    <cfRule type="cellIs" dxfId="296" priority="1" stopIfTrue="1" operator="lessThanOrEqual">
      <formula>$L10</formula>
    </cfRule>
    <cfRule type="cellIs" dxfId="295" priority="2" operator="greaterThan">
      <formula>L10</formula>
    </cfRule>
  </conditionalFormatting>
  <pageMargins left="0.7" right="0.7" top="0.75" bottom="0.75" header="0.3" footer="0.3"/>
  <pageSetup paperSize="3" fitToHeight="0" orientation="landscape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EC24A04F-0951-434B-A544-B8DBC65266A6}">
          <x14:formula1>
            <xm:f>Bolts!$A:$A</xm:f>
          </x14:formula1>
          <xm:sqref>C19:C24</xm:sqref>
        </x14:dataValidation>
        <x14:dataValidation type="list" allowBlank="1" showInputMessage="1" showErrorMessage="1" xr:uid="{0B3AC6B6-DE90-42F9-B1EE-50415304337E}">
          <x14:formula1>
            <xm:f>Purchased!$A:$A</xm:f>
          </x14:formula1>
          <xm:sqref>C12:C17</xm:sqref>
        </x14:dataValidation>
        <x14:dataValidation type="list" allowBlank="1" showInputMessage="1" showErrorMessage="1" xr:uid="{747906D1-FD62-42A4-A926-F9137F62B517}">
          <x14:formula1>
            <xm:f>Machined!$C:$C</xm:f>
          </x14:formula1>
          <xm:sqref>C5:C10</xm:sqref>
        </x14:dataValidation>
      </x14:dataValidations>
    </ext>
  </extLst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F553F-617B-4967-B21A-E23EDC4B8F49}">
  <sheetPr codeName="Sheet99">
    <tabColor theme="3" tint="0.59999389629810485"/>
    <pageSetUpPr fitToPage="1"/>
  </sheetPr>
  <dimension ref="A1:R171"/>
  <sheetViews>
    <sheetView zoomScaleNormal="100" workbookViewId="0">
      <selection activeCell="I26" sqref="I26"/>
    </sheetView>
  </sheetViews>
  <sheetFormatPr defaultColWidth="9.140625" defaultRowHeight="15"/>
  <cols>
    <col min="1" max="1" width="5.7109375" customWidth="1"/>
    <col min="2" max="2" width="5.42578125" bestFit="1" customWidth="1"/>
    <col min="3" max="3" width="30.7109375" customWidth="1"/>
    <col min="4" max="5" width="20.7109375" style="23" customWidth="1"/>
    <col min="6" max="6" width="16.85546875" bestFit="1" customWidth="1"/>
    <col min="7" max="7" width="9.7109375" customWidth="1"/>
    <col min="8" max="8" width="8.7109375" customWidth="1"/>
    <col min="9" max="9" width="20.7109375" customWidth="1"/>
    <col min="10" max="13" width="11.7109375" style="19" customWidth="1"/>
    <col min="14" max="14" width="11.85546875" style="19" bestFit="1" customWidth="1"/>
    <col min="15" max="15" width="7.7109375" style="19" customWidth="1"/>
    <col min="16" max="16" width="10.7109375" style="90" customWidth="1"/>
    <col min="17" max="17" width="10.7109375" style="97" customWidth="1"/>
  </cols>
  <sheetData>
    <row r="1" spans="1:18" s="55" customFormat="1" ht="12" customHeight="1">
      <c r="A1" s="68" t="s">
        <v>0</v>
      </c>
      <c r="B1" s="69"/>
      <c r="C1" s="69"/>
      <c r="D1" s="262" t="s">
        <v>1</v>
      </c>
      <c r="E1" s="263"/>
      <c r="F1" s="70"/>
      <c r="G1" s="69"/>
      <c r="H1" s="70"/>
      <c r="I1" s="71"/>
      <c r="J1" s="72"/>
      <c r="K1" s="72"/>
      <c r="L1" s="72"/>
      <c r="M1" s="72"/>
      <c r="N1" s="72"/>
      <c r="O1" s="72"/>
      <c r="P1" s="85"/>
      <c r="Q1" s="91"/>
    </row>
    <row r="2" spans="1:18" s="55" customFormat="1" ht="12" customHeight="1">
      <c r="A2" s="74" t="s">
        <v>48</v>
      </c>
      <c r="B2" s="58"/>
      <c r="C2" s="57" t="e">
        <f ca="1">VLOOKUP(E3,Assemblies!B:F,4,0)</f>
        <v>#VALUE!</v>
      </c>
      <c r="D2" s="75" t="s">
        <v>3</v>
      </c>
      <c r="E2" s="76" t="e">
        <f ca="1">'GF12'!E2</f>
        <v>#VALUE!</v>
      </c>
      <c r="F2" s="77" t="s">
        <v>4</v>
      </c>
      <c r="G2" s="58" t="str">
        <f>'GF12'!G2</f>
        <v>GH</v>
      </c>
      <c r="H2" s="77" t="s">
        <v>6</v>
      </c>
      <c r="I2" s="59">
        <f>'GF12'!I2</f>
        <v>44775</v>
      </c>
      <c r="J2" s="39"/>
      <c r="K2" s="40" t="s">
        <v>49</v>
      </c>
      <c r="L2" s="41" t="e">
        <f ca="1">VLOOKUP(C2,Assemblies!E:G,3,0)</f>
        <v>#VALUE!</v>
      </c>
      <c r="M2" s="78"/>
      <c r="N2" s="78"/>
      <c r="O2" s="78"/>
      <c r="P2" s="86"/>
      <c r="Q2" s="92"/>
    </row>
    <row r="3" spans="1:18" s="55" customFormat="1" ht="12" customHeight="1" thickBot="1">
      <c r="A3" s="74" t="s">
        <v>7</v>
      </c>
      <c r="B3" s="58"/>
      <c r="C3" s="57" t="e">
        <f ca="1">VLOOKUP(E3,Assemblies!B:F,5,0)</f>
        <v>#VALUE!</v>
      </c>
      <c r="D3" s="75" t="s">
        <v>50</v>
      </c>
      <c r="E3" s="76" t="e">
        <f ca="1">MID(CELL("filename",A1),FIND("]",CELL("filename",A1))+1,256)</f>
        <v>#VALUE!</v>
      </c>
      <c r="F3" s="77" t="s">
        <v>11</v>
      </c>
      <c r="G3" s="58" t="str">
        <f>'GF12'!G3</f>
        <v>GH</v>
      </c>
      <c r="H3" s="77" t="s">
        <v>6</v>
      </c>
      <c r="I3" s="59">
        <f>'GF12'!I3</f>
        <v>44775</v>
      </c>
      <c r="J3" s="78"/>
      <c r="K3" s="78"/>
      <c r="L3" s="78"/>
      <c r="M3" s="78"/>
      <c r="N3" s="78"/>
      <c r="O3" s="78"/>
      <c r="P3" s="86"/>
      <c r="Q3" s="92"/>
    </row>
    <row r="4" spans="1:18" s="56" customFormat="1" ht="12.75" customHeight="1" thickBot="1">
      <c r="A4" s="80" t="s">
        <v>12</v>
      </c>
      <c r="B4" s="81" t="s">
        <v>13</v>
      </c>
      <c r="C4" s="81" t="s">
        <v>14</v>
      </c>
      <c r="D4" s="270" t="s">
        <v>15</v>
      </c>
      <c r="E4" s="271"/>
      <c r="F4" s="104" t="s">
        <v>16</v>
      </c>
      <c r="G4" s="81" t="s">
        <v>17</v>
      </c>
      <c r="H4" s="260" t="s">
        <v>18</v>
      </c>
      <c r="I4" s="261"/>
      <c r="J4" s="81" t="s">
        <v>51</v>
      </c>
      <c r="K4" s="81" t="s">
        <v>20</v>
      </c>
      <c r="L4" s="81" t="s">
        <v>21</v>
      </c>
      <c r="M4" s="81" t="s">
        <v>52</v>
      </c>
      <c r="N4" s="81" t="s">
        <v>22</v>
      </c>
      <c r="O4" s="81" t="s">
        <v>53</v>
      </c>
      <c r="P4" s="107" t="s">
        <v>26</v>
      </c>
      <c r="Q4" s="82" t="s">
        <v>27</v>
      </c>
    </row>
    <row r="5" spans="1:18" s="21" customFormat="1" ht="12.75" customHeight="1">
      <c r="A5" s="66" t="s">
        <v>54</v>
      </c>
      <c r="B5" s="1">
        <v>1</v>
      </c>
      <c r="C5" s="67" t="s">
        <v>1038</v>
      </c>
      <c r="D5" s="277" t="e">
        <f ca="1">VLOOKUP(C5,Assemblies!E:S,2,0)</f>
        <v>#N/A</v>
      </c>
      <c r="E5" s="278"/>
      <c r="F5" s="32"/>
      <c r="G5" s="32"/>
      <c r="H5" s="292"/>
      <c r="I5" s="293"/>
      <c r="J5" s="28"/>
      <c r="K5" s="28"/>
      <c r="L5" s="28"/>
      <c r="M5" s="28"/>
      <c r="N5" s="33"/>
      <c r="O5" s="46" t="e">
        <f t="shared" ref="O5:O9" ca="1" si="0">B5*$L$2</f>
        <v>#VALUE!</v>
      </c>
      <c r="P5" s="87">
        <f>'411'!Q19</f>
        <v>766.74613543333328</v>
      </c>
      <c r="Q5" s="93">
        <f t="shared" ref="Q5:Q9" si="1">B5*P5</f>
        <v>766.74613543333328</v>
      </c>
    </row>
    <row r="6" spans="1:18" s="21" customFormat="1" ht="12.75" customHeight="1">
      <c r="A6" s="66" t="s">
        <v>56</v>
      </c>
      <c r="B6" s="1">
        <v>1</v>
      </c>
      <c r="C6" s="67" t="s">
        <v>1096</v>
      </c>
      <c r="D6" s="277" t="e">
        <f ca="1">VLOOKUP(C6,Assemblies!E:S,2,0)</f>
        <v>#N/A</v>
      </c>
      <c r="E6" s="278"/>
      <c r="F6" s="32"/>
      <c r="G6" s="32"/>
      <c r="H6" s="292"/>
      <c r="I6" s="293"/>
      <c r="J6" s="28"/>
      <c r="K6" s="28"/>
      <c r="L6" s="28"/>
      <c r="M6" s="28"/>
      <c r="N6" s="33"/>
      <c r="O6" s="46" t="e">
        <f t="shared" ca="1" si="0"/>
        <v>#VALUE!</v>
      </c>
      <c r="P6" s="87">
        <f>'422'!Q27</f>
        <v>5976.7051999999994</v>
      </c>
      <c r="Q6" s="93">
        <f t="shared" si="1"/>
        <v>5976.7051999999994</v>
      </c>
    </row>
    <row r="7" spans="1:18" s="21" customFormat="1" ht="12.75" customHeight="1">
      <c r="A7" s="66" t="s">
        <v>58</v>
      </c>
      <c r="B7" s="1">
        <v>1</v>
      </c>
      <c r="C7" s="67" t="s">
        <v>1102</v>
      </c>
      <c r="D7" s="277" t="e">
        <f ca="1">VLOOKUP(C7,Assemblies!E:S,2,0)</f>
        <v>#N/A</v>
      </c>
      <c r="E7" s="278"/>
      <c r="F7" s="32"/>
      <c r="G7" s="32"/>
      <c r="H7" s="292"/>
      <c r="I7" s="293"/>
      <c r="J7" s="28"/>
      <c r="K7" s="28"/>
      <c r="L7" s="28"/>
      <c r="M7" s="28"/>
      <c r="N7" s="33"/>
      <c r="O7" s="46" t="e">
        <f t="shared" ca="1" si="0"/>
        <v>#VALUE!</v>
      </c>
      <c r="P7" s="87">
        <f>'463'!Q24</f>
        <v>1793.9900000000002</v>
      </c>
      <c r="Q7" s="93">
        <f t="shared" si="1"/>
        <v>1793.9900000000002</v>
      </c>
    </row>
    <row r="8" spans="1:18" s="21" customFormat="1" ht="12.75" customHeight="1">
      <c r="A8" s="66" t="s">
        <v>60</v>
      </c>
      <c r="B8" s="1">
        <v>2</v>
      </c>
      <c r="C8" s="67" t="s">
        <v>1041</v>
      </c>
      <c r="D8" s="277" t="e">
        <f ca="1">VLOOKUP(C8,Assemblies!E:S,2,0)</f>
        <v>#N/A</v>
      </c>
      <c r="E8" s="278"/>
      <c r="F8" s="32"/>
      <c r="G8" s="32"/>
      <c r="H8" s="292"/>
      <c r="I8" s="293"/>
      <c r="J8" s="28"/>
      <c r="K8" s="28"/>
      <c r="L8" s="28"/>
      <c r="M8" s="28"/>
      <c r="N8" s="33"/>
      <c r="O8" s="46" t="e">
        <f t="shared" ca="1" si="0"/>
        <v>#VALUE!</v>
      </c>
      <c r="P8" s="87">
        <f>'414'!Q19</f>
        <v>175.48000000000002</v>
      </c>
      <c r="Q8" s="93">
        <f t="shared" si="1"/>
        <v>350.96000000000004</v>
      </c>
    </row>
    <row r="9" spans="1:18" s="21" customFormat="1" ht="12.75" customHeight="1">
      <c r="A9" s="66" t="s">
        <v>62</v>
      </c>
      <c r="B9" s="1">
        <v>4</v>
      </c>
      <c r="C9" s="67" t="s">
        <v>1042</v>
      </c>
      <c r="D9" s="277" t="e">
        <f ca="1">VLOOKUP(C9,Assemblies!E:S,2,0)</f>
        <v>#N/A</v>
      </c>
      <c r="E9" s="278"/>
      <c r="F9" s="32"/>
      <c r="G9" s="32"/>
      <c r="H9" s="292"/>
      <c r="I9" s="293"/>
      <c r="J9" s="28"/>
      <c r="K9" s="28"/>
      <c r="L9" s="28"/>
      <c r="M9" s="28"/>
      <c r="N9" s="33"/>
      <c r="O9" s="46" t="e">
        <f t="shared" ca="1" si="0"/>
        <v>#VALUE!</v>
      </c>
      <c r="P9" s="87">
        <f>'415'!Q14</f>
        <v>323.68610000000001</v>
      </c>
      <c r="Q9" s="93">
        <f t="shared" si="1"/>
        <v>1294.7444</v>
      </c>
    </row>
    <row r="10" spans="1:18" s="21" customFormat="1" ht="12.75" customHeight="1">
      <c r="A10" s="66" t="s">
        <v>64</v>
      </c>
      <c r="B10" s="1">
        <v>1</v>
      </c>
      <c r="C10" s="67" t="s">
        <v>1043</v>
      </c>
      <c r="D10" s="277" t="e">
        <f ca="1">VLOOKUP(C10,Assemblies!E:S,2,0)</f>
        <v>#N/A</v>
      </c>
      <c r="E10" s="278"/>
      <c r="F10" s="32"/>
      <c r="G10" s="32"/>
      <c r="H10" s="292"/>
      <c r="I10" s="293"/>
      <c r="J10" s="28"/>
      <c r="K10" s="28"/>
      <c r="L10" s="28"/>
      <c r="M10" s="28"/>
      <c r="N10" s="33"/>
      <c r="O10" s="46" t="e">
        <f t="shared" ref="O10" ca="1" si="2">B10*$L$2</f>
        <v>#VALUE!</v>
      </c>
      <c r="P10" s="87">
        <f>'416'!Q15</f>
        <v>31.96</v>
      </c>
      <c r="Q10" s="93">
        <f t="shared" ref="Q10" si="3">B10*P10</f>
        <v>31.96</v>
      </c>
    </row>
    <row r="11" spans="1:18" s="21" customFormat="1" ht="12.75" customHeight="1">
      <c r="A11" s="25"/>
      <c r="B11" s="26"/>
      <c r="C11" s="26"/>
      <c r="D11" s="272"/>
      <c r="E11" s="273"/>
      <c r="F11" s="26"/>
      <c r="G11" s="26"/>
      <c r="H11" s="274"/>
      <c r="I11" s="275"/>
      <c r="J11" s="27"/>
      <c r="K11" s="27"/>
      <c r="L11" s="27"/>
      <c r="M11" s="28"/>
      <c r="N11" s="29"/>
      <c r="O11" s="29"/>
      <c r="P11" s="141"/>
      <c r="Q11" s="142"/>
      <c r="R11" s="20"/>
    </row>
    <row r="12" spans="1:18" s="2" customFormat="1" ht="12.75" customHeight="1">
      <c r="A12" s="127">
        <v>1</v>
      </c>
      <c r="B12" s="21">
        <v>2</v>
      </c>
      <c r="C12" s="108" t="s">
        <v>1044</v>
      </c>
      <c r="D12" s="277" t="str">
        <f>VLOOKUP(C12,Machined!C:Q,2,0)</f>
        <v>MODIFIED IGUS JFRM 2835TR16X4 LEAD NUT</v>
      </c>
      <c r="E12" s="278"/>
      <c r="F12" s="131" t="str">
        <f>VLOOKUP(C12,Machined!C:R,7,0)</f>
        <v>PURCHASED</v>
      </c>
      <c r="G12" s="131" t="str">
        <f>VLOOKUP(C12,Machined!C:R,10,0)</f>
        <v>IGUS, NULINE</v>
      </c>
      <c r="H12" s="131" t="str">
        <f>VLOOKUP(C12,Machined!C:R,11,0)</f>
        <v>Nuline add center clearance hole</v>
      </c>
      <c r="I12" s="131"/>
      <c r="J12" s="42">
        <f>VLOOKUP(C12,Machined!C:R,12,0)</f>
        <v>45160</v>
      </c>
      <c r="K12" s="42">
        <f>VLOOKUP(C12,Machined!C:R,13,0)</f>
        <v>45160</v>
      </c>
      <c r="L12" s="42">
        <f>VLOOKUP(C12,Machined!C:R,14,0)</f>
        <v>45166</v>
      </c>
      <c r="M12" s="42">
        <f>VLOOKUP(C12,Machined!C:R,15,0)</f>
        <v>45166</v>
      </c>
      <c r="N12" s="43">
        <f>VLOOKUP(C12,Machined!C:R,16,0)</f>
        <v>55085</v>
      </c>
      <c r="O12" s="43" t="e">
        <f t="shared" ref="O12" ca="1" si="4">B12*$L$2</f>
        <v>#VALUE!</v>
      </c>
      <c r="P12" s="47">
        <f>IFERROR(VLOOKUP(C12,Machined!C:F,3,0),"")</f>
        <v>26.56</v>
      </c>
      <c r="Q12" s="48">
        <f t="shared" ref="Q12" si="5">IFERROR(B12*P12,"")</f>
        <v>53.12</v>
      </c>
    </row>
    <row r="13" spans="1:18" s="2" customFormat="1" ht="12.75" customHeight="1">
      <c r="A13" s="143"/>
      <c r="B13" s="26"/>
      <c r="C13" s="26"/>
      <c r="D13" s="272"/>
      <c r="E13" s="273"/>
      <c r="F13" s="26"/>
      <c r="G13" s="26"/>
      <c r="H13" s="274"/>
      <c r="I13" s="275"/>
      <c r="J13" s="27"/>
      <c r="K13" s="27"/>
      <c r="L13" s="27"/>
      <c r="M13" s="28"/>
      <c r="N13" s="29"/>
      <c r="O13" s="29"/>
      <c r="P13" s="141"/>
      <c r="Q13" s="142"/>
    </row>
    <row r="14" spans="1:18" s="2" customFormat="1" ht="12.75" customHeight="1">
      <c r="A14" s="4">
        <v>301</v>
      </c>
      <c r="B14" s="2">
        <v>1</v>
      </c>
      <c r="C14" s="114" t="s">
        <v>1045</v>
      </c>
      <c r="D14" s="268" t="str">
        <f>VLOOKUP(C14,Purchased!A:B,2,0)</f>
        <v>IGUS Drylin Lead Screw Nut</v>
      </c>
      <c r="E14" s="269"/>
      <c r="F14" s="112" t="str">
        <f>VLOOKUP(C14,Purchased!A:Q,9,0)</f>
        <v>IGUS</v>
      </c>
      <c r="G14" s="112" t="str">
        <f>VLOOKUP(C14,Purchased!A:Q,10,0)</f>
        <v>IGUS</v>
      </c>
      <c r="H14" s="112" t="str">
        <f>VLOOKUP(C14,Purchased!A:Q,12,0)</f>
        <v xml:space="preserve"> </v>
      </c>
      <c r="I14" s="113"/>
      <c r="J14" s="44">
        <f>VLOOKUP(C14,Purchased!A:Q,13,0)</f>
        <v>45154</v>
      </c>
      <c r="K14" s="44">
        <f>VLOOKUP(C14,Purchased!A:Q,14,0)</f>
        <v>45161</v>
      </c>
      <c r="L14" s="44">
        <f>VLOOKUP(C14,Purchased!A:Q,15,0)</f>
        <v>45191</v>
      </c>
      <c r="M14" s="44">
        <f>VLOOKUP(C14,Purchased!A:Q,16,0)</f>
        <v>45208</v>
      </c>
      <c r="N14" s="45">
        <f>VLOOKUP(C14,Purchased!A:Q,17,0)</f>
        <v>55076</v>
      </c>
      <c r="O14" s="45" t="e">
        <f t="shared" ref="O14" ca="1" si="6">B14*$L$2</f>
        <v>#VALUE!</v>
      </c>
      <c r="P14" s="49">
        <f>IFERROR(VLOOKUP(C14,Purchased!A:E,3,FALSE),"")</f>
        <v>27.9</v>
      </c>
      <c r="Q14" s="50">
        <f t="shared" ref="Q14" si="7">IFERROR(B14*P14,"")</f>
        <v>27.9</v>
      </c>
    </row>
    <row r="15" spans="1:18" s="2" customFormat="1" ht="12.75" customHeight="1">
      <c r="A15" s="25"/>
      <c r="B15" s="26"/>
      <c r="C15" s="26"/>
      <c r="D15" s="272"/>
      <c r="E15" s="273"/>
      <c r="F15" s="26"/>
      <c r="G15" s="26"/>
      <c r="H15" s="274"/>
      <c r="I15" s="275"/>
      <c r="J15" s="27"/>
      <c r="K15" s="27"/>
      <c r="L15" s="27"/>
      <c r="M15" s="28"/>
      <c r="N15" s="29"/>
      <c r="O15" s="29" t="e">
        <f t="shared" ref="O15:O16" ca="1" si="8">B15*$L$2</f>
        <v>#VALUE!</v>
      </c>
      <c r="P15" s="141"/>
      <c r="Q15" s="142"/>
    </row>
    <row r="16" spans="1:18" s="2" customFormat="1" ht="12.75" customHeight="1">
      <c r="A16" s="4">
        <v>501</v>
      </c>
      <c r="B16" s="2">
        <v>18</v>
      </c>
      <c r="C16" s="110" t="s">
        <v>828</v>
      </c>
      <c r="D16" s="268"/>
      <c r="E16" s="276"/>
      <c r="F16" s="112" t="str">
        <f>VLOOKUP(C16,Bolts!A:L,5,0)</f>
        <v xml:space="preserve">  </v>
      </c>
      <c r="G16" s="112" t="str">
        <f>VLOOKUP(C16,Bolts!A:L,6,0)</f>
        <v>Monroe Fasteners</v>
      </c>
      <c r="H16" s="112" t="str">
        <f>VLOOKUP(C16,Bolts!A:L,7,0)</f>
        <v xml:space="preserve">  </v>
      </c>
      <c r="I16" s="112"/>
      <c r="J16" s="44" t="str">
        <f>VLOOKUP(C16,Bolts!A:L,8,0)</f>
        <v xml:space="preserve"> </v>
      </c>
      <c r="K16" s="44" t="str">
        <f>VLOOKUP(C16,Bolts!A:L,9,0)</f>
        <v xml:space="preserve"> </v>
      </c>
      <c r="L16" s="44" t="str">
        <f>VLOOKUP(C16,Bolts!A:L,10,0)</f>
        <v xml:space="preserve"> </v>
      </c>
      <c r="M16" s="44" t="str">
        <f>VLOOKUP(C16,Bolts!A:L,11,0)</f>
        <v xml:space="preserve"> </v>
      </c>
      <c r="N16" s="45" t="str">
        <f>VLOOKUP(C16,Bolts!A:L,12,0)</f>
        <v xml:space="preserve"> </v>
      </c>
      <c r="O16" s="45" t="e">
        <f t="shared" ca="1" si="8"/>
        <v>#VALUE!</v>
      </c>
      <c r="P16" s="49" t="str">
        <f>IFERROR(VLOOKUP(C16,Bolts!A:B,2,FALSE),"")</f>
        <v xml:space="preserve"> </v>
      </c>
      <c r="Q16" s="50" t="str">
        <f t="shared" ref="Q16" si="9">IFERROR(B16*P16,"")</f>
        <v/>
      </c>
    </row>
    <row r="17" spans="1:17" s="2" customFormat="1" ht="12.75" customHeight="1" thickBot="1">
      <c r="A17" s="4">
        <v>502</v>
      </c>
      <c r="B17" s="2">
        <v>18</v>
      </c>
      <c r="C17" s="110" t="s">
        <v>595</v>
      </c>
      <c r="D17" s="268"/>
      <c r="E17" s="276"/>
      <c r="F17" s="112" t="str">
        <f>VLOOKUP(C17,Bolts!A:L,5,0)</f>
        <v xml:space="preserve">  </v>
      </c>
      <c r="G17" s="112" t="str">
        <f>VLOOKUP(C17,Bolts!A:L,6,0)</f>
        <v>Monroe Fasteners</v>
      </c>
      <c r="H17" s="112" t="str">
        <f>VLOOKUP(C17,Bolts!A:L,7,0)</f>
        <v xml:space="preserve">  </v>
      </c>
      <c r="I17" s="112"/>
      <c r="J17" s="44" t="str">
        <f>VLOOKUP(C17,Bolts!A:L,8,0)</f>
        <v xml:space="preserve"> </v>
      </c>
      <c r="K17" s="44" t="str">
        <f>VLOOKUP(C17,Bolts!A:L,9,0)</f>
        <v xml:space="preserve"> </v>
      </c>
      <c r="L17" s="44" t="str">
        <f>VLOOKUP(C17,Bolts!A:L,10,0)</f>
        <v xml:space="preserve"> </v>
      </c>
      <c r="M17" s="44" t="str">
        <f>VLOOKUP(C17,Bolts!A:L,11,0)</f>
        <v xml:space="preserve"> </v>
      </c>
      <c r="N17" s="45" t="str">
        <f>VLOOKUP(C17,Bolts!A:L,12,0)</f>
        <v xml:space="preserve"> </v>
      </c>
      <c r="O17" s="45" t="e">
        <f ca="1">B17*$L$2</f>
        <v>#VALUE!</v>
      </c>
      <c r="P17" s="49" t="str">
        <f>IFERROR(VLOOKUP(C17,Bolts!A:B,2,FALSE),"")</f>
        <v xml:space="preserve"> </v>
      </c>
      <c r="Q17" s="50" t="str">
        <f>IFERROR(B17*P17,"")</f>
        <v/>
      </c>
    </row>
    <row r="18" spans="1:17" s="2" customFormat="1" ht="12.75" customHeight="1" thickBot="1">
      <c r="A18" s="34"/>
      <c r="B18" s="35"/>
      <c r="C18" s="35"/>
      <c r="D18" s="256"/>
      <c r="E18" s="257"/>
      <c r="F18" s="35"/>
      <c r="G18" s="35"/>
      <c r="H18" s="294"/>
      <c r="I18" s="295"/>
      <c r="J18" s="36"/>
      <c r="K18" s="36"/>
      <c r="L18" s="36"/>
      <c r="M18" s="37"/>
      <c r="N18" s="38"/>
      <c r="O18" s="38"/>
      <c r="P18" s="89" t="s">
        <v>43</v>
      </c>
      <c r="Q18" s="94">
        <f>SUM(Q5:Q17)</f>
        <v>10296.125735433332</v>
      </c>
    </row>
    <row r="19" spans="1:17" s="2" customFormat="1" ht="12" customHeight="1">
      <c r="D19" s="22"/>
      <c r="E19" s="22"/>
      <c r="J19" s="8"/>
      <c r="K19" s="8"/>
      <c r="L19" s="8"/>
      <c r="M19" s="8"/>
      <c r="N19" s="5"/>
      <c r="O19" s="5"/>
      <c r="P19" s="88"/>
      <c r="Q19" s="95"/>
    </row>
    <row r="20" spans="1:17" s="2" customFormat="1" ht="12" customHeight="1">
      <c r="D20" s="22"/>
      <c r="E20" s="22"/>
      <c r="J20" s="5"/>
      <c r="K20" s="5"/>
      <c r="L20" s="5"/>
      <c r="M20" s="5"/>
      <c r="N20" s="5"/>
      <c r="O20" s="5"/>
      <c r="P20" s="88"/>
      <c r="Q20" s="95"/>
    </row>
    <row r="21" spans="1:17" s="2" customFormat="1" ht="12" customHeight="1">
      <c r="D21" s="22"/>
      <c r="E21" s="22"/>
      <c r="J21" s="5"/>
      <c r="K21" s="5"/>
      <c r="L21" s="5"/>
      <c r="M21" s="5"/>
      <c r="N21" s="5"/>
      <c r="O21" s="5"/>
      <c r="P21" s="88"/>
      <c r="Q21" s="95"/>
    </row>
    <row r="22" spans="1:17" s="2" customFormat="1" ht="12" customHeight="1">
      <c r="D22" s="22"/>
      <c r="E22" s="22"/>
      <c r="J22" s="5"/>
      <c r="K22" s="5"/>
      <c r="L22" s="5"/>
      <c r="M22" s="5"/>
      <c r="N22" s="5"/>
      <c r="O22" s="5"/>
      <c r="P22" s="88"/>
      <c r="Q22" s="95"/>
    </row>
    <row r="23" spans="1:17" s="2" customFormat="1" ht="12" customHeight="1">
      <c r="D23" s="22"/>
      <c r="E23" s="22"/>
      <c r="J23" s="5"/>
      <c r="K23" s="5"/>
      <c r="L23" s="5"/>
      <c r="M23" s="5"/>
      <c r="N23" s="5"/>
      <c r="O23" s="5"/>
      <c r="P23" s="88"/>
      <c r="Q23" s="95"/>
    </row>
    <row r="24" spans="1:17" s="2" customFormat="1" ht="12" customHeight="1">
      <c r="D24" s="22"/>
      <c r="E24" s="22"/>
      <c r="J24" s="5"/>
      <c r="K24" s="5"/>
      <c r="L24" s="5"/>
      <c r="M24" s="5"/>
      <c r="N24" s="5"/>
      <c r="O24" s="5"/>
      <c r="P24" s="88"/>
      <c r="Q24" s="95"/>
    </row>
    <row r="25" spans="1:17" s="2" customFormat="1" ht="12" customHeight="1">
      <c r="D25" s="22"/>
      <c r="E25" s="22"/>
      <c r="J25" s="5"/>
      <c r="K25" s="5"/>
      <c r="L25" s="5"/>
      <c r="M25" s="5"/>
      <c r="N25" s="5"/>
      <c r="O25" s="5"/>
      <c r="P25" s="88"/>
      <c r="Q25" s="95"/>
    </row>
    <row r="26" spans="1:17" s="2" customFormat="1" ht="12" customHeight="1">
      <c r="D26" s="22"/>
      <c r="E26" s="22"/>
      <c r="J26" s="5"/>
      <c r="K26" s="5"/>
      <c r="L26" s="5"/>
      <c r="M26" s="5"/>
      <c r="N26" s="5"/>
      <c r="O26" s="5"/>
      <c r="P26" s="88"/>
      <c r="Q26" s="95"/>
    </row>
    <row r="27" spans="1:17" s="2" customFormat="1" ht="12" customHeight="1">
      <c r="D27" s="22"/>
      <c r="E27" s="22"/>
      <c r="J27" s="5"/>
      <c r="K27" s="5"/>
      <c r="L27" s="5"/>
      <c r="M27" s="5"/>
      <c r="N27" s="5"/>
      <c r="O27" s="5"/>
      <c r="P27" s="88"/>
      <c r="Q27" s="95"/>
    </row>
    <row r="28" spans="1:17" s="2" customFormat="1" ht="12" customHeight="1">
      <c r="D28" s="22"/>
      <c r="E28" s="22"/>
      <c r="J28" s="5"/>
      <c r="K28" s="5"/>
      <c r="L28" s="5"/>
      <c r="M28" s="5"/>
      <c r="N28" s="5"/>
      <c r="O28" s="5"/>
      <c r="P28" s="88"/>
      <c r="Q28" s="95"/>
    </row>
    <row r="29" spans="1:17" s="2" customFormat="1" ht="12" customHeight="1">
      <c r="D29" s="22"/>
      <c r="E29" s="22"/>
      <c r="J29" s="5"/>
      <c r="K29" s="5"/>
      <c r="L29" s="5"/>
      <c r="M29" s="5"/>
      <c r="N29" s="5"/>
      <c r="O29" s="5"/>
      <c r="P29" s="88"/>
      <c r="Q29" s="95"/>
    </row>
    <row r="30" spans="1:17" s="2" customFormat="1" ht="12" customHeight="1">
      <c r="D30" s="22"/>
      <c r="E30" s="22"/>
      <c r="J30" s="5"/>
      <c r="K30" s="5"/>
      <c r="L30" s="5"/>
      <c r="M30" s="5"/>
      <c r="N30" s="5"/>
      <c r="O30" s="5"/>
      <c r="P30" s="88"/>
      <c r="Q30" s="95"/>
    </row>
    <row r="31" spans="1:17" s="2" customFormat="1" ht="12" customHeight="1">
      <c r="D31" s="22"/>
      <c r="E31" s="22"/>
      <c r="J31" s="5"/>
      <c r="K31" s="5"/>
      <c r="L31" s="5"/>
      <c r="M31" s="5"/>
      <c r="N31" s="5"/>
      <c r="O31" s="5"/>
      <c r="P31" s="88"/>
      <c r="Q31" s="95"/>
    </row>
    <row r="32" spans="1:17" s="2" customFormat="1" ht="12" customHeight="1">
      <c r="D32" s="22"/>
      <c r="E32" s="22"/>
      <c r="J32" s="5"/>
      <c r="K32" s="5"/>
      <c r="L32" s="5"/>
      <c r="M32" s="5"/>
      <c r="N32" s="5"/>
      <c r="O32" s="5"/>
      <c r="P32" s="88"/>
      <c r="Q32" s="95"/>
    </row>
    <row r="33" spans="4:17" s="2" customFormat="1" ht="12" customHeight="1">
      <c r="D33" s="22"/>
      <c r="E33" s="22"/>
      <c r="J33" s="5"/>
      <c r="K33" s="5"/>
      <c r="L33" s="5"/>
      <c r="M33" s="5"/>
      <c r="N33" s="5"/>
      <c r="O33" s="5"/>
      <c r="P33" s="88"/>
      <c r="Q33" s="95"/>
    </row>
    <row r="34" spans="4:17" s="2" customFormat="1" ht="12" customHeight="1">
      <c r="D34" s="22"/>
      <c r="E34" s="22"/>
      <c r="J34" s="5"/>
      <c r="K34" s="5"/>
      <c r="L34" s="5"/>
      <c r="M34" s="5"/>
      <c r="N34" s="5"/>
      <c r="O34" s="5"/>
      <c r="P34" s="88"/>
      <c r="Q34" s="95"/>
    </row>
    <row r="35" spans="4:17" s="2" customFormat="1" ht="12" customHeight="1">
      <c r="D35" s="22"/>
      <c r="E35" s="22"/>
      <c r="J35" s="5"/>
      <c r="K35" s="5"/>
      <c r="L35" s="5"/>
      <c r="M35" s="5"/>
      <c r="N35" s="5"/>
      <c r="O35" s="5"/>
      <c r="P35" s="88"/>
      <c r="Q35" s="95"/>
    </row>
    <row r="36" spans="4:17" s="2" customFormat="1" ht="12" customHeight="1">
      <c r="D36" s="22"/>
      <c r="E36" s="22"/>
      <c r="J36" s="5"/>
      <c r="K36" s="5"/>
      <c r="L36" s="5"/>
      <c r="M36" s="5"/>
      <c r="N36" s="5"/>
      <c r="O36" s="5"/>
      <c r="P36" s="88"/>
      <c r="Q36" s="95"/>
    </row>
    <row r="37" spans="4:17" s="2" customFormat="1" ht="12" customHeight="1">
      <c r="D37" s="22"/>
      <c r="E37" s="22"/>
      <c r="J37" s="5"/>
      <c r="K37" s="5"/>
      <c r="L37" s="5"/>
      <c r="M37" s="5"/>
      <c r="N37" s="5"/>
      <c r="O37" s="5"/>
      <c r="P37" s="88"/>
      <c r="Q37" s="95"/>
    </row>
    <row r="38" spans="4:17" s="2" customFormat="1" ht="12" customHeight="1">
      <c r="D38" s="22"/>
      <c r="E38" s="22"/>
      <c r="J38" s="5"/>
      <c r="K38" s="5"/>
      <c r="L38" s="5"/>
      <c r="M38" s="5"/>
      <c r="N38" s="5"/>
      <c r="O38" s="5"/>
      <c r="P38" s="88"/>
      <c r="Q38" s="95"/>
    </row>
    <row r="39" spans="4:17" s="2" customFormat="1" ht="12" customHeight="1">
      <c r="D39" s="22"/>
      <c r="E39" s="22"/>
      <c r="J39" s="5"/>
      <c r="K39" s="5"/>
      <c r="L39" s="5"/>
      <c r="M39" s="5"/>
      <c r="N39" s="5"/>
      <c r="O39" s="5"/>
      <c r="P39" s="88"/>
      <c r="Q39" s="95"/>
    </row>
    <row r="40" spans="4:17" s="2" customFormat="1" ht="12" customHeight="1">
      <c r="D40" s="22"/>
      <c r="E40" s="22"/>
      <c r="J40" s="5"/>
      <c r="K40" s="5"/>
      <c r="L40" s="5"/>
      <c r="M40" s="5"/>
      <c r="N40" s="5"/>
      <c r="O40" s="5"/>
      <c r="P40" s="88"/>
      <c r="Q40" s="95"/>
    </row>
    <row r="41" spans="4:17" s="2" customFormat="1" ht="12" customHeight="1">
      <c r="D41" s="22"/>
      <c r="E41" s="22"/>
      <c r="J41" s="5"/>
      <c r="K41" s="5"/>
      <c r="L41" s="5"/>
      <c r="M41" s="5"/>
      <c r="N41" s="5"/>
      <c r="O41" s="5"/>
      <c r="P41" s="88"/>
      <c r="Q41" s="95"/>
    </row>
    <row r="42" spans="4:17" s="2" customFormat="1" ht="12" customHeight="1">
      <c r="D42" s="22"/>
      <c r="E42" s="22"/>
      <c r="J42" s="5"/>
      <c r="K42" s="5"/>
      <c r="L42" s="5"/>
      <c r="M42" s="5"/>
      <c r="N42" s="5"/>
      <c r="O42" s="5"/>
      <c r="P42" s="88"/>
      <c r="Q42" s="95"/>
    </row>
    <row r="43" spans="4:17" s="2" customFormat="1" ht="12" customHeight="1">
      <c r="D43" s="22"/>
      <c r="E43" s="22"/>
      <c r="J43" s="5"/>
      <c r="K43" s="5"/>
      <c r="L43" s="5"/>
      <c r="M43" s="5"/>
      <c r="N43" s="5"/>
      <c r="O43" s="5"/>
      <c r="P43" s="88"/>
      <c r="Q43" s="95"/>
    </row>
    <row r="44" spans="4:17" s="2" customFormat="1" ht="12" customHeight="1">
      <c r="D44" s="22"/>
      <c r="E44" s="22"/>
      <c r="J44" s="5"/>
      <c r="K44" s="5"/>
      <c r="L44" s="5"/>
      <c r="M44" s="5"/>
      <c r="N44" s="5"/>
      <c r="O44" s="5"/>
      <c r="P44" s="88"/>
      <c r="Q44" s="95"/>
    </row>
    <row r="45" spans="4:17" s="2" customFormat="1" ht="12" customHeight="1">
      <c r="D45" s="22"/>
      <c r="E45" s="22"/>
      <c r="J45" s="5"/>
      <c r="K45" s="5"/>
      <c r="L45" s="5"/>
      <c r="M45" s="5"/>
      <c r="N45" s="5"/>
      <c r="O45" s="5"/>
      <c r="P45" s="88"/>
      <c r="Q45" s="95"/>
    </row>
    <row r="46" spans="4:17" s="2" customFormat="1" ht="12" customHeight="1">
      <c r="D46" s="22"/>
      <c r="E46" s="22"/>
      <c r="J46" s="5"/>
      <c r="K46" s="5"/>
      <c r="L46" s="5"/>
      <c r="M46" s="5"/>
      <c r="N46" s="5"/>
      <c r="O46" s="5"/>
      <c r="P46" s="88"/>
      <c r="Q46" s="95"/>
    </row>
    <row r="47" spans="4:17" s="2" customFormat="1" ht="12" customHeight="1">
      <c r="D47" s="22"/>
      <c r="E47" s="22"/>
      <c r="J47" s="5"/>
      <c r="K47" s="5"/>
      <c r="L47" s="5"/>
      <c r="M47" s="5"/>
      <c r="N47" s="5"/>
      <c r="O47" s="5"/>
      <c r="P47" s="88"/>
      <c r="Q47" s="95"/>
    </row>
    <row r="48" spans="4:17" s="2" customFormat="1" ht="12" customHeight="1">
      <c r="D48" s="22"/>
      <c r="E48" s="22"/>
      <c r="J48" s="5"/>
      <c r="K48" s="5"/>
      <c r="L48" s="5"/>
      <c r="M48" s="5"/>
      <c r="N48" s="5"/>
      <c r="O48" s="5"/>
      <c r="P48" s="88"/>
      <c r="Q48" s="95"/>
    </row>
    <row r="49" spans="1:17" s="2" customFormat="1" ht="12" customHeight="1">
      <c r="D49" s="22"/>
      <c r="E49" s="22"/>
      <c r="J49" s="5"/>
      <c r="K49" s="5"/>
      <c r="L49" s="5"/>
      <c r="M49" s="5"/>
      <c r="N49" s="5"/>
      <c r="O49" s="5"/>
      <c r="P49" s="88"/>
      <c r="Q49" s="95"/>
    </row>
    <row r="50" spans="1:17" s="2" customFormat="1" ht="12" customHeight="1">
      <c r="D50" s="22"/>
      <c r="E50" s="22"/>
      <c r="J50" s="5"/>
      <c r="K50" s="5"/>
      <c r="L50" s="5"/>
      <c r="M50" s="5"/>
      <c r="N50" s="5"/>
      <c r="O50" s="5"/>
      <c r="P50" s="88"/>
      <c r="Q50" s="95"/>
    </row>
    <row r="51" spans="1:17" s="2" customFormat="1" ht="12" customHeight="1">
      <c r="D51" s="22"/>
      <c r="E51" s="22"/>
      <c r="J51" s="5"/>
      <c r="K51" s="5"/>
      <c r="L51" s="5"/>
      <c r="M51" s="5"/>
      <c r="N51" s="5"/>
      <c r="O51" s="5"/>
      <c r="P51" s="88"/>
      <c r="Q51" s="95"/>
    </row>
    <row r="52" spans="1:17" s="2" customFormat="1" ht="12" customHeight="1">
      <c r="D52" s="22"/>
      <c r="E52" s="22"/>
      <c r="J52" s="5"/>
      <c r="K52" s="5"/>
      <c r="L52" s="5"/>
      <c r="M52" s="5"/>
      <c r="N52" s="5"/>
      <c r="O52" s="5"/>
      <c r="P52" s="88"/>
      <c r="Q52" s="95"/>
    </row>
    <row r="53" spans="1:17" s="2" customFormat="1" ht="12" customHeight="1">
      <c r="D53" s="22"/>
      <c r="E53" s="22"/>
      <c r="J53" s="5"/>
      <c r="K53" s="5"/>
      <c r="L53" s="5"/>
      <c r="M53" s="5"/>
      <c r="N53" s="5"/>
      <c r="O53" s="5"/>
      <c r="P53" s="88"/>
      <c r="Q53" s="95"/>
    </row>
    <row r="54" spans="1:17" s="2" customFormat="1" ht="12" customHeight="1">
      <c r="D54" s="22"/>
      <c r="E54" s="22"/>
      <c r="J54" s="5"/>
      <c r="K54" s="5"/>
      <c r="L54" s="5"/>
      <c r="M54" s="5"/>
      <c r="N54" s="5"/>
      <c r="O54" s="5"/>
      <c r="P54" s="88"/>
      <c r="Q54" s="95"/>
    </row>
    <row r="55" spans="1:17" s="2" customFormat="1" ht="12" customHeight="1">
      <c r="D55" s="22"/>
      <c r="E55" s="22"/>
      <c r="J55" s="5"/>
      <c r="K55" s="5"/>
      <c r="L55" s="5"/>
      <c r="M55" s="5"/>
      <c r="N55" s="5"/>
      <c r="O55" s="5"/>
      <c r="P55" s="88"/>
      <c r="Q55" s="95"/>
    </row>
    <row r="56" spans="1:17" s="2" customFormat="1" ht="12" customHeight="1">
      <c r="D56" s="22"/>
      <c r="E56" s="22"/>
      <c r="J56" s="5"/>
      <c r="K56" s="5"/>
      <c r="L56" s="5"/>
      <c r="M56" s="5"/>
      <c r="N56" s="5"/>
      <c r="O56" s="5"/>
      <c r="P56" s="88"/>
      <c r="Q56" s="95"/>
    </row>
    <row r="57" spans="1:17" s="2" customFormat="1" ht="12" customHeight="1">
      <c r="D57" s="22"/>
      <c r="E57" s="22"/>
      <c r="J57" s="5"/>
      <c r="K57" s="5"/>
      <c r="L57" s="5"/>
      <c r="M57" s="5"/>
      <c r="N57" s="5"/>
      <c r="O57" s="5"/>
      <c r="P57" s="88"/>
      <c r="Q57" s="96"/>
    </row>
    <row r="58" spans="1:17" s="2" customFormat="1" ht="12" customHeight="1">
      <c r="D58" s="22"/>
      <c r="E58" s="22"/>
      <c r="J58" s="5"/>
      <c r="K58" s="5"/>
      <c r="L58" s="5"/>
      <c r="M58" s="5"/>
      <c r="N58" s="5"/>
      <c r="O58" s="5"/>
      <c r="P58" s="88"/>
      <c r="Q58" s="96"/>
    </row>
    <row r="59" spans="1:17" s="2" customFormat="1" ht="12" customHeight="1">
      <c r="D59" s="22"/>
      <c r="E59" s="22"/>
      <c r="J59" s="5"/>
      <c r="K59" s="5"/>
      <c r="L59" s="5"/>
      <c r="M59" s="5"/>
      <c r="N59" s="5"/>
      <c r="O59" s="5"/>
      <c r="P59" s="88"/>
      <c r="Q59" s="96"/>
    </row>
    <row r="60" spans="1:17" s="2" customFormat="1" ht="12" customHeight="1">
      <c r="D60" s="22"/>
      <c r="E60" s="22"/>
      <c r="J60" s="5"/>
      <c r="K60" s="5"/>
      <c r="L60" s="5"/>
      <c r="M60" s="5"/>
      <c r="N60" s="5"/>
      <c r="O60" s="5"/>
      <c r="P60" s="88"/>
      <c r="Q60" s="96"/>
    </row>
    <row r="61" spans="1:17" s="2" customFormat="1" ht="12" customHeight="1">
      <c r="A61"/>
      <c r="B61"/>
      <c r="C61"/>
      <c r="D61" s="23"/>
      <c r="E61" s="23"/>
      <c r="F61"/>
      <c r="G61"/>
      <c r="H61"/>
      <c r="I61"/>
      <c r="J61" s="19"/>
      <c r="K61" s="19"/>
      <c r="L61" s="19"/>
      <c r="M61" s="19"/>
      <c r="N61" s="19"/>
      <c r="O61" s="19"/>
      <c r="P61" s="90"/>
      <c r="Q61" s="96"/>
    </row>
    <row r="62" spans="1:17" s="2" customFormat="1" ht="12" customHeight="1">
      <c r="A62"/>
      <c r="B62"/>
      <c r="C62"/>
      <c r="D62" s="23"/>
      <c r="E62" s="23"/>
      <c r="F62"/>
      <c r="G62"/>
      <c r="H62"/>
      <c r="I62"/>
      <c r="J62" s="19"/>
      <c r="K62" s="19"/>
      <c r="L62" s="19"/>
      <c r="M62" s="19"/>
      <c r="N62" s="19"/>
      <c r="O62" s="19"/>
      <c r="P62" s="90"/>
      <c r="Q62" s="96"/>
    </row>
    <row r="63" spans="1:17" s="2" customFormat="1" ht="12" customHeight="1">
      <c r="A63"/>
      <c r="B63"/>
      <c r="C63"/>
      <c r="D63" s="23"/>
      <c r="E63" s="23"/>
      <c r="F63"/>
      <c r="G63"/>
      <c r="H63"/>
      <c r="I63"/>
      <c r="J63" s="19"/>
      <c r="K63" s="19"/>
      <c r="L63" s="19"/>
      <c r="M63" s="19"/>
      <c r="N63" s="19"/>
      <c r="O63" s="19"/>
      <c r="P63" s="90"/>
      <c r="Q63" s="96"/>
    </row>
    <row r="64" spans="1:17" s="2" customFormat="1" ht="12" customHeight="1">
      <c r="A64"/>
      <c r="B64"/>
      <c r="C64"/>
      <c r="D64" s="23"/>
      <c r="E64" s="23"/>
      <c r="F64"/>
      <c r="G64"/>
      <c r="H64"/>
      <c r="I64"/>
      <c r="J64" s="19"/>
      <c r="K64" s="19"/>
      <c r="L64" s="19"/>
      <c r="M64" s="19"/>
      <c r="N64" s="19"/>
      <c r="O64" s="19"/>
      <c r="P64" s="90"/>
      <c r="Q64" s="96"/>
    </row>
    <row r="65" spans="1:17" s="2" customFormat="1" ht="12" customHeight="1">
      <c r="A65"/>
      <c r="B65"/>
      <c r="C65"/>
      <c r="D65" s="23"/>
      <c r="E65" s="23"/>
      <c r="F65"/>
      <c r="G65"/>
      <c r="H65"/>
      <c r="I65"/>
      <c r="J65" s="19"/>
      <c r="K65" s="19"/>
      <c r="L65" s="19"/>
      <c r="M65" s="19"/>
      <c r="N65" s="19"/>
      <c r="O65" s="19"/>
      <c r="P65" s="90"/>
      <c r="Q65" s="96"/>
    </row>
    <row r="66" spans="1:17">
      <c r="Q66" s="96"/>
    </row>
    <row r="67" spans="1:17">
      <c r="Q67" s="96"/>
    </row>
    <row r="68" spans="1:17">
      <c r="Q68" s="96"/>
    </row>
    <row r="69" spans="1:17">
      <c r="Q69" s="96"/>
    </row>
    <row r="70" spans="1:17">
      <c r="Q70" s="96"/>
    </row>
    <row r="71" spans="1:17">
      <c r="Q71" s="96"/>
    </row>
    <row r="72" spans="1:17">
      <c r="Q72" s="96"/>
    </row>
    <row r="73" spans="1:17">
      <c r="Q73" s="96"/>
    </row>
    <row r="74" spans="1:17">
      <c r="Q74" s="96"/>
    </row>
    <row r="75" spans="1:17">
      <c r="Q75" s="96"/>
    </row>
    <row r="76" spans="1:17">
      <c r="Q76" s="96"/>
    </row>
    <row r="77" spans="1:17">
      <c r="Q77" s="96"/>
    </row>
    <row r="78" spans="1:17">
      <c r="Q78" s="96"/>
    </row>
    <row r="79" spans="1:17">
      <c r="Q79" s="96"/>
    </row>
    <row r="80" spans="1:17">
      <c r="Q80" s="96"/>
    </row>
    <row r="81" spans="17:17">
      <c r="Q81" s="96"/>
    </row>
    <row r="82" spans="17:17">
      <c r="Q82" s="96"/>
    </row>
    <row r="83" spans="17:17">
      <c r="Q83" s="96"/>
    </row>
    <row r="84" spans="17:17">
      <c r="Q84" s="96"/>
    </row>
    <row r="85" spans="17:17">
      <c r="Q85" s="96"/>
    </row>
    <row r="122" ht="12" customHeight="1"/>
    <row r="123" ht="12" customHeight="1"/>
    <row r="124" ht="12" customHeight="1"/>
    <row r="125" ht="12" customHeight="1"/>
    <row r="126" ht="12" customHeight="1"/>
    <row r="127" ht="12" customHeight="1"/>
    <row r="128" ht="12" customHeight="1"/>
    <row r="129" ht="12" customHeight="1"/>
    <row r="130" ht="12" customHeight="1"/>
    <row r="131" ht="12" customHeight="1"/>
    <row r="132" ht="12" customHeight="1"/>
    <row r="133" ht="12" customHeight="1"/>
    <row r="134" ht="12" customHeight="1"/>
    <row r="135" ht="12" customHeight="1"/>
    <row r="136" ht="12" customHeight="1"/>
    <row r="137" ht="12" customHeight="1"/>
    <row r="138" ht="12" customHeight="1"/>
    <row r="139" ht="12" customHeight="1"/>
    <row r="140" ht="12" customHeight="1"/>
    <row r="141" ht="12" customHeight="1"/>
    <row r="142" ht="12" customHeight="1"/>
    <row r="143" ht="12" customHeight="1"/>
    <row r="144" ht="12" customHeight="1"/>
    <row r="145" ht="12" customHeight="1"/>
    <row r="146" ht="12" customHeight="1"/>
    <row r="147" ht="12" customHeight="1"/>
    <row r="148" ht="12" customHeight="1"/>
    <row r="149" ht="12" customHeight="1"/>
    <row r="150" ht="12" customHeight="1"/>
    <row r="151" ht="12" customHeight="1"/>
    <row r="152" ht="12" customHeight="1"/>
    <row r="153" ht="12" customHeight="1"/>
    <row r="154" ht="12" customHeight="1"/>
    <row r="155" ht="12" customHeight="1"/>
    <row r="156" ht="12" customHeight="1"/>
    <row r="157" ht="12" customHeight="1"/>
    <row r="158" ht="12" customHeight="1"/>
    <row r="159" ht="12" customHeight="1"/>
    <row r="160" ht="12" customHeight="1"/>
    <row r="161" ht="12" customHeight="1"/>
    <row r="162" ht="12" customHeight="1"/>
    <row r="163" ht="12" customHeight="1"/>
    <row r="164" ht="12" customHeight="1"/>
    <row r="165" ht="12" customHeight="1"/>
    <row r="166" ht="12" customHeight="1"/>
    <row r="167" ht="12" customHeight="1"/>
    <row r="168" ht="12" customHeight="1"/>
    <row r="169" ht="12" customHeight="1"/>
    <row r="170" ht="12" customHeight="1"/>
    <row r="171" ht="12" customHeight="1"/>
  </sheetData>
  <mergeCells count="27">
    <mergeCell ref="D18:E18"/>
    <mergeCell ref="H18:I18"/>
    <mergeCell ref="D13:E13"/>
    <mergeCell ref="H13:I13"/>
    <mergeCell ref="D14:E14"/>
    <mergeCell ref="H15:I15"/>
    <mergeCell ref="D16:E16"/>
    <mergeCell ref="D15:E15"/>
    <mergeCell ref="D17:E17"/>
    <mergeCell ref="D6:E6"/>
    <mergeCell ref="H6:I6"/>
    <mergeCell ref="D12:E12"/>
    <mergeCell ref="D7:E7"/>
    <mergeCell ref="H7:I7"/>
    <mergeCell ref="D8:E8"/>
    <mergeCell ref="H8:I8"/>
    <mergeCell ref="D9:E9"/>
    <mergeCell ref="H9:I9"/>
    <mergeCell ref="D11:E11"/>
    <mergeCell ref="H11:I11"/>
    <mergeCell ref="D10:E10"/>
    <mergeCell ref="H10:I10"/>
    <mergeCell ref="D1:E1"/>
    <mergeCell ref="D4:E4"/>
    <mergeCell ref="H4:I4"/>
    <mergeCell ref="D5:E5"/>
    <mergeCell ref="H5:I5"/>
  </mergeCells>
  <conditionalFormatting sqref="M14 M16:M17">
    <cfRule type="cellIs" dxfId="294" priority="9" stopIfTrue="1" operator="lessThanOrEqual">
      <formula>$L14</formula>
    </cfRule>
    <cfRule type="cellIs" dxfId="293" priority="10" operator="greaterThan">
      <formula>L14</formula>
    </cfRule>
  </conditionalFormatting>
  <conditionalFormatting sqref="M12">
    <cfRule type="cellIs" dxfId="292" priority="1" stopIfTrue="1" operator="lessThanOrEqual">
      <formula>$L12</formula>
    </cfRule>
    <cfRule type="cellIs" dxfId="291" priority="2" operator="greaterThan">
      <formula>L12</formula>
    </cfRule>
  </conditionalFormatting>
  <pageMargins left="0.7" right="0.7" top="0.75" bottom="0.75" header="0.3" footer="0.3"/>
  <pageSetup paperSize="3" fitToHeight="0" orientation="landscape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 xr:uid="{0C63C897-6691-47E6-B984-64290942DCFD}">
          <x14:formula1>
            <xm:f>Bolts!$A:$A</xm:f>
          </x14:formula1>
          <xm:sqref>C16:C17</xm:sqref>
        </x14:dataValidation>
        <x14:dataValidation type="list" allowBlank="1" showInputMessage="1" showErrorMessage="1" xr:uid="{7DF13A77-CC6C-4375-9D48-0A9226F4AD8F}">
          <x14:formula1>
            <xm:f>Assemblies!$E:$E</xm:f>
          </x14:formula1>
          <xm:sqref>C5:C10</xm:sqref>
        </x14:dataValidation>
        <x14:dataValidation type="list" allowBlank="1" showInputMessage="1" showErrorMessage="1" xr:uid="{8E31673A-4866-4C81-9371-1BD58DB67BB2}">
          <x14:formula1>
            <xm:f>Purchased!$A:$A</xm:f>
          </x14:formula1>
          <xm:sqref>C14</xm:sqref>
        </x14:dataValidation>
        <x14:dataValidation type="list" allowBlank="1" showInputMessage="1" showErrorMessage="1" xr:uid="{ADF42A6C-8B07-4060-BC93-2200B175247B}">
          <x14:formula1>
            <xm:f>Machined!$C:$C</xm:f>
          </x14:formula1>
          <xm:sqref>C12</xm:sqref>
        </x14:dataValidation>
      </x14:dataValidations>
    </ext>
  </extLst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9C1051-7A74-434E-8929-3A325EFB5ECD}">
  <sheetPr codeName="Sheet100">
    <tabColor theme="3" tint="0.79998168889431442"/>
    <pageSetUpPr fitToPage="1"/>
  </sheetPr>
  <dimension ref="A1:Q177"/>
  <sheetViews>
    <sheetView zoomScaleNormal="100" workbookViewId="0">
      <selection activeCell="F38" sqref="F38"/>
    </sheetView>
  </sheetViews>
  <sheetFormatPr defaultColWidth="9.140625" defaultRowHeight="15"/>
  <cols>
    <col min="1" max="1" width="5.7109375" customWidth="1"/>
    <col min="2" max="2" width="5.42578125" bestFit="1" customWidth="1"/>
    <col min="3" max="3" width="30.7109375" customWidth="1"/>
    <col min="4" max="5" width="20.7109375" style="23" customWidth="1"/>
    <col min="6" max="6" width="16.85546875" bestFit="1" customWidth="1"/>
    <col min="7" max="7" width="9.7109375" customWidth="1"/>
    <col min="8" max="8" width="8.7109375" customWidth="1"/>
    <col min="9" max="9" width="20.7109375" customWidth="1"/>
    <col min="10" max="13" width="11.7109375" style="19" customWidth="1"/>
    <col min="14" max="14" width="11.85546875" style="19" bestFit="1" customWidth="1"/>
    <col min="15" max="15" width="7.7109375" style="19" customWidth="1"/>
    <col min="16" max="16" width="10.7109375" style="90" customWidth="1"/>
    <col min="17" max="17" width="10.7109375" style="97" customWidth="1"/>
  </cols>
  <sheetData>
    <row r="1" spans="1:17" s="55" customFormat="1" ht="12" customHeight="1">
      <c r="A1" s="68" t="s">
        <v>0</v>
      </c>
      <c r="B1" s="69"/>
      <c r="C1" s="69"/>
      <c r="D1" s="262" t="s">
        <v>1</v>
      </c>
      <c r="E1" s="263"/>
      <c r="F1" s="70"/>
      <c r="G1" s="69"/>
      <c r="H1" s="70"/>
      <c r="I1" s="71"/>
      <c r="J1" s="72"/>
      <c r="K1" s="72"/>
      <c r="L1" s="72"/>
      <c r="M1" s="72"/>
      <c r="N1" s="72"/>
      <c r="O1" s="72"/>
      <c r="P1" s="85"/>
      <c r="Q1" s="91"/>
    </row>
    <row r="2" spans="1:17" s="55" customFormat="1" ht="12" customHeight="1">
      <c r="A2" s="74" t="s">
        <v>48</v>
      </c>
      <c r="B2" s="58"/>
      <c r="C2" s="57" t="e">
        <f ca="1">VLOOKUP(E3,Assemblies!B:F,4,0)</f>
        <v>#VALUE!</v>
      </c>
      <c r="D2" s="75" t="s">
        <v>3</v>
      </c>
      <c r="E2" s="76" t="e">
        <f ca="1">'GF12'!E2</f>
        <v>#VALUE!</v>
      </c>
      <c r="F2" s="77" t="s">
        <v>4</v>
      </c>
      <c r="G2" s="58" t="str">
        <f>'GF12'!G2</f>
        <v>GH</v>
      </c>
      <c r="H2" s="77" t="s">
        <v>6</v>
      </c>
      <c r="I2" s="59">
        <f>'GF12'!I2</f>
        <v>44775</v>
      </c>
      <c r="J2" s="39"/>
      <c r="K2" s="40" t="s">
        <v>49</v>
      </c>
      <c r="L2" s="41" t="e">
        <f ca="1">VLOOKUP(C2,Assemblies!E:G,3,0)</f>
        <v>#VALUE!</v>
      </c>
      <c r="M2" s="78"/>
      <c r="N2" s="78"/>
      <c r="O2" s="78"/>
      <c r="P2" s="86"/>
      <c r="Q2" s="92"/>
    </row>
    <row r="3" spans="1:17" s="55" customFormat="1" ht="12" customHeight="1" thickBot="1">
      <c r="A3" s="74" t="s">
        <v>7</v>
      </c>
      <c r="B3" s="58"/>
      <c r="C3" s="57" t="e">
        <f ca="1">VLOOKUP(E3,Assemblies!B:F,5,0)</f>
        <v>#VALUE!</v>
      </c>
      <c r="D3" s="75" t="s">
        <v>50</v>
      </c>
      <c r="E3" s="76" t="e">
        <f ca="1">MID(CELL("filename",A1),FIND("]",CELL("filename",A1))+1,256)</f>
        <v>#VALUE!</v>
      </c>
      <c r="F3" s="77" t="s">
        <v>11</v>
      </c>
      <c r="G3" s="58" t="str">
        <f>'GF12'!G3</f>
        <v>GH</v>
      </c>
      <c r="H3" s="77" t="s">
        <v>6</v>
      </c>
      <c r="I3" s="59">
        <f>'GF12'!I3</f>
        <v>44775</v>
      </c>
      <c r="J3" s="78"/>
      <c r="K3" s="78"/>
      <c r="L3" s="78"/>
      <c r="M3" s="78"/>
      <c r="N3" s="78"/>
      <c r="O3" s="78"/>
      <c r="P3" s="86"/>
      <c r="Q3" s="92"/>
    </row>
    <row r="4" spans="1:17" s="56" customFormat="1" ht="12.75" customHeight="1" thickBot="1">
      <c r="A4" s="80" t="s">
        <v>12</v>
      </c>
      <c r="B4" s="81" t="s">
        <v>13</v>
      </c>
      <c r="C4" s="81" t="s">
        <v>14</v>
      </c>
      <c r="D4" s="270" t="s">
        <v>15</v>
      </c>
      <c r="E4" s="271"/>
      <c r="F4" s="104" t="s">
        <v>16</v>
      </c>
      <c r="G4" s="81" t="s">
        <v>17</v>
      </c>
      <c r="H4" s="260" t="s">
        <v>18</v>
      </c>
      <c r="I4" s="261"/>
      <c r="J4" s="81" t="s">
        <v>51</v>
      </c>
      <c r="K4" s="81" t="s">
        <v>20</v>
      </c>
      <c r="L4" s="81" t="s">
        <v>21</v>
      </c>
      <c r="M4" s="81" t="s">
        <v>52</v>
      </c>
      <c r="N4" s="81" t="s">
        <v>22</v>
      </c>
      <c r="O4" s="81" t="s">
        <v>53</v>
      </c>
      <c r="P4" s="107" t="s">
        <v>26</v>
      </c>
      <c r="Q4" s="82" t="s">
        <v>27</v>
      </c>
    </row>
    <row r="5" spans="1:17" s="2" customFormat="1" ht="12.75" customHeight="1">
      <c r="A5" s="127">
        <v>1</v>
      </c>
      <c r="B5" s="21">
        <v>1</v>
      </c>
      <c r="C5" s="108" t="s">
        <v>1103</v>
      </c>
      <c r="D5" s="277" t="str">
        <f>VLOOKUP(C5,Machined!C:Q,2,0)</f>
        <v>UPPER CENTER SIDE SEAL BAR</v>
      </c>
      <c r="E5" s="278"/>
      <c r="F5" s="131" t="str">
        <f>VLOOKUP(C5,Machined!C:R,7,0)</f>
        <v xml:space="preserve">MIC 6 </v>
      </c>
      <c r="G5" s="131" t="str">
        <f>VLOOKUP(C5,Machined!C:R,10,0)</f>
        <v>XOMETRY</v>
      </c>
      <c r="H5" s="131" t="str">
        <f>VLOOKUP(C5,Machined!C:R,11,0)</f>
        <v xml:space="preserve">  </v>
      </c>
      <c r="I5" s="131"/>
      <c r="J5" s="42">
        <f>VLOOKUP(C5,Machined!C:R,12,0)</f>
        <v>45084</v>
      </c>
      <c r="K5" s="42">
        <f>VLOOKUP(C5,Machined!C:R,13,0)</f>
        <v>45127</v>
      </c>
      <c r="L5" s="42">
        <f>VLOOKUP(C5,Machined!C:R,14,0)</f>
        <v>45156</v>
      </c>
      <c r="M5" s="42">
        <f>VLOOKUP(C5,Machined!C:R,15,0)</f>
        <v>45156</v>
      </c>
      <c r="N5" s="43">
        <f>VLOOKUP(C5,Machined!C:R,16,0)</f>
        <v>55003</v>
      </c>
      <c r="O5" s="43" t="e">
        <f t="shared" ref="O5:O9" ca="1" si="0">B5*$L$2</f>
        <v>#VALUE!</v>
      </c>
      <c r="P5" s="47">
        <f>IFERROR(VLOOKUP(C5,Machined!C:F,3,0),"")</f>
        <v>372.18</v>
      </c>
      <c r="Q5" s="48">
        <f t="shared" ref="Q5:Q9" si="1">IFERROR(B5*P5,"")</f>
        <v>372.18</v>
      </c>
    </row>
    <row r="6" spans="1:17" s="2" customFormat="1" ht="12.75" customHeight="1">
      <c r="A6" s="127">
        <v>2</v>
      </c>
      <c r="B6" s="21">
        <v>1</v>
      </c>
      <c r="C6" s="108" t="s">
        <v>1067</v>
      </c>
      <c r="D6" s="277" t="str">
        <f>VLOOKUP(C6,Machined!C:Q,2,0)</f>
        <v xml:space="preserve">SIDE SEAL MID BAR </v>
      </c>
      <c r="E6" s="278"/>
      <c r="F6" s="131" t="str">
        <f>VLOOKUP(C6,Machined!C:R,7,0)</f>
        <v xml:space="preserve">MIC 6 </v>
      </c>
      <c r="G6" s="131" t="str">
        <f>VLOOKUP(C6,Machined!C:R,10,0)</f>
        <v>XOMETRY</v>
      </c>
      <c r="H6" s="131" t="str">
        <f>VLOOKUP(C6,Machined!C:R,11,0)</f>
        <v>Nuline add 2x M4 Taps</v>
      </c>
      <c r="I6" s="131"/>
      <c r="J6" s="42">
        <f>VLOOKUP(C6,Machined!C:R,12,0)</f>
        <v>45084</v>
      </c>
      <c r="K6" s="42">
        <f>VLOOKUP(C6,Machined!C:R,13,0)</f>
        <v>45127</v>
      </c>
      <c r="L6" s="42">
        <f>VLOOKUP(C6,Machined!C:R,14,0)</f>
        <v>45156</v>
      </c>
      <c r="M6" s="42">
        <f>VLOOKUP(C6,Machined!C:R,15,0)</f>
        <v>45156</v>
      </c>
      <c r="N6" s="43">
        <f>VLOOKUP(C6,Machined!C:R,16,0)</f>
        <v>55003</v>
      </c>
      <c r="O6" s="43" t="e">
        <f t="shared" ca="1" si="0"/>
        <v>#VALUE!</v>
      </c>
      <c r="P6" s="47">
        <f>IFERROR(VLOOKUP(C6,Machined!C:F,3,0),"")</f>
        <v>146.12</v>
      </c>
      <c r="Q6" s="48">
        <f t="shared" si="1"/>
        <v>146.12</v>
      </c>
    </row>
    <row r="7" spans="1:17" s="2" customFormat="1" ht="12.75" customHeight="1">
      <c r="A7" s="127">
        <v>3</v>
      </c>
      <c r="B7" s="21">
        <v>1</v>
      </c>
      <c r="C7" s="108" t="s">
        <v>1068</v>
      </c>
      <c r="D7" s="277" t="str">
        <f>VLOOKUP(C7,Machined!C:Q,2,0)</f>
        <v>SIDE SEAL DIE CAP</v>
      </c>
      <c r="E7" s="278"/>
      <c r="F7" s="131" t="str">
        <f>VLOOKUP(C7,Machined!C:R,7,0)</f>
        <v xml:space="preserve">MIC 6 </v>
      </c>
      <c r="G7" s="131" t="str">
        <f>VLOOKUP(C7,Machined!C:R,10,0)</f>
        <v>XOMETRY</v>
      </c>
      <c r="H7" s="131" t="str">
        <f>VLOOKUP(C7,Machined!C:R,11,0)</f>
        <v xml:space="preserve">  </v>
      </c>
      <c r="I7" s="131"/>
      <c r="J7" s="42">
        <f>VLOOKUP(C7,Machined!C:R,12,0)</f>
        <v>45084</v>
      </c>
      <c r="K7" s="42">
        <f>VLOOKUP(C7,Machined!C:R,13,0)</f>
        <v>45127</v>
      </c>
      <c r="L7" s="42">
        <f>VLOOKUP(C7,Machined!C:R,14,0)</f>
        <v>45156</v>
      </c>
      <c r="M7" s="42">
        <f>VLOOKUP(C7,Machined!C:R,15,0)</f>
        <v>45156</v>
      </c>
      <c r="N7" s="43">
        <f>VLOOKUP(C7,Machined!C:R,16,0)</f>
        <v>55003</v>
      </c>
      <c r="O7" s="43" t="e">
        <f t="shared" ca="1" si="0"/>
        <v>#VALUE!</v>
      </c>
      <c r="P7" s="47">
        <f>IFERROR(VLOOKUP(C7,Machined!C:F,3,0),"")</f>
        <v>201.45</v>
      </c>
      <c r="Q7" s="48">
        <f t="shared" si="1"/>
        <v>201.45</v>
      </c>
    </row>
    <row r="8" spans="1:17" s="2" customFormat="1" ht="12.75" customHeight="1">
      <c r="A8" s="127">
        <v>4</v>
      </c>
      <c r="B8" s="21">
        <v>1</v>
      </c>
      <c r="C8" s="108" t="s">
        <v>1069</v>
      </c>
      <c r="D8" s="277" t="str">
        <f>VLOOKUP(C8,Machined!C:Q,2,0)</f>
        <v xml:space="preserve">SIDE SEAL MOUNTING TUBE </v>
      </c>
      <c r="E8" s="278"/>
      <c r="F8" s="131" t="str">
        <f>VLOOKUP(C8,Machined!C:R,7,0)</f>
        <v>3"x3" 1018 Rec Tube</v>
      </c>
      <c r="G8" s="131" t="str">
        <f>VLOOKUP(C8,Machined!C:R,10,0)</f>
        <v>XOMETRY</v>
      </c>
      <c r="H8" s="131" t="str">
        <f>VLOOKUP(C8,Machined!C:R,11,0)</f>
        <v xml:space="preserve">  </v>
      </c>
      <c r="I8" s="131"/>
      <c r="J8" s="42">
        <f>VLOOKUP(C8,Machined!C:R,12,0)</f>
        <v>45084</v>
      </c>
      <c r="K8" s="42">
        <f>VLOOKUP(C8,Machined!C:R,13,0)</f>
        <v>45149</v>
      </c>
      <c r="L8" s="42">
        <f>VLOOKUP(C8,Machined!C:R,14,0)</f>
        <v>45177</v>
      </c>
      <c r="M8" s="42">
        <f>VLOOKUP(C8,Machined!C:R,15,0)</f>
        <v>45177</v>
      </c>
      <c r="N8" s="43">
        <f>VLOOKUP(C8,Machined!C:R,16,0)</f>
        <v>55053</v>
      </c>
      <c r="O8" s="43" t="e">
        <f t="shared" ca="1" si="0"/>
        <v>#VALUE!</v>
      </c>
      <c r="P8" s="47">
        <f>IFERROR(VLOOKUP(C8,Machined!C:F,3,0),"")</f>
        <v>402.88</v>
      </c>
      <c r="Q8" s="48">
        <f t="shared" si="1"/>
        <v>402.88</v>
      </c>
    </row>
    <row r="9" spans="1:17" s="2" customFormat="1" ht="12.75" customHeight="1">
      <c r="A9" s="127">
        <v>5</v>
      </c>
      <c r="B9" s="21">
        <v>2</v>
      </c>
      <c r="C9" s="108" t="s">
        <v>1071</v>
      </c>
      <c r="D9" s="277" t="str">
        <f>VLOOKUP(C9,Machined!C:Q,2,0)</f>
        <v>MODIFIED MCM 9604T190 STEEL FLANGED SHAFT COLLAR, 30MM DIA</v>
      </c>
      <c r="E9" s="278"/>
      <c r="F9" s="131" t="str">
        <f>VLOOKUP(C9,Machined!C:R,7,0)</f>
        <v>PURCHASED</v>
      </c>
      <c r="G9" s="131" t="str">
        <f>VLOOKUP(C9,Machined!C:R,10,0)</f>
        <v>MCM, NULINE</v>
      </c>
      <c r="H9" s="131" t="str">
        <f>VLOOKUP(C9,Machined!C:R,11,0)</f>
        <v xml:space="preserve">  </v>
      </c>
      <c r="I9" s="131"/>
      <c r="J9" s="42" t="str">
        <f>VLOOKUP(C9,Machined!C:R,12,0)</f>
        <v>N/A</v>
      </c>
      <c r="K9" s="42" t="str">
        <f>VLOOKUP(C9,Machined!C:R,13,0)</f>
        <v>N/A</v>
      </c>
      <c r="L9" s="42" t="str">
        <f>VLOOKUP(C9,Machined!C:R,14,0)</f>
        <v>N/A</v>
      </c>
      <c r="M9" s="42" t="str">
        <f>VLOOKUP(C9,Machined!C:R,15,0)</f>
        <v>N/A</v>
      </c>
      <c r="N9" s="43" t="str">
        <f>VLOOKUP(C9,Machined!C:R,16,0)</f>
        <v>N/A</v>
      </c>
      <c r="O9" s="43" t="e">
        <f t="shared" ca="1" si="0"/>
        <v>#VALUE!</v>
      </c>
      <c r="P9" s="47">
        <f>IFERROR(VLOOKUP(C9,Machined!C:F,3,0),"")</f>
        <v>0</v>
      </c>
      <c r="Q9" s="48">
        <f t="shared" si="1"/>
        <v>0</v>
      </c>
    </row>
    <row r="10" spans="1:17" s="2" customFormat="1" ht="12.75" customHeight="1">
      <c r="A10" s="143"/>
      <c r="B10" s="26"/>
      <c r="C10" s="26"/>
      <c r="D10" s="272"/>
      <c r="E10" s="273"/>
      <c r="F10" s="26"/>
      <c r="G10" s="26"/>
      <c r="H10" s="274"/>
      <c r="I10" s="275"/>
      <c r="J10" s="27"/>
      <c r="K10" s="27"/>
      <c r="L10" s="27"/>
      <c r="M10" s="28"/>
      <c r="N10" s="29"/>
      <c r="O10" s="29"/>
      <c r="P10" s="141"/>
      <c r="Q10" s="142"/>
    </row>
    <row r="11" spans="1:17" s="2" customFormat="1" ht="12.75" customHeight="1">
      <c r="A11" s="4">
        <v>301</v>
      </c>
      <c r="C11" s="114"/>
      <c r="D11" s="268"/>
      <c r="E11" s="269"/>
      <c r="F11" s="112"/>
      <c r="G11" s="112"/>
      <c r="H11" s="112"/>
      <c r="I11" s="113"/>
      <c r="J11" s="44"/>
      <c r="K11" s="44"/>
      <c r="L11" s="44"/>
      <c r="M11" s="44"/>
      <c r="N11" s="45"/>
      <c r="O11" s="45"/>
      <c r="P11" s="49"/>
      <c r="Q11" s="50"/>
    </row>
    <row r="12" spans="1:17" s="2" customFormat="1" ht="12" customHeight="1">
      <c r="A12" s="4">
        <f t="shared" ref="A12:A16" si="2">A11+1</f>
        <v>302</v>
      </c>
      <c r="B12" s="2">
        <v>3</v>
      </c>
      <c r="C12" s="114" t="s">
        <v>1072</v>
      </c>
      <c r="D12" s="268" t="str">
        <f>VLOOKUP(C12,Purchased!A:B,2,0)</f>
        <v>1/8in Bayonet Adapter</v>
      </c>
      <c r="E12" s="269"/>
      <c r="F12" s="112" t="str">
        <f>VLOOKUP(C12,Purchased!A:Q,9,0)</f>
        <v>ACROLAB</v>
      </c>
      <c r="G12" s="112" t="str">
        <f>VLOOKUP(C12,Purchased!A:Q,10,0)</f>
        <v>ACROLAB</v>
      </c>
      <c r="H12" s="112" t="str">
        <f>VLOOKUP(C12,Purchased!A:Q,12,0)</f>
        <v xml:space="preserve"> </v>
      </c>
      <c r="I12" s="113"/>
      <c r="J12" s="44" t="str">
        <f>VLOOKUP(C12,Purchased!A:Q,13,0)</f>
        <v>N/A</v>
      </c>
      <c r="K12" s="44">
        <f>VLOOKUP(C12,Purchased!A:Q,14,0)</f>
        <v>45001</v>
      </c>
      <c r="L12" s="44">
        <f>VLOOKUP(C12,Purchased!A:Q,15,0)</f>
        <v>45031</v>
      </c>
      <c r="M12" s="44">
        <f>VLOOKUP(C12,Purchased!A:Q,16,0)</f>
        <v>45031</v>
      </c>
      <c r="N12" s="45">
        <f>VLOOKUP(C12,Purchased!A:Q,17,0)</f>
        <v>54804</v>
      </c>
      <c r="O12" s="45" t="e">
        <f t="shared" ref="O12:O16" ca="1" si="3">B12*$L$2</f>
        <v>#VALUE!</v>
      </c>
      <c r="P12" s="49">
        <f>IFERROR(VLOOKUP(C12,Purchased!A:E,3,FALSE),"")</f>
        <v>4.25</v>
      </c>
      <c r="Q12" s="50">
        <f t="shared" ref="Q12:Q16" si="4">IFERROR(B12*P12,"")</f>
        <v>12.75</v>
      </c>
    </row>
    <row r="13" spans="1:17" s="2" customFormat="1" ht="12" customHeight="1">
      <c r="A13" s="4">
        <f t="shared" si="2"/>
        <v>303</v>
      </c>
      <c r="B13" s="2">
        <v>1</v>
      </c>
      <c r="C13" s="114" t="s">
        <v>1073</v>
      </c>
      <c r="D13" s="268" t="str">
        <f>VLOOKUP(C13,Purchased!A:B,2,0)</f>
        <v xml:space="preserve">0.5” OD Isobar, 26” Long </v>
      </c>
      <c r="E13" s="269"/>
      <c r="F13" s="112" t="str">
        <f>VLOOKUP(C13,Purchased!A:Q,9,0)</f>
        <v>ACROLAB</v>
      </c>
      <c r="G13" s="112" t="str">
        <f>VLOOKUP(C13,Purchased!A:Q,10,0)</f>
        <v>ACROLAB</v>
      </c>
      <c r="H13" s="112" t="str">
        <f>VLOOKUP(C13,Purchased!A:Q,12,0)</f>
        <v xml:space="preserve"> </v>
      </c>
      <c r="I13" s="113"/>
      <c r="J13" s="44" t="str">
        <f>VLOOKUP(C13,Purchased!A:Q,13,0)</f>
        <v>N/A</v>
      </c>
      <c r="K13" s="44">
        <f>VLOOKUP(C13,Purchased!A:Q,14,0)</f>
        <v>45001</v>
      </c>
      <c r="L13" s="44">
        <f>VLOOKUP(C13,Purchased!A:Q,15,0)</f>
        <v>45031</v>
      </c>
      <c r="M13" s="44">
        <f>VLOOKUP(C13,Purchased!A:Q,16,0)</f>
        <v>45031</v>
      </c>
      <c r="N13" s="45">
        <f>VLOOKUP(C13,Purchased!A:Q,17,0)</f>
        <v>54804</v>
      </c>
      <c r="O13" s="45" t="e">
        <f t="shared" ca="1" si="3"/>
        <v>#VALUE!</v>
      </c>
      <c r="P13" s="49">
        <f>IFERROR(VLOOKUP(C13,Purchased!A:E,3,FALSE),"")</f>
        <v>68</v>
      </c>
      <c r="Q13" s="50">
        <f t="shared" si="4"/>
        <v>68</v>
      </c>
    </row>
    <row r="14" spans="1:17" s="2" customFormat="1" ht="12" customHeight="1">
      <c r="A14" s="4">
        <f t="shared" si="2"/>
        <v>304</v>
      </c>
      <c r="B14" s="2">
        <v>1</v>
      </c>
      <c r="C14" s="114" t="s">
        <v>1074</v>
      </c>
      <c r="D14" s="268" t="str">
        <f>VLOOKUP(C14,Purchased!A:B,2,0)</f>
        <v>CUSTOM CARTRIDGE HEATER 26.0" LONG</v>
      </c>
      <c r="E14" s="269"/>
      <c r="F14" s="112" t="str">
        <f>VLOOKUP(C14,Purchased!A:Q,9,0)</f>
        <v>ACROLAB</v>
      </c>
      <c r="G14" s="112" t="str">
        <f>VLOOKUP(C14,Purchased!A:Q,10,0)</f>
        <v>ACROLAB</v>
      </c>
      <c r="H14" s="112" t="str">
        <f>VLOOKUP(C14,Purchased!A:Q,12,0)</f>
        <v xml:space="preserve"> </v>
      </c>
      <c r="I14" s="113"/>
      <c r="J14" s="44" t="str">
        <f>VLOOKUP(C14,Purchased!A:Q,13,0)</f>
        <v>N/A</v>
      </c>
      <c r="K14" s="44">
        <f>VLOOKUP(C14,Purchased!A:Q,14,0)</f>
        <v>45001</v>
      </c>
      <c r="L14" s="44">
        <f>VLOOKUP(C14,Purchased!A:Q,15,0)</f>
        <v>45031</v>
      </c>
      <c r="M14" s="44">
        <f>VLOOKUP(C14,Purchased!A:Q,16,0)</f>
        <v>45031</v>
      </c>
      <c r="N14" s="45">
        <f>VLOOKUP(C14,Purchased!A:Q,17,0)</f>
        <v>54804</v>
      </c>
      <c r="O14" s="45" t="e">
        <f t="shared" ca="1" si="3"/>
        <v>#VALUE!</v>
      </c>
      <c r="P14" s="49">
        <f>IFERROR(VLOOKUP(C14,Purchased!A:E,3,FALSE),"")</f>
        <v>262.68</v>
      </c>
      <c r="Q14" s="50">
        <f t="shared" si="4"/>
        <v>262.68</v>
      </c>
    </row>
    <row r="15" spans="1:17" s="2" customFormat="1" ht="12" customHeight="1">
      <c r="A15" s="4">
        <f t="shared" si="2"/>
        <v>305</v>
      </c>
      <c r="B15" s="2">
        <v>14</v>
      </c>
      <c r="C15" s="114" t="s">
        <v>1075</v>
      </c>
      <c r="D15" s="268" t="str">
        <f>VLOOKUP(C15,Purchased!A:B,2,0)</f>
        <v>Alloy Steel Cup-Point Set Screw M6 x 1 mm Thread, 50 mm Long, 25pk</v>
      </c>
      <c r="E15" s="269"/>
      <c r="F15" s="112" t="str">
        <f>VLOOKUP(C15,Purchased!A:Q,9,0)</f>
        <v>MCM</v>
      </c>
      <c r="G15" s="112" t="str">
        <f>VLOOKUP(C15,Purchased!A:Q,10,0)</f>
        <v>MCM</v>
      </c>
      <c r="H15" s="112" t="str">
        <f>VLOOKUP(C15,Purchased!A:Q,12,0)</f>
        <v>Pack of 25</v>
      </c>
      <c r="I15" s="113"/>
      <c r="J15" s="44" t="str">
        <f>VLOOKUP(C15,Purchased!A:Q,13,0)</f>
        <v>N/A</v>
      </c>
      <c r="K15" s="44">
        <f>VLOOKUP(C15,Purchased!A:Q,14,0)</f>
        <v>45162</v>
      </c>
      <c r="L15" s="44">
        <f>VLOOKUP(C15,Purchased!A:Q,15,0)</f>
        <v>45189</v>
      </c>
      <c r="M15" s="44">
        <f>VLOOKUP(C15,Purchased!A:Q,16,0)</f>
        <v>45189</v>
      </c>
      <c r="N15" s="45" t="str">
        <f>VLOOKUP(C15,Purchased!A:Q,17,0)</f>
        <v>55088, 55152</v>
      </c>
      <c r="O15" s="45" t="e">
        <f t="shared" ca="1" si="3"/>
        <v>#VALUE!</v>
      </c>
      <c r="P15" s="49">
        <f>IFERROR(VLOOKUP(C15,Purchased!A:E,3,FALSE),"")</f>
        <v>13.62</v>
      </c>
      <c r="Q15" s="50">
        <f t="shared" si="4"/>
        <v>190.67999999999998</v>
      </c>
    </row>
    <row r="16" spans="1:17" s="2" customFormat="1" ht="12" customHeight="1">
      <c r="A16" s="4">
        <f t="shared" si="2"/>
        <v>306</v>
      </c>
      <c r="B16" s="2">
        <v>3</v>
      </c>
      <c r="C16" s="114" t="s">
        <v>1076</v>
      </c>
      <c r="D16" s="268" t="str">
        <f>VLOOKUP(C16,Purchased!A:B,2,0)</f>
        <v>CUSTOM A100 THERMOCOUPLE 60" LONG LEADS</v>
      </c>
      <c r="E16" s="269"/>
      <c r="F16" s="112" t="str">
        <f>VLOOKUP(C16,Purchased!A:Q,9,0)</f>
        <v>ACROLAB</v>
      </c>
      <c r="G16" s="112" t="str">
        <f>VLOOKUP(C16,Purchased!A:Q,10,0)</f>
        <v>ACROLAB</v>
      </c>
      <c r="H16" s="112" t="str">
        <f>VLOOKUP(C16,Purchased!A:Q,12,0)</f>
        <v xml:space="preserve"> </v>
      </c>
      <c r="I16" s="113"/>
      <c r="J16" s="44" t="str">
        <f>VLOOKUP(C16,Purchased!A:Q,13,0)</f>
        <v>N/A</v>
      </c>
      <c r="K16" s="44">
        <f>VLOOKUP(C16,Purchased!A:Q,14,0)</f>
        <v>45001</v>
      </c>
      <c r="L16" s="44">
        <f>VLOOKUP(C16,Purchased!A:Q,15,0)</f>
        <v>45031</v>
      </c>
      <c r="M16" s="44">
        <f>VLOOKUP(C16,Purchased!A:Q,16,0)</f>
        <v>45031</v>
      </c>
      <c r="N16" s="45">
        <f>VLOOKUP(C16,Purchased!A:Q,17,0)</f>
        <v>54807</v>
      </c>
      <c r="O16" s="45" t="e">
        <f t="shared" ca="1" si="3"/>
        <v>#VALUE!</v>
      </c>
      <c r="P16" s="49">
        <f>IFERROR(VLOOKUP(C16,Purchased!A:E,3,FALSE),"")</f>
        <v>45.75</v>
      </c>
      <c r="Q16" s="50">
        <f t="shared" si="4"/>
        <v>137.25</v>
      </c>
    </row>
    <row r="17" spans="1:17" s="2" customFormat="1" ht="12.75" customHeight="1">
      <c r="A17" s="25"/>
      <c r="B17" s="26"/>
      <c r="C17" s="26"/>
      <c r="D17" s="272"/>
      <c r="E17" s="273"/>
      <c r="F17" s="26"/>
      <c r="G17" s="26"/>
      <c r="H17" s="274"/>
      <c r="I17" s="275"/>
      <c r="J17" s="27"/>
      <c r="K17" s="27"/>
      <c r="L17" s="27"/>
      <c r="M17" s="28"/>
      <c r="N17" s="29"/>
      <c r="O17" s="29" t="e">
        <f t="shared" ref="O17:O18" ca="1" si="5">B17*$L$2</f>
        <v>#VALUE!</v>
      </c>
      <c r="P17" s="141"/>
      <c r="Q17" s="142"/>
    </row>
    <row r="18" spans="1:17" s="2" customFormat="1" ht="12.75" customHeight="1">
      <c r="A18" s="4">
        <v>501</v>
      </c>
      <c r="B18" s="2">
        <v>6</v>
      </c>
      <c r="C18" s="110" t="s">
        <v>1077</v>
      </c>
      <c r="D18" s="268"/>
      <c r="E18" s="276"/>
      <c r="F18" s="112">
        <f>VLOOKUP(C18,Bolts!A:L,5,0)</f>
        <v>0</v>
      </c>
      <c r="G18" s="112">
        <f>VLOOKUP(C18,Bolts!A:L,6,0)</f>
        <v>0</v>
      </c>
      <c r="H18" s="112">
        <f>VLOOKUP(C18,Bolts!A:L,7,0)</f>
        <v>0</v>
      </c>
      <c r="I18" s="112"/>
      <c r="J18" s="44">
        <f>VLOOKUP(C18,Bolts!A:L,8,0)</f>
        <v>0</v>
      </c>
      <c r="K18" s="44">
        <f>VLOOKUP(C18,Bolts!A:L,9,0)</f>
        <v>0</v>
      </c>
      <c r="L18" s="44">
        <f>VLOOKUP(C18,Bolts!A:L,10,0)</f>
        <v>0</v>
      </c>
      <c r="M18" s="44">
        <f>VLOOKUP(C18,Bolts!A:L,11,0)</f>
        <v>0</v>
      </c>
      <c r="N18" s="45">
        <f>VLOOKUP(C18,Bolts!A:L,12,0)</f>
        <v>0</v>
      </c>
      <c r="O18" s="45" t="e">
        <f t="shared" ca="1" si="5"/>
        <v>#VALUE!</v>
      </c>
      <c r="P18" s="49">
        <f>IFERROR(VLOOKUP(C18,Bolts!A:B,2,FALSE),"")</f>
        <v>0</v>
      </c>
      <c r="Q18" s="50">
        <f t="shared" ref="Q18" si="6">IFERROR(B18*P18,"")</f>
        <v>0</v>
      </c>
    </row>
    <row r="19" spans="1:17" s="2" customFormat="1" ht="12.75" customHeight="1">
      <c r="A19" s="4">
        <f t="shared" ref="A19:A23" si="7">A18+1</f>
        <v>502</v>
      </c>
      <c r="B19" s="2">
        <v>50</v>
      </c>
      <c r="C19" s="110" t="s">
        <v>853</v>
      </c>
      <c r="D19" s="268"/>
      <c r="E19" s="276"/>
      <c r="F19" s="112" t="str">
        <f>VLOOKUP(C19,Bolts!A:L,5,0)</f>
        <v xml:space="preserve">  </v>
      </c>
      <c r="G19" s="112" t="str">
        <f>VLOOKUP(C19,Bolts!A:L,6,0)</f>
        <v>Monroe Fasteners</v>
      </c>
      <c r="H19" s="112" t="str">
        <f>VLOOKUP(C19,Bolts!A:L,7,0)</f>
        <v xml:space="preserve">  </v>
      </c>
      <c r="I19" s="112"/>
      <c r="J19" s="44" t="str">
        <f>VLOOKUP(C19,Bolts!A:L,8,0)</f>
        <v xml:space="preserve"> </v>
      </c>
      <c r="K19" s="44" t="str">
        <f>VLOOKUP(C19,Bolts!A:L,9,0)</f>
        <v xml:space="preserve"> </v>
      </c>
      <c r="L19" s="44" t="str">
        <f>VLOOKUP(C19,Bolts!A:L,10,0)</f>
        <v xml:space="preserve"> </v>
      </c>
      <c r="M19" s="44" t="str">
        <f>VLOOKUP(C19,Bolts!A:L,11,0)</f>
        <v xml:space="preserve"> </v>
      </c>
      <c r="N19" s="45" t="str">
        <f>VLOOKUP(C19,Bolts!A:L,12,0)</f>
        <v xml:space="preserve"> </v>
      </c>
      <c r="O19" s="45" t="e">
        <f t="shared" ref="O19:O23" ca="1" si="8">B19*$L$2</f>
        <v>#VALUE!</v>
      </c>
      <c r="P19" s="49" t="str">
        <f>IFERROR(VLOOKUP(C19,Bolts!A:B,2,FALSE),"")</f>
        <v xml:space="preserve"> </v>
      </c>
      <c r="Q19" s="50" t="str">
        <f t="shared" ref="Q19:Q23" si="9">IFERROR(B19*P19,"")</f>
        <v/>
      </c>
    </row>
    <row r="20" spans="1:17" s="2" customFormat="1" ht="12" customHeight="1">
      <c r="A20" s="4">
        <f t="shared" si="7"/>
        <v>503</v>
      </c>
      <c r="B20" s="2">
        <v>8</v>
      </c>
      <c r="C20" s="110" t="s">
        <v>828</v>
      </c>
      <c r="D20" s="268"/>
      <c r="E20" s="276"/>
      <c r="F20" s="112" t="str">
        <f>VLOOKUP(C20,Bolts!A:L,5,0)</f>
        <v xml:space="preserve">  </v>
      </c>
      <c r="G20" s="112" t="str">
        <f>VLOOKUP(C20,Bolts!A:L,6,0)</f>
        <v>Monroe Fasteners</v>
      </c>
      <c r="H20" s="112" t="str">
        <f>VLOOKUP(C20,Bolts!A:L,7,0)</f>
        <v xml:space="preserve">  </v>
      </c>
      <c r="I20" s="112"/>
      <c r="J20" s="44" t="str">
        <f>VLOOKUP(C20,Bolts!A:L,8,0)</f>
        <v xml:space="preserve"> </v>
      </c>
      <c r="K20" s="44" t="str">
        <f>VLOOKUP(C20,Bolts!A:L,9,0)</f>
        <v xml:space="preserve"> </v>
      </c>
      <c r="L20" s="44" t="str">
        <f>VLOOKUP(C20,Bolts!A:L,10,0)</f>
        <v xml:space="preserve"> </v>
      </c>
      <c r="M20" s="44" t="str">
        <f>VLOOKUP(C20,Bolts!A:L,11,0)</f>
        <v xml:space="preserve"> </v>
      </c>
      <c r="N20" s="45" t="str">
        <f>VLOOKUP(C20,Bolts!A:L,12,0)</f>
        <v xml:space="preserve"> </v>
      </c>
      <c r="O20" s="45" t="e">
        <f t="shared" ca="1" si="8"/>
        <v>#VALUE!</v>
      </c>
      <c r="P20" s="49" t="str">
        <f>IFERROR(VLOOKUP(C20,Bolts!A:B,2,FALSE),"")</f>
        <v xml:space="preserve"> </v>
      </c>
      <c r="Q20" s="50" t="str">
        <f t="shared" si="9"/>
        <v/>
      </c>
    </row>
    <row r="21" spans="1:17" s="2" customFormat="1" ht="12" customHeight="1">
      <c r="A21" s="4">
        <f t="shared" si="7"/>
        <v>504</v>
      </c>
      <c r="B21" s="2">
        <v>12</v>
      </c>
      <c r="C21" s="110" t="s">
        <v>288</v>
      </c>
      <c r="D21" s="268"/>
      <c r="E21" s="276"/>
      <c r="F21" s="112" t="str">
        <f>VLOOKUP(C21,Bolts!A:L,5,0)</f>
        <v xml:space="preserve">  </v>
      </c>
      <c r="G21" s="112" t="str">
        <f>VLOOKUP(C21,Bolts!A:L,6,0)</f>
        <v>Monroe Fasteners</v>
      </c>
      <c r="H21" s="112" t="str">
        <f>VLOOKUP(C21,Bolts!A:L,7,0)</f>
        <v xml:space="preserve">  </v>
      </c>
      <c r="I21" s="112"/>
      <c r="J21" s="44" t="str">
        <f>VLOOKUP(C21,Bolts!A:L,8,0)</f>
        <v xml:space="preserve"> </v>
      </c>
      <c r="K21" s="44" t="str">
        <f>VLOOKUP(C21,Bolts!A:L,9,0)</f>
        <v xml:space="preserve"> </v>
      </c>
      <c r="L21" s="44" t="str">
        <f>VLOOKUP(C21,Bolts!A:L,10,0)</f>
        <v xml:space="preserve"> </v>
      </c>
      <c r="M21" s="44" t="str">
        <f>VLOOKUP(C21,Bolts!A:L,11,0)</f>
        <v xml:space="preserve"> </v>
      </c>
      <c r="N21" s="45" t="str">
        <f>VLOOKUP(C21,Bolts!A:L,12,0)</f>
        <v xml:space="preserve"> </v>
      </c>
      <c r="O21" s="45" t="e">
        <f t="shared" ca="1" si="8"/>
        <v>#VALUE!</v>
      </c>
      <c r="P21" s="49" t="str">
        <f>IFERROR(VLOOKUP(C21,Bolts!A:B,2,FALSE),"")</f>
        <v xml:space="preserve"> </v>
      </c>
      <c r="Q21" s="50" t="str">
        <f t="shared" si="9"/>
        <v/>
      </c>
    </row>
    <row r="22" spans="1:17" s="2" customFormat="1" ht="12" customHeight="1">
      <c r="A22" s="4">
        <f t="shared" si="7"/>
        <v>505</v>
      </c>
      <c r="B22" s="2">
        <v>2</v>
      </c>
      <c r="C22" s="110" t="s">
        <v>1078</v>
      </c>
      <c r="D22" s="268"/>
      <c r="E22" s="276"/>
      <c r="F22" s="112" t="str">
        <f>VLOOKUP(C22,Bolts!A:L,5,0)</f>
        <v xml:space="preserve">  </v>
      </c>
      <c r="G22" s="112" t="str">
        <f>VLOOKUP(C22,Bolts!A:L,6,0)</f>
        <v>Monroe Fasteners</v>
      </c>
      <c r="H22" s="112" t="str">
        <f>VLOOKUP(C22,Bolts!A:L,7,0)</f>
        <v xml:space="preserve">  </v>
      </c>
      <c r="I22" s="112"/>
      <c r="J22" s="44" t="str">
        <f>VLOOKUP(C22,Bolts!A:L,8,0)</f>
        <v xml:space="preserve"> </v>
      </c>
      <c r="K22" s="44" t="str">
        <f>VLOOKUP(C22,Bolts!A:L,9,0)</f>
        <v xml:space="preserve"> </v>
      </c>
      <c r="L22" s="44" t="str">
        <f>VLOOKUP(C22,Bolts!A:L,10,0)</f>
        <v xml:space="preserve"> </v>
      </c>
      <c r="M22" s="44" t="str">
        <f>VLOOKUP(C22,Bolts!A:L,11,0)</f>
        <v xml:space="preserve"> </v>
      </c>
      <c r="N22" s="45" t="str">
        <f>VLOOKUP(C22,Bolts!A:L,12,0)</f>
        <v xml:space="preserve"> </v>
      </c>
      <c r="O22" s="45" t="e">
        <f t="shared" ca="1" si="8"/>
        <v>#VALUE!</v>
      </c>
      <c r="P22" s="49" t="str">
        <f>IFERROR(VLOOKUP(C22,Bolts!A:B,2,FALSE),"")</f>
        <v xml:space="preserve"> </v>
      </c>
      <c r="Q22" s="50" t="str">
        <f t="shared" si="9"/>
        <v/>
      </c>
    </row>
    <row r="23" spans="1:17" s="2" customFormat="1" ht="12" customHeight="1" thickBot="1">
      <c r="A23" s="4">
        <f t="shared" si="7"/>
        <v>506</v>
      </c>
      <c r="B23" s="2">
        <v>58</v>
      </c>
      <c r="C23" s="110" t="s">
        <v>595</v>
      </c>
      <c r="D23" s="164"/>
      <c r="E23" s="165"/>
      <c r="F23" s="112" t="str">
        <f>VLOOKUP(C23,Bolts!A:L,5,0)</f>
        <v xml:space="preserve">  </v>
      </c>
      <c r="G23" s="112" t="str">
        <f>VLOOKUP(C23,Bolts!A:L,6,0)</f>
        <v>Monroe Fasteners</v>
      </c>
      <c r="H23" s="112" t="str">
        <f>VLOOKUP(C23,Bolts!A:L,7,0)</f>
        <v xml:space="preserve">  </v>
      </c>
      <c r="I23" s="112"/>
      <c r="J23" s="44" t="str">
        <f>VLOOKUP(C23,Bolts!A:L,8,0)</f>
        <v xml:space="preserve"> </v>
      </c>
      <c r="K23" s="44" t="str">
        <f>VLOOKUP(C23,Bolts!A:L,9,0)</f>
        <v xml:space="preserve"> </v>
      </c>
      <c r="L23" s="44" t="str">
        <f>VLOOKUP(C23,Bolts!A:L,10,0)</f>
        <v xml:space="preserve"> </v>
      </c>
      <c r="M23" s="44" t="str">
        <f>VLOOKUP(C23,Bolts!A:L,11,0)</f>
        <v xml:space="preserve"> </v>
      </c>
      <c r="N23" s="45" t="str">
        <f>VLOOKUP(C23,Bolts!A:L,12,0)</f>
        <v xml:space="preserve"> </v>
      </c>
      <c r="O23" s="45" t="e">
        <f t="shared" ca="1" si="8"/>
        <v>#VALUE!</v>
      </c>
      <c r="P23" s="49" t="str">
        <f>IFERROR(VLOOKUP(C23,Bolts!A:B,2,FALSE),"")</f>
        <v xml:space="preserve"> </v>
      </c>
      <c r="Q23" s="50" t="str">
        <f t="shared" si="9"/>
        <v/>
      </c>
    </row>
    <row r="24" spans="1:17" s="2" customFormat="1" ht="12.75" customHeight="1" thickBot="1">
      <c r="A24" s="34"/>
      <c r="B24" s="35"/>
      <c r="C24" s="35"/>
      <c r="D24" s="256"/>
      <c r="E24" s="257"/>
      <c r="F24" s="35"/>
      <c r="G24" s="35"/>
      <c r="H24" s="294"/>
      <c r="I24" s="295"/>
      <c r="J24" s="36"/>
      <c r="K24" s="36"/>
      <c r="L24" s="36"/>
      <c r="M24" s="37"/>
      <c r="N24" s="38"/>
      <c r="O24" s="38"/>
      <c r="P24" s="89" t="s">
        <v>43</v>
      </c>
      <c r="Q24" s="94">
        <f>SUM(Q5:Q23)</f>
        <v>1793.9900000000002</v>
      </c>
    </row>
    <row r="25" spans="1:17" s="2" customFormat="1" ht="12" customHeight="1">
      <c r="D25" s="22"/>
      <c r="E25" s="22"/>
      <c r="J25" s="8"/>
      <c r="K25" s="8"/>
      <c r="L25" s="8"/>
      <c r="M25" s="8"/>
      <c r="N25" s="5"/>
      <c r="O25" s="5"/>
      <c r="P25" s="88"/>
      <c r="Q25" s="95"/>
    </row>
    <row r="26" spans="1:17" s="2" customFormat="1" ht="12" customHeight="1">
      <c r="D26" s="22"/>
      <c r="E26" s="22"/>
      <c r="J26" s="5"/>
      <c r="K26" s="5"/>
      <c r="L26" s="5"/>
      <c r="M26" s="5"/>
      <c r="N26" s="5"/>
      <c r="O26" s="5"/>
      <c r="P26" s="88"/>
      <c r="Q26" s="95"/>
    </row>
    <row r="27" spans="1:17" s="2" customFormat="1" ht="12" customHeight="1">
      <c r="D27" s="22"/>
      <c r="E27" s="22"/>
      <c r="J27" s="5"/>
      <c r="K27" s="5"/>
      <c r="L27" s="5"/>
      <c r="M27" s="5"/>
      <c r="N27" s="5"/>
      <c r="O27" s="5"/>
      <c r="P27" s="88"/>
      <c r="Q27" s="95"/>
    </row>
    <row r="28" spans="1:17" s="2" customFormat="1" ht="12" customHeight="1">
      <c r="D28" s="22"/>
      <c r="E28" s="22"/>
      <c r="J28" s="5"/>
      <c r="K28" s="5"/>
      <c r="L28" s="5"/>
      <c r="M28" s="5"/>
      <c r="N28" s="5"/>
      <c r="O28" s="5"/>
      <c r="P28" s="88"/>
      <c r="Q28" s="95"/>
    </row>
    <row r="29" spans="1:17" s="2" customFormat="1" ht="12" customHeight="1">
      <c r="D29" s="22"/>
      <c r="E29" s="22"/>
      <c r="J29" s="5"/>
      <c r="K29" s="5"/>
      <c r="L29" s="5"/>
      <c r="M29" s="5"/>
      <c r="N29" s="5"/>
      <c r="O29" s="5"/>
      <c r="P29" s="88"/>
      <c r="Q29" s="95"/>
    </row>
    <row r="30" spans="1:17" s="2" customFormat="1" ht="12" customHeight="1">
      <c r="D30" s="22"/>
      <c r="E30" s="22"/>
      <c r="J30" s="5"/>
      <c r="K30" s="5"/>
      <c r="L30" s="5"/>
      <c r="M30" s="5"/>
      <c r="N30" s="5"/>
      <c r="O30" s="5"/>
      <c r="P30" s="88"/>
      <c r="Q30" s="95"/>
    </row>
    <row r="31" spans="1:17" s="2" customFormat="1" ht="12" customHeight="1">
      <c r="D31" s="22"/>
      <c r="E31" s="22"/>
      <c r="J31" s="5"/>
      <c r="K31" s="5"/>
      <c r="L31" s="5"/>
      <c r="M31" s="5"/>
      <c r="N31" s="5"/>
      <c r="O31" s="5"/>
      <c r="P31" s="88"/>
      <c r="Q31" s="95"/>
    </row>
    <row r="32" spans="1:17" s="2" customFormat="1" ht="12" customHeight="1">
      <c r="D32" s="22"/>
      <c r="E32" s="22"/>
      <c r="J32" s="5"/>
      <c r="K32" s="5"/>
      <c r="L32" s="5"/>
      <c r="M32" s="5"/>
      <c r="N32" s="5"/>
      <c r="O32" s="5"/>
      <c r="P32" s="88"/>
      <c r="Q32" s="95"/>
    </row>
    <row r="33" spans="4:17" s="2" customFormat="1" ht="12" customHeight="1">
      <c r="D33" s="22"/>
      <c r="E33" s="22"/>
      <c r="J33" s="5"/>
      <c r="K33" s="5"/>
      <c r="L33" s="5"/>
      <c r="M33" s="5"/>
      <c r="N33" s="5"/>
      <c r="O33" s="5"/>
      <c r="P33" s="88"/>
      <c r="Q33" s="95"/>
    </row>
    <row r="34" spans="4:17" s="2" customFormat="1" ht="12" customHeight="1">
      <c r="D34" s="22"/>
      <c r="E34" s="22"/>
      <c r="J34" s="5"/>
      <c r="K34" s="5"/>
      <c r="L34" s="5"/>
      <c r="M34" s="5"/>
      <c r="N34" s="5"/>
      <c r="O34" s="5"/>
      <c r="P34" s="88"/>
      <c r="Q34" s="95"/>
    </row>
    <row r="35" spans="4:17" s="2" customFormat="1" ht="12" customHeight="1">
      <c r="D35" s="22"/>
      <c r="E35" s="22"/>
      <c r="J35" s="5"/>
      <c r="K35" s="5"/>
      <c r="L35" s="5"/>
      <c r="M35" s="5"/>
      <c r="N35" s="5"/>
      <c r="O35" s="5"/>
      <c r="P35" s="88"/>
      <c r="Q35" s="95"/>
    </row>
    <row r="36" spans="4:17" s="2" customFormat="1" ht="12" customHeight="1">
      <c r="D36" s="22"/>
      <c r="E36" s="22"/>
      <c r="J36" s="5"/>
      <c r="K36" s="5"/>
      <c r="L36" s="5"/>
      <c r="M36" s="5"/>
      <c r="N36" s="5"/>
      <c r="O36" s="5"/>
      <c r="P36" s="88"/>
      <c r="Q36" s="95"/>
    </row>
    <row r="37" spans="4:17" s="2" customFormat="1" ht="12" customHeight="1">
      <c r="D37" s="22"/>
      <c r="E37" s="22"/>
      <c r="J37" s="5"/>
      <c r="K37" s="5"/>
      <c r="L37" s="5"/>
      <c r="M37" s="5"/>
      <c r="N37" s="5"/>
      <c r="O37" s="5"/>
      <c r="P37" s="88"/>
      <c r="Q37" s="95"/>
    </row>
    <row r="38" spans="4:17" s="2" customFormat="1" ht="12" customHeight="1">
      <c r="D38" s="22"/>
      <c r="E38" s="22"/>
      <c r="J38" s="5"/>
      <c r="K38" s="5"/>
      <c r="L38" s="5"/>
      <c r="M38" s="5"/>
      <c r="N38" s="5"/>
      <c r="O38" s="5"/>
      <c r="P38" s="88"/>
      <c r="Q38" s="95"/>
    </row>
    <row r="39" spans="4:17" s="2" customFormat="1" ht="12" customHeight="1">
      <c r="D39" s="22"/>
      <c r="E39" s="22"/>
      <c r="J39" s="5"/>
      <c r="K39" s="5"/>
      <c r="L39" s="5"/>
      <c r="M39" s="5"/>
      <c r="N39" s="5"/>
      <c r="O39" s="5"/>
      <c r="P39" s="88"/>
      <c r="Q39" s="95"/>
    </row>
    <row r="40" spans="4:17" s="2" customFormat="1" ht="12" customHeight="1">
      <c r="D40" s="22"/>
      <c r="E40" s="22"/>
      <c r="J40" s="5"/>
      <c r="K40" s="5"/>
      <c r="L40" s="5"/>
      <c r="M40" s="5"/>
      <c r="N40" s="5"/>
      <c r="O40" s="5"/>
      <c r="P40" s="88"/>
      <c r="Q40" s="95"/>
    </row>
    <row r="41" spans="4:17" s="2" customFormat="1" ht="12" customHeight="1">
      <c r="D41" s="22"/>
      <c r="E41" s="22"/>
      <c r="J41" s="5"/>
      <c r="K41" s="5"/>
      <c r="L41" s="5"/>
      <c r="M41" s="5"/>
      <c r="N41" s="5"/>
      <c r="O41" s="5"/>
      <c r="P41" s="88"/>
      <c r="Q41" s="95"/>
    </row>
    <row r="42" spans="4:17" s="2" customFormat="1" ht="12" customHeight="1">
      <c r="D42" s="22"/>
      <c r="E42" s="22"/>
      <c r="J42" s="5"/>
      <c r="K42" s="5"/>
      <c r="L42" s="5"/>
      <c r="M42" s="5"/>
      <c r="N42" s="5"/>
      <c r="O42" s="5"/>
      <c r="P42" s="88"/>
      <c r="Q42" s="95"/>
    </row>
    <row r="43" spans="4:17" s="2" customFormat="1" ht="12" customHeight="1">
      <c r="D43" s="22"/>
      <c r="E43" s="22"/>
      <c r="J43" s="5"/>
      <c r="K43" s="5"/>
      <c r="L43" s="5"/>
      <c r="M43" s="5"/>
      <c r="N43" s="5"/>
      <c r="O43" s="5"/>
      <c r="P43" s="88"/>
      <c r="Q43" s="95"/>
    </row>
    <row r="44" spans="4:17" s="2" customFormat="1" ht="12" customHeight="1">
      <c r="D44" s="22"/>
      <c r="E44" s="22"/>
      <c r="J44" s="5"/>
      <c r="K44" s="5"/>
      <c r="L44" s="5"/>
      <c r="M44" s="5"/>
      <c r="N44" s="5"/>
      <c r="O44" s="5"/>
      <c r="P44" s="88"/>
      <c r="Q44" s="95"/>
    </row>
    <row r="45" spans="4:17" s="2" customFormat="1" ht="12" customHeight="1">
      <c r="D45" s="22"/>
      <c r="E45" s="22"/>
      <c r="J45" s="5"/>
      <c r="K45" s="5"/>
      <c r="L45" s="5"/>
      <c r="M45" s="5"/>
      <c r="N45" s="5"/>
      <c r="O45" s="5"/>
      <c r="P45" s="88"/>
      <c r="Q45" s="95"/>
    </row>
    <row r="46" spans="4:17" s="2" customFormat="1" ht="12" customHeight="1">
      <c r="D46" s="22"/>
      <c r="E46" s="22"/>
      <c r="J46" s="5"/>
      <c r="K46" s="5"/>
      <c r="L46" s="5"/>
      <c r="M46" s="5"/>
      <c r="N46" s="5"/>
      <c r="O46" s="5"/>
      <c r="P46" s="88"/>
      <c r="Q46" s="95"/>
    </row>
    <row r="47" spans="4:17" s="2" customFormat="1" ht="12" customHeight="1">
      <c r="D47" s="22"/>
      <c r="E47" s="22"/>
      <c r="J47" s="5"/>
      <c r="K47" s="5"/>
      <c r="L47" s="5"/>
      <c r="M47" s="5"/>
      <c r="N47" s="5"/>
      <c r="O47" s="5"/>
      <c r="P47" s="88"/>
      <c r="Q47" s="95"/>
    </row>
    <row r="48" spans="4:17" s="2" customFormat="1" ht="12" customHeight="1">
      <c r="D48" s="22"/>
      <c r="E48" s="22"/>
      <c r="J48" s="5"/>
      <c r="K48" s="5"/>
      <c r="L48" s="5"/>
      <c r="M48" s="5"/>
      <c r="N48" s="5"/>
      <c r="O48" s="5"/>
      <c r="P48" s="88"/>
      <c r="Q48" s="95"/>
    </row>
    <row r="49" spans="4:17" s="2" customFormat="1" ht="12" customHeight="1">
      <c r="D49" s="22"/>
      <c r="E49" s="22"/>
      <c r="J49" s="5"/>
      <c r="K49" s="5"/>
      <c r="L49" s="5"/>
      <c r="M49" s="5"/>
      <c r="N49" s="5"/>
      <c r="O49" s="5"/>
      <c r="P49" s="88"/>
      <c r="Q49" s="95"/>
    </row>
    <row r="50" spans="4:17" s="2" customFormat="1" ht="12" customHeight="1">
      <c r="D50" s="22"/>
      <c r="E50" s="22"/>
      <c r="J50" s="5"/>
      <c r="K50" s="5"/>
      <c r="L50" s="5"/>
      <c r="M50" s="5"/>
      <c r="N50" s="5"/>
      <c r="O50" s="5"/>
      <c r="P50" s="88"/>
      <c r="Q50" s="95"/>
    </row>
    <row r="51" spans="4:17" s="2" customFormat="1" ht="12" customHeight="1">
      <c r="D51" s="22"/>
      <c r="E51" s="22"/>
      <c r="J51" s="5"/>
      <c r="K51" s="5"/>
      <c r="L51" s="5"/>
      <c r="M51" s="5"/>
      <c r="N51" s="5"/>
      <c r="O51" s="5"/>
      <c r="P51" s="88"/>
      <c r="Q51" s="95"/>
    </row>
    <row r="52" spans="4:17" s="2" customFormat="1" ht="12" customHeight="1">
      <c r="D52" s="22"/>
      <c r="E52" s="22"/>
      <c r="J52" s="5"/>
      <c r="K52" s="5"/>
      <c r="L52" s="5"/>
      <c r="M52" s="5"/>
      <c r="N52" s="5"/>
      <c r="O52" s="5"/>
      <c r="P52" s="88"/>
      <c r="Q52" s="95"/>
    </row>
    <row r="53" spans="4:17" s="2" customFormat="1" ht="12" customHeight="1">
      <c r="D53" s="22"/>
      <c r="E53" s="22"/>
      <c r="J53" s="5"/>
      <c r="K53" s="5"/>
      <c r="L53" s="5"/>
      <c r="M53" s="5"/>
      <c r="N53" s="5"/>
      <c r="O53" s="5"/>
      <c r="P53" s="88"/>
      <c r="Q53" s="95"/>
    </row>
    <row r="54" spans="4:17" s="2" customFormat="1" ht="12" customHeight="1">
      <c r="D54" s="22"/>
      <c r="E54" s="22"/>
      <c r="J54" s="5"/>
      <c r="K54" s="5"/>
      <c r="L54" s="5"/>
      <c r="M54" s="5"/>
      <c r="N54" s="5"/>
      <c r="O54" s="5"/>
      <c r="P54" s="88"/>
      <c r="Q54" s="95"/>
    </row>
    <row r="55" spans="4:17" s="2" customFormat="1" ht="12" customHeight="1">
      <c r="D55" s="22"/>
      <c r="E55" s="22"/>
      <c r="J55" s="5"/>
      <c r="K55" s="5"/>
      <c r="L55" s="5"/>
      <c r="M55" s="5"/>
      <c r="N55" s="5"/>
      <c r="O55" s="5"/>
      <c r="P55" s="88"/>
      <c r="Q55" s="95"/>
    </row>
    <row r="56" spans="4:17" s="2" customFormat="1" ht="12" customHeight="1">
      <c r="D56" s="22"/>
      <c r="E56" s="22"/>
      <c r="J56" s="5"/>
      <c r="K56" s="5"/>
      <c r="L56" s="5"/>
      <c r="M56" s="5"/>
      <c r="N56" s="5"/>
      <c r="O56" s="5"/>
      <c r="P56" s="88"/>
      <c r="Q56" s="95"/>
    </row>
    <row r="57" spans="4:17" s="2" customFormat="1" ht="12" customHeight="1">
      <c r="D57" s="22"/>
      <c r="E57" s="22"/>
      <c r="J57" s="5"/>
      <c r="K57" s="5"/>
      <c r="L57" s="5"/>
      <c r="M57" s="5"/>
      <c r="N57" s="5"/>
      <c r="O57" s="5"/>
      <c r="P57" s="88"/>
      <c r="Q57" s="95"/>
    </row>
    <row r="58" spans="4:17" s="2" customFormat="1" ht="12" customHeight="1">
      <c r="D58" s="22"/>
      <c r="E58" s="22"/>
      <c r="J58" s="5"/>
      <c r="K58" s="5"/>
      <c r="L58" s="5"/>
      <c r="M58" s="5"/>
      <c r="N58" s="5"/>
      <c r="O58" s="5"/>
      <c r="P58" s="88"/>
      <c r="Q58" s="95"/>
    </row>
    <row r="59" spans="4:17" s="2" customFormat="1" ht="12" customHeight="1">
      <c r="D59" s="22"/>
      <c r="E59" s="22"/>
      <c r="J59" s="5"/>
      <c r="K59" s="5"/>
      <c r="L59" s="5"/>
      <c r="M59" s="5"/>
      <c r="N59" s="5"/>
      <c r="O59" s="5"/>
      <c r="P59" s="88"/>
      <c r="Q59" s="95"/>
    </row>
    <row r="60" spans="4:17" s="2" customFormat="1" ht="12" customHeight="1">
      <c r="D60" s="22"/>
      <c r="E60" s="22"/>
      <c r="J60" s="5"/>
      <c r="K60" s="5"/>
      <c r="L60" s="5"/>
      <c r="M60" s="5"/>
      <c r="N60" s="5"/>
      <c r="O60" s="5"/>
      <c r="P60" s="88"/>
      <c r="Q60" s="95"/>
    </row>
    <row r="61" spans="4:17" s="2" customFormat="1" ht="12" customHeight="1">
      <c r="D61" s="22"/>
      <c r="E61" s="22"/>
      <c r="J61" s="5"/>
      <c r="K61" s="5"/>
      <c r="L61" s="5"/>
      <c r="M61" s="5"/>
      <c r="N61" s="5"/>
      <c r="O61" s="5"/>
      <c r="P61" s="88"/>
      <c r="Q61" s="95"/>
    </row>
    <row r="62" spans="4:17" s="2" customFormat="1" ht="12" customHeight="1">
      <c r="D62" s="22"/>
      <c r="E62" s="22"/>
      <c r="J62" s="5"/>
      <c r="K62" s="5"/>
      <c r="L62" s="5"/>
      <c r="M62" s="5"/>
      <c r="N62" s="5"/>
      <c r="O62" s="5"/>
      <c r="P62" s="88"/>
      <c r="Q62" s="95"/>
    </row>
    <row r="63" spans="4:17" s="2" customFormat="1" ht="12" customHeight="1">
      <c r="D63" s="22"/>
      <c r="E63" s="22"/>
      <c r="J63" s="5"/>
      <c r="K63" s="5"/>
      <c r="L63" s="5"/>
      <c r="M63" s="5"/>
      <c r="N63" s="5"/>
      <c r="O63" s="5"/>
      <c r="P63" s="88"/>
      <c r="Q63" s="96"/>
    </row>
    <row r="64" spans="4:17" s="2" customFormat="1" ht="12" customHeight="1">
      <c r="D64" s="22"/>
      <c r="E64" s="22"/>
      <c r="J64" s="5"/>
      <c r="K64" s="5"/>
      <c r="L64" s="5"/>
      <c r="M64" s="5"/>
      <c r="N64" s="5"/>
      <c r="O64" s="5"/>
      <c r="P64" s="88"/>
      <c r="Q64" s="96"/>
    </row>
    <row r="65" spans="1:17" s="2" customFormat="1" ht="12" customHeight="1">
      <c r="D65" s="22"/>
      <c r="E65" s="22"/>
      <c r="J65" s="5"/>
      <c r="K65" s="5"/>
      <c r="L65" s="5"/>
      <c r="M65" s="5"/>
      <c r="N65" s="5"/>
      <c r="O65" s="5"/>
      <c r="P65" s="88"/>
      <c r="Q65" s="96"/>
    </row>
    <row r="66" spans="1:17" s="2" customFormat="1" ht="12" customHeight="1">
      <c r="D66" s="22"/>
      <c r="E66" s="22"/>
      <c r="J66" s="5"/>
      <c r="K66" s="5"/>
      <c r="L66" s="5"/>
      <c r="M66" s="5"/>
      <c r="N66" s="5"/>
      <c r="O66" s="5"/>
      <c r="P66" s="88"/>
      <c r="Q66" s="96"/>
    </row>
    <row r="67" spans="1:17" s="2" customFormat="1" ht="12" customHeight="1">
      <c r="A67"/>
      <c r="B67"/>
      <c r="C67"/>
      <c r="D67" s="23"/>
      <c r="E67" s="23"/>
      <c r="F67"/>
      <c r="G67"/>
      <c r="H67"/>
      <c r="I67"/>
      <c r="J67" s="19"/>
      <c r="K67" s="19"/>
      <c r="L67" s="19"/>
      <c r="M67" s="19"/>
      <c r="N67" s="19"/>
      <c r="O67" s="19"/>
      <c r="P67" s="90"/>
      <c r="Q67" s="96"/>
    </row>
    <row r="68" spans="1:17" s="2" customFormat="1" ht="12" customHeight="1">
      <c r="A68"/>
      <c r="B68"/>
      <c r="C68"/>
      <c r="D68" s="23"/>
      <c r="E68" s="23"/>
      <c r="F68"/>
      <c r="G68"/>
      <c r="H68"/>
      <c r="I68"/>
      <c r="J68" s="19"/>
      <c r="K68" s="19"/>
      <c r="L68" s="19"/>
      <c r="M68" s="19"/>
      <c r="N68" s="19"/>
      <c r="O68" s="19"/>
      <c r="P68" s="90"/>
      <c r="Q68" s="96"/>
    </row>
    <row r="69" spans="1:17" s="2" customFormat="1" ht="12" customHeight="1">
      <c r="A69"/>
      <c r="B69"/>
      <c r="C69"/>
      <c r="D69" s="23"/>
      <c r="E69" s="23"/>
      <c r="F69"/>
      <c r="G69"/>
      <c r="H69"/>
      <c r="I69"/>
      <c r="J69" s="19"/>
      <c r="K69" s="19"/>
      <c r="L69" s="19"/>
      <c r="M69" s="19"/>
      <c r="N69" s="19"/>
      <c r="O69" s="19"/>
      <c r="P69" s="90"/>
      <c r="Q69" s="96"/>
    </row>
    <row r="70" spans="1:17" s="2" customFormat="1" ht="12" customHeight="1">
      <c r="A70"/>
      <c r="B70"/>
      <c r="C70"/>
      <c r="D70" s="23"/>
      <c r="E70" s="23"/>
      <c r="F70"/>
      <c r="G70"/>
      <c r="H70"/>
      <c r="I70"/>
      <c r="J70" s="19"/>
      <c r="K70" s="19"/>
      <c r="L70" s="19"/>
      <c r="M70" s="19"/>
      <c r="N70" s="19"/>
      <c r="O70" s="19"/>
      <c r="P70" s="90"/>
      <c r="Q70" s="96"/>
    </row>
    <row r="71" spans="1:17" s="2" customFormat="1" ht="12" customHeight="1">
      <c r="A71"/>
      <c r="B71"/>
      <c r="C71"/>
      <c r="D71" s="23"/>
      <c r="E71" s="23"/>
      <c r="F71"/>
      <c r="G71"/>
      <c r="H71"/>
      <c r="I71"/>
      <c r="J71" s="19"/>
      <c r="K71" s="19"/>
      <c r="L71" s="19"/>
      <c r="M71" s="19"/>
      <c r="N71" s="19"/>
      <c r="O71" s="19"/>
      <c r="P71" s="90"/>
      <c r="Q71" s="96"/>
    </row>
    <row r="72" spans="1:17">
      <c r="Q72" s="96"/>
    </row>
    <row r="73" spans="1:17">
      <c r="Q73" s="96"/>
    </row>
    <row r="74" spans="1:17">
      <c r="Q74" s="96"/>
    </row>
    <row r="75" spans="1:17">
      <c r="Q75" s="96"/>
    </row>
    <row r="76" spans="1:17">
      <c r="Q76" s="96"/>
    </row>
    <row r="77" spans="1:17">
      <c r="Q77" s="96"/>
    </row>
    <row r="78" spans="1:17">
      <c r="Q78" s="96"/>
    </row>
    <row r="79" spans="1:17">
      <c r="Q79" s="96"/>
    </row>
    <row r="80" spans="1:17">
      <c r="Q80" s="96"/>
    </row>
    <row r="81" spans="17:17">
      <c r="Q81" s="96"/>
    </row>
    <row r="82" spans="17:17">
      <c r="Q82" s="96"/>
    </row>
    <row r="83" spans="17:17">
      <c r="Q83" s="96"/>
    </row>
    <row r="84" spans="17:17">
      <c r="Q84" s="96"/>
    </row>
    <row r="85" spans="17:17">
      <c r="Q85" s="96"/>
    </row>
    <row r="86" spans="17:17">
      <c r="Q86" s="96"/>
    </row>
    <row r="87" spans="17:17">
      <c r="Q87" s="96"/>
    </row>
    <row r="88" spans="17:17">
      <c r="Q88" s="96"/>
    </row>
    <row r="89" spans="17:17">
      <c r="Q89" s="96"/>
    </row>
    <row r="90" spans="17:17">
      <c r="Q90" s="96"/>
    </row>
    <row r="91" spans="17:17">
      <c r="Q91" s="96"/>
    </row>
    <row r="128" ht="12" customHeight="1"/>
    <row r="129" ht="12" customHeight="1"/>
    <row r="130" ht="12" customHeight="1"/>
    <row r="131" ht="12" customHeight="1"/>
    <row r="132" ht="12" customHeight="1"/>
    <row r="133" ht="12" customHeight="1"/>
    <row r="134" ht="12" customHeight="1"/>
    <row r="135" ht="12" customHeight="1"/>
    <row r="136" ht="12" customHeight="1"/>
    <row r="137" ht="12" customHeight="1"/>
    <row r="138" ht="12" customHeight="1"/>
    <row r="139" ht="12" customHeight="1"/>
    <row r="140" ht="12" customHeight="1"/>
    <row r="141" ht="12" customHeight="1"/>
    <row r="142" ht="12" customHeight="1"/>
    <row r="143" ht="12" customHeight="1"/>
    <row r="144" ht="12" customHeight="1"/>
    <row r="145" ht="12" customHeight="1"/>
    <row r="146" ht="12" customHeight="1"/>
    <row r="147" ht="12" customHeight="1"/>
    <row r="148" ht="12" customHeight="1"/>
    <row r="149" ht="12" customHeight="1"/>
    <row r="150" ht="12" customHeight="1"/>
    <row r="151" ht="12" customHeight="1"/>
    <row r="152" ht="12" customHeight="1"/>
    <row r="153" ht="12" customHeight="1"/>
    <row r="154" ht="12" customHeight="1"/>
    <row r="155" ht="12" customHeight="1"/>
    <row r="156" ht="12" customHeight="1"/>
    <row r="157" ht="12" customHeight="1"/>
    <row r="158" ht="12" customHeight="1"/>
    <row r="159" ht="12" customHeight="1"/>
    <row r="160" ht="12" customHeight="1"/>
    <row r="161" ht="12" customHeight="1"/>
    <row r="162" ht="12" customHeight="1"/>
    <row r="163" ht="12" customHeight="1"/>
    <row r="164" ht="12" customHeight="1"/>
    <row r="165" ht="12" customHeight="1"/>
    <row r="166" ht="12" customHeight="1"/>
    <row r="167" ht="12" customHeight="1"/>
    <row r="168" ht="12" customHeight="1"/>
    <row r="169" ht="12" customHeight="1"/>
    <row r="170" ht="12" customHeight="1"/>
    <row r="171" ht="12" customHeight="1"/>
    <row r="172" ht="12" customHeight="1"/>
    <row r="173" ht="12" customHeight="1"/>
    <row r="174" ht="12" customHeight="1"/>
    <row r="175" ht="12" customHeight="1"/>
    <row r="176" ht="12" customHeight="1"/>
    <row r="177" ht="12" customHeight="1"/>
  </sheetData>
  <mergeCells count="25">
    <mergeCell ref="D22:E22"/>
    <mergeCell ref="D17:E17"/>
    <mergeCell ref="D24:E24"/>
    <mergeCell ref="H24:I24"/>
    <mergeCell ref="H17:I17"/>
    <mergeCell ref="D18:E18"/>
    <mergeCell ref="D19:E19"/>
    <mergeCell ref="D20:E20"/>
    <mergeCell ref="D21:E21"/>
    <mergeCell ref="D12:E12"/>
    <mergeCell ref="D13:E13"/>
    <mergeCell ref="D14:E14"/>
    <mergeCell ref="D15:E15"/>
    <mergeCell ref="D16:E16"/>
    <mergeCell ref="D7:E7"/>
    <mergeCell ref="D8:E8"/>
    <mergeCell ref="D10:E10"/>
    <mergeCell ref="H10:I10"/>
    <mergeCell ref="D11:E11"/>
    <mergeCell ref="D9:E9"/>
    <mergeCell ref="D1:E1"/>
    <mergeCell ref="D4:E4"/>
    <mergeCell ref="H4:I4"/>
    <mergeCell ref="D5:E5"/>
    <mergeCell ref="D6:E6"/>
  </mergeCells>
  <conditionalFormatting sqref="M5:M8 M11:M16 M18:M23">
    <cfRule type="cellIs" dxfId="290" priority="5" stopIfTrue="1" operator="lessThanOrEqual">
      <formula>$L5</formula>
    </cfRule>
    <cfRule type="cellIs" dxfId="289" priority="6" operator="greaterThan">
      <formula>L5</formula>
    </cfRule>
  </conditionalFormatting>
  <conditionalFormatting sqref="M9">
    <cfRule type="cellIs" dxfId="288" priority="1" stopIfTrue="1" operator="lessThanOrEqual">
      <formula>$L9</formula>
    </cfRule>
    <cfRule type="cellIs" dxfId="287" priority="2" operator="greaterThan">
      <formula>L9</formula>
    </cfRule>
  </conditionalFormatting>
  <pageMargins left="0.7" right="0.7" top="0.75" bottom="0.75" header="0.3" footer="0.3"/>
  <pageSetup paperSize="3" fitToHeight="0" orientation="landscape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A3BB4107-33F5-4731-B072-07BD6B47BC2C}">
          <x14:formula1>
            <xm:f>Bolts!$A:$A</xm:f>
          </x14:formula1>
          <xm:sqref>C18:C23</xm:sqref>
        </x14:dataValidation>
        <x14:dataValidation type="list" allowBlank="1" showInputMessage="1" showErrorMessage="1" xr:uid="{E75CE4A1-6FB1-4BC2-93DA-3C5451435EFC}">
          <x14:formula1>
            <xm:f>Purchased!$A:$A</xm:f>
          </x14:formula1>
          <xm:sqref>C11:C16</xm:sqref>
        </x14:dataValidation>
        <x14:dataValidation type="list" allowBlank="1" showInputMessage="1" showErrorMessage="1" xr:uid="{1FC7E856-68D0-4496-8B3D-3193EC31AF4A}">
          <x14:formula1>
            <xm:f>Machined!$C:$C</xm:f>
          </x14:formula1>
          <xm:sqref>C5:C9</xm:sqref>
        </x14:dataValidation>
      </x14:dataValidations>
    </ext>
  </extLst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A80AC6-0532-4EAA-A129-6869D4A31FD1}">
  <sheetPr codeName="Sheet101">
    <tabColor theme="3" tint="0.59999389629810485"/>
    <pageSetUpPr fitToPage="1"/>
  </sheetPr>
  <dimension ref="A1:R204"/>
  <sheetViews>
    <sheetView topLeftCell="A25" zoomScaleNormal="100" workbookViewId="0">
      <selection activeCell="F38" sqref="F38"/>
    </sheetView>
  </sheetViews>
  <sheetFormatPr defaultColWidth="9.140625" defaultRowHeight="15"/>
  <cols>
    <col min="1" max="1" width="5.7109375" customWidth="1"/>
    <col min="2" max="2" width="5.42578125" bestFit="1" customWidth="1"/>
    <col min="3" max="3" width="30.7109375" customWidth="1"/>
    <col min="4" max="5" width="20.7109375" style="23" customWidth="1"/>
    <col min="6" max="6" width="16.85546875" bestFit="1" customWidth="1"/>
    <col min="7" max="7" width="9.7109375" customWidth="1"/>
    <col min="8" max="8" width="8.7109375" customWidth="1"/>
    <col min="9" max="9" width="20.7109375" customWidth="1"/>
    <col min="10" max="13" width="11.7109375" style="19" customWidth="1"/>
    <col min="14" max="14" width="11.85546875" style="19" bestFit="1" customWidth="1"/>
    <col min="15" max="15" width="7.7109375" style="19" customWidth="1"/>
    <col min="16" max="16" width="10.7109375" style="90" customWidth="1"/>
    <col min="17" max="17" width="10.7109375" style="97" customWidth="1"/>
  </cols>
  <sheetData>
    <row r="1" spans="1:18" s="55" customFormat="1" ht="12" customHeight="1">
      <c r="A1" s="68" t="s">
        <v>0</v>
      </c>
      <c r="B1" s="69"/>
      <c r="C1" s="69"/>
      <c r="D1" s="262" t="s">
        <v>1</v>
      </c>
      <c r="E1" s="263"/>
      <c r="F1" s="70"/>
      <c r="G1" s="69"/>
      <c r="H1" s="70"/>
      <c r="I1" s="71"/>
      <c r="J1" s="72"/>
      <c r="K1" s="72"/>
      <c r="L1" s="72"/>
      <c r="M1" s="72"/>
      <c r="N1" s="72"/>
      <c r="O1" s="72"/>
      <c r="P1" s="85"/>
      <c r="Q1" s="91"/>
    </row>
    <row r="2" spans="1:18" s="55" customFormat="1" ht="12" customHeight="1">
      <c r="A2" s="74" t="s">
        <v>48</v>
      </c>
      <c r="B2" s="58"/>
      <c r="C2" s="57" t="e">
        <f ca="1">VLOOKUP(E3,Assemblies!B:F,4,0)</f>
        <v>#VALUE!</v>
      </c>
      <c r="D2" s="75" t="s">
        <v>3</v>
      </c>
      <c r="E2" s="76" t="e">
        <f ca="1">'GF12'!E2</f>
        <v>#VALUE!</v>
      </c>
      <c r="F2" s="77" t="s">
        <v>4</v>
      </c>
      <c r="G2" s="58" t="str">
        <f>'GF12'!G2</f>
        <v>GH</v>
      </c>
      <c r="H2" s="77" t="s">
        <v>6</v>
      </c>
      <c r="I2" s="59">
        <f>'GF12'!I2</f>
        <v>44775</v>
      </c>
      <c r="J2" s="39"/>
      <c r="K2" s="40" t="s">
        <v>49</v>
      </c>
      <c r="L2" s="41" t="e">
        <f ca="1">VLOOKUP(C2,Assemblies!E:G,3,0)</f>
        <v>#VALUE!</v>
      </c>
      <c r="M2" s="78"/>
      <c r="N2" s="78"/>
      <c r="O2" s="78"/>
      <c r="P2" s="86"/>
      <c r="Q2" s="92"/>
    </row>
    <row r="3" spans="1:18" s="55" customFormat="1" ht="12" customHeight="1" thickBot="1">
      <c r="A3" s="74" t="s">
        <v>7</v>
      </c>
      <c r="B3" s="58"/>
      <c r="C3" s="57" t="e">
        <f ca="1">VLOOKUP(E3,Assemblies!B:F,5,0)</f>
        <v>#VALUE!</v>
      </c>
      <c r="D3" s="75" t="s">
        <v>50</v>
      </c>
      <c r="E3" s="76" t="e">
        <f ca="1">MID(CELL("filename",A1),FIND("]",CELL("filename",A1))+1,256)</f>
        <v>#VALUE!</v>
      </c>
      <c r="F3" s="77" t="s">
        <v>11</v>
      </c>
      <c r="G3" s="58" t="str">
        <f>'GF12'!G3</f>
        <v>GH</v>
      </c>
      <c r="H3" s="77" t="s">
        <v>6</v>
      </c>
      <c r="I3" s="59">
        <f>'GF12'!I3</f>
        <v>44775</v>
      </c>
      <c r="J3" s="78"/>
      <c r="K3" s="78"/>
      <c r="L3" s="78"/>
      <c r="M3" s="78"/>
      <c r="N3" s="78"/>
      <c r="O3" s="78"/>
      <c r="P3" s="86"/>
      <c r="Q3" s="92"/>
    </row>
    <row r="4" spans="1:18" s="56" customFormat="1" ht="12.75" customHeight="1" thickBot="1">
      <c r="A4" s="80" t="s">
        <v>12</v>
      </c>
      <c r="B4" s="81" t="s">
        <v>13</v>
      </c>
      <c r="C4" s="81" t="s">
        <v>14</v>
      </c>
      <c r="D4" s="270" t="s">
        <v>15</v>
      </c>
      <c r="E4" s="271"/>
      <c r="F4" s="104" t="s">
        <v>16</v>
      </c>
      <c r="G4" s="81" t="s">
        <v>17</v>
      </c>
      <c r="H4" s="260" t="s">
        <v>18</v>
      </c>
      <c r="I4" s="261"/>
      <c r="J4" s="81" t="s">
        <v>51</v>
      </c>
      <c r="K4" s="81" t="s">
        <v>20</v>
      </c>
      <c r="L4" s="81" t="s">
        <v>21</v>
      </c>
      <c r="M4" s="81" t="s">
        <v>52</v>
      </c>
      <c r="N4" s="81" t="s">
        <v>22</v>
      </c>
      <c r="O4" s="81" t="s">
        <v>53</v>
      </c>
      <c r="P4" s="107" t="s">
        <v>26</v>
      </c>
      <c r="Q4" s="82" t="s">
        <v>27</v>
      </c>
    </row>
    <row r="5" spans="1:18" s="21" customFormat="1" ht="12.75" customHeight="1">
      <c r="A5" s="66" t="s">
        <v>54</v>
      </c>
      <c r="B5" s="1">
        <v>1</v>
      </c>
      <c r="C5" s="67" t="s">
        <v>1104</v>
      </c>
      <c r="D5" s="277" t="e">
        <f ca="1">VLOOKUP(C5,Assemblies!E:S,2,0)</f>
        <v>#N/A</v>
      </c>
      <c r="E5" s="278"/>
      <c r="F5" s="32"/>
      <c r="G5" s="32"/>
      <c r="H5" s="292"/>
      <c r="I5" s="293"/>
      <c r="J5" s="28"/>
      <c r="K5" s="28"/>
      <c r="L5" s="28"/>
      <c r="M5" s="28"/>
      <c r="N5" s="33"/>
      <c r="O5" s="46" t="e">
        <f t="shared" ref="O5:O7" ca="1" si="0">B5*$L$2</f>
        <v>#VALUE!</v>
      </c>
      <c r="P5" s="87">
        <f>'471'!Q23</f>
        <v>790.31999999999994</v>
      </c>
      <c r="Q5" s="93">
        <f t="shared" ref="Q5:Q7" si="1">B5*P5</f>
        <v>790.31999999999994</v>
      </c>
    </row>
    <row r="6" spans="1:18" s="21" customFormat="1" ht="12.75" customHeight="1">
      <c r="A6" s="66" t="s">
        <v>56</v>
      </c>
      <c r="B6" s="1">
        <v>18</v>
      </c>
      <c r="C6" s="67" t="s">
        <v>240</v>
      </c>
      <c r="D6" s="277" t="e">
        <f ca="1">VLOOKUP(C6,Assemblies!E:S,2,0)</f>
        <v>#N/A</v>
      </c>
      <c r="E6" s="278"/>
      <c r="F6" s="32"/>
      <c r="G6" s="32"/>
      <c r="H6" s="292"/>
      <c r="I6" s="293"/>
      <c r="J6" s="28"/>
      <c r="K6" s="28"/>
      <c r="L6" s="28"/>
      <c r="M6" s="28"/>
      <c r="N6" s="33"/>
      <c r="O6" s="46" t="e">
        <f t="shared" ca="1" si="0"/>
        <v>#VALUE!</v>
      </c>
      <c r="P6" s="87">
        <f>'472'!Q13</f>
        <v>197.24940000000001</v>
      </c>
      <c r="Q6" s="93">
        <f t="shared" si="1"/>
        <v>3550.4892</v>
      </c>
    </row>
    <row r="7" spans="1:18" s="21" customFormat="1" ht="12.75" customHeight="1">
      <c r="A7" s="66" t="s">
        <v>58</v>
      </c>
      <c r="B7" s="1">
        <v>2</v>
      </c>
      <c r="C7" s="67" t="s">
        <v>1105</v>
      </c>
      <c r="D7" s="277" t="e">
        <f ca="1">VLOOKUP(C7,Assemblies!E:S,2,0)</f>
        <v>#N/A</v>
      </c>
      <c r="E7" s="278"/>
      <c r="F7" s="32"/>
      <c r="G7" s="32"/>
      <c r="H7" s="292"/>
      <c r="I7" s="293"/>
      <c r="J7" s="28"/>
      <c r="K7" s="28"/>
      <c r="L7" s="28"/>
      <c r="M7" s="28"/>
      <c r="N7" s="33"/>
      <c r="O7" s="46" t="e">
        <f t="shared" ca="1" si="0"/>
        <v>#VALUE!</v>
      </c>
      <c r="P7" s="87">
        <f>'473'!Q17</f>
        <v>497.97159999999997</v>
      </c>
      <c r="Q7" s="93">
        <f t="shared" si="1"/>
        <v>995.94319999999993</v>
      </c>
    </row>
    <row r="8" spans="1:18" s="21" customFormat="1" ht="12.75" customHeight="1">
      <c r="A8" s="25"/>
      <c r="B8" s="26"/>
      <c r="C8" s="26"/>
      <c r="D8" s="272"/>
      <c r="E8" s="273"/>
      <c r="F8" s="26"/>
      <c r="G8" s="26"/>
      <c r="H8" s="274"/>
      <c r="I8" s="275"/>
      <c r="J8" s="27"/>
      <c r="K8" s="27"/>
      <c r="L8" s="27"/>
      <c r="M8" s="28"/>
      <c r="N8" s="29"/>
      <c r="O8" s="29"/>
      <c r="P8" s="141"/>
      <c r="Q8" s="142"/>
      <c r="R8" s="20"/>
    </row>
    <row r="9" spans="1:18" s="2" customFormat="1" ht="12.75" customHeight="1">
      <c r="A9" s="127">
        <v>1</v>
      </c>
      <c r="B9" s="21">
        <v>2</v>
      </c>
      <c r="C9" s="108" t="s">
        <v>1106</v>
      </c>
      <c r="D9" s="277" t="str">
        <f>VLOOKUP(C9,Machined!C:Q,2,0)</f>
        <v>LEAD SCREW PLATE, SIDE SEAL</v>
      </c>
      <c r="E9" s="278"/>
      <c r="F9" s="131">
        <f>VLOOKUP(C9,Machined!C:Q,6,0)</f>
        <v>2</v>
      </c>
      <c r="G9" s="131" t="str">
        <f>VLOOKUP(C9,Machined!C:Q,8,0)</f>
        <v>Clear Anodize</v>
      </c>
      <c r="H9" s="131" t="str">
        <f>VLOOKUP(C9,Machined!C:Q,9,0)</f>
        <v>NO</v>
      </c>
      <c r="I9" s="131"/>
      <c r="J9" s="42" t="str">
        <f>VLOOKUP(C9,Machined!C:Q,10,0)</f>
        <v>BEMOX</v>
      </c>
      <c r="K9" s="42" t="str">
        <f>VLOOKUP(C9,Machined!C:Q,11,0)</f>
        <v xml:space="preserve">  </v>
      </c>
      <c r="L9" s="42">
        <f>VLOOKUP(C9,Machined!C:Q,12,0)</f>
        <v>45142</v>
      </c>
      <c r="M9" s="42">
        <f>VLOOKUP(C9,Machined!C:Q,13,0)</f>
        <v>45146</v>
      </c>
      <c r="N9" s="43">
        <f>VLOOKUP(C9,Machined!C:Q,14,0)</f>
        <v>45170</v>
      </c>
      <c r="O9" s="43" t="e">
        <f t="shared" ref="O9:O11" ca="1" si="2">B9*$L$2</f>
        <v>#VALUE!</v>
      </c>
      <c r="P9" s="47">
        <f>IFERROR(VLOOKUP(C9,Machined!C:F,3,0),"")</f>
        <v>413.5</v>
      </c>
      <c r="Q9" s="48">
        <f t="shared" ref="Q9:Q11" si="3">IFERROR(B9*P9,"")</f>
        <v>827</v>
      </c>
    </row>
    <row r="10" spans="1:18" s="2" customFormat="1" ht="12.75" customHeight="1">
      <c r="A10" s="127">
        <v>2</v>
      </c>
      <c r="B10" s="21">
        <v>1</v>
      </c>
      <c r="C10" s="108" t="s">
        <v>1107</v>
      </c>
      <c r="D10" s="277" t="str">
        <f>VLOOKUP(C10,Machined!C:Q,2,0)</f>
        <v>HANDWHEEL GEAR PLATE</v>
      </c>
      <c r="E10" s="278"/>
      <c r="F10" s="131">
        <f>VLOOKUP(C10,Machined!C:Q,6,0)</f>
        <v>1</v>
      </c>
      <c r="G10" s="131" t="str">
        <f>VLOOKUP(C10,Machined!C:Q,8,0)</f>
        <v>Clear Anodize</v>
      </c>
      <c r="H10" s="131" t="str">
        <f>VLOOKUP(C10,Machined!C:Q,9,0)</f>
        <v>NO</v>
      </c>
      <c r="I10" s="131"/>
      <c r="J10" s="42" t="str">
        <f>VLOOKUP(C10,Machined!C:Q,10,0)</f>
        <v>BEMOX</v>
      </c>
      <c r="K10" s="42" t="str">
        <f>VLOOKUP(C10,Machined!C:Q,11,0)</f>
        <v xml:space="preserve">  </v>
      </c>
      <c r="L10" s="42">
        <f>VLOOKUP(C10,Machined!C:Q,12,0)</f>
        <v>45142</v>
      </c>
      <c r="M10" s="42">
        <f>VLOOKUP(C10,Machined!C:Q,13,0)</f>
        <v>45146</v>
      </c>
      <c r="N10" s="43">
        <f>VLOOKUP(C10,Machined!C:Q,14,0)</f>
        <v>45170</v>
      </c>
      <c r="O10" s="43" t="e">
        <f t="shared" ca="1" si="2"/>
        <v>#VALUE!</v>
      </c>
      <c r="P10" s="47">
        <f>IFERROR(VLOOKUP(C10,Machined!C:F,3,0),"")</f>
        <v>407</v>
      </c>
      <c r="Q10" s="48">
        <f t="shared" si="3"/>
        <v>407</v>
      </c>
    </row>
    <row r="11" spans="1:18" s="2" customFormat="1" ht="12.75" customHeight="1">
      <c r="A11" s="127">
        <v>3</v>
      </c>
      <c r="B11" s="21">
        <v>2</v>
      </c>
      <c r="C11" s="108" t="s">
        <v>1108</v>
      </c>
      <c r="D11" s="277" t="str">
        <f>VLOOKUP(C11,Machined!C:Q,2,0)</f>
        <v>LEAD SCREW END PLATE, SIDE SEAL</v>
      </c>
      <c r="E11" s="278"/>
      <c r="F11" s="131">
        <f>VLOOKUP(C11,Machined!C:Q,6,0)</f>
        <v>2</v>
      </c>
      <c r="G11" s="131" t="str">
        <f>VLOOKUP(C11,Machined!C:Q,8,0)</f>
        <v>Clear Anodize</v>
      </c>
      <c r="H11" s="131" t="str">
        <f>VLOOKUP(C11,Machined!C:Q,9,0)</f>
        <v>NO</v>
      </c>
      <c r="I11" s="131"/>
      <c r="J11" s="42" t="str">
        <f>VLOOKUP(C11,Machined!C:Q,10,0)</f>
        <v>BEMOX</v>
      </c>
      <c r="K11" s="42" t="str">
        <f>VLOOKUP(C11,Machined!C:Q,11,0)</f>
        <v xml:space="preserve">  </v>
      </c>
      <c r="L11" s="42">
        <f>VLOOKUP(C11,Machined!C:Q,12,0)</f>
        <v>45142</v>
      </c>
      <c r="M11" s="42">
        <f>VLOOKUP(C11,Machined!C:Q,13,0)</f>
        <v>45146</v>
      </c>
      <c r="N11" s="43">
        <f>VLOOKUP(C11,Machined!C:Q,14,0)</f>
        <v>45170</v>
      </c>
      <c r="O11" s="43" t="e">
        <f t="shared" ca="1" si="2"/>
        <v>#VALUE!</v>
      </c>
      <c r="P11" s="47">
        <f>IFERROR(VLOOKUP(C11,Machined!C:F,3,0),"")</f>
        <v>199</v>
      </c>
      <c r="Q11" s="48">
        <f t="shared" si="3"/>
        <v>398</v>
      </c>
    </row>
    <row r="12" spans="1:18" s="2" customFormat="1" ht="12.75" customHeight="1">
      <c r="A12" s="242">
        <v>4</v>
      </c>
      <c r="B12" s="243">
        <v>9</v>
      </c>
      <c r="C12" s="108" t="s">
        <v>879</v>
      </c>
      <c r="D12" s="277" t="str">
        <f>VLOOKUP(C12,Machined!C:Q,2,0)</f>
        <v>TENSIONER CAP WASHER</v>
      </c>
      <c r="E12" s="278"/>
      <c r="F12" s="131">
        <f>VLOOKUP(C12,Machined!C:Q,6,0)</f>
        <v>0</v>
      </c>
      <c r="G12" s="131" t="str">
        <f>VLOOKUP(C12,Machined!C:Q,8,0)</f>
        <v>None</v>
      </c>
      <c r="H12" s="131" t="str">
        <f>VLOOKUP(C12,Machined!C:Q,9,0)</f>
        <v>N/A</v>
      </c>
      <c r="I12" s="131"/>
      <c r="J12" s="42" t="str">
        <f>VLOOKUP(C12,Machined!C:Q,10,0)</f>
        <v>XOMETRY</v>
      </c>
      <c r="K12" s="42">
        <f>VLOOKUP(C12,Machined!C:Q,11,0)</f>
        <v>0</v>
      </c>
      <c r="L12" s="42">
        <f>VLOOKUP(C12,Machined!C:Q,12,0)</f>
        <v>45228</v>
      </c>
      <c r="M12" s="42">
        <f>VLOOKUP(C12,Machined!C:Q,13,0)</f>
        <v>45228</v>
      </c>
      <c r="N12" s="43">
        <f>VLOOKUP(C12,Machined!C:Q,14,0)</f>
        <v>45238</v>
      </c>
      <c r="O12" s="43" t="e">
        <f t="shared" ref="O12:O13" ca="1" si="4">B12*$L$2</f>
        <v>#VALUE!</v>
      </c>
      <c r="P12" s="47">
        <f>IFERROR(VLOOKUP(C12,Machined!C:F,3,0),"")</f>
        <v>1.98</v>
      </c>
      <c r="Q12" s="48">
        <f t="shared" ref="Q12:Q13" si="5">IFERROR(B12*P12,"")</f>
        <v>17.82</v>
      </c>
    </row>
    <row r="13" spans="1:18" s="2" customFormat="1" ht="12.75" customHeight="1">
      <c r="A13" s="242">
        <v>5</v>
      </c>
      <c r="B13" s="243">
        <v>3</v>
      </c>
      <c r="C13" s="108" t="s">
        <v>880</v>
      </c>
      <c r="D13" s="277" t="str">
        <f>VLOOKUP(C13,Machined!C:Q,2,0)</f>
        <v>TENSIONER CAP BRACKET</v>
      </c>
      <c r="E13" s="278"/>
      <c r="F13" s="131">
        <f>VLOOKUP(C13,Machined!C:Q,6,0)</f>
        <v>0</v>
      </c>
      <c r="G13" s="131" t="str">
        <f>VLOOKUP(C13,Machined!C:Q,8,0)</f>
        <v>None</v>
      </c>
      <c r="H13" s="131" t="str">
        <f>VLOOKUP(C13,Machined!C:Q,9,0)</f>
        <v>N/A</v>
      </c>
      <c r="I13" s="131"/>
      <c r="J13" s="42" t="str">
        <f>VLOOKUP(C13,Machined!C:Q,10,0)</f>
        <v>XOMETRY</v>
      </c>
      <c r="K13" s="42">
        <f>VLOOKUP(C13,Machined!C:Q,11,0)</f>
        <v>0</v>
      </c>
      <c r="L13" s="42">
        <f>VLOOKUP(C13,Machined!C:Q,12,0)</f>
        <v>45228</v>
      </c>
      <c r="M13" s="42">
        <f>VLOOKUP(C13,Machined!C:Q,13,0)</f>
        <v>45228</v>
      </c>
      <c r="N13" s="43">
        <f>VLOOKUP(C13,Machined!C:Q,14,0)</f>
        <v>45238</v>
      </c>
      <c r="O13" s="43" t="e">
        <f t="shared" ca="1" si="4"/>
        <v>#VALUE!</v>
      </c>
      <c r="P13" s="47">
        <f>IFERROR(VLOOKUP(C13,Machined!C:F,3,0),"")</f>
        <v>2.38</v>
      </c>
      <c r="Q13" s="48">
        <f t="shared" si="5"/>
        <v>7.14</v>
      </c>
    </row>
    <row r="14" spans="1:18" s="2" customFormat="1" ht="12.75" customHeight="1">
      <c r="A14" s="143"/>
      <c r="B14" s="26"/>
      <c r="C14" s="26"/>
      <c r="D14" s="272"/>
      <c r="E14" s="273"/>
      <c r="F14" s="26"/>
      <c r="G14" s="26"/>
      <c r="H14" s="274"/>
      <c r="I14" s="275"/>
      <c r="J14" s="27"/>
      <c r="K14" s="27"/>
      <c r="L14" s="27"/>
      <c r="M14" s="28"/>
      <c r="N14" s="29"/>
      <c r="O14" s="29"/>
      <c r="P14" s="141"/>
      <c r="Q14" s="142"/>
    </row>
    <row r="15" spans="1:18" s="2" customFormat="1" ht="12.75" customHeight="1">
      <c r="A15" s="4">
        <v>301</v>
      </c>
      <c r="B15" s="2">
        <v>3</v>
      </c>
      <c r="C15" s="114" t="s">
        <v>1109</v>
      </c>
      <c r="D15" s="268" t="str">
        <f>VLOOKUP(C15,Purchased!A:B,2,0)</f>
        <v>Shaft-Mount Track Roller, Steel Crowned, with Seal, 30 mm Diameter, 14 mm Wide</v>
      </c>
      <c r="E15" s="269"/>
      <c r="F15" s="112" t="str">
        <f>VLOOKUP(C15,Purchased!A:Q,9,0)</f>
        <v>MOTION</v>
      </c>
      <c r="G15" s="112" t="str">
        <f>VLOOKUP(C15,Purchased!A:Q,10,0)</f>
        <v>MOTION</v>
      </c>
      <c r="H15" s="112" t="str">
        <f>VLOOKUP(C15,Purchased!A:Q,12,0)</f>
        <v>MCM=8031N14</v>
      </c>
      <c r="I15" s="113"/>
      <c r="J15" s="44" t="str">
        <f>VLOOKUP(C15,Purchased!A:Q,13,0)</f>
        <v>N/A</v>
      </c>
      <c r="K15" s="44">
        <f>VLOOKUP(C15,Purchased!A:Q,14,0)</f>
        <v>45161</v>
      </c>
      <c r="L15" s="44">
        <f>VLOOKUP(C15,Purchased!A:Q,15,0)</f>
        <v>45191</v>
      </c>
      <c r="M15" s="44">
        <f>VLOOKUP(C15,Purchased!A:Q,16,0)</f>
        <v>45191</v>
      </c>
      <c r="N15" s="45">
        <f>VLOOKUP(C15,Purchased!A:Q,17,0)</f>
        <v>55079</v>
      </c>
      <c r="O15" s="45" t="e">
        <f t="shared" ref="O15:O36" ca="1" si="6">B15*$L$2</f>
        <v>#VALUE!</v>
      </c>
      <c r="P15" s="49">
        <f>IFERROR(VLOOKUP(C15,Purchased!A:E,3,FALSE),"")</f>
        <v>50.18</v>
      </c>
      <c r="Q15" s="50">
        <f t="shared" ref="Q15:Q36" si="7">IFERROR(B15*P15,"")</f>
        <v>150.54</v>
      </c>
    </row>
    <row r="16" spans="1:18" s="2" customFormat="1" ht="12" customHeight="1">
      <c r="A16" s="4">
        <f t="shared" ref="A16:A39" si="8">A15+1</f>
        <v>302</v>
      </c>
      <c r="B16" s="2">
        <v>9</v>
      </c>
      <c r="C16" s="114" t="s">
        <v>1110</v>
      </c>
      <c r="D16" s="268" t="str">
        <f>VLOOKUP(C16,Purchased!A:B,2,0)</f>
        <v>Clamping Shaft Collarfor 12 mm Diameter, Black-Oxide 1215 Carbon Steel</v>
      </c>
      <c r="E16" s="269"/>
      <c r="F16" s="112" t="str">
        <f>VLOOKUP(C16,Purchased!A:Q,9,0)</f>
        <v>MOTION</v>
      </c>
      <c r="G16" s="112" t="str">
        <f>VLOOKUP(C16,Purchased!A:Q,10,0)</f>
        <v>MOTION</v>
      </c>
      <c r="H16" s="112" t="str">
        <f>VLOOKUP(C16,Purchased!A:Q,12,0)</f>
        <v>MCM=57445K26</v>
      </c>
      <c r="I16" s="113"/>
      <c r="J16" s="44" t="str">
        <f>VLOOKUP(C16,Purchased!A:Q,13,0)</f>
        <v>N/A</v>
      </c>
      <c r="K16" s="44">
        <f>VLOOKUP(C16,Purchased!A:Q,14,0)</f>
        <v>45161</v>
      </c>
      <c r="L16" s="44">
        <f>VLOOKUP(C16,Purchased!A:Q,15,0)</f>
        <v>45191</v>
      </c>
      <c r="M16" s="44">
        <f>VLOOKUP(C16,Purchased!A:Q,16,0)</f>
        <v>45191</v>
      </c>
      <c r="N16" s="45" t="str">
        <f>VLOOKUP(C16,Purchased!A:Q,17,0)</f>
        <v>11x55079</v>
      </c>
      <c r="O16" s="45" t="e">
        <f t="shared" ca="1" si="6"/>
        <v>#VALUE!</v>
      </c>
      <c r="P16" s="49">
        <f>IFERROR(VLOOKUP(C16,Purchased!A:E,3,FALSE),"")</f>
        <v>1.73</v>
      </c>
      <c r="Q16" s="50">
        <f t="shared" si="7"/>
        <v>15.57</v>
      </c>
    </row>
    <row r="17" spans="1:17" s="2" customFormat="1" ht="12" customHeight="1">
      <c r="A17" s="4">
        <f t="shared" si="8"/>
        <v>303</v>
      </c>
      <c r="B17" s="2">
        <v>24</v>
      </c>
      <c r="C17" s="114" t="s">
        <v>895</v>
      </c>
      <c r="D17" s="268" t="str">
        <f>VLOOKUP(C17,Purchased!A:B,2,0)</f>
        <v>Ball Bearing Shielded, Trade No. 6001-2Z, for 12 mm Shaft Diameter</v>
      </c>
      <c r="E17" s="269"/>
      <c r="F17" s="112" t="str">
        <f>VLOOKUP(C17,Purchased!A:Q,9,0)</f>
        <v>MCM</v>
      </c>
      <c r="G17" s="112" t="str">
        <f>VLOOKUP(C17,Purchased!A:Q,10,0)</f>
        <v>MCM</v>
      </c>
      <c r="H17" s="112" t="str">
        <f>VLOOKUP(C17,Purchased!A:Q,12,0)</f>
        <v xml:space="preserve"> </v>
      </c>
      <c r="I17" s="113"/>
      <c r="J17" s="44" t="str">
        <f>VLOOKUP(C17,Purchased!A:Q,13,0)</f>
        <v>N/A</v>
      </c>
      <c r="K17" s="44">
        <f>VLOOKUP(C17,Purchased!A:Q,14,0)</f>
        <v>45162</v>
      </c>
      <c r="L17" s="44">
        <f>VLOOKUP(C17,Purchased!A:Q,15,0)</f>
        <v>45184</v>
      </c>
      <c r="M17" s="44">
        <f>VLOOKUP(C17,Purchased!A:Q,16,0)</f>
        <v>45166</v>
      </c>
      <c r="N17" s="45">
        <f>VLOOKUP(C17,Purchased!A:Q,17,0)</f>
        <v>55087</v>
      </c>
      <c r="O17" s="45" t="e">
        <f t="shared" ca="1" si="6"/>
        <v>#VALUE!</v>
      </c>
      <c r="P17" s="49">
        <f>IFERROR(VLOOKUP(C17,Purchased!A:E,3,FALSE),"")</f>
        <v>8.42</v>
      </c>
      <c r="Q17" s="50">
        <f t="shared" si="7"/>
        <v>202.07999999999998</v>
      </c>
    </row>
    <row r="18" spans="1:17" s="2" customFormat="1" ht="12" customHeight="1">
      <c r="A18" s="4">
        <f t="shared" si="8"/>
        <v>304</v>
      </c>
      <c r="B18" s="2">
        <v>15</v>
      </c>
      <c r="C18" s="114" t="s">
        <v>903</v>
      </c>
      <c r="D18" s="268" t="str">
        <f>VLOOKUP(C18,Purchased!A:B,2,0)</f>
        <v>316 Stainless Steel Ring Shim 0.5mm Thick, 12mm ID, 10pk</v>
      </c>
      <c r="E18" s="269"/>
      <c r="F18" s="112" t="str">
        <f>VLOOKUP(C18,Purchased!A:Q,9,0)</f>
        <v>MCM</v>
      </c>
      <c r="G18" s="112" t="str">
        <f>VLOOKUP(C18,Purchased!A:Q,10,0)</f>
        <v>MCM</v>
      </c>
      <c r="H18" s="112" t="str">
        <f>VLOOKUP(C18,Purchased!A:Q,12,0)</f>
        <v>Pack of 10</v>
      </c>
      <c r="I18" s="113"/>
      <c r="J18" s="44" t="str">
        <f>VLOOKUP(C18,Purchased!A:Q,13,0)</f>
        <v>N/A</v>
      </c>
      <c r="K18" s="44">
        <f>VLOOKUP(C18,Purchased!A:Q,14,0)</f>
        <v>45162</v>
      </c>
      <c r="L18" s="44">
        <f>VLOOKUP(C18,Purchased!A:Q,15,0)</f>
        <v>45184</v>
      </c>
      <c r="M18" s="44">
        <f>VLOOKUP(C18,Purchased!A:Q,16,0)</f>
        <v>45163</v>
      </c>
      <c r="N18" s="45">
        <f>VLOOKUP(C18,Purchased!A:Q,17,0)</f>
        <v>55088</v>
      </c>
      <c r="O18" s="45" t="e">
        <f t="shared" ca="1" si="6"/>
        <v>#VALUE!</v>
      </c>
      <c r="P18" s="49">
        <f>IFERROR(VLOOKUP(C18,Purchased!A:E,3,FALSE),"")</f>
        <v>12.97</v>
      </c>
      <c r="Q18" s="50">
        <f t="shared" si="7"/>
        <v>194.55</v>
      </c>
    </row>
    <row r="19" spans="1:17" s="2" customFormat="1" ht="12" customHeight="1">
      <c r="A19" s="4">
        <f t="shared" si="8"/>
        <v>305</v>
      </c>
      <c r="B19" s="2">
        <v>3</v>
      </c>
      <c r="C19" s="114" t="s">
        <v>697</v>
      </c>
      <c r="D19" s="268" t="str">
        <f>VLOOKUP(C19,Purchased!A:B,2,0)</f>
        <v>Threaded Steel Track Roller, Flat without Seal, 26mm Roller Diameter, 12mm Roller Width</v>
      </c>
      <c r="E19" s="269"/>
      <c r="F19" s="112" t="str">
        <f>VLOOKUP(C19,Purchased!A:Q,9,0)</f>
        <v>MOTION</v>
      </c>
      <c r="G19" s="112" t="str">
        <f>VLOOKUP(C19,Purchased!A:Q,10,0)</f>
        <v>MOTION</v>
      </c>
      <c r="H19" s="112" t="str">
        <f>VLOOKUP(C19,Purchased!A:Q,12,0)</f>
        <v>MCM=6314K320</v>
      </c>
      <c r="I19" s="113"/>
      <c r="J19" s="44" t="str">
        <f>VLOOKUP(C19,Purchased!A:Q,13,0)</f>
        <v>N/A</v>
      </c>
      <c r="K19" s="44">
        <f>VLOOKUP(C19,Purchased!A:Q,14,0)</f>
        <v>45162</v>
      </c>
      <c r="L19" s="44">
        <f>VLOOKUP(C19,Purchased!A:Q,15,0)</f>
        <v>45184</v>
      </c>
      <c r="M19" s="44">
        <f>VLOOKUP(C19,Purchased!A:Q,16,0)</f>
        <v>45169</v>
      </c>
      <c r="N19" s="45">
        <f>VLOOKUP(C19,Purchased!A:Q,17,0)</f>
        <v>55097</v>
      </c>
      <c r="O19" s="45" t="e">
        <f t="shared" ca="1" si="6"/>
        <v>#VALUE!</v>
      </c>
      <c r="P19" s="49">
        <f>IFERROR(VLOOKUP(C19,Purchased!A:E,3,FALSE),"")</f>
        <v>26.09</v>
      </c>
      <c r="Q19" s="50">
        <f t="shared" si="7"/>
        <v>78.27</v>
      </c>
    </row>
    <row r="20" spans="1:17" s="2" customFormat="1" ht="12" customHeight="1">
      <c r="A20" s="4">
        <f t="shared" si="8"/>
        <v>306</v>
      </c>
      <c r="B20" s="2">
        <v>6</v>
      </c>
      <c r="C20" s="114" t="s">
        <v>890</v>
      </c>
      <c r="D20" s="268" t="str">
        <f>VLOOKUP(C20,Purchased!A:B,2,0)</f>
        <v>Medium-Strength Steel Thin Hex Nut, Fine-Thread, Zinc-Plated, M10 x 1.25 mm Thread, 100pk</v>
      </c>
      <c r="E20" s="269"/>
      <c r="F20" s="112" t="str">
        <f>VLOOKUP(C20,Purchased!A:Q,9,0)</f>
        <v>MCM</v>
      </c>
      <c r="G20" s="112" t="str">
        <f>VLOOKUP(C20,Purchased!A:Q,10,0)</f>
        <v>MCM</v>
      </c>
      <c r="H20" s="112" t="str">
        <f>VLOOKUP(C20,Purchased!A:Q,12,0)</f>
        <v xml:space="preserve"> </v>
      </c>
      <c r="I20" s="113"/>
      <c r="J20" s="44" t="str">
        <f>VLOOKUP(C20,Purchased!A:Q,13,0)</f>
        <v>N/A</v>
      </c>
      <c r="K20" s="44">
        <f>VLOOKUP(C20,Purchased!A:Q,14,0)</f>
        <v>45162</v>
      </c>
      <c r="L20" s="44">
        <f>VLOOKUP(C20,Purchased!A:Q,15,0)</f>
        <v>45184</v>
      </c>
      <c r="M20" s="44">
        <f>VLOOKUP(C20,Purchased!A:Q,16,0)</f>
        <v>45163</v>
      </c>
      <c r="N20" s="45">
        <f>VLOOKUP(C20,Purchased!A:Q,17,0)</f>
        <v>55088</v>
      </c>
      <c r="O20" s="45" t="e">
        <f t="shared" ref="O20:O21" ca="1" si="9">B20*$L$2</f>
        <v>#VALUE!</v>
      </c>
      <c r="P20" s="49">
        <f>IFERROR(VLOOKUP(C20,Purchased!A:E,3,FALSE),"")</f>
        <v>15.75</v>
      </c>
      <c r="Q20" s="50">
        <f t="shared" ref="Q20:Q21" si="10">IFERROR(B20*P20,"")</f>
        <v>94.5</v>
      </c>
    </row>
    <row r="21" spans="1:17" s="2" customFormat="1" ht="12" customHeight="1">
      <c r="A21" s="4">
        <f t="shared" si="8"/>
        <v>307</v>
      </c>
      <c r="B21" s="240">
        <v>18</v>
      </c>
      <c r="C21" s="114" t="s">
        <v>698</v>
      </c>
      <c r="D21" s="268" t="str">
        <f>VLOOKUP(C21,Purchased!A:B,2,0)</f>
        <v>Zinc-Plated Class 10.9 Steel Washer, M10 Screw Size, 50pk</v>
      </c>
      <c r="E21" s="269"/>
      <c r="F21" s="112" t="str">
        <f>VLOOKUP(C21,Purchased!A:Q,9,0)</f>
        <v>MCM</v>
      </c>
      <c r="G21" s="112" t="str">
        <f>VLOOKUP(C21,Purchased!A:Q,10,0)</f>
        <v>MCM</v>
      </c>
      <c r="H21" s="112" t="str">
        <f>VLOOKUP(C21,Purchased!A:Q,12,0)</f>
        <v xml:space="preserve"> </v>
      </c>
      <c r="I21" s="113"/>
      <c r="J21" s="44" t="str">
        <f>VLOOKUP(C21,Purchased!A:Q,13,0)</f>
        <v>N/A</v>
      </c>
      <c r="K21" s="44">
        <f>VLOOKUP(C21,Purchased!A:Q,14,0)</f>
        <v>45162</v>
      </c>
      <c r="L21" s="44">
        <f>VLOOKUP(C21,Purchased!A:Q,15,0)</f>
        <v>45184</v>
      </c>
      <c r="M21" s="44">
        <f>VLOOKUP(C21,Purchased!A:Q,16,0)</f>
        <v>45163</v>
      </c>
      <c r="N21" s="45">
        <f>VLOOKUP(C21,Purchased!A:Q,17,0)</f>
        <v>55088</v>
      </c>
      <c r="O21" s="45" t="e">
        <f t="shared" ca="1" si="9"/>
        <v>#VALUE!</v>
      </c>
      <c r="P21" s="49">
        <f>IFERROR(VLOOKUP(C21,Purchased!A:E,3,FALSE),"")</f>
        <v>12.41</v>
      </c>
      <c r="Q21" s="50">
        <f t="shared" si="10"/>
        <v>223.38</v>
      </c>
    </row>
    <row r="22" spans="1:17" s="2" customFormat="1" ht="12" customHeight="1">
      <c r="A22" s="4">
        <f t="shared" si="8"/>
        <v>308</v>
      </c>
      <c r="B22" s="2">
        <v>6</v>
      </c>
      <c r="C22" s="114" t="s">
        <v>1111</v>
      </c>
      <c r="D22" s="268" t="str">
        <f>VLOOKUP(C22,Purchased!A:B,2,0)</f>
        <v>MISUMI 304 SS RING SHIM 10MM ID, 12MM OD, 1MM THICK</v>
      </c>
      <c r="E22" s="269"/>
      <c r="F22" s="112" t="str">
        <f>VLOOKUP(C22,Purchased!A:Q,9,0)</f>
        <v>MISUMI</v>
      </c>
      <c r="G22" s="112" t="str">
        <f>VLOOKUP(C22,Purchased!A:Q,10,0)</f>
        <v>MISUMI</v>
      </c>
      <c r="H22" s="112" t="str">
        <f>VLOOKUP(C22,Purchased!A:Q,12,0)</f>
        <v xml:space="preserve"> </v>
      </c>
      <c r="I22" s="113"/>
      <c r="J22" s="44" t="str">
        <f>VLOOKUP(C22,Purchased!A:Q,13,0)</f>
        <v>N/A</v>
      </c>
      <c r="K22" s="44">
        <f>VLOOKUP(C22,Purchased!A:Q,14,0)</f>
        <v>45161</v>
      </c>
      <c r="L22" s="44">
        <f>VLOOKUP(C22,Purchased!A:Q,15,0)</f>
        <v>45191</v>
      </c>
      <c r="M22" s="44">
        <f>VLOOKUP(C22,Purchased!A:Q,16,0)</f>
        <v>45176</v>
      </c>
      <c r="N22" s="45">
        <f>VLOOKUP(C22,Purchased!A:Q,17,0)</f>
        <v>55078</v>
      </c>
      <c r="O22" s="45" t="e">
        <f t="shared" ca="1" si="6"/>
        <v>#VALUE!</v>
      </c>
      <c r="P22" s="49">
        <f>IFERROR(VLOOKUP(C22,Purchased!A:E,3,FALSE),"")</f>
        <v>2.2200000000000002</v>
      </c>
      <c r="Q22" s="50">
        <f t="shared" si="7"/>
        <v>13.32</v>
      </c>
    </row>
    <row r="23" spans="1:17" s="2" customFormat="1" ht="12" customHeight="1">
      <c r="A23" s="4">
        <f t="shared" si="8"/>
        <v>309</v>
      </c>
      <c r="B23" s="2">
        <v>6</v>
      </c>
      <c r="C23" s="114" t="s">
        <v>1112</v>
      </c>
      <c r="D23" s="268" t="str">
        <f>VLOOKUP(C23,Purchased!A:B,2,0)</f>
        <v>Flat Spacers - Configurable Length</v>
      </c>
      <c r="E23" s="269"/>
      <c r="F23" s="112" t="str">
        <f>VLOOKUP(C23,Purchased!A:Q,9,0)</f>
        <v>MISUMI</v>
      </c>
      <c r="G23" s="112" t="str">
        <f>VLOOKUP(C23,Purchased!A:Q,10,0)</f>
        <v>MISUMI</v>
      </c>
      <c r="H23" s="112" t="str">
        <f>VLOOKUP(C23,Purchased!A:Q,12,0)</f>
        <v xml:space="preserve"> </v>
      </c>
      <c r="I23" s="113"/>
      <c r="J23" s="44" t="str">
        <f>VLOOKUP(C23,Purchased!A:Q,13,0)</f>
        <v>N/A</v>
      </c>
      <c r="K23" s="44">
        <f>VLOOKUP(C23,Purchased!A:Q,14,0)</f>
        <v>45196</v>
      </c>
      <c r="L23" s="44">
        <f>VLOOKUP(C23,Purchased!A:Q,15,0)</f>
        <v>45203</v>
      </c>
      <c r="M23" s="44">
        <f>VLOOKUP(C23,Purchased!A:Q,16,0)</f>
        <v>45205</v>
      </c>
      <c r="N23" s="45">
        <f>VLOOKUP(C23,Purchased!A:Q,17,0)</f>
        <v>55168</v>
      </c>
      <c r="O23" s="45" t="e">
        <f t="shared" ca="1" si="6"/>
        <v>#VALUE!</v>
      </c>
      <c r="P23" s="49">
        <f>IFERROR(VLOOKUP(C23,Purchased!A:E,3,FALSE),"")</f>
        <v>17.34</v>
      </c>
      <c r="Q23" s="50">
        <f t="shared" si="7"/>
        <v>104.03999999999999</v>
      </c>
    </row>
    <row r="24" spans="1:17" s="2" customFormat="1" ht="12" customHeight="1">
      <c r="A24" s="4">
        <f t="shared" si="8"/>
        <v>310</v>
      </c>
      <c r="B24" s="2">
        <v>6</v>
      </c>
      <c r="C24" s="114" t="s">
        <v>1113</v>
      </c>
      <c r="D24" s="268" t="str">
        <f>VLOOKUP(C24,Purchased!A:B,2,0)</f>
        <v>Flat Spacers - Configurable Length</v>
      </c>
      <c r="E24" s="269"/>
      <c r="F24" s="112" t="str">
        <f>VLOOKUP(C24,Purchased!A:Q,9,0)</f>
        <v>MISUMI</v>
      </c>
      <c r="G24" s="112" t="str">
        <f>VLOOKUP(C24,Purchased!A:Q,10,0)</f>
        <v>MISUMI</v>
      </c>
      <c r="H24" s="112" t="str">
        <f>VLOOKUP(C24,Purchased!A:Q,12,0)</f>
        <v xml:space="preserve"> </v>
      </c>
      <c r="I24" s="113"/>
      <c r="J24" s="44" t="str">
        <f>VLOOKUP(C24,Purchased!A:Q,13,0)</f>
        <v>N/A</v>
      </c>
      <c r="K24" s="44">
        <f>VLOOKUP(C24,Purchased!A:Q,14,0)</f>
        <v>45196</v>
      </c>
      <c r="L24" s="44">
        <f>VLOOKUP(C24,Purchased!A:Q,15,0)</f>
        <v>45203</v>
      </c>
      <c r="M24" s="44">
        <f>VLOOKUP(C24,Purchased!A:Q,16,0)</f>
        <v>45205</v>
      </c>
      <c r="N24" s="45">
        <f>VLOOKUP(C24,Purchased!A:Q,17,0)</f>
        <v>55168</v>
      </c>
      <c r="O24" s="45" t="e">
        <f t="shared" ref="O24:O25" ca="1" si="11">B24*$L$2</f>
        <v>#VALUE!</v>
      </c>
      <c r="P24" s="49">
        <f>IFERROR(VLOOKUP(C24,Purchased!A:E,3,FALSE),"")</f>
        <v>17.34</v>
      </c>
      <c r="Q24" s="50">
        <f t="shared" ref="Q24:Q25" si="12">IFERROR(B24*P24,"")</f>
        <v>104.03999999999999</v>
      </c>
    </row>
    <row r="25" spans="1:17" s="2" customFormat="1" ht="12" customHeight="1">
      <c r="A25" s="4">
        <f t="shared" si="8"/>
        <v>311</v>
      </c>
      <c r="B25" s="2">
        <v>3</v>
      </c>
      <c r="C25" s="114" t="s">
        <v>1114</v>
      </c>
      <c r="D25" s="268" t="str">
        <f>VLOOKUP(C25,Purchased!A:B,2,0)</f>
        <v>Flat Spacers - Configurable Length</v>
      </c>
      <c r="E25" s="269"/>
      <c r="F25" s="112" t="str">
        <f>VLOOKUP(C25,Purchased!A:Q,9,0)</f>
        <v>MISUMI</v>
      </c>
      <c r="G25" s="112" t="str">
        <f>VLOOKUP(C25,Purchased!A:Q,10,0)</f>
        <v>MISUMI</v>
      </c>
      <c r="H25" s="112" t="str">
        <f>VLOOKUP(C25,Purchased!A:Q,12,0)</f>
        <v xml:space="preserve"> </v>
      </c>
      <c r="I25" s="113"/>
      <c r="J25" s="44" t="str">
        <f>VLOOKUP(C25,Purchased!A:Q,13,0)</f>
        <v>N/A</v>
      </c>
      <c r="K25" s="44">
        <f>VLOOKUP(C25,Purchased!A:Q,14,0)</f>
        <v>45196</v>
      </c>
      <c r="L25" s="44">
        <f>VLOOKUP(C25,Purchased!A:Q,15,0)</f>
        <v>45203</v>
      </c>
      <c r="M25" s="44">
        <f>VLOOKUP(C25,Purchased!A:Q,16,0)</f>
        <v>45205</v>
      </c>
      <c r="N25" s="45">
        <f>VLOOKUP(C25,Purchased!A:Q,17,0)</f>
        <v>55168</v>
      </c>
      <c r="O25" s="45" t="e">
        <f t="shared" ca="1" si="11"/>
        <v>#VALUE!</v>
      </c>
      <c r="P25" s="49">
        <f>IFERROR(VLOOKUP(C25,Purchased!A:E,3,FALSE),"")</f>
        <v>17.34</v>
      </c>
      <c r="Q25" s="50">
        <f t="shared" si="12"/>
        <v>52.019999999999996</v>
      </c>
    </row>
    <row r="26" spans="1:17" s="2" customFormat="1" ht="12" customHeight="1">
      <c r="A26" s="4">
        <f t="shared" si="8"/>
        <v>312</v>
      </c>
      <c r="B26" s="2">
        <v>32</v>
      </c>
      <c r="C26" s="114" t="s">
        <v>262</v>
      </c>
      <c r="D26" s="268" t="str">
        <f>VLOOKUP(C26,Purchased!A:B,2,0)</f>
        <v>BRX GOTO T-NUT 10 M6</v>
      </c>
      <c r="E26" s="269"/>
      <c r="F26" s="112" t="str">
        <f>VLOOKUP(C26,Purchased!A:Q,9,0)</f>
        <v>BRX</v>
      </c>
      <c r="G26" s="112" t="str">
        <f>VLOOKUP(C26,Purchased!A:Q,10,0)</f>
        <v>AAP</v>
      </c>
      <c r="H26" s="112" t="str">
        <f>VLOOKUP(C26,Purchased!A:Q,12,0)</f>
        <v xml:space="preserve">  </v>
      </c>
      <c r="I26" s="113"/>
      <c r="J26" s="44">
        <f>VLOOKUP(C26,Purchased!A:Q,13,0)</f>
        <v>45104</v>
      </c>
      <c r="K26" s="44">
        <f>VLOOKUP(C26,Purchased!A:Q,14,0)</f>
        <v>45105</v>
      </c>
      <c r="L26" s="44">
        <f>VLOOKUP(C26,Purchased!A:Q,15,0)</f>
        <v>45133</v>
      </c>
      <c r="M26" s="44">
        <f>VLOOKUP(C26,Purchased!A:Q,16,0)</f>
        <v>45133</v>
      </c>
      <c r="N26" s="45" t="str">
        <f>VLOOKUP(C26,Purchased!A:Q,17,0)</f>
        <v>54968, 55147, 55270</v>
      </c>
      <c r="O26" s="45" t="e">
        <f t="shared" ca="1" si="6"/>
        <v>#VALUE!</v>
      </c>
      <c r="P26" s="49">
        <f>IFERROR(VLOOKUP(C26,Purchased!A:E,3,FALSE),"")</f>
        <v>0.64290000000000003</v>
      </c>
      <c r="Q26" s="50">
        <f t="shared" si="7"/>
        <v>20.572800000000001</v>
      </c>
    </row>
    <row r="27" spans="1:17" s="2" customFormat="1" ht="12" customHeight="1">
      <c r="A27" s="4">
        <f t="shared" si="8"/>
        <v>313</v>
      </c>
      <c r="B27" s="2">
        <v>8</v>
      </c>
      <c r="C27" s="114" t="s">
        <v>256</v>
      </c>
      <c r="D27" s="268" t="str">
        <f>VLOOKUP(C27,Purchased!A:B,2,0)</f>
        <v>BRX GOTO T-NUT 10 M8</v>
      </c>
      <c r="E27" s="269"/>
      <c r="F27" s="112" t="str">
        <f>VLOOKUP(C27,Purchased!A:Q,9,0)</f>
        <v>BRX</v>
      </c>
      <c r="G27" s="112" t="str">
        <f>VLOOKUP(C27,Purchased!A:Q,10,0)</f>
        <v>AAP</v>
      </c>
      <c r="H27" s="112" t="str">
        <f>VLOOKUP(C27,Purchased!A:Q,12,0)</f>
        <v xml:space="preserve">  </v>
      </c>
      <c r="I27" s="113"/>
      <c r="J27" s="44">
        <f>VLOOKUP(C27,Purchased!A:Q,13,0)</f>
        <v>45104</v>
      </c>
      <c r="K27" s="44">
        <f>VLOOKUP(C27,Purchased!A:Q,14,0)</f>
        <v>45105</v>
      </c>
      <c r="L27" s="44">
        <f>VLOOKUP(C27,Purchased!A:Q,15,0)</f>
        <v>45133</v>
      </c>
      <c r="M27" s="44">
        <f>VLOOKUP(C27,Purchased!A:Q,16,0)</f>
        <v>45133</v>
      </c>
      <c r="N27" s="45" t="str">
        <f>VLOOKUP(C27,Purchased!A:Q,17,0)</f>
        <v>54968, 55147</v>
      </c>
      <c r="O27" s="45" t="e">
        <f t="shared" ca="1" si="6"/>
        <v>#VALUE!</v>
      </c>
      <c r="P27" s="49">
        <f>IFERROR(VLOOKUP(C27,Purchased!A:E,3,FALSE),"")</f>
        <v>0.64290000000000003</v>
      </c>
      <c r="Q27" s="50">
        <f t="shared" si="7"/>
        <v>5.1432000000000002</v>
      </c>
    </row>
    <row r="28" spans="1:17" s="2" customFormat="1" ht="12" customHeight="1">
      <c r="A28" s="4">
        <f t="shared" si="8"/>
        <v>314</v>
      </c>
      <c r="B28" s="2">
        <v>9</v>
      </c>
      <c r="C28" s="114" t="s">
        <v>901</v>
      </c>
      <c r="D28" s="268" t="str">
        <f>VLOOKUP(C28,Purchased!A:B,2,0)</f>
        <v>SMC FITTING, UNION TEE</v>
      </c>
      <c r="E28" s="269"/>
      <c r="F28" s="112" t="str">
        <f>VLOOKUP(C28,Purchased!A:Q,9,0)</f>
        <v>SMC</v>
      </c>
      <c r="G28" s="112" t="str">
        <f>VLOOKUP(C28,Purchased!A:Q,10,0)</f>
        <v>AAP</v>
      </c>
      <c r="H28" s="112" t="str">
        <f>VLOOKUP(C28,Purchased!A:Q,12,0)</f>
        <v xml:space="preserve"> </v>
      </c>
      <c r="I28" s="113"/>
      <c r="J28" s="44" t="str">
        <f>VLOOKUP(C28,Purchased!A:Q,13,0)</f>
        <v>N/A</v>
      </c>
      <c r="K28" s="44">
        <f>VLOOKUP(C28,Purchased!A:Q,14,0)</f>
        <v>45162</v>
      </c>
      <c r="L28" s="44">
        <f>VLOOKUP(C28,Purchased!A:Q,15,0)</f>
        <v>45184</v>
      </c>
      <c r="M28" s="44">
        <f>VLOOKUP(C28,Purchased!A:Q,16,0)</f>
        <v>45180</v>
      </c>
      <c r="N28" s="45">
        <f>VLOOKUP(C28,Purchased!A:Q,17,0)</f>
        <v>55037</v>
      </c>
      <c r="O28" s="45" t="e">
        <f t="shared" ca="1" si="6"/>
        <v>#VALUE!</v>
      </c>
      <c r="P28" s="49">
        <f>IFERROR(VLOOKUP(C28,Purchased!A:E,3,FALSE),"")</f>
        <v>1.6877</v>
      </c>
      <c r="Q28" s="50">
        <f t="shared" si="7"/>
        <v>15.189299999999999</v>
      </c>
    </row>
    <row r="29" spans="1:17" s="2" customFormat="1" ht="12" customHeight="1">
      <c r="A29" s="4">
        <f t="shared" si="8"/>
        <v>315</v>
      </c>
      <c r="B29" s="2">
        <v>2</v>
      </c>
      <c r="C29" s="114" t="s">
        <v>1115</v>
      </c>
      <c r="D29" s="268" t="str">
        <f>VLOOKUP(C29,Purchased!A:B,2,0)</f>
        <v>SMC FITTING ,DIFF DIA UNION TEE</v>
      </c>
      <c r="E29" s="269"/>
      <c r="F29" s="112" t="str">
        <f>VLOOKUP(C29,Purchased!A:Q,9,0)</f>
        <v>SMC</v>
      </c>
      <c r="G29" s="112" t="str">
        <f>VLOOKUP(C29,Purchased!A:Q,10,0)</f>
        <v>AAP</v>
      </c>
      <c r="H29" s="112" t="str">
        <f>VLOOKUP(C29,Purchased!A:Q,12,0)</f>
        <v xml:space="preserve"> </v>
      </c>
      <c r="I29" s="113"/>
      <c r="J29" s="44" t="str">
        <f>VLOOKUP(C29,Purchased!A:Q,13,0)</f>
        <v>N/A</v>
      </c>
      <c r="K29" s="44">
        <f>VLOOKUP(C29,Purchased!A:Q,14,0)</f>
        <v>45162</v>
      </c>
      <c r="L29" s="44">
        <f>VLOOKUP(C29,Purchased!A:Q,15,0)</f>
        <v>45184</v>
      </c>
      <c r="M29" s="44">
        <f>VLOOKUP(C29,Purchased!A:Q,16,0)</f>
        <v>45180</v>
      </c>
      <c r="N29" s="45">
        <f>VLOOKUP(C29,Purchased!A:Q,17,0)</f>
        <v>55037</v>
      </c>
      <c r="O29" s="45" t="e">
        <f t="shared" ca="1" si="6"/>
        <v>#VALUE!</v>
      </c>
      <c r="P29" s="49">
        <f>IFERROR(VLOOKUP(C29,Purchased!A:E,3,FALSE),"")</f>
        <v>2.1579999999999999</v>
      </c>
      <c r="Q29" s="50">
        <f t="shared" si="7"/>
        <v>4.3159999999999998</v>
      </c>
    </row>
    <row r="30" spans="1:17" s="2" customFormat="1" ht="12" customHeight="1">
      <c r="A30" s="4">
        <f t="shared" si="8"/>
        <v>316</v>
      </c>
      <c r="B30" s="2">
        <v>1</v>
      </c>
      <c r="C30" s="114" t="s">
        <v>1116</v>
      </c>
      <c r="D30" s="268" t="str">
        <f>VLOOKUP(C30,Purchased!A:B,2,0)</f>
        <v>SMC FITTING, DIFF DIA STR UNION</v>
      </c>
      <c r="E30" s="269"/>
      <c r="F30" s="112" t="str">
        <f>VLOOKUP(C30,Purchased!A:Q,9,0)</f>
        <v>SMC</v>
      </c>
      <c r="G30" s="112" t="str">
        <f>VLOOKUP(C30,Purchased!A:Q,10,0)</f>
        <v>AAP</v>
      </c>
      <c r="H30" s="112" t="str">
        <f>VLOOKUP(C30,Purchased!A:Q,12,0)</f>
        <v xml:space="preserve"> </v>
      </c>
      <c r="I30" s="113"/>
      <c r="J30" s="44" t="str">
        <f>VLOOKUP(C30,Purchased!A:Q,13,0)</f>
        <v>N/A</v>
      </c>
      <c r="K30" s="44">
        <f>VLOOKUP(C30,Purchased!A:Q,14,0)</f>
        <v>45162</v>
      </c>
      <c r="L30" s="44">
        <f>VLOOKUP(C30,Purchased!A:Q,15,0)</f>
        <v>45184</v>
      </c>
      <c r="M30" s="44">
        <f>VLOOKUP(C30,Purchased!A:Q,16,0)</f>
        <v>45180</v>
      </c>
      <c r="N30" s="45">
        <f>VLOOKUP(C30,Purchased!A:Q,17,0)</f>
        <v>55037</v>
      </c>
      <c r="O30" s="45" t="e">
        <f t="shared" ca="1" si="6"/>
        <v>#VALUE!</v>
      </c>
      <c r="P30" s="49">
        <f>IFERROR(VLOOKUP(C30,Purchased!A:E,3,FALSE),"")</f>
        <v>1.8398000000000001</v>
      </c>
      <c r="Q30" s="50">
        <f t="shared" si="7"/>
        <v>1.8398000000000001</v>
      </c>
    </row>
    <row r="31" spans="1:17" s="2" customFormat="1" ht="12" customHeight="1">
      <c r="A31" s="4">
        <f t="shared" si="8"/>
        <v>317</v>
      </c>
      <c r="B31" s="2">
        <v>12</v>
      </c>
      <c r="C31" s="114" t="s">
        <v>1117</v>
      </c>
      <c r="D31" s="268" t="str">
        <f>VLOOKUP(C31,Purchased!A:B,2,0)</f>
        <v>Corrosion-Resistant Timing Belt Pulley XL, Hub, 2 Flanges, 9.5mm Maximum Width, 57mm OD, 12mm Shaft</v>
      </c>
      <c r="E31" s="269"/>
      <c r="F31" s="112" t="str">
        <f>VLOOKUP(C31,Purchased!A:Q,9,0)</f>
        <v>MCM</v>
      </c>
      <c r="G31" s="112" t="str">
        <f>VLOOKUP(C31,Purchased!A:Q,10,0)</f>
        <v>MCM</v>
      </c>
      <c r="H31" s="112" t="str">
        <f>VLOOKUP(C31,Purchased!A:Q,12,0)</f>
        <v xml:space="preserve"> </v>
      </c>
      <c r="I31" s="113"/>
      <c r="J31" s="44" t="str">
        <f>VLOOKUP(C31,Purchased!A:Q,13,0)</f>
        <v>N/A</v>
      </c>
      <c r="K31" s="44">
        <f>VLOOKUP(C31,Purchased!A:Q,14,0)</f>
        <v>45196</v>
      </c>
      <c r="L31" s="44">
        <f>VLOOKUP(C31,Purchased!A:Q,15,0)</f>
        <v>45197</v>
      </c>
      <c r="M31" s="44">
        <f>VLOOKUP(C31,Purchased!A:Q,16,0)</f>
        <v>45197</v>
      </c>
      <c r="N31" s="45">
        <f>VLOOKUP(C31,Purchased!A:Q,17,0)</f>
        <v>55167</v>
      </c>
      <c r="O31" s="45" t="e">
        <f t="shared" ref="O31:O34" ca="1" si="13">B31*$L$2</f>
        <v>#VALUE!</v>
      </c>
      <c r="P31" s="49">
        <f>IFERROR(VLOOKUP(C31,Purchased!A:E,3,FALSE),"")</f>
        <v>24.49</v>
      </c>
      <c r="Q31" s="50">
        <f t="shared" ref="Q31:Q34" si="14">IFERROR(B31*P31,"")</f>
        <v>293.88</v>
      </c>
    </row>
    <row r="32" spans="1:17" s="2" customFormat="1" ht="12" customHeight="1">
      <c r="A32" s="4">
        <f t="shared" si="8"/>
        <v>318</v>
      </c>
      <c r="B32" s="2">
        <v>3</v>
      </c>
      <c r="C32" s="114" t="s">
        <v>1118</v>
      </c>
      <c r="D32" s="268" t="str">
        <f>VLOOKUP(C32,Purchased!A:B,2,0)</f>
        <v>XL Series Timing Belt Trade No. 300xL037</v>
      </c>
      <c r="E32" s="269"/>
      <c r="F32" s="112" t="str">
        <f>VLOOKUP(C32,Purchased!A:Q,9,0)</f>
        <v>MCM</v>
      </c>
      <c r="G32" s="112" t="str">
        <f>VLOOKUP(C32,Purchased!A:Q,10,0)</f>
        <v>MCM</v>
      </c>
      <c r="H32" s="112" t="str">
        <f>VLOOKUP(C32,Purchased!A:Q,12,0)</f>
        <v xml:space="preserve"> </v>
      </c>
      <c r="I32" s="113"/>
      <c r="J32" s="44" t="str">
        <f>VLOOKUP(C32,Purchased!A:Q,13,0)</f>
        <v>N/A</v>
      </c>
      <c r="K32" s="44">
        <f>VLOOKUP(C32,Purchased!A:Q,14,0)</f>
        <v>45196</v>
      </c>
      <c r="L32" s="44">
        <f>VLOOKUP(C32,Purchased!A:Q,15,0)</f>
        <v>45197</v>
      </c>
      <c r="M32" s="44">
        <f>VLOOKUP(C32,Purchased!A:Q,16,0)</f>
        <v>45197</v>
      </c>
      <c r="N32" s="45">
        <f>VLOOKUP(C32,Purchased!A:Q,17,0)</f>
        <v>55167</v>
      </c>
      <c r="O32" s="45" t="e">
        <f t="shared" ca="1" si="13"/>
        <v>#VALUE!</v>
      </c>
      <c r="P32" s="49">
        <f>IFERROR(VLOOKUP(C32,Purchased!A:E,3,FALSE),"")</f>
        <v>12.87</v>
      </c>
      <c r="Q32" s="50">
        <f t="shared" si="14"/>
        <v>38.61</v>
      </c>
    </row>
    <row r="33" spans="1:17" s="2" customFormat="1" ht="12" customHeight="1">
      <c r="A33" s="4">
        <f t="shared" si="8"/>
        <v>319</v>
      </c>
      <c r="B33" s="2">
        <v>3</v>
      </c>
      <c r="C33" s="114" t="s">
        <v>1119</v>
      </c>
      <c r="D33" s="268" t="str">
        <f>VLOOKUP(C33,Purchased!A:B,2,0)</f>
        <v>XL Series Timing Belt Trade No. 400xL037</v>
      </c>
      <c r="E33" s="269"/>
      <c r="F33" s="112" t="str">
        <f>VLOOKUP(C33,Purchased!A:Q,9,0)</f>
        <v>MCM</v>
      </c>
      <c r="G33" s="112" t="str">
        <f>VLOOKUP(C33,Purchased!A:Q,10,0)</f>
        <v>MCM</v>
      </c>
      <c r="H33" s="112" t="str">
        <f>VLOOKUP(C33,Purchased!A:Q,12,0)</f>
        <v xml:space="preserve"> </v>
      </c>
      <c r="I33" s="113"/>
      <c r="J33" s="44" t="str">
        <f>VLOOKUP(C33,Purchased!A:Q,13,0)</f>
        <v>N/A</v>
      </c>
      <c r="K33" s="44">
        <f>VLOOKUP(C33,Purchased!A:Q,14,0)</f>
        <v>45196</v>
      </c>
      <c r="L33" s="44">
        <f>VLOOKUP(C33,Purchased!A:Q,15,0)</f>
        <v>45197</v>
      </c>
      <c r="M33" s="44">
        <f>VLOOKUP(C33,Purchased!A:Q,16,0)</f>
        <v>45197</v>
      </c>
      <c r="N33" s="45">
        <f>VLOOKUP(C33,Purchased!A:Q,17,0)</f>
        <v>55167</v>
      </c>
      <c r="O33" s="45" t="e">
        <f t="shared" ca="1" si="13"/>
        <v>#VALUE!</v>
      </c>
      <c r="P33" s="49">
        <f>IFERROR(VLOOKUP(C33,Purchased!A:E,3,FALSE),"")</f>
        <v>15.22</v>
      </c>
      <c r="Q33" s="50">
        <f t="shared" si="14"/>
        <v>45.660000000000004</v>
      </c>
    </row>
    <row r="34" spans="1:17" s="2" customFormat="1" ht="12" customHeight="1">
      <c r="A34" s="4">
        <f t="shared" si="8"/>
        <v>320</v>
      </c>
      <c r="B34" s="2">
        <v>3</v>
      </c>
      <c r="C34" s="114" t="s">
        <v>1120</v>
      </c>
      <c r="D34" s="268" t="str">
        <f>VLOOKUP(C34,Purchased!A:B,2,0)</f>
        <v>Flat Spacers - Configurable Length</v>
      </c>
      <c r="E34" s="269"/>
      <c r="F34" s="112" t="str">
        <f>VLOOKUP(C34,Purchased!A:Q,9,0)</f>
        <v>MISUMI</v>
      </c>
      <c r="G34" s="112" t="str">
        <f>VLOOKUP(C34,Purchased!A:Q,10,0)</f>
        <v>MISUMI</v>
      </c>
      <c r="H34" s="112" t="str">
        <f>VLOOKUP(C34,Purchased!A:Q,12,0)</f>
        <v xml:space="preserve"> </v>
      </c>
      <c r="I34" s="113"/>
      <c r="J34" s="44" t="str">
        <f>VLOOKUP(C34,Purchased!A:Q,13,0)</f>
        <v>N/A</v>
      </c>
      <c r="K34" s="44">
        <f>VLOOKUP(C34,Purchased!A:Q,14,0)</f>
        <v>45196</v>
      </c>
      <c r="L34" s="44">
        <f>VLOOKUP(C34,Purchased!A:Q,15,0)</f>
        <v>45203</v>
      </c>
      <c r="M34" s="44">
        <f>VLOOKUP(C34,Purchased!A:Q,16,0)</f>
        <v>45205</v>
      </c>
      <c r="N34" s="45">
        <f>VLOOKUP(C34,Purchased!A:Q,17,0)</f>
        <v>55168</v>
      </c>
      <c r="O34" s="45" t="e">
        <f t="shared" ca="1" si="13"/>
        <v>#VALUE!</v>
      </c>
      <c r="P34" s="49">
        <f>IFERROR(VLOOKUP(C34,Purchased!A:E,3,FALSE),"")</f>
        <v>17.34</v>
      </c>
      <c r="Q34" s="50">
        <f t="shared" si="14"/>
        <v>52.019999999999996</v>
      </c>
    </row>
    <row r="35" spans="1:17" s="2" customFormat="1" ht="12" customHeight="1">
      <c r="A35" s="241">
        <f t="shared" si="8"/>
        <v>321</v>
      </c>
      <c r="B35" s="240">
        <v>9</v>
      </c>
      <c r="C35" s="114" t="s">
        <v>894</v>
      </c>
      <c r="D35" s="268" t="str">
        <f>VLOOKUP(C35,Purchased!A:B,2,0)</f>
        <v>Medium-Strength Zinc-Plated Steel Thin Hex Nut, Class 04, M10 x 1.5 mm Thread</v>
      </c>
      <c r="E35" s="269"/>
      <c r="F35" s="112" t="str">
        <f>VLOOKUP(C35,Purchased!A:Q,9,0)</f>
        <v>MCM</v>
      </c>
      <c r="G35" s="112" t="str">
        <f>VLOOKUP(C35,Purchased!A:Q,10,0)</f>
        <v>MCM</v>
      </c>
      <c r="H35" s="112" t="str">
        <f>VLOOKUP(C35,Purchased!A:Q,12,0)</f>
        <v>100+ in NuLine Stock</v>
      </c>
      <c r="I35" s="113"/>
      <c r="J35" s="44" t="str">
        <f>VLOOKUP(C35,Purchased!A:Q,13,0)</f>
        <v>N/A</v>
      </c>
      <c r="K35" s="44" t="str">
        <f>VLOOKUP(C35,Purchased!A:Q,14,0)</f>
        <v>N/A</v>
      </c>
      <c r="L35" s="44" t="str">
        <f>VLOOKUP(C35,Purchased!A:Q,15,0)</f>
        <v>N/A</v>
      </c>
      <c r="M35" s="44" t="str">
        <f>VLOOKUP(C35,Purchased!A:Q,16,0)</f>
        <v>N/A</v>
      </c>
      <c r="N35" s="45" t="str">
        <f>VLOOKUP(C35,Purchased!A:Q,17,0)</f>
        <v>N/A</v>
      </c>
      <c r="O35" s="45" t="e">
        <f t="shared" ref="O35" ca="1" si="15">B35*$L$2</f>
        <v>#VALUE!</v>
      </c>
      <c r="P35" s="49">
        <f>IFERROR(VLOOKUP(C35,Purchased!A:E,3,FALSE),"")</f>
        <v>12.85</v>
      </c>
      <c r="Q35" s="50">
        <f t="shared" ref="Q35" si="16">IFERROR(B35*P35,"")</f>
        <v>115.64999999999999</v>
      </c>
    </row>
    <row r="36" spans="1:17" s="2" customFormat="1" ht="12" customHeight="1">
      <c r="A36" s="4">
        <f t="shared" si="8"/>
        <v>322</v>
      </c>
      <c r="B36" s="2">
        <v>6</v>
      </c>
      <c r="C36" s="114" t="s">
        <v>1121</v>
      </c>
      <c r="D36" s="268" t="str">
        <f>VLOOKUP(C36,Purchased!A:B,2,0)</f>
        <v>IGUS Custom Machined Lead Screw</v>
      </c>
      <c r="E36" s="269"/>
      <c r="F36" s="112" t="str">
        <f>VLOOKUP(C36,Purchased!A:Q,9,0)</f>
        <v>IGUS</v>
      </c>
      <c r="G36" s="112" t="str">
        <f>VLOOKUP(C36,Purchased!A:Q,10,0)</f>
        <v>IGUS</v>
      </c>
      <c r="H36" s="112" t="str">
        <f>VLOOKUP(C36,Purchased!A:Q,12,0)</f>
        <v xml:space="preserve"> </v>
      </c>
      <c r="I36" s="113"/>
      <c r="J36" s="44">
        <f>VLOOKUP(C36,Purchased!A:Q,13,0)</f>
        <v>45154</v>
      </c>
      <c r="K36" s="44">
        <f>VLOOKUP(C36,Purchased!A:Q,14,0)</f>
        <v>45161</v>
      </c>
      <c r="L36" s="44">
        <f>VLOOKUP(C36,Purchased!A:Q,15,0)</f>
        <v>45191</v>
      </c>
      <c r="M36" s="44">
        <f>VLOOKUP(C36,Purchased!A:Q,16,0)</f>
        <v>45208</v>
      </c>
      <c r="N36" s="45">
        <f>VLOOKUP(C36,Purchased!A:Q,17,0)</f>
        <v>55076</v>
      </c>
      <c r="O36" s="45" t="e">
        <f t="shared" ca="1" si="6"/>
        <v>#VALUE!</v>
      </c>
      <c r="P36" s="49">
        <f>IFERROR(VLOOKUP(C36,Purchased!A:E,3,FALSE),"")</f>
        <v>187.73</v>
      </c>
      <c r="Q36" s="50">
        <f t="shared" si="7"/>
        <v>1126.3799999999999</v>
      </c>
    </row>
    <row r="37" spans="1:17" s="2" customFormat="1" ht="12" customHeight="1">
      <c r="A37" s="4">
        <f t="shared" si="8"/>
        <v>323</v>
      </c>
      <c r="B37" s="2">
        <v>96</v>
      </c>
      <c r="C37" s="114" t="s">
        <v>244</v>
      </c>
      <c r="D37" s="268" t="str">
        <f>VLOOKUP(C37,Purchased!A:B,2,0)</f>
        <v>BRX GOTO QUICK CONNECTOR N10 0°</v>
      </c>
      <c r="E37" s="269"/>
      <c r="F37" s="112" t="str">
        <f>VLOOKUP(C37,Purchased!A:Q,9,0)</f>
        <v>BRX</v>
      </c>
      <c r="G37" s="112" t="str">
        <f>VLOOKUP(C37,Purchased!A:Q,10,0)</f>
        <v>AAP</v>
      </c>
      <c r="H37" s="112" t="str">
        <f>VLOOKUP(C37,Purchased!A:Q,12,0)</f>
        <v>17 in stock</v>
      </c>
      <c r="I37" s="113"/>
      <c r="J37" s="44" t="str">
        <f>VLOOKUP(C37,Purchased!A:Q,13,0)</f>
        <v>N/A</v>
      </c>
      <c r="K37" s="44">
        <f>VLOOKUP(C37,Purchased!A:Q,14,0)</f>
        <v>45089</v>
      </c>
      <c r="L37" s="44">
        <f>VLOOKUP(C37,Purchased!A:Q,15,0)</f>
        <v>45124</v>
      </c>
      <c r="M37" s="44">
        <f>VLOOKUP(C37,Purchased!A:Q,16,0)</f>
        <v>45124</v>
      </c>
      <c r="N37" s="45" t="str">
        <f>VLOOKUP(C37,Purchased!A:Q,17,0)</f>
        <v>500x54927, 500x55060</v>
      </c>
      <c r="O37" s="45" t="e">
        <f t="shared" ref="O37:O38" ca="1" si="17">B37*$L$2</f>
        <v>#VALUE!</v>
      </c>
      <c r="P37" s="49">
        <f>IFERROR(VLOOKUP(C37,Purchased!A:E,3,FALSE),"")</f>
        <v>5.2857000000000003</v>
      </c>
      <c r="Q37" s="50">
        <f t="shared" ref="Q37:Q38" si="18">IFERROR(B37*P37,"")</f>
        <v>507.42720000000003</v>
      </c>
    </row>
    <row r="38" spans="1:17" s="2" customFormat="1" ht="12" customHeight="1">
      <c r="A38" s="4">
        <f t="shared" si="8"/>
        <v>324</v>
      </c>
      <c r="B38" s="2">
        <v>16</v>
      </c>
      <c r="C38" s="114" t="s">
        <v>243</v>
      </c>
      <c r="D38" s="268" t="str">
        <f>VLOOKUP(C38,Purchased!A:B,2,0)</f>
        <v>BRX GOTO QUICK CONNECTOR N10 90°</v>
      </c>
      <c r="E38" s="269"/>
      <c r="F38" s="112" t="str">
        <f>VLOOKUP(C38,Purchased!A:Q,9,0)</f>
        <v>BRX</v>
      </c>
      <c r="G38" s="112" t="str">
        <f>VLOOKUP(C38,Purchased!A:Q,10,0)</f>
        <v>AAP</v>
      </c>
      <c r="H38" s="112" t="str">
        <f>VLOOKUP(C38,Purchased!A:Q,12,0)</f>
        <v xml:space="preserve">  </v>
      </c>
      <c r="I38" s="113"/>
      <c r="J38" s="44" t="str">
        <f>VLOOKUP(C38,Purchased!A:Q,13,0)</f>
        <v>N/A</v>
      </c>
      <c r="K38" s="44">
        <f>VLOOKUP(C38,Purchased!A:Q,14,0)</f>
        <v>45089</v>
      </c>
      <c r="L38" s="44">
        <f>VLOOKUP(C38,Purchased!A:Q,15,0)</f>
        <v>45124</v>
      </c>
      <c r="M38" s="44">
        <f>VLOOKUP(C38,Purchased!A:Q,16,0)</f>
        <v>45124</v>
      </c>
      <c r="N38" s="45">
        <f>VLOOKUP(C38,Purchased!A:Q,17,0)</f>
        <v>54927</v>
      </c>
      <c r="O38" s="45" t="e">
        <f t="shared" ca="1" si="17"/>
        <v>#VALUE!</v>
      </c>
      <c r="P38" s="49">
        <f>IFERROR(VLOOKUP(C38,Purchased!A:E,3,FALSE),"")</f>
        <v>5.2857000000000003</v>
      </c>
      <c r="Q38" s="50">
        <f t="shared" si="18"/>
        <v>84.571200000000005</v>
      </c>
    </row>
    <row r="39" spans="1:17" s="2" customFormat="1" ht="12" customHeight="1">
      <c r="A39" s="241">
        <f t="shared" si="8"/>
        <v>325</v>
      </c>
      <c r="B39" s="240">
        <v>3</v>
      </c>
      <c r="C39" s="114" t="s">
        <v>1028</v>
      </c>
      <c r="D39" s="268" t="str">
        <f>VLOOKUP(C39,Purchased!A:B,2,0)</f>
        <v>Button Head Hex Drive Screws, Zinc-Plated Alloy Steel, M10 x 1.5 mm Thread, 45 mm Long</v>
      </c>
      <c r="E39" s="269"/>
      <c r="F39" s="112" t="str">
        <f>VLOOKUP(C39,Purchased!A:Q,9,0)</f>
        <v>MCM</v>
      </c>
      <c r="G39" s="112" t="str">
        <f>VLOOKUP(C39,Purchased!A:Q,10,0)</f>
        <v>MCM</v>
      </c>
      <c r="H39" s="112">
        <f>VLOOKUP(C39,Purchased!A:Q,12,0)</f>
        <v>0</v>
      </c>
      <c r="I39" s="113"/>
      <c r="J39" s="44" t="str">
        <f>VLOOKUP(C39,Purchased!A:Q,13,0)</f>
        <v>N/A</v>
      </c>
      <c r="K39" s="44">
        <f>VLOOKUP(C39,Purchased!A:Q,14,0)</f>
        <v>45229</v>
      </c>
      <c r="L39" s="44">
        <f>VLOOKUP(C39,Purchased!A:Q,15,0)</f>
        <v>45230</v>
      </c>
      <c r="M39" s="44">
        <f>VLOOKUP(C39,Purchased!A:Q,16,0)</f>
        <v>45230</v>
      </c>
      <c r="N39" s="45">
        <f>VLOOKUP(C39,Purchased!A:Q,17,0)</f>
        <v>55262</v>
      </c>
      <c r="O39" s="45" t="e">
        <f t="shared" ref="O39" ca="1" si="19">B39*$L$2</f>
        <v>#VALUE!</v>
      </c>
      <c r="P39" s="49">
        <f>IFERROR(VLOOKUP(C39,Purchased!A:E,3,FALSE),"")</f>
        <v>6.83</v>
      </c>
      <c r="Q39" s="50">
        <f t="shared" ref="Q39" si="20">IFERROR(B39*P39,"")</f>
        <v>20.490000000000002</v>
      </c>
    </row>
    <row r="40" spans="1:17" s="2" customFormat="1" ht="12" customHeight="1">
      <c r="A40" s="241">
        <v>326</v>
      </c>
      <c r="B40" s="240">
        <v>12</v>
      </c>
      <c r="C40" s="114" t="s">
        <v>1122</v>
      </c>
      <c r="D40" s="268" t="str">
        <f>VLOOKUP(C40,Purchased!A:B,2,0)</f>
        <v>Clamping Two-Piece Shaft Collar for 16mm Diameter, Chrome Plated 1215 Carbon Steel</v>
      </c>
      <c r="E40" s="269"/>
      <c r="F40" s="112" t="str">
        <f>VLOOKUP(C40,Purchased!A:Q,9,0)</f>
        <v>MCM</v>
      </c>
      <c r="G40" s="112" t="str">
        <f>VLOOKUP(C40,Purchased!A:Q,10,0)</f>
        <v>MCM</v>
      </c>
      <c r="H40" s="112">
        <f>VLOOKUP(C40,Purchased!A:Q,12,0)</f>
        <v>0</v>
      </c>
      <c r="I40" s="113"/>
      <c r="J40" s="44" t="str">
        <f>VLOOKUP(C40,Purchased!A:Q,13,0)</f>
        <v>N/A</v>
      </c>
      <c r="K40" s="44">
        <f>VLOOKUP(C40,Purchased!A:Q,14,0)</f>
        <v>45229</v>
      </c>
      <c r="L40" s="44">
        <f>VLOOKUP(C40,Purchased!A:Q,15,0)</f>
        <v>45230</v>
      </c>
      <c r="M40" s="44">
        <f>VLOOKUP(C40,Purchased!A:Q,16,0)</f>
        <v>45230</v>
      </c>
      <c r="N40" s="45">
        <f>VLOOKUP(C40,Purchased!A:Q,17,0)</f>
        <v>55262</v>
      </c>
      <c r="O40" s="45" t="e">
        <f t="shared" ref="O40" ca="1" si="21">B40*$L$2</f>
        <v>#VALUE!</v>
      </c>
      <c r="P40" s="49">
        <f>IFERROR(VLOOKUP(C40,Purchased!A:E,3,FALSE),"")</f>
        <v>17.98</v>
      </c>
      <c r="Q40" s="50">
        <f t="shared" ref="Q40" si="22">IFERROR(B40*P40,"")</f>
        <v>215.76</v>
      </c>
    </row>
    <row r="41" spans="1:17" s="2" customFormat="1" ht="12" customHeight="1">
      <c r="A41" s="25"/>
      <c r="B41" s="26"/>
      <c r="C41" s="26"/>
      <c r="D41" s="272"/>
      <c r="E41" s="273"/>
      <c r="F41" s="26"/>
      <c r="G41" s="26"/>
      <c r="H41" s="274"/>
      <c r="I41" s="275"/>
      <c r="J41" s="27"/>
      <c r="K41" s="27"/>
      <c r="L41" s="27"/>
      <c r="M41" s="28"/>
      <c r="N41" s="29"/>
      <c r="O41" s="29" t="e">
        <f t="shared" ref="O41:O42" ca="1" si="23">B41*$L$2</f>
        <v>#VALUE!</v>
      </c>
      <c r="P41" s="141"/>
      <c r="Q41" s="142"/>
    </row>
    <row r="42" spans="1:17" s="2" customFormat="1" ht="12" customHeight="1">
      <c r="A42" s="4">
        <v>501</v>
      </c>
      <c r="B42" s="2">
        <v>16</v>
      </c>
      <c r="C42" s="110" t="s">
        <v>278</v>
      </c>
      <c r="D42" s="268"/>
      <c r="E42" s="276"/>
      <c r="F42" s="112" t="str">
        <f>VLOOKUP(C42,Bolts!A:L,5,0)</f>
        <v xml:space="preserve">  </v>
      </c>
      <c r="G42" s="112" t="str">
        <f>VLOOKUP(C42,Bolts!A:L,6,0)</f>
        <v>Monroe Fasteners</v>
      </c>
      <c r="H42" s="112" t="str">
        <f>VLOOKUP(C42,Bolts!A:L,7,0)</f>
        <v xml:space="preserve">  </v>
      </c>
      <c r="I42" s="112"/>
      <c r="J42" s="44" t="str">
        <f>VLOOKUP(C42,Bolts!A:L,8,0)</f>
        <v xml:space="preserve"> </v>
      </c>
      <c r="K42" s="44" t="str">
        <f>VLOOKUP(C42,Bolts!A:L,9,0)</f>
        <v xml:space="preserve"> </v>
      </c>
      <c r="L42" s="44" t="str">
        <f>VLOOKUP(C42,Bolts!A:L,10,0)</f>
        <v xml:space="preserve"> </v>
      </c>
      <c r="M42" s="44" t="str">
        <f>VLOOKUP(C42,Bolts!A:L,11,0)</f>
        <v xml:space="preserve"> </v>
      </c>
      <c r="N42" s="45" t="str">
        <f>VLOOKUP(C42,Bolts!A:L,12,0)</f>
        <v xml:space="preserve"> </v>
      </c>
      <c r="O42" s="45" t="e">
        <f t="shared" ca="1" si="23"/>
        <v>#VALUE!</v>
      </c>
      <c r="P42" s="49" t="str">
        <f>IFERROR(VLOOKUP(C42,Bolts!A:B,2,FALSE),"")</f>
        <v xml:space="preserve"> </v>
      </c>
      <c r="Q42" s="50" t="str">
        <f t="shared" ref="Q42" si="24">IFERROR(B42*P42,"")</f>
        <v/>
      </c>
    </row>
    <row r="43" spans="1:17" s="2" customFormat="1" ht="12" customHeight="1">
      <c r="A43" s="4">
        <f>A42+1</f>
        <v>502</v>
      </c>
      <c r="B43" s="2">
        <v>16</v>
      </c>
      <c r="C43" s="110" t="s">
        <v>479</v>
      </c>
      <c r="D43" s="268"/>
      <c r="E43" s="276"/>
      <c r="F43" s="112" t="str">
        <f>VLOOKUP(C43,Bolts!A:L,5,0)</f>
        <v xml:space="preserve">  </v>
      </c>
      <c r="G43" s="112" t="str">
        <f>VLOOKUP(C43,Bolts!A:L,6,0)</f>
        <v>Monroe Fasteners</v>
      </c>
      <c r="H43" s="112" t="str">
        <f>VLOOKUP(C43,Bolts!A:L,7,0)</f>
        <v xml:space="preserve">  </v>
      </c>
      <c r="I43" s="112"/>
      <c r="J43" s="44" t="str">
        <f>VLOOKUP(C43,Bolts!A:L,8,0)</f>
        <v xml:space="preserve"> </v>
      </c>
      <c r="K43" s="44" t="str">
        <f>VLOOKUP(C43,Bolts!A:L,9,0)</f>
        <v xml:space="preserve"> </v>
      </c>
      <c r="L43" s="44" t="str">
        <f>VLOOKUP(C43,Bolts!A:L,10,0)</f>
        <v xml:space="preserve"> </v>
      </c>
      <c r="M43" s="44" t="str">
        <f>VLOOKUP(C43,Bolts!A:L,11,0)</f>
        <v xml:space="preserve"> </v>
      </c>
      <c r="N43" s="45" t="str">
        <f>VLOOKUP(C43,Bolts!A:L,12,0)</f>
        <v xml:space="preserve"> </v>
      </c>
      <c r="O43" s="45" t="e">
        <f ca="1">B43*$L$2</f>
        <v>#VALUE!</v>
      </c>
      <c r="P43" s="49" t="str">
        <f>IFERROR(VLOOKUP(C43,Bolts!A:B,2,FALSE),"")</f>
        <v xml:space="preserve"> </v>
      </c>
      <c r="Q43" s="50" t="str">
        <f>IFERROR(B43*P43,"")</f>
        <v/>
      </c>
    </row>
    <row r="44" spans="1:17" s="2" customFormat="1" ht="12" customHeight="1">
      <c r="A44" s="4">
        <f>A43+1</f>
        <v>503</v>
      </c>
      <c r="B44" s="2">
        <v>8</v>
      </c>
      <c r="C44" s="110" t="s">
        <v>257</v>
      </c>
      <c r="D44" s="268"/>
      <c r="E44" s="276"/>
      <c r="F44" s="112" t="str">
        <f>VLOOKUP(C44,Bolts!A:L,5,0)</f>
        <v xml:space="preserve">  </v>
      </c>
      <c r="G44" s="112" t="str">
        <f>VLOOKUP(C44,Bolts!A:L,6,0)</f>
        <v>Monroe Fasteners</v>
      </c>
      <c r="H44" s="112" t="str">
        <f>VLOOKUP(C44,Bolts!A:L,7,0)</f>
        <v xml:space="preserve">  </v>
      </c>
      <c r="I44" s="112"/>
      <c r="J44" s="44" t="str">
        <f>VLOOKUP(C44,Bolts!A:L,8,0)</f>
        <v xml:space="preserve"> </v>
      </c>
      <c r="K44" s="44" t="str">
        <f>VLOOKUP(C44,Bolts!A:L,9,0)</f>
        <v xml:space="preserve"> </v>
      </c>
      <c r="L44" s="44" t="str">
        <f>VLOOKUP(C44,Bolts!A:L,10,0)</f>
        <v xml:space="preserve"> </v>
      </c>
      <c r="M44" s="44" t="str">
        <f>VLOOKUP(C44,Bolts!A:L,11,0)</f>
        <v xml:space="preserve"> </v>
      </c>
      <c r="N44" s="45" t="str">
        <f>VLOOKUP(C44,Bolts!A:L,12,0)</f>
        <v xml:space="preserve"> </v>
      </c>
      <c r="O44" s="45" t="e">
        <f ca="1">B44*$L$2</f>
        <v>#VALUE!</v>
      </c>
      <c r="P44" s="49" t="str">
        <f>IFERROR(VLOOKUP(C44,Bolts!A:B,2,FALSE),"")</f>
        <v xml:space="preserve"> </v>
      </c>
      <c r="Q44" s="50" t="str">
        <f>IFERROR(B44*P44,"")</f>
        <v/>
      </c>
    </row>
    <row r="45" spans="1:17" s="2" customFormat="1" ht="12" customHeight="1">
      <c r="A45" s="4">
        <f>A44+1</f>
        <v>504</v>
      </c>
      <c r="B45" s="2">
        <v>3</v>
      </c>
      <c r="C45" s="110" t="s">
        <v>429</v>
      </c>
      <c r="D45" s="164"/>
      <c r="E45" s="165"/>
      <c r="F45" s="112" t="str">
        <f>VLOOKUP(C45,Bolts!A:L,5,0)</f>
        <v xml:space="preserve">  </v>
      </c>
      <c r="G45" s="112" t="str">
        <f>VLOOKUP(C45,Bolts!A:L,6,0)</f>
        <v>Monroe Fasteners</v>
      </c>
      <c r="H45" s="112" t="str">
        <f>VLOOKUP(C45,Bolts!A:L,7,0)</f>
        <v xml:space="preserve">  </v>
      </c>
      <c r="I45" s="112"/>
      <c r="J45" s="44" t="str">
        <f>VLOOKUP(C45,Bolts!A:L,8,0)</f>
        <v xml:space="preserve"> </v>
      </c>
      <c r="K45" s="44" t="str">
        <f>VLOOKUP(C45,Bolts!A:L,9,0)</f>
        <v xml:space="preserve"> </v>
      </c>
      <c r="L45" s="44" t="str">
        <f>VLOOKUP(C45,Bolts!A:L,10,0)</f>
        <v xml:space="preserve"> </v>
      </c>
      <c r="M45" s="44" t="str">
        <f>VLOOKUP(C45,Bolts!A:L,11,0)</f>
        <v xml:space="preserve"> </v>
      </c>
      <c r="N45" s="45" t="str">
        <f>VLOOKUP(C45,Bolts!A:L,12,0)</f>
        <v xml:space="preserve"> </v>
      </c>
      <c r="O45" s="45" t="e">
        <f ca="1">B45*$L$2</f>
        <v>#VALUE!</v>
      </c>
      <c r="P45" s="49" t="str">
        <f>IFERROR(VLOOKUP(C45,Bolts!A:B,2,FALSE),"")</f>
        <v xml:space="preserve"> </v>
      </c>
      <c r="Q45" s="50" t="str">
        <f>IFERROR(B45*P45,"")</f>
        <v/>
      </c>
    </row>
    <row r="46" spans="1:17" s="2" customFormat="1" ht="12.75" customHeight="1">
      <c r="A46" s="25"/>
      <c r="B46" s="26"/>
      <c r="C46" s="26"/>
      <c r="D46" s="272"/>
      <c r="E46" s="273"/>
      <c r="F46" s="26"/>
      <c r="G46" s="26"/>
      <c r="H46" s="274"/>
      <c r="I46" s="275"/>
      <c r="J46" s="27"/>
      <c r="K46" s="27"/>
      <c r="L46" s="27"/>
      <c r="M46" s="28"/>
      <c r="N46" s="29"/>
      <c r="O46" s="29"/>
      <c r="P46" s="141"/>
      <c r="Q46" s="142"/>
    </row>
    <row r="47" spans="1:17" s="2" customFormat="1" ht="12.75" customHeight="1">
      <c r="A47" s="4">
        <v>701</v>
      </c>
      <c r="B47" s="2">
        <v>6</v>
      </c>
      <c r="C47" s="111" t="s">
        <v>1123</v>
      </c>
      <c r="D47" s="268" t="str">
        <f>VLOOKUP(C47,Extrusion!B:C,2,0)</f>
        <v>Assy .470</v>
      </c>
      <c r="E47" s="269"/>
      <c r="F47" s="112" t="str">
        <f>VLOOKUP(C47,Extrusion!B:M,6,0)</f>
        <v>BOSCH</v>
      </c>
      <c r="G47" s="112" t="str">
        <f>VLOOKUP(C47,Extrusion!B:M,7,0)</f>
        <v>NULINE</v>
      </c>
      <c r="H47" s="112" t="str">
        <f>VLOOKUP(C47,Extrusion!B:M,8,0)</f>
        <v>use 6x 90X90, D17|D17, 1680MM</v>
      </c>
      <c r="I47" s="113"/>
      <c r="J47" s="44" t="str">
        <f>VLOOKUP(C47,Extrusion!B:M,9,0)</f>
        <v>N/A</v>
      </c>
      <c r="K47" s="44">
        <f>VLOOKUP(C47,Extrusion!B:M,10,0)</f>
        <v>44894</v>
      </c>
      <c r="L47" s="44">
        <f>VLOOKUP(C47,Extrusion!B:M,11,0)</f>
        <v>44970</v>
      </c>
      <c r="M47" s="44">
        <f>VLOOKUP(C47,Extrusion!B:M,12,0)</f>
        <v>44970</v>
      </c>
      <c r="N47" s="45">
        <f>VLOOKUP(C47,Extrusion!B:N,13,0)</f>
        <v>54598</v>
      </c>
      <c r="O47" s="45" t="e">
        <f t="shared" ref="O47:O49" ca="1" si="25">B47*$L$2</f>
        <v>#VALUE!</v>
      </c>
      <c r="P47" s="49">
        <f>IFERROR(VLOOKUP(C47,Extrusion!B:F,5,0),"")</f>
        <v>151.75464643333333</v>
      </c>
      <c r="Q47" s="50">
        <f t="shared" ref="Q47:Q49" si="26">IFERROR(B47*P47,"")</f>
        <v>910.52787860000001</v>
      </c>
    </row>
    <row r="48" spans="1:17" s="2" customFormat="1" ht="12" customHeight="1">
      <c r="A48" s="4">
        <f t="shared" ref="A48:A50" si="27">A47+1</f>
        <v>702</v>
      </c>
      <c r="B48" s="2">
        <v>4</v>
      </c>
      <c r="C48" s="111" t="s">
        <v>1124</v>
      </c>
      <c r="D48" s="268" t="str">
        <f>VLOOKUP(C48,Extrusion!B:C,2,0)</f>
        <v>Assy .470</v>
      </c>
      <c r="E48" s="269"/>
      <c r="F48" s="112" t="str">
        <f>VLOOKUP(C48,Extrusion!B:M,6,0)</f>
        <v>BOSCH</v>
      </c>
      <c r="G48" s="112" t="str">
        <f>VLOOKUP(C48,Extrusion!B:M,7,0)</f>
        <v>NULINE</v>
      </c>
      <c r="H48" s="112" t="str">
        <f>VLOOKUP(C48,Extrusion!B:M,8,0)</f>
        <v xml:space="preserve"> </v>
      </c>
      <c r="I48" s="113"/>
      <c r="J48" s="44" t="str">
        <f>VLOOKUP(C48,Extrusion!B:M,9,0)</f>
        <v>N/A</v>
      </c>
      <c r="K48" s="44">
        <f>VLOOKUP(C48,Extrusion!B:M,10,0)</f>
        <v>44894</v>
      </c>
      <c r="L48" s="44">
        <f>VLOOKUP(C48,Extrusion!B:M,11,0)</f>
        <v>44970</v>
      </c>
      <c r="M48" s="44">
        <f>VLOOKUP(C48,Extrusion!B:M,12,0)</f>
        <v>44970</v>
      </c>
      <c r="N48" s="45">
        <f>VLOOKUP(C48,Extrusion!B:N,13,0)</f>
        <v>54598</v>
      </c>
      <c r="O48" s="45" t="e">
        <f t="shared" ca="1" si="25"/>
        <v>#VALUE!</v>
      </c>
      <c r="P48" s="49">
        <f>IFERROR(VLOOKUP(C48,Extrusion!B:F,5,0),"")</f>
        <v>75.372476973000005</v>
      </c>
      <c r="Q48" s="50">
        <f t="shared" si="26"/>
        <v>301.48990789200002</v>
      </c>
    </row>
    <row r="49" spans="1:17" s="2" customFormat="1" ht="12" customHeight="1">
      <c r="A49" s="4">
        <f t="shared" si="27"/>
        <v>703</v>
      </c>
      <c r="B49" s="2">
        <v>8</v>
      </c>
      <c r="C49" s="111" t="s">
        <v>1125</v>
      </c>
      <c r="D49" s="268" t="str">
        <f>VLOOKUP(C49,Extrusion!B:C,2,0)</f>
        <v>Assy .470</v>
      </c>
      <c r="E49" s="269"/>
      <c r="F49" s="112" t="str">
        <f>VLOOKUP(C49,Extrusion!B:M,6,0)</f>
        <v>BOSCH</v>
      </c>
      <c r="G49" s="112" t="str">
        <f>VLOOKUP(C49,Extrusion!B:M,7,0)</f>
        <v>NULINE</v>
      </c>
      <c r="H49" s="112" t="str">
        <f>VLOOKUP(C49,Extrusion!B:M,8,0)</f>
        <v xml:space="preserve"> </v>
      </c>
      <c r="I49" s="113"/>
      <c r="J49" s="44" t="str">
        <f>VLOOKUP(C49,Extrusion!B:M,9,0)</f>
        <v>N/A</v>
      </c>
      <c r="K49" s="44">
        <f>VLOOKUP(C49,Extrusion!B:M,10,0)</f>
        <v>44894</v>
      </c>
      <c r="L49" s="44">
        <f>VLOOKUP(C49,Extrusion!B:M,11,0)</f>
        <v>44970</v>
      </c>
      <c r="M49" s="44">
        <f>VLOOKUP(C49,Extrusion!B:M,12,0)</f>
        <v>44970</v>
      </c>
      <c r="N49" s="45">
        <f>VLOOKUP(C49,Extrusion!B:N,13,0)</f>
        <v>54598</v>
      </c>
      <c r="O49" s="45" t="e">
        <f t="shared" ca="1" si="25"/>
        <v>#VALUE!</v>
      </c>
      <c r="P49" s="49">
        <f>IFERROR(VLOOKUP(C49,Extrusion!B:F,5,0),"")</f>
        <v>41.988619321333331</v>
      </c>
      <c r="Q49" s="50">
        <f t="shared" si="26"/>
        <v>335.90895457066665</v>
      </c>
    </row>
    <row r="50" spans="1:17" s="2" customFormat="1" ht="12" customHeight="1" thickBot="1">
      <c r="A50" s="4">
        <f t="shared" si="27"/>
        <v>704</v>
      </c>
      <c r="B50" s="2">
        <v>2</v>
      </c>
      <c r="C50" s="111" t="s">
        <v>1126</v>
      </c>
      <c r="D50" s="268" t="str">
        <f>VLOOKUP(C50,Extrusion!B:C,2,0)</f>
        <v>Assy .470</v>
      </c>
      <c r="E50" s="269"/>
      <c r="F50" s="112" t="str">
        <f>VLOOKUP(C50,Extrusion!B:M,6,0)</f>
        <v>BOSCH</v>
      </c>
      <c r="G50" s="112" t="str">
        <f>VLOOKUP(C50,Extrusion!B:M,7,0)</f>
        <v>NULINE</v>
      </c>
      <c r="H50" s="112" t="str">
        <f>VLOOKUP(C50,Extrusion!B:M,8,0)</f>
        <v xml:space="preserve"> </v>
      </c>
      <c r="I50" s="113"/>
      <c r="J50" s="44" t="str">
        <f>VLOOKUP(C50,Extrusion!B:M,9,0)</f>
        <v>N/A</v>
      </c>
      <c r="K50" s="44">
        <f>VLOOKUP(C50,Extrusion!B:M,10,0)</f>
        <v>44894</v>
      </c>
      <c r="L50" s="44">
        <f>VLOOKUP(C50,Extrusion!B:M,11,0)</f>
        <v>44970</v>
      </c>
      <c r="M50" s="44">
        <f>VLOOKUP(C50,Extrusion!B:M,12,0)</f>
        <v>44970</v>
      </c>
      <c r="N50" s="45">
        <f>VLOOKUP(C50,Extrusion!B:N,13,0)</f>
        <v>54598</v>
      </c>
      <c r="O50" s="45" t="e">
        <f t="shared" ref="O50" ca="1" si="28">B50*$L$2</f>
        <v>#VALUE!</v>
      </c>
      <c r="P50" s="49">
        <f>IFERROR(VLOOKUP(C50,Extrusion!B:F,5,0),"")</f>
        <v>80.883860120666668</v>
      </c>
      <c r="Q50" s="50">
        <f t="shared" ref="Q50" si="29">IFERROR(B50*P50,"")</f>
        <v>161.76772024133334</v>
      </c>
    </row>
    <row r="51" spans="1:17" s="2" customFormat="1" ht="12.75" customHeight="1" thickBot="1">
      <c r="A51" s="34"/>
      <c r="B51" s="35"/>
      <c r="C51" s="35"/>
      <c r="D51" s="256"/>
      <c r="E51" s="257"/>
      <c r="F51" s="35"/>
      <c r="G51" s="35"/>
      <c r="H51" s="294"/>
      <c r="I51" s="295"/>
      <c r="J51" s="36"/>
      <c r="K51" s="36"/>
      <c r="L51" s="36"/>
      <c r="M51" s="37"/>
      <c r="N51" s="38"/>
      <c r="O51" s="38"/>
      <c r="P51" s="89" t="s">
        <v>43</v>
      </c>
      <c r="Q51" s="94">
        <f>SUM(Q5:Q50)</f>
        <v>12483.226361304001</v>
      </c>
    </row>
    <row r="52" spans="1:17" s="2" customFormat="1" ht="12" customHeight="1">
      <c r="D52" s="22"/>
      <c r="E52" s="22"/>
      <c r="J52" s="8"/>
      <c r="K52" s="8"/>
      <c r="L52" s="8"/>
      <c r="M52" s="8"/>
      <c r="N52" s="5"/>
      <c r="O52" s="5"/>
      <c r="P52" s="88"/>
      <c r="Q52" s="95"/>
    </row>
    <row r="53" spans="1:17" s="2" customFormat="1" ht="12" customHeight="1">
      <c r="D53" s="22"/>
      <c r="E53" s="22"/>
      <c r="J53" s="5"/>
      <c r="K53" s="5"/>
      <c r="L53" s="5"/>
      <c r="M53" s="5"/>
      <c r="N53" s="5"/>
      <c r="O53" s="5"/>
      <c r="P53" s="88"/>
      <c r="Q53" s="95"/>
    </row>
    <row r="54" spans="1:17" s="2" customFormat="1" ht="12" customHeight="1">
      <c r="D54" s="22"/>
      <c r="E54" s="22"/>
      <c r="J54" s="5"/>
      <c r="K54" s="5"/>
      <c r="L54" s="5"/>
      <c r="M54" s="5"/>
      <c r="N54" s="5"/>
      <c r="O54" s="5"/>
      <c r="P54" s="88"/>
      <c r="Q54" s="95"/>
    </row>
    <row r="55" spans="1:17" s="2" customFormat="1" ht="12" customHeight="1">
      <c r="D55" s="22"/>
      <c r="E55" s="22"/>
      <c r="J55" s="5"/>
      <c r="K55" s="5"/>
      <c r="L55" s="5"/>
      <c r="M55" s="5"/>
      <c r="N55" s="5"/>
      <c r="O55" s="5"/>
      <c r="P55" s="88"/>
      <c r="Q55" s="95"/>
    </row>
    <row r="56" spans="1:17" s="2" customFormat="1" ht="12" customHeight="1">
      <c r="D56" s="22"/>
      <c r="E56" s="22"/>
      <c r="J56" s="5"/>
      <c r="K56" s="5"/>
      <c r="L56" s="5"/>
      <c r="M56" s="5"/>
      <c r="N56" s="5"/>
      <c r="O56" s="5"/>
      <c r="P56" s="88"/>
      <c r="Q56" s="95"/>
    </row>
    <row r="57" spans="1:17" s="2" customFormat="1" ht="12" customHeight="1">
      <c r="D57" s="22"/>
      <c r="E57" s="22"/>
      <c r="J57" s="5"/>
      <c r="K57" s="5"/>
      <c r="L57" s="5"/>
      <c r="M57" s="5"/>
      <c r="N57" s="5"/>
      <c r="O57" s="5"/>
      <c r="P57" s="88"/>
      <c r="Q57" s="95"/>
    </row>
    <row r="58" spans="1:17" s="2" customFormat="1" ht="12" customHeight="1">
      <c r="D58" s="22"/>
      <c r="E58" s="22"/>
      <c r="J58" s="5"/>
      <c r="K58" s="5"/>
      <c r="L58" s="5"/>
      <c r="M58" s="5"/>
      <c r="N58" s="5"/>
      <c r="O58" s="5"/>
      <c r="P58" s="88"/>
      <c r="Q58" s="95"/>
    </row>
    <row r="59" spans="1:17" s="2" customFormat="1" ht="12" customHeight="1">
      <c r="D59" s="22"/>
      <c r="E59" s="22"/>
      <c r="J59" s="5"/>
      <c r="K59" s="5"/>
      <c r="L59" s="5"/>
      <c r="M59" s="5"/>
      <c r="N59" s="5"/>
      <c r="O59" s="5"/>
      <c r="P59" s="88"/>
      <c r="Q59" s="95"/>
    </row>
    <row r="60" spans="1:17" s="2" customFormat="1" ht="12" customHeight="1">
      <c r="D60" s="22"/>
      <c r="E60" s="22"/>
      <c r="J60" s="5"/>
      <c r="K60" s="5"/>
      <c r="L60" s="5"/>
      <c r="M60" s="5"/>
      <c r="N60" s="5"/>
      <c r="O60" s="5"/>
      <c r="P60" s="88"/>
      <c r="Q60" s="95"/>
    </row>
    <row r="61" spans="1:17" s="2" customFormat="1" ht="12" customHeight="1">
      <c r="D61" s="22"/>
      <c r="E61" s="22"/>
      <c r="J61" s="5"/>
      <c r="K61" s="5"/>
      <c r="L61" s="5"/>
      <c r="M61" s="5"/>
      <c r="N61" s="5"/>
      <c r="O61" s="5"/>
      <c r="P61" s="88"/>
      <c r="Q61" s="95"/>
    </row>
    <row r="62" spans="1:17" s="2" customFormat="1" ht="12" customHeight="1">
      <c r="D62" s="22"/>
      <c r="E62" s="22"/>
      <c r="J62" s="5"/>
      <c r="K62" s="5"/>
      <c r="L62" s="5"/>
      <c r="M62" s="5"/>
      <c r="N62" s="5"/>
      <c r="O62" s="5"/>
      <c r="P62" s="88"/>
      <c r="Q62" s="95"/>
    </row>
    <row r="63" spans="1:17" s="2" customFormat="1" ht="12" customHeight="1">
      <c r="D63" s="22"/>
      <c r="E63" s="22"/>
      <c r="J63" s="5"/>
      <c r="K63" s="5"/>
      <c r="L63" s="5"/>
      <c r="M63" s="5"/>
      <c r="N63" s="5"/>
      <c r="O63" s="5"/>
      <c r="P63" s="88"/>
      <c r="Q63" s="95"/>
    </row>
    <row r="64" spans="1:17" s="2" customFormat="1" ht="12" customHeight="1">
      <c r="D64" s="22"/>
      <c r="E64" s="22"/>
      <c r="J64" s="5"/>
      <c r="K64" s="5"/>
      <c r="L64" s="5"/>
      <c r="M64" s="5"/>
      <c r="N64" s="5"/>
      <c r="O64" s="5"/>
      <c r="P64" s="88"/>
      <c r="Q64" s="95"/>
    </row>
    <row r="65" spans="4:17" s="2" customFormat="1" ht="12" customHeight="1">
      <c r="D65" s="22"/>
      <c r="E65" s="22"/>
      <c r="J65" s="5"/>
      <c r="K65" s="5"/>
      <c r="L65" s="5"/>
      <c r="M65" s="5"/>
      <c r="N65" s="5"/>
      <c r="O65" s="5"/>
      <c r="P65" s="88"/>
      <c r="Q65" s="95"/>
    </row>
    <row r="66" spans="4:17" s="2" customFormat="1" ht="12" customHeight="1">
      <c r="D66" s="22"/>
      <c r="E66" s="22"/>
      <c r="J66" s="5"/>
      <c r="K66" s="5"/>
      <c r="L66" s="5"/>
      <c r="M66" s="5"/>
      <c r="N66" s="5"/>
      <c r="O66" s="5"/>
      <c r="P66" s="88"/>
      <c r="Q66" s="95"/>
    </row>
    <row r="67" spans="4:17" s="2" customFormat="1" ht="12" customHeight="1">
      <c r="D67" s="22"/>
      <c r="E67" s="22"/>
      <c r="J67" s="5"/>
      <c r="K67" s="5"/>
      <c r="L67" s="5"/>
      <c r="M67" s="5"/>
      <c r="N67" s="5"/>
      <c r="O67" s="5"/>
      <c r="P67" s="88"/>
      <c r="Q67" s="95"/>
    </row>
    <row r="68" spans="4:17" s="2" customFormat="1" ht="12" customHeight="1">
      <c r="D68" s="22"/>
      <c r="E68" s="22"/>
      <c r="J68" s="5"/>
      <c r="K68" s="5"/>
      <c r="L68" s="5"/>
      <c r="M68" s="5"/>
      <c r="N68" s="5"/>
      <c r="O68" s="5"/>
      <c r="P68" s="88"/>
      <c r="Q68" s="95"/>
    </row>
    <row r="69" spans="4:17" s="2" customFormat="1" ht="12" customHeight="1">
      <c r="D69" s="22"/>
      <c r="E69" s="22"/>
      <c r="J69" s="5"/>
      <c r="K69" s="5"/>
      <c r="L69" s="5"/>
      <c r="M69" s="5"/>
      <c r="N69" s="5"/>
      <c r="O69" s="5"/>
      <c r="P69" s="88"/>
      <c r="Q69" s="95"/>
    </row>
    <row r="70" spans="4:17" s="2" customFormat="1" ht="12" customHeight="1">
      <c r="D70" s="22"/>
      <c r="E70" s="22"/>
      <c r="J70" s="5"/>
      <c r="K70" s="5"/>
      <c r="L70" s="5"/>
      <c r="M70" s="5"/>
      <c r="N70" s="5"/>
      <c r="O70" s="5"/>
      <c r="P70" s="88"/>
      <c r="Q70" s="95"/>
    </row>
    <row r="71" spans="4:17" s="2" customFormat="1" ht="12" customHeight="1">
      <c r="D71" s="22"/>
      <c r="E71" s="22"/>
      <c r="J71" s="5"/>
      <c r="K71" s="5"/>
      <c r="L71" s="5"/>
      <c r="M71" s="5"/>
      <c r="N71" s="5"/>
      <c r="O71" s="5"/>
      <c r="P71" s="88"/>
      <c r="Q71" s="95"/>
    </row>
    <row r="72" spans="4:17" s="2" customFormat="1" ht="12" customHeight="1">
      <c r="D72" s="22"/>
      <c r="E72" s="22"/>
      <c r="J72" s="5"/>
      <c r="K72" s="5"/>
      <c r="L72" s="5"/>
      <c r="M72" s="5"/>
      <c r="N72" s="5"/>
      <c r="O72" s="5"/>
      <c r="P72" s="88"/>
      <c r="Q72" s="95"/>
    </row>
    <row r="73" spans="4:17" s="2" customFormat="1" ht="12" customHeight="1">
      <c r="D73" s="22"/>
      <c r="E73" s="22"/>
      <c r="J73" s="5"/>
      <c r="K73" s="5"/>
      <c r="L73" s="5"/>
      <c r="M73" s="5"/>
      <c r="N73" s="5"/>
      <c r="O73" s="5"/>
      <c r="P73" s="88"/>
      <c r="Q73" s="95"/>
    </row>
    <row r="74" spans="4:17" s="2" customFormat="1" ht="12" customHeight="1">
      <c r="D74" s="22"/>
      <c r="E74" s="22"/>
      <c r="J74" s="5"/>
      <c r="K74" s="5"/>
      <c r="L74" s="5"/>
      <c r="M74" s="5"/>
      <c r="N74" s="5"/>
      <c r="O74" s="5"/>
      <c r="P74" s="88"/>
      <c r="Q74" s="95"/>
    </row>
    <row r="75" spans="4:17" s="2" customFormat="1" ht="12" customHeight="1">
      <c r="D75" s="22"/>
      <c r="E75" s="22"/>
      <c r="J75" s="5"/>
      <c r="K75" s="5"/>
      <c r="L75" s="5"/>
      <c r="M75" s="5"/>
      <c r="N75" s="5"/>
      <c r="O75" s="5"/>
      <c r="P75" s="88"/>
      <c r="Q75" s="95"/>
    </row>
    <row r="76" spans="4:17" s="2" customFormat="1" ht="12" customHeight="1">
      <c r="D76" s="22"/>
      <c r="E76" s="22"/>
      <c r="J76" s="5"/>
      <c r="K76" s="5"/>
      <c r="L76" s="5"/>
      <c r="M76" s="5"/>
      <c r="N76" s="5"/>
      <c r="O76" s="5"/>
      <c r="P76" s="88"/>
      <c r="Q76" s="95"/>
    </row>
    <row r="77" spans="4:17" s="2" customFormat="1" ht="12" customHeight="1">
      <c r="D77" s="22"/>
      <c r="E77" s="22"/>
      <c r="J77" s="5"/>
      <c r="K77" s="5"/>
      <c r="L77" s="5"/>
      <c r="M77" s="5"/>
      <c r="N77" s="5"/>
      <c r="O77" s="5"/>
      <c r="P77" s="88"/>
      <c r="Q77" s="95"/>
    </row>
    <row r="78" spans="4:17" s="2" customFormat="1" ht="12" customHeight="1">
      <c r="D78" s="22"/>
      <c r="E78" s="22"/>
      <c r="J78" s="5"/>
      <c r="K78" s="5"/>
      <c r="L78" s="5"/>
      <c r="M78" s="5"/>
      <c r="N78" s="5"/>
      <c r="O78" s="5"/>
      <c r="P78" s="88"/>
      <c r="Q78" s="95"/>
    </row>
    <row r="79" spans="4:17" s="2" customFormat="1" ht="12" customHeight="1">
      <c r="D79" s="22"/>
      <c r="E79" s="22"/>
      <c r="J79" s="5"/>
      <c r="K79" s="5"/>
      <c r="L79" s="5"/>
      <c r="M79" s="5"/>
      <c r="N79" s="5"/>
      <c r="O79" s="5"/>
      <c r="P79" s="88"/>
      <c r="Q79" s="95"/>
    </row>
    <row r="80" spans="4:17" s="2" customFormat="1" ht="12" customHeight="1">
      <c r="D80" s="22"/>
      <c r="E80" s="22"/>
      <c r="J80" s="5"/>
      <c r="K80" s="5"/>
      <c r="L80" s="5"/>
      <c r="M80" s="5"/>
      <c r="N80" s="5"/>
      <c r="O80" s="5"/>
      <c r="P80" s="88"/>
      <c r="Q80" s="95"/>
    </row>
    <row r="81" spans="1:17" s="2" customFormat="1" ht="12" customHeight="1">
      <c r="D81" s="22"/>
      <c r="E81" s="22"/>
      <c r="J81" s="5"/>
      <c r="K81" s="5"/>
      <c r="L81" s="5"/>
      <c r="M81" s="5"/>
      <c r="N81" s="5"/>
      <c r="O81" s="5"/>
      <c r="P81" s="88"/>
      <c r="Q81" s="95"/>
    </row>
    <row r="82" spans="1:17" s="2" customFormat="1" ht="12" customHeight="1">
      <c r="D82" s="22"/>
      <c r="E82" s="22"/>
      <c r="J82" s="5"/>
      <c r="K82" s="5"/>
      <c r="L82" s="5"/>
      <c r="M82" s="5"/>
      <c r="N82" s="5"/>
      <c r="O82" s="5"/>
      <c r="P82" s="88"/>
      <c r="Q82" s="95"/>
    </row>
    <row r="83" spans="1:17" s="2" customFormat="1" ht="12" customHeight="1">
      <c r="D83" s="22"/>
      <c r="E83" s="22"/>
      <c r="J83" s="5"/>
      <c r="K83" s="5"/>
      <c r="L83" s="5"/>
      <c r="M83" s="5"/>
      <c r="N83" s="5"/>
      <c r="O83" s="5"/>
      <c r="P83" s="88"/>
      <c r="Q83" s="95"/>
    </row>
    <row r="84" spans="1:17" s="2" customFormat="1" ht="12" customHeight="1">
      <c r="D84" s="22"/>
      <c r="E84" s="22"/>
      <c r="J84" s="5"/>
      <c r="K84" s="5"/>
      <c r="L84" s="5"/>
      <c r="M84" s="5"/>
      <c r="N84" s="5"/>
      <c r="O84" s="5"/>
      <c r="P84" s="88"/>
      <c r="Q84" s="95"/>
    </row>
    <row r="85" spans="1:17" s="2" customFormat="1" ht="12" customHeight="1">
      <c r="D85" s="22"/>
      <c r="E85" s="22"/>
      <c r="J85" s="5"/>
      <c r="K85" s="5"/>
      <c r="L85" s="5"/>
      <c r="M85" s="5"/>
      <c r="N85" s="5"/>
      <c r="O85" s="5"/>
      <c r="P85" s="88"/>
      <c r="Q85" s="95"/>
    </row>
    <row r="86" spans="1:17" s="2" customFormat="1" ht="12" customHeight="1">
      <c r="D86" s="22"/>
      <c r="E86" s="22"/>
      <c r="J86" s="5"/>
      <c r="K86" s="5"/>
      <c r="L86" s="5"/>
      <c r="M86" s="5"/>
      <c r="N86" s="5"/>
      <c r="O86" s="5"/>
      <c r="P86" s="88"/>
      <c r="Q86" s="95"/>
    </row>
    <row r="87" spans="1:17" s="2" customFormat="1" ht="12" customHeight="1">
      <c r="D87" s="22"/>
      <c r="E87" s="22"/>
      <c r="J87" s="5"/>
      <c r="K87" s="5"/>
      <c r="L87" s="5"/>
      <c r="M87" s="5"/>
      <c r="N87" s="5"/>
      <c r="O87" s="5"/>
      <c r="P87" s="88"/>
      <c r="Q87" s="95"/>
    </row>
    <row r="88" spans="1:17" s="2" customFormat="1" ht="12" customHeight="1">
      <c r="D88" s="22"/>
      <c r="E88" s="22"/>
      <c r="J88" s="5"/>
      <c r="K88" s="5"/>
      <c r="L88" s="5"/>
      <c r="M88" s="5"/>
      <c r="N88" s="5"/>
      <c r="O88" s="5"/>
      <c r="P88" s="88"/>
      <c r="Q88" s="95"/>
    </row>
    <row r="89" spans="1:17" s="2" customFormat="1" ht="12" customHeight="1">
      <c r="D89" s="22"/>
      <c r="E89" s="22"/>
      <c r="J89" s="5"/>
      <c r="K89" s="5"/>
      <c r="L89" s="5"/>
      <c r="M89" s="5"/>
      <c r="N89" s="5"/>
      <c r="O89" s="5"/>
      <c r="P89" s="88"/>
      <c r="Q89" s="95"/>
    </row>
    <row r="90" spans="1:17" s="2" customFormat="1" ht="12" customHeight="1">
      <c r="D90" s="22"/>
      <c r="E90" s="22"/>
      <c r="J90" s="5"/>
      <c r="K90" s="5"/>
      <c r="L90" s="5"/>
      <c r="M90" s="5"/>
      <c r="N90" s="5"/>
      <c r="O90" s="5"/>
      <c r="P90" s="88"/>
      <c r="Q90" s="96"/>
    </row>
    <row r="91" spans="1:17" s="2" customFormat="1" ht="12" customHeight="1">
      <c r="D91" s="22"/>
      <c r="E91" s="22"/>
      <c r="J91" s="5"/>
      <c r="K91" s="5"/>
      <c r="L91" s="5"/>
      <c r="M91" s="5"/>
      <c r="N91" s="5"/>
      <c r="O91" s="5"/>
      <c r="P91" s="88"/>
      <c r="Q91" s="96"/>
    </row>
    <row r="92" spans="1:17" s="2" customFormat="1" ht="12" customHeight="1">
      <c r="D92" s="22"/>
      <c r="E92" s="22"/>
      <c r="J92" s="5"/>
      <c r="K92" s="5"/>
      <c r="L92" s="5"/>
      <c r="M92" s="5"/>
      <c r="N92" s="5"/>
      <c r="O92" s="5"/>
      <c r="P92" s="88"/>
      <c r="Q92" s="96"/>
    </row>
    <row r="93" spans="1:17" s="2" customFormat="1" ht="12" customHeight="1">
      <c r="D93" s="22"/>
      <c r="E93" s="22"/>
      <c r="J93" s="5"/>
      <c r="K93" s="5"/>
      <c r="L93" s="5"/>
      <c r="M93" s="5"/>
      <c r="N93" s="5"/>
      <c r="O93" s="5"/>
      <c r="P93" s="88"/>
      <c r="Q93" s="96"/>
    </row>
    <row r="94" spans="1:17" s="2" customFormat="1" ht="12" customHeight="1">
      <c r="A94"/>
      <c r="B94"/>
      <c r="C94"/>
      <c r="D94" s="23"/>
      <c r="E94" s="23"/>
      <c r="F94"/>
      <c r="G94"/>
      <c r="H94"/>
      <c r="I94"/>
      <c r="J94" s="19"/>
      <c r="K94" s="19"/>
      <c r="L94" s="19"/>
      <c r="M94" s="19"/>
      <c r="N94" s="19"/>
      <c r="O94" s="19"/>
      <c r="P94" s="90"/>
      <c r="Q94" s="96"/>
    </row>
    <row r="95" spans="1:17" s="2" customFormat="1" ht="12" customHeight="1">
      <c r="A95"/>
      <c r="B95"/>
      <c r="C95"/>
      <c r="D95" s="23"/>
      <c r="E95" s="23"/>
      <c r="F95"/>
      <c r="G95"/>
      <c r="H95"/>
      <c r="I95"/>
      <c r="J95" s="19"/>
      <c r="K95" s="19"/>
      <c r="L95" s="19"/>
      <c r="M95" s="19"/>
      <c r="N95" s="19"/>
      <c r="O95" s="19"/>
      <c r="P95" s="90"/>
      <c r="Q95" s="96"/>
    </row>
    <row r="96" spans="1:17" s="2" customFormat="1" ht="12" customHeight="1">
      <c r="A96"/>
      <c r="B96"/>
      <c r="C96"/>
      <c r="D96" s="23"/>
      <c r="E96" s="23"/>
      <c r="F96"/>
      <c r="G96"/>
      <c r="H96"/>
      <c r="I96"/>
      <c r="J96" s="19"/>
      <c r="K96" s="19"/>
      <c r="L96" s="19"/>
      <c r="M96" s="19"/>
      <c r="N96" s="19"/>
      <c r="O96" s="19"/>
      <c r="P96" s="90"/>
      <c r="Q96" s="96"/>
    </row>
    <row r="97" spans="1:17" s="2" customFormat="1" ht="12" customHeight="1">
      <c r="A97"/>
      <c r="B97"/>
      <c r="C97"/>
      <c r="D97" s="23"/>
      <c r="E97" s="23"/>
      <c r="F97"/>
      <c r="G97"/>
      <c r="H97"/>
      <c r="I97"/>
      <c r="J97" s="19"/>
      <c r="K97" s="19"/>
      <c r="L97" s="19"/>
      <c r="M97" s="19"/>
      <c r="N97" s="19"/>
      <c r="O97" s="19"/>
      <c r="P97" s="90"/>
      <c r="Q97" s="96"/>
    </row>
    <row r="98" spans="1:17" s="2" customFormat="1" ht="12" customHeight="1">
      <c r="A98"/>
      <c r="B98"/>
      <c r="C98"/>
      <c r="D98" s="23"/>
      <c r="E98" s="23"/>
      <c r="F98"/>
      <c r="G98"/>
      <c r="H98"/>
      <c r="I98"/>
      <c r="J98" s="19"/>
      <c r="K98" s="19"/>
      <c r="L98" s="19"/>
      <c r="M98" s="19"/>
      <c r="N98" s="19"/>
      <c r="O98" s="19"/>
      <c r="P98" s="90"/>
      <c r="Q98" s="96"/>
    </row>
    <row r="99" spans="1:17">
      <c r="Q99" s="96"/>
    </row>
    <row r="100" spans="1:17">
      <c r="Q100" s="96"/>
    </row>
    <row r="101" spans="1:17">
      <c r="Q101" s="96"/>
    </row>
    <row r="102" spans="1:17">
      <c r="Q102" s="96"/>
    </row>
    <row r="103" spans="1:17">
      <c r="Q103" s="96"/>
    </row>
    <row r="104" spans="1:17">
      <c r="Q104" s="96"/>
    </row>
    <row r="105" spans="1:17">
      <c r="Q105" s="96"/>
    </row>
    <row r="106" spans="1:17">
      <c r="Q106" s="96"/>
    </row>
    <row r="107" spans="1:17">
      <c r="Q107" s="96"/>
    </row>
    <row r="108" spans="1:17">
      <c r="Q108" s="96"/>
    </row>
    <row r="109" spans="1:17">
      <c r="Q109" s="96"/>
    </row>
    <row r="110" spans="1:17">
      <c r="Q110" s="96"/>
    </row>
    <row r="111" spans="1:17">
      <c r="Q111" s="96"/>
    </row>
    <row r="112" spans="1:17">
      <c r="Q112" s="96"/>
    </row>
    <row r="113" spans="17:17">
      <c r="Q113" s="96"/>
    </row>
    <row r="114" spans="17:17">
      <c r="Q114" s="96"/>
    </row>
    <row r="115" spans="17:17">
      <c r="Q115" s="96"/>
    </row>
    <row r="116" spans="17:17">
      <c r="Q116" s="96"/>
    </row>
    <row r="117" spans="17:17">
      <c r="Q117" s="96"/>
    </row>
    <row r="118" spans="17:17">
      <c r="Q118" s="96"/>
    </row>
    <row r="155" ht="12" customHeight="1"/>
    <row r="156" ht="12" customHeight="1"/>
    <row r="157" ht="12" customHeight="1"/>
    <row r="158" ht="12" customHeight="1"/>
    <row r="159" ht="12" customHeight="1"/>
    <row r="160" ht="12" customHeight="1"/>
    <row r="161" ht="12" customHeight="1"/>
    <row r="162" ht="12" customHeight="1"/>
    <row r="163" ht="12" customHeight="1"/>
    <row r="164" ht="12" customHeight="1"/>
    <row r="165" ht="12" customHeight="1"/>
    <row r="166" ht="12" customHeight="1"/>
    <row r="167" ht="12" customHeight="1"/>
    <row r="168" ht="12" customHeight="1"/>
    <row r="169" ht="12" customHeight="1"/>
    <row r="170" ht="12" customHeight="1"/>
    <row r="171" ht="12" customHeight="1"/>
    <row r="172" ht="12" customHeight="1"/>
    <row r="173" ht="12" customHeight="1"/>
    <row r="174" ht="12" customHeight="1"/>
    <row r="175" ht="12" customHeight="1"/>
    <row r="176" ht="12" customHeight="1"/>
    <row r="177" ht="12" customHeight="1"/>
    <row r="178" ht="12" customHeight="1"/>
    <row r="179" ht="12" customHeight="1"/>
    <row r="180" ht="12" customHeight="1"/>
    <row r="181" ht="12" customHeight="1"/>
    <row r="182" ht="12" customHeight="1"/>
    <row r="183" ht="12" customHeight="1"/>
    <row r="184" ht="12" customHeight="1"/>
    <row r="185" ht="12" customHeight="1"/>
    <row r="186" ht="12" customHeight="1"/>
    <row r="187" ht="12" customHeight="1"/>
    <row r="188" ht="12" customHeight="1"/>
    <row r="189" ht="12" customHeight="1"/>
    <row r="190" ht="12" customHeight="1"/>
    <row r="191" ht="12" customHeight="1"/>
    <row r="192" ht="12" customHeight="1"/>
    <row r="193" ht="12" customHeight="1"/>
    <row r="194" ht="12" customHeight="1"/>
    <row r="195" ht="12" customHeight="1"/>
    <row r="196" ht="12" customHeight="1"/>
    <row r="197" ht="12" customHeight="1"/>
    <row r="198" ht="12" customHeight="1"/>
    <row r="199" ht="12" customHeight="1"/>
    <row r="200" ht="12" customHeight="1"/>
    <row r="201" ht="12" customHeight="1"/>
    <row r="202" ht="12" customHeight="1"/>
    <row r="203" ht="12" customHeight="1"/>
    <row r="204" ht="12" customHeight="1"/>
  </sheetData>
  <mergeCells count="57">
    <mergeCell ref="D40:E40"/>
    <mergeCell ref="D37:E37"/>
    <mergeCell ref="D38:E38"/>
    <mergeCell ref="D41:E41"/>
    <mergeCell ref="D36:E36"/>
    <mergeCell ref="D39:E39"/>
    <mergeCell ref="H41:I41"/>
    <mergeCell ref="D42:E42"/>
    <mergeCell ref="D51:E51"/>
    <mergeCell ref="H51:I51"/>
    <mergeCell ref="D46:E46"/>
    <mergeCell ref="H46:I46"/>
    <mergeCell ref="D47:E47"/>
    <mergeCell ref="D48:E48"/>
    <mergeCell ref="D49:E49"/>
    <mergeCell ref="D50:E50"/>
    <mergeCell ref="D44:E44"/>
    <mergeCell ref="D43:E43"/>
    <mergeCell ref="D26:E26"/>
    <mergeCell ref="D35:E35"/>
    <mergeCell ref="D27:E27"/>
    <mergeCell ref="D28:E28"/>
    <mergeCell ref="D29:E29"/>
    <mergeCell ref="D30:E30"/>
    <mergeCell ref="D34:E34"/>
    <mergeCell ref="D31:E31"/>
    <mergeCell ref="D32:E32"/>
    <mergeCell ref="D33:E33"/>
    <mergeCell ref="H7:I7"/>
    <mergeCell ref="D8:E8"/>
    <mergeCell ref="H8:I8"/>
    <mergeCell ref="D14:E14"/>
    <mergeCell ref="H14:I14"/>
    <mergeCell ref="D12:E12"/>
    <mergeCell ref="D13:E13"/>
    <mergeCell ref="H4:I4"/>
    <mergeCell ref="D5:E5"/>
    <mergeCell ref="H5:I5"/>
    <mergeCell ref="D6:E6"/>
    <mergeCell ref="H6:I6"/>
    <mergeCell ref="D1:E1"/>
    <mergeCell ref="D4:E4"/>
    <mergeCell ref="D9:E9"/>
    <mergeCell ref="D10:E10"/>
    <mergeCell ref="D11:E11"/>
    <mergeCell ref="D7:E7"/>
    <mergeCell ref="D15:E15"/>
    <mergeCell ref="D16:E16"/>
    <mergeCell ref="D20:E20"/>
    <mergeCell ref="D25:E25"/>
    <mergeCell ref="D21:E21"/>
    <mergeCell ref="D24:E24"/>
    <mergeCell ref="D17:E17"/>
    <mergeCell ref="D18:E18"/>
    <mergeCell ref="D19:E19"/>
    <mergeCell ref="D22:E22"/>
    <mergeCell ref="D23:E23"/>
  </mergeCells>
  <conditionalFormatting sqref="M47:M50 M9:M13 M15:M40">
    <cfRule type="cellIs" dxfId="286" priority="5" stopIfTrue="1" operator="lessThanOrEqual">
      <formula>$L9</formula>
    </cfRule>
    <cfRule type="cellIs" dxfId="285" priority="6" operator="greaterThan">
      <formula>L9</formula>
    </cfRule>
  </conditionalFormatting>
  <conditionalFormatting sqref="M42:M45">
    <cfRule type="cellIs" dxfId="284" priority="1" stopIfTrue="1" operator="lessThanOrEqual">
      <formula>$L42</formula>
    </cfRule>
    <cfRule type="cellIs" dxfId="283" priority="2" operator="greaterThan">
      <formula>L42</formula>
    </cfRule>
  </conditionalFormatting>
  <pageMargins left="0.7" right="0.7" top="0.75" bottom="0.75" header="0.3" footer="0.3"/>
  <pageSetup paperSize="3" fitToHeight="0" orientation="landscape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disablePrompts="1" count="5">
        <x14:dataValidation type="list" allowBlank="1" showInputMessage="1" showErrorMessage="1" xr:uid="{62CF8727-2E1B-4972-85B3-6C2BC1DDE735}">
          <x14:formula1>
            <xm:f>Bolts!$A:$A</xm:f>
          </x14:formula1>
          <xm:sqref>C42:C45</xm:sqref>
        </x14:dataValidation>
        <x14:dataValidation type="list" allowBlank="1" showInputMessage="1" showErrorMessage="1" xr:uid="{749D6401-7CC7-4442-998F-1D37F12A38A2}">
          <x14:formula1>
            <xm:f>Assemblies!$E:$E</xm:f>
          </x14:formula1>
          <xm:sqref>C5:C7</xm:sqref>
        </x14:dataValidation>
        <x14:dataValidation type="list" allowBlank="1" showInputMessage="1" showErrorMessage="1" xr:uid="{8FC07EF4-40F3-4268-B238-24D93877A97E}">
          <x14:formula1>
            <xm:f>Purchased!$A:$A</xm:f>
          </x14:formula1>
          <xm:sqref>C15:C40</xm:sqref>
        </x14:dataValidation>
        <x14:dataValidation type="list" allowBlank="1" showInputMessage="1" showErrorMessage="1" xr:uid="{2C5DD43E-A54A-4A34-9DB0-F61A75FEFAA3}">
          <x14:formula1>
            <xm:f>Extrusion!$B:$B</xm:f>
          </x14:formula1>
          <xm:sqref>C47:C50</xm:sqref>
        </x14:dataValidation>
        <x14:dataValidation type="list" allowBlank="1" showInputMessage="1" showErrorMessage="1" xr:uid="{2C6FAE7F-FA3C-462C-9B24-0BC672528903}">
          <x14:formula1>
            <xm:f>Machined!$C:$C</xm:f>
          </x14:formula1>
          <xm:sqref>C9:C13</xm:sqref>
        </x14:dataValidation>
      </x14:dataValidations>
    </ext>
  </extLst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F10A2A-1841-44C9-9C66-EA33FB92D7DE}">
  <sheetPr codeName="Sheet102">
    <tabColor theme="3" tint="0.79998168889431442"/>
    <pageSetUpPr fitToPage="1"/>
  </sheetPr>
  <dimension ref="A1:Q176"/>
  <sheetViews>
    <sheetView zoomScaleNormal="100" workbookViewId="0">
      <selection activeCell="F38" sqref="F38"/>
    </sheetView>
  </sheetViews>
  <sheetFormatPr defaultColWidth="9.140625" defaultRowHeight="15"/>
  <cols>
    <col min="1" max="1" width="5.7109375" customWidth="1"/>
    <col min="2" max="2" width="5.42578125" bestFit="1" customWidth="1"/>
    <col min="3" max="3" width="30.7109375" customWidth="1"/>
    <col min="4" max="5" width="20.7109375" style="23" customWidth="1"/>
    <col min="6" max="6" width="16.85546875" bestFit="1" customWidth="1"/>
    <col min="7" max="7" width="9.7109375" customWidth="1"/>
    <col min="8" max="8" width="8.7109375" customWidth="1"/>
    <col min="9" max="9" width="20.7109375" customWidth="1"/>
    <col min="10" max="13" width="11.7109375" style="19" customWidth="1"/>
    <col min="14" max="14" width="11.85546875" style="19" bestFit="1" customWidth="1"/>
    <col min="15" max="15" width="7.7109375" style="19" customWidth="1"/>
    <col min="16" max="16" width="10.7109375" style="90" customWidth="1"/>
    <col min="17" max="17" width="10.7109375" style="97" customWidth="1"/>
  </cols>
  <sheetData>
    <row r="1" spans="1:17" s="55" customFormat="1" ht="12" customHeight="1">
      <c r="A1" s="68" t="s">
        <v>0</v>
      </c>
      <c r="B1" s="69"/>
      <c r="C1" s="69"/>
      <c r="D1" s="262" t="s">
        <v>1</v>
      </c>
      <c r="E1" s="263"/>
      <c r="F1" s="70"/>
      <c r="G1" s="69"/>
      <c r="H1" s="70"/>
      <c r="I1" s="71"/>
      <c r="J1" s="72"/>
      <c r="K1" s="72"/>
      <c r="L1" s="72"/>
      <c r="M1" s="72"/>
      <c r="N1" s="72"/>
      <c r="O1" s="72"/>
      <c r="P1" s="85"/>
      <c r="Q1" s="91"/>
    </row>
    <row r="2" spans="1:17" s="55" customFormat="1" ht="12" customHeight="1">
      <c r="A2" s="74" t="s">
        <v>48</v>
      </c>
      <c r="B2" s="58"/>
      <c r="C2" s="57" t="e">
        <f ca="1">VLOOKUP(E3,Assemblies!B:F,4,0)</f>
        <v>#VALUE!</v>
      </c>
      <c r="D2" s="75" t="s">
        <v>3</v>
      </c>
      <c r="E2" s="76" t="e">
        <f ca="1">'GF12'!E2</f>
        <v>#VALUE!</v>
      </c>
      <c r="F2" s="77" t="s">
        <v>4</v>
      </c>
      <c r="G2" s="58" t="str">
        <f>'GF12'!G2</f>
        <v>GH</v>
      </c>
      <c r="H2" s="77" t="s">
        <v>6</v>
      </c>
      <c r="I2" s="59">
        <f>'GF12'!I2</f>
        <v>44775</v>
      </c>
      <c r="J2" s="39"/>
      <c r="K2" s="40" t="s">
        <v>49</v>
      </c>
      <c r="L2" s="41" t="e">
        <f ca="1">VLOOKUP(C2,Assemblies!E:G,3,0)</f>
        <v>#VALUE!</v>
      </c>
      <c r="M2" s="78"/>
      <c r="N2" s="78"/>
      <c r="O2" s="78"/>
      <c r="P2" s="86"/>
      <c r="Q2" s="92"/>
    </row>
    <row r="3" spans="1:17" s="55" customFormat="1" ht="12" customHeight="1" thickBot="1">
      <c r="A3" s="74" t="s">
        <v>7</v>
      </c>
      <c r="B3" s="58"/>
      <c r="C3" s="57" t="e">
        <f ca="1">VLOOKUP(E3,Assemblies!B:F,5,0)</f>
        <v>#VALUE!</v>
      </c>
      <c r="D3" s="75" t="s">
        <v>50</v>
      </c>
      <c r="E3" s="76" t="e">
        <f ca="1">MID(CELL("filename",A1),FIND("]",CELL("filename",A1))+1,256)</f>
        <v>#VALUE!</v>
      </c>
      <c r="F3" s="77" t="s">
        <v>11</v>
      </c>
      <c r="G3" s="58" t="str">
        <f>'GF12'!G3</f>
        <v>GH</v>
      </c>
      <c r="H3" s="77" t="s">
        <v>6</v>
      </c>
      <c r="I3" s="59">
        <f>'GF12'!I3</f>
        <v>44775</v>
      </c>
      <c r="J3" s="78"/>
      <c r="K3" s="78"/>
      <c r="L3" s="78"/>
      <c r="M3" s="78"/>
      <c r="N3" s="78"/>
      <c r="O3" s="78"/>
      <c r="P3" s="86"/>
      <c r="Q3" s="92"/>
    </row>
    <row r="4" spans="1:17" s="56" customFormat="1" ht="12.75" customHeight="1" thickBot="1">
      <c r="A4" s="80" t="s">
        <v>12</v>
      </c>
      <c r="B4" s="81" t="s">
        <v>13</v>
      </c>
      <c r="C4" s="81" t="s">
        <v>14</v>
      </c>
      <c r="D4" s="270" t="s">
        <v>15</v>
      </c>
      <c r="E4" s="271"/>
      <c r="F4" s="104" t="s">
        <v>16</v>
      </c>
      <c r="G4" s="81" t="s">
        <v>17</v>
      </c>
      <c r="H4" s="260" t="s">
        <v>18</v>
      </c>
      <c r="I4" s="261"/>
      <c r="J4" s="81" t="s">
        <v>51</v>
      </c>
      <c r="K4" s="81" t="s">
        <v>20</v>
      </c>
      <c r="L4" s="81" t="s">
        <v>21</v>
      </c>
      <c r="M4" s="81" t="s">
        <v>52</v>
      </c>
      <c r="N4" s="81" t="s">
        <v>22</v>
      </c>
      <c r="O4" s="81" t="s">
        <v>53</v>
      </c>
      <c r="P4" s="107" t="s">
        <v>26</v>
      </c>
      <c r="Q4" s="82" t="s">
        <v>27</v>
      </c>
    </row>
    <row r="5" spans="1:17" s="2" customFormat="1" ht="12.75" customHeight="1">
      <c r="A5" s="127">
        <v>1</v>
      </c>
      <c r="B5" s="21">
        <v>1</v>
      </c>
      <c r="C5" s="108" t="s">
        <v>1127</v>
      </c>
      <c r="D5" s="277" t="str">
        <f>VLOOKUP(C5,Machined!C:Q,2,0)</f>
        <v>HANDWHEEL PLATE, 12mm to 14mm, SIDE SEAL</v>
      </c>
      <c r="E5" s="278"/>
      <c r="F5" s="131" t="str">
        <f>VLOOKUP(C5,Machined!C:R,7,0)</f>
        <v xml:space="preserve">MIC 6 </v>
      </c>
      <c r="G5" s="131" t="str">
        <f>VLOOKUP(C5,Machined!C:R,10,0)</f>
        <v>FRONTIER</v>
      </c>
      <c r="H5" s="131" t="str">
        <f>VLOOKUP(C5,Machined!C:R,11,0)</f>
        <v xml:space="preserve">  </v>
      </c>
      <c r="I5" s="131"/>
      <c r="J5" s="42">
        <f>VLOOKUP(C5,Machined!C:R,12,0)</f>
        <v>45139</v>
      </c>
      <c r="K5" s="42">
        <f>VLOOKUP(C5,Machined!C:R,13,0)</f>
        <v>45140</v>
      </c>
      <c r="L5" s="42">
        <f>VLOOKUP(C5,Machined!C:R,14,0)</f>
        <v>45170</v>
      </c>
      <c r="M5" s="42">
        <f>VLOOKUP(C5,Machined!C:R,15,0)</f>
        <v>45170</v>
      </c>
      <c r="N5" s="43">
        <f>VLOOKUP(C5,Machined!C:R,16,0)</f>
        <v>55025</v>
      </c>
      <c r="O5" s="43" t="e">
        <f t="shared" ref="O5:O10" ca="1" si="0">B5*$L$2</f>
        <v>#VALUE!</v>
      </c>
      <c r="P5" s="47">
        <f>IFERROR(VLOOKUP(C5,Machined!C:F,3,0),"")</f>
        <v>0</v>
      </c>
      <c r="Q5" s="48">
        <f t="shared" ref="Q5:Q10" si="1">IFERROR(B5*P5,"")</f>
        <v>0</v>
      </c>
    </row>
    <row r="6" spans="1:17" s="2" customFormat="1" ht="12.75" customHeight="1">
      <c r="A6" s="127">
        <v>2</v>
      </c>
      <c r="B6" s="21">
        <v>3</v>
      </c>
      <c r="C6" s="108" t="s">
        <v>1128</v>
      </c>
      <c r="D6" s="277" t="str">
        <f>VLOOKUP(C6,Machined!C:Q,2,0)</f>
        <v>SIDE SEAL HANDWHEEL SHAFT</v>
      </c>
      <c r="E6" s="278"/>
      <c r="F6" s="131" t="str">
        <f>VLOOKUP(C6,Machined!C:R,7,0)</f>
        <v>303 SS - TG&amp;P</v>
      </c>
      <c r="G6" s="131" t="str">
        <f>VLOOKUP(C6,Machined!C:R,10,0)</f>
        <v>ALEXANDRIA, BIG Sky</v>
      </c>
      <c r="H6" s="131" t="str">
        <f>VLOOKUP(C6,Machined!C:R,11,0)</f>
        <v xml:space="preserve"> </v>
      </c>
      <c r="I6" s="131"/>
      <c r="J6" s="42" t="str">
        <f>VLOOKUP(C6,Machined!C:R,12,0)</f>
        <v>N/A</v>
      </c>
      <c r="K6" s="42">
        <f>VLOOKUP(C6,Machined!C:R,13,0)</f>
        <v>45161</v>
      </c>
      <c r="L6" s="42">
        <f>VLOOKUP(C6,Machined!C:R,14,0)</f>
        <v>45180</v>
      </c>
      <c r="M6" s="42">
        <f>VLOOKUP(C6,Machined!C:R,15,0)</f>
        <v>45180</v>
      </c>
      <c r="N6" s="43" t="str">
        <f>VLOOKUP(C6,Machined!C:R,16,0)</f>
        <v>55018, 55091</v>
      </c>
      <c r="O6" s="43" t="e">
        <f t="shared" ca="1" si="0"/>
        <v>#VALUE!</v>
      </c>
      <c r="P6" s="47">
        <f>IFERROR(VLOOKUP(C6,Machined!C:F,3,0),"")</f>
        <v>60.1</v>
      </c>
      <c r="Q6" s="48">
        <f t="shared" si="1"/>
        <v>180.3</v>
      </c>
    </row>
    <row r="7" spans="1:17" s="2" customFormat="1" ht="12.75" customHeight="1">
      <c r="A7" s="127">
        <v>3</v>
      </c>
      <c r="B7" s="21"/>
      <c r="C7" s="108"/>
      <c r="D7" s="277"/>
      <c r="E7" s="278"/>
      <c r="F7" s="131"/>
      <c r="G7" s="131"/>
      <c r="H7" s="131"/>
      <c r="I7" s="131"/>
      <c r="J7" s="42"/>
      <c r="K7" s="42"/>
      <c r="L7" s="42"/>
      <c r="M7" s="42"/>
      <c r="N7" s="43"/>
      <c r="O7" s="43"/>
      <c r="P7" s="47"/>
      <c r="Q7" s="48"/>
    </row>
    <row r="8" spans="1:17" s="2" customFormat="1" ht="12.75" customHeight="1">
      <c r="A8" s="127">
        <v>4</v>
      </c>
      <c r="B8" s="21">
        <v>2</v>
      </c>
      <c r="C8" s="108" t="s">
        <v>486</v>
      </c>
      <c r="D8" s="277" t="str">
        <f>VLOOKUP(C8,Machined!C:Q,2,0)</f>
        <v>Friction Pad</v>
      </c>
      <c r="E8" s="278"/>
      <c r="F8" s="131" t="str">
        <f>VLOOKUP(C8,Machined!C:R,7,0)</f>
        <v>White Delrin</v>
      </c>
      <c r="G8" s="131" t="str">
        <f>VLOOKUP(C8,Machined!C:R,10,0)</f>
        <v>BIG SKY</v>
      </c>
      <c r="H8" s="131" t="str">
        <f>VLOOKUP(C8,Machined!C:R,11,0)</f>
        <v xml:space="preserve">  </v>
      </c>
      <c r="I8" s="131"/>
      <c r="J8" s="42">
        <f>VLOOKUP(C8,Machined!C:R,12,0)</f>
        <v>45142</v>
      </c>
      <c r="K8" s="42">
        <f>VLOOKUP(C8,Machined!C:R,13,0)</f>
        <v>45146</v>
      </c>
      <c r="L8" s="42">
        <f>VLOOKUP(C8,Machined!C:R,14,0)</f>
        <v>45176</v>
      </c>
      <c r="M8" s="42">
        <f>VLOOKUP(C8,Machined!C:R,15,0)</f>
        <v>45176</v>
      </c>
      <c r="N8" s="43">
        <f>VLOOKUP(C8,Machined!C:R,16,0)</f>
        <v>55032</v>
      </c>
      <c r="O8" s="43" t="e">
        <f t="shared" ca="1" si="0"/>
        <v>#VALUE!</v>
      </c>
      <c r="P8" s="47">
        <f>IFERROR(VLOOKUP(C8,Machined!C:F,3,0),"")</f>
        <v>45</v>
      </c>
      <c r="Q8" s="48">
        <f t="shared" si="1"/>
        <v>90</v>
      </c>
    </row>
    <row r="9" spans="1:17" s="2" customFormat="1" ht="12.75" customHeight="1">
      <c r="A9" s="127">
        <v>5</v>
      </c>
      <c r="B9" s="21">
        <v>3</v>
      </c>
      <c r="C9" s="108" t="s">
        <v>1016</v>
      </c>
      <c r="D9" s="277" t="str">
        <f>VLOOKUP(C9,Machined!C:Q,2,0)</f>
        <v>MODIFIED MCM 7758K31 Pushbutton Enclosure</v>
      </c>
      <c r="E9" s="278"/>
      <c r="F9" s="131" t="str">
        <f>VLOOKUP(C9,Machined!C:R,7,0)</f>
        <v>PURCHASED</v>
      </c>
      <c r="G9" s="131" t="str">
        <f>VLOOKUP(C9,Machined!C:R,10,0)</f>
        <v>MCM, NULINE</v>
      </c>
      <c r="H9" s="131" t="str">
        <f>VLOOKUP(C9,Machined!C:R,11,0)</f>
        <v xml:space="preserve">  </v>
      </c>
      <c r="I9" s="131"/>
      <c r="J9" s="42">
        <f>VLOOKUP(C9,Machined!C:R,12,0)</f>
        <v>45160</v>
      </c>
      <c r="K9" s="42">
        <f>VLOOKUP(C9,Machined!C:R,13,0)</f>
        <v>45160</v>
      </c>
      <c r="L9" s="42">
        <f>VLOOKUP(C9,Machined!C:R,14,0)</f>
        <v>45161</v>
      </c>
      <c r="M9" s="42">
        <f>VLOOKUP(C9,Machined!C:R,15,0)</f>
        <v>45161</v>
      </c>
      <c r="N9" s="43">
        <f>VLOOKUP(C9,Machined!C:R,16,0)</f>
        <v>55086</v>
      </c>
      <c r="O9" s="43" t="e">
        <f t="shared" ca="1" si="0"/>
        <v>#VALUE!</v>
      </c>
      <c r="P9" s="47">
        <f>IFERROR(VLOOKUP(C9,Machined!C:F,3,0),"")</f>
        <v>20.03</v>
      </c>
      <c r="Q9" s="48">
        <f t="shared" si="1"/>
        <v>60.09</v>
      </c>
    </row>
    <row r="10" spans="1:17" s="2" customFormat="1" ht="12.75" customHeight="1">
      <c r="A10" s="127">
        <v>6</v>
      </c>
      <c r="B10" s="21">
        <v>2</v>
      </c>
      <c r="C10" s="108" t="s">
        <v>487</v>
      </c>
      <c r="D10" s="277" t="str">
        <f>VLOOKUP(C10,Machined!C:Q,2,0)</f>
        <v>Unguided Guard Slide</v>
      </c>
      <c r="E10" s="278"/>
      <c r="F10" s="131" t="str">
        <f>VLOOKUP(C10,Machined!C:R,7,0)</f>
        <v>White Delrin</v>
      </c>
      <c r="G10" s="131" t="str">
        <f>VLOOKUP(C10,Machined!C:R,10,0)</f>
        <v>BIG SKY</v>
      </c>
      <c r="H10" s="131" t="str">
        <f>VLOOKUP(C10,Machined!C:R,11,0)</f>
        <v xml:space="preserve">  </v>
      </c>
      <c r="I10" s="131"/>
      <c r="J10" s="42">
        <f>VLOOKUP(C10,Machined!C:R,12,0)</f>
        <v>45142</v>
      </c>
      <c r="K10" s="42">
        <f>VLOOKUP(C10,Machined!C:R,13,0)</f>
        <v>45146</v>
      </c>
      <c r="L10" s="42">
        <f>VLOOKUP(C10,Machined!C:R,14,0)</f>
        <v>45176</v>
      </c>
      <c r="M10" s="42">
        <f>VLOOKUP(C10,Machined!C:R,15,0)</f>
        <v>45176</v>
      </c>
      <c r="N10" s="43">
        <f>VLOOKUP(C10,Machined!C:R,16,0)</f>
        <v>55032</v>
      </c>
      <c r="O10" s="43" t="e">
        <f t="shared" ca="1" si="0"/>
        <v>#VALUE!</v>
      </c>
      <c r="P10" s="47">
        <f>IFERROR(VLOOKUP(C10,Machined!C:F,3,0),"")</f>
        <v>45</v>
      </c>
      <c r="Q10" s="48">
        <f t="shared" si="1"/>
        <v>90</v>
      </c>
    </row>
    <row r="11" spans="1:17" s="2" customFormat="1" ht="12.75" customHeight="1">
      <c r="A11" s="143"/>
      <c r="B11" s="26"/>
      <c r="C11" s="26"/>
      <c r="D11" s="272"/>
      <c r="E11" s="273"/>
      <c r="F11" s="26"/>
      <c r="G11" s="26"/>
      <c r="H11" s="274"/>
      <c r="I11" s="275"/>
      <c r="J11" s="27"/>
      <c r="K11" s="27"/>
      <c r="L11" s="27"/>
      <c r="M11" s="28"/>
      <c r="N11" s="29"/>
      <c r="O11" s="29"/>
      <c r="P11" s="141"/>
      <c r="Q11" s="142"/>
    </row>
    <row r="12" spans="1:17" s="2" customFormat="1" ht="12" customHeight="1">
      <c r="A12" s="4">
        <v>301</v>
      </c>
      <c r="B12" s="2">
        <v>3</v>
      </c>
      <c r="C12" s="114" t="s">
        <v>1129</v>
      </c>
      <c r="D12" s="268" t="str">
        <f>VLOOKUP(C12,Purchased!A:B,2,0)</f>
        <v>ELESA DD51-AN-004.0-D-C1 Digital Position Indicator</v>
      </c>
      <c r="E12" s="269"/>
      <c r="F12" s="112" t="str">
        <f>VLOOKUP(C12,Purchased!A:Q,9,0)</f>
        <v>ELESA</v>
      </c>
      <c r="G12" s="112" t="str">
        <f>VLOOKUP(C12,Purchased!A:Q,10,0)</f>
        <v>ELESA</v>
      </c>
      <c r="H12" s="112">
        <f>VLOOKUP(C12,Purchased!A:Q,12,0)</f>
        <v>0</v>
      </c>
      <c r="I12" s="113"/>
      <c r="J12" s="44">
        <f>VLOOKUP(C12,Purchased!A:Q,13,0)</f>
        <v>45205</v>
      </c>
      <c r="K12" s="44">
        <f>VLOOKUP(C12,Purchased!A:Q,14,0)</f>
        <v>45205</v>
      </c>
      <c r="L12" s="44">
        <f>VLOOKUP(C12,Purchased!A:Q,15,0)</f>
        <v>45219</v>
      </c>
      <c r="M12" s="44">
        <f>VLOOKUP(C12,Purchased!A:Q,16,0)</f>
        <v>45225</v>
      </c>
      <c r="N12" s="45">
        <f>VLOOKUP(C12,Purchased!A:Q,17,0)</f>
        <v>55195</v>
      </c>
      <c r="O12" s="45" t="e">
        <f t="shared" ref="O12:O18" ca="1" si="2">B12*$L$2</f>
        <v>#VALUE!</v>
      </c>
      <c r="P12" s="49">
        <f>IFERROR(VLOOKUP(C12,Purchased!A:E,3,FALSE),"")</f>
        <v>0</v>
      </c>
      <c r="Q12" s="50">
        <f t="shared" ref="Q12:Q18" si="3">IFERROR(B12*P12,"")</f>
        <v>0</v>
      </c>
    </row>
    <row r="13" spans="1:17" s="2" customFormat="1" ht="12" customHeight="1">
      <c r="A13" s="4">
        <f t="shared" ref="A13:A18" si="4">A12+1</f>
        <v>302</v>
      </c>
      <c r="B13" s="2">
        <v>3</v>
      </c>
      <c r="C13" s="114" t="s">
        <v>1018</v>
      </c>
      <c r="D13" s="268" t="str">
        <f>VLOOKUP(C13,Purchased!A:B,2,0)</f>
        <v>ELESA GN 322.3-160-B14-R Foldaway Aluminum Handwheel</v>
      </c>
      <c r="E13" s="269"/>
      <c r="F13" s="112" t="str">
        <f>VLOOKUP(C13,Purchased!A:Q,9,0)</f>
        <v>ELESA</v>
      </c>
      <c r="G13" s="112" t="str">
        <f>VLOOKUP(C13,Purchased!A:Q,10,0)</f>
        <v>ELESA</v>
      </c>
      <c r="H13" s="112" t="str">
        <f>VLOOKUP(C13,Purchased!A:Q,12,0)</f>
        <v xml:space="preserve"> </v>
      </c>
      <c r="I13" s="113"/>
      <c r="J13" s="44">
        <f>VLOOKUP(C13,Purchased!A:Q,13,0)</f>
        <v>45125</v>
      </c>
      <c r="K13" s="44">
        <f>VLOOKUP(C13,Purchased!A:Q,14,0)</f>
        <v>45162</v>
      </c>
      <c r="L13" s="44">
        <f>VLOOKUP(C13,Purchased!A:Q,15,0)</f>
        <v>45184</v>
      </c>
      <c r="M13" s="44">
        <f>VLOOKUP(C13,Purchased!A:Q,16,0)</f>
        <v>45184</v>
      </c>
      <c r="N13" s="45">
        <f>VLOOKUP(C13,Purchased!A:Q,17,0)</f>
        <v>55036</v>
      </c>
      <c r="O13" s="45" t="e">
        <f t="shared" ca="1" si="2"/>
        <v>#VALUE!</v>
      </c>
      <c r="P13" s="49">
        <f>IFERROR(VLOOKUP(C13,Purchased!A:E,3,FALSE),"")</f>
        <v>62.34</v>
      </c>
      <c r="Q13" s="50">
        <f t="shared" si="3"/>
        <v>187.02</v>
      </c>
    </row>
    <row r="14" spans="1:17" s="2" customFormat="1" ht="12" customHeight="1">
      <c r="A14" s="4">
        <f t="shared" si="4"/>
        <v>303</v>
      </c>
      <c r="C14" s="114"/>
      <c r="D14" s="268"/>
      <c r="E14" s="269"/>
      <c r="F14" s="112"/>
      <c r="G14" s="112"/>
      <c r="H14" s="112"/>
      <c r="I14" s="113"/>
      <c r="J14" s="44"/>
      <c r="K14" s="44"/>
      <c r="L14" s="44"/>
      <c r="M14" s="44"/>
      <c r="N14" s="45"/>
      <c r="O14" s="45"/>
      <c r="P14" s="49"/>
      <c r="Q14" s="50"/>
    </row>
    <row r="15" spans="1:17" s="2" customFormat="1" ht="12" customHeight="1">
      <c r="A15" s="4">
        <f t="shared" si="4"/>
        <v>304</v>
      </c>
      <c r="B15" s="2">
        <v>3</v>
      </c>
      <c r="C15" s="114" t="s">
        <v>492</v>
      </c>
      <c r="D15" s="268" t="str">
        <f>VLOOKUP(C15,Purchased!A:B,2,0)</f>
        <v>Ball Bearing Shielded, Trade No. 6901-2Z, for 12 mm Shaft Diameter</v>
      </c>
      <c r="E15" s="269"/>
      <c r="F15" s="112" t="str">
        <f>VLOOKUP(C15,Purchased!A:Q,9,0)</f>
        <v>MCM</v>
      </c>
      <c r="G15" s="112" t="str">
        <f>VLOOKUP(C15,Purchased!A:Q,10,0)</f>
        <v>MCM</v>
      </c>
      <c r="H15" s="112">
        <f>VLOOKUP(C15,Purchased!A:Q,12,0)</f>
        <v>0</v>
      </c>
      <c r="I15" s="113"/>
      <c r="J15" s="44" t="str">
        <f>VLOOKUP(C15,Purchased!A:Q,13,0)</f>
        <v>N/A</v>
      </c>
      <c r="K15" s="44">
        <f>VLOOKUP(C15,Purchased!A:Q,14,0)</f>
        <v>45162</v>
      </c>
      <c r="L15" s="44">
        <f>VLOOKUP(C15,Purchased!A:Q,15,0)</f>
        <v>45184</v>
      </c>
      <c r="M15" s="44">
        <f>VLOOKUP(C15,Purchased!A:Q,16,0)</f>
        <v>45166</v>
      </c>
      <c r="N15" s="45">
        <f>VLOOKUP(C15,Purchased!A:Q,17,0)</f>
        <v>55087</v>
      </c>
      <c r="O15" s="45" t="e">
        <f t="shared" ca="1" si="2"/>
        <v>#VALUE!</v>
      </c>
      <c r="P15" s="49">
        <f>IFERROR(VLOOKUP(C15,Purchased!A:E,3,FALSE),"")</f>
        <v>14.29</v>
      </c>
      <c r="Q15" s="50">
        <f t="shared" si="3"/>
        <v>42.87</v>
      </c>
    </row>
    <row r="16" spans="1:17" s="2" customFormat="1" ht="12" customHeight="1">
      <c r="A16" s="4">
        <f t="shared" si="4"/>
        <v>305</v>
      </c>
      <c r="B16" s="2">
        <v>3</v>
      </c>
      <c r="C16" s="114" t="s">
        <v>1130</v>
      </c>
      <c r="D16" s="268" t="str">
        <f>VLOOKUP(C16,Purchased!A:B,2,0)</f>
        <v>ELESA Base Spindle Locking BSA-N51-14</v>
      </c>
      <c r="E16" s="269"/>
      <c r="F16" s="112" t="str">
        <f>VLOOKUP(C16,Purchased!A:Q,9,0)</f>
        <v>ELESA</v>
      </c>
      <c r="G16" s="112" t="str">
        <f>VLOOKUP(C16,Purchased!A:Q,10,0)</f>
        <v>ELESA</v>
      </c>
      <c r="H16" s="112" t="str">
        <f>VLOOKUP(C16,Purchased!A:Q,12,0)</f>
        <v xml:space="preserve"> </v>
      </c>
      <c r="I16" s="113"/>
      <c r="J16" s="44">
        <f>VLOOKUP(C16,Purchased!A:Q,13,0)</f>
        <v>45125</v>
      </c>
      <c r="K16" s="44">
        <f>VLOOKUP(C16,Purchased!A:Q,14,0)</f>
        <v>45162</v>
      </c>
      <c r="L16" s="44">
        <f>VLOOKUP(C16,Purchased!A:Q,15,0)</f>
        <v>45184</v>
      </c>
      <c r="M16" s="44">
        <f>VLOOKUP(C16,Purchased!A:Q,16,0)</f>
        <v>45184</v>
      </c>
      <c r="N16" s="45">
        <f>VLOOKUP(C16,Purchased!A:Q,17,0)</f>
        <v>55036</v>
      </c>
      <c r="O16" s="45" t="e">
        <f t="shared" ca="1" si="2"/>
        <v>#VALUE!</v>
      </c>
      <c r="P16" s="49">
        <f>IFERROR(VLOOKUP(C16,Purchased!A:E,3,FALSE),"")</f>
        <v>24.93</v>
      </c>
      <c r="Q16" s="50">
        <f t="shared" si="3"/>
        <v>74.789999999999992</v>
      </c>
    </row>
    <row r="17" spans="1:17" s="2" customFormat="1" ht="12" customHeight="1">
      <c r="A17" s="4">
        <f t="shared" si="4"/>
        <v>306</v>
      </c>
      <c r="B17" s="2">
        <v>3</v>
      </c>
      <c r="C17" s="114" t="s">
        <v>1019</v>
      </c>
      <c r="D17" s="268" t="str">
        <f>VLOOKUP(C17,Purchased!A:B,2,0)</f>
        <v>NITRA pneumatic pushbutton, IP65, 22mm, momentary, operator only, plastic base, plastic bezel, black, Operator: green, extended, 30mm, round, plastic</v>
      </c>
      <c r="E17" s="269"/>
      <c r="F17" s="112" t="str">
        <f>VLOOKUP(C17,Purchased!A:Q,9,0)</f>
        <v>Nitra</v>
      </c>
      <c r="G17" s="112" t="str">
        <f>VLOOKUP(C17,Purchased!A:Q,10,0)</f>
        <v>AutoDir</v>
      </c>
      <c r="H17" s="112" t="str">
        <f>VLOOKUP(C17,Purchased!A:Q,12,0)</f>
        <v xml:space="preserve"> </v>
      </c>
      <c r="I17" s="113"/>
      <c r="J17" s="44" t="str">
        <f>VLOOKUP(C17,Purchased!A:Q,13,0)</f>
        <v>N/A</v>
      </c>
      <c r="K17" s="44">
        <f>VLOOKUP(C17,Purchased!A:Q,14,0)</f>
        <v>45169</v>
      </c>
      <c r="L17" s="44">
        <f>VLOOKUP(C17,Purchased!A:Q,15,0)</f>
        <v>45184</v>
      </c>
      <c r="M17" s="44">
        <f>VLOOKUP(C17,Purchased!A:Q,16,0)</f>
        <v>45184</v>
      </c>
      <c r="N17" s="45">
        <f>VLOOKUP(C17,Purchased!A:Q,17,0)</f>
        <v>55126</v>
      </c>
      <c r="O17" s="45" t="e">
        <f t="shared" ca="1" si="2"/>
        <v>#VALUE!</v>
      </c>
      <c r="P17" s="49">
        <f>IFERROR(VLOOKUP(C17,Purchased!A:E,3,FALSE),"")</f>
        <v>2.75</v>
      </c>
      <c r="Q17" s="50">
        <f t="shared" si="3"/>
        <v>8.25</v>
      </c>
    </row>
    <row r="18" spans="1:17" s="2" customFormat="1" ht="12" customHeight="1">
      <c r="A18" s="4">
        <f t="shared" si="4"/>
        <v>307</v>
      </c>
      <c r="B18" s="2">
        <v>3</v>
      </c>
      <c r="C18" s="114" t="s">
        <v>1020</v>
      </c>
      <c r="D18" s="268" t="str">
        <f>VLOOKUP(C18,Purchased!A:B,2,0)</f>
        <v>NITRA manual valve, 2-port (3-way), 2-position, N.C., metal plunger, spring return, side ports, (1) 5/32in (4mm) PTC tubing inlet(s), (1) 5/32in (4mm) PTC tubing outlet(s), (1) vent hole exhaust(s), Cv=0.13</v>
      </c>
      <c r="E18" s="269"/>
      <c r="F18" s="112" t="str">
        <f>VLOOKUP(C18,Purchased!A:Q,9,0)</f>
        <v>Nitra</v>
      </c>
      <c r="G18" s="112" t="str">
        <f>VLOOKUP(C18,Purchased!A:Q,10,0)</f>
        <v>AutoDir</v>
      </c>
      <c r="H18" s="112" t="str">
        <f>VLOOKUP(C18,Purchased!A:Q,12,0)</f>
        <v xml:space="preserve"> </v>
      </c>
      <c r="I18" s="113"/>
      <c r="J18" s="44" t="str">
        <f>VLOOKUP(C18,Purchased!A:Q,13,0)</f>
        <v>N/A</v>
      </c>
      <c r="K18" s="44">
        <f>VLOOKUP(C18,Purchased!A:Q,14,0)</f>
        <v>45161</v>
      </c>
      <c r="L18" s="44">
        <f>VLOOKUP(C18,Purchased!A:Q,15,0)</f>
        <v>45191</v>
      </c>
      <c r="M18" s="44">
        <f>VLOOKUP(C18,Purchased!A:Q,16,0)</f>
        <v>45166</v>
      </c>
      <c r="N18" s="45">
        <f>VLOOKUP(C18,Purchased!A:Q,17,0)</f>
        <v>55074</v>
      </c>
      <c r="O18" s="45" t="e">
        <f t="shared" ca="1" si="2"/>
        <v>#VALUE!</v>
      </c>
      <c r="P18" s="49">
        <f>IFERROR(VLOOKUP(C18,Purchased!A:E,3,FALSE),"")</f>
        <v>19</v>
      </c>
      <c r="Q18" s="50">
        <f t="shared" si="3"/>
        <v>57</v>
      </c>
    </row>
    <row r="19" spans="1:17" s="2" customFormat="1" ht="12.75" customHeight="1">
      <c r="A19" s="25"/>
      <c r="B19" s="26"/>
      <c r="C19" s="26"/>
      <c r="D19" s="272"/>
      <c r="E19" s="273"/>
      <c r="F19" s="26"/>
      <c r="G19" s="26"/>
      <c r="H19" s="274"/>
      <c r="I19" s="275"/>
      <c r="J19" s="27"/>
      <c r="K19" s="27"/>
      <c r="L19" s="27"/>
      <c r="M19" s="28"/>
      <c r="N19" s="29"/>
      <c r="O19" s="29" t="e">
        <f t="shared" ref="O19:O22" ca="1" si="5">B19*$L$2</f>
        <v>#VALUE!</v>
      </c>
      <c r="P19" s="141"/>
      <c r="Q19" s="142"/>
    </row>
    <row r="20" spans="1:17" s="2" customFormat="1" ht="12.75" customHeight="1">
      <c r="A20" s="4">
        <v>501</v>
      </c>
      <c r="B20" s="2">
        <v>18</v>
      </c>
      <c r="C20" s="110" t="s">
        <v>265</v>
      </c>
      <c r="D20" s="268"/>
      <c r="E20" s="276"/>
      <c r="F20" s="112" t="str">
        <f>VLOOKUP(C20,Bolts!A:L,5,0)</f>
        <v xml:space="preserve">  </v>
      </c>
      <c r="G20" s="112" t="str">
        <f>VLOOKUP(C20,Bolts!A:L,6,0)</f>
        <v>Monroe Fasteners</v>
      </c>
      <c r="H20" s="112" t="str">
        <f>VLOOKUP(C20,Bolts!A:L,7,0)</f>
        <v xml:space="preserve">  </v>
      </c>
      <c r="I20" s="112" t="s">
        <v>1131</v>
      </c>
      <c r="J20" s="44" t="str">
        <f>VLOOKUP(C20,Bolts!A:L,8,0)</f>
        <v xml:space="preserve"> </v>
      </c>
      <c r="K20" s="44" t="str">
        <f>VLOOKUP(C20,Bolts!A:L,9,0)</f>
        <v xml:space="preserve"> </v>
      </c>
      <c r="L20" s="44" t="str">
        <f>VLOOKUP(C20,Bolts!A:L,10,0)</f>
        <v xml:space="preserve"> </v>
      </c>
      <c r="M20" s="44" t="str">
        <f>VLOOKUP(C20,Bolts!A:L,11,0)</f>
        <v xml:space="preserve"> </v>
      </c>
      <c r="N20" s="45" t="str">
        <f>VLOOKUP(C20,Bolts!A:L,12,0)</f>
        <v xml:space="preserve"> </v>
      </c>
      <c r="O20" s="45" t="e">
        <f t="shared" ca="1" si="5"/>
        <v>#VALUE!</v>
      </c>
      <c r="P20" s="49" t="str">
        <f>IFERROR(VLOOKUP(C20,Bolts!A:B,2,FALSE),"")</f>
        <v xml:space="preserve"> </v>
      </c>
      <c r="Q20" s="50" t="str">
        <f t="shared" ref="Q20:Q22" si="6">IFERROR(B20*P20,"")</f>
        <v/>
      </c>
    </row>
    <row r="21" spans="1:17" s="2" customFormat="1" ht="12.75" customHeight="1">
      <c r="A21" s="4">
        <f t="shared" ref="A21:A22" si="7">A20+1</f>
        <v>502</v>
      </c>
      <c r="B21" s="2">
        <v>4</v>
      </c>
      <c r="C21" s="110" t="s">
        <v>267</v>
      </c>
      <c r="D21" s="268"/>
      <c r="E21" s="276"/>
      <c r="F21" s="112" t="str">
        <f>VLOOKUP(C21,Bolts!A:L,5,0)</f>
        <v xml:space="preserve">  </v>
      </c>
      <c r="G21" s="112" t="str">
        <f>VLOOKUP(C21,Bolts!A:L,6,0)</f>
        <v>Monroe Fasteners</v>
      </c>
      <c r="H21" s="112" t="str">
        <f>VLOOKUP(C21,Bolts!A:L,7,0)</f>
        <v xml:space="preserve">  </v>
      </c>
      <c r="I21" s="112"/>
      <c r="J21" s="44" t="str">
        <f>VLOOKUP(C21,Bolts!A:L,8,0)</f>
        <v xml:space="preserve"> </v>
      </c>
      <c r="K21" s="44" t="str">
        <f>VLOOKUP(C21,Bolts!A:L,9,0)</f>
        <v xml:space="preserve"> </v>
      </c>
      <c r="L21" s="44" t="str">
        <f>VLOOKUP(C21,Bolts!A:L,10,0)</f>
        <v xml:space="preserve"> </v>
      </c>
      <c r="M21" s="44" t="str">
        <f>VLOOKUP(C21,Bolts!A:L,11,0)</f>
        <v xml:space="preserve"> </v>
      </c>
      <c r="N21" s="45" t="str">
        <f>VLOOKUP(C21,Bolts!A:L,12,0)</f>
        <v xml:space="preserve"> </v>
      </c>
      <c r="O21" s="45" t="e">
        <f t="shared" ca="1" si="5"/>
        <v>#VALUE!</v>
      </c>
      <c r="P21" s="49" t="str">
        <f>IFERROR(VLOOKUP(C21,Bolts!A:B,2,FALSE),"")</f>
        <v xml:space="preserve"> </v>
      </c>
      <c r="Q21" s="50" t="str">
        <f t="shared" si="6"/>
        <v/>
      </c>
    </row>
    <row r="22" spans="1:17" s="2" customFormat="1" ht="12" customHeight="1" thickBot="1">
      <c r="A22" s="4">
        <f t="shared" si="7"/>
        <v>503</v>
      </c>
      <c r="B22" s="2">
        <v>4</v>
      </c>
      <c r="C22" s="110" t="s">
        <v>479</v>
      </c>
      <c r="D22" s="268"/>
      <c r="E22" s="276"/>
      <c r="F22" s="112" t="str">
        <f>VLOOKUP(C22,Bolts!A:L,5,0)</f>
        <v xml:space="preserve">  </v>
      </c>
      <c r="G22" s="112" t="str">
        <f>VLOOKUP(C22,Bolts!A:L,6,0)</f>
        <v>Monroe Fasteners</v>
      </c>
      <c r="H22" s="112" t="str">
        <f>VLOOKUP(C22,Bolts!A:L,7,0)</f>
        <v xml:space="preserve">  </v>
      </c>
      <c r="I22" s="112"/>
      <c r="J22" s="44" t="str">
        <f>VLOOKUP(C22,Bolts!A:L,8,0)</f>
        <v xml:space="preserve"> </v>
      </c>
      <c r="K22" s="44" t="str">
        <f>VLOOKUP(C22,Bolts!A:L,9,0)</f>
        <v xml:space="preserve"> </v>
      </c>
      <c r="L22" s="44" t="str">
        <f>VLOOKUP(C22,Bolts!A:L,10,0)</f>
        <v xml:space="preserve"> </v>
      </c>
      <c r="M22" s="44" t="str">
        <f>VLOOKUP(C22,Bolts!A:L,11,0)</f>
        <v xml:space="preserve"> </v>
      </c>
      <c r="N22" s="45" t="str">
        <f>VLOOKUP(C22,Bolts!A:L,12,0)</f>
        <v xml:space="preserve"> </v>
      </c>
      <c r="O22" s="45" t="e">
        <f t="shared" ca="1" si="5"/>
        <v>#VALUE!</v>
      </c>
      <c r="P22" s="49" t="str">
        <f>IFERROR(VLOOKUP(C22,Bolts!A:B,2,FALSE),"")</f>
        <v xml:space="preserve"> </v>
      </c>
      <c r="Q22" s="50" t="str">
        <f t="shared" si="6"/>
        <v/>
      </c>
    </row>
    <row r="23" spans="1:17" s="2" customFormat="1" ht="12.75" customHeight="1" thickBot="1">
      <c r="A23" s="34"/>
      <c r="B23" s="35"/>
      <c r="C23" s="35"/>
      <c r="D23" s="256"/>
      <c r="E23" s="257"/>
      <c r="F23" s="35"/>
      <c r="G23" s="35"/>
      <c r="H23" s="294"/>
      <c r="I23" s="295"/>
      <c r="J23" s="36"/>
      <c r="K23" s="36"/>
      <c r="L23" s="36"/>
      <c r="M23" s="37"/>
      <c r="N23" s="38"/>
      <c r="O23" s="38"/>
      <c r="P23" s="89" t="s">
        <v>43</v>
      </c>
      <c r="Q23" s="94">
        <f>SUM(Q5:Q22)</f>
        <v>790.31999999999994</v>
      </c>
    </row>
    <row r="24" spans="1:17" s="2" customFormat="1" ht="12" customHeight="1">
      <c r="D24" s="22"/>
      <c r="E24" s="22"/>
      <c r="J24" s="8"/>
      <c r="K24" s="8"/>
      <c r="L24" s="8"/>
      <c r="M24" s="8"/>
      <c r="N24" s="5"/>
      <c r="O24" s="5"/>
      <c r="P24" s="88"/>
      <c r="Q24" s="95"/>
    </row>
    <row r="25" spans="1:17" s="2" customFormat="1" ht="12" customHeight="1">
      <c r="D25" s="22"/>
      <c r="E25" s="22"/>
      <c r="J25" s="5"/>
      <c r="K25" s="5"/>
      <c r="L25" s="5"/>
      <c r="M25" s="5"/>
      <c r="N25" s="5"/>
      <c r="O25" s="5"/>
      <c r="P25" s="88"/>
      <c r="Q25" s="95"/>
    </row>
    <row r="26" spans="1:17" s="2" customFormat="1" ht="12" customHeight="1">
      <c r="D26" s="22"/>
      <c r="E26" s="22"/>
      <c r="J26" s="5"/>
      <c r="K26" s="5"/>
      <c r="L26" s="5"/>
      <c r="M26" s="5"/>
      <c r="N26" s="5"/>
      <c r="O26" s="5"/>
      <c r="P26" s="88"/>
      <c r="Q26" s="95"/>
    </row>
    <row r="27" spans="1:17" s="2" customFormat="1" ht="12" customHeight="1">
      <c r="D27" s="22"/>
      <c r="E27" s="22"/>
      <c r="J27" s="5"/>
      <c r="K27" s="5"/>
      <c r="L27" s="5"/>
      <c r="M27" s="5"/>
      <c r="N27" s="5"/>
      <c r="O27" s="5"/>
      <c r="P27" s="88"/>
      <c r="Q27" s="95"/>
    </row>
    <row r="28" spans="1:17" s="2" customFormat="1" ht="12" customHeight="1">
      <c r="D28" s="22"/>
      <c r="E28" s="22"/>
      <c r="J28" s="5"/>
      <c r="K28" s="5"/>
      <c r="L28" s="5"/>
      <c r="M28" s="5"/>
      <c r="N28" s="5"/>
      <c r="O28" s="5"/>
      <c r="P28" s="88"/>
      <c r="Q28" s="95"/>
    </row>
    <row r="29" spans="1:17" s="2" customFormat="1" ht="12" customHeight="1">
      <c r="D29" s="22"/>
      <c r="E29" s="22"/>
      <c r="J29" s="5"/>
      <c r="K29" s="5"/>
      <c r="L29" s="5"/>
      <c r="M29" s="5"/>
      <c r="N29" s="5"/>
      <c r="O29" s="5"/>
      <c r="P29" s="88"/>
      <c r="Q29" s="95"/>
    </row>
    <row r="30" spans="1:17" s="2" customFormat="1" ht="12" customHeight="1">
      <c r="D30" s="22"/>
      <c r="E30" s="22"/>
      <c r="J30" s="5"/>
      <c r="K30" s="5"/>
      <c r="L30" s="5"/>
      <c r="M30" s="5"/>
      <c r="N30" s="5"/>
      <c r="O30" s="5"/>
      <c r="P30" s="88"/>
      <c r="Q30" s="95"/>
    </row>
    <row r="31" spans="1:17" s="2" customFormat="1" ht="12" customHeight="1">
      <c r="D31" s="22"/>
      <c r="E31" s="22"/>
      <c r="J31" s="5"/>
      <c r="K31" s="5"/>
      <c r="L31" s="5"/>
      <c r="M31" s="5"/>
      <c r="N31" s="5"/>
      <c r="O31" s="5"/>
      <c r="P31" s="88"/>
      <c r="Q31" s="95"/>
    </row>
    <row r="32" spans="1:17" s="2" customFormat="1" ht="12" customHeight="1">
      <c r="D32" s="22"/>
      <c r="E32" s="22"/>
      <c r="J32" s="5"/>
      <c r="K32" s="5"/>
      <c r="L32" s="5"/>
      <c r="M32" s="5"/>
      <c r="N32" s="5"/>
      <c r="O32" s="5"/>
      <c r="P32" s="88"/>
      <c r="Q32" s="95"/>
    </row>
    <row r="33" spans="4:17" s="2" customFormat="1" ht="12" customHeight="1">
      <c r="D33" s="22"/>
      <c r="E33" s="22"/>
      <c r="J33" s="5"/>
      <c r="K33" s="5"/>
      <c r="L33" s="5"/>
      <c r="M33" s="5"/>
      <c r="N33" s="5"/>
      <c r="O33" s="5"/>
      <c r="P33" s="88"/>
      <c r="Q33" s="95"/>
    </row>
    <row r="34" spans="4:17" s="2" customFormat="1" ht="12" customHeight="1">
      <c r="D34" s="22"/>
      <c r="E34" s="22"/>
      <c r="J34" s="5"/>
      <c r="K34" s="5"/>
      <c r="L34" s="5"/>
      <c r="M34" s="5"/>
      <c r="N34" s="5"/>
      <c r="O34" s="5"/>
      <c r="P34" s="88"/>
      <c r="Q34" s="95"/>
    </row>
    <row r="35" spans="4:17" s="2" customFormat="1" ht="12" customHeight="1">
      <c r="D35" s="22"/>
      <c r="E35" s="22"/>
      <c r="J35" s="5"/>
      <c r="K35" s="5"/>
      <c r="L35" s="5"/>
      <c r="M35" s="5"/>
      <c r="N35" s="5"/>
      <c r="O35" s="5"/>
      <c r="P35" s="88"/>
      <c r="Q35" s="95"/>
    </row>
    <row r="36" spans="4:17" s="2" customFormat="1" ht="12" customHeight="1">
      <c r="D36" s="22"/>
      <c r="E36" s="22"/>
      <c r="J36" s="5"/>
      <c r="K36" s="5"/>
      <c r="L36" s="5"/>
      <c r="M36" s="5"/>
      <c r="N36" s="5"/>
      <c r="O36" s="5"/>
      <c r="P36" s="88"/>
      <c r="Q36" s="95"/>
    </row>
    <row r="37" spans="4:17" s="2" customFormat="1" ht="12" customHeight="1">
      <c r="D37" s="22"/>
      <c r="E37" s="22"/>
      <c r="J37" s="5"/>
      <c r="K37" s="5"/>
      <c r="L37" s="5"/>
      <c r="M37" s="5"/>
      <c r="N37" s="5"/>
      <c r="O37" s="5"/>
      <c r="P37" s="88"/>
      <c r="Q37" s="95"/>
    </row>
    <row r="38" spans="4:17" s="2" customFormat="1" ht="12" customHeight="1">
      <c r="D38" s="22"/>
      <c r="E38" s="22"/>
      <c r="J38" s="5"/>
      <c r="K38" s="5"/>
      <c r="L38" s="5"/>
      <c r="M38" s="5"/>
      <c r="N38" s="5"/>
      <c r="O38" s="5"/>
      <c r="P38" s="88"/>
      <c r="Q38" s="95"/>
    </row>
    <row r="39" spans="4:17" s="2" customFormat="1" ht="12" customHeight="1">
      <c r="D39" s="22"/>
      <c r="E39" s="22"/>
      <c r="J39" s="5"/>
      <c r="K39" s="5"/>
      <c r="L39" s="5"/>
      <c r="M39" s="5"/>
      <c r="N39" s="5"/>
      <c r="O39" s="5"/>
      <c r="P39" s="88"/>
      <c r="Q39" s="95"/>
    </row>
    <row r="40" spans="4:17" s="2" customFormat="1" ht="12" customHeight="1">
      <c r="D40" s="22"/>
      <c r="E40" s="22"/>
      <c r="J40" s="5"/>
      <c r="K40" s="5"/>
      <c r="L40" s="5"/>
      <c r="M40" s="5"/>
      <c r="N40" s="5"/>
      <c r="O40" s="5"/>
      <c r="P40" s="88"/>
      <c r="Q40" s="95"/>
    </row>
    <row r="41" spans="4:17" s="2" customFormat="1" ht="12" customHeight="1">
      <c r="D41" s="22"/>
      <c r="E41" s="22"/>
      <c r="J41" s="5"/>
      <c r="K41" s="5"/>
      <c r="L41" s="5"/>
      <c r="M41" s="5"/>
      <c r="N41" s="5"/>
      <c r="O41" s="5"/>
      <c r="P41" s="88"/>
      <c r="Q41" s="95"/>
    </row>
    <row r="42" spans="4:17" s="2" customFormat="1" ht="12" customHeight="1">
      <c r="D42" s="22"/>
      <c r="E42" s="22"/>
      <c r="J42" s="5"/>
      <c r="K42" s="5"/>
      <c r="L42" s="5"/>
      <c r="M42" s="5"/>
      <c r="N42" s="5"/>
      <c r="O42" s="5"/>
      <c r="P42" s="88"/>
      <c r="Q42" s="95"/>
    </row>
    <row r="43" spans="4:17" s="2" customFormat="1" ht="12" customHeight="1">
      <c r="D43" s="22"/>
      <c r="E43" s="22"/>
      <c r="J43" s="5"/>
      <c r="K43" s="5"/>
      <c r="L43" s="5"/>
      <c r="M43" s="5"/>
      <c r="N43" s="5"/>
      <c r="O43" s="5"/>
      <c r="P43" s="88"/>
      <c r="Q43" s="95"/>
    </row>
    <row r="44" spans="4:17" s="2" customFormat="1" ht="12" customHeight="1">
      <c r="D44" s="22"/>
      <c r="E44" s="22"/>
      <c r="J44" s="5"/>
      <c r="K44" s="5"/>
      <c r="L44" s="5"/>
      <c r="M44" s="5"/>
      <c r="N44" s="5"/>
      <c r="O44" s="5"/>
      <c r="P44" s="88"/>
      <c r="Q44" s="95"/>
    </row>
    <row r="45" spans="4:17" s="2" customFormat="1" ht="12" customHeight="1">
      <c r="D45" s="22"/>
      <c r="E45" s="22"/>
      <c r="J45" s="5"/>
      <c r="K45" s="5"/>
      <c r="L45" s="5"/>
      <c r="M45" s="5"/>
      <c r="N45" s="5"/>
      <c r="O45" s="5"/>
      <c r="P45" s="88"/>
      <c r="Q45" s="95"/>
    </row>
    <row r="46" spans="4:17" s="2" customFormat="1" ht="12" customHeight="1">
      <c r="D46" s="22"/>
      <c r="E46" s="22"/>
      <c r="J46" s="5"/>
      <c r="K46" s="5"/>
      <c r="L46" s="5"/>
      <c r="M46" s="5"/>
      <c r="N46" s="5"/>
      <c r="O46" s="5"/>
      <c r="P46" s="88"/>
      <c r="Q46" s="95"/>
    </row>
    <row r="47" spans="4:17" s="2" customFormat="1" ht="12" customHeight="1">
      <c r="D47" s="22"/>
      <c r="E47" s="22"/>
      <c r="J47" s="5"/>
      <c r="K47" s="5"/>
      <c r="L47" s="5"/>
      <c r="M47" s="5"/>
      <c r="N47" s="5"/>
      <c r="O47" s="5"/>
      <c r="P47" s="88"/>
      <c r="Q47" s="95"/>
    </row>
    <row r="48" spans="4:17" s="2" customFormat="1" ht="12" customHeight="1">
      <c r="D48" s="22"/>
      <c r="E48" s="22"/>
      <c r="J48" s="5"/>
      <c r="K48" s="5"/>
      <c r="L48" s="5"/>
      <c r="M48" s="5"/>
      <c r="N48" s="5"/>
      <c r="O48" s="5"/>
      <c r="P48" s="88"/>
      <c r="Q48" s="95"/>
    </row>
    <row r="49" spans="4:17" s="2" customFormat="1" ht="12" customHeight="1">
      <c r="D49" s="22"/>
      <c r="E49" s="22"/>
      <c r="J49" s="5"/>
      <c r="K49" s="5"/>
      <c r="L49" s="5"/>
      <c r="M49" s="5"/>
      <c r="N49" s="5"/>
      <c r="O49" s="5"/>
      <c r="P49" s="88"/>
      <c r="Q49" s="95"/>
    </row>
    <row r="50" spans="4:17" s="2" customFormat="1" ht="12" customHeight="1">
      <c r="D50" s="22"/>
      <c r="E50" s="22"/>
      <c r="J50" s="5"/>
      <c r="K50" s="5"/>
      <c r="L50" s="5"/>
      <c r="M50" s="5"/>
      <c r="N50" s="5"/>
      <c r="O50" s="5"/>
      <c r="P50" s="88"/>
      <c r="Q50" s="95"/>
    </row>
    <row r="51" spans="4:17" s="2" customFormat="1" ht="12" customHeight="1">
      <c r="D51" s="22"/>
      <c r="E51" s="22"/>
      <c r="J51" s="5"/>
      <c r="K51" s="5"/>
      <c r="L51" s="5"/>
      <c r="M51" s="5"/>
      <c r="N51" s="5"/>
      <c r="O51" s="5"/>
      <c r="P51" s="88"/>
      <c r="Q51" s="95"/>
    </row>
    <row r="52" spans="4:17" s="2" customFormat="1" ht="12" customHeight="1">
      <c r="D52" s="22"/>
      <c r="E52" s="22"/>
      <c r="J52" s="5"/>
      <c r="K52" s="5"/>
      <c r="L52" s="5"/>
      <c r="M52" s="5"/>
      <c r="N52" s="5"/>
      <c r="O52" s="5"/>
      <c r="P52" s="88"/>
      <c r="Q52" s="95"/>
    </row>
    <row r="53" spans="4:17" s="2" customFormat="1" ht="12" customHeight="1">
      <c r="D53" s="22"/>
      <c r="E53" s="22"/>
      <c r="J53" s="5"/>
      <c r="K53" s="5"/>
      <c r="L53" s="5"/>
      <c r="M53" s="5"/>
      <c r="N53" s="5"/>
      <c r="O53" s="5"/>
      <c r="P53" s="88"/>
      <c r="Q53" s="95"/>
    </row>
    <row r="54" spans="4:17" s="2" customFormat="1" ht="12" customHeight="1">
      <c r="D54" s="22"/>
      <c r="E54" s="22"/>
      <c r="J54" s="5"/>
      <c r="K54" s="5"/>
      <c r="L54" s="5"/>
      <c r="M54" s="5"/>
      <c r="N54" s="5"/>
      <c r="O54" s="5"/>
      <c r="P54" s="88"/>
      <c r="Q54" s="95"/>
    </row>
    <row r="55" spans="4:17" s="2" customFormat="1" ht="12" customHeight="1">
      <c r="D55" s="22"/>
      <c r="E55" s="22"/>
      <c r="J55" s="5"/>
      <c r="K55" s="5"/>
      <c r="L55" s="5"/>
      <c r="M55" s="5"/>
      <c r="N55" s="5"/>
      <c r="O55" s="5"/>
      <c r="P55" s="88"/>
      <c r="Q55" s="95"/>
    </row>
    <row r="56" spans="4:17" s="2" customFormat="1" ht="12" customHeight="1">
      <c r="D56" s="22"/>
      <c r="E56" s="22"/>
      <c r="J56" s="5"/>
      <c r="K56" s="5"/>
      <c r="L56" s="5"/>
      <c r="M56" s="5"/>
      <c r="N56" s="5"/>
      <c r="O56" s="5"/>
      <c r="P56" s="88"/>
      <c r="Q56" s="95"/>
    </row>
    <row r="57" spans="4:17" s="2" customFormat="1" ht="12" customHeight="1">
      <c r="D57" s="22"/>
      <c r="E57" s="22"/>
      <c r="J57" s="5"/>
      <c r="K57" s="5"/>
      <c r="L57" s="5"/>
      <c r="M57" s="5"/>
      <c r="N57" s="5"/>
      <c r="O57" s="5"/>
      <c r="P57" s="88"/>
      <c r="Q57" s="95"/>
    </row>
    <row r="58" spans="4:17" s="2" customFormat="1" ht="12" customHeight="1">
      <c r="D58" s="22"/>
      <c r="E58" s="22"/>
      <c r="J58" s="5"/>
      <c r="K58" s="5"/>
      <c r="L58" s="5"/>
      <c r="M58" s="5"/>
      <c r="N58" s="5"/>
      <c r="O58" s="5"/>
      <c r="P58" s="88"/>
      <c r="Q58" s="95"/>
    </row>
    <row r="59" spans="4:17" s="2" customFormat="1" ht="12" customHeight="1">
      <c r="D59" s="22"/>
      <c r="E59" s="22"/>
      <c r="J59" s="5"/>
      <c r="K59" s="5"/>
      <c r="L59" s="5"/>
      <c r="M59" s="5"/>
      <c r="N59" s="5"/>
      <c r="O59" s="5"/>
      <c r="P59" s="88"/>
      <c r="Q59" s="95"/>
    </row>
    <row r="60" spans="4:17" s="2" customFormat="1" ht="12" customHeight="1">
      <c r="D60" s="22"/>
      <c r="E60" s="22"/>
      <c r="J60" s="5"/>
      <c r="K60" s="5"/>
      <c r="L60" s="5"/>
      <c r="M60" s="5"/>
      <c r="N60" s="5"/>
      <c r="O60" s="5"/>
      <c r="P60" s="88"/>
      <c r="Q60" s="95"/>
    </row>
    <row r="61" spans="4:17" s="2" customFormat="1" ht="12" customHeight="1">
      <c r="D61" s="22"/>
      <c r="E61" s="22"/>
      <c r="J61" s="5"/>
      <c r="K61" s="5"/>
      <c r="L61" s="5"/>
      <c r="M61" s="5"/>
      <c r="N61" s="5"/>
      <c r="O61" s="5"/>
      <c r="P61" s="88"/>
      <c r="Q61" s="95"/>
    </row>
    <row r="62" spans="4:17" s="2" customFormat="1" ht="12" customHeight="1">
      <c r="D62" s="22"/>
      <c r="E62" s="22"/>
      <c r="J62" s="5"/>
      <c r="K62" s="5"/>
      <c r="L62" s="5"/>
      <c r="M62" s="5"/>
      <c r="N62" s="5"/>
      <c r="O62" s="5"/>
      <c r="P62" s="88"/>
      <c r="Q62" s="96"/>
    </row>
    <row r="63" spans="4:17" s="2" customFormat="1" ht="12" customHeight="1">
      <c r="D63" s="22"/>
      <c r="E63" s="22"/>
      <c r="J63" s="5"/>
      <c r="K63" s="5"/>
      <c r="L63" s="5"/>
      <c r="M63" s="5"/>
      <c r="N63" s="5"/>
      <c r="O63" s="5"/>
      <c r="P63" s="88"/>
      <c r="Q63" s="96"/>
    </row>
    <row r="64" spans="4:17" s="2" customFormat="1" ht="12" customHeight="1">
      <c r="D64" s="22"/>
      <c r="E64" s="22"/>
      <c r="J64" s="5"/>
      <c r="K64" s="5"/>
      <c r="L64" s="5"/>
      <c r="M64" s="5"/>
      <c r="N64" s="5"/>
      <c r="O64" s="5"/>
      <c r="P64" s="88"/>
      <c r="Q64" s="96"/>
    </row>
    <row r="65" spans="1:17" s="2" customFormat="1" ht="12" customHeight="1">
      <c r="D65" s="22"/>
      <c r="E65" s="22"/>
      <c r="J65" s="5"/>
      <c r="K65" s="5"/>
      <c r="L65" s="5"/>
      <c r="M65" s="5"/>
      <c r="N65" s="5"/>
      <c r="O65" s="5"/>
      <c r="P65" s="88"/>
      <c r="Q65" s="96"/>
    </row>
    <row r="66" spans="1:17" s="2" customFormat="1" ht="12" customHeight="1">
      <c r="A66"/>
      <c r="B66"/>
      <c r="C66"/>
      <c r="D66" s="23"/>
      <c r="E66" s="23"/>
      <c r="F66"/>
      <c r="G66"/>
      <c r="H66"/>
      <c r="I66"/>
      <c r="J66" s="19"/>
      <c r="K66" s="19"/>
      <c r="L66" s="19"/>
      <c r="M66" s="19"/>
      <c r="N66" s="19"/>
      <c r="O66" s="19"/>
      <c r="P66" s="90"/>
      <c r="Q66" s="96"/>
    </row>
    <row r="67" spans="1:17" s="2" customFormat="1" ht="12" customHeight="1">
      <c r="A67"/>
      <c r="B67"/>
      <c r="C67"/>
      <c r="D67" s="23"/>
      <c r="E67" s="23"/>
      <c r="F67"/>
      <c r="G67"/>
      <c r="H67"/>
      <c r="I67"/>
      <c r="J67" s="19"/>
      <c r="K67" s="19"/>
      <c r="L67" s="19"/>
      <c r="M67" s="19"/>
      <c r="N67" s="19"/>
      <c r="O67" s="19"/>
      <c r="P67" s="90"/>
      <c r="Q67" s="96"/>
    </row>
    <row r="68" spans="1:17" s="2" customFormat="1" ht="12" customHeight="1">
      <c r="A68"/>
      <c r="B68"/>
      <c r="C68"/>
      <c r="D68" s="23"/>
      <c r="E68" s="23"/>
      <c r="F68"/>
      <c r="G68"/>
      <c r="H68"/>
      <c r="I68"/>
      <c r="J68" s="19"/>
      <c r="K68" s="19"/>
      <c r="L68" s="19"/>
      <c r="M68" s="19"/>
      <c r="N68" s="19"/>
      <c r="O68" s="19"/>
      <c r="P68" s="90"/>
      <c r="Q68" s="96"/>
    </row>
    <row r="69" spans="1:17" s="2" customFormat="1" ht="12" customHeight="1">
      <c r="A69"/>
      <c r="B69"/>
      <c r="C69"/>
      <c r="D69" s="23"/>
      <c r="E69" s="23"/>
      <c r="F69"/>
      <c r="G69"/>
      <c r="H69"/>
      <c r="I69"/>
      <c r="J69" s="19"/>
      <c r="K69" s="19"/>
      <c r="L69" s="19"/>
      <c r="M69" s="19"/>
      <c r="N69" s="19"/>
      <c r="O69" s="19"/>
      <c r="P69" s="90"/>
      <c r="Q69" s="96"/>
    </row>
    <row r="70" spans="1:17" s="2" customFormat="1" ht="12" customHeight="1">
      <c r="A70"/>
      <c r="B70"/>
      <c r="C70"/>
      <c r="D70" s="23"/>
      <c r="E70" s="23"/>
      <c r="F70"/>
      <c r="G70"/>
      <c r="H70"/>
      <c r="I70"/>
      <c r="J70" s="19"/>
      <c r="K70" s="19"/>
      <c r="L70" s="19"/>
      <c r="M70" s="19"/>
      <c r="N70" s="19"/>
      <c r="O70" s="19"/>
      <c r="P70" s="90"/>
      <c r="Q70" s="96"/>
    </row>
    <row r="71" spans="1:17">
      <c r="Q71" s="96"/>
    </row>
    <row r="72" spans="1:17">
      <c r="Q72" s="96"/>
    </row>
    <row r="73" spans="1:17">
      <c r="Q73" s="96"/>
    </row>
    <row r="74" spans="1:17">
      <c r="Q74" s="96"/>
    </row>
    <row r="75" spans="1:17">
      <c r="Q75" s="96"/>
    </row>
    <row r="76" spans="1:17">
      <c r="Q76" s="96"/>
    </row>
    <row r="77" spans="1:17">
      <c r="Q77" s="96"/>
    </row>
    <row r="78" spans="1:17">
      <c r="Q78" s="96"/>
    </row>
    <row r="79" spans="1:17">
      <c r="Q79" s="96"/>
    </row>
    <row r="80" spans="1:17">
      <c r="Q80" s="96"/>
    </row>
    <row r="81" spans="17:17">
      <c r="Q81" s="96"/>
    </row>
    <row r="82" spans="17:17">
      <c r="Q82" s="96"/>
    </row>
    <row r="83" spans="17:17">
      <c r="Q83" s="96"/>
    </row>
    <row r="84" spans="17:17">
      <c r="Q84" s="96"/>
    </row>
    <row r="85" spans="17:17">
      <c r="Q85" s="96"/>
    </row>
    <row r="86" spans="17:17">
      <c r="Q86" s="96"/>
    </row>
    <row r="87" spans="17:17">
      <c r="Q87" s="96"/>
    </row>
    <row r="88" spans="17:17">
      <c r="Q88" s="96"/>
    </row>
    <row r="89" spans="17:17">
      <c r="Q89" s="96"/>
    </row>
    <row r="90" spans="17:17">
      <c r="Q90" s="96"/>
    </row>
    <row r="127" ht="12" customHeight="1"/>
    <row r="128" ht="12" customHeight="1"/>
    <row r="129" ht="12" customHeight="1"/>
    <row r="130" ht="12" customHeight="1"/>
    <row r="131" ht="12" customHeight="1"/>
    <row r="132" ht="12" customHeight="1"/>
    <row r="133" ht="12" customHeight="1"/>
    <row r="134" ht="12" customHeight="1"/>
    <row r="135" ht="12" customHeight="1"/>
    <row r="136" ht="12" customHeight="1"/>
    <row r="137" ht="12" customHeight="1"/>
    <row r="138" ht="12" customHeight="1"/>
    <row r="139" ht="12" customHeight="1"/>
    <row r="140" ht="12" customHeight="1"/>
    <row r="141" ht="12" customHeight="1"/>
    <row r="142" ht="12" customHeight="1"/>
    <row r="143" ht="12" customHeight="1"/>
    <row r="144" ht="12" customHeight="1"/>
    <row r="145" ht="12" customHeight="1"/>
    <row r="146" ht="12" customHeight="1"/>
    <row r="147" ht="12" customHeight="1"/>
    <row r="148" ht="12" customHeight="1"/>
    <row r="149" ht="12" customHeight="1"/>
    <row r="150" ht="12" customHeight="1"/>
    <row r="151" ht="12" customHeight="1"/>
    <row r="152" ht="12" customHeight="1"/>
    <row r="153" ht="12" customHeight="1"/>
    <row r="154" ht="12" customHeight="1"/>
    <row r="155" ht="12" customHeight="1"/>
    <row r="156" ht="12" customHeight="1"/>
    <row r="157" ht="12" customHeight="1"/>
    <row r="158" ht="12" customHeight="1"/>
    <row r="159" ht="12" customHeight="1"/>
    <row r="160" ht="12" customHeight="1"/>
    <row r="161" ht="12" customHeight="1"/>
    <row r="162" ht="12" customHeight="1"/>
    <row r="163" ht="12" customHeight="1"/>
    <row r="164" ht="12" customHeight="1"/>
    <row r="165" ht="12" customHeight="1"/>
    <row r="166" ht="12" customHeight="1"/>
    <row r="167" ht="12" customHeight="1"/>
    <row r="168" ht="12" customHeight="1"/>
    <row r="169" ht="12" customHeight="1"/>
    <row r="170" ht="12" customHeight="1"/>
    <row r="171" ht="12" customHeight="1"/>
    <row r="172" ht="12" customHeight="1"/>
    <row r="173" ht="12" customHeight="1"/>
    <row r="174" ht="12" customHeight="1"/>
    <row r="175" ht="12" customHeight="1"/>
    <row r="176" ht="12" customHeight="1"/>
  </sheetData>
  <mergeCells count="25">
    <mergeCell ref="D20:E20"/>
    <mergeCell ref="D21:E21"/>
    <mergeCell ref="D22:E22"/>
    <mergeCell ref="D23:E23"/>
    <mergeCell ref="H23:I23"/>
    <mergeCell ref="D16:E16"/>
    <mergeCell ref="D17:E17"/>
    <mergeCell ref="D18:E18"/>
    <mergeCell ref="D19:E19"/>
    <mergeCell ref="H19:I19"/>
    <mergeCell ref="H11:I11"/>
    <mergeCell ref="D12:E12"/>
    <mergeCell ref="D13:E13"/>
    <mergeCell ref="D14:E14"/>
    <mergeCell ref="D15:E15"/>
    <mergeCell ref="D7:E7"/>
    <mergeCell ref="D8:E8"/>
    <mergeCell ref="D9:E9"/>
    <mergeCell ref="D10:E10"/>
    <mergeCell ref="D11:E11"/>
    <mergeCell ref="D1:E1"/>
    <mergeCell ref="D4:E4"/>
    <mergeCell ref="H4:I4"/>
    <mergeCell ref="D5:E5"/>
    <mergeCell ref="D6:E6"/>
  </mergeCells>
  <conditionalFormatting sqref="M5:M10 M12:M18 M20:M22">
    <cfRule type="cellIs" dxfId="282" priority="3" stopIfTrue="1" operator="lessThanOrEqual">
      <formula>$L5</formula>
    </cfRule>
    <cfRule type="cellIs" dxfId="281" priority="4" operator="greaterThan">
      <formula>L5</formula>
    </cfRule>
  </conditionalFormatting>
  <pageMargins left="0.7" right="0.7" top="0.75" bottom="0.75" header="0.3" footer="0.3"/>
  <pageSetup paperSize="3" fitToHeight="0" orientation="landscape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AE95B85B-554F-4B4F-8222-377731033A2D}">
          <x14:formula1>
            <xm:f>Bolts!$A:$A</xm:f>
          </x14:formula1>
          <xm:sqref>C20:C22</xm:sqref>
        </x14:dataValidation>
        <x14:dataValidation type="list" allowBlank="1" showInputMessage="1" showErrorMessage="1" xr:uid="{EA187D94-5E8F-4F1E-B652-2BB34BDDA67B}">
          <x14:formula1>
            <xm:f>Purchased!$A:$A</xm:f>
          </x14:formula1>
          <xm:sqref>C12:C18</xm:sqref>
        </x14:dataValidation>
        <x14:dataValidation type="list" allowBlank="1" showInputMessage="1" showErrorMessage="1" xr:uid="{497ED550-DE3F-4118-86C0-DB2128FD267E}">
          <x14:formula1>
            <xm:f>Machined!$C:$C</xm:f>
          </x14:formula1>
          <xm:sqref>C5:C10</xm:sqref>
        </x14:dataValidation>
      </x14:dataValidations>
    </ext>
  </extLst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B05C96-1AA6-4F59-84E3-E0C5FD59A791}">
  <sheetPr codeName="Sheet103">
    <tabColor theme="3" tint="0.79998168889431442"/>
    <pageSetUpPr fitToPage="1"/>
  </sheetPr>
  <dimension ref="A1:Q166"/>
  <sheetViews>
    <sheetView zoomScaleNormal="100" workbookViewId="0">
      <selection activeCell="Q13" sqref="Q13"/>
    </sheetView>
  </sheetViews>
  <sheetFormatPr defaultColWidth="9.140625" defaultRowHeight="15"/>
  <cols>
    <col min="1" max="1" width="5.7109375" customWidth="1"/>
    <col min="2" max="2" width="5.42578125" bestFit="1" customWidth="1"/>
    <col min="3" max="3" width="30.7109375" customWidth="1"/>
    <col min="4" max="5" width="20.7109375" style="23" customWidth="1"/>
    <col min="6" max="6" width="16.85546875" bestFit="1" customWidth="1"/>
    <col min="7" max="7" width="9.7109375" customWidth="1"/>
    <col min="8" max="8" width="8.7109375" customWidth="1"/>
    <col min="9" max="9" width="20.7109375" customWidth="1"/>
    <col min="10" max="13" width="11.7109375" style="19" customWidth="1"/>
    <col min="14" max="14" width="11.85546875" style="19" bestFit="1" customWidth="1"/>
    <col min="15" max="15" width="7.7109375" style="19" customWidth="1"/>
    <col min="16" max="16" width="10.7109375" style="90" customWidth="1"/>
    <col min="17" max="17" width="10.7109375" style="97" customWidth="1"/>
  </cols>
  <sheetData>
    <row r="1" spans="1:17" s="55" customFormat="1" ht="12" customHeight="1">
      <c r="A1" s="68" t="s">
        <v>0</v>
      </c>
      <c r="B1" s="69"/>
      <c r="C1" s="69"/>
      <c r="D1" s="262" t="s">
        <v>1</v>
      </c>
      <c r="E1" s="263"/>
      <c r="F1" s="70"/>
      <c r="G1" s="69"/>
      <c r="H1" s="70"/>
      <c r="I1" s="71"/>
      <c r="J1" s="72"/>
      <c r="K1" s="72"/>
      <c r="L1" s="72"/>
      <c r="M1" s="72"/>
      <c r="N1" s="72"/>
      <c r="O1" s="72"/>
      <c r="P1" s="85"/>
      <c r="Q1" s="91"/>
    </row>
    <row r="2" spans="1:17" s="55" customFormat="1" ht="12" customHeight="1">
      <c r="A2" s="74" t="s">
        <v>48</v>
      </c>
      <c r="B2" s="58"/>
      <c r="C2" s="57" t="e">
        <f ca="1">VLOOKUP(E3,Assemblies!B:F,4,0)</f>
        <v>#VALUE!</v>
      </c>
      <c r="D2" s="75" t="s">
        <v>3</v>
      </c>
      <c r="E2" s="76" t="e">
        <f ca="1">'GF12'!E2</f>
        <v>#VALUE!</v>
      </c>
      <c r="F2" s="77" t="s">
        <v>4</v>
      </c>
      <c r="G2" s="58" t="str">
        <f>'GF12'!G2</f>
        <v>GH</v>
      </c>
      <c r="H2" s="77" t="s">
        <v>6</v>
      </c>
      <c r="I2" s="59">
        <f>'GF12'!I2</f>
        <v>44775</v>
      </c>
      <c r="J2" s="39"/>
      <c r="K2" s="40" t="s">
        <v>49</v>
      </c>
      <c r="L2" s="41" t="e">
        <f ca="1">VLOOKUP(C2,Assemblies!E:G,3,0)</f>
        <v>#VALUE!</v>
      </c>
      <c r="M2" s="78"/>
      <c r="N2" s="78"/>
      <c r="O2" s="78"/>
      <c r="P2" s="86"/>
      <c r="Q2" s="92"/>
    </row>
    <row r="3" spans="1:17" s="55" customFormat="1" ht="12" customHeight="1" thickBot="1">
      <c r="A3" s="74" t="s">
        <v>7</v>
      </c>
      <c r="B3" s="58"/>
      <c r="C3" s="57" t="e">
        <f ca="1">VLOOKUP(E3,Assemblies!B:F,5,0)</f>
        <v>#VALUE!</v>
      </c>
      <c r="D3" s="75" t="s">
        <v>50</v>
      </c>
      <c r="E3" s="76" t="e">
        <f ca="1">MID(CELL("filename",A1),FIND("]",CELL("filename",A1))+1,256)</f>
        <v>#VALUE!</v>
      </c>
      <c r="F3" s="77" t="s">
        <v>11</v>
      </c>
      <c r="G3" s="58" t="str">
        <f>'GF12'!G3</f>
        <v>GH</v>
      </c>
      <c r="H3" s="77" t="s">
        <v>6</v>
      </c>
      <c r="I3" s="59">
        <f>'GF12'!I3</f>
        <v>44775</v>
      </c>
      <c r="J3" s="78"/>
      <c r="K3" s="78"/>
      <c r="L3" s="78"/>
      <c r="M3" s="78"/>
      <c r="N3" s="78"/>
      <c r="O3" s="78"/>
      <c r="P3" s="86"/>
      <c r="Q3" s="92"/>
    </row>
    <row r="4" spans="1:17" s="56" customFormat="1" ht="12.75" customHeight="1" thickBot="1">
      <c r="A4" s="80" t="s">
        <v>12</v>
      </c>
      <c r="B4" s="81" t="s">
        <v>13</v>
      </c>
      <c r="C4" s="81" t="s">
        <v>14</v>
      </c>
      <c r="D4" s="270" t="s">
        <v>15</v>
      </c>
      <c r="E4" s="271"/>
      <c r="F4" s="104" t="s">
        <v>16</v>
      </c>
      <c r="G4" s="81" t="s">
        <v>17</v>
      </c>
      <c r="H4" s="260" t="s">
        <v>18</v>
      </c>
      <c r="I4" s="261"/>
      <c r="J4" s="81" t="s">
        <v>51</v>
      </c>
      <c r="K4" s="81" t="s">
        <v>20</v>
      </c>
      <c r="L4" s="81" t="s">
        <v>21</v>
      </c>
      <c r="M4" s="81" t="s">
        <v>52</v>
      </c>
      <c r="N4" s="81" t="s">
        <v>22</v>
      </c>
      <c r="O4" s="81" t="s">
        <v>53</v>
      </c>
      <c r="P4" s="107" t="s">
        <v>26</v>
      </c>
      <c r="Q4" s="82" t="s">
        <v>27</v>
      </c>
    </row>
    <row r="5" spans="1:17" s="2" customFormat="1" ht="12.75" customHeight="1">
      <c r="A5" s="127">
        <v>1</v>
      </c>
      <c r="B5" s="21">
        <v>1</v>
      </c>
      <c r="C5" s="108" t="s">
        <v>1132</v>
      </c>
      <c r="D5" s="277" t="str">
        <f>VLOOKUP(C5,Machined!C:Q,2,0)</f>
        <v>SIDE SEAL RAIL PLATE</v>
      </c>
      <c r="E5" s="278"/>
      <c r="F5" s="131" t="str">
        <f>VLOOKUP(C5,Machined!C:R,7,0)</f>
        <v>MIC 6</v>
      </c>
      <c r="G5" s="131" t="str">
        <f>VLOOKUP(C5,Machined!C:R,10,0)</f>
        <v>FRONTIER</v>
      </c>
      <c r="H5" s="131" t="str">
        <f>VLOOKUP(C5,Machined!C:R,11,0)</f>
        <v xml:space="preserve">  </v>
      </c>
      <c r="I5" s="131"/>
      <c r="J5" s="42">
        <f>VLOOKUP(C5,Machined!C:R,12,0)</f>
        <v>45139</v>
      </c>
      <c r="K5" s="42">
        <f>VLOOKUP(C5,Machined!C:R,13,0)</f>
        <v>45140</v>
      </c>
      <c r="L5" s="42">
        <f>VLOOKUP(C5,Machined!C:R,14,0)</f>
        <v>45170</v>
      </c>
      <c r="M5" s="42">
        <f>VLOOKUP(C5,Machined!C:R,15,0)</f>
        <v>45170</v>
      </c>
      <c r="N5" s="43">
        <f>VLOOKUP(C5,Machined!C:R,16,0)</f>
        <v>55025</v>
      </c>
      <c r="O5" s="43" t="e">
        <f t="shared" ref="O5" ca="1" si="0">B5*$L$2</f>
        <v>#VALUE!</v>
      </c>
      <c r="P5" s="47">
        <f>IFERROR(VLOOKUP(C5,Machined!C:F,3,0),"")</f>
        <v>0</v>
      </c>
      <c r="Q5" s="48">
        <f t="shared" ref="Q5" si="1">IFERROR(B5*P5,"")</f>
        <v>0</v>
      </c>
    </row>
    <row r="6" spans="1:17" s="2" customFormat="1" ht="12.75" customHeight="1">
      <c r="A6" s="143"/>
      <c r="B6" s="26"/>
      <c r="C6" s="26"/>
      <c r="D6" s="272"/>
      <c r="E6" s="273"/>
      <c r="F6" s="26"/>
      <c r="G6" s="26"/>
      <c r="H6" s="274"/>
      <c r="I6" s="275"/>
      <c r="J6" s="27"/>
      <c r="K6" s="27"/>
      <c r="L6" s="27"/>
      <c r="M6" s="28"/>
      <c r="N6" s="29"/>
      <c r="O6" s="29"/>
      <c r="P6" s="141"/>
      <c r="Q6" s="142"/>
    </row>
    <row r="7" spans="1:17" s="2" customFormat="1" ht="12.75" customHeight="1">
      <c r="A7" s="4">
        <v>301</v>
      </c>
      <c r="B7" s="2">
        <v>1</v>
      </c>
      <c r="C7" s="114" t="s">
        <v>1133</v>
      </c>
      <c r="D7" s="268" t="str">
        <f>VLOOKUP(C7,Purchased!A:B,2,0)</f>
        <v>BRL .400 Side Rail THREE SHORT option</v>
      </c>
      <c r="E7" s="269"/>
      <c r="F7" s="112" t="str">
        <f>VLOOKUP(C7,Purchased!A:Q,9,0)</f>
        <v>BRL</v>
      </c>
      <c r="G7" s="112" t="str">
        <f>VLOOKUP(C7,Purchased!A:Q,10,0)</f>
        <v>AAP</v>
      </c>
      <c r="H7" s="112" t="str">
        <f>VLOOKUP(C7,Purchased!A:Q,12,0)</f>
        <v xml:space="preserve"> </v>
      </c>
      <c r="I7" s="113"/>
      <c r="J7" s="44">
        <f>VLOOKUP(C7,Purchased!A:Q,13,0)</f>
        <v>45093</v>
      </c>
      <c r="K7" s="44">
        <f>VLOOKUP(C7,Purchased!A:Q,14,0)</f>
        <v>45093</v>
      </c>
      <c r="L7" s="44">
        <f>VLOOKUP(C7,Purchased!A:Q,15,0)</f>
        <v>45184</v>
      </c>
      <c r="M7" s="44">
        <f>VLOOKUP(C7,Purchased!A:Q,16,0)</f>
        <v>45184</v>
      </c>
      <c r="N7" s="45">
        <f>VLOOKUP(C7,Purchased!A:Q,17,0)</f>
        <v>54942</v>
      </c>
      <c r="O7" s="45" t="e">
        <f t="shared" ref="O7:O9" ca="1" si="2">B7*$L$2</f>
        <v>#VALUE!</v>
      </c>
      <c r="P7" s="49">
        <f>IFERROR(VLOOKUP(C7,Purchased!A:E,3,FALSE),"")</f>
        <v>170.96619999999999</v>
      </c>
      <c r="Q7" s="50">
        <f t="shared" ref="Q7:Q9" si="3">IFERROR(B7*P7,"")</f>
        <v>170.96619999999999</v>
      </c>
    </row>
    <row r="8" spans="1:17" s="2" customFormat="1" ht="12" customHeight="1">
      <c r="A8" s="4">
        <f t="shared" ref="A8:A9" si="4">A7+1</f>
        <v>302</v>
      </c>
      <c r="B8" s="2">
        <v>2</v>
      </c>
      <c r="C8" s="114" t="s">
        <v>263</v>
      </c>
      <c r="D8" s="268" t="str">
        <f>VLOOKUP(C8,Purchased!A:B,2,0)</f>
        <v>Dowel Pin 52100 Alloy Steel, 10 mm Diameter, 20 mm Long, 10pk</v>
      </c>
      <c r="E8" s="269"/>
      <c r="F8" s="112" t="str">
        <f>VLOOKUP(C8,Purchased!A:Q,9,0)</f>
        <v>MCM</v>
      </c>
      <c r="G8" s="112" t="str">
        <f>VLOOKUP(C8,Purchased!A:Q,10,0)</f>
        <v>MCM</v>
      </c>
      <c r="H8" s="112" t="str">
        <f>VLOOKUP(C8,Purchased!A:Q,12,0)</f>
        <v>Pack of 10</v>
      </c>
      <c r="I8" s="113"/>
      <c r="J8" s="44" t="str">
        <f>VLOOKUP(C8,Purchased!A:Q,13,0)</f>
        <v>N/A</v>
      </c>
      <c r="K8" s="44">
        <f>VLOOKUP(C8,Purchased!A:Q,14,0)</f>
        <v>45162</v>
      </c>
      <c r="L8" s="44">
        <f>VLOOKUP(C8,Purchased!A:Q,15,0)</f>
        <v>45184</v>
      </c>
      <c r="M8" s="44">
        <f>VLOOKUP(C8,Purchased!A:Q,16,0)</f>
        <v>45163</v>
      </c>
      <c r="N8" s="45">
        <f>VLOOKUP(C8,Purchased!A:Q,17,0)</f>
        <v>55088</v>
      </c>
      <c r="O8" s="45" t="e">
        <f t="shared" ca="1" si="2"/>
        <v>#VALUE!</v>
      </c>
      <c r="P8" s="49">
        <f>IFERROR(VLOOKUP(C8,Purchased!A:E,3,FALSE),"")</f>
        <v>10.57</v>
      </c>
      <c r="Q8" s="50">
        <f t="shared" si="3"/>
        <v>21.14</v>
      </c>
    </row>
    <row r="9" spans="1:17" s="2" customFormat="1" ht="12" customHeight="1">
      <c r="A9" s="4">
        <f t="shared" si="4"/>
        <v>303</v>
      </c>
      <c r="B9" s="2">
        <v>8</v>
      </c>
      <c r="C9" s="114" t="s">
        <v>262</v>
      </c>
      <c r="D9" s="268" t="str">
        <f>VLOOKUP(C9,Purchased!A:B,2,0)</f>
        <v>BRX GOTO T-NUT 10 M6</v>
      </c>
      <c r="E9" s="269"/>
      <c r="F9" s="112" t="str">
        <f>VLOOKUP(C9,Purchased!A:Q,9,0)</f>
        <v>BRX</v>
      </c>
      <c r="G9" s="112" t="str">
        <f>VLOOKUP(C9,Purchased!A:Q,10,0)</f>
        <v>AAP</v>
      </c>
      <c r="H9" s="112" t="str">
        <f>VLOOKUP(C9,Purchased!A:Q,12,0)</f>
        <v xml:space="preserve">  </v>
      </c>
      <c r="I9" s="113"/>
      <c r="J9" s="44">
        <f>VLOOKUP(C9,Purchased!A:Q,13,0)</f>
        <v>45104</v>
      </c>
      <c r="K9" s="44">
        <f>VLOOKUP(C9,Purchased!A:Q,14,0)</f>
        <v>45105</v>
      </c>
      <c r="L9" s="44">
        <f>VLOOKUP(C9,Purchased!A:Q,15,0)</f>
        <v>45133</v>
      </c>
      <c r="M9" s="44">
        <f>VLOOKUP(C9,Purchased!A:Q,16,0)</f>
        <v>45133</v>
      </c>
      <c r="N9" s="45" t="str">
        <f>VLOOKUP(C9,Purchased!A:Q,17,0)</f>
        <v>54968, 55147, 55270</v>
      </c>
      <c r="O9" s="45" t="e">
        <f t="shared" ca="1" si="2"/>
        <v>#VALUE!</v>
      </c>
      <c r="P9" s="49">
        <f>IFERROR(VLOOKUP(C9,Purchased!A:E,3,FALSE),"")</f>
        <v>0.64290000000000003</v>
      </c>
      <c r="Q9" s="50">
        <f t="shared" si="3"/>
        <v>5.1432000000000002</v>
      </c>
    </row>
    <row r="10" spans="1:17" s="2" customFormat="1" ht="12.75" customHeight="1">
      <c r="A10" s="25"/>
      <c r="B10" s="26"/>
      <c r="C10" s="26"/>
      <c r="D10" s="272"/>
      <c r="E10" s="273"/>
      <c r="F10" s="26"/>
      <c r="G10" s="26"/>
      <c r="H10" s="274"/>
      <c r="I10" s="275"/>
      <c r="J10" s="27"/>
      <c r="K10" s="27"/>
      <c r="L10" s="27"/>
      <c r="M10" s="28"/>
      <c r="N10" s="29"/>
      <c r="O10" s="29" t="e">
        <f t="shared" ref="O10:O12" ca="1" si="5">B10*$L$2</f>
        <v>#VALUE!</v>
      </c>
      <c r="P10" s="141"/>
      <c r="Q10" s="142"/>
    </row>
    <row r="11" spans="1:17" s="2" customFormat="1" ht="12.75" customHeight="1">
      <c r="A11" s="4">
        <v>501</v>
      </c>
      <c r="B11" s="2">
        <v>8</v>
      </c>
      <c r="C11" s="110" t="s">
        <v>266</v>
      </c>
      <c r="D11" s="268"/>
      <c r="E11" s="276"/>
      <c r="F11" s="112" t="str">
        <f>VLOOKUP(C11,Bolts!A:L,5,0)</f>
        <v xml:space="preserve">  </v>
      </c>
      <c r="G11" s="112" t="str">
        <f>VLOOKUP(C11,Bolts!A:L,6,0)</f>
        <v>Monroe Fasteners</v>
      </c>
      <c r="H11" s="112" t="str">
        <f>VLOOKUP(C11,Bolts!A:L,7,0)</f>
        <v xml:space="preserve">  </v>
      </c>
      <c r="I11" s="112"/>
      <c r="J11" s="44" t="str">
        <f>VLOOKUP(C11,Bolts!A:L,8,0)</f>
        <v xml:space="preserve"> </v>
      </c>
      <c r="K11" s="44" t="str">
        <f>VLOOKUP(C11,Bolts!A:L,9,0)</f>
        <v xml:space="preserve"> </v>
      </c>
      <c r="L11" s="44" t="str">
        <f>VLOOKUP(C11,Bolts!A:L,10,0)</f>
        <v xml:space="preserve"> </v>
      </c>
      <c r="M11" s="44" t="str">
        <f>VLOOKUP(C11,Bolts!A:L,11,0)</f>
        <v xml:space="preserve"> </v>
      </c>
      <c r="N11" s="45" t="str">
        <f>VLOOKUP(C11,Bolts!A:L,12,0)</f>
        <v xml:space="preserve"> </v>
      </c>
      <c r="O11" s="45" t="e">
        <f t="shared" ca="1" si="5"/>
        <v>#VALUE!</v>
      </c>
      <c r="P11" s="49" t="str">
        <f>IFERROR(VLOOKUP(C11,Bolts!A:B,2,FALSE),"")</f>
        <v xml:space="preserve"> </v>
      </c>
      <c r="Q11" s="50" t="str">
        <f t="shared" ref="Q11:Q12" si="6">IFERROR(B11*P11,"")</f>
        <v/>
      </c>
    </row>
    <row r="12" spans="1:17" s="2" customFormat="1" ht="12.75" customHeight="1" thickBot="1">
      <c r="A12" s="4">
        <f t="shared" ref="A12" si="7">A11+1</f>
        <v>502</v>
      </c>
      <c r="B12" s="2">
        <v>4</v>
      </c>
      <c r="C12" s="110" t="s">
        <v>454</v>
      </c>
      <c r="D12" s="268"/>
      <c r="E12" s="276"/>
      <c r="F12" s="112" t="str">
        <f>VLOOKUP(C12,Bolts!A:L,5,0)</f>
        <v xml:space="preserve">  </v>
      </c>
      <c r="G12" s="112" t="str">
        <f>VLOOKUP(C12,Bolts!A:L,6,0)</f>
        <v>Monroe Fasteners</v>
      </c>
      <c r="H12" s="112" t="str">
        <f>VLOOKUP(C12,Bolts!A:L,7,0)</f>
        <v xml:space="preserve">  </v>
      </c>
      <c r="I12" s="112"/>
      <c r="J12" s="44" t="str">
        <f>VLOOKUP(C12,Bolts!A:L,8,0)</f>
        <v xml:space="preserve"> </v>
      </c>
      <c r="K12" s="44" t="str">
        <f>VLOOKUP(C12,Bolts!A:L,9,0)</f>
        <v xml:space="preserve"> </v>
      </c>
      <c r="L12" s="44" t="str">
        <f>VLOOKUP(C12,Bolts!A:L,10,0)</f>
        <v xml:space="preserve"> </v>
      </c>
      <c r="M12" s="44" t="str">
        <f>VLOOKUP(C12,Bolts!A:L,11,0)</f>
        <v xml:space="preserve"> </v>
      </c>
      <c r="N12" s="45" t="str">
        <f>VLOOKUP(C12,Bolts!A:L,12,0)</f>
        <v xml:space="preserve"> </v>
      </c>
      <c r="O12" s="45" t="e">
        <f t="shared" ca="1" si="5"/>
        <v>#VALUE!</v>
      </c>
      <c r="P12" s="49" t="str">
        <f>IFERROR(VLOOKUP(C12,Bolts!A:B,2,FALSE),"")</f>
        <v xml:space="preserve"> </v>
      </c>
      <c r="Q12" s="50" t="str">
        <f t="shared" si="6"/>
        <v/>
      </c>
    </row>
    <row r="13" spans="1:17" s="2" customFormat="1" ht="12.75" customHeight="1" thickBot="1">
      <c r="A13" s="34"/>
      <c r="B13" s="35"/>
      <c r="C13" s="35"/>
      <c r="D13" s="256"/>
      <c r="E13" s="257"/>
      <c r="F13" s="35"/>
      <c r="G13" s="35"/>
      <c r="H13" s="294"/>
      <c r="I13" s="295"/>
      <c r="J13" s="36"/>
      <c r="K13" s="36"/>
      <c r="L13" s="36"/>
      <c r="M13" s="37"/>
      <c r="N13" s="38"/>
      <c r="O13" s="38"/>
      <c r="P13" s="89" t="s">
        <v>43</v>
      </c>
      <c r="Q13" s="94">
        <f>SUM(Q5:Q12)</f>
        <v>197.24940000000001</v>
      </c>
    </row>
    <row r="14" spans="1:17" s="2" customFormat="1" ht="12" customHeight="1">
      <c r="D14" s="22"/>
      <c r="E14" s="22"/>
      <c r="J14" s="8"/>
      <c r="K14" s="8"/>
      <c r="L14" s="8"/>
      <c r="M14" s="8"/>
      <c r="N14" s="5"/>
      <c r="O14" s="5"/>
      <c r="P14" s="88"/>
      <c r="Q14" s="95"/>
    </row>
    <row r="15" spans="1:17" s="2" customFormat="1" ht="12" customHeight="1">
      <c r="D15" s="22"/>
      <c r="E15" s="22"/>
      <c r="J15" s="5"/>
      <c r="K15" s="5"/>
      <c r="L15" s="5"/>
      <c r="M15" s="5"/>
      <c r="N15" s="5"/>
      <c r="O15" s="5"/>
      <c r="P15" s="88"/>
      <c r="Q15" s="95"/>
    </row>
    <row r="16" spans="1:17" s="2" customFormat="1" ht="12" customHeight="1">
      <c r="D16" s="22"/>
      <c r="E16" s="22"/>
      <c r="J16" s="5"/>
      <c r="K16" s="5"/>
      <c r="L16" s="5"/>
      <c r="M16" s="5"/>
      <c r="N16" s="5"/>
      <c r="O16" s="5"/>
      <c r="P16" s="88"/>
      <c r="Q16" s="95"/>
    </row>
    <row r="17" spans="4:17" s="2" customFormat="1" ht="12" customHeight="1">
      <c r="D17" s="22"/>
      <c r="E17" s="22"/>
      <c r="J17" s="5"/>
      <c r="K17" s="5"/>
      <c r="L17" s="5"/>
      <c r="M17" s="5"/>
      <c r="N17" s="5"/>
      <c r="O17" s="5"/>
      <c r="P17" s="88"/>
      <c r="Q17" s="95"/>
    </row>
    <row r="18" spans="4:17" s="2" customFormat="1" ht="12" customHeight="1">
      <c r="D18" s="22"/>
      <c r="E18" s="22"/>
      <c r="J18" s="5"/>
      <c r="K18" s="5"/>
      <c r="L18" s="5"/>
      <c r="M18" s="5"/>
      <c r="N18" s="5"/>
      <c r="O18" s="5"/>
      <c r="P18" s="88"/>
      <c r="Q18" s="95"/>
    </row>
    <row r="19" spans="4:17" s="2" customFormat="1" ht="12" customHeight="1">
      <c r="D19" s="22">
        <f>1.205*25.4</f>
        <v>30.606999999999999</v>
      </c>
      <c r="E19" s="22"/>
      <c r="J19" s="5"/>
      <c r="K19" s="5"/>
      <c r="L19" s="5"/>
      <c r="M19" s="5"/>
      <c r="N19" s="5"/>
      <c r="O19" s="5"/>
      <c r="P19" s="88"/>
      <c r="Q19" s="95"/>
    </row>
    <row r="20" spans="4:17" s="2" customFormat="1" ht="12" customHeight="1">
      <c r="D20" s="22"/>
      <c r="E20" s="22"/>
      <c r="J20" s="5"/>
      <c r="K20" s="5"/>
      <c r="L20" s="5"/>
      <c r="M20" s="5"/>
      <c r="N20" s="5"/>
      <c r="O20" s="5"/>
      <c r="P20" s="88"/>
      <c r="Q20" s="95"/>
    </row>
    <row r="21" spans="4:17" s="2" customFormat="1" ht="12" customHeight="1">
      <c r="D21" s="22"/>
      <c r="E21" s="22"/>
      <c r="J21" s="5"/>
      <c r="K21" s="5"/>
      <c r="L21" s="5"/>
      <c r="M21" s="5"/>
      <c r="N21" s="5"/>
      <c r="O21" s="5"/>
      <c r="P21" s="88"/>
      <c r="Q21" s="95"/>
    </row>
    <row r="22" spans="4:17" s="2" customFormat="1" ht="12" customHeight="1">
      <c r="D22" s="22"/>
      <c r="E22" s="22"/>
      <c r="J22" s="5"/>
      <c r="K22" s="5"/>
      <c r="L22" s="5"/>
      <c r="M22" s="5"/>
      <c r="N22" s="5"/>
      <c r="O22" s="5"/>
      <c r="P22" s="88"/>
      <c r="Q22" s="95"/>
    </row>
    <row r="23" spans="4:17" s="2" customFormat="1" ht="12" customHeight="1">
      <c r="D23" s="22"/>
      <c r="E23" s="22"/>
      <c r="J23" s="5"/>
      <c r="K23" s="5"/>
      <c r="L23" s="5"/>
      <c r="M23" s="5"/>
      <c r="N23" s="5"/>
      <c r="O23" s="5"/>
      <c r="P23" s="88"/>
      <c r="Q23" s="95"/>
    </row>
    <row r="24" spans="4:17" s="2" customFormat="1" ht="12" customHeight="1">
      <c r="D24" s="22"/>
      <c r="E24" s="22"/>
      <c r="J24" s="5"/>
      <c r="K24" s="5"/>
      <c r="L24" s="5"/>
      <c r="M24" s="5"/>
      <c r="N24" s="5"/>
      <c r="O24" s="5"/>
      <c r="P24" s="88"/>
      <c r="Q24" s="95"/>
    </row>
    <row r="25" spans="4:17" s="2" customFormat="1" ht="12" customHeight="1">
      <c r="D25" s="22"/>
      <c r="E25" s="22"/>
      <c r="J25" s="5"/>
      <c r="K25" s="5"/>
      <c r="L25" s="5"/>
      <c r="M25" s="5"/>
      <c r="N25" s="5"/>
      <c r="O25" s="5"/>
      <c r="P25" s="88"/>
      <c r="Q25" s="95"/>
    </row>
    <row r="26" spans="4:17" s="2" customFormat="1" ht="12" customHeight="1">
      <c r="D26" s="22"/>
      <c r="E26" s="22"/>
      <c r="J26" s="5"/>
      <c r="K26" s="5"/>
      <c r="L26" s="5"/>
      <c r="M26" s="5"/>
      <c r="N26" s="5"/>
      <c r="O26" s="5"/>
      <c r="P26" s="88"/>
      <c r="Q26" s="95"/>
    </row>
    <row r="27" spans="4:17" s="2" customFormat="1" ht="12" customHeight="1">
      <c r="D27" s="22"/>
      <c r="E27" s="22"/>
      <c r="J27" s="5"/>
      <c r="K27" s="5"/>
      <c r="L27" s="5"/>
      <c r="M27" s="5"/>
      <c r="N27" s="5"/>
      <c r="O27" s="5"/>
      <c r="P27" s="88"/>
      <c r="Q27" s="95"/>
    </row>
    <row r="28" spans="4:17" s="2" customFormat="1" ht="12" customHeight="1">
      <c r="D28" s="22"/>
      <c r="E28" s="22"/>
      <c r="J28" s="5"/>
      <c r="K28" s="5"/>
      <c r="L28" s="5"/>
      <c r="M28" s="5"/>
      <c r="N28" s="5"/>
      <c r="O28" s="5"/>
      <c r="P28" s="88"/>
      <c r="Q28" s="95"/>
    </row>
    <row r="29" spans="4:17" s="2" customFormat="1" ht="12" customHeight="1">
      <c r="D29" s="22"/>
      <c r="E29" s="22"/>
      <c r="J29" s="5"/>
      <c r="K29" s="5"/>
      <c r="L29" s="5"/>
      <c r="M29" s="5"/>
      <c r="N29" s="5"/>
      <c r="O29" s="5"/>
      <c r="P29" s="88"/>
      <c r="Q29" s="95"/>
    </row>
    <row r="30" spans="4:17" s="2" customFormat="1" ht="12" customHeight="1">
      <c r="D30" s="22"/>
      <c r="E30" s="22"/>
      <c r="J30" s="5"/>
      <c r="K30" s="5"/>
      <c r="L30" s="5"/>
      <c r="M30" s="5"/>
      <c r="N30" s="5"/>
      <c r="O30" s="5"/>
      <c r="P30" s="88"/>
      <c r="Q30" s="95"/>
    </row>
    <row r="31" spans="4:17" s="2" customFormat="1" ht="12" customHeight="1">
      <c r="D31" s="22"/>
      <c r="E31" s="22"/>
      <c r="J31" s="5"/>
      <c r="K31" s="5"/>
      <c r="L31" s="5"/>
      <c r="M31" s="5"/>
      <c r="N31" s="5"/>
      <c r="O31" s="5"/>
      <c r="P31" s="88"/>
      <c r="Q31" s="95"/>
    </row>
    <row r="32" spans="4:17" s="2" customFormat="1" ht="12" customHeight="1">
      <c r="D32" s="22"/>
      <c r="E32" s="22"/>
      <c r="J32" s="5"/>
      <c r="K32" s="5"/>
      <c r="L32" s="5"/>
      <c r="M32" s="5"/>
      <c r="N32" s="5"/>
      <c r="O32" s="5"/>
      <c r="P32" s="88"/>
      <c r="Q32" s="95"/>
    </row>
    <row r="33" spans="4:17" s="2" customFormat="1" ht="12" customHeight="1">
      <c r="D33" s="22"/>
      <c r="E33" s="22"/>
      <c r="J33" s="5"/>
      <c r="K33" s="5"/>
      <c r="L33" s="5"/>
      <c r="M33" s="5"/>
      <c r="N33" s="5"/>
      <c r="O33" s="5"/>
      <c r="P33" s="88"/>
      <c r="Q33" s="95"/>
    </row>
    <row r="34" spans="4:17" s="2" customFormat="1" ht="12" customHeight="1">
      <c r="D34" s="22"/>
      <c r="E34" s="22"/>
      <c r="J34" s="5"/>
      <c r="K34" s="5"/>
      <c r="L34" s="5"/>
      <c r="M34" s="5"/>
      <c r="N34" s="5"/>
      <c r="O34" s="5"/>
      <c r="P34" s="88"/>
      <c r="Q34" s="95"/>
    </row>
    <row r="35" spans="4:17" s="2" customFormat="1" ht="12" customHeight="1">
      <c r="D35" s="22"/>
      <c r="E35" s="22"/>
      <c r="J35" s="5"/>
      <c r="K35" s="5"/>
      <c r="L35" s="5"/>
      <c r="M35" s="5"/>
      <c r="N35" s="5"/>
      <c r="O35" s="5"/>
      <c r="P35" s="88"/>
      <c r="Q35" s="95"/>
    </row>
    <row r="36" spans="4:17" s="2" customFormat="1" ht="12" customHeight="1">
      <c r="D36" s="22"/>
      <c r="E36" s="22"/>
      <c r="J36" s="5"/>
      <c r="K36" s="5"/>
      <c r="L36" s="5"/>
      <c r="M36" s="5"/>
      <c r="N36" s="5"/>
      <c r="O36" s="5"/>
      <c r="P36" s="88"/>
      <c r="Q36" s="95"/>
    </row>
    <row r="37" spans="4:17" s="2" customFormat="1" ht="12" customHeight="1">
      <c r="D37" s="22"/>
      <c r="E37" s="22"/>
      <c r="J37" s="5"/>
      <c r="K37" s="5"/>
      <c r="L37" s="5"/>
      <c r="M37" s="5"/>
      <c r="N37" s="5"/>
      <c r="O37" s="5"/>
      <c r="P37" s="88"/>
      <c r="Q37" s="95"/>
    </row>
    <row r="38" spans="4:17" s="2" customFormat="1" ht="12" customHeight="1">
      <c r="D38" s="22"/>
      <c r="E38" s="22"/>
      <c r="J38" s="5"/>
      <c r="K38" s="5"/>
      <c r="L38" s="5"/>
      <c r="M38" s="5"/>
      <c r="N38" s="5"/>
      <c r="O38" s="5"/>
      <c r="P38" s="88"/>
      <c r="Q38" s="95"/>
    </row>
    <row r="39" spans="4:17" s="2" customFormat="1" ht="12" customHeight="1">
      <c r="D39" s="22"/>
      <c r="E39" s="22"/>
      <c r="J39" s="5"/>
      <c r="K39" s="5"/>
      <c r="L39" s="5"/>
      <c r="M39" s="5"/>
      <c r="N39" s="5"/>
      <c r="O39" s="5"/>
      <c r="P39" s="88"/>
      <c r="Q39" s="95"/>
    </row>
    <row r="40" spans="4:17" s="2" customFormat="1" ht="12" customHeight="1">
      <c r="D40" s="22"/>
      <c r="E40" s="22"/>
      <c r="J40" s="5"/>
      <c r="K40" s="5"/>
      <c r="L40" s="5"/>
      <c r="M40" s="5"/>
      <c r="N40" s="5"/>
      <c r="O40" s="5"/>
      <c r="P40" s="88"/>
      <c r="Q40" s="95"/>
    </row>
    <row r="41" spans="4:17" s="2" customFormat="1" ht="12" customHeight="1">
      <c r="D41" s="22"/>
      <c r="E41" s="22"/>
      <c r="J41" s="5"/>
      <c r="K41" s="5"/>
      <c r="L41" s="5"/>
      <c r="M41" s="5"/>
      <c r="N41" s="5"/>
      <c r="O41" s="5"/>
      <c r="P41" s="88"/>
      <c r="Q41" s="95"/>
    </row>
    <row r="42" spans="4:17" s="2" customFormat="1" ht="12" customHeight="1">
      <c r="D42" s="22"/>
      <c r="E42" s="22"/>
      <c r="J42" s="5"/>
      <c r="K42" s="5"/>
      <c r="L42" s="5"/>
      <c r="M42" s="5"/>
      <c r="N42" s="5"/>
      <c r="O42" s="5"/>
      <c r="P42" s="88"/>
      <c r="Q42" s="95"/>
    </row>
    <row r="43" spans="4:17" s="2" customFormat="1" ht="12" customHeight="1">
      <c r="D43" s="22"/>
      <c r="E43" s="22"/>
      <c r="J43" s="5"/>
      <c r="K43" s="5"/>
      <c r="L43" s="5"/>
      <c r="M43" s="5"/>
      <c r="N43" s="5"/>
      <c r="O43" s="5"/>
      <c r="P43" s="88"/>
      <c r="Q43" s="95"/>
    </row>
    <row r="44" spans="4:17" s="2" customFormat="1" ht="12" customHeight="1">
      <c r="D44" s="22"/>
      <c r="E44" s="22"/>
      <c r="J44" s="5"/>
      <c r="K44" s="5"/>
      <c r="L44" s="5"/>
      <c r="M44" s="5"/>
      <c r="N44" s="5"/>
      <c r="O44" s="5"/>
      <c r="P44" s="88"/>
      <c r="Q44" s="95"/>
    </row>
    <row r="45" spans="4:17" s="2" customFormat="1" ht="12" customHeight="1">
      <c r="D45" s="22"/>
      <c r="E45" s="22"/>
      <c r="J45" s="5"/>
      <c r="K45" s="5"/>
      <c r="L45" s="5"/>
      <c r="M45" s="5"/>
      <c r="N45" s="5"/>
      <c r="O45" s="5"/>
      <c r="P45" s="88"/>
      <c r="Q45" s="95"/>
    </row>
    <row r="46" spans="4:17" s="2" customFormat="1" ht="12" customHeight="1">
      <c r="D46" s="22"/>
      <c r="E46" s="22"/>
      <c r="J46" s="5"/>
      <c r="K46" s="5"/>
      <c r="L46" s="5"/>
      <c r="M46" s="5"/>
      <c r="N46" s="5"/>
      <c r="O46" s="5"/>
      <c r="P46" s="88"/>
      <c r="Q46" s="95"/>
    </row>
    <row r="47" spans="4:17" s="2" customFormat="1" ht="12" customHeight="1">
      <c r="D47" s="22"/>
      <c r="E47" s="22"/>
      <c r="J47" s="5"/>
      <c r="K47" s="5"/>
      <c r="L47" s="5"/>
      <c r="M47" s="5"/>
      <c r="N47" s="5"/>
      <c r="O47" s="5"/>
      <c r="P47" s="88"/>
      <c r="Q47" s="95"/>
    </row>
    <row r="48" spans="4:17" s="2" customFormat="1" ht="12" customHeight="1">
      <c r="D48" s="22"/>
      <c r="E48" s="22"/>
      <c r="J48" s="5"/>
      <c r="K48" s="5"/>
      <c r="L48" s="5"/>
      <c r="M48" s="5"/>
      <c r="N48" s="5"/>
      <c r="O48" s="5"/>
      <c r="P48" s="88"/>
      <c r="Q48" s="95"/>
    </row>
    <row r="49" spans="1:17" s="2" customFormat="1" ht="12" customHeight="1">
      <c r="D49" s="22"/>
      <c r="E49" s="22"/>
      <c r="J49" s="5"/>
      <c r="K49" s="5"/>
      <c r="L49" s="5"/>
      <c r="M49" s="5"/>
      <c r="N49" s="5"/>
      <c r="O49" s="5"/>
      <c r="P49" s="88"/>
      <c r="Q49" s="95"/>
    </row>
    <row r="50" spans="1:17" s="2" customFormat="1" ht="12" customHeight="1">
      <c r="D50" s="22"/>
      <c r="E50" s="22"/>
      <c r="J50" s="5"/>
      <c r="K50" s="5"/>
      <c r="L50" s="5"/>
      <c r="M50" s="5"/>
      <c r="N50" s="5"/>
      <c r="O50" s="5"/>
      <c r="P50" s="88"/>
      <c r="Q50" s="95"/>
    </row>
    <row r="51" spans="1:17" s="2" customFormat="1" ht="12" customHeight="1">
      <c r="D51" s="22"/>
      <c r="E51" s="22"/>
      <c r="J51" s="5"/>
      <c r="K51" s="5"/>
      <c r="L51" s="5"/>
      <c r="M51" s="5"/>
      <c r="N51" s="5"/>
      <c r="O51" s="5"/>
      <c r="P51" s="88"/>
      <c r="Q51" s="95"/>
    </row>
    <row r="52" spans="1:17" s="2" customFormat="1" ht="12" customHeight="1">
      <c r="D52" s="22"/>
      <c r="E52" s="22"/>
      <c r="J52" s="5"/>
      <c r="K52" s="5"/>
      <c r="L52" s="5"/>
      <c r="M52" s="5"/>
      <c r="N52" s="5"/>
      <c r="O52" s="5"/>
      <c r="P52" s="88"/>
      <c r="Q52" s="96"/>
    </row>
    <row r="53" spans="1:17" s="2" customFormat="1" ht="12" customHeight="1">
      <c r="D53" s="22"/>
      <c r="E53" s="22"/>
      <c r="J53" s="5"/>
      <c r="K53" s="5"/>
      <c r="L53" s="5"/>
      <c r="M53" s="5"/>
      <c r="N53" s="5"/>
      <c r="O53" s="5"/>
      <c r="P53" s="88"/>
      <c r="Q53" s="96"/>
    </row>
    <row r="54" spans="1:17" s="2" customFormat="1" ht="12" customHeight="1">
      <c r="D54" s="22"/>
      <c r="E54" s="22"/>
      <c r="J54" s="5"/>
      <c r="K54" s="5"/>
      <c r="L54" s="5"/>
      <c r="M54" s="5"/>
      <c r="N54" s="5"/>
      <c r="O54" s="5"/>
      <c r="P54" s="88"/>
      <c r="Q54" s="96"/>
    </row>
    <row r="55" spans="1:17" s="2" customFormat="1" ht="12" customHeight="1">
      <c r="D55" s="22"/>
      <c r="E55" s="22"/>
      <c r="J55" s="5"/>
      <c r="K55" s="5"/>
      <c r="L55" s="5"/>
      <c r="M55" s="5"/>
      <c r="N55" s="5"/>
      <c r="O55" s="5"/>
      <c r="P55" s="88"/>
      <c r="Q55" s="96"/>
    </row>
    <row r="56" spans="1:17" s="2" customFormat="1" ht="12" customHeight="1">
      <c r="A56"/>
      <c r="B56"/>
      <c r="C56"/>
      <c r="D56" s="23"/>
      <c r="E56" s="23"/>
      <c r="F56"/>
      <c r="G56"/>
      <c r="H56"/>
      <c r="I56"/>
      <c r="J56" s="19"/>
      <c r="K56" s="19"/>
      <c r="L56" s="19"/>
      <c r="M56" s="19"/>
      <c r="N56" s="19"/>
      <c r="O56" s="19"/>
      <c r="P56" s="90"/>
      <c r="Q56" s="96"/>
    </row>
    <row r="57" spans="1:17" s="2" customFormat="1" ht="12" customHeight="1">
      <c r="A57"/>
      <c r="B57"/>
      <c r="C57"/>
      <c r="D57" s="23"/>
      <c r="E57" s="23"/>
      <c r="F57"/>
      <c r="G57"/>
      <c r="H57"/>
      <c r="I57"/>
      <c r="J57" s="19"/>
      <c r="K57" s="19"/>
      <c r="L57" s="19"/>
      <c r="M57" s="19"/>
      <c r="N57" s="19"/>
      <c r="O57" s="19"/>
      <c r="P57" s="90"/>
      <c r="Q57" s="96"/>
    </row>
    <row r="58" spans="1:17" s="2" customFormat="1" ht="12" customHeight="1">
      <c r="A58"/>
      <c r="B58"/>
      <c r="C58"/>
      <c r="D58" s="23"/>
      <c r="E58" s="23"/>
      <c r="F58"/>
      <c r="G58"/>
      <c r="H58"/>
      <c r="I58"/>
      <c r="J58" s="19"/>
      <c r="K58" s="19"/>
      <c r="L58" s="19"/>
      <c r="M58" s="19"/>
      <c r="N58" s="19"/>
      <c r="O58" s="19"/>
      <c r="P58" s="90"/>
      <c r="Q58" s="96"/>
    </row>
    <row r="59" spans="1:17" s="2" customFormat="1" ht="12" customHeight="1">
      <c r="A59"/>
      <c r="B59"/>
      <c r="C59"/>
      <c r="D59" s="23"/>
      <c r="E59" s="23"/>
      <c r="F59"/>
      <c r="G59"/>
      <c r="H59"/>
      <c r="I59"/>
      <c r="J59" s="19"/>
      <c r="K59" s="19"/>
      <c r="L59" s="19"/>
      <c r="M59" s="19"/>
      <c r="N59" s="19"/>
      <c r="O59" s="19"/>
      <c r="P59" s="90"/>
      <c r="Q59" s="96"/>
    </row>
    <row r="60" spans="1:17" s="2" customFormat="1" ht="12" customHeight="1">
      <c r="A60"/>
      <c r="B60"/>
      <c r="C60"/>
      <c r="D60" s="23"/>
      <c r="E60" s="23"/>
      <c r="F60"/>
      <c r="G60"/>
      <c r="H60"/>
      <c r="I60"/>
      <c r="J60" s="19"/>
      <c r="K60" s="19"/>
      <c r="L60" s="19"/>
      <c r="M60" s="19"/>
      <c r="N60" s="19"/>
      <c r="O60" s="19"/>
      <c r="P60" s="90"/>
      <c r="Q60" s="96"/>
    </row>
    <row r="61" spans="1:17">
      <c r="Q61" s="96"/>
    </row>
    <row r="62" spans="1:17">
      <c r="Q62" s="96"/>
    </row>
    <row r="63" spans="1:17">
      <c r="Q63" s="96"/>
    </row>
    <row r="64" spans="1:17">
      <c r="Q64" s="96"/>
    </row>
    <row r="65" spans="17:17">
      <c r="Q65" s="96"/>
    </row>
    <row r="66" spans="17:17">
      <c r="Q66" s="96"/>
    </row>
    <row r="67" spans="17:17">
      <c r="Q67" s="96"/>
    </row>
    <row r="68" spans="17:17">
      <c r="Q68" s="96"/>
    </row>
    <row r="69" spans="17:17">
      <c r="Q69" s="96"/>
    </row>
    <row r="70" spans="17:17">
      <c r="Q70" s="96"/>
    </row>
    <row r="71" spans="17:17">
      <c r="Q71" s="96"/>
    </row>
    <row r="72" spans="17:17">
      <c r="Q72" s="96"/>
    </row>
    <row r="73" spans="17:17">
      <c r="Q73" s="96"/>
    </row>
    <row r="74" spans="17:17">
      <c r="Q74" s="96"/>
    </row>
    <row r="75" spans="17:17">
      <c r="Q75" s="96"/>
    </row>
    <row r="76" spans="17:17">
      <c r="Q76" s="96"/>
    </row>
    <row r="77" spans="17:17">
      <c r="Q77" s="96"/>
    </row>
    <row r="78" spans="17:17">
      <c r="Q78" s="96"/>
    </row>
    <row r="79" spans="17:17">
      <c r="Q79" s="96"/>
    </row>
    <row r="80" spans="17:17">
      <c r="Q80" s="96"/>
    </row>
    <row r="117" ht="12" customHeight="1"/>
    <row r="118" ht="12" customHeight="1"/>
    <row r="119" ht="12" customHeight="1"/>
    <row r="120" ht="12" customHeight="1"/>
    <row r="121" ht="12" customHeight="1"/>
    <row r="122" ht="12" customHeight="1"/>
    <row r="123" ht="12" customHeight="1"/>
    <row r="124" ht="12" customHeight="1"/>
    <row r="125" ht="12" customHeight="1"/>
    <row r="126" ht="12" customHeight="1"/>
    <row r="127" ht="12" customHeight="1"/>
    <row r="128" ht="12" customHeight="1"/>
    <row r="129" ht="12" customHeight="1"/>
    <row r="130" ht="12" customHeight="1"/>
    <row r="131" ht="12" customHeight="1"/>
    <row r="132" ht="12" customHeight="1"/>
    <row r="133" ht="12" customHeight="1"/>
    <row r="134" ht="12" customHeight="1"/>
    <row r="135" ht="12" customHeight="1"/>
    <row r="136" ht="12" customHeight="1"/>
    <row r="137" ht="12" customHeight="1"/>
    <row r="138" ht="12" customHeight="1"/>
    <row r="139" ht="12" customHeight="1"/>
    <row r="140" ht="12" customHeight="1"/>
    <row r="141" ht="12" customHeight="1"/>
    <row r="142" ht="12" customHeight="1"/>
    <row r="143" ht="12" customHeight="1"/>
    <row r="144" ht="12" customHeight="1"/>
    <row r="145" ht="12" customHeight="1"/>
    <row r="146" ht="12" customHeight="1"/>
    <row r="147" ht="12" customHeight="1"/>
    <row r="148" ht="12" customHeight="1"/>
    <row r="149" ht="12" customHeight="1"/>
    <row r="150" ht="12" customHeight="1"/>
    <row r="151" ht="12" customHeight="1"/>
    <row r="152" ht="12" customHeight="1"/>
    <row r="153" ht="12" customHeight="1"/>
    <row r="154" ht="12" customHeight="1"/>
    <row r="155" ht="12" customHeight="1"/>
    <row r="156" ht="12" customHeight="1"/>
    <row r="157" ht="12" customHeight="1"/>
    <row r="158" ht="12" customHeight="1"/>
    <row r="159" ht="12" customHeight="1"/>
    <row r="160" ht="12" customHeight="1"/>
    <row r="161" ht="12" customHeight="1"/>
    <row r="162" ht="12" customHeight="1"/>
    <row r="163" ht="12" customHeight="1"/>
    <row r="164" ht="12" customHeight="1"/>
    <row r="165" ht="12" customHeight="1"/>
    <row r="166" ht="12" customHeight="1"/>
  </sheetData>
  <mergeCells count="15">
    <mergeCell ref="D12:E12"/>
    <mergeCell ref="D10:E10"/>
    <mergeCell ref="D13:E13"/>
    <mergeCell ref="H13:I13"/>
    <mergeCell ref="D7:E7"/>
    <mergeCell ref="D8:E8"/>
    <mergeCell ref="D9:E9"/>
    <mergeCell ref="H10:I10"/>
    <mergeCell ref="D11:E11"/>
    <mergeCell ref="D1:E1"/>
    <mergeCell ref="D4:E4"/>
    <mergeCell ref="H4:I4"/>
    <mergeCell ref="D5:E5"/>
    <mergeCell ref="D6:E6"/>
    <mergeCell ref="H6:I6"/>
  </mergeCells>
  <conditionalFormatting sqref="M5 M7:M9 M11:M12">
    <cfRule type="cellIs" dxfId="280" priority="3" stopIfTrue="1" operator="lessThanOrEqual">
      <formula>$L5</formula>
    </cfRule>
    <cfRule type="cellIs" dxfId="279" priority="4" operator="greaterThan">
      <formula>L5</formula>
    </cfRule>
  </conditionalFormatting>
  <pageMargins left="0.7" right="0.7" top="0.75" bottom="0.75" header="0.3" footer="0.3"/>
  <pageSetup paperSize="3" fitToHeight="0" orientation="landscape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AD265370-D90C-473D-97B7-C46117B9CC19}">
          <x14:formula1>
            <xm:f>Bolts!$A:$A</xm:f>
          </x14:formula1>
          <xm:sqref>C11:C12</xm:sqref>
        </x14:dataValidation>
        <x14:dataValidation type="list" allowBlank="1" showInputMessage="1" showErrorMessage="1" xr:uid="{38603301-3222-4430-A453-D059509C6CD9}">
          <x14:formula1>
            <xm:f>Purchased!$A:$A</xm:f>
          </x14:formula1>
          <xm:sqref>C7:C9</xm:sqref>
        </x14:dataValidation>
        <x14:dataValidation type="list" allowBlank="1" showInputMessage="1" showErrorMessage="1" xr:uid="{5A828863-34F2-4321-AD94-7F6192BE6133}">
          <x14:formula1>
            <xm:f>Machined!$C:$C</xm:f>
          </x14:formula1>
          <xm:sqref>C5</xm:sqref>
        </x14:dataValidation>
      </x14:dataValidations>
    </ext>
  </extLst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07741A-5821-42A8-A868-BF1BA7F71DE6}">
  <sheetPr codeName="Sheet104">
    <tabColor theme="3" tint="0.79998168889431442"/>
    <pageSetUpPr fitToPage="1"/>
  </sheetPr>
  <dimension ref="A1:Q170"/>
  <sheetViews>
    <sheetView zoomScaleNormal="100" workbookViewId="0">
      <selection activeCell="S13" sqref="S13"/>
    </sheetView>
  </sheetViews>
  <sheetFormatPr defaultColWidth="9.140625" defaultRowHeight="15"/>
  <cols>
    <col min="1" max="1" width="5.7109375" customWidth="1"/>
    <col min="2" max="2" width="5.42578125" bestFit="1" customWidth="1"/>
    <col min="3" max="3" width="30.7109375" customWidth="1"/>
    <col min="4" max="5" width="20.7109375" style="23" customWidth="1"/>
    <col min="6" max="6" width="16.85546875" bestFit="1" customWidth="1"/>
    <col min="7" max="7" width="9.7109375" customWidth="1"/>
    <col min="8" max="8" width="8.7109375" customWidth="1"/>
    <col min="9" max="9" width="20.7109375" customWidth="1"/>
    <col min="10" max="13" width="11.7109375" style="19" customWidth="1"/>
    <col min="14" max="14" width="11.85546875" style="19" bestFit="1" customWidth="1"/>
    <col min="15" max="15" width="7.7109375" style="19" customWidth="1"/>
    <col min="16" max="16" width="10.7109375" style="90" customWidth="1"/>
    <col min="17" max="17" width="10.7109375" style="97" customWidth="1"/>
  </cols>
  <sheetData>
    <row r="1" spans="1:17" s="55" customFormat="1" ht="12" customHeight="1">
      <c r="A1" s="68" t="s">
        <v>0</v>
      </c>
      <c r="B1" s="69"/>
      <c r="C1" s="69"/>
      <c r="D1" s="262" t="s">
        <v>1</v>
      </c>
      <c r="E1" s="263"/>
      <c r="F1" s="70"/>
      <c r="G1" s="69"/>
      <c r="H1" s="70"/>
      <c r="I1" s="71"/>
      <c r="J1" s="72"/>
      <c r="K1" s="72"/>
      <c r="L1" s="72"/>
      <c r="M1" s="72"/>
      <c r="N1" s="72"/>
      <c r="O1" s="72"/>
      <c r="P1" s="85"/>
      <c r="Q1" s="91"/>
    </row>
    <row r="2" spans="1:17" s="55" customFormat="1" ht="12" customHeight="1">
      <c r="A2" s="74" t="s">
        <v>48</v>
      </c>
      <c r="B2" s="58"/>
      <c r="C2" s="57" t="e">
        <f ca="1">VLOOKUP(E3,Assemblies!B:F,4,0)</f>
        <v>#VALUE!</v>
      </c>
      <c r="D2" s="75" t="s">
        <v>3</v>
      </c>
      <c r="E2" s="76" t="e">
        <f ca="1">'GF12'!E2</f>
        <v>#VALUE!</v>
      </c>
      <c r="F2" s="77" t="s">
        <v>4</v>
      </c>
      <c r="G2" s="58" t="str">
        <f>'GF12'!G2</f>
        <v>GH</v>
      </c>
      <c r="H2" s="77" t="s">
        <v>6</v>
      </c>
      <c r="I2" s="59">
        <f>'GF12'!I2</f>
        <v>44775</v>
      </c>
      <c r="J2" s="39"/>
      <c r="K2" s="40" t="s">
        <v>49</v>
      </c>
      <c r="L2" s="41" t="e">
        <f ca="1">VLOOKUP(C2,Assemblies!E:G,3,0)</f>
        <v>#VALUE!</v>
      </c>
      <c r="M2" s="78"/>
      <c r="N2" s="78"/>
      <c r="O2" s="78"/>
      <c r="P2" s="86"/>
      <c r="Q2" s="92"/>
    </row>
    <row r="3" spans="1:17" s="55" customFormat="1" ht="12" customHeight="1" thickBot="1">
      <c r="A3" s="74" t="s">
        <v>7</v>
      </c>
      <c r="B3" s="58"/>
      <c r="C3" s="57" t="e">
        <f ca="1">VLOOKUP(E3,Assemblies!B:F,5,0)</f>
        <v>#VALUE!</v>
      </c>
      <c r="D3" s="75" t="s">
        <v>50</v>
      </c>
      <c r="E3" s="76" t="e">
        <f ca="1">MID(CELL("filename",A1),FIND("]",CELL("filename",A1))+1,256)</f>
        <v>#VALUE!</v>
      </c>
      <c r="F3" s="77" t="s">
        <v>11</v>
      </c>
      <c r="G3" s="58" t="str">
        <f>'GF12'!G3</f>
        <v>GH</v>
      </c>
      <c r="H3" s="77" t="s">
        <v>6</v>
      </c>
      <c r="I3" s="59">
        <f>'GF12'!I3</f>
        <v>44775</v>
      </c>
      <c r="J3" s="78"/>
      <c r="K3" s="78"/>
      <c r="L3" s="78"/>
      <c r="M3" s="78"/>
      <c r="N3" s="78"/>
      <c r="O3" s="78"/>
      <c r="P3" s="86"/>
      <c r="Q3" s="92"/>
    </row>
    <row r="4" spans="1:17" s="56" customFormat="1" ht="12.75" customHeight="1" thickBot="1">
      <c r="A4" s="80" t="s">
        <v>12</v>
      </c>
      <c r="B4" s="81" t="s">
        <v>13</v>
      </c>
      <c r="C4" s="81" t="s">
        <v>14</v>
      </c>
      <c r="D4" s="270" t="s">
        <v>15</v>
      </c>
      <c r="E4" s="271"/>
      <c r="F4" s="104" t="s">
        <v>16</v>
      </c>
      <c r="G4" s="81" t="s">
        <v>17</v>
      </c>
      <c r="H4" s="260" t="s">
        <v>18</v>
      </c>
      <c r="I4" s="261"/>
      <c r="J4" s="81" t="s">
        <v>51</v>
      </c>
      <c r="K4" s="81" t="s">
        <v>20</v>
      </c>
      <c r="L4" s="81" t="s">
        <v>21</v>
      </c>
      <c r="M4" s="81" t="s">
        <v>52</v>
      </c>
      <c r="N4" s="81" t="s">
        <v>22</v>
      </c>
      <c r="O4" s="81" t="s">
        <v>53</v>
      </c>
      <c r="P4" s="107" t="s">
        <v>26</v>
      </c>
      <c r="Q4" s="82" t="s">
        <v>27</v>
      </c>
    </row>
    <row r="5" spans="1:17" s="2" customFormat="1" ht="12.75" customHeight="1">
      <c r="A5" s="127">
        <v>1</v>
      </c>
      <c r="B5" s="21">
        <v>1</v>
      </c>
      <c r="C5" s="108" t="s">
        <v>1134</v>
      </c>
      <c r="D5" s="277" t="str">
        <f>VLOOKUP(C5,Machined!C:Q,2,0)</f>
        <v>MODIFIED Hammond C3RWT436 4x4x36in Wiring Trough</v>
      </c>
      <c r="E5" s="278"/>
      <c r="F5" s="131" t="str">
        <f>VLOOKUP(C5,Machined!C:R,7,0)</f>
        <v>PURCHASED</v>
      </c>
      <c r="G5" s="131" t="str">
        <f>VLOOKUP(C5,Machined!C:R,10,0)</f>
        <v>AUTODIR, NULINE</v>
      </c>
      <c r="H5" s="131" t="str">
        <f>VLOOKUP(C5,Machined!C:R,11,0)</f>
        <v xml:space="preserve">  </v>
      </c>
      <c r="I5" s="131"/>
      <c r="J5" s="42">
        <f>VLOOKUP(C5,Machined!C:R,12,0)</f>
        <v>45160</v>
      </c>
      <c r="K5" s="42">
        <f>VLOOKUP(C5,Machined!C:R,13,0)</f>
        <v>45160</v>
      </c>
      <c r="L5" s="42">
        <f>VLOOKUP(C5,Machined!C:R,14,0)</f>
        <v>45163</v>
      </c>
      <c r="M5" s="42">
        <f>VLOOKUP(C5,Machined!C:R,15,0)</f>
        <v>45162</v>
      </c>
      <c r="N5" s="43">
        <f>VLOOKUP(C5,Machined!C:R,16,0)</f>
        <v>55084</v>
      </c>
      <c r="O5" s="43" t="e">
        <f t="shared" ref="O5" ca="1" si="0">B5*$L$2</f>
        <v>#VALUE!</v>
      </c>
      <c r="P5" s="47">
        <f>IFERROR(VLOOKUP(C5,Machined!C:F,3,0),"")</f>
        <v>88</v>
      </c>
      <c r="Q5" s="48">
        <f t="shared" ref="Q5" si="1">IFERROR(B5*P5,"")</f>
        <v>88</v>
      </c>
    </row>
    <row r="6" spans="1:17" s="2" customFormat="1" ht="12.75" customHeight="1">
      <c r="A6" s="143"/>
      <c r="B6" s="26"/>
      <c r="C6" s="26"/>
      <c r="D6" s="272"/>
      <c r="E6" s="273"/>
      <c r="F6" s="26"/>
      <c r="G6" s="26"/>
      <c r="H6" s="274"/>
      <c r="I6" s="275"/>
      <c r="J6" s="27"/>
      <c r="K6" s="27"/>
      <c r="L6" s="27"/>
      <c r="M6" s="28"/>
      <c r="N6" s="29"/>
      <c r="O6" s="29"/>
      <c r="P6" s="141"/>
      <c r="Q6" s="142"/>
    </row>
    <row r="7" spans="1:17" s="2" customFormat="1" ht="12.75" customHeight="1">
      <c r="A7" s="4">
        <v>301</v>
      </c>
      <c r="B7" s="2">
        <v>3</v>
      </c>
      <c r="C7" s="114" t="s">
        <v>1135</v>
      </c>
      <c r="D7" s="268" t="str">
        <f>VLOOKUP(C7,Purchased!A:B,2,0)</f>
        <v>Turn-Lock Connector 3-Slot Single Female Receptacle, Grounded, NEMA L7-30</v>
      </c>
      <c r="E7" s="269"/>
      <c r="F7" s="112" t="str">
        <f>VLOOKUP(C7,Purchased!A:Q,9,0)</f>
        <v>MCM</v>
      </c>
      <c r="G7" s="112" t="str">
        <f>VLOOKUP(C7,Purchased!A:Q,10,0)</f>
        <v>MCM</v>
      </c>
      <c r="H7" s="112" t="str">
        <f>VLOOKUP(C7,Purchased!A:Q,12,0)</f>
        <v xml:space="preserve"> </v>
      </c>
      <c r="I7" s="113"/>
      <c r="J7" s="44" t="str">
        <f>VLOOKUP(C7,Purchased!A:Q,13,0)</f>
        <v>N/A</v>
      </c>
      <c r="K7" s="44">
        <f>VLOOKUP(C7,Purchased!A:Q,14,0)</f>
        <v>45162</v>
      </c>
      <c r="L7" s="44">
        <f>VLOOKUP(C7,Purchased!A:Q,15,0)</f>
        <v>45184</v>
      </c>
      <c r="M7" s="44">
        <f>VLOOKUP(C7,Purchased!A:Q,16,0)</f>
        <v>45166</v>
      </c>
      <c r="N7" s="45">
        <f>VLOOKUP(C7,Purchased!A:Q,17,0)</f>
        <v>55087</v>
      </c>
      <c r="O7" s="45" t="e">
        <f t="shared" ref="O7:O11" ca="1" si="2">B7*$L$2</f>
        <v>#VALUE!</v>
      </c>
      <c r="P7" s="49">
        <f>IFERROR(VLOOKUP(C7,Purchased!A:E,3,FALSE),"")</f>
        <v>33.19</v>
      </c>
      <c r="Q7" s="50">
        <f t="shared" ref="Q7:Q11" si="3">IFERROR(B7*P7,"")</f>
        <v>99.57</v>
      </c>
    </row>
    <row r="8" spans="1:17" s="2" customFormat="1" ht="12" customHeight="1">
      <c r="A8" s="4">
        <f t="shared" ref="A8:A11" si="4">A7+1</f>
        <v>302</v>
      </c>
      <c r="B8" s="2">
        <v>9</v>
      </c>
      <c r="C8" s="114" t="s">
        <v>937</v>
      </c>
      <c r="D8" s="268" t="str">
        <f>VLOOKUP(C8,Purchased!A:B,2,0)</f>
        <v>WATLOW THERMAL COUPLE JACK</v>
      </c>
      <c r="E8" s="269"/>
      <c r="F8" s="112" t="str">
        <f>VLOOKUP(C8,Purchased!A:Q,9,0)</f>
        <v>WATLOW</v>
      </c>
      <c r="G8" s="112" t="str">
        <f>VLOOKUP(C8,Purchased!A:Q,10,0)</f>
        <v>VALIN</v>
      </c>
      <c r="H8" s="112" t="str">
        <f>VLOOKUP(C8,Purchased!A:Q,12,0)</f>
        <v xml:space="preserve">  </v>
      </c>
      <c r="I8" s="113"/>
      <c r="J8" s="44">
        <f>VLOOKUP(C8,Purchased!A:Q,13,0)</f>
        <v>45121</v>
      </c>
      <c r="K8" s="44">
        <f>VLOOKUP(C8,Purchased!A:Q,14,0)</f>
        <v>45126</v>
      </c>
      <c r="L8" s="44">
        <f>VLOOKUP(C8,Purchased!A:Q,15,0)</f>
        <v>45156</v>
      </c>
      <c r="M8" s="44">
        <f>VLOOKUP(C8,Purchased!A:Q,16,0)</f>
        <v>45156</v>
      </c>
      <c r="N8" s="45">
        <f>VLOOKUP(C8,Purchased!A:Q,17,0)</f>
        <v>54998</v>
      </c>
      <c r="O8" s="45" t="e">
        <f t="shared" ca="1" si="2"/>
        <v>#VALUE!</v>
      </c>
      <c r="P8" s="49">
        <f>IFERROR(VLOOKUP(C8,Purchased!A:E,3,FALSE),"")</f>
        <v>23.76</v>
      </c>
      <c r="Q8" s="50">
        <f t="shared" si="3"/>
        <v>213.84</v>
      </c>
    </row>
    <row r="9" spans="1:17" s="2" customFormat="1" ht="12" customHeight="1">
      <c r="A9" s="4">
        <f t="shared" si="4"/>
        <v>303</v>
      </c>
      <c r="B9" s="2">
        <v>3</v>
      </c>
      <c r="C9" s="114" t="s">
        <v>1136</v>
      </c>
      <c r="D9" s="268" t="str">
        <f>VLOOKUP(C9,Purchased!A:B,2,0)</f>
        <v>Turn-Lock Connector, Three-Blade Straight Plug, Grounded, NEMA L7-30</v>
      </c>
      <c r="E9" s="269"/>
      <c r="F9" s="112" t="str">
        <f>VLOOKUP(C9,Purchased!A:Q,9,0)</f>
        <v>MCM</v>
      </c>
      <c r="G9" s="112" t="str">
        <f>VLOOKUP(C9,Purchased!A:Q,10,0)</f>
        <v>MCM</v>
      </c>
      <c r="H9" s="112" t="str">
        <f>VLOOKUP(C9,Purchased!A:Q,12,0)</f>
        <v xml:space="preserve"> </v>
      </c>
      <c r="I9" s="113"/>
      <c r="J9" s="44" t="str">
        <f>VLOOKUP(C9,Purchased!A:Q,13,0)</f>
        <v>N/A</v>
      </c>
      <c r="K9" s="44">
        <f>VLOOKUP(C9,Purchased!A:Q,14,0)</f>
        <v>45162</v>
      </c>
      <c r="L9" s="44">
        <f>VLOOKUP(C9,Purchased!A:Q,15,0)</f>
        <v>45184</v>
      </c>
      <c r="M9" s="44">
        <f>VLOOKUP(C9,Purchased!A:Q,16,0)</f>
        <v>45166</v>
      </c>
      <c r="N9" s="45" t="str">
        <f>VLOOKUP(C9,Purchased!A:Q,17,0)</f>
        <v>55087, 55152</v>
      </c>
      <c r="O9" s="45" t="e">
        <f t="shared" ca="1" si="2"/>
        <v>#VALUE!</v>
      </c>
      <c r="P9" s="49">
        <f>IFERROR(VLOOKUP(C9,Purchased!A:E,3,FALSE),"")</f>
        <v>31.33</v>
      </c>
      <c r="Q9" s="50">
        <f t="shared" si="3"/>
        <v>93.99</v>
      </c>
    </row>
    <row r="10" spans="1:17" s="2" customFormat="1" ht="12" customHeight="1">
      <c r="A10" s="4">
        <f t="shared" si="4"/>
        <v>304</v>
      </c>
      <c r="C10" s="114"/>
      <c r="D10" s="268"/>
      <c r="E10" s="269"/>
      <c r="F10" s="112"/>
      <c r="G10" s="112"/>
      <c r="H10" s="112"/>
      <c r="I10" s="113"/>
      <c r="J10" s="44"/>
      <c r="K10" s="44"/>
      <c r="L10" s="44"/>
      <c r="M10" s="44"/>
      <c r="N10" s="45"/>
      <c r="O10" s="45"/>
      <c r="P10" s="49"/>
      <c r="Q10" s="50"/>
    </row>
    <row r="11" spans="1:17" s="2" customFormat="1" ht="12" customHeight="1">
      <c r="A11" s="4">
        <f t="shared" si="4"/>
        <v>305</v>
      </c>
      <c r="B11" s="2">
        <v>4</v>
      </c>
      <c r="C11" s="114" t="s">
        <v>256</v>
      </c>
      <c r="D11" s="268" t="str">
        <f>VLOOKUP(C11,Purchased!A:B,2,0)</f>
        <v>BRX GOTO T-NUT 10 M8</v>
      </c>
      <c r="E11" s="269"/>
      <c r="F11" s="112" t="str">
        <f>VLOOKUP(C11,Purchased!A:Q,9,0)</f>
        <v>BRX</v>
      </c>
      <c r="G11" s="112" t="str">
        <f>VLOOKUP(C11,Purchased!A:Q,10,0)</f>
        <v>AAP</v>
      </c>
      <c r="H11" s="112" t="str">
        <f>VLOOKUP(C11,Purchased!A:Q,12,0)</f>
        <v xml:space="preserve">  </v>
      </c>
      <c r="I11" s="113"/>
      <c r="J11" s="44">
        <f>VLOOKUP(C11,Purchased!A:Q,13,0)</f>
        <v>45104</v>
      </c>
      <c r="K11" s="44">
        <f>VLOOKUP(C11,Purchased!A:Q,14,0)</f>
        <v>45105</v>
      </c>
      <c r="L11" s="44">
        <f>VLOOKUP(C11,Purchased!A:Q,15,0)</f>
        <v>45133</v>
      </c>
      <c r="M11" s="44">
        <f>VLOOKUP(C11,Purchased!A:Q,16,0)</f>
        <v>45133</v>
      </c>
      <c r="N11" s="45" t="str">
        <f>VLOOKUP(C11,Purchased!A:Q,17,0)</f>
        <v>54968, 55147</v>
      </c>
      <c r="O11" s="45" t="e">
        <f t="shared" ca="1" si="2"/>
        <v>#VALUE!</v>
      </c>
      <c r="P11" s="49">
        <f>IFERROR(VLOOKUP(C11,Purchased!A:E,3,FALSE),"")</f>
        <v>0.64290000000000003</v>
      </c>
      <c r="Q11" s="50">
        <f t="shared" si="3"/>
        <v>2.5716000000000001</v>
      </c>
    </row>
    <row r="12" spans="1:17" s="2" customFormat="1" ht="12.75" customHeight="1">
      <c r="A12" s="25"/>
      <c r="B12" s="26"/>
      <c r="C12" s="26"/>
      <c r="D12" s="272"/>
      <c r="E12" s="273"/>
      <c r="F12" s="26"/>
      <c r="G12" s="26"/>
      <c r="H12" s="274"/>
      <c r="I12" s="275"/>
      <c r="J12" s="27"/>
      <c r="K12" s="27"/>
      <c r="L12" s="27"/>
      <c r="M12" s="28"/>
      <c r="N12" s="29"/>
      <c r="O12" s="29" t="e">
        <f t="shared" ref="O12:O13" ca="1" si="5">B12*$L$2</f>
        <v>#VALUE!</v>
      </c>
      <c r="P12" s="141"/>
      <c r="Q12" s="142"/>
    </row>
    <row r="13" spans="1:17" s="2" customFormat="1" ht="12.75" customHeight="1">
      <c r="A13" s="4">
        <v>501</v>
      </c>
      <c r="B13" s="2">
        <v>4</v>
      </c>
      <c r="C13" s="110" t="s">
        <v>542</v>
      </c>
      <c r="D13" s="268"/>
      <c r="E13" s="276"/>
      <c r="F13" s="112" t="str">
        <f>VLOOKUP(C13,Bolts!A:L,5,0)</f>
        <v xml:space="preserve">  </v>
      </c>
      <c r="G13" s="112" t="str">
        <f>VLOOKUP(C13,Bolts!A:L,6,0)</f>
        <v>Monroe Fasteners</v>
      </c>
      <c r="H13" s="112" t="str">
        <f>VLOOKUP(C13,Bolts!A:L,7,0)</f>
        <v xml:space="preserve">  </v>
      </c>
      <c r="I13" s="112"/>
      <c r="J13" s="44" t="str">
        <f>VLOOKUP(C13,Bolts!A:L,8,0)</f>
        <v xml:space="preserve"> </v>
      </c>
      <c r="K13" s="44" t="str">
        <f>VLOOKUP(C13,Bolts!A:L,9,0)</f>
        <v xml:space="preserve"> </v>
      </c>
      <c r="L13" s="44" t="str">
        <f>VLOOKUP(C13,Bolts!A:L,10,0)</f>
        <v xml:space="preserve"> </v>
      </c>
      <c r="M13" s="44" t="str">
        <f>VLOOKUP(C13,Bolts!A:L,11,0)</f>
        <v xml:space="preserve"> </v>
      </c>
      <c r="N13" s="45" t="str">
        <f>VLOOKUP(C13,Bolts!A:L,12,0)</f>
        <v xml:space="preserve"> </v>
      </c>
      <c r="O13" s="45" t="e">
        <f t="shared" ca="1" si="5"/>
        <v>#VALUE!</v>
      </c>
      <c r="P13" s="49" t="str">
        <f>IFERROR(VLOOKUP(C13,Bolts!A:B,2,FALSE),"")</f>
        <v xml:space="preserve"> </v>
      </c>
      <c r="Q13" s="50" t="str">
        <f t="shared" ref="Q13" si="6">IFERROR(B13*P13,"")</f>
        <v/>
      </c>
    </row>
    <row r="14" spans="1:17" s="2" customFormat="1" ht="12.75" customHeight="1">
      <c r="A14" s="4">
        <f>A13+1</f>
        <v>502</v>
      </c>
      <c r="B14" s="2">
        <v>4</v>
      </c>
      <c r="C14" s="110" t="s">
        <v>515</v>
      </c>
      <c r="D14" s="268"/>
      <c r="E14" s="276"/>
      <c r="F14" s="112" t="str">
        <f>VLOOKUP(C14,Bolts!A:L,5,0)</f>
        <v xml:space="preserve">  </v>
      </c>
      <c r="G14" s="112" t="str">
        <f>VLOOKUP(C14,Bolts!A:L,6,0)</f>
        <v>Monroe Fasteners</v>
      </c>
      <c r="H14" s="112" t="str">
        <f>VLOOKUP(C14,Bolts!A:L,7,0)</f>
        <v xml:space="preserve">  </v>
      </c>
      <c r="I14" s="112"/>
      <c r="J14" s="44" t="str">
        <f>VLOOKUP(C14,Bolts!A:L,8,0)</f>
        <v xml:space="preserve"> </v>
      </c>
      <c r="K14" s="44" t="str">
        <f>VLOOKUP(C14,Bolts!A:L,9,0)</f>
        <v xml:space="preserve"> </v>
      </c>
      <c r="L14" s="44" t="str">
        <f>VLOOKUP(C14,Bolts!A:L,10,0)</f>
        <v xml:space="preserve"> </v>
      </c>
      <c r="M14" s="44" t="str">
        <f>VLOOKUP(C14,Bolts!A:L,11,0)</f>
        <v xml:space="preserve"> </v>
      </c>
      <c r="N14" s="45" t="str">
        <f>VLOOKUP(C14,Bolts!A:L,12,0)</f>
        <v xml:space="preserve"> </v>
      </c>
      <c r="O14" s="45" t="e">
        <f t="shared" ref="O14:O16" ca="1" si="7">B14*$L$2</f>
        <v>#VALUE!</v>
      </c>
      <c r="P14" s="49" t="str">
        <f>IFERROR(VLOOKUP(C14,Bolts!A:B,2,FALSE),"")</f>
        <v xml:space="preserve"> </v>
      </c>
      <c r="Q14" s="50" t="str">
        <f t="shared" ref="Q14:Q16" si="8">IFERROR(B14*P14,"")</f>
        <v/>
      </c>
    </row>
    <row r="15" spans="1:17" s="2" customFormat="1" ht="12.75" customHeight="1">
      <c r="A15" s="4">
        <f t="shared" ref="A15:A16" si="9">A14+1</f>
        <v>503</v>
      </c>
      <c r="B15" s="2">
        <v>6</v>
      </c>
      <c r="C15" s="110" t="s">
        <v>1137</v>
      </c>
      <c r="D15" s="268"/>
      <c r="E15" s="276"/>
      <c r="F15" s="112">
        <f>VLOOKUP(C15,Bolts!A:L,5,0)</f>
        <v>0</v>
      </c>
      <c r="G15" s="112">
        <f>VLOOKUP(C15,Bolts!A:L,6,0)</f>
        <v>0</v>
      </c>
      <c r="H15" s="112">
        <f>VLOOKUP(C15,Bolts!A:L,7,0)</f>
        <v>0</v>
      </c>
      <c r="I15" s="112"/>
      <c r="J15" s="44">
        <f>VLOOKUP(C15,Bolts!A:L,8,0)</f>
        <v>0</v>
      </c>
      <c r="K15" s="44">
        <f>VLOOKUP(C15,Bolts!A:L,9,0)</f>
        <v>0</v>
      </c>
      <c r="L15" s="44">
        <f>VLOOKUP(C15,Bolts!A:L,10,0)</f>
        <v>0</v>
      </c>
      <c r="M15" s="44">
        <f>VLOOKUP(C15,Bolts!A:L,11,0)</f>
        <v>0</v>
      </c>
      <c r="N15" s="45">
        <f>VLOOKUP(C15,Bolts!A:L,12,0)</f>
        <v>0</v>
      </c>
      <c r="O15" s="45" t="e">
        <f t="shared" ca="1" si="7"/>
        <v>#VALUE!</v>
      </c>
      <c r="P15" s="49">
        <f>IFERROR(VLOOKUP(C15,Bolts!A:B,2,FALSE),"")</f>
        <v>0</v>
      </c>
      <c r="Q15" s="50">
        <f t="shared" si="8"/>
        <v>0</v>
      </c>
    </row>
    <row r="16" spans="1:17" s="2" customFormat="1" ht="12.75" customHeight="1" thickBot="1">
      <c r="A16" s="4">
        <f t="shared" si="9"/>
        <v>504</v>
      </c>
      <c r="B16" s="2">
        <v>6</v>
      </c>
      <c r="C16" s="110" t="s">
        <v>1138</v>
      </c>
      <c r="D16" s="268"/>
      <c r="E16" s="276"/>
      <c r="F16" s="112">
        <f>VLOOKUP(C16,Bolts!A:L,5,0)</f>
        <v>0</v>
      </c>
      <c r="G16" s="112">
        <f>VLOOKUP(C16,Bolts!A:L,6,0)</f>
        <v>0</v>
      </c>
      <c r="H16" s="112">
        <f>VLOOKUP(C16,Bolts!A:L,7,0)</f>
        <v>0</v>
      </c>
      <c r="I16" s="112"/>
      <c r="J16" s="44">
        <f>VLOOKUP(C16,Bolts!A:L,8,0)</f>
        <v>0</v>
      </c>
      <c r="K16" s="44">
        <f>VLOOKUP(C16,Bolts!A:L,9,0)</f>
        <v>0</v>
      </c>
      <c r="L16" s="44">
        <f>VLOOKUP(C16,Bolts!A:L,10,0)</f>
        <v>0</v>
      </c>
      <c r="M16" s="44">
        <f>VLOOKUP(C16,Bolts!A:L,11,0)</f>
        <v>0</v>
      </c>
      <c r="N16" s="45">
        <f>VLOOKUP(C16,Bolts!A:L,12,0)</f>
        <v>0</v>
      </c>
      <c r="O16" s="45" t="e">
        <f t="shared" ca="1" si="7"/>
        <v>#VALUE!</v>
      </c>
      <c r="P16" s="49">
        <f>IFERROR(VLOOKUP(C16,Bolts!A:B,2,FALSE),"")</f>
        <v>0</v>
      </c>
      <c r="Q16" s="50">
        <f t="shared" si="8"/>
        <v>0</v>
      </c>
    </row>
    <row r="17" spans="1:17" s="2" customFormat="1" ht="12.75" customHeight="1" thickBot="1">
      <c r="A17" s="34"/>
      <c r="B17" s="35"/>
      <c r="C17" s="35"/>
      <c r="D17" s="256"/>
      <c r="E17" s="257"/>
      <c r="F17" s="35"/>
      <c r="G17" s="35"/>
      <c r="H17" s="294"/>
      <c r="I17" s="295"/>
      <c r="J17" s="36"/>
      <c r="K17" s="36"/>
      <c r="L17" s="36"/>
      <c r="M17" s="37"/>
      <c r="N17" s="38"/>
      <c r="O17" s="38"/>
      <c r="P17" s="89" t="s">
        <v>43</v>
      </c>
      <c r="Q17" s="94">
        <f>SUM(Q5:Q16)</f>
        <v>497.97159999999997</v>
      </c>
    </row>
    <row r="18" spans="1:17" s="2" customFormat="1" ht="12" customHeight="1">
      <c r="D18" s="22"/>
      <c r="E18" s="22"/>
      <c r="J18" s="8"/>
      <c r="K18" s="8"/>
      <c r="L18" s="8"/>
      <c r="M18" s="8"/>
      <c r="N18" s="5"/>
      <c r="O18" s="5"/>
      <c r="P18" s="88"/>
      <c r="Q18" s="95"/>
    </row>
    <row r="19" spans="1:17" s="2" customFormat="1" ht="12" customHeight="1">
      <c r="D19" s="22"/>
      <c r="E19" s="22"/>
      <c r="J19" s="5"/>
      <c r="K19" s="5"/>
      <c r="L19" s="5"/>
      <c r="M19" s="5"/>
      <c r="N19" s="5"/>
      <c r="O19" s="5"/>
      <c r="P19" s="88"/>
      <c r="Q19" s="95"/>
    </row>
    <row r="20" spans="1:17" s="2" customFormat="1" ht="12" customHeight="1">
      <c r="D20" s="22"/>
      <c r="E20" s="22"/>
      <c r="J20" s="5"/>
      <c r="K20" s="5"/>
      <c r="L20" s="5"/>
      <c r="M20" s="5"/>
      <c r="N20" s="5"/>
      <c r="O20" s="5"/>
      <c r="P20" s="88"/>
      <c r="Q20" s="95"/>
    </row>
    <row r="21" spans="1:17" s="2" customFormat="1" ht="12" customHeight="1">
      <c r="D21" s="22"/>
      <c r="E21" s="22"/>
      <c r="J21" s="5"/>
      <c r="K21" s="5"/>
      <c r="L21" s="5"/>
      <c r="M21" s="5"/>
      <c r="N21" s="5"/>
      <c r="O21" s="5"/>
      <c r="P21" s="88"/>
      <c r="Q21" s="95"/>
    </row>
    <row r="22" spans="1:17" s="2" customFormat="1" ht="12" customHeight="1">
      <c r="D22" s="22"/>
      <c r="E22" s="22"/>
      <c r="J22" s="5"/>
      <c r="K22" s="5"/>
      <c r="L22" s="5"/>
      <c r="M22" s="5"/>
      <c r="N22" s="5"/>
      <c r="O22" s="5"/>
      <c r="P22" s="88"/>
      <c r="Q22" s="95"/>
    </row>
    <row r="23" spans="1:17" s="2" customFormat="1" ht="12" customHeight="1">
      <c r="D23" s="22"/>
      <c r="E23" s="22"/>
      <c r="J23" s="5"/>
      <c r="K23" s="5"/>
      <c r="L23" s="5"/>
      <c r="M23" s="5"/>
      <c r="N23" s="5"/>
      <c r="O23" s="5"/>
      <c r="P23" s="88"/>
      <c r="Q23" s="95"/>
    </row>
    <row r="24" spans="1:17" s="2" customFormat="1" ht="12" customHeight="1">
      <c r="D24" s="22"/>
      <c r="E24" s="22"/>
      <c r="J24" s="5"/>
      <c r="K24" s="5"/>
      <c r="L24" s="5"/>
      <c r="M24" s="5"/>
      <c r="N24" s="5"/>
      <c r="O24" s="5"/>
      <c r="P24" s="88"/>
      <c r="Q24" s="95"/>
    </row>
    <row r="25" spans="1:17" s="2" customFormat="1" ht="12" customHeight="1">
      <c r="D25" s="22"/>
      <c r="E25" s="22"/>
      <c r="J25" s="5"/>
      <c r="K25" s="5"/>
      <c r="L25" s="5"/>
      <c r="M25" s="5"/>
      <c r="N25" s="5"/>
      <c r="O25" s="5"/>
      <c r="P25" s="88"/>
      <c r="Q25" s="95"/>
    </row>
    <row r="26" spans="1:17" s="2" customFormat="1" ht="12" customHeight="1">
      <c r="D26" s="22"/>
      <c r="E26" s="22"/>
      <c r="J26" s="5"/>
      <c r="K26" s="5"/>
      <c r="L26" s="5"/>
      <c r="M26" s="5"/>
      <c r="N26" s="5"/>
      <c r="O26" s="5"/>
      <c r="P26" s="88"/>
      <c r="Q26" s="95"/>
    </row>
    <row r="27" spans="1:17" s="2" customFormat="1" ht="12" customHeight="1">
      <c r="D27" s="22"/>
      <c r="E27" s="22"/>
      <c r="J27" s="5"/>
      <c r="K27" s="5"/>
      <c r="L27" s="5"/>
      <c r="M27" s="5"/>
      <c r="N27" s="5"/>
      <c r="O27" s="5"/>
      <c r="P27" s="88"/>
      <c r="Q27" s="95"/>
    </row>
    <row r="28" spans="1:17" s="2" customFormat="1" ht="12" customHeight="1">
      <c r="D28" s="22"/>
      <c r="E28" s="22"/>
      <c r="J28" s="5"/>
      <c r="K28" s="5"/>
      <c r="L28" s="5"/>
      <c r="M28" s="5"/>
      <c r="N28" s="5"/>
      <c r="O28" s="5"/>
      <c r="P28" s="88"/>
      <c r="Q28" s="95"/>
    </row>
    <row r="29" spans="1:17" s="2" customFormat="1" ht="12" customHeight="1">
      <c r="D29" s="22"/>
      <c r="E29" s="22"/>
      <c r="J29" s="5"/>
      <c r="K29" s="5"/>
      <c r="L29" s="5"/>
      <c r="M29" s="5"/>
      <c r="N29" s="5"/>
      <c r="O29" s="5"/>
      <c r="P29" s="88"/>
      <c r="Q29" s="95"/>
    </row>
    <row r="30" spans="1:17" s="2" customFormat="1" ht="12" customHeight="1">
      <c r="D30" s="22"/>
      <c r="E30" s="22"/>
      <c r="J30" s="5"/>
      <c r="K30" s="5"/>
      <c r="L30" s="5"/>
      <c r="M30" s="5"/>
      <c r="N30" s="5"/>
      <c r="O30" s="5"/>
      <c r="P30" s="88"/>
      <c r="Q30" s="95"/>
    </row>
    <row r="31" spans="1:17" s="2" customFormat="1" ht="12" customHeight="1">
      <c r="D31" s="22"/>
      <c r="E31" s="22"/>
      <c r="J31" s="5"/>
      <c r="K31" s="5"/>
      <c r="L31" s="5"/>
      <c r="M31" s="5"/>
      <c r="N31" s="5"/>
      <c r="O31" s="5"/>
      <c r="P31" s="88"/>
      <c r="Q31" s="95"/>
    </row>
    <row r="32" spans="1:17" s="2" customFormat="1" ht="12" customHeight="1">
      <c r="D32" s="22"/>
      <c r="E32" s="22"/>
      <c r="J32" s="5"/>
      <c r="K32" s="5"/>
      <c r="L32" s="5"/>
      <c r="M32" s="5"/>
      <c r="N32" s="5"/>
      <c r="O32" s="5"/>
      <c r="P32" s="88"/>
      <c r="Q32" s="95"/>
    </row>
    <row r="33" spans="4:17" s="2" customFormat="1" ht="12" customHeight="1">
      <c r="D33" s="22"/>
      <c r="E33" s="22"/>
      <c r="J33" s="5"/>
      <c r="K33" s="5"/>
      <c r="L33" s="5"/>
      <c r="M33" s="5"/>
      <c r="N33" s="5"/>
      <c r="O33" s="5"/>
      <c r="P33" s="88"/>
      <c r="Q33" s="95"/>
    </row>
    <row r="34" spans="4:17" s="2" customFormat="1" ht="12" customHeight="1">
      <c r="D34" s="22"/>
      <c r="E34" s="22"/>
      <c r="J34" s="5"/>
      <c r="K34" s="5"/>
      <c r="L34" s="5"/>
      <c r="M34" s="5"/>
      <c r="N34" s="5"/>
      <c r="O34" s="5"/>
      <c r="P34" s="88"/>
      <c r="Q34" s="95"/>
    </row>
    <row r="35" spans="4:17" s="2" customFormat="1" ht="12" customHeight="1">
      <c r="D35" s="22"/>
      <c r="E35" s="22"/>
      <c r="J35" s="5"/>
      <c r="K35" s="5"/>
      <c r="L35" s="5"/>
      <c r="M35" s="5"/>
      <c r="N35" s="5"/>
      <c r="O35" s="5"/>
      <c r="P35" s="88"/>
      <c r="Q35" s="95"/>
    </row>
    <row r="36" spans="4:17" s="2" customFormat="1" ht="12" customHeight="1">
      <c r="D36" s="22"/>
      <c r="E36" s="22"/>
      <c r="J36" s="5"/>
      <c r="K36" s="5"/>
      <c r="L36" s="5"/>
      <c r="M36" s="5"/>
      <c r="N36" s="5"/>
      <c r="O36" s="5"/>
      <c r="P36" s="88"/>
      <c r="Q36" s="95"/>
    </row>
    <row r="37" spans="4:17" s="2" customFormat="1" ht="12" customHeight="1">
      <c r="D37" s="22"/>
      <c r="E37" s="22"/>
      <c r="J37" s="5"/>
      <c r="K37" s="5"/>
      <c r="L37" s="5"/>
      <c r="M37" s="5"/>
      <c r="N37" s="5"/>
      <c r="O37" s="5"/>
      <c r="P37" s="88"/>
      <c r="Q37" s="95"/>
    </row>
    <row r="38" spans="4:17" s="2" customFormat="1" ht="12" customHeight="1">
      <c r="D38" s="22"/>
      <c r="E38" s="22"/>
      <c r="J38" s="5"/>
      <c r="K38" s="5"/>
      <c r="L38" s="5"/>
      <c r="M38" s="5"/>
      <c r="N38" s="5"/>
      <c r="O38" s="5"/>
      <c r="P38" s="88"/>
      <c r="Q38" s="95"/>
    </row>
    <row r="39" spans="4:17" s="2" customFormat="1" ht="12" customHeight="1">
      <c r="D39" s="22"/>
      <c r="E39" s="22"/>
      <c r="J39" s="5"/>
      <c r="K39" s="5"/>
      <c r="L39" s="5"/>
      <c r="M39" s="5"/>
      <c r="N39" s="5"/>
      <c r="O39" s="5"/>
      <c r="P39" s="88"/>
      <c r="Q39" s="95"/>
    </row>
    <row r="40" spans="4:17" s="2" customFormat="1" ht="12" customHeight="1">
      <c r="D40" s="22"/>
      <c r="E40" s="22"/>
      <c r="J40" s="5"/>
      <c r="K40" s="5"/>
      <c r="L40" s="5"/>
      <c r="M40" s="5"/>
      <c r="N40" s="5"/>
      <c r="O40" s="5"/>
      <c r="P40" s="88"/>
      <c r="Q40" s="95"/>
    </row>
    <row r="41" spans="4:17" s="2" customFormat="1" ht="12" customHeight="1">
      <c r="D41" s="22"/>
      <c r="E41" s="22"/>
      <c r="J41" s="5"/>
      <c r="K41" s="5"/>
      <c r="L41" s="5"/>
      <c r="M41" s="5"/>
      <c r="N41" s="5"/>
      <c r="O41" s="5"/>
      <c r="P41" s="88"/>
      <c r="Q41" s="95"/>
    </row>
    <row r="42" spans="4:17" s="2" customFormat="1" ht="12" customHeight="1">
      <c r="D42" s="22"/>
      <c r="E42" s="22"/>
      <c r="J42" s="5"/>
      <c r="K42" s="5"/>
      <c r="L42" s="5"/>
      <c r="M42" s="5"/>
      <c r="N42" s="5"/>
      <c r="O42" s="5"/>
      <c r="P42" s="88"/>
      <c r="Q42" s="95"/>
    </row>
    <row r="43" spans="4:17" s="2" customFormat="1" ht="12" customHeight="1">
      <c r="D43" s="22"/>
      <c r="E43" s="22"/>
      <c r="J43" s="5"/>
      <c r="K43" s="5"/>
      <c r="L43" s="5"/>
      <c r="M43" s="5"/>
      <c r="N43" s="5"/>
      <c r="O43" s="5"/>
      <c r="P43" s="88"/>
      <c r="Q43" s="95"/>
    </row>
    <row r="44" spans="4:17" s="2" customFormat="1" ht="12" customHeight="1">
      <c r="D44" s="22"/>
      <c r="E44" s="22"/>
      <c r="J44" s="5"/>
      <c r="K44" s="5"/>
      <c r="L44" s="5"/>
      <c r="M44" s="5"/>
      <c r="N44" s="5"/>
      <c r="O44" s="5"/>
      <c r="P44" s="88"/>
      <c r="Q44" s="95"/>
    </row>
    <row r="45" spans="4:17" s="2" customFormat="1" ht="12" customHeight="1">
      <c r="D45" s="22"/>
      <c r="E45" s="22"/>
      <c r="J45" s="5"/>
      <c r="K45" s="5"/>
      <c r="L45" s="5"/>
      <c r="M45" s="5"/>
      <c r="N45" s="5"/>
      <c r="O45" s="5"/>
      <c r="P45" s="88"/>
      <c r="Q45" s="95"/>
    </row>
    <row r="46" spans="4:17" s="2" customFormat="1" ht="12" customHeight="1">
      <c r="D46" s="22"/>
      <c r="E46" s="22"/>
      <c r="J46" s="5"/>
      <c r="K46" s="5"/>
      <c r="L46" s="5"/>
      <c r="M46" s="5"/>
      <c r="N46" s="5"/>
      <c r="O46" s="5"/>
      <c r="P46" s="88"/>
      <c r="Q46" s="95"/>
    </row>
    <row r="47" spans="4:17" s="2" customFormat="1" ht="12" customHeight="1">
      <c r="D47" s="22"/>
      <c r="E47" s="22"/>
      <c r="J47" s="5"/>
      <c r="K47" s="5"/>
      <c r="L47" s="5"/>
      <c r="M47" s="5"/>
      <c r="N47" s="5"/>
      <c r="O47" s="5"/>
      <c r="P47" s="88"/>
      <c r="Q47" s="95"/>
    </row>
    <row r="48" spans="4:17" s="2" customFormat="1" ht="12" customHeight="1">
      <c r="D48" s="22"/>
      <c r="E48" s="22"/>
      <c r="J48" s="5"/>
      <c r="K48" s="5"/>
      <c r="L48" s="5"/>
      <c r="M48" s="5"/>
      <c r="N48" s="5"/>
      <c r="O48" s="5"/>
      <c r="P48" s="88"/>
      <c r="Q48" s="95"/>
    </row>
    <row r="49" spans="1:17" s="2" customFormat="1" ht="12" customHeight="1">
      <c r="D49" s="22"/>
      <c r="E49" s="22"/>
      <c r="J49" s="5"/>
      <c r="K49" s="5"/>
      <c r="L49" s="5"/>
      <c r="M49" s="5"/>
      <c r="N49" s="5"/>
      <c r="O49" s="5"/>
      <c r="P49" s="88"/>
      <c r="Q49" s="95"/>
    </row>
    <row r="50" spans="1:17" s="2" customFormat="1" ht="12" customHeight="1">
      <c r="D50" s="22"/>
      <c r="E50" s="22"/>
      <c r="J50" s="5"/>
      <c r="K50" s="5"/>
      <c r="L50" s="5"/>
      <c r="M50" s="5"/>
      <c r="N50" s="5"/>
      <c r="O50" s="5"/>
      <c r="P50" s="88"/>
      <c r="Q50" s="95"/>
    </row>
    <row r="51" spans="1:17" s="2" customFormat="1" ht="12" customHeight="1">
      <c r="D51" s="22"/>
      <c r="E51" s="22"/>
      <c r="J51" s="5"/>
      <c r="K51" s="5"/>
      <c r="L51" s="5"/>
      <c r="M51" s="5"/>
      <c r="N51" s="5"/>
      <c r="O51" s="5"/>
      <c r="P51" s="88"/>
      <c r="Q51" s="95"/>
    </row>
    <row r="52" spans="1:17" s="2" customFormat="1" ht="12" customHeight="1">
      <c r="D52" s="22"/>
      <c r="E52" s="22"/>
      <c r="J52" s="5"/>
      <c r="K52" s="5"/>
      <c r="L52" s="5"/>
      <c r="M52" s="5"/>
      <c r="N52" s="5"/>
      <c r="O52" s="5"/>
      <c r="P52" s="88"/>
      <c r="Q52" s="95"/>
    </row>
    <row r="53" spans="1:17" s="2" customFormat="1" ht="12" customHeight="1">
      <c r="D53" s="22"/>
      <c r="E53" s="22"/>
      <c r="J53" s="5"/>
      <c r="K53" s="5"/>
      <c r="L53" s="5"/>
      <c r="M53" s="5"/>
      <c r="N53" s="5"/>
      <c r="O53" s="5"/>
      <c r="P53" s="88"/>
      <c r="Q53" s="95"/>
    </row>
    <row r="54" spans="1:17" s="2" customFormat="1" ht="12" customHeight="1">
      <c r="D54" s="22"/>
      <c r="E54" s="22"/>
      <c r="J54" s="5"/>
      <c r="K54" s="5"/>
      <c r="L54" s="5"/>
      <c r="M54" s="5"/>
      <c r="N54" s="5"/>
      <c r="O54" s="5"/>
      <c r="P54" s="88"/>
      <c r="Q54" s="95"/>
    </row>
    <row r="55" spans="1:17" s="2" customFormat="1" ht="12" customHeight="1">
      <c r="D55" s="22"/>
      <c r="E55" s="22"/>
      <c r="J55" s="5"/>
      <c r="K55" s="5"/>
      <c r="L55" s="5"/>
      <c r="M55" s="5"/>
      <c r="N55" s="5"/>
      <c r="O55" s="5"/>
      <c r="P55" s="88"/>
      <c r="Q55" s="95"/>
    </row>
    <row r="56" spans="1:17" s="2" customFormat="1" ht="12" customHeight="1">
      <c r="D56" s="22"/>
      <c r="E56" s="22"/>
      <c r="J56" s="5"/>
      <c r="K56" s="5"/>
      <c r="L56" s="5"/>
      <c r="M56" s="5"/>
      <c r="N56" s="5"/>
      <c r="O56" s="5"/>
      <c r="P56" s="88"/>
      <c r="Q56" s="96"/>
    </row>
    <row r="57" spans="1:17" s="2" customFormat="1" ht="12" customHeight="1">
      <c r="D57" s="22"/>
      <c r="E57" s="22"/>
      <c r="J57" s="5"/>
      <c r="K57" s="5"/>
      <c r="L57" s="5"/>
      <c r="M57" s="5"/>
      <c r="N57" s="5"/>
      <c r="O57" s="5"/>
      <c r="P57" s="88"/>
      <c r="Q57" s="96"/>
    </row>
    <row r="58" spans="1:17" s="2" customFormat="1" ht="12" customHeight="1">
      <c r="D58" s="22"/>
      <c r="E58" s="22"/>
      <c r="J58" s="5"/>
      <c r="K58" s="5"/>
      <c r="L58" s="5"/>
      <c r="M58" s="5"/>
      <c r="N58" s="5"/>
      <c r="O58" s="5"/>
      <c r="P58" s="88"/>
      <c r="Q58" s="96"/>
    </row>
    <row r="59" spans="1:17" s="2" customFormat="1" ht="12" customHeight="1">
      <c r="D59" s="22"/>
      <c r="E59" s="22"/>
      <c r="J59" s="5"/>
      <c r="K59" s="5"/>
      <c r="L59" s="5"/>
      <c r="M59" s="5"/>
      <c r="N59" s="5"/>
      <c r="O59" s="5"/>
      <c r="P59" s="88"/>
      <c r="Q59" s="96"/>
    </row>
    <row r="60" spans="1:17" s="2" customFormat="1" ht="12" customHeight="1">
      <c r="A60"/>
      <c r="B60"/>
      <c r="C60"/>
      <c r="D60" s="23"/>
      <c r="E60" s="23"/>
      <c r="F60"/>
      <c r="G60"/>
      <c r="H60"/>
      <c r="I60"/>
      <c r="J60" s="19"/>
      <c r="K60" s="19"/>
      <c r="L60" s="19"/>
      <c r="M60" s="19"/>
      <c r="N60" s="19"/>
      <c r="O60" s="19"/>
      <c r="P60" s="90"/>
      <c r="Q60" s="96"/>
    </row>
    <row r="61" spans="1:17" s="2" customFormat="1" ht="12" customHeight="1">
      <c r="A61"/>
      <c r="B61"/>
      <c r="C61"/>
      <c r="D61" s="23"/>
      <c r="E61" s="23"/>
      <c r="F61"/>
      <c r="G61"/>
      <c r="H61"/>
      <c r="I61"/>
      <c r="J61" s="19"/>
      <c r="K61" s="19"/>
      <c r="L61" s="19"/>
      <c r="M61" s="19"/>
      <c r="N61" s="19"/>
      <c r="O61" s="19"/>
      <c r="P61" s="90"/>
      <c r="Q61" s="96"/>
    </row>
    <row r="62" spans="1:17" s="2" customFormat="1" ht="12" customHeight="1">
      <c r="A62"/>
      <c r="B62"/>
      <c r="C62"/>
      <c r="D62" s="23"/>
      <c r="E62" s="23"/>
      <c r="F62"/>
      <c r="G62"/>
      <c r="H62"/>
      <c r="I62"/>
      <c r="J62" s="19"/>
      <c r="K62" s="19"/>
      <c r="L62" s="19"/>
      <c r="M62" s="19"/>
      <c r="N62" s="19"/>
      <c r="O62" s="19"/>
      <c r="P62" s="90"/>
      <c r="Q62" s="96"/>
    </row>
    <row r="63" spans="1:17" s="2" customFormat="1" ht="12" customHeight="1">
      <c r="A63"/>
      <c r="B63"/>
      <c r="C63"/>
      <c r="D63" s="23"/>
      <c r="E63" s="23"/>
      <c r="F63"/>
      <c r="G63"/>
      <c r="H63"/>
      <c r="I63"/>
      <c r="J63" s="19"/>
      <c r="K63" s="19"/>
      <c r="L63" s="19"/>
      <c r="M63" s="19"/>
      <c r="N63" s="19"/>
      <c r="O63" s="19"/>
      <c r="P63" s="90"/>
      <c r="Q63" s="96"/>
    </row>
    <row r="64" spans="1:17" s="2" customFormat="1" ht="12" customHeight="1">
      <c r="A64"/>
      <c r="B64"/>
      <c r="C64"/>
      <c r="D64" s="23"/>
      <c r="E64" s="23"/>
      <c r="F64"/>
      <c r="G64"/>
      <c r="H64"/>
      <c r="I64"/>
      <c r="J64" s="19"/>
      <c r="K64" s="19"/>
      <c r="L64" s="19"/>
      <c r="M64" s="19"/>
      <c r="N64" s="19"/>
      <c r="O64" s="19"/>
      <c r="P64" s="90"/>
      <c r="Q64" s="96"/>
    </row>
    <row r="65" spans="17:17">
      <c r="Q65" s="96"/>
    </row>
    <row r="66" spans="17:17">
      <c r="Q66" s="96"/>
    </row>
    <row r="67" spans="17:17">
      <c r="Q67" s="96"/>
    </row>
    <row r="68" spans="17:17">
      <c r="Q68" s="96"/>
    </row>
    <row r="69" spans="17:17">
      <c r="Q69" s="96"/>
    </row>
    <row r="70" spans="17:17">
      <c r="Q70" s="96"/>
    </row>
    <row r="71" spans="17:17">
      <c r="Q71" s="96"/>
    </row>
    <row r="72" spans="17:17">
      <c r="Q72" s="96"/>
    </row>
    <row r="73" spans="17:17">
      <c r="Q73" s="96"/>
    </row>
    <row r="74" spans="17:17">
      <c r="Q74" s="96"/>
    </row>
    <row r="75" spans="17:17">
      <c r="Q75" s="96"/>
    </row>
    <row r="76" spans="17:17">
      <c r="Q76" s="96"/>
    </row>
    <row r="77" spans="17:17">
      <c r="Q77" s="96"/>
    </row>
    <row r="78" spans="17:17">
      <c r="Q78" s="96"/>
    </row>
    <row r="79" spans="17:17">
      <c r="Q79" s="96"/>
    </row>
    <row r="80" spans="17:17">
      <c r="Q80" s="96"/>
    </row>
    <row r="81" spans="17:17">
      <c r="Q81" s="96"/>
    </row>
    <row r="82" spans="17:17">
      <c r="Q82" s="96"/>
    </row>
    <row r="83" spans="17:17">
      <c r="Q83" s="96"/>
    </row>
    <row r="84" spans="17:17">
      <c r="Q84" s="96"/>
    </row>
    <row r="121" ht="12" customHeight="1"/>
    <row r="122" ht="12" customHeight="1"/>
    <row r="123" ht="12" customHeight="1"/>
    <row r="124" ht="12" customHeight="1"/>
    <row r="125" ht="12" customHeight="1"/>
    <row r="126" ht="12" customHeight="1"/>
    <row r="127" ht="12" customHeight="1"/>
    <row r="128" ht="12" customHeight="1"/>
    <row r="129" ht="12" customHeight="1"/>
    <row r="130" ht="12" customHeight="1"/>
    <row r="131" ht="12" customHeight="1"/>
    <row r="132" ht="12" customHeight="1"/>
    <row r="133" ht="12" customHeight="1"/>
    <row r="134" ht="12" customHeight="1"/>
    <row r="135" ht="12" customHeight="1"/>
    <row r="136" ht="12" customHeight="1"/>
    <row r="137" ht="12" customHeight="1"/>
    <row r="138" ht="12" customHeight="1"/>
    <row r="139" ht="12" customHeight="1"/>
    <row r="140" ht="12" customHeight="1"/>
    <row r="141" ht="12" customHeight="1"/>
    <row r="142" ht="12" customHeight="1"/>
    <row r="143" ht="12" customHeight="1"/>
    <row r="144" ht="12" customHeight="1"/>
    <row r="145" ht="12" customHeight="1"/>
    <row r="146" ht="12" customHeight="1"/>
    <row r="147" ht="12" customHeight="1"/>
    <row r="148" ht="12" customHeight="1"/>
    <row r="149" ht="12" customHeight="1"/>
    <row r="150" ht="12" customHeight="1"/>
    <row r="151" ht="12" customHeight="1"/>
    <row r="152" ht="12" customHeight="1"/>
    <row r="153" ht="12" customHeight="1"/>
    <row r="154" ht="12" customHeight="1"/>
    <row r="155" ht="12" customHeight="1"/>
    <row r="156" ht="12" customHeight="1"/>
    <row r="157" ht="12" customHeight="1"/>
    <row r="158" ht="12" customHeight="1"/>
    <row r="159" ht="12" customHeight="1"/>
    <row r="160" ht="12" customHeight="1"/>
    <row r="161" ht="12" customHeight="1"/>
    <row r="162" ht="12" customHeight="1"/>
    <row r="163" ht="12" customHeight="1"/>
    <row r="164" ht="12" customHeight="1"/>
    <row r="165" ht="12" customHeight="1"/>
    <row r="166" ht="12" customHeight="1"/>
    <row r="167" ht="12" customHeight="1"/>
    <row r="168" ht="12" customHeight="1"/>
    <row r="169" ht="12" customHeight="1"/>
    <row r="170" ht="12" customHeight="1"/>
  </sheetData>
  <mergeCells count="19">
    <mergeCell ref="H12:I12"/>
    <mergeCell ref="D13:E13"/>
    <mergeCell ref="D12:E12"/>
    <mergeCell ref="D17:E17"/>
    <mergeCell ref="H17:I17"/>
    <mergeCell ref="D14:E14"/>
    <mergeCell ref="D15:E15"/>
    <mergeCell ref="D16:E16"/>
    <mergeCell ref="D7:E7"/>
    <mergeCell ref="D8:E8"/>
    <mergeCell ref="D9:E9"/>
    <mergeCell ref="D10:E10"/>
    <mergeCell ref="D11:E11"/>
    <mergeCell ref="D1:E1"/>
    <mergeCell ref="D4:E4"/>
    <mergeCell ref="H4:I4"/>
    <mergeCell ref="D5:E5"/>
    <mergeCell ref="D6:E6"/>
    <mergeCell ref="H6:I6"/>
  </mergeCells>
  <conditionalFormatting sqref="M5 M7:M11 M13:M16">
    <cfRule type="cellIs" dxfId="278" priority="3" stopIfTrue="1" operator="lessThanOrEqual">
      <formula>$L5</formula>
    </cfRule>
    <cfRule type="cellIs" dxfId="277" priority="4" operator="greaterThan">
      <formula>L5</formula>
    </cfRule>
  </conditionalFormatting>
  <pageMargins left="0.7" right="0.7" top="0.75" bottom="0.75" header="0.3" footer="0.3"/>
  <pageSetup paperSize="3" fitToHeight="0" orientation="landscape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9193E5E-76DF-46ED-874B-3F59EEB8B996}">
          <x14:formula1>
            <xm:f>Bolts!$A:$A</xm:f>
          </x14:formula1>
          <xm:sqref>C13:C16</xm:sqref>
        </x14:dataValidation>
        <x14:dataValidation type="list" allowBlank="1" showInputMessage="1" showErrorMessage="1" xr:uid="{4119C674-4E47-46B1-8179-9C966685251C}">
          <x14:formula1>
            <xm:f>Purchased!$A:$A</xm:f>
          </x14:formula1>
          <xm:sqref>C7:C11</xm:sqref>
        </x14:dataValidation>
        <x14:dataValidation type="list" allowBlank="1" showInputMessage="1" showErrorMessage="1" xr:uid="{749BF84C-A239-40C1-8D88-660CAB1DA8A6}">
          <x14:formula1>
            <xm:f>Machined!$C:$C</xm:f>
          </x14:formula1>
          <xm:sqref>C5</xm:sqref>
        </x14:dataValidation>
      </x14:dataValidations>
    </ext>
  </extLst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1D4E7-D15B-4903-8576-A362EF0C85C5}">
  <sheetPr codeName="Sheet105">
    <tabColor theme="3" tint="0.39997558519241921"/>
    <pageSetUpPr fitToPage="1"/>
  </sheetPr>
  <dimension ref="A1:Q163"/>
  <sheetViews>
    <sheetView zoomScaleNormal="100" workbookViewId="0">
      <selection activeCell="P14" sqref="P14"/>
    </sheetView>
  </sheetViews>
  <sheetFormatPr defaultColWidth="9.140625" defaultRowHeight="15"/>
  <cols>
    <col min="1" max="1" width="5.7109375" customWidth="1"/>
    <col min="2" max="2" width="5.42578125" bestFit="1" customWidth="1"/>
    <col min="3" max="3" width="30.7109375" customWidth="1"/>
    <col min="4" max="5" width="20.7109375" style="23" customWidth="1"/>
    <col min="6" max="6" width="16.85546875" bestFit="1" customWidth="1"/>
    <col min="7" max="7" width="9.7109375" customWidth="1"/>
    <col min="8" max="8" width="8.7109375" customWidth="1"/>
    <col min="9" max="9" width="20.7109375" customWidth="1"/>
    <col min="10" max="13" width="11.7109375" style="19" customWidth="1"/>
    <col min="14" max="14" width="11.85546875" style="19" bestFit="1" customWidth="1"/>
    <col min="15" max="15" width="7.7109375" style="19" customWidth="1"/>
    <col min="16" max="16" width="10.7109375" style="90" customWidth="1"/>
    <col min="17" max="17" width="10.7109375" style="97" customWidth="1"/>
  </cols>
  <sheetData>
    <row r="1" spans="1:17" s="55" customFormat="1" ht="12" customHeight="1">
      <c r="A1" s="68" t="s">
        <v>0</v>
      </c>
      <c r="B1" s="69"/>
      <c r="C1" s="69"/>
      <c r="D1" s="262" t="s">
        <v>1</v>
      </c>
      <c r="E1" s="263"/>
      <c r="F1" s="70"/>
      <c r="G1" s="69"/>
      <c r="H1" s="70"/>
      <c r="I1" s="71"/>
      <c r="J1" s="72"/>
      <c r="K1" s="72"/>
      <c r="L1" s="72"/>
      <c r="M1" s="72"/>
      <c r="N1" s="72"/>
      <c r="O1" s="72"/>
      <c r="P1" s="85"/>
      <c r="Q1" s="91"/>
    </row>
    <row r="2" spans="1:17" s="55" customFormat="1" ht="12" customHeight="1">
      <c r="A2" s="74" t="s">
        <v>48</v>
      </c>
      <c r="B2" s="58"/>
      <c r="C2" s="57" t="e">
        <f ca="1">VLOOKUP(E3,Assemblies!B:F,4,0)</f>
        <v>#VALUE!</v>
      </c>
      <c r="D2" s="75" t="s">
        <v>3</v>
      </c>
      <c r="E2" s="76" t="e">
        <f ca="1">'GF12'!E2</f>
        <v>#VALUE!</v>
      </c>
      <c r="F2" s="77" t="s">
        <v>4</v>
      </c>
      <c r="G2" s="58" t="str">
        <f>'GF12'!G2</f>
        <v>GH</v>
      </c>
      <c r="H2" s="77" t="s">
        <v>6</v>
      </c>
      <c r="I2" s="59">
        <f>'GF12'!I2</f>
        <v>44775</v>
      </c>
      <c r="J2" s="39"/>
      <c r="K2" s="40" t="s">
        <v>49</v>
      </c>
      <c r="L2" s="41" t="e">
        <f ca="1">VLOOKUP(C2,Assemblies!E:G,3,0)</f>
        <v>#VALUE!</v>
      </c>
      <c r="M2" s="78"/>
      <c r="N2" s="78"/>
      <c r="O2" s="78"/>
      <c r="P2" s="86"/>
      <c r="Q2" s="92"/>
    </row>
    <row r="3" spans="1:17" s="55" customFormat="1" ht="12" customHeight="1" thickBot="1">
      <c r="A3" s="74" t="s">
        <v>7</v>
      </c>
      <c r="B3" s="58"/>
      <c r="C3" s="57" t="e">
        <f ca="1">VLOOKUP(E3,Assemblies!B:F,5,0)</f>
        <v>#VALUE!</v>
      </c>
      <c r="D3" s="75" t="s">
        <v>50</v>
      </c>
      <c r="E3" s="76" t="e">
        <f ca="1">MID(CELL("filename",A1),FIND("]",CELL("filename",A1))+1,256)</f>
        <v>#VALUE!</v>
      </c>
      <c r="F3" s="77" t="s">
        <v>11</v>
      </c>
      <c r="G3" s="58" t="str">
        <f>'GF12'!G3</f>
        <v>GH</v>
      </c>
      <c r="H3" s="77" t="s">
        <v>6</v>
      </c>
      <c r="I3" s="59">
        <f>'GF12'!I3</f>
        <v>44775</v>
      </c>
      <c r="J3" s="78"/>
      <c r="K3" s="78"/>
      <c r="L3" s="78"/>
      <c r="M3" s="78"/>
      <c r="N3" s="78"/>
      <c r="O3" s="78"/>
      <c r="P3" s="86"/>
      <c r="Q3" s="92"/>
    </row>
    <row r="4" spans="1:17" s="56" customFormat="1" ht="12.75" customHeight="1" thickBot="1">
      <c r="A4" s="80" t="s">
        <v>12</v>
      </c>
      <c r="B4" s="81" t="s">
        <v>13</v>
      </c>
      <c r="C4" s="81" t="s">
        <v>14</v>
      </c>
      <c r="D4" s="270" t="s">
        <v>15</v>
      </c>
      <c r="E4" s="271"/>
      <c r="F4" s="104" t="s">
        <v>16</v>
      </c>
      <c r="G4" s="81" t="s">
        <v>17</v>
      </c>
      <c r="H4" s="260" t="s">
        <v>18</v>
      </c>
      <c r="I4" s="261"/>
      <c r="J4" s="81" t="s">
        <v>51</v>
      </c>
      <c r="K4" s="81" t="s">
        <v>20</v>
      </c>
      <c r="L4" s="81" t="s">
        <v>21</v>
      </c>
      <c r="M4" s="81" t="s">
        <v>52</v>
      </c>
      <c r="N4" s="81" t="s">
        <v>22</v>
      </c>
      <c r="O4" s="81" t="s">
        <v>53</v>
      </c>
      <c r="P4" s="107" t="s">
        <v>26</v>
      </c>
      <c r="Q4" s="82" t="s">
        <v>27</v>
      </c>
    </row>
    <row r="5" spans="1:17" s="21" customFormat="1" ht="12.75" customHeight="1">
      <c r="A5" s="66" t="s">
        <v>54</v>
      </c>
      <c r="B5" s="1">
        <v>1</v>
      </c>
      <c r="C5" s="67" t="s">
        <v>1139</v>
      </c>
      <c r="D5" s="277" t="e">
        <f ca="1">VLOOKUP(C5,Assemblies!E:S,2,0)</f>
        <v>#N/A</v>
      </c>
      <c r="E5" s="278"/>
      <c r="F5" s="32"/>
      <c r="G5" s="32"/>
      <c r="H5" s="292"/>
      <c r="I5" s="293"/>
      <c r="J5" s="28"/>
      <c r="K5" s="28"/>
      <c r="L5" s="28"/>
      <c r="M5" s="28"/>
      <c r="N5" s="33"/>
      <c r="O5" s="46" t="e">
        <f t="shared" ref="O5:O9" ca="1" si="0">B5*$L$2</f>
        <v>#VALUE!</v>
      </c>
      <c r="P5" s="87">
        <f>'510'!Q14</f>
        <v>10768.710768733332</v>
      </c>
      <c r="Q5" s="93">
        <f t="shared" ref="Q5:Q9" si="1">B5*P5</f>
        <v>10768.710768733332</v>
      </c>
    </row>
    <row r="6" spans="1:17" s="21" customFormat="1" ht="12.75" customHeight="1">
      <c r="A6" s="66" t="s">
        <v>56</v>
      </c>
      <c r="B6" s="1">
        <v>1</v>
      </c>
      <c r="C6" s="67" t="s">
        <v>1140</v>
      </c>
      <c r="D6" s="277" t="e">
        <f ca="1">VLOOKUP(C6,Assemblies!E:S,2,0)</f>
        <v>#N/A</v>
      </c>
      <c r="E6" s="278"/>
      <c r="F6" s="32"/>
      <c r="G6" s="32"/>
      <c r="H6" s="292"/>
      <c r="I6" s="293"/>
      <c r="J6" s="28"/>
      <c r="K6" s="28"/>
      <c r="L6" s="28"/>
      <c r="M6" s="28"/>
      <c r="N6" s="33"/>
      <c r="O6" s="46" t="e">
        <f t="shared" ca="1" si="0"/>
        <v>#VALUE!</v>
      </c>
      <c r="P6" s="87">
        <f>'520'!Q14</f>
        <v>10837.750768733333</v>
      </c>
      <c r="Q6" s="93">
        <f t="shared" si="1"/>
        <v>10837.750768733333</v>
      </c>
    </row>
    <row r="7" spans="1:17" s="21" customFormat="1" ht="12.75" customHeight="1">
      <c r="A7" s="66" t="s">
        <v>58</v>
      </c>
      <c r="B7" s="1">
        <v>1</v>
      </c>
      <c r="C7" s="67" t="s">
        <v>1141</v>
      </c>
      <c r="D7" s="277" t="e">
        <f ca="1">VLOOKUP(C7,Assemblies!E:S,2,0)</f>
        <v>#N/A</v>
      </c>
      <c r="E7" s="278"/>
      <c r="F7" s="32"/>
      <c r="G7" s="32"/>
      <c r="H7" s="292"/>
      <c r="I7" s="293"/>
      <c r="J7" s="28"/>
      <c r="K7" s="28"/>
      <c r="L7" s="28"/>
      <c r="M7" s="28"/>
      <c r="N7" s="33"/>
      <c r="O7" s="46" t="e">
        <f t="shared" ca="1" si="0"/>
        <v>#VALUE!</v>
      </c>
      <c r="P7" s="87">
        <f>'530'!Q39</f>
        <v>5631.8781446416669</v>
      </c>
      <c r="Q7" s="93">
        <f t="shared" si="1"/>
        <v>5631.8781446416669</v>
      </c>
    </row>
    <row r="8" spans="1:17" s="21" customFormat="1" ht="12.75" customHeight="1">
      <c r="A8" s="66" t="s">
        <v>60</v>
      </c>
      <c r="B8" s="1">
        <v>1</v>
      </c>
      <c r="C8" s="67" t="s">
        <v>1142</v>
      </c>
      <c r="D8" s="277" t="e">
        <f ca="1">VLOOKUP(C8,Assemblies!E:S,2,0)</f>
        <v>#N/A</v>
      </c>
      <c r="E8" s="278"/>
      <c r="F8" s="32"/>
      <c r="G8" s="32"/>
      <c r="H8" s="292"/>
      <c r="I8" s="293"/>
      <c r="J8" s="28"/>
      <c r="K8" s="28"/>
      <c r="L8" s="28"/>
      <c r="M8" s="28"/>
      <c r="N8" s="33"/>
      <c r="O8" s="46" t="e">
        <f t="shared" ref="O8" ca="1" si="2">B8*$L$2</f>
        <v>#VALUE!</v>
      </c>
      <c r="P8" s="87">
        <f>'005'!Q39</f>
        <v>2077.4300000000003</v>
      </c>
      <c r="Q8" s="93">
        <f t="shared" ref="Q8" si="3">B8*P8</f>
        <v>2077.4300000000003</v>
      </c>
    </row>
    <row r="9" spans="1:17" s="21" customFormat="1" ht="12.75" customHeight="1" thickBot="1">
      <c r="A9" s="66" t="s">
        <v>62</v>
      </c>
      <c r="B9" s="1">
        <v>1</v>
      </c>
      <c r="C9" s="67" t="s">
        <v>868</v>
      </c>
      <c r="D9" s="277" t="e">
        <f ca="1">VLOOKUP(C9,Assemblies!E:S,2,0)</f>
        <v>#N/A</v>
      </c>
      <c r="E9" s="278"/>
      <c r="F9" s="32"/>
      <c r="G9" s="32"/>
      <c r="H9" s="292"/>
      <c r="I9" s="293"/>
      <c r="J9" s="28"/>
      <c r="K9" s="28"/>
      <c r="L9" s="28"/>
      <c r="M9" s="28"/>
      <c r="N9" s="33"/>
      <c r="O9" s="46" t="e">
        <f t="shared" ca="1" si="0"/>
        <v>#VALUE!</v>
      </c>
      <c r="P9" s="87">
        <f>'540'!Q23</f>
        <v>565.46280000000002</v>
      </c>
      <c r="Q9" s="93">
        <f t="shared" si="1"/>
        <v>565.46280000000002</v>
      </c>
    </row>
    <row r="10" spans="1:17" s="2" customFormat="1" ht="12.75" customHeight="1" thickBot="1">
      <c r="A10" s="34"/>
      <c r="B10" s="35"/>
      <c r="C10" s="35"/>
      <c r="D10" s="256"/>
      <c r="E10" s="257"/>
      <c r="F10" s="35"/>
      <c r="G10" s="35"/>
      <c r="H10" s="294"/>
      <c r="I10" s="295"/>
      <c r="J10" s="36"/>
      <c r="K10" s="36"/>
      <c r="L10" s="36"/>
      <c r="M10" s="37"/>
      <c r="N10" s="38"/>
      <c r="O10" s="38"/>
      <c r="P10" s="89" t="s">
        <v>43</v>
      </c>
      <c r="Q10" s="94">
        <f>SUM(Q5:Q9)</f>
        <v>29881.232482108331</v>
      </c>
    </row>
    <row r="11" spans="1:17" s="2" customFormat="1" ht="12" customHeight="1">
      <c r="D11" s="22"/>
      <c r="E11" s="22"/>
      <c r="J11" s="8"/>
      <c r="K11" s="8"/>
      <c r="L11" s="8"/>
      <c r="M11" s="8"/>
      <c r="N11" s="5"/>
      <c r="O11" s="5"/>
      <c r="P11" s="88"/>
      <c r="Q11" s="95"/>
    </row>
    <row r="12" spans="1:17" s="2" customFormat="1" ht="12" customHeight="1">
      <c r="D12" s="22"/>
      <c r="E12" s="22"/>
      <c r="J12" s="5"/>
      <c r="K12" s="5"/>
      <c r="L12" s="5"/>
      <c r="M12" s="5"/>
      <c r="N12" s="5"/>
      <c r="O12" s="5"/>
      <c r="P12" s="88"/>
      <c r="Q12" s="95"/>
    </row>
    <row r="13" spans="1:17" s="2" customFormat="1" ht="12" customHeight="1">
      <c r="D13" s="22"/>
      <c r="E13" s="22"/>
      <c r="J13" s="5"/>
      <c r="K13" s="5"/>
      <c r="L13" s="5"/>
      <c r="M13" s="5"/>
      <c r="N13" s="5"/>
      <c r="O13" s="5"/>
      <c r="P13" s="88"/>
      <c r="Q13" s="95"/>
    </row>
    <row r="14" spans="1:17" s="2" customFormat="1" ht="12" customHeight="1">
      <c r="D14" s="22"/>
      <c r="E14" s="22"/>
      <c r="J14" s="5"/>
      <c r="K14" s="5"/>
      <c r="L14" s="5"/>
      <c r="M14" s="5"/>
      <c r="N14" s="5"/>
      <c r="O14" s="5"/>
      <c r="P14" s="88"/>
      <c r="Q14" s="95"/>
    </row>
    <row r="15" spans="1:17" s="2" customFormat="1" ht="12" customHeight="1">
      <c r="D15" s="22"/>
      <c r="E15" s="22"/>
      <c r="J15" s="5"/>
      <c r="K15" s="5"/>
      <c r="L15" s="5"/>
      <c r="M15" s="5"/>
      <c r="N15" s="5"/>
      <c r="O15" s="5"/>
      <c r="P15" s="88"/>
      <c r="Q15" s="95"/>
    </row>
    <row r="16" spans="1:17" s="2" customFormat="1" ht="12" customHeight="1">
      <c r="D16" s="22"/>
      <c r="E16" s="22"/>
      <c r="J16" s="5"/>
      <c r="K16" s="5"/>
      <c r="L16" s="5"/>
      <c r="M16" s="5"/>
      <c r="N16" s="5"/>
      <c r="O16" s="5"/>
      <c r="P16" s="88"/>
      <c r="Q16" s="95"/>
    </row>
    <row r="17" spans="4:17" s="2" customFormat="1" ht="12" customHeight="1">
      <c r="D17" s="22"/>
      <c r="E17" s="22"/>
      <c r="J17" s="5"/>
      <c r="K17" s="5"/>
      <c r="L17" s="5"/>
      <c r="M17" s="5"/>
      <c r="N17" s="5"/>
      <c r="O17" s="5"/>
      <c r="P17" s="88"/>
      <c r="Q17" s="95"/>
    </row>
    <row r="18" spans="4:17" s="2" customFormat="1" ht="12" customHeight="1">
      <c r="D18" s="22"/>
      <c r="E18" s="22"/>
      <c r="J18" s="5"/>
      <c r="K18" s="5"/>
      <c r="L18" s="5"/>
      <c r="M18" s="5"/>
      <c r="N18" s="5"/>
      <c r="O18" s="5"/>
      <c r="P18" s="88"/>
      <c r="Q18" s="95"/>
    </row>
    <row r="19" spans="4:17" s="2" customFormat="1" ht="12" customHeight="1">
      <c r="D19" s="22"/>
      <c r="E19" s="22"/>
      <c r="J19" s="5"/>
      <c r="K19" s="5"/>
      <c r="L19" s="5"/>
      <c r="M19" s="5"/>
      <c r="N19" s="5"/>
      <c r="O19" s="5"/>
      <c r="P19" s="88"/>
      <c r="Q19" s="95"/>
    </row>
    <row r="20" spans="4:17" s="2" customFormat="1" ht="12" customHeight="1">
      <c r="D20" s="22"/>
      <c r="E20" s="22"/>
      <c r="J20" s="5"/>
      <c r="K20" s="5"/>
      <c r="L20" s="5"/>
      <c r="M20" s="5"/>
      <c r="N20" s="5"/>
      <c r="O20" s="5"/>
      <c r="P20" s="88"/>
      <c r="Q20" s="95"/>
    </row>
    <row r="21" spans="4:17" s="2" customFormat="1" ht="12" customHeight="1">
      <c r="D21" s="22"/>
      <c r="E21" s="22"/>
      <c r="J21" s="5"/>
      <c r="K21" s="5"/>
      <c r="L21" s="5"/>
      <c r="M21" s="5"/>
      <c r="N21" s="5"/>
      <c r="O21" s="5"/>
      <c r="P21" s="88"/>
      <c r="Q21" s="95"/>
    </row>
    <row r="22" spans="4:17" s="2" customFormat="1" ht="12" customHeight="1">
      <c r="D22" s="22"/>
      <c r="E22" s="22"/>
      <c r="J22" s="5"/>
      <c r="K22" s="5"/>
      <c r="L22" s="5"/>
      <c r="M22" s="5"/>
      <c r="N22" s="5"/>
      <c r="O22" s="5"/>
      <c r="P22" s="88"/>
      <c r="Q22" s="95"/>
    </row>
    <row r="23" spans="4:17" s="2" customFormat="1" ht="12" customHeight="1">
      <c r="D23" s="22"/>
      <c r="E23" s="22"/>
      <c r="J23" s="5"/>
      <c r="K23" s="5"/>
      <c r="L23" s="5"/>
      <c r="M23" s="5"/>
      <c r="N23" s="5"/>
      <c r="O23" s="5"/>
      <c r="P23" s="88"/>
      <c r="Q23" s="95"/>
    </row>
    <row r="24" spans="4:17" s="2" customFormat="1" ht="12" customHeight="1">
      <c r="D24" s="22"/>
      <c r="E24" s="22"/>
      <c r="J24" s="5"/>
      <c r="K24" s="5"/>
      <c r="L24" s="5"/>
      <c r="M24" s="5"/>
      <c r="N24" s="5"/>
      <c r="O24" s="5"/>
      <c r="P24" s="88"/>
      <c r="Q24" s="95"/>
    </row>
    <row r="25" spans="4:17" s="2" customFormat="1" ht="12" customHeight="1">
      <c r="D25" s="22"/>
      <c r="E25" s="22"/>
      <c r="J25" s="5"/>
      <c r="K25" s="5"/>
      <c r="L25" s="5"/>
      <c r="M25" s="5"/>
      <c r="N25" s="5"/>
      <c r="O25" s="5"/>
      <c r="P25" s="88"/>
      <c r="Q25" s="95"/>
    </row>
    <row r="26" spans="4:17" s="2" customFormat="1" ht="12" customHeight="1">
      <c r="D26" s="22"/>
      <c r="E26" s="22"/>
      <c r="J26" s="5"/>
      <c r="K26" s="5"/>
      <c r="L26" s="5"/>
      <c r="M26" s="5"/>
      <c r="N26" s="5"/>
      <c r="O26" s="5"/>
      <c r="P26" s="88"/>
      <c r="Q26" s="95"/>
    </row>
    <row r="27" spans="4:17" s="2" customFormat="1" ht="12" customHeight="1">
      <c r="D27" s="22"/>
      <c r="E27" s="22"/>
      <c r="J27" s="5"/>
      <c r="K27" s="5"/>
      <c r="L27" s="5"/>
      <c r="M27" s="5"/>
      <c r="N27" s="5"/>
      <c r="O27" s="5"/>
      <c r="P27" s="88"/>
      <c r="Q27" s="95"/>
    </row>
    <row r="28" spans="4:17" s="2" customFormat="1" ht="12" customHeight="1">
      <c r="D28" s="22"/>
      <c r="E28" s="22"/>
      <c r="J28" s="5"/>
      <c r="K28" s="5"/>
      <c r="L28" s="5"/>
      <c r="M28" s="5"/>
      <c r="N28" s="5"/>
      <c r="O28" s="5"/>
      <c r="P28" s="88"/>
      <c r="Q28" s="95"/>
    </row>
    <row r="29" spans="4:17" s="2" customFormat="1" ht="12" customHeight="1">
      <c r="D29" s="22"/>
      <c r="E29" s="22"/>
      <c r="J29" s="5"/>
      <c r="K29" s="5"/>
      <c r="L29" s="5"/>
      <c r="M29" s="5"/>
      <c r="N29" s="5"/>
      <c r="O29" s="5"/>
      <c r="P29" s="88"/>
      <c r="Q29" s="95"/>
    </row>
    <row r="30" spans="4:17" s="2" customFormat="1" ht="12" customHeight="1">
      <c r="D30" s="22"/>
      <c r="E30" s="22"/>
      <c r="J30" s="5"/>
      <c r="K30" s="5"/>
      <c r="L30" s="5"/>
      <c r="M30" s="5"/>
      <c r="N30" s="5"/>
      <c r="O30" s="5"/>
      <c r="P30" s="88"/>
      <c r="Q30" s="95"/>
    </row>
    <row r="31" spans="4:17" s="2" customFormat="1" ht="12" customHeight="1">
      <c r="D31" s="22"/>
      <c r="E31" s="22"/>
      <c r="J31" s="5"/>
      <c r="K31" s="5"/>
      <c r="L31" s="5"/>
      <c r="M31" s="5"/>
      <c r="N31" s="5"/>
      <c r="O31" s="5"/>
      <c r="P31" s="88"/>
      <c r="Q31" s="95"/>
    </row>
    <row r="32" spans="4:17" s="2" customFormat="1" ht="12" customHeight="1">
      <c r="D32" s="22"/>
      <c r="E32" s="22"/>
      <c r="J32" s="5"/>
      <c r="K32" s="5"/>
      <c r="L32" s="5"/>
      <c r="M32" s="5"/>
      <c r="N32" s="5"/>
      <c r="O32" s="5"/>
      <c r="P32" s="88"/>
      <c r="Q32" s="95"/>
    </row>
    <row r="33" spans="4:17" s="2" customFormat="1" ht="12" customHeight="1">
      <c r="D33" s="22"/>
      <c r="E33" s="22"/>
      <c r="J33" s="5"/>
      <c r="K33" s="5"/>
      <c r="L33" s="5"/>
      <c r="M33" s="5"/>
      <c r="N33" s="5"/>
      <c r="O33" s="5"/>
      <c r="P33" s="88"/>
      <c r="Q33" s="95"/>
    </row>
    <row r="34" spans="4:17" s="2" customFormat="1" ht="12" customHeight="1">
      <c r="D34" s="22"/>
      <c r="E34" s="22"/>
      <c r="J34" s="5"/>
      <c r="K34" s="5"/>
      <c r="L34" s="5"/>
      <c r="M34" s="5"/>
      <c r="N34" s="5"/>
      <c r="O34" s="5"/>
      <c r="P34" s="88"/>
      <c r="Q34" s="95"/>
    </row>
    <row r="35" spans="4:17" s="2" customFormat="1" ht="12" customHeight="1">
      <c r="D35" s="22"/>
      <c r="E35" s="22"/>
      <c r="J35" s="5"/>
      <c r="K35" s="5"/>
      <c r="L35" s="5"/>
      <c r="M35" s="5"/>
      <c r="N35" s="5"/>
      <c r="O35" s="5"/>
      <c r="P35" s="88"/>
      <c r="Q35" s="95"/>
    </row>
    <row r="36" spans="4:17" s="2" customFormat="1" ht="12" customHeight="1">
      <c r="D36" s="22"/>
      <c r="E36" s="22"/>
      <c r="J36" s="5"/>
      <c r="K36" s="5"/>
      <c r="L36" s="5"/>
      <c r="M36" s="5"/>
      <c r="N36" s="5"/>
      <c r="O36" s="5"/>
      <c r="P36" s="88"/>
      <c r="Q36" s="95"/>
    </row>
    <row r="37" spans="4:17" s="2" customFormat="1" ht="12" customHeight="1">
      <c r="D37" s="22"/>
      <c r="E37" s="22"/>
      <c r="J37" s="5"/>
      <c r="K37" s="5"/>
      <c r="L37" s="5"/>
      <c r="M37" s="5"/>
      <c r="N37" s="5"/>
      <c r="O37" s="5"/>
      <c r="P37" s="88"/>
      <c r="Q37" s="95"/>
    </row>
    <row r="38" spans="4:17" s="2" customFormat="1" ht="12" customHeight="1">
      <c r="D38" s="22"/>
      <c r="E38" s="22"/>
      <c r="J38" s="5"/>
      <c r="K38" s="5"/>
      <c r="L38" s="5"/>
      <c r="M38" s="5"/>
      <c r="N38" s="5"/>
      <c r="O38" s="5"/>
      <c r="P38" s="88"/>
      <c r="Q38" s="95"/>
    </row>
    <row r="39" spans="4:17" s="2" customFormat="1" ht="12" customHeight="1">
      <c r="D39" s="22"/>
      <c r="E39" s="22"/>
      <c r="J39" s="5"/>
      <c r="K39" s="5"/>
      <c r="L39" s="5"/>
      <c r="M39" s="5"/>
      <c r="N39" s="5"/>
      <c r="O39" s="5"/>
      <c r="P39" s="88"/>
      <c r="Q39" s="95"/>
    </row>
    <row r="40" spans="4:17" s="2" customFormat="1" ht="12" customHeight="1">
      <c r="D40" s="22"/>
      <c r="E40" s="22"/>
      <c r="J40" s="5"/>
      <c r="K40" s="5"/>
      <c r="L40" s="5"/>
      <c r="M40" s="5"/>
      <c r="N40" s="5"/>
      <c r="O40" s="5"/>
      <c r="P40" s="88"/>
      <c r="Q40" s="95"/>
    </row>
    <row r="41" spans="4:17" s="2" customFormat="1" ht="12" customHeight="1">
      <c r="D41" s="22"/>
      <c r="E41" s="22"/>
      <c r="J41" s="5"/>
      <c r="K41" s="5"/>
      <c r="L41" s="5"/>
      <c r="M41" s="5"/>
      <c r="N41" s="5"/>
      <c r="O41" s="5"/>
      <c r="P41" s="88"/>
      <c r="Q41" s="95"/>
    </row>
    <row r="42" spans="4:17" s="2" customFormat="1" ht="12" customHeight="1">
      <c r="D42" s="22"/>
      <c r="E42" s="22"/>
      <c r="J42" s="5"/>
      <c r="K42" s="5"/>
      <c r="L42" s="5"/>
      <c r="M42" s="5"/>
      <c r="N42" s="5"/>
      <c r="O42" s="5"/>
      <c r="P42" s="88"/>
      <c r="Q42" s="95"/>
    </row>
    <row r="43" spans="4:17" s="2" customFormat="1" ht="12" customHeight="1">
      <c r="D43" s="22"/>
      <c r="E43" s="22"/>
      <c r="J43" s="5"/>
      <c r="K43" s="5"/>
      <c r="L43" s="5"/>
      <c r="M43" s="5"/>
      <c r="N43" s="5"/>
      <c r="O43" s="5"/>
      <c r="P43" s="88"/>
      <c r="Q43" s="95"/>
    </row>
    <row r="44" spans="4:17" s="2" customFormat="1" ht="12" customHeight="1">
      <c r="D44" s="22"/>
      <c r="E44" s="22"/>
      <c r="J44" s="5"/>
      <c r="K44" s="5"/>
      <c r="L44" s="5"/>
      <c r="M44" s="5"/>
      <c r="N44" s="5"/>
      <c r="O44" s="5"/>
      <c r="P44" s="88"/>
      <c r="Q44" s="95"/>
    </row>
    <row r="45" spans="4:17" s="2" customFormat="1" ht="12" customHeight="1">
      <c r="D45" s="22"/>
      <c r="E45" s="22"/>
      <c r="J45" s="5"/>
      <c r="K45" s="5"/>
      <c r="L45" s="5"/>
      <c r="M45" s="5"/>
      <c r="N45" s="5"/>
      <c r="O45" s="5"/>
      <c r="P45" s="88"/>
      <c r="Q45" s="95"/>
    </row>
    <row r="46" spans="4:17" s="2" customFormat="1" ht="12" customHeight="1">
      <c r="D46" s="22"/>
      <c r="E46" s="22"/>
      <c r="J46" s="5"/>
      <c r="K46" s="5"/>
      <c r="L46" s="5"/>
      <c r="M46" s="5"/>
      <c r="N46" s="5"/>
      <c r="O46" s="5"/>
      <c r="P46" s="88"/>
      <c r="Q46" s="95"/>
    </row>
    <row r="47" spans="4:17" s="2" customFormat="1" ht="12" customHeight="1">
      <c r="D47" s="22"/>
      <c r="E47" s="22"/>
      <c r="J47" s="5"/>
      <c r="K47" s="5"/>
      <c r="L47" s="5"/>
      <c r="M47" s="5"/>
      <c r="N47" s="5"/>
      <c r="O47" s="5"/>
      <c r="P47" s="88"/>
      <c r="Q47" s="95"/>
    </row>
    <row r="48" spans="4:17" s="2" customFormat="1" ht="12" customHeight="1">
      <c r="D48" s="22"/>
      <c r="E48" s="22"/>
      <c r="J48" s="5"/>
      <c r="K48" s="5"/>
      <c r="L48" s="5"/>
      <c r="M48" s="5"/>
      <c r="N48" s="5"/>
      <c r="O48" s="5"/>
      <c r="P48" s="88"/>
      <c r="Q48" s="95"/>
    </row>
    <row r="49" spans="1:17" s="2" customFormat="1" ht="12" customHeight="1">
      <c r="D49" s="22"/>
      <c r="E49" s="22"/>
      <c r="J49" s="5"/>
      <c r="K49" s="5"/>
      <c r="L49" s="5"/>
      <c r="M49" s="5"/>
      <c r="N49" s="5"/>
      <c r="O49" s="5"/>
      <c r="P49" s="88"/>
      <c r="Q49" s="96"/>
    </row>
    <row r="50" spans="1:17" s="2" customFormat="1" ht="12" customHeight="1">
      <c r="D50" s="22"/>
      <c r="E50" s="22"/>
      <c r="J50" s="5"/>
      <c r="K50" s="5"/>
      <c r="L50" s="5"/>
      <c r="M50" s="5"/>
      <c r="N50" s="5"/>
      <c r="O50" s="5"/>
      <c r="P50" s="88"/>
      <c r="Q50" s="96"/>
    </row>
    <row r="51" spans="1:17" s="2" customFormat="1" ht="12" customHeight="1">
      <c r="D51" s="22"/>
      <c r="E51" s="22"/>
      <c r="J51" s="5"/>
      <c r="K51" s="5"/>
      <c r="L51" s="5"/>
      <c r="M51" s="5"/>
      <c r="N51" s="5"/>
      <c r="O51" s="5"/>
      <c r="P51" s="88"/>
      <c r="Q51" s="96"/>
    </row>
    <row r="52" spans="1:17" s="2" customFormat="1" ht="12" customHeight="1">
      <c r="D52" s="22"/>
      <c r="E52" s="22"/>
      <c r="J52" s="5"/>
      <c r="K52" s="5"/>
      <c r="L52" s="5"/>
      <c r="M52" s="5"/>
      <c r="N52" s="5"/>
      <c r="O52" s="5"/>
      <c r="P52" s="88"/>
      <c r="Q52" s="96"/>
    </row>
    <row r="53" spans="1:17" s="2" customFormat="1" ht="12" customHeight="1">
      <c r="A53"/>
      <c r="B53"/>
      <c r="C53"/>
      <c r="D53" s="23"/>
      <c r="E53" s="23"/>
      <c r="F53"/>
      <c r="G53"/>
      <c r="H53"/>
      <c r="I53"/>
      <c r="J53" s="19"/>
      <c r="K53" s="19"/>
      <c r="L53" s="19"/>
      <c r="M53" s="19"/>
      <c r="N53" s="19"/>
      <c r="O53" s="19"/>
      <c r="P53" s="90"/>
      <c r="Q53" s="96"/>
    </row>
    <row r="54" spans="1:17" s="2" customFormat="1" ht="12" customHeight="1">
      <c r="A54"/>
      <c r="B54"/>
      <c r="C54"/>
      <c r="D54" s="23"/>
      <c r="E54" s="23"/>
      <c r="F54"/>
      <c r="G54"/>
      <c r="H54"/>
      <c r="I54"/>
      <c r="J54" s="19"/>
      <c r="K54" s="19"/>
      <c r="L54" s="19"/>
      <c r="M54" s="19"/>
      <c r="N54" s="19"/>
      <c r="O54" s="19"/>
      <c r="P54" s="90"/>
      <c r="Q54" s="96"/>
    </row>
    <row r="55" spans="1:17" s="2" customFormat="1" ht="12" customHeight="1">
      <c r="A55"/>
      <c r="B55"/>
      <c r="C55"/>
      <c r="D55" s="23"/>
      <c r="E55" s="23"/>
      <c r="F55"/>
      <c r="G55"/>
      <c r="H55"/>
      <c r="I55"/>
      <c r="J55" s="19"/>
      <c r="K55" s="19"/>
      <c r="L55" s="19"/>
      <c r="M55" s="19"/>
      <c r="N55" s="19"/>
      <c r="O55" s="19"/>
      <c r="P55" s="90"/>
      <c r="Q55" s="96"/>
    </row>
    <row r="56" spans="1:17" s="2" customFormat="1" ht="12" customHeight="1">
      <c r="A56"/>
      <c r="B56"/>
      <c r="C56"/>
      <c r="D56" s="23"/>
      <c r="E56" s="23"/>
      <c r="F56"/>
      <c r="G56"/>
      <c r="H56"/>
      <c r="I56"/>
      <c r="J56" s="19"/>
      <c r="K56" s="19"/>
      <c r="L56" s="19"/>
      <c r="M56" s="19"/>
      <c r="N56" s="19"/>
      <c r="O56" s="19"/>
      <c r="P56" s="90"/>
      <c r="Q56" s="96"/>
    </row>
    <row r="57" spans="1:17" s="2" customFormat="1" ht="12" customHeight="1">
      <c r="A57"/>
      <c r="B57"/>
      <c r="C57"/>
      <c r="D57" s="23"/>
      <c r="E57" s="23"/>
      <c r="F57"/>
      <c r="G57"/>
      <c r="H57"/>
      <c r="I57"/>
      <c r="J57" s="19"/>
      <c r="K57" s="19"/>
      <c r="L57" s="19"/>
      <c r="M57" s="19"/>
      <c r="N57" s="19"/>
      <c r="O57" s="19"/>
      <c r="P57" s="90"/>
      <c r="Q57" s="96"/>
    </row>
    <row r="58" spans="1:17">
      <c r="Q58" s="96"/>
    </row>
    <row r="59" spans="1:17">
      <c r="Q59" s="96"/>
    </row>
    <row r="60" spans="1:17">
      <c r="Q60" s="96"/>
    </row>
    <row r="61" spans="1:17">
      <c r="Q61" s="96"/>
    </row>
    <row r="62" spans="1:17">
      <c r="Q62" s="96"/>
    </row>
    <row r="63" spans="1:17">
      <c r="Q63" s="96"/>
    </row>
    <row r="64" spans="1:17">
      <c r="Q64" s="96"/>
    </row>
    <row r="65" spans="17:17">
      <c r="Q65" s="96"/>
    </row>
    <row r="66" spans="17:17">
      <c r="Q66" s="96"/>
    </row>
    <row r="67" spans="17:17">
      <c r="Q67" s="96"/>
    </row>
    <row r="68" spans="17:17">
      <c r="Q68" s="96"/>
    </row>
    <row r="69" spans="17:17">
      <c r="Q69" s="96"/>
    </row>
    <row r="70" spans="17:17">
      <c r="Q70" s="96"/>
    </row>
    <row r="71" spans="17:17">
      <c r="Q71" s="96"/>
    </row>
    <row r="72" spans="17:17">
      <c r="Q72" s="96"/>
    </row>
    <row r="73" spans="17:17">
      <c r="Q73" s="96"/>
    </row>
    <row r="74" spans="17:17">
      <c r="Q74" s="96"/>
    </row>
    <row r="75" spans="17:17">
      <c r="Q75" s="96"/>
    </row>
    <row r="76" spans="17:17">
      <c r="Q76" s="96"/>
    </row>
    <row r="77" spans="17:17">
      <c r="Q77" s="96"/>
    </row>
    <row r="114" ht="12" customHeight="1"/>
    <row r="115" ht="12" customHeight="1"/>
    <row r="116" ht="12" customHeight="1"/>
    <row r="117" ht="12" customHeight="1"/>
    <row r="118" ht="12" customHeight="1"/>
    <row r="119" ht="12" customHeight="1"/>
    <row r="120" ht="12" customHeight="1"/>
    <row r="121" ht="12" customHeight="1"/>
    <row r="122" ht="12" customHeight="1"/>
    <row r="123" ht="12" customHeight="1"/>
    <row r="124" ht="12" customHeight="1"/>
    <row r="125" ht="12" customHeight="1"/>
    <row r="126" ht="12" customHeight="1"/>
    <row r="127" ht="12" customHeight="1"/>
    <row r="128" ht="12" customHeight="1"/>
    <row r="129" ht="12" customHeight="1"/>
    <row r="130" ht="12" customHeight="1"/>
    <row r="131" ht="12" customHeight="1"/>
    <row r="132" ht="12" customHeight="1"/>
    <row r="133" ht="12" customHeight="1"/>
    <row r="134" ht="12" customHeight="1"/>
    <row r="135" ht="12" customHeight="1"/>
    <row r="136" ht="12" customHeight="1"/>
    <row r="137" ht="12" customHeight="1"/>
    <row r="138" ht="12" customHeight="1"/>
    <row r="139" ht="12" customHeight="1"/>
    <row r="140" ht="12" customHeight="1"/>
    <row r="141" ht="12" customHeight="1"/>
    <row r="142" ht="12" customHeight="1"/>
    <row r="143" ht="12" customHeight="1"/>
    <row r="144" ht="12" customHeight="1"/>
    <row r="145" ht="12" customHeight="1"/>
    <row r="146" ht="12" customHeight="1"/>
    <row r="147" ht="12" customHeight="1"/>
    <row r="148" ht="12" customHeight="1"/>
    <row r="149" ht="12" customHeight="1"/>
    <row r="150" ht="12" customHeight="1"/>
    <row r="151" ht="12" customHeight="1"/>
    <row r="152" ht="12" customHeight="1"/>
    <row r="153" ht="12" customHeight="1"/>
    <row r="154" ht="12" customHeight="1"/>
    <row r="155" ht="12" customHeight="1"/>
    <row r="156" ht="12" customHeight="1"/>
    <row r="157" ht="12" customHeight="1"/>
    <row r="158" ht="12" customHeight="1"/>
    <row r="159" ht="12" customHeight="1"/>
    <row r="160" ht="12" customHeight="1"/>
    <row r="161" ht="12" customHeight="1"/>
    <row r="162" ht="12" customHeight="1"/>
    <row r="163" ht="12" customHeight="1"/>
  </sheetData>
  <mergeCells count="15">
    <mergeCell ref="D10:E10"/>
    <mergeCell ref="H10:I10"/>
    <mergeCell ref="D6:E6"/>
    <mergeCell ref="H6:I6"/>
    <mergeCell ref="D7:E7"/>
    <mergeCell ref="H7:I7"/>
    <mergeCell ref="D9:E9"/>
    <mergeCell ref="H9:I9"/>
    <mergeCell ref="D8:E8"/>
    <mergeCell ref="H8:I8"/>
    <mergeCell ref="D1:E1"/>
    <mergeCell ref="D4:E4"/>
    <mergeCell ref="H4:I4"/>
    <mergeCell ref="D5:E5"/>
    <mergeCell ref="H5:I5"/>
  </mergeCells>
  <pageMargins left="0.7" right="0.7" top="0.75" bottom="0.75" header="0.3" footer="0.3"/>
  <pageSetup paperSize="3" fitToHeight="0" orientation="landscape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AC5BF6C-3A7A-48B7-8543-111DB59177E9}">
          <x14:formula1>
            <xm:f>Assemblies!$E:$E</xm:f>
          </x14:formula1>
          <xm:sqref>C5:C9</xm:sqref>
        </x14:dataValidation>
      </x14:dataValidations>
    </ext>
  </extLst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D4D70D-C62E-43BD-B028-900BC06EB797}">
  <sheetPr codeName="Sheet106">
    <tabColor theme="3" tint="0.59999389629810485"/>
    <pageSetUpPr fitToPage="1"/>
  </sheetPr>
  <dimension ref="A1:Q167"/>
  <sheetViews>
    <sheetView zoomScaleNormal="100" workbookViewId="0">
      <selection activeCell="N27" sqref="N27"/>
    </sheetView>
  </sheetViews>
  <sheetFormatPr defaultColWidth="9.140625" defaultRowHeight="15"/>
  <cols>
    <col min="1" max="1" width="5.7109375" customWidth="1"/>
    <col min="2" max="2" width="5.42578125" bestFit="1" customWidth="1"/>
    <col min="3" max="3" width="30.7109375" customWidth="1"/>
    <col min="4" max="5" width="20.7109375" style="23" customWidth="1"/>
    <col min="6" max="6" width="16.85546875" bestFit="1" customWidth="1"/>
    <col min="7" max="7" width="9.7109375" customWidth="1"/>
    <col min="8" max="8" width="8.7109375" customWidth="1"/>
    <col min="9" max="9" width="20.7109375" customWidth="1"/>
    <col min="10" max="13" width="11.7109375" style="19" customWidth="1"/>
    <col min="14" max="14" width="11.85546875" style="19" bestFit="1" customWidth="1"/>
    <col min="15" max="15" width="7.7109375" style="19" customWidth="1"/>
    <col min="16" max="16" width="10.7109375" style="90" customWidth="1"/>
    <col min="17" max="17" width="10.7109375" style="97" customWidth="1"/>
  </cols>
  <sheetData>
    <row r="1" spans="1:17" s="55" customFormat="1" ht="12" customHeight="1">
      <c r="A1" s="68" t="s">
        <v>0</v>
      </c>
      <c r="B1" s="69"/>
      <c r="C1" s="69"/>
      <c r="D1" s="262" t="s">
        <v>1</v>
      </c>
      <c r="E1" s="263"/>
      <c r="F1" s="70"/>
      <c r="G1" s="69"/>
      <c r="H1" s="70"/>
      <c r="I1" s="71"/>
      <c r="J1" s="72"/>
      <c r="K1" s="72"/>
      <c r="L1" s="72"/>
      <c r="M1" s="72"/>
      <c r="N1" s="72"/>
      <c r="O1" s="72"/>
      <c r="P1" s="85"/>
      <c r="Q1" s="91"/>
    </row>
    <row r="2" spans="1:17" s="55" customFormat="1" ht="12" customHeight="1">
      <c r="A2" s="74" t="s">
        <v>48</v>
      </c>
      <c r="B2" s="58"/>
      <c r="C2" s="57" t="e">
        <f ca="1">VLOOKUP(E3,Assemblies!B:F,4,0)</f>
        <v>#VALUE!</v>
      </c>
      <c r="D2" s="75" t="s">
        <v>3</v>
      </c>
      <c r="E2" s="76" t="e">
        <f ca="1">'GF12'!E2</f>
        <v>#VALUE!</v>
      </c>
      <c r="F2" s="77" t="s">
        <v>4</v>
      </c>
      <c r="G2" s="58" t="str">
        <f>'GF12'!G2</f>
        <v>GH</v>
      </c>
      <c r="H2" s="77" t="s">
        <v>6</v>
      </c>
      <c r="I2" s="59">
        <f>'GF12'!I2</f>
        <v>44775</v>
      </c>
      <c r="J2" s="39"/>
      <c r="K2" s="40" t="s">
        <v>49</v>
      </c>
      <c r="L2" s="41" t="e">
        <f ca="1">VLOOKUP(C2,Assemblies!E:G,3,0)</f>
        <v>#VALUE!</v>
      </c>
      <c r="M2" s="78"/>
      <c r="N2" s="78"/>
      <c r="O2" s="78"/>
      <c r="P2" s="86"/>
      <c r="Q2" s="92"/>
    </row>
    <row r="3" spans="1:17" s="55" customFormat="1" ht="12" customHeight="1" thickBot="1">
      <c r="A3" s="74" t="s">
        <v>7</v>
      </c>
      <c r="B3" s="58"/>
      <c r="C3" s="57" t="e">
        <f ca="1">VLOOKUP(E3,Assemblies!B:F,5,0)</f>
        <v>#VALUE!</v>
      </c>
      <c r="D3" s="75" t="s">
        <v>50</v>
      </c>
      <c r="E3" s="76" t="e">
        <f ca="1">MID(CELL("filename",A1),FIND("]",CELL("filename",A1))+1,256)</f>
        <v>#VALUE!</v>
      </c>
      <c r="F3" s="77" t="s">
        <v>11</v>
      </c>
      <c r="G3" s="58" t="str">
        <f>'GF12'!G3</f>
        <v>GH</v>
      </c>
      <c r="H3" s="77" t="s">
        <v>6</v>
      </c>
      <c r="I3" s="59">
        <f>'GF12'!I3</f>
        <v>44775</v>
      </c>
      <c r="J3" s="78"/>
      <c r="K3" s="78"/>
      <c r="L3" s="78"/>
      <c r="M3" s="78"/>
      <c r="N3" s="78"/>
      <c r="O3" s="78"/>
      <c r="P3" s="86"/>
      <c r="Q3" s="92"/>
    </row>
    <row r="4" spans="1:17" s="56" customFormat="1" ht="12.75" customHeight="1" thickBot="1">
      <c r="A4" s="80" t="s">
        <v>12</v>
      </c>
      <c r="B4" s="81" t="s">
        <v>13</v>
      </c>
      <c r="C4" s="81" t="s">
        <v>14</v>
      </c>
      <c r="D4" s="270" t="s">
        <v>15</v>
      </c>
      <c r="E4" s="271"/>
      <c r="F4" s="104" t="s">
        <v>16</v>
      </c>
      <c r="G4" s="81" t="s">
        <v>17</v>
      </c>
      <c r="H4" s="260" t="s">
        <v>18</v>
      </c>
      <c r="I4" s="261"/>
      <c r="J4" s="81" t="s">
        <v>51</v>
      </c>
      <c r="K4" s="81" t="s">
        <v>20</v>
      </c>
      <c r="L4" s="81" t="s">
        <v>21</v>
      </c>
      <c r="M4" s="81" t="s">
        <v>52</v>
      </c>
      <c r="N4" s="81" t="s">
        <v>22</v>
      </c>
      <c r="O4" s="81" t="s">
        <v>53</v>
      </c>
      <c r="P4" s="107" t="s">
        <v>26</v>
      </c>
      <c r="Q4" s="82" t="s">
        <v>27</v>
      </c>
    </row>
    <row r="5" spans="1:17" s="21" customFormat="1" ht="12.75" customHeight="1">
      <c r="A5" s="66" t="s">
        <v>54</v>
      </c>
      <c r="B5" s="1">
        <v>1</v>
      </c>
      <c r="C5" s="67" t="s">
        <v>1143</v>
      </c>
      <c r="D5" s="277" t="e">
        <f ca="1">VLOOKUP(C5,Assemblies!E:S,2,0)</f>
        <v>#N/A</v>
      </c>
      <c r="E5" s="278"/>
      <c r="F5" s="32"/>
      <c r="G5" s="32"/>
      <c r="H5" s="292"/>
      <c r="I5" s="293"/>
      <c r="J5" s="28"/>
      <c r="K5" s="28"/>
      <c r="L5" s="28"/>
      <c r="M5" s="28"/>
      <c r="N5" s="33"/>
      <c r="O5" s="46" t="e">
        <f t="shared" ref="O5:O10" ca="1" si="0">B5*$L$2</f>
        <v>#VALUE!</v>
      </c>
      <c r="P5" s="87">
        <f>'511'!Q20</f>
        <v>1170.5523687333334</v>
      </c>
      <c r="Q5" s="93">
        <f t="shared" ref="Q5:Q10" si="1">B5*P5</f>
        <v>1170.5523687333334</v>
      </c>
    </row>
    <row r="6" spans="1:17" s="21" customFormat="1" ht="12.75" customHeight="1">
      <c r="A6" s="66" t="s">
        <v>56</v>
      </c>
      <c r="B6" s="1">
        <v>1</v>
      </c>
      <c r="C6" s="67" t="s">
        <v>1144</v>
      </c>
      <c r="D6" s="277" t="e">
        <f ca="1">VLOOKUP(C6,Assemblies!E:S,2,0)</f>
        <v>#N/A</v>
      </c>
      <c r="E6" s="278"/>
      <c r="F6" s="32"/>
      <c r="G6" s="32"/>
      <c r="H6" s="292"/>
      <c r="I6" s="293"/>
      <c r="J6" s="28"/>
      <c r="K6" s="28"/>
      <c r="L6" s="28"/>
      <c r="M6" s="28"/>
      <c r="N6" s="33"/>
      <c r="O6" s="46" t="e">
        <f t="shared" ca="1" si="0"/>
        <v>#VALUE!</v>
      </c>
      <c r="P6" s="87">
        <f>'512'!Q26</f>
        <v>5996.3152000000009</v>
      </c>
      <c r="Q6" s="93">
        <f t="shared" si="1"/>
        <v>5996.3152000000009</v>
      </c>
    </row>
    <row r="7" spans="1:17" s="21" customFormat="1" ht="12.75" customHeight="1">
      <c r="A7" s="66" t="s">
        <v>58</v>
      </c>
      <c r="B7" s="1">
        <v>1</v>
      </c>
      <c r="C7" s="67" t="s">
        <v>1145</v>
      </c>
      <c r="D7" s="277" t="e">
        <f ca="1">VLOOKUP(C7,Assemblies!E:S,2,0)</f>
        <v>#N/A</v>
      </c>
      <c r="E7" s="278"/>
      <c r="F7" s="32"/>
      <c r="G7" s="32"/>
      <c r="H7" s="292"/>
      <c r="I7" s="293"/>
      <c r="J7" s="28"/>
      <c r="K7" s="28"/>
      <c r="L7" s="28"/>
      <c r="M7" s="28"/>
      <c r="N7" s="33"/>
      <c r="O7" s="46" t="e">
        <f t="shared" ca="1" si="0"/>
        <v>#VALUE!</v>
      </c>
      <c r="P7" s="87">
        <f>'513'!Q26</f>
        <v>2947.4599999999996</v>
      </c>
      <c r="Q7" s="93">
        <f t="shared" si="1"/>
        <v>2947.4599999999996</v>
      </c>
    </row>
    <row r="8" spans="1:17" s="21" customFormat="1" ht="12.75" customHeight="1">
      <c r="A8" s="66" t="s">
        <v>60</v>
      </c>
      <c r="B8" s="1">
        <v>2</v>
      </c>
      <c r="C8" s="67" t="s">
        <v>1041</v>
      </c>
      <c r="D8" s="277" t="e">
        <f ca="1">VLOOKUP(C8,Assemblies!E:S,2,0)</f>
        <v>#N/A</v>
      </c>
      <c r="E8" s="278"/>
      <c r="F8" s="32"/>
      <c r="G8" s="32"/>
      <c r="H8" s="292"/>
      <c r="I8" s="293"/>
      <c r="J8" s="28"/>
      <c r="K8" s="28"/>
      <c r="L8" s="28"/>
      <c r="M8" s="28"/>
      <c r="N8" s="33"/>
      <c r="O8" s="46" t="e">
        <f t="shared" ca="1" si="0"/>
        <v>#VALUE!</v>
      </c>
      <c r="P8" s="87">
        <f>'414'!Q19</f>
        <v>175.48000000000002</v>
      </c>
      <c r="Q8" s="93">
        <f t="shared" si="1"/>
        <v>350.96000000000004</v>
      </c>
    </row>
    <row r="9" spans="1:17" s="21" customFormat="1" ht="12.75" customHeight="1">
      <c r="A9" s="66" t="s">
        <v>62</v>
      </c>
      <c r="B9" s="1">
        <v>1</v>
      </c>
      <c r="C9" s="67" t="s">
        <v>1146</v>
      </c>
      <c r="D9" s="277" t="e">
        <f ca="1">VLOOKUP(C9,Assemblies!E:S,2,0)</f>
        <v>#N/A</v>
      </c>
      <c r="E9" s="278"/>
      <c r="F9" s="32"/>
      <c r="G9" s="32"/>
      <c r="H9" s="292"/>
      <c r="I9" s="293"/>
      <c r="J9" s="28"/>
      <c r="K9" s="28"/>
      <c r="L9" s="28"/>
      <c r="M9" s="28"/>
      <c r="N9" s="33"/>
      <c r="O9" s="46" t="e">
        <f t="shared" ca="1" si="0"/>
        <v>#VALUE!</v>
      </c>
      <c r="P9" s="87">
        <f>'514'!Q17</f>
        <v>147.61160000000001</v>
      </c>
      <c r="Q9" s="93">
        <f t="shared" si="1"/>
        <v>147.61160000000001</v>
      </c>
    </row>
    <row r="10" spans="1:17" s="21" customFormat="1" ht="12.75" customHeight="1">
      <c r="A10" s="66" t="s">
        <v>64</v>
      </c>
      <c r="B10" s="1">
        <v>1</v>
      </c>
      <c r="C10" s="67" t="s">
        <v>1147</v>
      </c>
      <c r="D10" s="277" t="e">
        <f ca="1">VLOOKUP(C10,Assemblies!E:S,2,0)</f>
        <v>#N/A</v>
      </c>
      <c r="E10" s="278"/>
      <c r="F10" s="32"/>
      <c r="G10" s="32"/>
      <c r="H10" s="292"/>
      <c r="I10" s="293"/>
      <c r="J10" s="28"/>
      <c r="K10" s="28"/>
      <c r="L10" s="28"/>
      <c r="M10" s="28"/>
      <c r="N10" s="33"/>
      <c r="O10" s="46" t="e">
        <f t="shared" ca="1" si="0"/>
        <v>#VALUE!</v>
      </c>
      <c r="P10" s="87">
        <f>'515'!Q17</f>
        <v>123.8516</v>
      </c>
      <c r="Q10" s="93">
        <f t="shared" si="1"/>
        <v>123.8516</v>
      </c>
    </row>
    <row r="11" spans="1:17" s="21" customFormat="1" ht="12.75" customHeight="1">
      <c r="A11" s="66" t="s">
        <v>66</v>
      </c>
      <c r="B11" s="1">
        <v>1</v>
      </c>
      <c r="C11" s="67" t="s">
        <v>1148</v>
      </c>
      <c r="D11" s="277" t="e">
        <f ca="1">VLOOKUP(C11,Assemblies!E:S,2,0)</f>
        <v>#N/A</v>
      </c>
      <c r="E11" s="278"/>
      <c r="F11" s="32"/>
      <c r="G11" s="32"/>
      <c r="H11" s="292"/>
      <c r="I11" s="293"/>
      <c r="J11" s="28"/>
      <c r="K11" s="28"/>
      <c r="L11" s="28"/>
      <c r="M11" s="28"/>
      <c r="N11" s="33"/>
      <c r="O11" s="46" t="e">
        <f t="shared" ref="O11" ca="1" si="2">B11*$L$2</f>
        <v>#VALUE!</v>
      </c>
      <c r="P11" s="87">
        <f>'516'!Q15</f>
        <v>31.96</v>
      </c>
      <c r="Q11" s="93">
        <f t="shared" ref="Q11" si="3">B11*P11</f>
        <v>31.96</v>
      </c>
    </row>
    <row r="12" spans="1:17" s="21" customFormat="1" ht="12.75" customHeight="1">
      <c r="A12" s="25"/>
      <c r="B12" s="26"/>
      <c r="C12" s="26"/>
      <c r="D12" s="272"/>
      <c r="E12" s="273"/>
      <c r="F12" s="26"/>
      <c r="G12" s="26"/>
      <c r="H12" s="274"/>
      <c r="I12" s="275"/>
      <c r="J12" s="27"/>
      <c r="K12" s="27"/>
      <c r="L12" s="27"/>
      <c r="M12" s="28"/>
      <c r="N12" s="29"/>
      <c r="O12" s="29" t="e">
        <f ca="1">B12*$L$2</f>
        <v>#VALUE!</v>
      </c>
      <c r="P12" s="141"/>
      <c r="Q12" s="142"/>
    </row>
    <row r="13" spans="1:17" s="21" customFormat="1" ht="12.75" customHeight="1" thickBot="1">
      <c r="A13" s="4">
        <v>501</v>
      </c>
      <c r="B13" s="2">
        <v>16</v>
      </c>
      <c r="C13" s="110" t="s">
        <v>801</v>
      </c>
      <c r="D13" s="268"/>
      <c r="E13" s="276"/>
      <c r="F13" s="112" t="str">
        <f>VLOOKUP(C13,Bolts!A:L,5,0)</f>
        <v xml:space="preserve">  </v>
      </c>
      <c r="G13" s="112" t="str">
        <f>VLOOKUP(C13,Bolts!A:L,6,0)</f>
        <v>Monroe Fasteners</v>
      </c>
      <c r="H13" s="112" t="str">
        <f>VLOOKUP(C13,Bolts!A:L,7,0)</f>
        <v xml:space="preserve">  </v>
      </c>
      <c r="I13" s="112"/>
      <c r="J13" s="44" t="str">
        <f>VLOOKUP(C13,Bolts!A:L,8,0)</f>
        <v xml:space="preserve"> </v>
      </c>
      <c r="K13" s="44" t="str">
        <f>VLOOKUP(C13,Bolts!A:L,9,0)</f>
        <v xml:space="preserve"> </v>
      </c>
      <c r="L13" s="44" t="str">
        <f>VLOOKUP(C13,Bolts!A:L,10,0)</f>
        <v xml:space="preserve"> </v>
      </c>
      <c r="M13" s="44" t="str">
        <f>VLOOKUP(C13,Bolts!A:L,11,0)</f>
        <v xml:space="preserve"> </v>
      </c>
      <c r="N13" s="45" t="str">
        <f>VLOOKUP(C13,Bolts!A:L,12,0)</f>
        <v xml:space="preserve"> </v>
      </c>
      <c r="O13" s="45" t="e">
        <f ca="1">B13*$L$2</f>
        <v>#VALUE!</v>
      </c>
      <c r="P13" s="49" t="str">
        <f>IFERROR(VLOOKUP(C13,Bolts!A:B,2,FALSE),"")</f>
        <v xml:space="preserve"> </v>
      </c>
      <c r="Q13" s="50" t="str">
        <f>IFERROR(B13*P13,"")</f>
        <v/>
      </c>
    </row>
    <row r="14" spans="1:17" s="2" customFormat="1" ht="12.75" customHeight="1" thickBot="1">
      <c r="A14" s="34"/>
      <c r="B14" s="35"/>
      <c r="C14" s="35"/>
      <c r="D14" s="256"/>
      <c r="E14" s="257"/>
      <c r="F14" s="35"/>
      <c r="G14" s="35"/>
      <c r="H14" s="294"/>
      <c r="I14" s="295"/>
      <c r="J14" s="36"/>
      <c r="K14" s="36"/>
      <c r="L14" s="36"/>
      <c r="M14" s="37"/>
      <c r="N14" s="38"/>
      <c r="O14" s="38"/>
      <c r="P14" s="89" t="s">
        <v>43</v>
      </c>
      <c r="Q14" s="94">
        <f>SUM(Q5:Q13)</f>
        <v>10768.710768733332</v>
      </c>
    </row>
    <row r="15" spans="1:17" s="2" customFormat="1" ht="12" customHeight="1">
      <c r="D15" s="22"/>
      <c r="E15" s="22"/>
      <c r="J15" s="8"/>
      <c r="K15" s="8"/>
      <c r="L15" s="8"/>
      <c r="M15" s="8"/>
      <c r="N15" s="5"/>
      <c r="O15" s="5"/>
      <c r="P15" s="88"/>
      <c r="Q15" s="95"/>
    </row>
    <row r="16" spans="1:17" s="2" customFormat="1" ht="12" customHeight="1">
      <c r="D16" s="22"/>
      <c r="E16" s="22"/>
      <c r="J16" s="5"/>
      <c r="K16" s="5"/>
      <c r="L16" s="5"/>
      <c r="M16" s="5"/>
      <c r="N16" s="5"/>
      <c r="O16" s="5"/>
      <c r="P16" s="88"/>
      <c r="Q16" s="95"/>
    </row>
    <row r="17" spans="4:17" s="2" customFormat="1" ht="12" customHeight="1">
      <c r="D17" s="22"/>
      <c r="E17" s="22"/>
      <c r="J17" s="5"/>
      <c r="K17" s="5"/>
      <c r="L17" s="5"/>
      <c r="M17" s="5"/>
      <c r="N17" s="5"/>
      <c r="O17" s="5"/>
      <c r="P17" s="88"/>
      <c r="Q17" s="95"/>
    </row>
    <row r="18" spans="4:17" s="2" customFormat="1" ht="12" customHeight="1">
      <c r="D18" s="22"/>
      <c r="E18" s="22"/>
      <c r="J18" s="5"/>
      <c r="K18" s="5"/>
      <c r="L18" s="5"/>
      <c r="M18" s="5"/>
      <c r="N18" s="5"/>
      <c r="O18" s="5"/>
      <c r="P18" s="88"/>
      <c r="Q18" s="95"/>
    </row>
    <row r="19" spans="4:17" s="2" customFormat="1" ht="12" customHeight="1">
      <c r="D19" s="22"/>
      <c r="E19" s="22"/>
      <c r="J19" s="5"/>
      <c r="K19" s="5"/>
      <c r="L19" s="5"/>
      <c r="M19" s="5"/>
      <c r="N19" s="5"/>
      <c r="O19" s="5"/>
      <c r="P19" s="88"/>
      <c r="Q19" s="95"/>
    </row>
    <row r="20" spans="4:17" s="2" customFormat="1" ht="12" customHeight="1">
      <c r="D20" s="22"/>
      <c r="E20" s="22"/>
      <c r="J20" s="5"/>
      <c r="K20" s="5"/>
      <c r="L20" s="5"/>
      <c r="M20" s="5"/>
      <c r="N20" s="5"/>
      <c r="O20" s="5"/>
      <c r="P20" s="88"/>
      <c r="Q20" s="95"/>
    </row>
    <row r="21" spans="4:17" s="2" customFormat="1" ht="12" customHeight="1">
      <c r="D21" s="22"/>
      <c r="E21" s="22"/>
      <c r="J21" s="5"/>
      <c r="K21" s="5"/>
      <c r="L21" s="5"/>
      <c r="M21" s="5"/>
      <c r="N21" s="5"/>
      <c r="O21" s="5"/>
      <c r="P21" s="88"/>
      <c r="Q21" s="95"/>
    </row>
    <row r="22" spans="4:17" s="2" customFormat="1" ht="12" customHeight="1">
      <c r="D22" s="22"/>
      <c r="E22" s="22"/>
      <c r="J22" s="5"/>
      <c r="K22" s="5"/>
      <c r="L22" s="5"/>
      <c r="M22" s="5"/>
      <c r="N22" s="5"/>
      <c r="O22" s="5"/>
      <c r="P22" s="88"/>
      <c r="Q22" s="95"/>
    </row>
    <row r="23" spans="4:17" s="2" customFormat="1" ht="12" customHeight="1">
      <c r="D23" s="22"/>
      <c r="E23" s="22"/>
      <c r="J23" s="5"/>
      <c r="K23" s="5"/>
      <c r="L23" s="5"/>
      <c r="M23" s="5"/>
      <c r="N23" s="5"/>
      <c r="O23" s="5"/>
      <c r="P23" s="88"/>
      <c r="Q23" s="95"/>
    </row>
    <row r="24" spans="4:17" s="2" customFormat="1" ht="12" customHeight="1">
      <c r="D24" s="22"/>
      <c r="E24" s="22"/>
      <c r="J24" s="5"/>
      <c r="K24" s="5"/>
      <c r="L24" s="5"/>
      <c r="M24" s="5"/>
      <c r="N24" s="5"/>
      <c r="O24" s="5"/>
      <c r="P24" s="88"/>
      <c r="Q24" s="95"/>
    </row>
    <row r="25" spans="4:17" s="2" customFormat="1" ht="12" customHeight="1">
      <c r="D25" s="22"/>
      <c r="E25" s="22"/>
      <c r="J25" s="5"/>
      <c r="K25" s="5"/>
      <c r="L25" s="5"/>
      <c r="M25" s="5"/>
      <c r="N25" s="5"/>
      <c r="O25" s="5"/>
      <c r="P25" s="88"/>
      <c r="Q25" s="95"/>
    </row>
    <row r="26" spans="4:17" s="2" customFormat="1" ht="12" customHeight="1">
      <c r="D26" s="22"/>
      <c r="E26" s="22"/>
      <c r="J26" s="5"/>
      <c r="K26" s="5"/>
      <c r="L26" s="5"/>
      <c r="M26" s="5"/>
      <c r="N26" s="5"/>
      <c r="O26" s="5"/>
      <c r="P26" s="88"/>
      <c r="Q26" s="95"/>
    </row>
    <row r="27" spans="4:17" s="2" customFormat="1" ht="12" customHeight="1">
      <c r="D27" s="22"/>
      <c r="E27" s="22"/>
      <c r="J27" s="5"/>
      <c r="K27" s="5"/>
      <c r="L27" s="5"/>
      <c r="M27" s="5"/>
      <c r="N27" s="5"/>
      <c r="O27" s="5"/>
      <c r="P27" s="88"/>
      <c r="Q27" s="95"/>
    </row>
    <row r="28" spans="4:17" s="2" customFormat="1" ht="12" customHeight="1">
      <c r="D28" s="22"/>
      <c r="E28" s="22"/>
      <c r="J28" s="5"/>
      <c r="K28" s="5"/>
      <c r="L28" s="5"/>
      <c r="M28" s="5"/>
      <c r="N28" s="5"/>
      <c r="O28" s="5"/>
      <c r="P28" s="88"/>
      <c r="Q28" s="95"/>
    </row>
    <row r="29" spans="4:17" s="2" customFormat="1" ht="12" customHeight="1">
      <c r="D29" s="22"/>
      <c r="E29" s="22"/>
      <c r="J29" s="5"/>
      <c r="K29" s="5"/>
      <c r="L29" s="5"/>
      <c r="M29" s="5"/>
      <c r="N29" s="5"/>
      <c r="O29" s="5"/>
      <c r="P29" s="88"/>
      <c r="Q29" s="95"/>
    </row>
    <row r="30" spans="4:17" s="2" customFormat="1" ht="12" customHeight="1">
      <c r="D30" s="22"/>
      <c r="E30" s="22"/>
      <c r="J30" s="5"/>
      <c r="K30" s="5"/>
      <c r="L30" s="5"/>
      <c r="M30" s="5"/>
      <c r="N30" s="5"/>
      <c r="O30" s="5"/>
      <c r="P30" s="88"/>
      <c r="Q30" s="95"/>
    </row>
    <row r="31" spans="4:17" s="2" customFormat="1" ht="12" customHeight="1">
      <c r="D31" s="22"/>
      <c r="E31" s="22"/>
      <c r="J31" s="5"/>
      <c r="K31" s="5"/>
      <c r="L31" s="5"/>
      <c r="M31" s="5"/>
      <c r="N31" s="5"/>
      <c r="O31" s="5"/>
      <c r="P31" s="88"/>
      <c r="Q31" s="95"/>
    </row>
    <row r="32" spans="4:17" s="2" customFormat="1" ht="12" customHeight="1">
      <c r="D32" s="22"/>
      <c r="E32" s="22"/>
      <c r="J32" s="5"/>
      <c r="K32" s="5"/>
      <c r="L32" s="5"/>
      <c r="M32" s="5"/>
      <c r="N32" s="5"/>
      <c r="O32" s="5"/>
      <c r="P32" s="88"/>
      <c r="Q32" s="95"/>
    </row>
    <row r="33" spans="4:17" s="2" customFormat="1" ht="12" customHeight="1">
      <c r="D33" s="22"/>
      <c r="E33" s="22"/>
      <c r="J33" s="5"/>
      <c r="K33" s="5"/>
      <c r="L33" s="5"/>
      <c r="M33" s="5"/>
      <c r="N33" s="5"/>
      <c r="O33" s="5"/>
      <c r="P33" s="88"/>
      <c r="Q33" s="95"/>
    </row>
    <row r="34" spans="4:17" s="2" customFormat="1" ht="12" customHeight="1">
      <c r="D34" s="22"/>
      <c r="E34" s="22"/>
      <c r="J34" s="5"/>
      <c r="K34" s="5"/>
      <c r="L34" s="5"/>
      <c r="M34" s="5"/>
      <c r="N34" s="5"/>
      <c r="O34" s="5"/>
      <c r="P34" s="88"/>
      <c r="Q34" s="95"/>
    </row>
    <row r="35" spans="4:17" s="2" customFormat="1" ht="12" customHeight="1">
      <c r="D35" s="22"/>
      <c r="E35" s="22"/>
      <c r="J35" s="5"/>
      <c r="K35" s="5"/>
      <c r="L35" s="5"/>
      <c r="M35" s="5"/>
      <c r="N35" s="5"/>
      <c r="O35" s="5"/>
      <c r="P35" s="88"/>
      <c r="Q35" s="95"/>
    </row>
    <row r="36" spans="4:17" s="2" customFormat="1" ht="12" customHeight="1">
      <c r="D36" s="22"/>
      <c r="E36" s="22"/>
      <c r="J36" s="5"/>
      <c r="K36" s="5"/>
      <c r="L36" s="5"/>
      <c r="M36" s="5"/>
      <c r="N36" s="5"/>
      <c r="O36" s="5"/>
      <c r="P36" s="88"/>
      <c r="Q36" s="95"/>
    </row>
    <row r="37" spans="4:17" s="2" customFormat="1" ht="12" customHeight="1">
      <c r="D37" s="22"/>
      <c r="E37" s="22"/>
      <c r="J37" s="5"/>
      <c r="K37" s="5"/>
      <c r="L37" s="5"/>
      <c r="M37" s="5"/>
      <c r="N37" s="5"/>
      <c r="O37" s="5"/>
      <c r="P37" s="88"/>
      <c r="Q37" s="95"/>
    </row>
    <row r="38" spans="4:17" s="2" customFormat="1" ht="12" customHeight="1">
      <c r="D38" s="22"/>
      <c r="E38" s="22"/>
      <c r="J38" s="5"/>
      <c r="K38" s="5"/>
      <c r="L38" s="5"/>
      <c r="M38" s="5"/>
      <c r="N38" s="5"/>
      <c r="O38" s="5"/>
      <c r="P38" s="88"/>
      <c r="Q38" s="95"/>
    </row>
    <row r="39" spans="4:17" s="2" customFormat="1" ht="12" customHeight="1">
      <c r="D39" s="22"/>
      <c r="E39" s="22"/>
      <c r="J39" s="5"/>
      <c r="K39" s="5"/>
      <c r="L39" s="5"/>
      <c r="M39" s="5"/>
      <c r="N39" s="5"/>
      <c r="O39" s="5"/>
      <c r="P39" s="88"/>
      <c r="Q39" s="95"/>
    </row>
    <row r="40" spans="4:17" s="2" customFormat="1" ht="12" customHeight="1">
      <c r="D40" s="22"/>
      <c r="E40" s="22"/>
      <c r="J40" s="5"/>
      <c r="K40" s="5"/>
      <c r="L40" s="5"/>
      <c r="M40" s="5"/>
      <c r="N40" s="5"/>
      <c r="O40" s="5"/>
      <c r="P40" s="88"/>
      <c r="Q40" s="95"/>
    </row>
    <row r="41" spans="4:17" s="2" customFormat="1" ht="12" customHeight="1">
      <c r="D41" s="22"/>
      <c r="E41" s="22"/>
      <c r="J41" s="5"/>
      <c r="K41" s="5"/>
      <c r="L41" s="5"/>
      <c r="M41" s="5"/>
      <c r="N41" s="5"/>
      <c r="O41" s="5"/>
      <c r="P41" s="88"/>
      <c r="Q41" s="95"/>
    </row>
    <row r="42" spans="4:17" s="2" customFormat="1" ht="12" customHeight="1">
      <c r="D42" s="22"/>
      <c r="E42" s="22"/>
      <c r="J42" s="5"/>
      <c r="K42" s="5"/>
      <c r="L42" s="5"/>
      <c r="M42" s="5"/>
      <c r="N42" s="5"/>
      <c r="O42" s="5"/>
      <c r="P42" s="88"/>
      <c r="Q42" s="95"/>
    </row>
    <row r="43" spans="4:17" s="2" customFormat="1" ht="12" customHeight="1">
      <c r="D43" s="22"/>
      <c r="E43" s="22"/>
      <c r="J43" s="5"/>
      <c r="K43" s="5"/>
      <c r="L43" s="5"/>
      <c r="M43" s="5"/>
      <c r="N43" s="5"/>
      <c r="O43" s="5"/>
      <c r="P43" s="88"/>
      <c r="Q43" s="95"/>
    </row>
    <row r="44" spans="4:17" s="2" customFormat="1" ht="12" customHeight="1">
      <c r="D44" s="22"/>
      <c r="E44" s="22"/>
      <c r="J44" s="5"/>
      <c r="K44" s="5"/>
      <c r="L44" s="5"/>
      <c r="M44" s="5"/>
      <c r="N44" s="5"/>
      <c r="O44" s="5"/>
      <c r="P44" s="88"/>
      <c r="Q44" s="95"/>
    </row>
    <row r="45" spans="4:17" s="2" customFormat="1" ht="12" customHeight="1">
      <c r="D45" s="22"/>
      <c r="E45" s="22"/>
      <c r="J45" s="5"/>
      <c r="K45" s="5"/>
      <c r="L45" s="5"/>
      <c r="M45" s="5"/>
      <c r="N45" s="5"/>
      <c r="O45" s="5"/>
      <c r="P45" s="88"/>
      <c r="Q45" s="95"/>
    </row>
    <row r="46" spans="4:17" s="2" customFormat="1" ht="12" customHeight="1">
      <c r="D46" s="22"/>
      <c r="E46" s="22"/>
      <c r="J46" s="5"/>
      <c r="K46" s="5"/>
      <c r="L46" s="5"/>
      <c r="M46" s="5"/>
      <c r="N46" s="5"/>
      <c r="O46" s="5"/>
      <c r="P46" s="88"/>
      <c r="Q46" s="95"/>
    </row>
    <row r="47" spans="4:17" s="2" customFormat="1" ht="12" customHeight="1">
      <c r="D47" s="22"/>
      <c r="E47" s="22"/>
      <c r="J47" s="5"/>
      <c r="K47" s="5"/>
      <c r="L47" s="5"/>
      <c r="M47" s="5"/>
      <c r="N47" s="5"/>
      <c r="O47" s="5"/>
      <c r="P47" s="88"/>
      <c r="Q47" s="95"/>
    </row>
    <row r="48" spans="4:17" s="2" customFormat="1" ht="12" customHeight="1">
      <c r="D48" s="22"/>
      <c r="E48" s="22"/>
      <c r="J48" s="5"/>
      <c r="K48" s="5"/>
      <c r="L48" s="5"/>
      <c r="M48" s="5"/>
      <c r="N48" s="5"/>
      <c r="O48" s="5"/>
      <c r="P48" s="88"/>
      <c r="Q48" s="95"/>
    </row>
    <row r="49" spans="1:17" s="2" customFormat="1" ht="12" customHeight="1">
      <c r="D49" s="22"/>
      <c r="E49" s="22"/>
      <c r="J49" s="5"/>
      <c r="K49" s="5"/>
      <c r="L49" s="5"/>
      <c r="M49" s="5"/>
      <c r="N49" s="5"/>
      <c r="O49" s="5"/>
      <c r="P49" s="88"/>
      <c r="Q49" s="95"/>
    </row>
    <row r="50" spans="1:17" s="2" customFormat="1" ht="12" customHeight="1">
      <c r="D50" s="22"/>
      <c r="E50" s="22"/>
      <c r="J50" s="5"/>
      <c r="K50" s="5"/>
      <c r="L50" s="5"/>
      <c r="M50" s="5"/>
      <c r="N50" s="5"/>
      <c r="O50" s="5"/>
      <c r="P50" s="88"/>
      <c r="Q50" s="95"/>
    </row>
    <row r="51" spans="1:17" s="2" customFormat="1" ht="12" customHeight="1">
      <c r="D51" s="22"/>
      <c r="E51" s="22"/>
      <c r="J51" s="5"/>
      <c r="K51" s="5"/>
      <c r="L51" s="5"/>
      <c r="M51" s="5"/>
      <c r="N51" s="5"/>
      <c r="O51" s="5"/>
      <c r="P51" s="88"/>
      <c r="Q51" s="95"/>
    </row>
    <row r="52" spans="1:17" s="2" customFormat="1" ht="12" customHeight="1">
      <c r="D52" s="22"/>
      <c r="E52" s="22"/>
      <c r="J52" s="5"/>
      <c r="K52" s="5"/>
      <c r="L52" s="5"/>
      <c r="M52" s="5"/>
      <c r="N52" s="5"/>
      <c r="O52" s="5"/>
      <c r="P52" s="88"/>
      <c r="Q52" s="95"/>
    </row>
    <row r="53" spans="1:17" s="2" customFormat="1" ht="12" customHeight="1">
      <c r="D53" s="22"/>
      <c r="E53" s="22"/>
      <c r="J53" s="5"/>
      <c r="K53" s="5"/>
      <c r="L53" s="5"/>
      <c r="M53" s="5"/>
      <c r="N53" s="5"/>
      <c r="O53" s="5"/>
      <c r="P53" s="88"/>
      <c r="Q53" s="96"/>
    </row>
    <row r="54" spans="1:17" s="2" customFormat="1" ht="12" customHeight="1">
      <c r="D54" s="22"/>
      <c r="E54" s="22"/>
      <c r="J54" s="5"/>
      <c r="K54" s="5"/>
      <c r="L54" s="5"/>
      <c r="M54" s="5"/>
      <c r="N54" s="5"/>
      <c r="O54" s="5"/>
      <c r="P54" s="88"/>
      <c r="Q54" s="96"/>
    </row>
    <row r="55" spans="1:17" s="2" customFormat="1" ht="12" customHeight="1">
      <c r="D55" s="22"/>
      <c r="E55" s="22"/>
      <c r="J55" s="5"/>
      <c r="K55" s="5"/>
      <c r="L55" s="5"/>
      <c r="M55" s="5"/>
      <c r="N55" s="5"/>
      <c r="O55" s="5"/>
      <c r="P55" s="88"/>
      <c r="Q55" s="96"/>
    </row>
    <row r="56" spans="1:17" s="2" customFormat="1" ht="12" customHeight="1">
      <c r="D56" s="22"/>
      <c r="E56" s="22"/>
      <c r="J56" s="5"/>
      <c r="K56" s="5"/>
      <c r="L56" s="5"/>
      <c r="M56" s="5"/>
      <c r="N56" s="5"/>
      <c r="O56" s="5"/>
      <c r="P56" s="88"/>
      <c r="Q56" s="96"/>
    </row>
    <row r="57" spans="1:17" s="2" customFormat="1" ht="12" customHeight="1">
      <c r="A57"/>
      <c r="B57"/>
      <c r="C57"/>
      <c r="D57" s="23"/>
      <c r="E57" s="23"/>
      <c r="F57"/>
      <c r="G57"/>
      <c r="H57"/>
      <c r="I57"/>
      <c r="J57" s="19"/>
      <c r="K57" s="19"/>
      <c r="L57" s="19"/>
      <c r="M57" s="19"/>
      <c r="N57" s="19"/>
      <c r="O57" s="19"/>
      <c r="P57" s="90"/>
      <c r="Q57" s="96"/>
    </row>
    <row r="58" spans="1:17" s="2" customFormat="1" ht="12" customHeight="1">
      <c r="A58"/>
      <c r="B58"/>
      <c r="C58"/>
      <c r="D58" s="23"/>
      <c r="E58" s="23"/>
      <c r="F58"/>
      <c r="G58"/>
      <c r="H58"/>
      <c r="I58"/>
      <c r="J58" s="19"/>
      <c r="K58" s="19"/>
      <c r="L58" s="19"/>
      <c r="M58" s="19"/>
      <c r="N58" s="19"/>
      <c r="O58" s="19"/>
      <c r="P58" s="90"/>
      <c r="Q58" s="96"/>
    </row>
    <row r="59" spans="1:17" s="2" customFormat="1" ht="12" customHeight="1">
      <c r="A59"/>
      <c r="B59"/>
      <c r="C59"/>
      <c r="D59" s="23"/>
      <c r="E59" s="23"/>
      <c r="F59"/>
      <c r="G59"/>
      <c r="H59"/>
      <c r="I59"/>
      <c r="J59" s="19"/>
      <c r="K59" s="19"/>
      <c r="L59" s="19"/>
      <c r="M59" s="19"/>
      <c r="N59" s="19"/>
      <c r="O59" s="19"/>
      <c r="P59" s="90"/>
      <c r="Q59" s="96"/>
    </row>
    <row r="60" spans="1:17" s="2" customFormat="1" ht="12" customHeight="1">
      <c r="A60"/>
      <c r="B60"/>
      <c r="C60"/>
      <c r="D60" s="23"/>
      <c r="E60" s="23"/>
      <c r="F60"/>
      <c r="G60"/>
      <c r="H60"/>
      <c r="I60"/>
      <c r="J60" s="19"/>
      <c r="K60" s="19"/>
      <c r="L60" s="19"/>
      <c r="M60" s="19"/>
      <c r="N60" s="19"/>
      <c r="O60" s="19"/>
      <c r="P60" s="90"/>
      <c r="Q60" s="96"/>
    </row>
    <row r="61" spans="1:17" s="2" customFormat="1" ht="12" customHeight="1">
      <c r="A61"/>
      <c r="B61"/>
      <c r="C61"/>
      <c r="D61" s="23"/>
      <c r="E61" s="23"/>
      <c r="F61"/>
      <c r="G61"/>
      <c r="H61"/>
      <c r="I61"/>
      <c r="J61" s="19"/>
      <c r="K61" s="19"/>
      <c r="L61" s="19"/>
      <c r="M61" s="19"/>
      <c r="N61" s="19"/>
      <c r="O61" s="19"/>
      <c r="P61" s="90"/>
      <c r="Q61" s="96"/>
    </row>
    <row r="62" spans="1:17">
      <c r="Q62" s="96"/>
    </row>
    <row r="63" spans="1:17">
      <c r="Q63" s="96"/>
    </row>
    <row r="64" spans="1:17">
      <c r="Q64" s="96"/>
    </row>
    <row r="65" spans="17:17">
      <c r="Q65" s="96"/>
    </row>
    <row r="66" spans="17:17">
      <c r="Q66" s="96"/>
    </row>
    <row r="67" spans="17:17">
      <c r="Q67" s="96"/>
    </row>
    <row r="68" spans="17:17">
      <c r="Q68" s="96"/>
    </row>
    <row r="69" spans="17:17">
      <c r="Q69" s="96"/>
    </row>
    <row r="70" spans="17:17">
      <c r="Q70" s="96"/>
    </row>
    <row r="71" spans="17:17">
      <c r="Q71" s="96"/>
    </row>
    <row r="72" spans="17:17">
      <c r="Q72" s="96"/>
    </row>
    <row r="73" spans="17:17">
      <c r="Q73" s="96"/>
    </row>
    <row r="74" spans="17:17">
      <c r="Q74" s="96"/>
    </row>
    <row r="75" spans="17:17">
      <c r="Q75" s="96"/>
    </row>
    <row r="76" spans="17:17">
      <c r="Q76" s="96"/>
    </row>
    <row r="77" spans="17:17">
      <c r="Q77" s="96"/>
    </row>
    <row r="78" spans="17:17">
      <c r="Q78" s="96"/>
    </row>
    <row r="79" spans="17:17">
      <c r="Q79" s="96"/>
    </row>
    <row r="80" spans="17:17">
      <c r="Q80" s="96"/>
    </row>
    <row r="81" spans="17:17">
      <c r="Q81" s="96"/>
    </row>
    <row r="118" ht="12" customHeight="1"/>
    <row r="119" ht="12" customHeight="1"/>
    <row r="120" ht="12" customHeight="1"/>
    <row r="121" ht="12" customHeight="1"/>
    <row r="122" ht="12" customHeight="1"/>
    <row r="123" ht="12" customHeight="1"/>
    <row r="124" ht="12" customHeight="1"/>
    <row r="125" ht="12" customHeight="1"/>
    <row r="126" ht="12" customHeight="1"/>
    <row r="127" ht="12" customHeight="1"/>
    <row r="128" ht="12" customHeight="1"/>
    <row r="129" ht="12" customHeight="1"/>
    <row r="130" ht="12" customHeight="1"/>
    <row r="131" ht="12" customHeight="1"/>
    <row r="132" ht="12" customHeight="1"/>
    <row r="133" ht="12" customHeight="1"/>
    <row r="134" ht="12" customHeight="1"/>
    <row r="135" ht="12" customHeight="1"/>
    <row r="136" ht="12" customHeight="1"/>
    <row r="137" ht="12" customHeight="1"/>
    <row r="138" ht="12" customHeight="1"/>
    <row r="139" ht="12" customHeight="1"/>
    <row r="140" ht="12" customHeight="1"/>
    <row r="141" ht="12" customHeight="1"/>
    <row r="142" ht="12" customHeight="1"/>
    <row r="143" ht="12" customHeight="1"/>
    <row r="144" ht="12" customHeight="1"/>
    <row r="145" ht="12" customHeight="1"/>
    <row r="146" ht="12" customHeight="1"/>
    <row r="147" ht="12" customHeight="1"/>
    <row r="148" ht="12" customHeight="1"/>
    <row r="149" ht="12" customHeight="1"/>
    <row r="150" ht="12" customHeight="1"/>
    <row r="151" ht="12" customHeight="1"/>
    <row r="152" ht="12" customHeight="1"/>
    <row r="153" ht="12" customHeight="1"/>
    <row r="154" ht="12" customHeight="1"/>
    <row r="155" ht="12" customHeight="1"/>
    <row r="156" ht="12" customHeight="1"/>
    <row r="157" ht="12" customHeight="1"/>
    <row r="158" ht="12" customHeight="1"/>
    <row r="159" ht="12" customHeight="1"/>
    <row r="160" ht="12" customHeight="1"/>
    <row r="161" ht="12" customHeight="1"/>
    <row r="162" ht="12" customHeight="1"/>
    <row r="163" ht="12" customHeight="1"/>
    <row r="164" ht="12" customHeight="1"/>
    <row r="165" ht="12" customHeight="1"/>
    <row r="166" ht="12" customHeight="1"/>
    <row r="167" ht="12" customHeight="1"/>
  </sheetData>
  <mergeCells count="22">
    <mergeCell ref="D14:E14"/>
    <mergeCell ref="H14:I14"/>
    <mergeCell ref="D7:E7"/>
    <mergeCell ref="H7:I7"/>
    <mergeCell ref="D8:E8"/>
    <mergeCell ref="H8:I8"/>
    <mergeCell ref="D9:E9"/>
    <mergeCell ref="H9:I9"/>
    <mergeCell ref="D12:E12"/>
    <mergeCell ref="H12:I12"/>
    <mergeCell ref="D13:E13"/>
    <mergeCell ref="D11:E11"/>
    <mergeCell ref="H11:I11"/>
    <mergeCell ref="D6:E6"/>
    <mergeCell ref="H6:I6"/>
    <mergeCell ref="D10:E10"/>
    <mergeCell ref="H10:I10"/>
    <mergeCell ref="D1:E1"/>
    <mergeCell ref="D4:E4"/>
    <mergeCell ref="H4:I4"/>
    <mergeCell ref="D5:E5"/>
    <mergeCell ref="H5:I5"/>
  </mergeCells>
  <conditionalFormatting sqref="M13">
    <cfRule type="cellIs" dxfId="276" priority="1" stopIfTrue="1" operator="lessThanOrEqual">
      <formula>$L13</formula>
    </cfRule>
    <cfRule type="cellIs" dxfId="275" priority="2" operator="greaterThan">
      <formula>L13</formula>
    </cfRule>
  </conditionalFormatting>
  <pageMargins left="0.7" right="0.7" top="0.75" bottom="0.75" header="0.3" footer="0.3"/>
  <pageSetup paperSize="3" fitToHeight="0" orientation="landscape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71A9FD30-82E7-4F48-BFB8-8EB78E3D6B69}">
          <x14:formula1>
            <xm:f>Bolts!$A:$A</xm:f>
          </x14:formula1>
          <xm:sqref>C13</xm:sqref>
        </x14:dataValidation>
        <x14:dataValidation type="list" allowBlank="1" showInputMessage="1" showErrorMessage="1" xr:uid="{6D96861B-F57F-4D76-9C89-E9392A281733}">
          <x14:formula1>
            <xm:f>Assemblies!$E:$E</xm:f>
          </x14:formula1>
          <xm:sqref>C5:C11</xm:sqref>
        </x14:dataValidation>
      </x14:dataValidations>
    </ext>
  </extLst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E211AB-2A82-46DF-9DA3-B2B5D3B2637C}">
  <sheetPr codeName="Sheet107">
    <tabColor theme="3" tint="0.79998168889431442"/>
    <pageSetUpPr fitToPage="1"/>
  </sheetPr>
  <dimension ref="A1:Q173"/>
  <sheetViews>
    <sheetView zoomScaleNormal="100" workbookViewId="0">
      <selection activeCell="F26" sqref="F26"/>
    </sheetView>
  </sheetViews>
  <sheetFormatPr defaultColWidth="9.140625" defaultRowHeight="15"/>
  <cols>
    <col min="1" max="1" width="5.7109375" customWidth="1"/>
    <col min="2" max="2" width="5.42578125" bestFit="1" customWidth="1"/>
    <col min="3" max="3" width="30.7109375" customWidth="1"/>
    <col min="4" max="5" width="20.7109375" style="23" customWidth="1"/>
    <col min="6" max="6" width="16.85546875" bestFit="1" customWidth="1"/>
    <col min="7" max="7" width="9.7109375" customWidth="1"/>
    <col min="8" max="8" width="8.7109375" customWidth="1"/>
    <col min="9" max="9" width="20.7109375" customWidth="1"/>
    <col min="10" max="13" width="11.7109375" style="19" customWidth="1"/>
    <col min="14" max="14" width="11.85546875" style="19" bestFit="1" customWidth="1"/>
    <col min="15" max="15" width="7.7109375" style="19" customWidth="1"/>
    <col min="16" max="16" width="10.7109375" style="90" customWidth="1"/>
    <col min="17" max="17" width="10.7109375" style="97" customWidth="1"/>
  </cols>
  <sheetData>
    <row r="1" spans="1:17" s="55" customFormat="1" ht="12" customHeight="1">
      <c r="A1" s="68" t="s">
        <v>0</v>
      </c>
      <c r="B1" s="69"/>
      <c r="C1" s="69"/>
      <c r="D1" s="262" t="s">
        <v>1</v>
      </c>
      <c r="E1" s="262"/>
      <c r="F1" s="70"/>
      <c r="G1" s="69"/>
      <c r="H1" s="70"/>
      <c r="I1" s="71"/>
      <c r="J1" s="72"/>
      <c r="K1" s="72"/>
      <c r="L1" s="72"/>
      <c r="M1" s="72"/>
      <c r="N1" s="72"/>
      <c r="O1" s="72"/>
      <c r="P1" s="85"/>
      <c r="Q1" s="91"/>
    </row>
    <row r="2" spans="1:17" s="55" customFormat="1" ht="12" customHeight="1">
      <c r="A2" s="74" t="s">
        <v>48</v>
      </c>
      <c r="B2" s="58"/>
      <c r="C2" s="57" t="e">
        <f ca="1">VLOOKUP(E3,Assemblies!B:F,4,0)</f>
        <v>#VALUE!</v>
      </c>
      <c r="D2" s="75" t="s">
        <v>3</v>
      </c>
      <c r="E2" s="76" t="e">
        <f ca="1">'GF12'!E2</f>
        <v>#VALUE!</v>
      </c>
      <c r="F2" s="77" t="s">
        <v>4</v>
      </c>
      <c r="G2" s="58" t="str">
        <f>'GF12'!G2</f>
        <v>GH</v>
      </c>
      <c r="H2" s="77" t="s">
        <v>6</v>
      </c>
      <c r="I2" s="59">
        <f>'GF12'!I2</f>
        <v>44775</v>
      </c>
      <c r="J2" s="39"/>
      <c r="K2" s="40" t="s">
        <v>49</v>
      </c>
      <c r="L2" s="41" t="e">
        <f ca="1">VLOOKUP(C2,Assemblies!E:G,3,0)</f>
        <v>#VALUE!</v>
      </c>
      <c r="M2" s="78"/>
      <c r="N2" s="78"/>
      <c r="O2" s="78"/>
      <c r="P2" s="86"/>
      <c r="Q2" s="92"/>
    </row>
    <row r="3" spans="1:17" s="55" customFormat="1" ht="12" customHeight="1" thickBot="1">
      <c r="A3" s="74" t="s">
        <v>7</v>
      </c>
      <c r="B3" s="58"/>
      <c r="C3" s="57" t="e">
        <f ca="1">VLOOKUP(E3,Assemblies!B:F,5,0)</f>
        <v>#VALUE!</v>
      </c>
      <c r="D3" s="75" t="s">
        <v>50</v>
      </c>
      <c r="E3" s="76" t="e">
        <f ca="1">MID(CELL("filename",A1),FIND("]",CELL("filename",A1))+1,256)</f>
        <v>#VALUE!</v>
      </c>
      <c r="F3" s="77" t="s">
        <v>11</v>
      </c>
      <c r="G3" s="58" t="str">
        <f>'GF12'!G3</f>
        <v>GH</v>
      </c>
      <c r="H3" s="77" t="s">
        <v>6</v>
      </c>
      <c r="I3" s="59">
        <f>'GF12'!I3</f>
        <v>44775</v>
      </c>
      <c r="J3" s="78"/>
      <c r="K3" s="78"/>
      <c r="L3" s="78"/>
      <c r="M3" s="78"/>
      <c r="N3" s="78"/>
      <c r="O3" s="78"/>
      <c r="P3" s="86"/>
      <c r="Q3" s="92"/>
    </row>
    <row r="4" spans="1:17" s="56" customFormat="1" ht="12.75" customHeight="1" thickBot="1">
      <c r="A4" s="80" t="s">
        <v>12</v>
      </c>
      <c r="B4" s="81" t="s">
        <v>13</v>
      </c>
      <c r="C4" s="81" t="s">
        <v>14</v>
      </c>
      <c r="D4" s="270" t="s">
        <v>15</v>
      </c>
      <c r="E4" s="270"/>
      <c r="F4" s="104" t="s">
        <v>16</v>
      </c>
      <c r="G4" s="81" t="s">
        <v>17</v>
      </c>
      <c r="H4" s="260" t="s">
        <v>18</v>
      </c>
      <c r="I4" s="260"/>
      <c r="J4" s="81" t="s">
        <v>51</v>
      </c>
      <c r="K4" s="81" t="s">
        <v>20</v>
      </c>
      <c r="L4" s="81" t="s">
        <v>21</v>
      </c>
      <c r="M4" s="81" t="s">
        <v>52</v>
      </c>
      <c r="N4" s="81" t="s">
        <v>22</v>
      </c>
      <c r="O4" s="81" t="s">
        <v>53</v>
      </c>
      <c r="P4" s="107" t="s">
        <v>26</v>
      </c>
      <c r="Q4" s="82" t="s">
        <v>27</v>
      </c>
    </row>
    <row r="5" spans="1:17" s="2" customFormat="1" ht="12.75" customHeight="1">
      <c r="A5" s="127">
        <v>1</v>
      </c>
      <c r="B5" s="21">
        <v>4</v>
      </c>
      <c r="C5" s="108" t="s">
        <v>1046</v>
      </c>
      <c r="D5" s="277" t="str">
        <f>VLOOKUP(C5,Machined!C:Q,2,0)</f>
        <v>LINEAR BEARING BLOCK</v>
      </c>
      <c r="E5" s="277"/>
      <c r="F5" s="131" t="str">
        <f>VLOOKUP(C5,Machined!C:R,7,0)</f>
        <v>6061-T6 Alum</v>
      </c>
      <c r="G5" s="131" t="str">
        <f>VLOOKUP(C5,Machined!C:R,10,0)</f>
        <v>FRONTIER</v>
      </c>
      <c r="H5" s="131" t="str">
        <f>VLOOKUP(C5,Machined!C:R,11,0)</f>
        <v xml:space="preserve">  </v>
      </c>
      <c r="I5" s="131"/>
      <c r="J5" s="42">
        <f>VLOOKUP(C5,Machined!C:R,12,0)</f>
        <v>45139</v>
      </c>
      <c r="K5" s="42">
        <f>VLOOKUP(C5,Machined!C:R,13,0)</f>
        <v>45140</v>
      </c>
      <c r="L5" s="42">
        <f>VLOOKUP(C5,Machined!C:R,14,0)</f>
        <v>45170</v>
      </c>
      <c r="M5" s="42">
        <f>VLOOKUP(C5,Machined!C:R,15,0)</f>
        <v>45170</v>
      </c>
      <c r="N5" s="43">
        <f>VLOOKUP(C5,Machined!C:R,16,0)</f>
        <v>55025</v>
      </c>
      <c r="O5" s="43" t="e">
        <f t="shared" ref="O5:O8" ca="1" si="0">B5*$L$2</f>
        <v>#VALUE!</v>
      </c>
      <c r="P5" s="47">
        <f>IFERROR(VLOOKUP(C5,Machined!C:F,3,0),"")</f>
        <v>0</v>
      </c>
      <c r="Q5" s="48">
        <f t="shared" ref="Q5:Q8" si="1">IFERROR(B5*P5,"")</f>
        <v>0</v>
      </c>
    </row>
    <row r="6" spans="1:17" s="2" customFormat="1" ht="12.75" customHeight="1">
      <c r="A6" s="127">
        <v>2</v>
      </c>
      <c r="B6" s="21">
        <v>1</v>
      </c>
      <c r="C6" s="108" t="s">
        <v>1149</v>
      </c>
      <c r="D6" s="277" t="str">
        <f>VLOOKUP(C6,Machined!C:Q,2,0)</f>
        <v>CROSS SEAL SIDE PLATE L</v>
      </c>
      <c r="E6" s="277"/>
      <c r="F6" s="131" t="str">
        <f>VLOOKUP(C6,Machined!C:R,7,0)</f>
        <v>MIC 6</v>
      </c>
      <c r="G6" s="131" t="str">
        <f>VLOOKUP(C6,Machined!C:R,10,0)</f>
        <v>BEMOX</v>
      </c>
      <c r="H6" s="131" t="str">
        <f>VLOOKUP(C6,Machined!C:R,11,0)</f>
        <v xml:space="preserve">  </v>
      </c>
      <c r="I6" s="131"/>
      <c r="J6" s="42">
        <f>VLOOKUP(C6,Machined!C:R,12,0)</f>
        <v>45142</v>
      </c>
      <c r="K6" s="42">
        <f>VLOOKUP(C6,Machined!C:R,13,0)</f>
        <v>45146</v>
      </c>
      <c r="L6" s="42">
        <f>VLOOKUP(C6,Machined!C:R,14,0)</f>
        <v>45170</v>
      </c>
      <c r="M6" s="42">
        <f>VLOOKUP(C6,Machined!C:R,15,0)</f>
        <v>45170</v>
      </c>
      <c r="N6" s="43">
        <f>VLOOKUP(C6,Machined!C:R,16,0)</f>
        <v>55041</v>
      </c>
      <c r="O6" s="43" t="e">
        <f t="shared" ca="1" si="0"/>
        <v>#VALUE!</v>
      </c>
      <c r="P6" s="47">
        <f>IFERROR(VLOOKUP(C6,Machined!C:F,3,0),"")</f>
        <v>243.5</v>
      </c>
      <c r="Q6" s="48">
        <f t="shared" si="1"/>
        <v>243.5</v>
      </c>
    </row>
    <row r="7" spans="1:17" s="2" customFormat="1" ht="12.75" customHeight="1">
      <c r="A7" s="127">
        <v>3</v>
      </c>
      <c r="B7" s="21">
        <v>1</v>
      </c>
      <c r="C7" s="108" t="s">
        <v>1150</v>
      </c>
      <c r="D7" s="277" t="str">
        <f>VLOOKUP(C7,Machined!C:Q,2,0)</f>
        <v>CROSS SEAL SIDE PLATE R</v>
      </c>
      <c r="E7" s="277"/>
      <c r="F7" s="131" t="str">
        <f>VLOOKUP(C7,Machined!C:R,7,0)</f>
        <v>MIC 6</v>
      </c>
      <c r="G7" s="131" t="str">
        <f>VLOOKUP(C7,Machined!C:R,10,0)</f>
        <v>BEMOX</v>
      </c>
      <c r="H7" s="131" t="str">
        <f>VLOOKUP(C7,Machined!C:R,11,0)</f>
        <v xml:space="preserve">  </v>
      </c>
      <c r="I7" s="131"/>
      <c r="J7" s="42">
        <f>VLOOKUP(C7,Machined!C:R,12,0)</f>
        <v>45142</v>
      </c>
      <c r="K7" s="42">
        <f>VLOOKUP(C7,Machined!C:R,13,0)</f>
        <v>45146</v>
      </c>
      <c r="L7" s="42">
        <f>VLOOKUP(C7,Machined!C:R,14,0)</f>
        <v>45170</v>
      </c>
      <c r="M7" s="42">
        <f>VLOOKUP(C7,Machined!C:R,15,0)</f>
        <v>45170</v>
      </c>
      <c r="N7" s="43">
        <f>VLOOKUP(C7,Machined!C:R,16,0)</f>
        <v>55041</v>
      </c>
      <c r="O7" s="43" t="e">
        <f t="shared" ca="1" si="0"/>
        <v>#VALUE!</v>
      </c>
      <c r="P7" s="47">
        <f>IFERROR(VLOOKUP(C7,Machined!C:F,3,0),"")</f>
        <v>243.5</v>
      </c>
      <c r="Q7" s="48">
        <f t="shared" si="1"/>
        <v>243.5</v>
      </c>
    </row>
    <row r="8" spans="1:17" s="2" customFormat="1" ht="12.75" customHeight="1">
      <c r="A8" s="127">
        <v>4</v>
      </c>
      <c r="B8" s="21">
        <v>1</v>
      </c>
      <c r="C8" s="108" t="s">
        <v>1151</v>
      </c>
      <c r="D8" s="277" t="str">
        <f>VLOOKUP(C8,Machined!C:Q,2,0)</f>
        <v>CROSS SEAL CASSETTE STRUT</v>
      </c>
      <c r="E8" s="277"/>
      <c r="F8" s="131" t="str">
        <f>VLOOKUP(C8,Machined!C:R,7,0)</f>
        <v>MIC 6</v>
      </c>
      <c r="G8" s="131" t="str">
        <f>VLOOKUP(C8,Machined!C:R,10,0)</f>
        <v>BEMOX</v>
      </c>
      <c r="H8" s="131" t="str">
        <f>VLOOKUP(C8,Machined!C:R,11,0)</f>
        <v xml:space="preserve">  </v>
      </c>
      <c r="I8" s="131"/>
      <c r="J8" s="42">
        <f>VLOOKUP(C8,Machined!C:R,12,0)</f>
        <v>45142</v>
      </c>
      <c r="K8" s="42">
        <f>VLOOKUP(C8,Machined!C:R,13,0)</f>
        <v>45146</v>
      </c>
      <c r="L8" s="42">
        <f>VLOOKUP(C8,Machined!C:R,14,0)</f>
        <v>45170</v>
      </c>
      <c r="M8" s="42">
        <f>VLOOKUP(C8,Machined!C:R,15,0)</f>
        <v>45170</v>
      </c>
      <c r="N8" s="43">
        <f>VLOOKUP(C8,Machined!C:R,16,0)</f>
        <v>55041</v>
      </c>
      <c r="O8" s="43" t="e">
        <f t="shared" ca="1" si="0"/>
        <v>#VALUE!</v>
      </c>
      <c r="P8" s="47">
        <f>IFERROR(VLOOKUP(C8,Machined!C:F,3,0),"")</f>
        <v>261</v>
      </c>
      <c r="Q8" s="48">
        <f t="shared" si="1"/>
        <v>261</v>
      </c>
    </row>
    <row r="9" spans="1:17" s="2" customFormat="1" ht="12.75" customHeight="1">
      <c r="A9" s="143"/>
      <c r="B9" s="26"/>
      <c r="C9" s="26"/>
      <c r="D9" s="272"/>
      <c r="E9" s="273"/>
      <c r="F9" s="26"/>
      <c r="G9" s="26"/>
      <c r="H9" s="274"/>
      <c r="I9" s="275"/>
      <c r="J9" s="27"/>
      <c r="K9" s="27"/>
      <c r="L9" s="27"/>
      <c r="M9" s="28"/>
      <c r="N9" s="29"/>
      <c r="O9" s="29"/>
      <c r="P9" s="141"/>
      <c r="Q9" s="142"/>
    </row>
    <row r="10" spans="1:17" s="2" customFormat="1" ht="12.75" customHeight="1">
      <c r="A10" s="4">
        <v>301</v>
      </c>
      <c r="B10" s="2">
        <v>4</v>
      </c>
      <c r="C10" s="114" t="s">
        <v>1050</v>
      </c>
      <c r="D10" s="268" t="str">
        <f>VLOOKUP(C10,Purchased!A:B,2,0)</f>
        <v>Nippon Linear Bearing, 30mm</v>
      </c>
      <c r="E10" s="269"/>
      <c r="F10" s="112" t="str">
        <f>VLOOKUP(C10,Purchased!A:Q,9,0)</f>
        <v>Nippon</v>
      </c>
      <c r="G10" s="112" t="str">
        <f>VLOOKUP(C10,Purchased!A:Q,10,0)</f>
        <v>MOTION</v>
      </c>
      <c r="H10" s="112" t="str">
        <f>VLOOKUP(C10,Purchased!A:Q,12,0)</f>
        <v xml:space="preserve"> </v>
      </c>
      <c r="I10" s="113"/>
      <c r="J10" s="44" t="str">
        <f>VLOOKUP(C10,Purchased!A:Q,13,0)</f>
        <v>N/A</v>
      </c>
      <c r="K10" s="44">
        <f>VLOOKUP(C10,Purchased!A:Q,14,0)</f>
        <v>45176</v>
      </c>
      <c r="L10" s="44">
        <f>VLOOKUP(C10,Purchased!A:Q,15,0)</f>
        <v>45190</v>
      </c>
      <c r="M10" s="44">
        <f>VLOOKUP(C10,Purchased!A:Q,16,0)</f>
        <v>45188</v>
      </c>
      <c r="N10" s="45">
        <f>VLOOKUP(C10,Purchased!A:Q,17,0)</f>
        <v>55130</v>
      </c>
      <c r="O10" s="45" t="e">
        <f t="shared" ref="O10:O11" ca="1" si="2">B10*$L$2</f>
        <v>#VALUE!</v>
      </c>
      <c r="P10" s="49">
        <f>IFERROR(VLOOKUP(C10,Purchased!A:E,3,FALSE),"")</f>
        <v>32.76</v>
      </c>
      <c r="Q10" s="50">
        <f t="shared" ref="Q10:Q11" si="3">IFERROR(B10*P10,"")</f>
        <v>131.04</v>
      </c>
    </row>
    <row r="11" spans="1:17" s="2" customFormat="1" ht="12" customHeight="1">
      <c r="A11" s="4">
        <f t="shared" ref="A11" si="4">A10+1</f>
        <v>302</v>
      </c>
      <c r="B11" s="2">
        <v>8</v>
      </c>
      <c r="C11" s="114" t="s">
        <v>1051</v>
      </c>
      <c r="D11" s="268" t="str">
        <f>VLOOKUP(C11,Purchased!A:B,2,0)</f>
        <v>External Retaining Ring Black-Phosphate Steel, for 47mm OD</v>
      </c>
      <c r="E11" s="269"/>
      <c r="F11" s="112" t="str">
        <f>VLOOKUP(C11,Purchased!A:Q,9,0)</f>
        <v>MCM</v>
      </c>
      <c r="G11" s="112" t="str">
        <f>VLOOKUP(C11,Purchased!A:Q,10,0)</f>
        <v>MCM</v>
      </c>
      <c r="H11" s="112" t="str">
        <f>VLOOKUP(C11,Purchased!A:Q,12,0)</f>
        <v xml:space="preserve"> </v>
      </c>
      <c r="I11" s="113"/>
      <c r="J11" s="44" t="str">
        <f>VLOOKUP(C11,Purchased!A:Q,13,0)</f>
        <v>N/A</v>
      </c>
      <c r="K11" s="44">
        <f>VLOOKUP(C11,Purchased!A:Q,14,0)</f>
        <v>45162</v>
      </c>
      <c r="L11" s="44">
        <f>VLOOKUP(C11,Purchased!A:Q,15,0)</f>
        <v>45184</v>
      </c>
      <c r="M11" s="44">
        <f>VLOOKUP(C11,Purchased!A:Q,16,0)</f>
        <v>45163</v>
      </c>
      <c r="N11" s="45">
        <f>VLOOKUP(C11,Purchased!A:Q,17,0)</f>
        <v>55089</v>
      </c>
      <c r="O11" s="45" t="e">
        <f t="shared" ca="1" si="2"/>
        <v>#VALUE!</v>
      </c>
      <c r="P11" s="49">
        <f>IFERROR(VLOOKUP(C11,Purchased!A:E,3,FALSE),"")</f>
        <v>4.2300000000000004</v>
      </c>
      <c r="Q11" s="50">
        <f t="shared" si="3"/>
        <v>33.840000000000003</v>
      </c>
    </row>
    <row r="12" spans="1:17" s="2" customFormat="1" ht="12.75" customHeight="1">
      <c r="A12" s="25"/>
      <c r="B12" s="26"/>
      <c r="C12" s="26"/>
      <c r="D12" s="272"/>
      <c r="E12" s="273"/>
      <c r="F12" s="26"/>
      <c r="G12" s="26"/>
      <c r="H12" s="274"/>
      <c r="I12" s="275"/>
      <c r="J12" s="27"/>
      <c r="K12" s="27"/>
      <c r="L12" s="27"/>
      <c r="M12" s="28"/>
      <c r="N12" s="29"/>
      <c r="O12" s="29" t="e">
        <f t="shared" ref="O12:O16" ca="1" si="5">B12*$L$2</f>
        <v>#VALUE!</v>
      </c>
      <c r="P12" s="141"/>
      <c r="Q12" s="142"/>
    </row>
    <row r="13" spans="1:17" s="2" customFormat="1" ht="12.75" customHeight="1">
      <c r="A13" s="4">
        <v>501</v>
      </c>
      <c r="B13" s="2">
        <v>16</v>
      </c>
      <c r="C13" s="110" t="s">
        <v>1152</v>
      </c>
      <c r="D13" s="268"/>
      <c r="E13" s="276"/>
      <c r="F13" s="112" t="str">
        <f>VLOOKUP(C13,Bolts!A:L,5,0)</f>
        <v xml:space="preserve">  </v>
      </c>
      <c r="G13" s="112" t="str">
        <f>VLOOKUP(C13,Bolts!A:L,6,0)</f>
        <v>Monroe Fasteners</v>
      </c>
      <c r="H13" s="112" t="str">
        <f>VLOOKUP(C13,Bolts!A:L,7,0)</f>
        <v xml:space="preserve">  </v>
      </c>
      <c r="I13" s="112"/>
      <c r="J13" s="44" t="str">
        <f>VLOOKUP(C13,Bolts!A:L,8,0)</f>
        <v xml:space="preserve"> </v>
      </c>
      <c r="K13" s="44" t="str">
        <f>VLOOKUP(C13,Bolts!A:L,9,0)</f>
        <v xml:space="preserve"> </v>
      </c>
      <c r="L13" s="44" t="str">
        <f>VLOOKUP(C13,Bolts!A:L,10,0)</f>
        <v xml:space="preserve"> </v>
      </c>
      <c r="M13" s="44" t="str">
        <f>VLOOKUP(C13,Bolts!A:L,11,0)</f>
        <v xml:space="preserve"> </v>
      </c>
      <c r="N13" s="45" t="str">
        <f>VLOOKUP(C13,Bolts!A:L,12,0)</f>
        <v xml:space="preserve"> </v>
      </c>
      <c r="O13" s="45" t="e">
        <f t="shared" ca="1" si="5"/>
        <v>#VALUE!</v>
      </c>
      <c r="P13" s="49" t="str">
        <f>IFERROR(VLOOKUP(C13,Bolts!A:B,2,FALSE),"")</f>
        <v xml:space="preserve"> </v>
      </c>
      <c r="Q13" s="50" t="str">
        <f t="shared" ref="Q13:Q16" si="6">IFERROR(B13*P13,"")</f>
        <v/>
      </c>
    </row>
    <row r="14" spans="1:17" s="2" customFormat="1" ht="12.75" customHeight="1">
      <c r="A14" s="4">
        <f t="shared" ref="A14:A15" si="7">A13+1</f>
        <v>502</v>
      </c>
      <c r="B14" s="2">
        <v>8</v>
      </c>
      <c r="C14" s="110" t="s">
        <v>1052</v>
      </c>
      <c r="D14" s="268"/>
      <c r="E14" s="276"/>
      <c r="F14" s="112">
        <f>VLOOKUP(C14,Bolts!A:L,5,0)</f>
        <v>0</v>
      </c>
      <c r="G14" s="112">
        <f>VLOOKUP(C14,Bolts!A:L,6,0)</f>
        <v>0</v>
      </c>
      <c r="H14" s="112">
        <f>VLOOKUP(C14,Bolts!A:L,7,0)</f>
        <v>0</v>
      </c>
      <c r="I14" s="112"/>
      <c r="J14" s="44">
        <f>VLOOKUP(C14,Bolts!A:L,8,0)</f>
        <v>0</v>
      </c>
      <c r="K14" s="44">
        <f>VLOOKUP(C14,Bolts!A:L,9,0)</f>
        <v>0</v>
      </c>
      <c r="L14" s="44">
        <f>VLOOKUP(C14,Bolts!A:L,10,0)</f>
        <v>0</v>
      </c>
      <c r="M14" s="44">
        <f>VLOOKUP(C14,Bolts!A:L,11,0)</f>
        <v>0</v>
      </c>
      <c r="N14" s="45">
        <f>VLOOKUP(C14,Bolts!A:L,12,0)</f>
        <v>0</v>
      </c>
      <c r="O14" s="45" t="e">
        <f ca="1">B14*$L$2</f>
        <v>#VALUE!</v>
      </c>
      <c r="P14" s="49">
        <f>IFERROR(VLOOKUP(C14,Bolts!A:B,2,FALSE),"")</f>
        <v>0</v>
      </c>
      <c r="Q14" s="50">
        <f>IFERROR(B14*P14,"")</f>
        <v>0</v>
      </c>
    </row>
    <row r="15" spans="1:17" s="2" customFormat="1" ht="12" customHeight="1">
      <c r="A15" s="4">
        <f t="shared" si="7"/>
        <v>503</v>
      </c>
      <c r="B15" s="2">
        <v>8</v>
      </c>
      <c r="C15" s="110" t="s">
        <v>278</v>
      </c>
      <c r="D15" s="268"/>
      <c r="E15" s="276"/>
      <c r="F15" s="112" t="str">
        <f>VLOOKUP(C15,Bolts!A:L,5,0)</f>
        <v xml:space="preserve">  </v>
      </c>
      <c r="G15" s="112" t="str">
        <f>VLOOKUP(C15,Bolts!A:L,6,0)</f>
        <v>Monroe Fasteners</v>
      </c>
      <c r="H15" s="112" t="str">
        <f>VLOOKUP(C15,Bolts!A:L,7,0)</f>
        <v xml:space="preserve">  </v>
      </c>
      <c r="I15" s="112"/>
      <c r="J15" s="44" t="str">
        <f>VLOOKUP(C15,Bolts!A:L,8,0)</f>
        <v xml:space="preserve"> </v>
      </c>
      <c r="K15" s="44" t="str">
        <f>VLOOKUP(C15,Bolts!A:L,9,0)</f>
        <v xml:space="preserve"> </v>
      </c>
      <c r="L15" s="44" t="str">
        <f>VLOOKUP(C15,Bolts!A:L,10,0)</f>
        <v xml:space="preserve"> </v>
      </c>
      <c r="M15" s="44" t="str">
        <f>VLOOKUP(C15,Bolts!A:L,11,0)</f>
        <v xml:space="preserve"> </v>
      </c>
      <c r="N15" s="45" t="str">
        <f>VLOOKUP(C15,Bolts!A:L,12,0)</f>
        <v xml:space="preserve"> </v>
      </c>
      <c r="O15" s="45" t="e">
        <f t="shared" ca="1" si="5"/>
        <v>#VALUE!</v>
      </c>
      <c r="P15" s="49" t="str">
        <f>IFERROR(VLOOKUP(C15,Bolts!A:B,2,FALSE),"")</f>
        <v xml:space="preserve"> </v>
      </c>
      <c r="Q15" s="50" t="str">
        <f t="shared" si="6"/>
        <v/>
      </c>
    </row>
    <row r="16" spans="1:17" s="2" customFormat="1" ht="12" customHeight="1">
      <c r="A16" s="4">
        <f>A15+1</f>
        <v>504</v>
      </c>
      <c r="B16" s="2">
        <v>8</v>
      </c>
      <c r="C16" s="110" t="s">
        <v>1153</v>
      </c>
      <c r="D16" s="268"/>
      <c r="E16" s="276"/>
      <c r="F16" s="112" t="str">
        <f>VLOOKUP(C16,Bolts!A:L,5,0)</f>
        <v xml:space="preserve">  </v>
      </c>
      <c r="G16" s="112" t="str">
        <f>VLOOKUP(C16,Bolts!A:L,6,0)</f>
        <v>Monroe Fasteners</v>
      </c>
      <c r="H16" s="112" t="str">
        <f>VLOOKUP(C16,Bolts!A:L,7,0)</f>
        <v xml:space="preserve">  </v>
      </c>
      <c r="I16" s="112"/>
      <c r="J16" s="44" t="str">
        <f>VLOOKUP(C16,Bolts!A:L,8,0)</f>
        <v xml:space="preserve"> </v>
      </c>
      <c r="K16" s="44" t="str">
        <f>VLOOKUP(C16,Bolts!A:L,9,0)</f>
        <v xml:space="preserve"> </v>
      </c>
      <c r="L16" s="44" t="str">
        <f>VLOOKUP(C16,Bolts!A:L,10,0)</f>
        <v xml:space="preserve"> </v>
      </c>
      <c r="M16" s="44" t="str">
        <f>VLOOKUP(C16,Bolts!A:L,11,0)</f>
        <v xml:space="preserve"> </v>
      </c>
      <c r="N16" s="45" t="str">
        <f>VLOOKUP(C16,Bolts!A:L,12,0)</f>
        <v xml:space="preserve"> </v>
      </c>
      <c r="O16" s="45" t="e">
        <f t="shared" ca="1" si="5"/>
        <v>#VALUE!</v>
      </c>
      <c r="P16" s="49" t="str">
        <f>IFERROR(VLOOKUP(C16,Bolts!A:B,2,FALSE),"")</f>
        <v xml:space="preserve"> </v>
      </c>
      <c r="Q16" s="50" t="str">
        <f t="shared" si="6"/>
        <v/>
      </c>
    </row>
    <row r="17" spans="1:17" s="2" customFormat="1" ht="12.75" customHeight="1">
      <c r="A17" s="25"/>
      <c r="B17" s="26"/>
      <c r="C17" s="26"/>
      <c r="D17" s="272"/>
      <c r="E17" s="273"/>
      <c r="F17" s="26"/>
      <c r="G17" s="26"/>
      <c r="H17" s="274"/>
      <c r="I17" s="275"/>
      <c r="J17" s="27"/>
      <c r="K17" s="27"/>
      <c r="L17" s="27"/>
      <c r="M17" s="28"/>
      <c r="N17" s="29"/>
      <c r="O17" s="29"/>
      <c r="P17" s="141"/>
      <c r="Q17" s="142"/>
    </row>
    <row r="18" spans="1:17" s="2" customFormat="1" ht="12.75" customHeight="1">
      <c r="A18" s="4">
        <v>701</v>
      </c>
      <c r="B18" s="2">
        <v>1</v>
      </c>
      <c r="C18" s="111" t="s">
        <v>1154</v>
      </c>
      <c r="D18" s="268" t="str">
        <f>VLOOKUP(C18,Extrusion!B:C,2,0)</f>
        <v>Assy .511</v>
      </c>
      <c r="E18" s="269"/>
      <c r="F18" s="112" t="str">
        <f>VLOOKUP(C18,Extrusion!B:M,6,0)</f>
        <v>BOSCH</v>
      </c>
      <c r="G18" s="112" t="str">
        <f>VLOOKUP(C18,Extrusion!B:M,7,0)</f>
        <v>NULINE</v>
      </c>
      <c r="H18" s="112" t="str">
        <f>VLOOKUP(C18,Extrusion!B:M,8,0)</f>
        <v xml:space="preserve"> </v>
      </c>
      <c r="I18" s="113"/>
      <c r="J18" s="44" t="str">
        <f>VLOOKUP(C18,Extrusion!B:M,9,0)</f>
        <v>N/A</v>
      </c>
      <c r="K18" s="44">
        <f>VLOOKUP(C18,Extrusion!B:M,10,0)</f>
        <v>44894</v>
      </c>
      <c r="L18" s="44">
        <f>VLOOKUP(C18,Extrusion!B:M,11,0)</f>
        <v>44970</v>
      </c>
      <c r="M18" s="44">
        <f>VLOOKUP(C18,Extrusion!B:M,12,0)</f>
        <v>44970</v>
      </c>
      <c r="N18" s="45">
        <f>VLOOKUP(C18,Extrusion!B:N,13,0)</f>
        <v>54598</v>
      </c>
      <c r="O18" s="45" t="e">
        <f t="shared" ref="O18:O19" ca="1" si="8">B18*$L$2</f>
        <v>#VALUE!</v>
      </c>
      <c r="P18" s="49">
        <f>IFERROR(VLOOKUP(C18,Extrusion!B:F,5,0),"")</f>
        <v>84.204087133333331</v>
      </c>
      <c r="Q18" s="50">
        <f t="shared" ref="Q18:Q19" si="9">IFERROR(B18*P18,"")</f>
        <v>84.204087133333331</v>
      </c>
    </row>
    <row r="19" spans="1:17" s="2" customFormat="1" ht="12" customHeight="1" thickBot="1">
      <c r="A19" s="4">
        <f t="shared" ref="A19" si="10">A18+1</f>
        <v>702</v>
      </c>
      <c r="B19" s="2">
        <v>4</v>
      </c>
      <c r="C19" s="111" t="s">
        <v>1155</v>
      </c>
      <c r="D19" s="268" t="str">
        <f>VLOOKUP(C19,Extrusion!B:C,2,0)</f>
        <v>Assy .511</v>
      </c>
      <c r="E19" s="269"/>
      <c r="F19" s="112" t="str">
        <f>VLOOKUP(C19,Extrusion!B:M,6,0)</f>
        <v>BOSCH</v>
      </c>
      <c r="G19" s="112" t="str">
        <f>VLOOKUP(C19,Extrusion!B:M,7,0)</f>
        <v>NULINE</v>
      </c>
      <c r="H19" s="112" t="str">
        <f>VLOOKUP(C19,Extrusion!B:M,8,0)</f>
        <v xml:space="preserve"> </v>
      </c>
      <c r="I19" s="113"/>
      <c r="J19" s="44" t="str">
        <f>VLOOKUP(C19,Extrusion!B:M,9,0)</f>
        <v>N/A</v>
      </c>
      <c r="K19" s="44">
        <f>VLOOKUP(C19,Extrusion!B:M,10,0)</f>
        <v>44894</v>
      </c>
      <c r="L19" s="44">
        <f>VLOOKUP(C19,Extrusion!B:M,11,0)</f>
        <v>44970</v>
      </c>
      <c r="M19" s="44">
        <f>VLOOKUP(C19,Extrusion!B:M,12,0)</f>
        <v>44970</v>
      </c>
      <c r="N19" s="45">
        <f>VLOOKUP(C19,Extrusion!B:N,13,0)</f>
        <v>54598</v>
      </c>
      <c r="O19" s="45" t="e">
        <f t="shared" ca="1" si="8"/>
        <v>#VALUE!</v>
      </c>
      <c r="P19" s="49">
        <f>IFERROR(VLOOKUP(C19,Extrusion!B:F,5,0),"")</f>
        <v>43.367070400000003</v>
      </c>
      <c r="Q19" s="50">
        <f t="shared" si="9"/>
        <v>173.46828160000001</v>
      </c>
    </row>
    <row r="20" spans="1:17" s="2" customFormat="1" ht="12.75" customHeight="1" thickBot="1">
      <c r="A20" s="34"/>
      <c r="B20" s="35"/>
      <c r="C20" s="35"/>
      <c r="D20" s="256"/>
      <c r="E20" s="257"/>
      <c r="F20" s="35"/>
      <c r="G20" s="35"/>
      <c r="H20" s="294"/>
      <c r="I20" s="295"/>
      <c r="J20" s="36"/>
      <c r="K20" s="36"/>
      <c r="L20" s="36"/>
      <c r="M20" s="37"/>
      <c r="N20" s="38"/>
      <c r="O20" s="38"/>
      <c r="P20" s="89" t="s">
        <v>43</v>
      </c>
      <c r="Q20" s="94">
        <f>SUM(Q5:Q19)</f>
        <v>1170.5523687333334</v>
      </c>
    </row>
    <row r="21" spans="1:17" s="2" customFormat="1" ht="12" customHeight="1">
      <c r="D21" s="22"/>
      <c r="E21" s="22"/>
      <c r="J21" s="8"/>
      <c r="K21" s="8"/>
      <c r="L21" s="8"/>
      <c r="M21" s="8"/>
      <c r="N21" s="5"/>
      <c r="O21" s="5"/>
      <c r="P21" s="88"/>
      <c r="Q21" s="95"/>
    </row>
    <row r="22" spans="1:17" s="2" customFormat="1" ht="12" customHeight="1">
      <c r="D22" s="22"/>
      <c r="E22" s="22"/>
      <c r="J22" s="5"/>
      <c r="K22" s="5"/>
      <c r="L22" s="5"/>
      <c r="M22" s="5"/>
      <c r="N22" s="5"/>
      <c r="O22" s="5"/>
      <c r="P22" s="88"/>
      <c r="Q22" s="95"/>
    </row>
    <row r="23" spans="1:17" s="2" customFormat="1" ht="12" customHeight="1">
      <c r="D23" s="22"/>
      <c r="E23" s="22"/>
      <c r="J23" s="5"/>
      <c r="K23" s="5"/>
      <c r="L23" s="5"/>
      <c r="M23" s="5"/>
      <c r="N23" s="5"/>
      <c r="O23" s="5"/>
      <c r="P23" s="88"/>
      <c r="Q23" s="95"/>
    </row>
    <row r="24" spans="1:17" s="2" customFormat="1" ht="12" customHeight="1">
      <c r="D24" s="22"/>
      <c r="E24" s="22"/>
      <c r="J24" s="5"/>
      <c r="K24" s="5"/>
      <c r="L24" s="5"/>
      <c r="M24" s="5"/>
      <c r="N24" s="5"/>
      <c r="O24" s="5"/>
      <c r="P24" s="88"/>
      <c r="Q24" s="95"/>
    </row>
    <row r="25" spans="1:17" s="2" customFormat="1" ht="12" customHeight="1">
      <c r="D25" s="22"/>
      <c r="E25" s="22"/>
      <c r="J25" s="5"/>
      <c r="K25" s="5"/>
      <c r="L25" s="5"/>
      <c r="M25" s="5"/>
      <c r="N25" s="5"/>
      <c r="O25" s="5"/>
      <c r="P25" s="88"/>
      <c r="Q25" s="95"/>
    </row>
    <row r="26" spans="1:17" s="2" customFormat="1" ht="12" customHeight="1">
      <c r="D26" s="22"/>
      <c r="E26" s="22"/>
      <c r="J26" s="5"/>
      <c r="K26" s="5"/>
      <c r="L26" s="5"/>
      <c r="M26" s="5"/>
      <c r="N26" s="5"/>
      <c r="O26" s="5"/>
      <c r="P26" s="88"/>
      <c r="Q26" s="95"/>
    </row>
    <row r="27" spans="1:17" s="2" customFormat="1" ht="12" customHeight="1">
      <c r="D27" s="22"/>
      <c r="E27" s="22"/>
      <c r="J27" s="5"/>
      <c r="K27" s="5"/>
      <c r="L27" s="5"/>
      <c r="M27" s="5"/>
      <c r="N27" s="5"/>
      <c r="O27" s="5"/>
      <c r="P27" s="88"/>
      <c r="Q27" s="95"/>
    </row>
    <row r="28" spans="1:17" s="2" customFormat="1" ht="12" customHeight="1">
      <c r="D28" s="22"/>
      <c r="E28" s="22"/>
      <c r="J28" s="5"/>
      <c r="K28" s="5"/>
      <c r="L28" s="5"/>
      <c r="M28" s="5"/>
      <c r="N28" s="5"/>
      <c r="O28" s="5"/>
      <c r="P28" s="88"/>
      <c r="Q28" s="95"/>
    </row>
    <row r="29" spans="1:17" s="2" customFormat="1" ht="12" customHeight="1">
      <c r="D29" s="22"/>
      <c r="E29" s="22"/>
      <c r="J29" s="5"/>
      <c r="K29" s="5"/>
      <c r="L29" s="5"/>
      <c r="M29" s="5"/>
      <c r="N29" s="5"/>
      <c r="O29" s="5"/>
      <c r="P29" s="88"/>
      <c r="Q29" s="95"/>
    </row>
    <row r="30" spans="1:17" s="2" customFormat="1" ht="12" customHeight="1">
      <c r="D30" s="22"/>
      <c r="E30" s="22"/>
      <c r="J30" s="5"/>
      <c r="K30" s="5"/>
      <c r="L30" s="5"/>
      <c r="M30" s="5"/>
      <c r="N30" s="5"/>
      <c r="O30" s="5"/>
      <c r="P30" s="88"/>
      <c r="Q30" s="95"/>
    </row>
    <row r="31" spans="1:17" s="2" customFormat="1" ht="12" customHeight="1">
      <c r="D31" s="22"/>
      <c r="E31" s="22"/>
      <c r="J31" s="5"/>
      <c r="K31" s="5"/>
      <c r="L31" s="5"/>
      <c r="M31" s="5"/>
      <c r="N31" s="5"/>
      <c r="O31" s="5"/>
      <c r="P31" s="88"/>
      <c r="Q31" s="95"/>
    </row>
    <row r="32" spans="1:17" s="2" customFormat="1" ht="12" customHeight="1">
      <c r="D32" s="22"/>
      <c r="E32" s="22"/>
      <c r="J32" s="5"/>
      <c r="K32" s="5"/>
      <c r="L32" s="5"/>
      <c r="M32" s="5"/>
      <c r="N32" s="5"/>
      <c r="O32" s="5"/>
      <c r="P32" s="88"/>
      <c r="Q32" s="95"/>
    </row>
    <row r="33" spans="4:17" s="2" customFormat="1" ht="12" customHeight="1">
      <c r="D33" s="22"/>
      <c r="E33" s="22"/>
      <c r="J33" s="5"/>
      <c r="K33" s="5"/>
      <c r="L33" s="5"/>
      <c r="M33" s="5"/>
      <c r="N33" s="5"/>
      <c r="O33" s="5"/>
      <c r="P33" s="88"/>
      <c r="Q33" s="95"/>
    </row>
    <row r="34" spans="4:17" s="2" customFormat="1" ht="12" customHeight="1">
      <c r="D34" s="22"/>
      <c r="E34" s="22"/>
      <c r="J34" s="5"/>
      <c r="K34" s="5"/>
      <c r="L34" s="5"/>
      <c r="M34" s="5"/>
      <c r="N34" s="5"/>
      <c r="O34" s="5"/>
      <c r="P34" s="88"/>
      <c r="Q34" s="95"/>
    </row>
    <row r="35" spans="4:17" s="2" customFormat="1" ht="12" customHeight="1">
      <c r="D35" s="22"/>
      <c r="E35" s="22"/>
      <c r="J35" s="5"/>
      <c r="K35" s="5"/>
      <c r="L35" s="5"/>
      <c r="M35" s="5"/>
      <c r="N35" s="5"/>
      <c r="O35" s="5"/>
      <c r="P35" s="88"/>
      <c r="Q35" s="95"/>
    </row>
    <row r="36" spans="4:17" s="2" customFormat="1" ht="12" customHeight="1">
      <c r="D36" s="22"/>
      <c r="E36" s="22"/>
      <c r="J36" s="5"/>
      <c r="K36" s="5"/>
      <c r="L36" s="5"/>
      <c r="M36" s="5"/>
      <c r="N36" s="5"/>
      <c r="O36" s="5"/>
      <c r="P36" s="88"/>
      <c r="Q36" s="95"/>
    </row>
    <row r="37" spans="4:17" s="2" customFormat="1" ht="12" customHeight="1">
      <c r="D37" s="22"/>
      <c r="E37" s="22"/>
      <c r="J37" s="5"/>
      <c r="K37" s="5"/>
      <c r="L37" s="5"/>
      <c r="M37" s="5"/>
      <c r="N37" s="5"/>
      <c r="O37" s="5"/>
      <c r="P37" s="88"/>
      <c r="Q37" s="95"/>
    </row>
    <row r="38" spans="4:17" s="2" customFormat="1" ht="12" customHeight="1">
      <c r="D38" s="22"/>
      <c r="E38" s="22"/>
      <c r="J38" s="5"/>
      <c r="K38" s="5"/>
      <c r="L38" s="5"/>
      <c r="M38" s="5"/>
      <c r="N38" s="5"/>
      <c r="O38" s="5"/>
      <c r="P38" s="88"/>
      <c r="Q38" s="95"/>
    </row>
    <row r="39" spans="4:17" s="2" customFormat="1" ht="12" customHeight="1">
      <c r="D39" s="22"/>
      <c r="E39" s="22"/>
      <c r="J39" s="5"/>
      <c r="K39" s="5"/>
      <c r="L39" s="5"/>
      <c r="M39" s="5"/>
      <c r="N39" s="5"/>
      <c r="O39" s="5"/>
      <c r="P39" s="88"/>
      <c r="Q39" s="95"/>
    </row>
    <row r="40" spans="4:17" s="2" customFormat="1" ht="12" customHeight="1">
      <c r="D40" s="22"/>
      <c r="E40" s="22"/>
      <c r="J40" s="5"/>
      <c r="K40" s="5"/>
      <c r="L40" s="5"/>
      <c r="M40" s="5"/>
      <c r="N40" s="5"/>
      <c r="O40" s="5"/>
      <c r="P40" s="88"/>
      <c r="Q40" s="95"/>
    </row>
    <row r="41" spans="4:17" s="2" customFormat="1" ht="12" customHeight="1">
      <c r="D41" s="22"/>
      <c r="E41" s="22"/>
      <c r="J41" s="5"/>
      <c r="K41" s="5"/>
      <c r="L41" s="5"/>
      <c r="M41" s="5"/>
      <c r="N41" s="5"/>
      <c r="O41" s="5"/>
      <c r="P41" s="88"/>
      <c r="Q41" s="95"/>
    </row>
    <row r="42" spans="4:17" s="2" customFormat="1" ht="12" customHeight="1">
      <c r="D42" s="22"/>
      <c r="E42" s="22"/>
      <c r="J42" s="5"/>
      <c r="K42" s="5"/>
      <c r="L42" s="5"/>
      <c r="M42" s="5"/>
      <c r="N42" s="5"/>
      <c r="O42" s="5"/>
      <c r="P42" s="88"/>
      <c r="Q42" s="95"/>
    </row>
    <row r="43" spans="4:17" s="2" customFormat="1" ht="12" customHeight="1">
      <c r="D43" s="22"/>
      <c r="E43" s="22"/>
      <c r="J43" s="5"/>
      <c r="K43" s="5"/>
      <c r="L43" s="5"/>
      <c r="M43" s="5"/>
      <c r="N43" s="5"/>
      <c r="O43" s="5"/>
      <c r="P43" s="88"/>
      <c r="Q43" s="95"/>
    </row>
    <row r="44" spans="4:17" s="2" customFormat="1" ht="12" customHeight="1">
      <c r="D44" s="22"/>
      <c r="E44" s="22"/>
      <c r="J44" s="5"/>
      <c r="K44" s="5"/>
      <c r="L44" s="5"/>
      <c r="M44" s="5"/>
      <c r="N44" s="5"/>
      <c r="O44" s="5"/>
      <c r="P44" s="88"/>
      <c r="Q44" s="95"/>
    </row>
    <row r="45" spans="4:17" s="2" customFormat="1" ht="12" customHeight="1">
      <c r="D45" s="22"/>
      <c r="E45" s="22"/>
      <c r="J45" s="5"/>
      <c r="K45" s="5"/>
      <c r="L45" s="5"/>
      <c r="M45" s="5"/>
      <c r="N45" s="5"/>
      <c r="O45" s="5"/>
      <c r="P45" s="88"/>
      <c r="Q45" s="95"/>
    </row>
    <row r="46" spans="4:17" s="2" customFormat="1" ht="12" customHeight="1">
      <c r="D46" s="22"/>
      <c r="E46" s="22"/>
      <c r="J46" s="5"/>
      <c r="K46" s="5"/>
      <c r="L46" s="5"/>
      <c r="M46" s="5"/>
      <c r="N46" s="5"/>
      <c r="O46" s="5"/>
      <c r="P46" s="88"/>
      <c r="Q46" s="95"/>
    </row>
    <row r="47" spans="4:17" s="2" customFormat="1" ht="12" customHeight="1">
      <c r="D47" s="22"/>
      <c r="E47" s="22"/>
      <c r="J47" s="5"/>
      <c r="K47" s="5"/>
      <c r="L47" s="5"/>
      <c r="M47" s="5"/>
      <c r="N47" s="5"/>
      <c r="O47" s="5"/>
      <c r="P47" s="88"/>
      <c r="Q47" s="95"/>
    </row>
    <row r="48" spans="4:17" s="2" customFormat="1" ht="12" customHeight="1">
      <c r="D48" s="22"/>
      <c r="E48" s="22"/>
      <c r="J48" s="5"/>
      <c r="K48" s="5"/>
      <c r="L48" s="5"/>
      <c r="M48" s="5"/>
      <c r="N48" s="5"/>
      <c r="O48" s="5"/>
      <c r="P48" s="88"/>
      <c r="Q48" s="95"/>
    </row>
    <row r="49" spans="1:17" s="2" customFormat="1" ht="12" customHeight="1">
      <c r="D49" s="22"/>
      <c r="E49" s="22"/>
      <c r="J49" s="5"/>
      <c r="K49" s="5"/>
      <c r="L49" s="5"/>
      <c r="M49" s="5"/>
      <c r="N49" s="5"/>
      <c r="O49" s="5"/>
      <c r="P49" s="88"/>
      <c r="Q49" s="95"/>
    </row>
    <row r="50" spans="1:17" s="2" customFormat="1" ht="12" customHeight="1">
      <c r="D50" s="22"/>
      <c r="E50" s="22"/>
      <c r="J50" s="5"/>
      <c r="K50" s="5"/>
      <c r="L50" s="5"/>
      <c r="M50" s="5"/>
      <c r="N50" s="5"/>
      <c r="O50" s="5"/>
      <c r="P50" s="88"/>
      <c r="Q50" s="95"/>
    </row>
    <row r="51" spans="1:17" s="2" customFormat="1" ht="12" customHeight="1">
      <c r="D51" s="22"/>
      <c r="E51" s="22"/>
      <c r="J51" s="5"/>
      <c r="K51" s="5"/>
      <c r="L51" s="5"/>
      <c r="M51" s="5"/>
      <c r="N51" s="5"/>
      <c r="O51" s="5"/>
      <c r="P51" s="88"/>
      <c r="Q51" s="95"/>
    </row>
    <row r="52" spans="1:17" s="2" customFormat="1" ht="12" customHeight="1">
      <c r="D52" s="22"/>
      <c r="E52" s="22"/>
      <c r="J52" s="5"/>
      <c r="K52" s="5"/>
      <c r="L52" s="5"/>
      <c r="M52" s="5"/>
      <c r="N52" s="5"/>
      <c r="O52" s="5"/>
      <c r="P52" s="88"/>
      <c r="Q52" s="95"/>
    </row>
    <row r="53" spans="1:17" s="2" customFormat="1" ht="12" customHeight="1">
      <c r="D53" s="22"/>
      <c r="E53" s="22"/>
      <c r="J53" s="5"/>
      <c r="K53" s="5"/>
      <c r="L53" s="5"/>
      <c r="M53" s="5"/>
      <c r="N53" s="5"/>
      <c r="O53" s="5"/>
      <c r="P53" s="88"/>
      <c r="Q53" s="95"/>
    </row>
    <row r="54" spans="1:17" s="2" customFormat="1" ht="12" customHeight="1">
      <c r="D54" s="22"/>
      <c r="E54" s="22"/>
      <c r="J54" s="5"/>
      <c r="K54" s="5"/>
      <c r="L54" s="5"/>
      <c r="M54" s="5"/>
      <c r="N54" s="5"/>
      <c r="O54" s="5"/>
      <c r="P54" s="88"/>
      <c r="Q54" s="95"/>
    </row>
    <row r="55" spans="1:17" s="2" customFormat="1" ht="12" customHeight="1">
      <c r="D55" s="22"/>
      <c r="E55" s="22"/>
      <c r="J55" s="5"/>
      <c r="K55" s="5"/>
      <c r="L55" s="5"/>
      <c r="M55" s="5"/>
      <c r="N55" s="5"/>
      <c r="O55" s="5"/>
      <c r="P55" s="88"/>
      <c r="Q55" s="95"/>
    </row>
    <row r="56" spans="1:17" s="2" customFormat="1" ht="12" customHeight="1">
      <c r="D56" s="22"/>
      <c r="E56" s="22"/>
      <c r="J56" s="5"/>
      <c r="K56" s="5"/>
      <c r="L56" s="5"/>
      <c r="M56" s="5"/>
      <c r="N56" s="5"/>
      <c r="O56" s="5"/>
      <c r="P56" s="88"/>
      <c r="Q56" s="95"/>
    </row>
    <row r="57" spans="1:17" s="2" customFormat="1" ht="12" customHeight="1">
      <c r="D57" s="22"/>
      <c r="E57" s="22"/>
      <c r="J57" s="5"/>
      <c r="K57" s="5"/>
      <c r="L57" s="5"/>
      <c r="M57" s="5"/>
      <c r="N57" s="5"/>
      <c r="O57" s="5"/>
      <c r="P57" s="88"/>
      <c r="Q57" s="95"/>
    </row>
    <row r="58" spans="1:17" s="2" customFormat="1" ht="12" customHeight="1">
      <c r="D58" s="22"/>
      <c r="E58" s="22"/>
      <c r="J58" s="5"/>
      <c r="K58" s="5"/>
      <c r="L58" s="5"/>
      <c r="M58" s="5"/>
      <c r="N58" s="5"/>
      <c r="O58" s="5"/>
      <c r="P58" s="88"/>
      <c r="Q58" s="95"/>
    </row>
    <row r="59" spans="1:17" s="2" customFormat="1" ht="12" customHeight="1">
      <c r="D59" s="22"/>
      <c r="E59" s="22"/>
      <c r="J59" s="5"/>
      <c r="K59" s="5"/>
      <c r="L59" s="5"/>
      <c r="M59" s="5"/>
      <c r="N59" s="5"/>
      <c r="O59" s="5"/>
      <c r="P59" s="88"/>
      <c r="Q59" s="96"/>
    </row>
    <row r="60" spans="1:17" s="2" customFormat="1" ht="12" customHeight="1">
      <c r="D60" s="22"/>
      <c r="E60" s="22"/>
      <c r="J60" s="5"/>
      <c r="K60" s="5"/>
      <c r="L60" s="5"/>
      <c r="M60" s="5"/>
      <c r="N60" s="5"/>
      <c r="O60" s="5"/>
      <c r="P60" s="88"/>
      <c r="Q60" s="96"/>
    </row>
    <row r="61" spans="1:17" s="2" customFormat="1" ht="12" customHeight="1">
      <c r="D61" s="22"/>
      <c r="E61" s="22"/>
      <c r="J61" s="5"/>
      <c r="K61" s="5"/>
      <c r="L61" s="5"/>
      <c r="M61" s="5"/>
      <c r="N61" s="5"/>
      <c r="O61" s="5"/>
      <c r="P61" s="88"/>
      <c r="Q61" s="96"/>
    </row>
    <row r="62" spans="1:17" s="2" customFormat="1" ht="12" customHeight="1">
      <c r="D62" s="22"/>
      <c r="E62" s="22"/>
      <c r="J62" s="5"/>
      <c r="K62" s="5"/>
      <c r="L62" s="5"/>
      <c r="M62" s="5"/>
      <c r="N62" s="5"/>
      <c r="O62" s="5"/>
      <c r="P62" s="88"/>
      <c r="Q62" s="96"/>
    </row>
    <row r="63" spans="1:17" s="2" customFormat="1" ht="12" customHeight="1">
      <c r="A63"/>
      <c r="B63"/>
      <c r="C63"/>
      <c r="D63" s="23"/>
      <c r="E63" s="23"/>
      <c r="F63"/>
      <c r="G63"/>
      <c r="H63"/>
      <c r="I63"/>
      <c r="J63" s="19"/>
      <c r="K63" s="19"/>
      <c r="L63" s="19"/>
      <c r="M63" s="19"/>
      <c r="N63" s="19"/>
      <c r="O63" s="19"/>
      <c r="P63" s="90"/>
      <c r="Q63" s="96"/>
    </row>
    <row r="64" spans="1:17" s="2" customFormat="1" ht="12" customHeight="1">
      <c r="A64"/>
      <c r="B64"/>
      <c r="C64"/>
      <c r="D64" s="23"/>
      <c r="E64" s="23"/>
      <c r="F64"/>
      <c r="G64"/>
      <c r="H64"/>
      <c r="I64"/>
      <c r="J64" s="19"/>
      <c r="K64" s="19"/>
      <c r="L64" s="19"/>
      <c r="M64" s="19"/>
      <c r="N64" s="19"/>
      <c r="O64" s="19"/>
      <c r="P64" s="90"/>
      <c r="Q64" s="96"/>
    </row>
    <row r="65" spans="1:17" s="2" customFormat="1" ht="12" customHeight="1">
      <c r="A65"/>
      <c r="B65"/>
      <c r="C65"/>
      <c r="D65" s="23"/>
      <c r="E65" s="23"/>
      <c r="F65"/>
      <c r="G65"/>
      <c r="H65"/>
      <c r="I65"/>
      <c r="J65" s="19"/>
      <c r="K65" s="19"/>
      <c r="L65" s="19"/>
      <c r="M65" s="19"/>
      <c r="N65" s="19"/>
      <c r="O65" s="19"/>
      <c r="P65" s="90"/>
      <c r="Q65" s="96"/>
    </row>
    <row r="66" spans="1:17" s="2" customFormat="1" ht="12" customHeight="1">
      <c r="A66"/>
      <c r="B66"/>
      <c r="C66"/>
      <c r="D66" s="23"/>
      <c r="E66" s="23"/>
      <c r="F66"/>
      <c r="G66"/>
      <c r="H66"/>
      <c r="I66"/>
      <c r="J66" s="19"/>
      <c r="K66" s="19"/>
      <c r="L66" s="19"/>
      <c r="M66" s="19"/>
      <c r="N66" s="19"/>
      <c r="O66" s="19"/>
      <c r="P66" s="90"/>
      <c r="Q66" s="96"/>
    </row>
    <row r="67" spans="1:17" s="2" customFormat="1" ht="12" customHeight="1">
      <c r="A67"/>
      <c r="B67"/>
      <c r="C67"/>
      <c r="D67" s="23"/>
      <c r="E67" s="23"/>
      <c r="F67"/>
      <c r="G67"/>
      <c r="H67"/>
      <c r="I67"/>
      <c r="J67" s="19"/>
      <c r="K67" s="19"/>
      <c r="L67" s="19"/>
      <c r="M67" s="19"/>
      <c r="N67" s="19"/>
      <c r="O67" s="19"/>
      <c r="P67" s="90"/>
      <c r="Q67" s="96"/>
    </row>
    <row r="68" spans="1:17">
      <c r="Q68" s="96"/>
    </row>
    <row r="69" spans="1:17">
      <c r="Q69" s="96"/>
    </row>
    <row r="70" spans="1:17">
      <c r="Q70" s="96"/>
    </row>
    <row r="71" spans="1:17">
      <c r="Q71" s="96"/>
    </row>
    <row r="72" spans="1:17">
      <c r="Q72" s="96"/>
    </row>
    <row r="73" spans="1:17">
      <c r="Q73" s="96"/>
    </row>
    <row r="74" spans="1:17">
      <c r="Q74" s="96"/>
    </row>
    <row r="75" spans="1:17">
      <c r="Q75" s="96"/>
    </row>
    <row r="76" spans="1:17">
      <c r="Q76" s="96"/>
    </row>
    <row r="77" spans="1:17">
      <c r="Q77" s="96"/>
    </row>
    <row r="78" spans="1:17">
      <c r="Q78" s="96"/>
    </row>
    <row r="79" spans="1:17">
      <c r="Q79" s="96"/>
    </row>
    <row r="80" spans="1:17">
      <c r="Q80" s="96"/>
    </row>
    <row r="81" spans="17:17">
      <c r="Q81" s="96"/>
    </row>
    <row r="82" spans="17:17">
      <c r="Q82" s="96"/>
    </row>
    <row r="83" spans="17:17">
      <c r="Q83" s="96"/>
    </row>
    <row r="84" spans="17:17">
      <c r="Q84" s="96"/>
    </row>
    <row r="85" spans="17:17">
      <c r="Q85" s="96"/>
    </row>
    <row r="86" spans="17:17">
      <c r="Q86" s="96"/>
    </row>
    <row r="87" spans="17:17">
      <c r="Q87" s="96"/>
    </row>
    <row r="124" ht="12" customHeight="1"/>
    <row r="125" ht="12" customHeight="1"/>
    <row r="126" ht="12" customHeight="1"/>
    <row r="127" ht="12" customHeight="1"/>
    <row r="128" ht="12" customHeight="1"/>
    <row r="129" ht="12" customHeight="1"/>
    <row r="130" ht="12" customHeight="1"/>
    <row r="131" ht="12" customHeight="1"/>
    <row r="132" ht="12" customHeight="1"/>
    <row r="133" ht="12" customHeight="1"/>
    <row r="134" ht="12" customHeight="1"/>
    <row r="135" ht="12" customHeight="1"/>
    <row r="136" ht="12" customHeight="1"/>
    <row r="137" ht="12" customHeight="1"/>
    <row r="138" ht="12" customHeight="1"/>
    <row r="139" ht="12" customHeight="1"/>
    <row r="140" ht="12" customHeight="1"/>
    <row r="141" ht="12" customHeight="1"/>
    <row r="142" ht="12" customHeight="1"/>
    <row r="143" ht="12" customHeight="1"/>
    <row r="144" ht="12" customHeight="1"/>
    <row r="145" ht="12" customHeight="1"/>
    <row r="146" ht="12" customHeight="1"/>
    <row r="147" ht="12" customHeight="1"/>
    <row r="148" ht="12" customHeight="1"/>
    <row r="149" ht="12" customHeight="1"/>
    <row r="150" ht="12" customHeight="1"/>
    <row r="151" ht="12" customHeight="1"/>
    <row r="152" ht="12" customHeight="1"/>
    <row r="153" ht="12" customHeight="1"/>
    <row r="154" ht="12" customHeight="1"/>
    <row r="155" ht="12" customHeight="1"/>
    <row r="156" ht="12" customHeight="1"/>
    <row r="157" ht="12" customHeight="1"/>
    <row r="158" ht="12" customHeight="1"/>
    <row r="159" ht="12" customHeight="1"/>
    <row r="160" ht="12" customHeight="1"/>
    <row r="161" ht="12" customHeight="1"/>
    <row r="162" ht="12" customHeight="1"/>
    <row r="163" ht="12" customHeight="1"/>
    <row r="164" ht="12" customHeight="1"/>
    <row r="165" ht="12" customHeight="1"/>
    <row r="166" ht="12" customHeight="1"/>
    <row r="167" ht="12" customHeight="1"/>
    <row r="168" ht="12" customHeight="1"/>
    <row r="169" ht="12" customHeight="1"/>
    <row r="170" ht="12" customHeight="1"/>
    <row r="171" ht="12" customHeight="1"/>
    <row r="172" ht="12" customHeight="1"/>
    <row r="173" ht="12" customHeight="1"/>
  </sheetData>
  <mergeCells count="23">
    <mergeCell ref="D18:E18"/>
    <mergeCell ref="D19:E19"/>
    <mergeCell ref="D20:E20"/>
    <mergeCell ref="H20:I20"/>
    <mergeCell ref="D16:E16"/>
    <mergeCell ref="D12:E12"/>
    <mergeCell ref="D17:E17"/>
    <mergeCell ref="H17:I17"/>
    <mergeCell ref="D11:E11"/>
    <mergeCell ref="H12:I12"/>
    <mergeCell ref="D13:E13"/>
    <mergeCell ref="D14:E14"/>
    <mergeCell ref="D15:E15"/>
    <mergeCell ref="D7:E7"/>
    <mergeCell ref="D8:E8"/>
    <mergeCell ref="D9:E9"/>
    <mergeCell ref="H9:I9"/>
    <mergeCell ref="D10:E10"/>
    <mergeCell ref="D1:E1"/>
    <mergeCell ref="D4:E4"/>
    <mergeCell ref="H4:I4"/>
    <mergeCell ref="D5:E5"/>
    <mergeCell ref="D6:E6"/>
  </mergeCells>
  <conditionalFormatting sqref="M5:M8 M10:M11 M18:M19 M13:M16">
    <cfRule type="cellIs" dxfId="274" priority="3" stopIfTrue="1" operator="lessThanOrEqual">
      <formula>$L5</formula>
    </cfRule>
    <cfRule type="cellIs" dxfId="273" priority="4" operator="greaterThan">
      <formula>L5</formula>
    </cfRule>
  </conditionalFormatting>
  <pageMargins left="0.7" right="0.7" top="0.75" bottom="0.75" header="0.3" footer="0.3"/>
  <pageSetup paperSize="3" fitToHeight="0" orientation="landscape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D40B6898-6905-4B37-B475-9786D21E39FD}">
          <x14:formula1>
            <xm:f>Bolts!$A:$A</xm:f>
          </x14:formula1>
          <xm:sqref>C13:C16</xm:sqref>
        </x14:dataValidation>
        <x14:dataValidation type="list" allowBlank="1" showInputMessage="1" showErrorMessage="1" xr:uid="{3F02559B-B824-4B35-99BB-55F721FC30DC}">
          <x14:formula1>
            <xm:f>Purchased!$A:$A</xm:f>
          </x14:formula1>
          <xm:sqref>C10:C11</xm:sqref>
        </x14:dataValidation>
        <x14:dataValidation type="list" allowBlank="1" showInputMessage="1" showErrorMessage="1" xr:uid="{998DCD4F-7FB8-490C-9EBA-8B4594AF83DB}">
          <x14:formula1>
            <xm:f>Extrusion!$B:$B</xm:f>
          </x14:formula1>
          <xm:sqref>C18:C19</xm:sqref>
        </x14:dataValidation>
        <x14:dataValidation type="list" allowBlank="1" showInputMessage="1" showErrorMessage="1" xr:uid="{D416A15E-8265-48FD-BA65-9D9D67B60797}">
          <x14:formula1>
            <xm:f>Machined!$C:$C</xm:f>
          </x14:formula1>
          <xm:sqref>C5:C8</xm:sqref>
        </x14:dataValidation>
      </x14:dataValidations>
    </ext>
  </extLst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85925D-E1B5-4E39-8EA7-79E4A2A9CB99}">
  <sheetPr codeName="Sheet108">
    <tabColor theme="3" tint="0.79998168889431442"/>
    <pageSetUpPr fitToPage="1"/>
  </sheetPr>
  <dimension ref="A1:Q179"/>
  <sheetViews>
    <sheetView zoomScaleNormal="100" workbookViewId="0">
      <selection activeCell="M38" sqref="M38"/>
    </sheetView>
  </sheetViews>
  <sheetFormatPr defaultColWidth="9.140625" defaultRowHeight="15"/>
  <cols>
    <col min="1" max="1" width="5.7109375" customWidth="1"/>
    <col min="2" max="2" width="5.42578125" bestFit="1" customWidth="1"/>
    <col min="3" max="3" width="30.7109375" customWidth="1"/>
    <col min="4" max="5" width="20.7109375" style="23" customWidth="1"/>
    <col min="6" max="6" width="16.85546875" bestFit="1" customWidth="1"/>
    <col min="7" max="7" width="9.7109375" customWidth="1"/>
    <col min="8" max="8" width="8.7109375" customWidth="1"/>
    <col min="9" max="9" width="20.7109375" customWidth="1"/>
    <col min="10" max="13" width="11.7109375" style="19" customWidth="1"/>
    <col min="14" max="14" width="11.85546875" style="19" bestFit="1" customWidth="1"/>
    <col min="15" max="15" width="7.7109375" style="19" customWidth="1"/>
    <col min="16" max="16" width="10.7109375" style="90" customWidth="1"/>
    <col min="17" max="17" width="10.7109375" style="97" customWidth="1"/>
  </cols>
  <sheetData>
    <row r="1" spans="1:17" s="55" customFormat="1" ht="12" customHeight="1">
      <c r="A1" s="68" t="s">
        <v>0</v>
      </c>
      <c r="B1" s="69"/>
      <c r="C1" s="69"/>
      <c r="D1" s="262" t="s">
        <v>1</v>
      </c>
      <c r="E1" s="263"/>
      <c r="F1" s="70"/>
      <c r="G1" s="69"/>
      <c r="H1" s="70"/>
      <c r="I1" s="71"/>
      <c r="J1" s="72"/>
      <c r="K1" s="72"/>
      <c r="L1" s="72"/>
      <c r="M1" s="72"/>
      <c r="N1" s="72"/>
      <c r="O1" s="72"/>
      <c r="P1" s="85"/>
      <c r="Q1" s="91"/>
    </row>
    <row r="2" spans="1:17" s="55" customFormat="1" ht="12" customHeight="1">
      <c r="A2" s="74" t="s">
        <v>48</v>
      </c>
      <c r="B2" s="58"/>
      <c r="C2" s="57" t="e">
        <f ca="1">VLOOKUP(E3,Assemblies!B:F,4,0)</f>
        <v>#VALUE!</v>
      </c>
      <c r="D2" s="75" t="s">
        <v>3</v>
      </c>
      <c r="E2" s="76" t="e">
        <f ca="1">'GF12'!E2</f>
        <v>#VALUE!</v>
      </c>
      <c r="F2" s="77" t="s">
        <v>4</v>
      </c>
      <c r="G2" s="58" t="str">
        <f>'GF12'!G2</f>
        <v>GH</v>
      </c>
      <c r="H2" s="77" t="s">
        <v>6</v>
      </c>
      <c r="I2" s="59">
        <f>'GF12'!I2</f>
        <v>44775</v>
      </c>
      <c r="J2" s="39"/>
      <c r="K2" s="40" t="s">
        <v>49</v>
      </c>
      <c r="L2" s="41" t="e">
        <f ca="1">VLOOKUP(C2,Assemblies!E:G,3,0)</f>
        <v>#VALUE!</v>
      </c>
      <c r="M2" s="78"/>
      <c r="N2" s="78"/>
      <c r="O2" s="78"/>
      <c r="P2" s="86"/>
      <c r="Q2" s="92"/>
    </row>
    <row r="3" spans="1:17" s="55" customFormat="1" ht="12" customHeight="1" thickBot="1">
      <c r="A3" s="74" t="s">
        <v>7</v>
      </c>
      <c r="B3" s="58"/>
      <c r="C3" s="57" t="e">
        <f ca="1">VLOOKUP(E3,Assemblies!B:F,5,0)</f>
        <v>#VALUE!</v>
      </c>
      <c r="D3" s="75" t="s">
        <v>50</v>
      </c>
      <c r="E3" s="76" t="e">
        <f ca="1">MID(CELL("filename",A1),FIND("]",CELL("filename",A1))+1,256)</f>
        <v>#VALUE!</v>
      </c>
      <c r="F3" s="77" t="s">
        <v>11</v>
      </c>
      <c r="G3" s="58" t="str">
        <f>'GF12'!G3</f>
        <v>GH</v>
      </c>
      <c r="H3" s="77" t="s">
        <v>6</v>
      </c>
      <c r="I3" s="59">
        <f>'GF12'!I3</f>
        <v>44775</v>
      </c>
      <c r="J3" s="78"/>
      <c r="K3" s="78"/>
      <c r="L3" s="78"/>
      <c r="M3" s="78"/>
      <c r="N3" s="78"/>
      <c r="O3" s="78"/>
      <c r="P3" s="86"/>
      <c r="Q3" s="92"/>
    </row>
    <row r="4" spans="1:17" s="56" customFormat="1" ht="12.75" customHeight="1" thickBot="1">
      <c r="A4" s="80" t="s">
        <v>12</v>
      </c>
      <c r="B4" s="81" t="s">
        <v>13</v>
      </c>
      <c r="C4" s="81" t="s">
        <v>14</v>
      </c>
      <c r="D4" s="270" t="s">
        <v>15</v>
      </c>
      <c r="E4" s="271"/>
      <c r="F4" s="104" t="s">
        <v>16</v>
      </c>
      <c r="G4" s="81" t="s">
        <v>17</v>
      </c>
      <c r="H4" s="260" t="s">
        <v>18</v>
      </c>
      <c r="I4" s="261"/>
      <c r="J4" s="81" t="s">
        <v>51</v>
      </c>
      <c r="K4" s="81" t="s">
        <v>20</v>
      </c>
      <c r="L4" s="81" t="s">
        <v>21</v>
      </c>
      <c r="M4" s="81" t="s">
        <v>52</v>
      </c>
      <c r="N4" s="81" t="s">
        <v>22</v>
      </c>
      <c r="O4" s="81" t="s">
        <v>53</v>
      </c>
      <c r="P4" s="107" t="s">
        <v>26</v>
      </c>
      <c r="Q4" s="82" t="s">
        <v>27</v>
      </c>
    </row>
    <row r="5" spans="1:17" s="2" customFormat="1" ht="12.75" customHeight="1">
      <c r="A5" s="127">
        <v>1</v>
      </c>
      <c r="B5" s="21">
        <v>1</v>
      </c>
      <c r="C5" s="108" t="s">
        <v>1156</v>
      </c>
      <c r="D5" s="277" t="str">
        <f>VLOOKUP(C5,Machined!C:Q,2,0)</f>
        <v>CROSS SEAL CRANKSHAFT</v>
      </c>
      <c r="E5" s="278"/>
      <c r="F5" s="131" t="str">
        <f>VLOOKUP(C5,Machined!C:R,7,0)</f>
        <v>303 SS - TG&amp;P</v>
      </c>
      <c r="G5" s="131" t="str">
        <f>VLOOKUP(C5,Machined!C:R,10,0)</f>
        <v>ALEXANDRIA, Nuline</v>
      </c>
      <c r="H5" s="131" t="str">
        <f>VLOOKUP(C5,Machined!C:R,11,0)</f>
        <v xml:space="preserve">  </v>
      </c>
      <c r="I5" s="131"/>
      <c r="J5" s="42" t="str">
        <f>VLOOKUP(C5,Machined!C:R,12,0)</f>
        <v>N/A</v>
      </c>
      <c r="K5" s="42" t="str">
        <f>VLOOKUP(C5,Machined!C:R,13,0)</f>
        <v>N/A</v>
      </c>
      <c r="L5" s="42" t="str">
        <f>VLOOKUP(C5,Machined!C:R,14,0)</f>
        <v>N/A</v>
      </c>
      <c r="M5" s="42" t="str">
        <f>VLOOKUP(C5,Machined!C:R,15,0)</f>
        <v>N/A</v>
      </c>
      <c r="N5" s="43">
        <f>VLOOKUP(C5,Machined!C:R,16,0)</f>
        <v>55018</v>
      </c>
      <c r="O5" s="43" t="e">
        <f t="shared" ref="O5:O9" ca="1" si="0">B5*$L$2</f>
        <v>#VALUE!</v>
      </c>
      <c r="P5" s="47">
        <f>IFERROR(VLOOKUP(C5,Machined!C:F,3,0),"")</f>
        <v>73.400000000000006</v>
      </c>
      <c r="Q5" s="48">
        <f t="shared" ref="Q5:Q9" si="1">IFERROR(B5*P5,"")</f>
        <v>73.400000000000006</v>
      </c>
    </row>
    <row r="6" spans="1:17" s="2" customFormat="1" ht="12.75" customHeight="1">
      <c r="A6" s="127">
        <v>2</v>
      </c>
      <c r="B6" s="21">
        <v>1</v>
      </c>
      <c r="C6" s="108" t="s">
        <v>1056</v>
      </c>
      <c r="D6" s="277" t="str">
        <f>VLOOKUP(C6,Machined!C:Q,2,0)</f>
        <v>SEAL BAR GEARBOX PLATE</v>
      </c>
      <c r="E6" s="278"/>
      <c r="F6" s="131" t="str">
        <f>VLOOKUP(C6,Machined!C:R,7,0)</f>
        <v>6061-T6 Alum</v>
      </c>
      <c r="G6" s="131" t="str">
        <f>VLOOKUP(C6,Machined!C:R,10,0)</f>
        <v>FRONTIER</v>
      </c>
      <c r="H6" s="131" t="str">
        <f>VLOOKUP(C6,Machined!C:R,11,0)</f>
        <v xml:space="preserve">  </v>
      </c>
      <c r="I6" s="131"/>
      <c r="J6" s="42">
        <f>VLOOKUP(C6,Machined!C:R,12,0)</f>
        <v>45139</v>
      </c>
      <c r="K6" s="42">
        <f>VLOOKUP(C6,Machined!C:R,13,0)</f>
        <v>45140</v>
      </c>
      <c r="L6" s="42">
        <f>VLOOKUP(C6,Machined!C:R,14,0)</f>
        <v>45170</v>
      </c>
      <c r="M6" s="42">
        <f>VLOOKUP(C6,Machined!C:R,15,0)</f>
        <v>45170</v>
      </c>
      <c r="N6" s="43">
        <f>VLOOKUP(C6,Machined!C:R,16,0)</f>
        <v>55025</v>
      </c>
      <c r="O6" s="43" t="e">
        <f t="shared" ca="1" si="0"/>
        <v>#VALUE!</v>
      </c>
      <c r="P6" s="47">
        <f>IFERROR(VLOOKUP(C6,Machined!C:F,3,0),"")</f>
        <v>0</v>
      </c>
      <c r="Q6" s="48">
        <f t="shared" si="1"/>
        <v>0</v>
      </c>
    </row>
    <row r="7" spans="1:17" s="2" customFormat="1" ht="12.75" customHeight="1">
      <c r="A7" s="127">
        <v>3</v>
      </c>
      <c r="B7" s="21">
        <v>2</v>
      </c>
      <c r="C7" s="108" t="s">
        <v>1057</v>
      </c>
      <c r="D7" s="277" t="str">
        <f>VLOOKUP(C7,Machined!C:Q,2,0)</f>
        <v>SMALL GEARBOX OFFSET BLOCK</v>
      </c>
      <c r="E7" s="278"/>
      <c r="F7" s="131" t="str">
        <f>VLOOKUP(C7,Machined!C:R,7,0)</f>
        <v>6061-T6 Alum</v>
      </c>
      <c r="G7" s="131" t="str">
        <f>VLOOKUP(C7,Machined!C:R,10,0)</f>
        <v>FRONTIER</v>
      </c>
      <c r="H7" s="131" t="str">
        <f>VLOOKUP(C7,Machined!C:R,11,0)</f>
        <v xml:space="preserve">  </v>
      </c>
      <c r="I7" s="131"/>
      <c r="J7" s="42">
        <f>VLOOKUP(C7,Machined!C:R,12,0)</f>
        <v>45139</v>
      </c>
      <c r="K7" s="42">
        <f>VLOOKUP(C7,Machined!C:R,13,0)</f>
        <v>45140</v>
      </c>
      <c r="L7" s="42">
        <f>VLOOKUP(C7,Machined!C:R,14,0)</f>
        <v>45170</v>
      </c>
      <c r="M7" s="42">
        <f>VLOOKUP(C7,Machined!C:R,15,0)</f>
        <v>45170</v>
      </c>
      <c r="N7" s="43">
        <f>VLOOKUP(C7,Machined!C:R,16,0)</f>
        <v>55025</v>
      </c>
      <c r="O7" s="43" t="e">
        <f t="shared" ca="1" si="0"/>
        <v>#VALUE!</v>
      </c>
      <c r="P7" s="47">
        <f>IFERROR(VLOOKUP(C7,Machined!C:F,3,0),"")</f>
        <v>0</v>
      </c>
      <c r="Q7" s="48">
        <f t="shared" si="1"/>
        <v>0</v>
      </c>
    </row>
    <row r="8" spans="1:17" s="2" customFormat="1" ht="12.75" customHeight="1">
      <c r="A8" s="127">
        <v>4</v>
      </c>
      <c r="B8" s="21">
        <v>1</v>
      </c>
      <c r="C8" s="108" t="s">
        <v>1058</v>
      </c>
      <c r="D8" s="277" t="str">
        <f>VLOOKUP(C8,Machined!C:Q,2,0)</f>
        <v>LARGE GEARBOX OFFSET BLOCK</v>
      </c>
      <c r="E8" s="278"/>
      <c r="F8" s="131" t="str">
        <f>VLOOKUP(C8,Machined!C:R,7,0)</f>
        <v>6061-T6 Alum</v>
      </c>
      <c r="G8" s="131" t="str">
        <f>VLOOKUP(C8,Machined!C:R,10,0)</f>
        <v>FRONTIER</v>
      </c>
      <c r="H8" s="131" t="str">
        <f>VLOOKUP(C8,Machined!C:R,11,0)</f>
        <v xml:space="preserve">  </v>
      </c>
      <c r="I8" s="131"/>
      <c r="J8" s="42">
        <f>VLOOKUP(C8,Machined!C:R,12,0)</f>
        <v>45139</v>
      </c>
      <c r="K8" s="42">
        <f>VLOOKUP(C8,Machined!C:R,13,0)</f>
        <v>45140</v>
      </c>
      <c r="L8" s="42">
        <f>VLOOKUP(C8,Machined!C:R,14,0)</f>
        <v>45170</v>
      </c>
      <c r="M8" s="42">
        <f>VLOOKUP(C8,Machined!C:R,15,0)</f>
        <v>45170</v>
      </c>
      <c r="N8" s="43">
        <f>VLOOKUP(C8,Machined!C:R,16,0)</f>
        <v>55025</v>
      </c>
      <c r="O8" s="43" t="e">
        <f t="shared" ca="1" si="0"/>
        <v>#VALUE!</v>
      </c>
      <c r="P8" s="47">
        <f>IFERROR(VLOOKUP(C8,Machined!C:F,3,0),"")</f>
        <v>0</v>
      </c>
      <c r="Q8" s="48">
        <f t="shared" si="1"/>
        <v>0</v>
      </c>
    </row>
    <row r="9" spans="1:17" s="2" customFormat="1" ht="12.75" customHeight="1">
      <c r="A9" s="127">
        <v>5</v>
      </c>
      <c r="B9" s="21">
        <v>2</v>
      </c>
      <c r="C9" s="108" t="s">
        <v>1059</v>
      </c>
      <c r="D9" s="277" t="str">
        <f>VLOOKUP(C9,Machined!C:Q,2,0)</f>
        <v>CRANKSHAFT BEARING MOUNT PLATE</v>
      </c>
      <c r="E9" s="278"/>
      <c r="F9" s="131" t="str">
        <f>VLOOKUP(C9,Machined!C:R,7,0)</f>
        <v>6061-T6 Alum</v>
      </c>
      <c r="G9" s="131" t="str">
        <f>VLOOKUP(C9,Machined!C:R,10,0)</f>
        <v>FRONTIER</v>
      </c>
      <c r="H9" s="131" t="str">
        <f>VLOOKUP(C9,Machined!C:R,11,0)</f>
        <v xml:space="preserve">  </v>
      </c>
      <c r="I9" s="131"/>
      <c r="J9" s="42">
        <f>VLOOKUP(C9,Machined!C:R,12,0)</f>
        <v>45139</v>
      </c>
      <c r="K9" s="42">
        <f>VLOOKUP(C9,Machined!C:R,13,0)</f>
        <v>45140</v>
      </c>
      <c r="L9" s="42">
        <f>VLOOKUP(C9,Machined!C:R,14,0)</f>
        <v>45170</v>
      </c>
      <c r="M9" s="42">
        <f>VLOOKUP(C9,Machined!C:R,15,0)</f>
        <v>45170</v>
      </c>
      <c r="N9" s="43">
        <f>VLOOKUP(C9,Machined!C:R,16,0)</f>
        <v>55025</v>
      </c>
      <c r="O9" s="43" t="e">
        <f t="shared" ca="1" si="0"/>
        <v>#VALUE!</v>
      </c>
      <c r="P9" s="47">
        <f>IFERROR(VLOOKUP(C9,Machined!C:F,3,0),"")</f>
        <v>0</v>
      </c>
      <c r="Q9" s="48">
        <f t="shared" si="1"/>
        <v>0</v>
      </c>
    </row>
    <row r="10" spans="1:17" s="2" customFormat="1" ht="12.75" customHeight="1">
      <c r="A10" s="143"/>
      <c r="B10" s="26"/>
      <c r="C10" s="26"/>
      <c r="D10" s="272"/>
      <c r="E10" s="273"/>
      <c r="F10" s="26"/>
      <c r="G10" s="26"/>
      <c r="H10" s="274"/>
      <c r="I10" s="275"/>
      <c r="J10" s="27"/>
      <c r="K10" s="27"/>
      <c r="L10" s="27"/>
      <c r="M10" s="28"/>
      <c r="N10" s="29"/>
      <c r="O10" s="29"/>
      <c r="P10" s="141"/>
      <c r="Q10" s="142"/>
    </row>
    <row r="11" spans="1:17" s="2" customFormat="1" ht="12.75" customHeight="1">
      <c r="A11" s="4">
        <v>301</v>
      </c>
      <c r="B11" s="2">
        <v>2</v>
      </c>
      <c r="C11" s="114" t="s">
        <v>1060</v>
      </c>
      <c r="D11" s="268" t="str">
        <f>VLOOKUP(C11,Purchased!A:B,2,0)</f>
        <v>Mounted Steel Ball Bearing with Cast Iron Housing for 35 mm Shaft Diameter, with Set Screw</v>
      </c>
      <c r="E11" s="269"/>
      <c r="F11" s="112" t="str">
        <f>VLOOKUP(C11,Purchased!A:Q,9,0)</f>
        <v>MOTION</v>
      </c>
      <c r="G11" s="112" t="str">
        <f>VLOOKUP(C11,Purchased!A:Q,10,0)</f>
        <v>MOTION</v>
      </c>
      <c r="H11" s="112" t="str">
        <f>VLOOKUP(C11,Purchased!A:Q,12,0)</f>
        <v>MCM=7835T54</v>
      </c>
      <c r="I11" s="113"/>
      <c r="J11" s="44" t="str">
        <f>VLOOKUP(C11,Purchased!A:Q,13,0)</f>
        <v>N/A</v>
      </c>
      <c r="K11" s="44">
        <f>VLOOKUP(C11,Purchased!A:Q,14,0)</f>
        <v>45161</v>
      </c>
      <c r="L11" s="44">
        <f>VLOOKUP(C11,Purchased!A:Q,15,0)</f>
        <v>45191</v>
      </c>
      <c r="M11" s="44">
        <f>VLOOKUP(C11,Purchased!A:Q,16,0)</f>
        <v>45191</v>
      </c>
      <c r="N11" s="45">
        <f>VLOOKUP(C11,Purchased!A:Q,17,0)</f>
        <v>55079</v>
      </c>
      <c r="O11" s="45" t="e">
        <f t="shared" ref="O11:O16" ca="1" si="2">B11*$L$2</f>
        <v>#VALUE!</v>
      </c>
      <c r="P11" s="49">
        <f>IFERROR(VLOOKUP(C11,Purchased!A:E,3,FALSE),"")</f>
        <v>41.75</v>
      </c>
      <c r="Q11" s="50">
        <f t="shared" ref="Q11:Q16" si="3">IFERROR(B11*P11,"")</f>
        <v>83.5</v>
      </c>
    </row>
    <row r="12" spans="1:17" s="2" customFormat="1" ht="12" customHeight="1">
      <c r="A12" s="4">
        <f t="shared" ref="A12:A16" si="4">A11+1</f>
        <v>302</v>
      </c>
      <c r="B12" s="2">
        <v>16</v>
      </c>
      <c r="C12" s="114" t="s">
        <v>256</v>
      </c>
      <c r="D12" s="268" t="str">
        <f>VLOOKUP(C12,Purchased!A:B,2,0)</f>
        <v>BRX GOTO T-NUT 10 M8</v>
      </c>
      <c r="E12" s="269"/>
      <c r="F12" s="112" t="str">
        <f>VLOOKUP(C12,Purchased!A:Q,9,0)</f>
        <v>BRX</v>
      </c>
      <c r="G12" s="112" t="str">
        <f>VLOOKUP(C12,Purchased!A:Q,10,0)</f>
        <v>AAP</v>
      </c>
      <c r="H12" s="112" t="str">
        <f>VLOOKUP(C12,Purchased!A:Q,12,0)</f>
        <v xml:space="preserve">  </v>
      </c>
      <c r="I12" s="113"/>
      <c r="J12" s="44">
        <f>VLOOKUP(C12,Purchased!A:Q,13,0)</f>
        <v>45104</v>
      </c>
      <c r="K12" s="44">
        <f>VLOOKUP(C12,Purchased!A:Q,14,0)</f>
        <v>45105</v>
      </c>
      <c r="L12" s="44">
        <f>VLOOKUP(C12,Purchased!A:Q,15,0)</f>
        <v>45133</v>
      </c>
      <c r="M12" s="44">
        <f>VLOOKUP(C12,Purchased!A:Q,16,0)</f>
        <v>45133</v>
      </c>
      <c r="N12" s="45" t="str">
        <f>VLOOKUP(C12,Purchased!A:Q,17,0)</f>
        <v>54968, 55147</v>
      </c>
      <c r="O12" s="45" t="e">
        <f t="shared" ca="1" si="2"/>
        <v>#VALUE!</v>
      </c>
      <c r="P12" s="49">
        <f>IFERROR(VLOOKUP(C12,Purchased!A:E,3,FALSE),"")</f>
        <v>0.64290000000000003</v>
      </c>
      <c r="Q12" s="50">
        <f t="shared" si="3"/>
        <v>10.2864</v>
      </c>
    </row>
    <row r="13" spans="1:17" s="2" customFormat="1" ht="12" customHeight="1">
      <c r="A13" s="4">
        <f t="shared" si="4"/>
        <v>303</v>
      </c>
      <c r="B13" s="2">
        <v>1</v>
      </c>
      <c r="C13" s="114" t="s">
        <v>1061</v>
      </c>
      <c r="D13" s="268" t="str">
        <f>VLOOKUP(C13,Purchased!A:B,2,0)</f>
        <v>BRC MS2N06-D0BNN-CMSK2-NNNNN-NN Servo Motor</v>
      </c>
      <c r="E13" s="269"/>
      <c r="F13" s="112" t="str">
        <f>VLOOKUP(C13,Purchased!A:Q,9,0)</f>
        <v>BRC</v>
      </c>
      <c r="G13" s="112" t="str">
        <f>VLOOKUP(C13,Purchased!A:Q,10,0)</f>
        <v>AAP</v>
      </c>
      <c r="H13" s="112" t="str">
        <f>VLOOKUP(C13,Purchased!A:Q,12,0)</f>
        <v xml:space="preserve"> </v>
      </c>
      <c r="I13" s="113"/>
      <c r="J13" s="44" t="str">
        <f>VLOOKUP(C13,Purchased!A:Q,13,0)</f>
        <v>N/A</v>
      </c>
      <c r="K13" s="44">
        <f>VLOOKUP(C13,Purchased!A:Q,14,0)</f>
        <v>44881</v>
      </c>
      <c r="L13" s="44">
        <f>VLOOKUP(C13,Purchased!A:Q,15,0)</f>
        <v>44986</v>
      </c>
      <c r="M13" s="44">
        <f>VLOOKUP(C13,Purchased!A:Q,16,0)</f>
        <v>44986</v>
      </c>
      <c r="N13" s="45">
        <f>VLOOKUP(C13,Purchased!A:Q,17,0)</f>
        <v>54563</v>
      </c>
      <c r="O13" s="45" t="e">
        <f t="shared" ca="1" si="2"/>
        <v>#VALUE!</v>
      </c>
      <c r="P13" s="49">
        <f>IFERROR(VLOOKUP(C13,Purchased!A:E,3,FALSE),"")</f>
        <v>2414.9888000000001</v>
      </c>
      <c r="Q13" s="50">
        <f t="shared" si="3"/>
        <v>2414.9888000000001</v>
      </c>
    </row>
    <row r="14" spans="1:17" s="2" customFormat="1" ht="12" customHeight="1">
      <c r="A14" s="4">
        <f t="shared" si="4"/>
        <v>304</v>
      </c>
      <c r="B14" s="2">
        <v>1</v>
      </c>
      <c r="C14" s="114" t="s">
        <v>1157</v>
      </c>
      <c r="D14" s="268" t="str">
        <f>VLOOKUP(C14,Purchased!A:B,2,0)</f>
        <v>STOBER K302SG0200ME20 GEARBOX</v>
      </c>
      <c r="E14" s="269"/>
      <c r="F14" s="112" t="str">
        <f>VLOOKUP(C14,Purchased!A:Q,9,0)</f>
        <v>STOBER</v>
      </c>
      <c r="G14" s="112" t="str">
        <f>VLOOKUP(C14,Purchased!A:Q,10,0)</f>
        <v>AAP</v>
      </c>
      <c r="H14" s="112" t="str">
        <f>VLOOKUP(C14,Purchased!A:Q,12,0)</f>
        <v xml:space="preserve"> </v>
      </c>
      <c r="I14" s="113"/>
      <c r="J14" s="44" t="str">
        <f>VLOOKUP(C14,Purchased!A:Q,13,0)</f>
        <v>N/A</v>
      </c>
      <c r="K14" s="44">
        <f>VLOOKUP(C14,Purchased!A:Q,14,0)</f>
        <v>45096</v>
      </c>
      <c r="L14" s="44">
        <f>VLOOKUP(C14,Purchased!A:Q,15,0)</f>
        <v>45110</v>
      </c>
      <c r="M14" s="44">
        <f>VLOOKUP(C14,Purchased!A:Q,16,0)</f>
        <v>45110</v>
      </c>
      <c r="N14" s="45">
        <f>VLOOKUP(C14,Purchased!A:Q,17,0)</f>
        <v>54937</v>
      </c>
      <c r="O14" s="45" t="e">
        <f t="shared" ca="1" si="2"/>
        <v>#VALUE!</v>
      </c>
      <c r="P14" s="49">
        <f>IFERROR(VLOOKUP(C14,Purchased!A:E,3,FALSE),"")</f>
        <v>2926.1097</v>
      </c>
      <c r="Q14" s="50">
        <f t="shared" si="3"/>
        <v>2926.1097</v>
      </c>
    </row>
    <row r="15" spans="1:17" s="2" customFormat="1" ht="12" customHeight="1">
      <c r="A15" s="4">
        <f t="shared" si="4"/>
        <v>305</v>
      </c>
      <c r="B15" s="2">
        <v>2</v>
      </c>
      <c r="C15" s="114" t="s">
        <v>1063</v>
      </c>
      <c r="D15" s="268" t="str">
        <f>VLOOKUP(C15,Purchased!A:B,2,0)</f>
        <v>Rounded Machine Key 316 Stainless Steel, 7 mm x 8 mm, 35 mm Long</v>
      </c>
      <c r="E15" s="269"/>
      <c r="F15" s="112" t="str">
        <f>VLOOKUP(C15,Purchased!A:Q,9,0)</f>
        <v>MCM</v>
      </c>
      <c r="G15" s="112" t="str">
        <f>VLOOKUP(C15,Purchased!A:Q,10,0)</f>
        <v>MCM</v>
      </c>
      <c r="H15" s="112" t="str">
        <f>VLOOKUP(C15,Purchased!A:Q,12,0)</f>
        <v xml:space="preserve"> </v>
      </c>
      <c r="I15" s="113"/>
      <c r="J15" s="44" t="str">
        <f>VLOOKUP(C15,Purchased!A:Q,13,0)</f>
        <v>N/A</v>
      </c>
      <c r="K15" s="44">
        <f>VLOOKUP(C15,Purchased!A:Q,14,0)</f>
        <v>45162</v>
      </c>
      <c r="L15" s="44">
        <f>VLOOKUP(C15,Purchased!A:Q,15,0)</f>
        <v>45184</v>
      </c>
      <c r="M15" s="44">
        <f>VLOOKUP(C15,Purchased!A:Q,16,0)</f>
        <v>45166</v>
      </c>
      <c r="N15" s="45">
        <f>VLOOKUP(C15,Purchased!A:Q,17,0)</f>
        <v>55087</v>
      </c>
      <c r="O15" s="45" t="e">
        <f t="shared" ca="1" si="2"/>
        <v>#VALUE!</v>
      </c>
      <c r="P15" s="49">
        <f>IFERROR(VLOOKUP(C15,Purchased!A:E,3,FALSE),"")</f>
        <v>6.04</v>
      </c>
      <c r="Q15" s="50">
        <f t="shared" si="3"/>
        <v>12.08</v>
      </c>
    </row>
    <row r="16" spans="1:17" s="2" customFormat="1" ht="12" customHeight="1">
      <c r="A16" s="4">
        <f t="shared" si="4"/>
        <v>306</v>
      </c>
      <c r="B16" s="2">
        <v>1</v>
      </c>
      <c r="C16" s="114" t="s">
        <v>1064</v>
      </c>
      <c r="D16" s="268" t="str">
        <f>VLOOKUP(C16,Purchased!A:B,2,0)</f>
        <v>BRC RH2-023DBB-NN-010,0 - 10m Hybrid Servo Cable</v>
      </c>
      <c r="E16" s="269"/>
      <c r="F16" s="112" t="str">
        <f>VLOOKUP(C16,Purchased!A:Q,9,0)</f>
        <v>BRC</v>
      </c>
      <c r="G16" s="112" t="str">
        <f>VLOOKUP(C16,Purchased!A:Q,10,0)</f>
        <v>AAP</v>
      </c>
      <c r="H16" s="112" t="str">
        <f>VLOOKUP(C16,Purchased!A:Q,12,0)</f>
        <v>Side Seals (4 in stock)</v>
      </c>
      <c r="I16" s="113"/>
      <c r="J16" s="44">
        <f>VLOOKUP(C16,Purchased!A:Q,13,0)</f>
        <v>45089</v>
      </c>
      <c r="K16" s="44">
        <f>VLOOKUP(C16,Purchased!A:Q,14,0)</f>
        <v>45092</v>
      </c>
      <c r="L16" s="44">
        <f>VLOOKUP(C16,Purchased!A:Q,15,0)</f>
        <v>45155</v>
      </c>
      <c r="M16" s="44">
        <f>VLOOKUP(C16,Purchased!A:Q,16,0)</f>
        <v>45155</v>
      </c>
      <c r="N16" s="45" t="str">
        <f>VLOOKUP(C16,Purchased!A:Q,17,0)</f>
        <v>2x54940, 4xSTOCK</v>
      </c>
      <c r="O16" s="45" t="e">
        <f t="shared" ca="1" si="2"/>
        <v>#VALUE!</v>
      </c>
      <c r="P16" s="49">
        <f>IFERROR(VLOOKUP(C16,Purchased!A:E,3,FALSE),"")</f>
        <v>475.95030000000003</v>
      </c>
      <c r="Q16" s="50">
        <f t="shared" si="3"/>
        <v>475.95030000000003</v>
      </c>
    </row>
    <row r="17" spans="1:17" s="2" customFormat="1" ht="12.75" customHeight="1">
      <c r="A17" s="25"/>
      <c r="B17" s="26"/>
      <c r="C17" s="26"/>
      <c r="D17" s="272"/>
      <c r="E17" s="273"/>
      <c r="F17" s="26"/>
      <c r="G17" s="26"/>
      <c r="H17" s="274"/>
      <c r="I17" s="275"/>
      <c r="J17" s="27"/>
      <c r="K17" s="27"/>
      <c r="L17" s="27"/>
      <c r="M17" s="28"/>
      <c r="N17" s="29"/>
      <c r="O17" s="29" t="e">
        <f t="shared" ref="O17:O24" ca="1" si="5">B17*$L$2</f>
        <v>#VALUE!</v>
      </c>
      <c r="P17" s="141"/>
      <c r="Q17" s="142"/>
    </row>
    <row r="18" spans="1:17" s="2" customFormat="1" ht="12.75" customHeight="1">
      <c r="A18" s="4">
        <v>501</v>
      </c>
      <c r="B18" s="2">
        <v>8</v>
      </c>
      <c r="C18" s="110" t="s">
        <v>606</v>
      </c>
      <c r="D18" s="268"/>
      <c r="E18" s="276"/>
      <c r="F18" s="112" t="str">
        <f>VLOOKUP(C18,Bolts!A:L,5,0)</f>
        <v xml:space="preserve">  </v>
      </c>
      <c r="G18" s="112" t="str">
        <f>VLOOKUP(C18,Bolts!A:L,6,0)</f>
        <v>Monroe Fasteners</v>
      </c>
      <c r="H18" s="112" t="str">
        <f>VLOOKUP(C18,Bolts!A:L,7,0)</f>
        <v xml:space="preserve">  </v>
      </c>
      <c r="I18" s="112"/>
      <c r="J18" s="44" t="str">
        <f>VLOOKUP(C18,Bolts!A:L,8,0)</f>
        <v xml:space="preserve"> </v>
      </c>
      <c r="K18" s="44" t="str">
        <f>VLOOKUP(C18,Bolts!A:L,9,0)</f>
        <v xml:space="preserve"> </v>
      </c>
      <c r="L18" s="44" t="str">
        <f>VLOOKUP(C18,Bolts!A:L,10,0)</f>
        <v xml:space="preserve"> </v>
      </c>
      <c r="M18" s="44" t="str">
        <f>VLOOKUP(C18,Bolts!A:L,11,0)</f>
        <v xml:space="preserve"> </v>
      </c>
      <c r="N18" s="45" t="str">
        <f>VLOOKUP(C18,Bolts!A:L,12,0)</f>
        <v xml:space="preserve"> </v>
      </c>
      <c r="O18" s="45" t="e">
        <f t="shared" ca="1" si="5"/>
        <v>#VALUE!</v>
      </c>
      <c r="P18" s="49" t="str">
        <f>IFERROR(VLOOKUP(C18,Bolts!A:B,2,FALSE),"")</f>
        <v xml:space="preserve"> </v>
      </c>
      <c r="Q18" s="50" t="str">
        <f t="shared" ref="Q18:Q24" si="6">IFERROR(B18*P18,"")</f>
        <v/>
      </c>
    </row>
    <row r="19" spans="1:17" s="2" customFormat="1" ht="12.75" customHeight="1">
      <c r="A19" s="4">
        <f t="shared" ref="A19:A25" si="7">A18+1</f>
        <v>502</v>
      </c>
      <c r="B19" s="2">
        <v>4</v>
      </c>
      <c r="C19" s="110" t="s">
        <v>362</v>
      </c>
      <c r="D19" s="268"/>
      <c r="E19" s="276"/>
      <c r="F19" s="112" t="str">
        <f>VLOOKUP(C19,Bolts!A:L,5,0)</f>
        <v xml:space="preserve">  </v>
      </c>
      <c r="G19" s="112" t="str">
        <f>VLOOKUP(C19,Bolts!A:L,6,0)</f>
        <v>Monroe Fasteners</v>
      </c>
      <c r="H19" s="112" t="str">
        <f>VLOOKUP(C19,Bolts!A:L,7,0)</f>
        <v xml:space="preserve">  </v>
      </c>
      <c r="I19" s="112"/>
      <c r="J19" s="44" t="str">
        <f>VLOOKUP(C19,Bolts!A:L,8,0)</f>
        <v xml:space="preserve"> </v>
      </c>
      <c r="K19" s="44" t="str">
        <f>VLOOKUP(C19,Bolts!A:L,9,0)</f>
        <v xml:space="preserve"> </v>
      </c>
      <c r="L19" s="44" t="str">
        <f>VLOOKUP(C19,Bolts!A:L,10,0)</f>
        <v xml:space="preserve"> </v>
      </c>
      <c r="M19" s="44" t="str">
        <f>VLOOKUP(C19,Bolts!A:L,11,0)</f>
        <v xml:space="preserve"> </v>
      </c>
      <c r="N19" s="45" t="str">
        <f>VLOOKUP(C19,Bolts!A:L,12,0)</f>
        <v xml:space="preserve"> </v>
      </c>
      <c r="O19" s="45" t="e">
        <f t="shared" ca="1" si="5"/>
        <v>#VALUE!</v>
      </c>
      <c r="P19" s="49" t="str">
        <f>IFERROR(VLOOKUP(C19,Bolts!A:B,2,FALSE),"")</f>
        <v xml:space="preserve"> </v>
      </c>
      <c r="Q19" s="50" t="str">
        <f t="shared" si="6"/>
        <v/>
      </c>
    </row>
    <row r="20" spans="1:17" s="2" customFormat="1" ht="12" customHeight="1">
      <c r="A20" s="4">
        <f t="shared" si="7"/>
        <v>503</v>
      </c>
      <c r="B20" s="2">
        <v>4</v>
      </c>
      <c r="C20" s="110" t="s">
        <v>434</v>
      </c>
      <c r="D20" s="268"/>
      <c r="E20" s="276"/>
      <c r="F20" s="112" t="str">
        <f>VLOOKUP(C20,Bolts!A:L,5,0)</f>
        <v xml:space="preserve">  </v>
      </c>
      <c r="G20" s="112" t="str">
        <f>VLOOKUP(C20,Bolts!A:L,6,0)</f>
        <v>Monroe Fasteners</v>
      </c>
      <c r="H20" s="112" t="str">
        <f>VLOOKUP(C20,Bolts!A:L,7,0)</f>
        <v xml:space="preserve">  </v>
      </c>
      <c r="I20" s="112"/>
      <c r="J20" s="44" t="str">
        <f>VLOOKUP(C20,Bolts!A:L,8,0)</f>
        <v xml:space="preserve"> </v>
      </c>
      <c r="K20" s="44" t="str">
        <f>VLOOKUP(C20,Bolts!A:L,9,0)</f>
        <v xml:space="preserve"> </v>
      </c>
      <c r="L20" s="44" t="str">
        <f>VLOOKUP(C20,Bolts!A:L,10,0)</f>
        <v xml:space="preserve"> </v>
      </c>
      <c r="M20" s="44" t="str">
        <f>VLOOKUP(C20,Bolts!A:L,11,0)</f>
        <v xml:space="preserve"> </v>
      </c>
      <c r="N20" s="45" t="str">
        <f>VLOOKUP(C20,Bolts!A:L,12,0)</f>
        <v xml:space="preserve"> </v>
      </c>
      <c r="O20" s="45" t="e">
        <f t="shared" ca="1" si="5"/>
        <v>#VALUE!</v>
      </c>
      <c r="P20" s="49" t="str">
        <f>IFERROR(VLOOKUP(C20,Bolts!A:B,2,FALSE),"")</f>
        <v xml:space="preserve"> </v>
      </c>
      <c r="Q20" s="50" t="str">
        <f t="shared" si="6"/>
        <v/>
      </c>
    </row>
    <row r="21" spans="1:17" s="2" customFormat="1" ht="12" customHeight="1">
      <c r="A21" s="4">
        <f t="shared" si="7"/>
        <v>504</v>
      </c>
      <c r="B21" s="2">
        <v>4</v>
      </c>
      <c r="C21" s="110" t="s">
        <v>830</v>
      </c>
      <c r="D21" s="268"/>
      <c r="E21" s="276"/>
      <c r="F21" s="112" t="str">
        <f>VLOOKUP(C21,Bolts!A:L,5,0)</f>
        <v xml:space="preserve">  </v>
      </c>
      <c r="G21" s="112" t="str">
        <f>VLOOKUP(C21,Bolts!A:L,6,0)</f>
        <v>Monroe Fasteners</v>
      </c>
      <c r="H21" s="112" t="str">
        <f>VLOOKUP(C21,Bolts!A:L,7,0)</f>
        <v xml:space="preserve">  </v>
      </c>
      <c r="I21" s="112"/>
      <c r="J21" s="44" t="str">
        <f>VLOOKUP(C21,Bolts!A:L,8,0)</f>
        <v xml:space="preserve"> </v>
      </c>
      <c r="K21" s="44" t="str">
        <f>VLOOKUP(C21,Bolts!A:L,9,0)</f>
        <v xml:space="preserve"> </v>
      </c>
      <c r="L21" s="44" t="str">
        <f>VLOOKUP(C21,Bolts!A:L,10,0)</f>
        <v xml:space="preserve"> </v>
      </c>
      <c r="M21" s="44" t="str">
        <f>VLOOKUP(C21,Bolts!A:L,11,0)</f>
        <v xml:space="preserve"> </v>
      </c>
      <c r="N21" s="45" t="str">
        <f>VLOOKUP(C21,Bolts!A:L,12,0)</f>
        <v xml:space="preserve"> </v>
      </c>
      <c r="O21" s="45" t="e">
        <f t="shared" ca="1" si="5"/>
        <v>#VALUE!</v>
      </c>
      <c r="P21" s="49" t="str">
        <f>IFERROR(VLOOKUP(C21,Bolts!A:B,2,FALSE),"")</f>
        <v xml:space="preserve"> </v>
      </c>
      <c r="Q21" s="50" t="str">
        <f t="shared" si="6"/>
        <v/>
      </c>
    </row>
    <row r="22" spans="1:17" s="2" customFormat="1" ht="12" customHeight="1">
      <c r="A22" s="4">
        <f t="shared" si="7"/>
        <v>505</v>
      </c>
      <c r="B22" s="2">
        <v>4</v>
      </c>
      <c r="C22" s="110" t="s">
        <v>1065</v>
      </c>
      <c r="D22" s="268"/>
      <c r="E22" s="276"/>
      <c r="F22" s="112" t="str">
        <f>VLOOKUP(C22,Bolts!A:L,5,0)</f>
        <v xml:space="preserve">  </v>
      </c>
      <c r="G22" s="112" t="str">
        <f>VLOOKUP(C22,Bolts!A:L,6,0)</f>
        <v>Monroe Fasteners</v>
      </c>
      <c r="H22" s="112" t="str">
        <f>VLOOKUP(C22,Bolts!A:L,7,0)</f>
        <v xml:space="preserve">  </v>
      </c>
      <c r="I22" s="112"/>
      <c r="J22" s="44" t="str">
        <f>VLOOKUP(C22,Bolts!A:L,8,0)</f>
        <v xml:space="preserve"> </v>
      </c>
      <c r="K22" s="44" t="str">
        <f>VLOOKUP(C22,Bolts!A:L,9,0)</f>
        <v xml:space="preserve"> </v>
      </c>
      <c r="L22" s="44" t="str">
        <f>VLOOKUP(C22,Bolts!A:L,10,0)</f>
        <v xml:space="preserve"> </v>
      </c>
      <c r="M22" s="44" t="str">
        <f>VLOOKUP(C22,Bolts!A:L,11,0)</f>
        <v xml:space="preserve"> </v>
      </c>
      <c r="N22" s="45" t="str">
        <f>VLOOKUP(C22,Bolts!A:L,12,0)</f>
        <v xml:space="preserve"> </v>
      </c>
      <c r="O22" s="45" t="e">
        <f t="shared" ca="1" si="5"/>
        <v>#VALUE!</v>
      </c>
      <c r="P22" s="49" t="str">
        <f>IFERROR(VLOOKUP(C22,Bolts!A:B,2,FALSE),"")</f>
        <v xml:space="preserve"> </v>
      </c>
      <c r="Q22" s="50" t="str">
        <f t="shared" si="6"/>
        <v/>
      </c>
    </row>
    <row r="23" spans="1:17" s="2" customFormat="1" ht="12" customHeight="1">
      <c r="A23" s="4">
        <f t="shared" si="7"/>
        <v>506</v>
      </c>
      <c r="B23" s="2">
        <v>2</v>
      </c>
      <c r="C23" s="110" t="s">
        <v>428</v>
      </c>
      <c r="D23" s="268"/>
      <c r="E23" s="276"/>
      <c r="F23" s="112" t="str">
        <f>VLOOKUP(C23,Bolts!A:L,5,0)</f>
        <v xml:space="preserve">  </v>
      </c>
      <c r="G23" s="112" t="str">
        <f>VLOOKUP(C23,Bolts!A:L,6,0)</f>
        <v>Monroe Fasteners</v>
      </c>
      <c r="H23" s="112" t="str">
        <f>VLOOKUP(C23,Bolts!A:L,7,0)</f>
        <v xml:space="preserve">  </v>
      </c>
      <c r="I23" s="112"/>
      <c r="J23" s="44" t="str">
        <f>VLOOKUP(C23,Bolts!A:L,8,0)</f>
        <v xml:space="preserve"> </v>
      </c>
      <c r="K23" s="44" t="str">
        <f>VLOOKUP(C23,Bolts!A:L,9,0)</f>
        <v xml:space="preserve"> </v>
      </c>
      <c r="L23" s="44" t="str">
        <f>VLOOKUP(C23,Bolts!A:L,10,0)</f>
        <v xml:space="preserve"> </v>
      </c>
      <c r="M23" s="44" t="str">
        <f>VLOOKUP(C23,Bolts!A:L,11,0)</f>
        <v xml:space="preserve"> </v>
      </c>
      <c r="N23" s="45" t="str">
        <f>VLOOKUP(C23,Bolts!A:L,12,0)</f>
        <v xml:space="preserve"> </v>
      </c>
      <c r="O23" s="45" t="e">
        <f t="shared" ca="1" si="5"/>
        <v>#VALUE!</v>
      </c>
      <c r="P23" s="49" t="str">
        <f>IFERROR(VLOOKUP(C23,Bolts!A:B,2,FALSE),"")</f>
        <v xml:space="preserve"> </v>
      </c>
      <c r="Q23" s="50" t="str">
        <f t="shared" si="6"/>
        <v/>
      </c>
    </row>
    <row r="24" spans="1:17" s="2" customFormat="1" ht="12" customHeight="1">
      <c r="A24" s="4">
        <f t="shared" si="7"/>
        <v>507</v>
      </c>
      <c r="B24" s="2">
        <v>4</v>
      </c>
      <c r="C24" s="110" t="s">
        <v>660</v>
      </c>
      <c r="D24" s="268"/>
      <c r="E24" s="276"/>
      <c r="F24" s="112" t="str">
        <f>VLOOKUP(C24,Bolts!A:L,5,0)</f>
        <v xml:space="preserve">  </v>
      </c>
      <c r="G24" s="112" t="str">
        <f>VLOOKUP(C24,Bolts!A:L,6,0)</f>
        <v>Monroe Fasteners</v>
      </c>
      <c r="H24" s="112" t="str">
        <f>VLOOKUP(C24,Bolts!A:L,7,0)</f>
        <v xml:space="preserve">  </v>
      </c>
      <c r="I24" s="112"/>
      <c r="J24" s="44" t="str">
        <f>VLOOKUP(C24,Bolts!A:L,8,0)</f>
        <v xml:space="preserve"> </v>
      </c>
      <c r="K24" s="44" t="str">
        <f>VLOOKUP(C24,Bolts!A:L,9,0)</f>
        <v xml:space="preserve"> </v>
      </c>
      <c r="L24" s="44" t="str">
        <f>VLOOKUP(C24,Bolts!A:L,10,0)</f>
        <v xml:space="preserve"> </v>
      </c>
      <c r="M24" s="44" t="str">
        <f>VLOOKUP(C24,Bolts!A:L,11,0)</f>
        <v xml:space="preserve"> </v>
      </c>
      <c r="N24" s="45" t="str">
        <f>VLOOKUP(C24,Bolts!A:L,12,0)</f>
        <v xml:space="preserve"> </v>
      </c>
      <c r="O24" s="45" t="e">
        <f t="shared" ca="1" si="5"/>
        <v>#VALUE!</v>
      </c>
      <c r="P24" s="49" t="str">
        <f>IFERROR(VLOOKUP(C24,Bolts!A:B,2,FALSE),"")</f>
        <v xml:space="preserve"> </v>
      </c>
      <c r="Q24" s="50" t="str">
        <f t="shared" si="6"/>
        <v/>
      </c>
    </row>
    <row r="25" spans="1:17" s="2" customFormat="1" ht="12" customHeight="1" thickBot="1">
      <c r="A25" s="4">
        <f t="shared" si="7"/>
        <v>508</v>
      </c>
      <c r="B25" s="2">
        <v>4</v>
      </c>
      <c r="C25" s="110" t="s">
        <v>803</v>
      </c>
      <c r="D25" s="164"/>
      <c r="E25" s="165"/>
      <c r="F25" s="112" t="str">
        <f>VLOOKUP(C25,Bolts!A:L,5,0)</f>
        <v xml:space="preserve">  </v>
      </c>
      <c r="G25" s="112" t="str">
        <f>VLOOKUP(C25,Bolts!A:L,6,0)</f>
        <v>Monroe Fasteners</v>
      </c>
      <c r="H25" s="112" t="str">
        <f>VLOOKUP(C25,Bolts!A:L,7,0)</f>
        <v xml:space="preserve">  </v>
      </c>
      <c r="I25" s="112"/>
      <c r="J25" s="44" t="str">
        <f>VLOOKUP(C25,Bolts!A:L,8,0)</f>
        <v xml:space="preserve"> </v>
      </c>
      <c r="K25" s="44" t="str">
        <f>VLOOKUP(C25,Bolts!A:L,9,0)</f>
        <v xml:space="preserve"> </v>
      </c>
      <c r="L25" s="44" t="str">
        <f>VLOOKUP(C25,Bolts!A:L,10,0)</f>
        <v xml:space="preserve"> </v>
      </c>
      <c r="M25" s="44" t="str">
        <f>VLOOKUP(C25,Bolts!A:L,11,0)</f>
        <v xml:space="preserve"> </v>
      </c>
      <c r="N25" s="45" t="str">
        <f>VLOOKUP(C25,Bolts!A:L,12,0)</f>
        <v xml:space="preserve"> </v>
      </c>
      <c r="O25" s="45" t="e">
        <f t="shared" ref="O25" ca="1" si="8">B25*$L$2</f>
        <v>#VALUE!</v>
      </c>
      <c r="P25" s="49" t="str">
        <f>IFERROR(VLOOKUP(C25,Bolts!A:B,2,FALSE),"")</f>
        <v xml:space="preserve"> </v>
      </c>
      <c r="Q25" s="50" t="str">
        <f t="shared" ref="Q25" si="9">IFERROR(B25*P25,"")</f>
        <v/>
      </c>
    </row>
    <row r="26" spans="1:17" s="2" customFormat="1" ht="12.75" customHeight="1" thickBot="1">
      <c r="A26" s="34"/>
      <c r="B26" s="35"/>
      <c r="C26" s="35"/>
      <c r="D26" s="256"/>
      <c r="E26" s="257"/>
      <c r="F26" s="35"/>
      <c r="G26" s="35"/>
      <c r="H26" s="294"/>
      <c r="I26" s="295"/>
      <c r="J26" s="36"/>
      <c r="K26" s="36"/>
      <c r="L26" s="36"/>
      <c r="M26" s="37"/>
      <c r="N26" s="38"/>
      <c r="O26" s="38"/>
      <c r="P26" s="89" t="s">
        <v>43</v>
      </c>
      <c r="Q26" s="94">
        <f>SUM(Q5:Q25)</f>
        <v>5996.3152000000009</v>
      </c>
    </row>
    <row r="27" spans="1:17" s="2" customFormat="1" ht="12" customHeight="1">
      <c r="D27" s="22"/>
      <c r="E27" s="22"/>
      <c r="J27" s="8"/>
      <c r="K27" s="8"/>
      <c r="L27" s="8"/>
      <c r="M27" s="8"/>
      <c r="N27" s="5"/>
      <c r="O27" s="5"/>
      <c r="P27" s="88"/>
      <c r="Q27" s="95"/>
    </row>
    <row r="28" spans="1:17" s="2" customFormat="1" ht="12" customHeight="1">
      <c r="C28" s="22"/>
      <c r="D28" s="22"/>
      <c r="I28" s="5"/>
      <c r="J28" s="5"/>
      <c r="K28" s="5"/>
      <c r="L28" s="5"/>
      <c r="M28" s="5"/>
      <c r="N28" s="5"/>
      <c r="O28" s="88"/>
      <c r="P28" s="95"/>
    </row>
    <row r="29" spans="1:17" s="2" customFormat="1" ht="12" customHeight="1">
      <c r="D29" s="22"/>
      <c r="E29" s="22"/>
      <c r="J29" s="5"/>
      <c r="K29" s="5"/>
      <c r="L29" s="5"/>
      <c r="M29" s="5"/>
      <c r="N29" s="5"/>
      <c r="O29" s="5"/>
      <c r="P29" s="88"/>
      <c r="Q29" s="95"/>
    </row>
    <row r="30" spans="1:17" s="2" customFormat="1" ht="12" customHeight="1">
      <c r="D30" s="22"/>
      <c r="E30" s="22"/>
      <c r="J30" s="5"/>
      <c r="K30" s="5"/>
      <c r="L30" s="5"/>
      <c r="M30" s="5"/>
      <c r="N30" s="5"/>
      <c r="O30" s="5"/>
      <c r="P30" s="88"/>
      <c r="Q30" s="95"/>
    </row>
    <row r="31" spans="1:17" s="2" customFormat="1" ht="12" customHeight="1">
      <c r="D31" s="22"/>
      <c r="E31" s="22"/>
      <c r="J31" s="5"/>
      <c r="K31" s="5"/>
      <c r="L31" s="5"/>
      <c r="M31" s="5"/>
      <c r="N31" s="5"/>
      <c r="O31" s="5"/>
      <c r="P31" s="88"/>
      <c r="Q31" s="95"/>
    </row>
    <row r="32" spans="1:17" s="2" customFormat="1" ht="12" customHeight="1">
      <c r="D32" s="22"/>
      <c r="E32" s="22"/>
      <c r="J32" s="5"/>
      <c r="K32" s="5"/>
      <c r="L32" s="5"/>
      <c r="M32" s="5"/>
      <c r="N32" s="5"/>
      <c r="O32" s="5"/>
      <c r="P32" s="88"/>
      <c r="Q32" s="95"/>
    </row>
    <row r="33" spans="4:17" s="2" customFormat="1" ht="12" customHeight="1">
      <c r="D33" s="22"/>
      <c r="E33" s="22"/>
      <c r="J33" s="5"/>
      <c r="K33" s="5"/>
      <c r="L33" s="5"/>
      <c r="M33" s="5"/>
      <c r="N33" s="5"/>
      <c r="O33" s="5"/>
      <c r="P33" s="88"/>
      <c r="Q33" s="95"/>
    </row>
    <row r="34" spans="4:17" s="2" customFormat="1" ht="12" customHeight="1">
      <c r="D34" s="22"/>
      <c r="E34" s="22"/>
      <c r="J34" s="5"/>
      <c r="K34" s="5"/>
      <c r="L34" s="5"/>
      <c r="M34" s="5"/>
      <c r="N34" s="5"/>
      <c r="O34" s="5"/>
      <c r="P34" s="88"/>
      <c r="Q34" s="95"/>
    </row>
    <row r="35" spans="4:17" s="2" customFormat="1" ht="12" customHeight="1">
      <c r="D35" s="22"/>
      <c r="E35" s="22"/>
      <c r="J35" s="5"/>
      <c r="K35" s="5"/>
      <c r="L35" s="5"/>
      <c r="M35" s="5"/>
      <c r="N35" s="5"/>
      <c r="O35" s="5"/>
      <c r="P35" s="88"/>
      <c r="Q35" s="95"/>
    </row>
    <row r="36" spans="4:17" s="2" customFormat="1" ht="12" customHeight="1">
      <c r="D36" s="22"/>
      <c r="E36" s="22"/>
      <c r="J36" s="5"/>
      <c r="K36" s="5"/>
      <c r="L36" s="5"/>
      <c r="M36" s="5"/>
      <c r="N36" s="5"/>
      <c r="O36" s="5"/>
      <c r="P36" s="88"/>
      <c r="Q36" s="95"/>
    </row>
    <row r="37" spans="4:17" s="2" customFormat="1" ht="12" customHeight="1">
      <c r="D37" s="22"/>
      <c r="E37" s="22"/>
      <c r="J37" s="5"/>
      <c r="K37" s="5"/>
      <c r="L37" s="5"/>
      <c r="M37" s="5"/>
      <c r="N37" s="5"/>
      <c r="O37" s="5"/>
      <c r="P37" s="88"/>
      <c r="Q37" s="95"/>
    </row>
    <row r="38" spans="4:17" s="2" customFormat="1" ht="12" customHeight="1">
      <c r="D38" s="22"/>
      <c r="E38" s="22"/>
      <c r="J38" s="5"/>
      <c r="K38" s="5"/>
      <c r="L38" s="5"/>
      <c r="M38" s="5"/>
      <c r="N38" s="5"/>
      <c r="O38" s="5"/>
      <c r="P38" s="88"/>
      <c r="Q38" s="95"/>
    </row>
    <row r="39" spans="4:17" s="2" customFormat="1" ht="12" customHeight="1">
      <c r="D39" s="22"/>
      <c r="E39" s="22"/>
      <c r="J39" s="5"/>
      <c r="K39" s="5"/>
      <c r="L39" s="5"/>
      <c r="M39" s="5"/>
      <c r="N39" s="5"/>
      <c r="O39" s="5"/>
      <c r="P39" s="88"/>
      <c r="Q39" s="95"/>
    </row>
    <row r="40" spans="4:17" s="2" customFormat="1" ht="12" customHeight="1">
      <c r="D40" s="22"/>
      <c r="E40" s="22"/>
      <c r="J40" s="5"/>
      <c r="K40" s="5"/>
      <c r="L40" s="5"/>
      <c r="M40" s="5"/>
      <c r="N40" s="5"/>
      <c r="O40" s="5"/>
      <c r="P40" s="88"/>
      <c r="Q40" s="95"/>
    </row>
    <row r="41" spans="4:17" s="2" customFormat="1" ht="12" customHeight="1">
      <c r="D41" s="22"/>
      <c r="E41" s="22"/>
      <c r="J41" s="5"/>
      <c r="K41" s="5"/>
      <c r="L41" s="5"/>
      <c r="M41" s="5"/>
      <c r="N41" s="5"/>
      <c r="O41" s="5"/>
      <c r="P41" s="88"/>
      <c r="Q41" s="95"/>
    </row>
    <row r="42" spans="4:17" s="2" customFormat="1" ht="12" customHeight="1">
      <c r="D42" s="22"/>
      <c r="E42" s="22"/>
      <c r="J42" s="5"/>
      <c r="K42" s="5"/>
      <c r="L42" s="5"/>
      <c r="M42" s="5"/>
      <c r="N42" s="5"/>
      <c r="O42" s="5"/>
      <c r="P42" s="88"/>
      <c r="Q42" s="95"/>
    </row>
    <row r="43" spans="4:17" s="2" customFormat="1" ht="12" customHeight="1">
      <c r="D43" s="22"/>
      <c r="E43" s="22"/>
      <c r="J43" s="5"/>
      <c r="K43" s="5"/>
      <c r="L43" s="5"/>
      <c r="M43" s="5"/>
      <c r="N43" s="5"/>
      <c r="O43" s="5"/>
      <c r="P43" s="88"/>
      <c r="Q43" s="95"/>
    </row>
    <row r="44" spans="4:17" s="2" customFormat="1" ht="12" customHeight="1">
      <c r="D44" s="22"/>
      <c r="E44" s="22"/>
      <c r="J44" s="5"/>
      <c r="K44" s="5"/>
      <c r="L44" s="5"/>
      <c r="M44" s="5"/>
      <c r="N44" s="5"/>
      <c r="O44" s="5"/>
      <c r="P44" s="88"/>
      <c r="Q44" s="95"/>
    </row>
    <row r="45" spans="4:17" s="2" customFormat="1" ht="12" customHeight="1">
      <c r="D45" s="22"/>
      <c r="E45" s="22"/>
      <c r="J45" s="5"/>
      <c r="K45" s="5"/>
      <c r="L45" s="5"/>
      <c r="M45" s="5"/>
      <c r="N45" s="5"/>
      <c r="O45" s="5"/>
      <c r="P45" s="88"/>
      <c r="Q45" s="95"/>
    </row>
    <row r="46" spans="4:17" s="2" customFormat="1" ht="12" customHeight="1">
      <c r="D46" s="22"/>
      <c r="E46" s="22"/>
      <c r="J46" s="5"/>
      <c r="K46" s="5"/>
      <c r="L46" s="5"/>
      <c r="M46" s="5"/>
      <c r="N46" s="5"/>
      <c r="O46" s="5"/>
      <c r="P46" s="88"/>
      <c r="Q46" s="95"/>
    </row>
    <row r="47" spans="4:17" s="2" customFormat="1" ht="12" customHeight="1">
      <c r="D47" s="22"/>
      <c r="E47" s="22"/>
      <c r="J47" s="5"/>
      <c r="K47" s="5"/>
      <c r="L47" s="5"/>
      <c r="M47" s="5"/>
      <c r="N47" s="5"/>
      <c r="O47" s="5"/>
      <c r="P47" s="88"/>
      <c r="Q47" s="95"/>
    </row>
    <row r="48" spans="4:17" s="2" customFormat="1" ht="12" customHeight="1">
      <c r="D48" s="22"/>
      <c r="E48" s="22"/>
      <c r="J48" s="5"/>
      <c r="K48" s="5"/>
      <c r="L48" s="5"/>
      <c r="M48" s="5"/>
      <c r="N48" s="5"/>
      <c r="O48" s="5"/>
      <c r="P48" s="88"/>
      <c r="Q48" s="95"/>
    </row>
    <row r="49" spans="4:17" s="2" customFormat="1" ht="12" customHeight="1">
      <c r="D49" s="22"/>
      <c r="E49" s="22"/>
      <c r="J49" s="5"/>
      <c r="K49" s="5"/>
      <c r="L49" s="5"/>
      <c r="M49" s="5"/>
      <c r="N49" s="5"/>
      <c r="O49" s="5"/>
      <c r="P49" s="88"/>
      <c r="Q49" s="95"/>
    </row>
    <row r="50" spans="4:17" s="2" customFormat="1" ht="12" customHeight="1">
      <c r="D50" s="22"/>
      <c r="E50" s="22"/>
      <c r="J50" s="5"/>
      <c r="K50" s="5"/>
      <c r="L50" s="5"/>
      <c r="M50" s="5"/>
      <c r="N50" s="5"/>
      <c r="O50" s="5"/>
      <c r="P50" s="88"/>
      <c r="Q50" s="95"/>
    </row>
    <row r="51" spans="4:17" s="2" customFormat="1" ht="12" customHeight="1">
      <c r="D51" s="22"/>
      <c r="E51" s="22"/>
      <c r="J51" s="5"/>
      <c r="K51" s="5"/>
      <c r="L51" s="5"/>
      <c r="M51" s="5"/>
      <c r="N51" s="5"/>
      <c r="O51" s="5"/>
      <c r="P51" s="88"/>
      <c r="Q51" s="95"/>
    </row>
    <row r="52" spans="4:17" s="2" customFormat="1" ht="12" customHeight="1">
      <c r="D52" s="22"/>
      <c r="E52" s="22"/>
      <c r="J52" s="5"/>
      <c r="K52" s="5"/>
      <c r="L52" s="5"/>
      <c r="M52" s="5"/>
      <c r="N52" s="5"/>
      <c r="O52" s="5"/>
      <c r="P52" s="88"/>
      <c r="Q52" s="95"/>
    </row>
    <row r="53" spans="4:17" s="2" customFormat="1" ht="12" customHeight="1">
      <c r="D53" s="22"/>
      <c r="E53" s="22"/>
      <c r="J53" s="5"/>
      <c r="K53" s="5"/>
      <c r="L53" s="5"/>
      <c r="M53" s="5"/>
      <c r="N53" s="5"/>
      <c r="O53" s="5"/>
      <c r="P53" s="88"/>
      <c r="Q53" s="95"/>
    </row>
    <row r="54" spans="4:17" s="2" customFormat="1" ht="12" customHeight="1">
      <c r="D54" s="22"/>
      <c r="E54" s="22"/>
      <c r="J54" s="5"/>
      <c r="K54" s="5"/>
      <c r="L54" s="5"/>
      <c r="M54" s="5"/>
      <c r="N54" s="5"/>
      <c r="O54" s="5"/>
      <c r="P54" s="88"/>
      <c r="Q54" s="95"/>
    </row>
    <row r="55" spans="4:17" s="2" customFormat="1" ht="12" customHeight="1">
      <c r="D55" s="22"/>
      <c r="E55" s="22"/>
      <c r="J55" s="5"/>
      <c r="K55" s="5"/>
      <c r="L55" s="5"/>
      <c r="M55" s="5"/>
      <c r="N55" s="5"/>
      <c r="O55" s="5"/>
      <c r="P55" s="88"/>
      <c r="Q55" s="95"/>
    </row>
    <row r="56" spans="4:17" s="2" customFormat="1" ht="12" customHeight="1">
      <c r="D56" s="22"/>
      <c r="E56" s="22"/>
      <c r="J56" s="5"/>
      <c r="K56" s="5"/>
      <c r="L56" s="5"/>
      <c r="M56" s="5"/>
      <c r="N56" s="5"/>
      <c r="O56" s="5"/>
      <c r="P56" s="88"/>
      <c r="Q56" s="95"/>
    </row>
    <row r="57" spans="4:17" s="2" customFormat="1" ht="12" customHeight="1">
      <c r="D57" s="22"/>
      <c r="E57" s="22"/>
      <c r="J57" s="5"/>
      <c r="K57" s="5"/>
      <c r="L57" s="5"/>
      <c r="M57" s="5"/>
      <c r="N57" s="5"/>
      <c r="O57" s="5"/>
      <c r="P57" s="88"/>
      <c r="Q57" s="95"/>
    </row>
    <row r="58" spans="4:17" s="2" customFormat="1" ht="12" customHeight="1">
      <c r="D58" s="22"/>
      <c r="E58" s="22"/>
      <c r="J58" s="5"/>
      <c r="K58" s="5"/>
      <c r="L58" s="5"/>
      <c r="M58" s="5"/>
      <c r="N58" s="5"/>
      <c r="O58" s="5"/>
      <c r="P58" s="88"/>
      <c r="Q58" s="95"/>
    </row>
    <row r="59" spans="4:17" s="2" customFormat="1" ht="12" customHeight="1">
      <c r="D59" s="22"/>
      <c r="E59" s="22"/>
      <c r="J59" s="5"/>
      <c r="K59" s="5"/>
      <c r="L59" s="5"/>
      <c r="M59" s="5"/>
      <c r="N59" s="5"/>
      <c r="O59" s="5"/>
      <c r="P59" s="88"/>
      <c r="Q59" s="95"/>
    </row>
    <row r="60" spans="4:17" s="2" customFormat="1" ht="12" customHeight="1">
      <c r="D60" s="22"/>
      <c r="E60" s="22"/>
      <c r="J60" s="5"/>
      <c r="K60" s="5"/>
      <c r="L60" s="5"/>
      <c r="M60" s="5"/>
      <c r="N60" s="5"/>
      <c r="O60" s="5"/>
      <c r="P60" s="88"/>
      <c r="Q60" s="95"/>
    </row>
    <row r="61" spans="4:17" s="2" customFormat="1" ht="12" customHeight="1">
      <c r="D61" s="22"/>
      <c r="E61" s="22"/>
      <c r="J61" s="5"/>
      <c r="K61" s="5"/>
      <c r="L61" s="5"/>
      <c r="M61" s="5"/>
      <c r="N61" s="5"/>
      <c r="O61" s="5"/>
      <c r="P61" s="88"/>
      <c r="Q61" s="95"/>
    </row>
    <row r="62" spans="4:17" s="2" customFormat="1" ht="12" customHeight="1">
      <c r="D62" s="22"/>
      <c r="E62" s="22"/>
      <c r="J62" s="5"/>
      <c r="K62" s="5"/>
      <c r="L62" s="5"/>
      <c r="M62" s="5"/>
      <c r="N62" s="5"/>
      <c r="O62" s="5"/>
      <c r="P62" s="88"/>
      <c r="Q62" s="95"/>
    </row>
    <row r="63" spans="4:17" s="2" customFormat="1" ht="12" customHeight="1">
      <c r="D63" s="22"/>
      <c r="E63" s="22"/>
      <c r="J63" s="5"/>
      <c r="K63" s="5"/>
      <c r="L63" s="5"/>
      <c r="M63" s="5"/>
      <c r="N63" s="5"/>
      <c r="O63" s="5"/>
      <c r="P63" s="88"/>
      <c r="Q63" s="95"/>
    </row>
    <row r="64" spans="4:17" s="2" customFormat="1" ht="12" customHeight="1">
      <c r="D64" s="22"/>
      <c r="E64" s="22"/>
      <c r="J64" s="5"/>
      <c r="K64" s="5"/>
      <c r="L64" s="5"/>
      <c r="M64" s="5"/>
      <c r="N64" s="5"/>
      <c r="O64" s="5"/>
      <c r="P64" s="88"/>
      <c r="Q64" s="95"/>
    </row>
    <row r="65" spans="1:17" s="2" customFormat="1" ht="12" customHeight="1">
      <c r="D65" s="22"/>
      <c r="E65" s="22"/>
      <c r="J65" s="5"/>
      <c r="K65" s="5"/>
      <c r="L65" s="5"/>
      <c r="M65" s="5"/>
      <c r="N65" s="5"/>
      <c r="O65" s="5"/>
      <c r="P65" s="88"/>
      <c r="Q65" s="96"/>
    </row>
    <row r="66" spans="1:17" s="2" customFormat="1" ht="12" customHeight="1">
      <c r="D66" s="22"/>
      <c r="E66" s="22"/>
      <c r="J66" s="5"/>
      <c r="K66" s="5"/>
      <c r="L66" s="5"/>
      <c r="M66" s="5"/>
      <c r="N66" s="5"/>
      <c r="O66" s="5"/>
      <c r="P66" s="88"/>
      <c r="Q66" s="96"/>
    </row>
    <row r="67" spans="1:17" s="2" customFormat="1" ht="12" customHeight="1">
      <c r="D67" s="22"/>
      <c r="E67" s="22"/>
      <c r="J67" s="5"/>
      <c r="K67" s="5"/>
      <c r="L67" s="5"/>
      <c r="M67" s="5"/>
      <c r="N67" s="5"/>
      <c r="O67" s="5"/>
      <c r="P67" s="88"/>
      <c r="Q67" s="96"/>
    </row>
    <row r="68" spans="1:17" s="2" customFormat="1" ht="12" customHeight="1">
      <c r="D68" s="22"/>
      <c r="E68" s="22"/>
      <c r="J68" s="5"/>
      <c r="K68" s="5"/>
      <c r="L68" s="5"/>
      <c r="M68" s="5"/>
      <c r="N68" s="5"/>
      <c r="O68" s="5"/>
      <c r="P68" s="88"/>
      <c r="Q68" s="96"/>
    </row>
    <row r="69" spans="1:17" s="2" customFormat="1" ht="12" customHeight="1">
      <c r="A69"/>
      <c r="B69"/>
      <c r="C69"/>
      <c r="D69" s="23"/>
      <c r="E69" s="23"/>
      <c r="F69"/>
      <c r="G69"/>
      <c r="H69"/>
      <c r="I69"/>
      <c r="J69" s="19"/>
      <c r="K69" s="19"/>
      <c r="L69" s="19"/>
      <c r="M69" s="19"/>
      <c r="N69" s="19"/>
      <c r="O69" s="19"/>
      <c r="P69" s="90"/>
      <c r="Q69" s="96"/>
    </row>
    <row r="70" spans="1:17" s="2" customFormat="1" ht="12" customHeight="1">
      <c r="A70"/>
      <c r="B70"/>
      <c r="C70"/>
      <c r="D70" s="23"/>
      <c r="E70" s="23"/>
      <c r="F70"/>
      <c r="G70"/>
      <c r="H70"/>
      <c r="I70"/>
      <c r="J70" s="19"/>
      <c r="K70" s="19"/>
      <c r="L70" s="19"/>
      <c r="M70" s="19"/>
      <c r="N70" s="19"/>
      <c r="O70" s="19"/>
      <c r="P70" s="90"/>
      <c r="Q70" s="96"/>
    </row>
    <row r="71" spans="1:17" s="2" customFormat="1" ht="12" customHeight="1">
      <c r="A71"/>
      <c r="B71"/>
      <c r="C71"/>
      <c r="D71" s="23"/>
      <c r="E71" s="23"/>
      <c r="F71"/>
      <c r="G71"/>
      <c r="H71"/>
      <c r="I71"/>
      <c r="J71" s="19"/>
      <c r="K71" s="19"/>
      <c r="L71" s="19"/>
      <c r="M71" s="19"/>
      <c r="N71" s="19"/>
      <c r="O71" s="19"/>
      <c r="P71" s="90"/>
      <c r="Q71" s="96"/>
    </row>
    <row r="72" spans="1:17" s="2" customFormat="1" ht="12" customHeight="1">
      <c r="A72"/>
      <c r="B72"/>
      <c r="C72"/>
      <c r="D72" s="23"/>
      <c r="E72" s="23"/>
      <c r="F72"/>
      <c r="G72"/>
      <c r="H72"/>
      <c r="I72"/>
      <c r="J72" s="19"/>
      <c r="K72" s="19"/>
      <c r="L72" s="19"/>
      <c r="M72" s="19"/>
      <c r="N72" s="19"/>
      <c r="O72" s="19"/>
      <c r="P72" s="90"/>
      <c r="Q72" s="96"/>
    </row>
    <row r="73" spans="1:17" s="2" customFormat="1" ht="12" customHeight="1">
      <c r="A73"/>
      <c r="B73"/>
      <c r="C73"/>
      <c r="D73" s="23"/>
      <c r="E73" s="23"/>
      <c r="F73"/>
      <c r="G73"/>
      <c r="H73"/>
      <c r="I73"/>
      <c r="J73" s="19"/>
      <c r="K73" s="19"/>
      <c r="L73" s="19"/>
      <c r="M73" s="19"/>
      <c r="N73" s="19"/>
      <c r="O73" s="19"/>
      <c r="P73" s="90"/>
      <c r="Q73" s="96"/>
    </row>
    <row r="74" spans="1:17">
      <c r="Q74" s="96"/>
    </row>
    <row r="75" spans="1:17">
      <c r="Q75" s="96"/>
    </row>
    <row r="76" spans="1:17">
      <c r="Q76" s="96"/>
    </row>
    <row r="77" spans="1:17">
      <c r="Q77" s="96"/>
    </row>
    <row r="78" spans="1:17">
      <c r="Q78" s="96"/>
    </row>
    <row r="79" spans="1:17">
      <c r="Q79" s="96"/>
    </row>
    <row r="80" spans="1:17">
      <c r="Q80" s="96"/>
    </row>
    <row r="81" spans="17:17">
      <c r="Q81" s="96"/>
    </row>
    <row r="82" spans="17:17">
      <c r="Q82" s="96"/>
    </row>
    <row r="83" spans="17:17">
      <c r="Q83" s="96"/>
    </row>
    <row r="84" spans="17:17">
      <c r="Q84" s="96"/>
    </row>
    <row r="85" spans="17:17">
      <c r="Q85" s="96"/>
    </row>
    <row r="86" spans="17:17">
      <c r="Q86" s="96"/>
    </row>
    <row r="87" spans="17:17">
      <c r="Q87" s="96"/>
    </row>
    <row r="88" spans="17:17">
      <c r="Q88" s="96"/>
    </row>
    <row r="89" spans="17:17">
      <c r="Q89" s="96"/>
    </row>
    <row r="90" spans="17:17">
      <c r="Q90" s="96"/>
    </row>
    <row r="91" spans="17:17">
      <c r="Q91" s="96"/>
    </row>
    <row r="92" spans="17:17">
      <c r="Q92" s="96"/>
    </row>
    <row r="93" spans="17:17">
      <c r="Q93" s="96"/>
    </row>
    <row r="130" ht="12" customHeight="1"/>
    <row r="131" ht="12" customHeight="1"/>
    <row r="132" ht="12" customHeight="1"/>
    <row r="133" ht="12" customHeight="1"/>
    <row r="134" ht="12" customHeight="1"/>
    <row r="135" ht="12" customHeight="1"/>
    <row r="136" ht="12" customHeight="1"/>
    <row r="137" ht="12" customHeight="1"/>
    <row r="138" ht="12" customHeight="1"/>
    <row r="139" ht="12" customHeight="1"/>
    <row r="140" ht="12" customHeight="1"/>
    <row r="141" ht="12" customHeight="1"/>
    <row r="142" ht="12" customHeight="1"/>
    <row r="143" ht="12" customHeight="1"/>
    <row r="144" ht="12" customHeight="1"/>
    <row r="145" ht="12" customHeight="1"/>
    <row r="146" ht="12" customHeight="1"/>
    <row r="147" ht="12" customHeight="1"/>
    <row r="148" ht="12" customHeight="1"/>
    <row r="149" ht="12" customHeight="1"/>
    <row r="150" ht="12" customHeight="1"/>
    <row r="151" ht="12" customHeight="1"/>
    <row r="152" ht="12" customHeight="1"/>
    <row r="153" ht="12" customHeight="1"/>
    <row r="154" ht="12" customHeight="1"/>
    <row r="155" ht="12" customHeight="1"/>
    <row r="156" ht="12" customHeight="1"/>
    <row r="157" ht="12" customHeight="1"/>
    <row r="158" ht="12" customHeight="1"/>
    <row r="159" ht="12" customHeight="1"/>
    <row r="160" ht="12" customHeight="1"/>
    <row r="161" ht="12" customHeight="1"/>
    <row r="162" ht="12" customHeight="1"/>
    <row r="163" ht="12" customHeight="1"/>
    <row r="164" ht="12" customHeight="1"/>
    <row r="165" ht="12" customHeight="1"/>
    <row r="166" ht="12" customHeight="1"/>
    <row r="167" ht="12" customHeight="1"/>
    <row r="168" ht="12" customHeight="1"/>
    <row r="169" ht="12" customHeight="1"/>
    <row r="170" ht="12" customHeight="1"/>
    <row r="171" ht="12" customHeight="1"/>
    <row r="172" ht="12" customHeight="1"/>
    <row r="173" ht="12" customHeight="1"/>
    <row r="174" ht="12" customHeight="1"/>
    <row r="175" ht="12" customHeight="1"/>
    <row r="176" ht="12" customHeight="1"/>
    <row r="177" ht="12" customHeight="1"/>
    <row r="178" ht="12" customHeight="1"/>
    <row r="179" ht="12" customHeight="1"/>
  </sheetData>
  <mergeCells count="27">
    <mergeCell ref="D26:E26"/>
    <mergeCell ref="H26:I26"/>
    <mergeCell ref="D21:E21"/>
    <mergeCell ref="D22:E22"/>
    <mergeCell ref="D23:E23"/>
    <mergeCell ref="D17:E17"/>
    <mergeCell ref="D24:E24"/>
    <mergeCell ref="D16:E16"/>
    <mergeCell ref="H17:I17"/>
    <mergeCell ref="D18:E18"/>
    <mergeCell ref="D19:E19"/>
    <mergeCell ref="D20:E20"/>
    <mergeCell ref="D11:E11"/>
    <mergeCell ref="D12:E12"/>
    <mergeCell ref="D13:E13"/>
    <mergeCell ref="D14:E14"/>
    <mergeCell ref="D15:E15"/>
    <mergeCell ref="D7:E7"/>
    <mergeCell ref="D8:E8"/>
    <mergeCell ref="D9:E9"/>
    <mergeCell ref="D10:E10"/>
    <mergeCell ref="H10:I10"/>
    <mergeCell ref="D1:E1"/>
    <mergeCell ref="D4:E4"/>
    <mergeCell ref="H4:I4"/>
    <mergeCell ref="D5:E5"/>
    <mergeCell ref="D6:E6"/>
  </mergeCells>
  <conditionalFormatting sqref="M5:M9 M11:M16 M18:M25">
    <cfRule type="cellIs" dxfId="272" priority="3" stopIfTrue="1" operator="lessThanOrEqual">
      <formula>$L5</formula>
    </cfRule>
    <cfRule type="cellIs" dxfId="271" priority="4" operator="greaterThan">
      <formula>L5</formula>
    </cfRule>
  </conditionalFormatting>
  <pageMargins left="0.7" right="0.7" top="0.75" bottom="0.75" header="0.3" footer="0.3"/>
  <pageSetup paperSize="3" fitToHeight="0" orientation="landscape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C04565D3-A12A-4BE0-9CDA-84E83DD7BE0B}">
          <x14:formula1>
            <xm:f>Bolts!$A:$A</xm:f>
          </x14:formula1>
          <xm:sqref>C18:C25</xm:sqref>
        </x14:dataValidation>
        <x14:dataValidation type="list" allowBlank="1" showInputMessage="1" showErrorMessage="1" xr:uid="{9F7BD1F1-028A-490A-8A31-BD0F3B692A40}">
          <x14:formula1>
            <xm:f>Purchased!$A:$A</xm:f>
          </x14:formula1>
          <xm:sqref>C11:C16</xm:sqref>
        </x14:dataValidation>
        <x14:dataValidation type="list" allowBlank="1" showInputMessage="1" showErrorMessage="1" xr:uid="{E5C3272E-1D28-489B-8993-B302097044A1}">
          <x14:formula1>
            <xm:f>Machined!$C:$C</xm:f>
          </x14:formula1>
          <xm:sqref>C5:C9</xm:sqref>
        </x14:dataValidation>
      </x14:dataValidations>
    </ext>
  </extLst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30A7F-869C-4886-A169-0677631A11D4}">
  <sheetPr codeName="Sheet109">
    <tabColor theme="3" tint="0.79998168889431442"/>
    <pageSetUpPr fitToPage="1"/>
  </sheetPr>
  <dimension ref="A1:Q179"/>
  <sheetViews>
    <sheetView zoomScaleNormal="100" workbookViewId="0">
      <selection activeCell="B10" sqref="B10:Q10"/>
    </sheetView>
  </sheetViews>
  <sheetFormatPr defaultColWidth="9.140625" defaultRowHeight="15"/>
  <cols>
    <col min="1" max="1" width="5.7109375" customWidth="1"/>
    <col min="2" max="2" width="5.42578125" bestFit="1" customWidth="1"/>
    <col min="3" max="3" width="30.7109375" customWidth="1"/>
    <col min="4" max="5" width="20.7109375" style="23" customWidth="1"/>
    <col min="6" max="6" width="16.85546875" bestFit="1" customWidth="1"/>
    <col min="7" max="7" width="9.7109375" customWidth="1"/>
    <col min="8" max="8" width="8.7109375" customWidth="1"/>
    <col min="9" max="9" width="20.7109375" customWidth="1"/>
    <col min="10" max="13" width="11.7109375" style="19" customWidth="1"/>
    <col min="14" max="14" width="11.85546875" style="19" bestFit="1" customWidth="1"/>
    <col min="15" max="15" width="7.7109375" style="19" customWidth="1"/>
    <col min="16" max="16" width="10.7109375" style="90" customWidth="1"/>
    <col min="17" max="17" width="10.7109375" style="97" customWidth="1"/>
  </cols>
  <sheetData>
    <row r="1" spans="1:17" s="55" customFormat="1" ht="12" customHeight="1">
      <c r="A1" s="68" t="s">
        <v>0</v>
      </c>
      <c r="B1" s="69"/>
      <c r="C1" s="69"/>
      <c r="D1" s="262" t="s">
        <v>1</v>
      </c>
      <c r="E1" s="263"/>
      <c r="F1" s="70"/>
      <c r="G1" s="69"/>
      <c r="H1" s="70"/>
      <c r="I1" s="71"/>
      <c r="J1" s="72"/>
      <c r="K1" s="72"/>
      <c r="L1" s="72"/>
      <c r="M1" s="72"/>
      <c r="N1" s="72"/>
      <c r="O1" s="72"/>
      <c r="P1" s="85"/>
      <c r="Q1" s="91"/>
    </row>
    <row r="2" spans="1:17" s="55" customFormat="1" ht="12" customHeight="1">
      <c r="A2" s="74" t="s">
        <v>48</v>
      </c>
      <c r="B2" s="58"/>
      <c r="C2" s="57" t="e">
        <f ca="1">VLOOKUP(E3,Assemblies!B:F,4,0)</f>
        <v>#VALUE!</v>
      </c>
      <c r="D2" s="75" t="s">
        <v>3</v>
      </c>
      <c r="E2" s="76" t="e">
        <f ca="1">'GF12'!E2</f>
        <v>#VALUE!</v>
      </c>
      <c r="F2" s="77" t="s">
        <v>4</v>
      </c>
      <c r="G2" s="58" t="str">
        <f>'GF12'!G2</f>
        <v>GH</v>
      </c>
      <c r="H2" s="77" t="s">
        <v>6</v>
      </c>
      <c r="I2" s="59">
        <f>'GF12'!I2</f>
        <v>44775</v>
      </c>
      <c r="J2" s="39"/>
      <c r="K2" s="40" t="s">
        <v>49</v>
      </c>
      <c r="L2" s="41" t="e">
        <f ca="1">VLOOKUP(C2,Assemblies!E:G,3,0)</f>
        <v>#VALUE!</v>
      </c>
      <c r="M2" s="78"/>
      <c r="N2" s="78"/>
      <c r="O2" s="78"/>
      <c r="P2" s="86"/>
      <c r="Q2" s="92"/>
    </row>
    <row r="3" spans="1:17" s="55" customFormat="1" ht="12" customHeight="1" thickBot="1">
      <c r="A3" s="74" t="s">
        <v>7</v>
      </c>
      <c r="B3" s="58"/>
      <c r="C3" s="57" t="e">
        <f ca="1">VLOOKUP(E3,Assemblies!B:F,5,0)</f>
        <v>#VALUE!</v>
      </c>
      <c r="D3" s="75" t="s">
        <v>50</v>
      </c>
      <c r="E3" s="76" t="e">
        <f ca="1">MID(CELL("filename",A1),FIND("]",CELL("filename",A1))+1,256)</f>
        <v>#VALUE!</v>
      </c>
      <c r="F3" s="77" t="s">
        <v>11</v>
      </c>
      <c r="G3" s="58" t="str">
        <f>'GF12'!G3</f>
        <v>GH</v>
      </c>
      <c r="H3" s="77" t="s">
        <v>6</v>
      </c>
      <c r="I3" s="59">
        <f>'GF12'!I3</f>
        <v>44775</v>
      </c>
      <c r="J3" s="78"/>
      <c r="K3" s="78"/>
      <c r="L3" s="78"/>
      <c r="M3" s="78"/>
      <c r="N3" s="78"/>
      <c r="O3" s="78"/>
      <c r="P3" s="86"/>
      <c r="Q3" s="92"/>
    </row>
    <row r="4" spans="1:17" s="56" customFormat="1" ht="12.75" customHeight="1" thickBot="1">
      <c r="A4" s="80" t="s">
        <v>12</v>
      </c>
      <c r="B4" s="81" t="s">
        <v>13</v>
      </c>
      <c r="C4" s="81" t="s">
        <v>14</v>
      </c>
      <c r="D4" s="270" t="s">
        <v>15</v>
      </c>
      <c r="E4" s="271"/>
      <c r="F4" s="104" t="s">
        <v>16</v>
      </c>
      <c r="G4" s="81" t="s">
        <v>17</v>
      </c>
      <c r="H4" s="260" t="s">
        <v>18</v>
      </c>
      <c r="I4" s="261"/>
      <c r="J4" s="81" t="s">
        <v>51</v>
      </c>
      <c r="K4" s="81" t="s">
        <v>20</v>
      </c>
      <c r="L4" s="81" t="s">
        <v>21</v>
      </c>
      <c r="M4" s="81" t="s">
        <v>52</v>
      </c>
      <c r="N4" s="81" t="s">
        <v>22</v>
      </c>
      <c r="O4" s="81" t="s">
        <v>53</v>
      </c>
      <c r="P4" s="107" t="s">
        <v>26</v>
      </c>
      <c r="Q4" s="82" t="s">
        <v>27</v>
      </c>
    </row>
    <row r="5" spans="1:17" s="2" customFormat="1" ht="12.75" customHeight="1">
      <c r="A5" s="127">
        <v>1</v>
      </c>
      <c r="B5" s="21">
        <v>1</v>
      </c>
      <c r="C5" s="108" t="s">
        <v>1158</v>
      </c>
      <c r="D5" s="277" t="str">
        <f>VLOOKUP(C5,Machined!C:Q,2,0)</f>
        <v>LOWER CROSS SEAL BAR</v>
      </c>
      <c r="E5" s="278"/>
      <c r="F5" s="131" t="str">
        <f>VLOOKUP(C5,Machined!C:R,7,0)</f>
        <v xml:space="preserve">MIC 6 </v>
      </c>
      <c r="G5" s="131" t="str">
        <f>VLOOKUP(C5,Machined!C:R,10,0)</f>
        <v>XOMETRY</v>
      </c>
      <c r="H5" s="131" t="str">
        <f>VLOOKUP(C5,Machined!C:R,11,0)</f>
        <v xml:space="preserve">  </v>
      </c>
      <c r="I5" s="131"/>
      <c r="J5" s="42">
        <f>VLOOKUP(C5,Machined!C:R,12,0)</f>
        <v>45084</v>
      </c>
      <c r="K5" s="42">
        <f>VLOOKUP(C5,Machined!C:R,13,0)</f>
        <v>45127</v>
      </c>
      <c r="L5" s="42">
        <f>VLOOKUP(C5,Machined!C:R,14,0)</f>
        <v>45156</v>
      </c>
      <c r="M5" s="42">
        <f>VLOOKUP(C5,Machined!C:R,15,0)</f>
        <v>45156</v>
      </c>
      <c r="N5" s="43">
        <f>VLOOKUP(C5,Machined!C:R,16,0)</f>
        <v>55003</v>
      </c>
      <c r="O5" s="43" t="e">
        <f t="shared" ref="O5:O9" ca="1" si="0">B5*$L$2</f>
        <v>#VALUE!</v>
      </c>
      <c r="P5" s="47">
        <f>IFERROR(VLOOKUP(C5,Machined!C:F,3,0),"")</f>
        <v>397.88</v>
      </c>
      <c r="Q5" s="48">
        <f t="shared" ref="Q5:Q9" si="1">IFERROR(B5*P5,"")</f>
        <v>397.88</v>
      </c>
    </row>
    <row r="6" spans="1:17" s="2" customFormat="1" ht="12.75" customHeight="1">
      <c r="A6" s="127">
        <v>2</v>
      </c>
      <c r="B6" s="21">
        <v>1</v>
      </c>
      <c r="C6" s="108" t="s">
        <v>1159</v>
      </c>
      <c r="D6" s="277" t="str">
        <f>VLOOKUP(C6,Machined!C:Q,2,0)</f>
        <v>CROSS SEAL MID BAR</v>
      </c>
      <c r="E6" s="278"/>
      <c r="F6" s="131" t="str">
        <f>VLOOKUP(C6,Machined!C:R,7,0)</f>
        <v xml:space="preserve">MIC 6 </v>
      </c>
      <c r="G6" s="131" t="str">
        <f>VLOOKUP(C6,Machined!C:R,10,0)</f>
        <v>XOMETRY</v>
      </c>
      <c r="H6" s="131" t="str">
        <f>VLOOKUP(C6,Machined!C:R,11,0)</f>
        <v>Nuline add 2x M4 Taps</v>
      </c>
      <c r="I6" s="131"/>
      <c r="J6" s="42">
        <f>VLOOKUP(C6,Machined!C:R,12,0)</f>
        <v>45084</v>
      </c>
      <c r="K6" s="42">
        <f>VLOOKUP(C6,Machined!C:R,13,0)</f>
        <v>45127</v>
      </c>
      <c r="L6" s="42">
        <f>VLOOKUP(C6,Machined!C:R,14,0)</f>
        <v>45156</v>
      </c>
      <c r="M6" s="42">
        <f>VLOOKUP(C6,Machined!C:R,15,0)</f>
        <v>45156</v>
      </c>
      <c r="N6" s="43">
        <f>VLOOKUP(C6,Machined!C:R,16,0)</f>
        <v>55003</v>
      </c>
      <c r="O6" s="43" t="e">
        <f t="shared" ca="1" si="0"/>
        <v>#VALUE!</v>
      </c>
      <c r="P6" s="47">
        <f>IFERROR(VLOOKUP(C6,Machined!C:F,3,0),"")</f>
        <v>266.51</v>
      </c>
      <c r="Q6" s="48">
        <f t="shared" si="1"/>
        <v>266.51</v>
      </c>
    </row>
    <row r="7" spans="1:17" s="2" customFormat="1" ht="12.75" customHeight="1">
      <c r="A7" s="127">
        <v>3</v>
      </c>
      <c r="B7" s="21">
        <v>1</v>
      </c>
      <c r="C7" s="108" t="s">
        <v>1160</v>
      </c>
      <c r="D7" s="277" t="str">
        <f>VLOOKUP(C7,Machined!C:Q,2,0)</f>
        <v>CROSS SEAL DIE CAP</v>
      </c>
      <c r="E7" s="278"/>
      <c r="F7" s="131" t="str">
        <f>VLOOKUP(C7,Machined!C:R,7,0)</f>
        <v xml:space="preserve">MIC 6 </v>
      </c>
      <c r="G7" s="131" t="str">
        <f>VLOOKUP(C7,Machined!C:R,10,0)</f>
        <v>XOMETRY</v>
      </c>
      <c r="H7" s="131" t="str">
        <f>VLOOKUP(C7,Machined!C:R,11,0)</f>
        <v xml:space="preserve">  </v>
      </c>
      <c r="I7" s="131"/>
      <c r="J7" s="42">
        <f>VLOOKUP(C7,Machined!C:R,12,0)</f>
        <v>45084</v>
      </c>
      <c r="K7" s="42">
        <f>VLOOKUP(C7,Machined!C:R,13,0)</f>
        <v>45127</v>
      </c>
      <c r="L7" s="42">
        <f>VLOOKUP(C7,Machined!C:R,14,0)</f>
        <v>45156</v>
      </c>
      <c r="M7" s="42">
        <f>VLOOKUP(C7,Machined!C:R,15,0)</f>
        <v>45156</v>
      </c>
      <c r="N7" s="43">
        <f>VLOOKUP(C7,Machined!C:R,16,0)</f>
        <v>55003</v>
      </c>
      <c r="O7" s="43" t="e">
        <f t="shared" ca="1" si="0"/>
        <v>#VALUE!</v>
      </c>
      <c r="P7" s="47">
        <f>IFERROR(VLOOKUP(C7,Machined!C:F,3,0),"")</f>
        <v>395.2</v>
      </c>
      <c r="Q7" s="48">
        <f t="shared" si="1"/>
        <v>395.2</v>
      </c>
    </row>
    <row r="8" spans="1:17" s="2" customFormat="1" ht="12.75" customHeight="1">
      <c r="A8" s="127">
        <v>4</v>
      </c>
      <c r="B8" s="21">
        <v>1</v>
      </c>
      <c r="C8" s="108" t="s">
        <v>1161</v>
      </c>
      <c r="D8" s="277" t="str">
        <f>VLOOKUP(C8,Machined!C:Q,2,0)</f>
        <v>CROSS SEAL MOUNTING TUBE</v>
      </c>
      <c r="E8" s="278"/>
      <c r="F8" s="131" t="str">
        <f>VLOOKUP(C8,Machined!C:R,7,0)</f>
        <v>3"x3" 1018 Rec Tube</v>
      </c>
      <c r="G8" s="131" t="str">
        <f>VLOOKUP(C8,Machined!C:R,10,0)</f>
        <v>XOMETRY</v>
      </c>
      <c r="H8" s="131" t="str">
        <f>VLOOKUP(C8,Machined!C:R,11,0)</f>
        <v xml:space="preserve">  </v>
      </c>
      <c r="I8" s="131"/>
      <c r="J8" s="42">
        <f>VLOOKUP(C8,Machined!C:R,12,0)</f>
        <v>45084</v>
      </c>
      <c r="K8" s="42">
        <f>VLOOKUP(C8,Machined!C:R,13,0)</f>
        <v>45149</v>
      </c>
      <c r="L8" s="42">
        <f>VLOOKUP(C8,Machined!C:R,14,0)</f>
        <v>45177</v>
      </c>
      <c r="M8" s="42">
        <f>VLOOKUP(C8,Machined!C:R,15,0)</f>
        <v>45177</v>
      </c>
      <c r="N8" s="43">
        <f>VLOOKUP(C8,Machined!C:R,16,0)</f>
        <v>55053</v>
      </c>
      <c r="O8" s="43" t="e">
        <f t="shared" ca="1" si="0"/>
        <v>#VALUE!</v>
      </c>
      <c r="P8" s="47">
        <f>IFERROR(VLOOKUP(C8,Machined!C:F,3,0),"")</f>
        <v>830.63</v>
      </c>
      <c r="Q8" s="48">
        <f t="shared" si="1"/>
        <v>830.63</v>
      </c>
    </row>
    <row r="9" spans="1:17" s="2" customFormat="1" ht="12.75" customHeight="1">
      <c r="A9" s="127">
        <v>5</v>
      </c>
      <c r="B9" s="21">
        <v>1</v>
      </c>
      <c r="C9" s="108" t="s">
        <v>1162</v>
      </c>
      <c r="D9" s="277" t="str">
        <f>VLOOKUP(C9,Machined!C:Q,2,0)</f>
        <v>LOWER CROSS SEAL SILICONE</v>
      </c>
      <c r="E9" s="278"/>
      <c r="F9" s="131" t="str">
        <f>VLOOKUP(C9,Machined!C:R,7,0)</f>
        <v>Silicone</v>
      </c>
      <c r="G9" s="131" t="str">
        <f>VLOOKUP(C9,Machined!C:R,10,0)</f>
        <v>NULINE</v>
      </c>
      <c r="H9" s="131" t="str">
        <f>VLOOKUP(C9,Machined!C:R,11,0)</f>
        <v xml:space="preserve">  </v>
      </c>
      <c r="I9" s="131"/>
      <c r="J9" s="42" t="str">
        <f>VLOOKUP(C9,Machined!C:R,12,0)</f>
        <v>N/A</v>
      </c>
      <c r="K9" s="42" t="str">
        <f>VLOOKUP(C9,Machined!C:R,13,0)</f>
        <v>N/A</v>
      </c>
      <c r="L9" s="42" t="str">
        <f>VLOOKUP(C9,Machined!C:R,14,0)</f>
        <v>N/A</v>
      </c>
      <c r="M9" s="42" t="str">
        <f>VLOOKUP(C9,Machined!C:R,15,0)</f>
        <v>N/A</v>
      </c>
      <c r="N9" s="43" t="str">
        <f>VLOOKUP(C9,Machined!C:R,16,0)</f>
        <v>N/A</v>
      </c>
      <c r="O9" s="43" t="e">
        <f t="shared" ca="1" si="0"/>
        <v>#VALUE!</v>
      </c>
      <c r="P9" s="47">
        <f>IFERROR(VLOOKUP(C9,Machined!C:F,3,0),"")</f>
        <v>0</v>
      </c>
      <c r="Q9" s="48">
        <f t="shared" si="1"/>
        <v>0</v>
      </c>
    </row>
    <row r="10" spans="1:17" s="2" customFormat="1" ht="12.75" customHeight="1">
      <c r="A10" s="127">
        <v>6</v>
      </c>
      <c r="B10" s="21">
        <v>2</v>
      </c>
      <c r="C10" s="108" t="s">
        <v>1071</v>
      </c>
      <c r="D10" s="277" t="str">
        <f>VLOOKUP(C10,Machined!C:Q,2,0)</f>
        <v>MODIFIED MCM 9604T190 STEEL FLANGED SHAFT COLLAR, 30MM DIA</v>
      </c>
      <c r="E10" s="278"/>
      <c r="F10" s="131" t="str">
        <f>VLOOKUP(C10,Machined!C:R,7,0)</f>
        <v>PURCHASED</v>
      </c>
      <c r="G10" s="131" t="str">
        <f>VLOOKUP(C10,Machined!C:R,10,0)</f>
        <v>MCM, NULINE</v>
      </c>
      <c r="H10" s="131" t="str">
        <f>VLOOKUP(C10,Machined!C:R,11,0)</f>
        <v xml:space="preserve">  </v>
      </c>
      <c r="I10" s="131"/>
      <c r="J10" s="42" t="str">
        <f>VLOOKUP(C10,Machined!C:R,12,0)</f>
        <v>N/A</v>
      </c>
      <c r="K10" s="42" t="str">
        <f>VLOOKUP(C10,Machined!C:R,13,0)</f>
        <v>N/A</v>
      </c>
      <c r="L10" s="42" t="str">
        <f>VLOOKUP(C10,Machined!C:R,14,0)</f>
        <v>N/A</v>
      </c>
      <c r="M10" s="42" t="str">
        <f>VLOOKUP(C10,Machined!C:R,15,0)</f>
        <v>N/A</v>
      </c>
      <c r="N10" s="43" t="str">
        <f>VLOOKUP(C10,Machined!C:R,16,0)</f>
        <v>N/A</v>
      </c>
      <c r="O10" s="43" t="e">
        <f t="shared" ref="O10" ca="1" si="2">B10*$L$2</f>
        <v>#VALUE!</v>
      </c>
      <c r="P10" s="47">
        <f>IFERROR(VLOOKUP(C10,Machined!C:F,3,0),"")</f>
        <v>0</v>
      </c>
      <c r="Q10" s="48">
        <f t="shared" ref="Q10" si="3">IFERROR(B10*P10,"")</f>
        <v>0</v>
      </c>
    </row>
    <row r="11" spans="1:17" s="2" customFormat="1" ht="12.75" customHeight="1">
      <c r="A11" s="143"/>
      <c r="B11" s="26"/>
      <c r="C11" s="26"/>
      <c r="D11" s="272"/>
      <c r="E11" s="273"/>
      <c r="F11" s="26"/>
      <c r="G11" s="26"/>
      <c r="H11" s="274"/>
      <c r="I11" s="275"/>
      <c r="J11" s="27"/>
      <c r="K11" s="27"/>
      <c r="L11" s="27"/>
      <c r="M11" s="28"/>
      <c r="N11" s="29"/>
      <c r="O11" s="29"/>
      <c r="P11" s="141"/>
      <c r="Q11" s="142"/>
    </row>
    <row r="12" spans="1:17" s="2" customFormat="1" ht="12.75" customHeight="1">
      <c r="A12" s="4">
        <v>301</v>
      </c>
      <c r="C12" s="114"/>
      <c r="D12" s="268"/>
      <c r="E12" s="269"/>
      <c r="F12" s="112"/>
      <c r="G12" s="112"/>
      <c r="H12" s="112"/>
      <c r="I12" s="113"/>
      <c r="J12" s="44"/>
      <c r="K12" s="44"/>
      <c r="L12" s="44"/>
      <c r="M12" s="44"/>
      <c r="N12" s="45"/>
      <c r="O12" s="45"/>
      <c r="P12" s="49"/>
      <c r="Q12" s="50"/>
    </row>
    <row r="13" spans="1:17" s="2" customFormat="1" ht="12" customHeight="1">
      <c r="A13" s="4">
        <f t="shared" ref="A13:A18" si="4">A12+1</f>
        <v>302</v>
      </c>
      <c r="B13" s="2">
        <v>3</v>
      </c>
      <c r="C13" s="114" t="s">
        <v>1072</v>
      </c>
      <c r="D13" s="268" t="str">
        <f>VLOOKUP(C13,Purchased!A:B,2,0)</f>
        <v>1/8in Bayonet Adapter</v>
      </c>
      <c r="E13" s="269"/>
      <c r="F13" s="112" t="str">
        <f>VLOOKUP(C13,Purchased!A:Q,9,0)</f>
        <v>ACROLAB</v>
      </c>
      <c r="G13" s="112" t="str">
        <f>VLOOKUP(C13,Purchased!A:Q,10,0)</f>
        <v>ACROLAB</v>
      </c>
      <c r="H13" s="112" t="str">
        <f>VLOOKUP(C13,Purchased!A:Q,12,0)</f>
        <v xml:space="preserve"> </v>
      </c>
      <c r="I13" s="113"/>
      <c r="J13" s="44" t="str">
        <f>VLOOKUP(C13,Purchased!A:Q,13,0)</f>
        <v>N/A</v>
      </c>
      <c r="K13" s="44">
        <f>VLOOKUP(C13,Purchased!A:Q,14,0)</f>
        <v>45001</v>
      </c>
      <c r="L13" s="44">
        <f>VLOOKUP(C13,Purchased!A:Q,15,0)</f>
        <v>45031</v>
      </c>
      <c r="M13" s="44">
        <f>VLOOKUP(C13,Purchased!A:Q,16,0)</f>
        <v>45031</v>
      </c>
      <c r="N13" s="45">
        <f>VLOOKUP(C13,Purchased!A:Q,17,0)</f>
        <v>54804</v>
      </c>
      <c r="O13" s="45" t="e">
        <f t="shared" ref="O13:O25" ca="1" si="5">B13*$L$2</f>
        <v>#VALUE!</v>
      </c>
      <c r="P13" s="49">
        <f>IFERROR(VLOOKUP(C13,Purchased!A:E,3,FALSE),"")</f>
        <v>4.25</v>
      </c>
      <c r="Q13" s="50">
        <f t="shared" ref="Q13:Q18" si="6">IFERROR(B13*P13,"")</f>
        <v>12.75</v>
      </c>
    </row>
    <row r="14" spans="1:17" s="2" customFormat="1" ht="12" customHeight="1">
      <c r="A14" s="4">
        <f t="shared" si="4"/>
        <v>303</v>
      </c>
      <c r="B14" s="2">
        <v>1</v>
      </c>
      <c r="C14" s="114" t="s">
        <v>1163</v>
      </c>
      <c r="D14" s="268" t="str">
        <f>VLOOKUP(C14,Purchased!A:B,2,0)</f>
        <v xml:space="preserve">0.5” OD Isobar, 49” Long </v>
      </c>
      <c r="E14" s="269"/>
      <c r="F14" s="112" t="str">
        <f>VLOOKUP(C14,Purchased!A:Q,9,0)</f>
        <v>ACROLAB</v>
      </c>
      <c r="G14" s="112" t="str">
        <f>VLOOKUP(C14,Purchased!A:Q,10,0)</f>
        <v>ACROLAB</v>
      </c>
      <c r="H14" s="112" t="str">
        <f>VLOOKUP(C14,Purchased!A:Q,12,0)</f>
        <v xml:space="preserve"> </v>
      </c>
      <c r="I14" s="113"/>
      <c r="J14" s="44" t="str">
        <f>VLOOKUP(C14,Purchased!A:Q,13,0)</f>
        <v>N/A</v>
      </c>
      <c r="K14" s="44">
        <f>VLOOKUP(C14,Purchased!A:Q,14,0)</f>
        <v>45001</v>
      </c>
      <c r="L14" s="44">
        <f>VLOOKUP(C14,Purchased!A:Q,15,0)</f>
        <v>45031</v>
      </c>
      <c r="M14" s="44">
        <f>VLOOKUP(C14,Purchased!A:Q,16,0)</f>
        <v>45031</v>
      </c>
      <c r="N14" s="45">
        <f>VLOOKUP(C14,Purchased!A:Q,17,0)</f>
        <v>54809</v>
      </c>
      <c r="O14" s="45" t="e">
        <f t="shared" ca="1" si="5"/>
        <v>#VALUE!</v>
      </c>
      <c r="P14" s="49">
        <f>IFERROR(VLOOKUP(C14,Purchased!A:E,3,FALSE),"")</f>
        <v>98</v>
      </c>
      <c r="Q14" s="50">
        <f t="shared" si="6"/>
        <v>98</v>
      </c>
    </row>
    <row r="15" spans="1:17" s="2" customFormat="1" ht="12" customHeight="1">
      <c r="A15" s="4">
        <f t="shared" si="4"/>
        <v>304</v>
      </c>
      <c r="B15" s="2">
        <v>2</v>
      </c>
      <c r="C15" s="114" t="s">
        <v>1164</v>
      </c>
      <c r="D15" s="268" t="str">
        <f>VLOOKUP(C15,Purchased!A:B,2,0)</f>
        <v>CUSTOM CARTRIDGE HEATER 24.5" LONG</v>
      </c>
      <c r="E15" s="269"/>
      <c r="F15" s="112" t="str">
        <f>VLOOKUP(C15,Purchased!A:Q,9,0)</f>
        <v>ACROLAB</v>
      </c>
      <c r="G15" s="112" t="str">
        <f>VLOOKUP(C15,Purchased!A:Q,10,0)</f>
        <v>ACROLAB</v>
      </c>
      <c r="H15" s="112" t="str">
        <f>VLOOKUP(C15,Purchased!A:Q,12,0)</f>
        <v xml:space="preserve"> </v>
      </c>
      <c r="I15" s="113"/>
      <c r="J15" s="44" t="str">
        <f>VLOOKUP(C15,Purchased!A:Q,13,0)</f>
        <v>N/A</v>
      </c>
      <c r="K15" s="44">
        <f>VLOOKUP(C15,Purchased!A:Q,14,0)</f>
        <v>45001</v>
      </c>
      <c r="L15" s="44">
        <f>VLOOKUP(C15,Purchased!A:Q,15,0)</f>
        <v>45031</v>
      </c>
      <c r="M15" s="44">
        <f>VLOOKUP(C15,Purchased!A:Q,16,0)</f>
        <v>45031</v>
      </c>
      <c r="N15" s="45">
        <f>VLOOKUP(C15,Purchased!A:Q,17,0)</f>
        <v>54806</v>
      </c>
      <c r="O15" s="45" t="e">
        <f t="shared" ca="1" si="5"/>
        <v>#VALUE!</v>
      </c>
      <c r="P15" s="49">
        <f>IFERROR(VLOOKUP(C15,Purchased!A:E,3,FALSE),"")</f>
        <v>254.8</v>
      </c>
      <c r="Q15" s="50">
        <f t="shared" si="6"/>
        <v>509.6</v>
      </c>
    </row>
    <row r="16" spans="1:17" s="2" customFormat="1" ht="12" customHeight="1">
      <c r="A16" s="4">
        <f t="shared" si="4"/>
        <v>305</v>
      </c>
      <c r="B16" s="2">
        <v>22</v>
      </c>
      <c r="C16" s="114" t="s">
        <v>1075</v>
      </c>
      <c r="D16" s="268" t="str">
        <f>VLOOKUP(C16,Purchased!A:B,2,0)</f>
        <v>Alloy Steel Cup-Point Set Screw M6 x 1 mm Thread, 50 mm Long, 25pk</v>
      </c>
      <c r="E16" s="269"/>
      <c r="F16" s="112" t="str">
        <f>VLOOKUP(C16,Purchased!A:Q,9,0)</f>
        <v>MCM</v>
      </c>
      <c r="G16" s="112" t="str">
        <f>VLOOKUP(C16,Purchased!A:Q,10,0)</f>
        <v>MCM</v>
      </c>
      <c r="H16" s="112" t="str">
        <f>VLOOKUP(C16,Purchased!A:Q,12,0)</f>
        <v>Pack of 25</v>
      </c>
      <c r="I16" s="113"/>
      <c r="J16" s="44" t="str">
        <f>VLOOKUP(C16,Purchased!A:Q,13,0)</f>
        <v>N/A</v>
      </c>
      <c r="K16" s="44">
        <f>VLOOKUP(C16,Purchased!A:Q,14,0)</f>
        <v>45162</v>
      </c>
      <c r="L16" s="44">
        <f>VLOOKUP(C16,Purchased!A:Q,15,0)</f>
        <v>45189</v>
      </c>
      <c r="M16" s="44">
        <f>VLOOKUP(C16,Purchased!A:Q,16,0)</f>
        <v>45189</v>
      </c>
      <c r="N16" s="45" t="str">
        <f>VLOOKUP(C16,Purchased!A:Q,17,0)</f>
        <v>55088, 55152</v>
      </c>
      <c r="O16" s="45" t="e">
        <f t="shared" ca="1" si="5"/>
        <v>#VALUE!</v>
      </c>
      <c r="P16" s="49">
        <f>IFERROR(VLOOKUP(C16,Purchased!A:E,3,FALSE),"")</f>
        <v>13.62</v>
      </c>
      <c r="Q16" s="50">
        <f t="shared" si="6"/>
        <v>299.64</v>
      </c>
    </row>
    <row r="17" spans="1:17" s="2" customFormat="1" ht="12" customHeight="1">
      <c r="A17" s="4">
        <f t="shared" si="4"/>
        <v>306</v>
      </c>
      <c r="B17" s="2">
        <v>1</v>
      </c>
      <c r="C17" s="114" t="s">
        <v>1076</v>
      </c>
      <c r="D17" s="268" t="str">
        <f>VLOOKUP(C17,Purchased!A:B,2,0)</f>
        <v>CUSTOM A100 THERMOCOUPLE 60" LONG LEADS</v>
      </c>
      <c r="E17" s="269"/>
      <c r="F17" s="112" t="str">
        <f>VLOOKUP(C17,Purchased!A:Q,9,0)</f>
        <v>ACROLAB</v>
      </c>
      <c r="G17" s="112" t="str">
        <f>VLOOKUP(C17,Purchased!A:Q,10,0)</f>
        <v>ACROLAB</v>
      </c>
      <c r="H17" s="112" t="str">
        <f>VLOOKUP(C17,Purchased!A:Q,12,0)</f>
        <v xml:space="preserve"> </v>
      </c>
      <c r="I17" s="113"/>
      <c r="J17" s="44" t="str">
        <f>VLOOKUP(C17,Purchased!A:Q,13,0)</f>
        <v>N/A</v>
      </c>
      <c r="K17" s="44">
        <f>VLOOKUP(C17,Purchased!A:Q,14,0)</f>
        <v>45001</v>
      </c>
      <c r="L17" s="44">
        <f>VLOOKUP(C17,Purchased!A:Q,15,0)</f>
        <v>45031</v>
      </c>
      <c r="M17" s="44">
        <f>VLOOKUP(C17,Purchased!A:Q,16,0)</f>
        <v>45031</v>
      </c>
      <c r="N17" s="45">
        <f>VLOOKUP(C17,Purchased!A:Q,17,0)</f>
        <v>54807</v>
      </c>
      <c r="O17" s="45" t="e">
        <f t="shared" ca="1" si="5"/>
        <v>#VALUE!</v>
      </c>
      <c r="P17" s="49">
        <f>IFERROR(VLOOKUP(C17,Purchased!A:E,3,FALSE),"")</f>
        <v>45.75</v>
      </c>
      <c r="Q17" s="50">
        <f t="shared" si="6"/>
        <v>45.75</v>
      </c>
    </row>
    <row r="18" spans="1:17" s="2" customFormat="1" ht="12" customHeight="1">
      <c r="A18" s="4">
        <f t="shared" si="4"/>
        <v>307</v>
      </c>
      <c r="B18" s="2">
        <v>2</v>
      </c>
      <c r="C18" s="114" t="s">
        <v>1165</v>
      </c>
      <c r="D18" s="268" t="str">
        <f>VLOOKUP(C18,Purchased!A:B,2,0)</f>
        <v>CUSTOM A100 THERMOCOUPLE 24" LONG LEADS</v>
      </c>
      <c r="E18" s="269"/>
      <c r="F18" s="112" t="str">
        <f>VLOOKUP(C18,Purchased!A:Q,9,0)</f>
        <v>ACROLAB</v>
      </c>
      <c r="G18" s="112" t="str">
        <f>VLOOKUP(C18,Purchased!A:Q,10,0)</f>
        <v>ACROLAB</v>
      </c>
      <c r="H18" s="112" t="str">
        <f>VLOOKUP(C18,Purchased!A:Q,12,0)</f>
        <v xml:space="preserve"> </v>
      </c>
      <c r="I18" s="113"/>
      <c r="J18" s="44" t="str">
        <f>VLOOKUP(C18,Purchased!A:Q,13,0)</f>
        <v>N/A</v>
      </c>
      <c r="K18" s="44">
        <f>VLOOKUP(C18,Purchased!A:Q,14,0)</f>
        <v>45001</v>
      </c>
      <c r="L18" s="44">
        <f>VLOOKUP(C18,Purchased!A:Q,15,0)</f>
        <v>45031</v>
      </c>
      <c r="M18" s="44">
        <f>VLOOKUP(C18,Purchased!A:Q,16,0)</f>
        <v>45031</v>
      </c>
      <c r="N18" s="45">
        <f>VLOOKUP(C18,Purchased!A:Q,17,0)</f>
        <v>54808</v>
      </c>
      <c r="O18" s="45" t="e">
        <f t="shared" ca="1" si="5"/>
        <v>#VALUE!</v>
      </c>
      <c r="P18" s="49">
        <f>IFERROR(VLOOKUP(C18,Purchased!A:E,3,FALSE),"")</f>
        <v>45.75</v>
      </c>
      <c r="Q18" s="50">
        <f t="shared" si="6"/>
        <v>91.5</v>
      </c>
    </row>
    <row r="19" spans="1:17" s="2" customFormat="1" ht="12" customHeight="1">
      <c r="A19" s="25"/>
      <c r="B19" s="26"/>
      <c r="C19" s="26"/>
      <c r="D19" s="272"/>
      <c r="E19" s="273"/>
      <c r="F19" s="26"/>
      <c r="G19" s="26"/>
      <c r="H19" s="274"/>
      <c r="I19" s="275"/>
      <c r="J19" s="27"/>
      <c r="K19" s="27"/>
      <c r="L19" s="27"/>
      <c r="M19" s="28"/>
      <c r="N19" s="29"/>
      <c r="O19" s="29" t="e">
        <f t="shared" ca="1" si="5"/>
        <v>#VALUE!</v>
      </c>
      <c r="P19" s="141"/>
      <c r="Q19" s="142"/>
    </row>
    <row r="20" spans="1:17" s="2" customFormat="1" ht="12" customHeight="1">
      <c r="A20" s="4">
        <v>501</v>
      </c>
      <c r="B20" s="2">
        <v>8</v>
      </c>
      <c r="C20" s="110" t="s">
        <v>1077</v>
      </c>
      <c r="D20" s="268"/>
      <c r="E20" s="276"/>
      <c r="F20" s="112">
        <f>VLOOKUP(C20,Bolts!A:L,5,0)</f>
        <v>0</v>
      </c>
      <c r="G20" s="112">
        <f>VLOOKUP(C20,Bolts!A:L,6,0)</f>
        <v>0</v>
      </c>
      <c r="H20" s="112">
        <f>VLOOKUP(C20,Bolts!A:L,7,0)</f>
        <v>0</v>
      </c>
      <c r="I20" s="112"/>
      <c r="J20" s="44">
        <f>VLOOKUP(C20,Bolts!A:L,8,0)</f>
        <v>0</v>
      </c>
      <c r="K20" s="44">
        <f>VLOOKUP(C20,Bolts!A:L,9,0)</f>
        <v>0</v>
      </c>
      <c r="L20" s="44">
        <f>VLOOKUP(C20,Bolts!A:L,10,0)</f>
        <v>0</v>
      </c>
      <c r="M20" s="44">
        <f>VLOOKUP(C20,Bolts!A:L,11,0)</f>
        <v>0</v>
      </c>
      <c r="N20" s="45">
        <f>VLOOKUP(C20,Bolts!A:L,12,0)</f>
        <v>0</v>
      </c>
      <c r="O20" s="45" t="e">
        <f t="shared" ca="1" si="5"/>
        <v>#VALUE!</v>
      </c>
      <c r="P20" s="49">
        <f>IFERROR(VLOOKUP(C20,Bolts!A:B,2,FALSE),"")</f>
        <v>0</v>
      </c>
      <c r="Q20" s="50">
        <f t="shared" ref="Q20:Q21" si="7">IFERROR(B20*P20,"")</f>
        <v>0</v>
      </c>
    </row>
    <row r="21" spans="1:17" s="2" customFormat="1" ht="12" customHeight="1">
      <c r="A21" s="4">
        <f t="shared" ref="A21:A25" si="8">A20+1</f>
        <v>502</v>
      </c>
      <c r="B21" s="2">
        <v>74</v>
      </c>
      <c r="C21" s="110" t="s">
        <v>853</v>
      </c>
      <c r="D21" s="268"/>
      <c r="E21" s="276"/>
      <c r="F21" s="112" t="str">
        <f>VLOOKUP(C21,Bolts!A:L,5,0)</f>
        <v xml:space="preserve">  </v>
      </c>
      <c r="G21" s="112" t="str">
        <f>VLOOKUP(C21,Bolts!A:L,6,0)</f>
        <v>Monroe Fasteners</v>
      </c>
      <c r="H21" s="112" t="str">
        <f>VLOOKUP(C21,Bolts!A:L,7,0)</f>
        <v xml:space="preserve">  </v>
      </c>
      <c r="I21" s="112"/>
      <c r="J21" s="44" t="str">
        <f>VLOOKUP(C21,Bolts!A:L,8,0)</f>
        <v xml:space="preserve"> </v>
      </c>
      <c r="K21" s="44" t="str">
        <f>VLOOKUP(C21,Bolts!A:L,9,0)</f>
        <v xml:space="preserve"> </v>
      </c>
      <c r="L21" s="44" t="str">
        <f>VLOOKUP(C21,Bolts!A:L,10,0)</f>
        <v xml:space="preserve"> </v>
      </c>
      <c r="M21" s="44" t="str">
        <f>VLOOKUP(C21,Bolts!A:L,11,0)</f>
        <v xml:space="preserve"> </v>
      </c>
      <c r="N21" s="45" t="str">
        <f>VLOOKUP(C21,Bolts!A:L,12,0)</f>
        <v xml:space="preserve"> </v>
      </c>
      <c r="O21" s="45" t="e">
        <f t="shared" ca="1" si="5"/>
        <v>#VALUE!</v>
      </c>
      <c r="P21" s="49" t="str">
        <f>IFERROR(VLOOKUP(C21,Bolts!A:B,2,FALSE),"")</f>
        <v xml:space="preserve"> </v>
      </c>
      <c r="Q21" s="50" t="str">
        <f t="shared" si="7"/>
        <v/>
      </c>
    </row>
    <row r="22" spans="1:17" s="2" customFormat="1" ht="12" customHeight="1">
      <c r="A22" s="4">
        <f t="shared" si="8"/>
        <v>503</v>
      </c>
      <c r="B22" s="2">
        <v>8</v>
      </c>
      <c r="C22" s="110" t="s">
        <v>828</v>
      </c>
      <c r="D22" s="268"/>
      <c r="E22" s="276"/>
      <c r="F22" s="112" t="str">
        <f>VLOOKUP(C22,Bolts!A:L,5,0)</f>
        <v xml:space="preserve">  </v>
      </c>
      <c r="G22" s="112" t="str">
        <f>VLOOKUP(C22,Bolts!A:L,6,0)</f>
        <v>Monroe Fasteners</v>
      </c>
      <c r="H22" s="112" t="str">
        <f>VLOOKUP(C22,Bolts!A:L,7,0)</f>
        <v xml:space="preserve">  </v>
      </c>
      <c r="I22" s="112"/>
      <c r="J22" s="44" t="str">
        <f>VLOOKUP(C22,Bolts!A:L,8,0)</f>
        <v xml:space="preserve"> </v>
      </c>
      <c r="K22" s="44" t="str">
        <f>VLOOKUP(C22,Bolts!A:L,9,0)</f>
        <v xml:space="preserve"> </v>
      </c>
      <c r="L22" s="44" t="str">
        <f>VLOOKUP(C22,Bolts!A:L,10,0)</f>
        <v xml:space="preserve"> </v>
      </c>
      <c r="M22" s="44" t="str">
        <f>VLOOKUP(C22,Bolts!A:L,11,0)</f>
        <v xml:space="preserve"> </v>
      </c>
      <c r="N22" s="45" t="str">
        <f>VLOOKUP(C22,Bolts!A:L,12,0)</f>
        <v xml:space="preserve"> </v>
      </c>
      <c r="O22" s="45" t="e">
        <f t="shared" ca="1" si="5"/>
        <v>#VALUE!</v>
      </c>
      <c r="P22" s="49" t="str">
        <f>IFERROR(VLOOKUP(#REF!,Bolts!A:B,2,FALSE),"")</f>
        <v/>
      </c>
      <c r="Q22" s="50" t="str">
        <f>IFERROR(#REF!*P22,"")</f>
        <v/>
      </c>
    </row>
    <row r="23" spans="1:17" s="2" customFormat="1" ht="12" customHeight="1">
      <c r="A23" s="4">
        <f t="shared" si="8"/>
        <v>504</v>
      </c>
      <c r="B23" s="2">
        <v>16</v>
      </c>
      <c r="C23" s="110" t="s">
        <v>288</v>
      </c>
      <c r="D23" s="268"/>
      <c r="E23" s="276"/>
      <c r="F23" s="112" t="str">
        <f>VLOOKUP(C23,Bolts!A:L,5,0)</f>
        <v xml:space="preserve">  </v>
      </c>
      <c r="G23" s="112" t="str">
        <f>VLOOKUP(C23,Bolts!A:L,6,0)</f>
        <v>Monroe Fasteners</v>
      </c>
      <c r="H23" s="112" t="str">
        <f>VLOOKUP(C23,Bolts!A:L,7,0)</f>
        <v xml:space="preserve">  </v>
      </c>
      <c r="I23" s="112"/>
      <c r="J23" s="44" t="str">
        <f>VLOOKUP(C23,Bolts!A:L,8,0)</f>
        <v xml:space="preserve"> </v>
      </c>
      <c r="K23" s="44" t="str">
        <f>VLOOKUP(C23,Bolts!A:L,9,0)</f>
        <v xml:space="preserve"> </v>
      </c>
      <c r="L23" s="44" t="str">
        <f>VLOOKUP(C23,Bolts!A:L,10,0)</f>
        <v xml:space="preserve"> </v>
      </c>
      <c r="M23" s="44" t="str">
        <f>VLOOKUP(C23,Bolts!A:L,11,0)</f>
        <v xml:space="preserve"> </v>
      </c>
      <c r="N23" s="45" t="str">
        <f>VLOOKUP(C23,Bolts!A:L,12,0)</f>
        <v xml:space="preserve"> </v>
      </c>
      <c r="O23" s="45" t="e">
        <f t="shared" ca="1" si="5"/>
        <v>#VALUE!</v>
      </c>
      <c r="P23" s="49" t="str">
        <f>IFERROR(VLOOKUP(C22,Bolts!A:B,2,FALSE),"")</f>
        <v xml:space="preserve"> </v>
      </c>
      <c r="Q23" s="50" t="str">
        <f>IFERROR(B22*P23,"")</f>
        <v/>
      </c>
    </row>
    <row r="24" spans="1:17" s="2" customFormat="1" ht="12" customHeight="1">
      <c r="A24" s="4">
        <f t="shared" si="8"/>
        <v>505</v>
      </c>
      <c r="B24" s="2">
        <v>2</v>
      </c>
      <c r="C24" s="110" t="s">
        <v>1078</v>
      </c>
      <c r="D24" s="268"/>
      <c r="E24" s="276"/>
      <c r="F24" s="112" t="str">
        <f>VLOOKUP(C24,Bolts!A:L,5,0)</f>
        <v xml:space="preserve">  </v>
      </c>
      <c r="G24" s="112" t="str">
        <f>VLOOKUP(C24,Bolts!A:L,6,0)</f>
        <v>Monroe Fasteners</v>
      </c>
      <c r="H24" s="112" t="str">
        <f>VLOOKUP(C24,Bolts!A:L,7,0)</f>
        <v xml:space="preserve">  </v>
      </c>
      <c r="I24" s="112"/>
      <c r="J24" s="44" t="str">
        <f>VLOOKUP(C24,Bolts!A:L,8,0)</f>
        <v xml:space="preserve"> </v>
      </c>
      <c r="K24" s="44" t="str">
        <f>VLOOKUP(C24,Bolts!A:L,9,0)</f>
        <v xml:space="preserve"> </v>
      </c>
      <c r="L24" s="44" t="str">
        <f>VLOOKUP(C24,Bolts!A:L,10,0)</f>
        <v xml:space="preserve"> </v>
      </c>
      <c r="M24" s="44" t="str">
        <f>VLOOKUP(C24,Bolts!A:L,11,0)</f>
        <v xml:space="preserve"> </v>
      </c>
      <c r="N24" s="45" t="str">
        <f>VLOOKUP(C24,Bolts!A:L,12,0)</f>
        <v xml:space="preserve"> </v>
      </c>
      <c r="O24" s="45" t="e">
        <f t="shared" ca="1" si="5"/>
        <v>#VALUE!</v>
      </c>
      <c r="P24" s="49" t="str">
        <f>IFERROR(VLOOKUP(C23,Bolts!A:B,2,FALSE),"")</f>
        <v xml:space="preserve"> </v>
      </c>
      <c r="Q24" s="50" t="str">
        <f>IFERROR(B23*P24,"")</f>
        <v/>
      </c>
    </row>
    <row r="25" spans="1:17" s="2" customFormat="1" ht="12" customHeight="1" thickBot="1">
      <c r="A25" s="4">
        <f t="shared" si="8"/>
        <v>506</v>
      </c>
      <c r="B25" s="2">
        <v>82</v>
      </c>
      <c r="C25" s="110" t="s">
        <v>595</v>
      </c>
      <c r="D25" s="164"/>
      <c r="E25" s="165"/>
      <c r="F25" s="112" t="str">
        <f>VLOOKUP(C25,Bolts!A:L,5,0)</f>
        <v xml:space="preserve">  </v>
      </c>
      <c r="G25" s="112" t="str">
        <f>VLOOKUP(C25,Bolts!A:L,6,0)</f>
        <v>Monroe Fasteners</v>
      </c>
      <c r="H25" s="112" t="str">
        <f>VLOOKUP(C25,Bolts!A:L,7,0)</f>
        <v xml:space="preserve">  </v>
      </c>
      <c r="I25" s="112"/>
      <c r="J25" s="44" t="str">
        <f>VLOOKUP(C25,Bolts!A:L,8,0)</f>
        <v xml:space="preserve"> </v>
      </c>
      <c r="K25" s="44" t="str">
        <f>VLOOKUP(C25,Bolts!A:L,9,0)</f>
        <v xml:space="preserve"> </v>
      </c>
      <c r="L25" s="44" t="str">
        <f>VLOOKUP(C25,Bolts!A:L,10,0)</f>
        <v xml:space="preserve"> </v>
      </c>
      <c r="M25" s="44" t="str">
        <f>VLOOKUP(C25,Bolts!A:L,11,0)</f>
        <v xml:space="preserve"> </v>
      </c>
      <c r="N25" s="45" t="str">
        <f>VLOOKUP(C25,Bolts!A:L,12,0)</f>
        <v xml:space="preserve"> </v>
      </c>
      <c r="O25" s="45" t="e">
        <f t="shared" ca="1" si="5"/>
        <v>#VALUE!</v>
      </c>
      <c r="P25" s="49" t="str">
        <f>IFERROR(VLOOKUP(C24,Bolts!A:B,2,FALSE),"")</f>
        <v xml:space="preserve"> </v>
      </c>
      <c r="Q25" s="50" t="str">
        <f>IFERROR(B24*P25,"")</f>
        <v/>
      </c>
    </row>
    <row r="26" spans="1:17" s="2" customFormat="1" ht="12.75" customHeight="1" thickBot="1">
      <c r="A26" s="34"/>
      <c r="B26" s="35"/>
      <c r="C26" s="35"/>
      <c r="D26" s="256"/>
      <c r="E26" s="257"/>
      <c r="F26" s="35"/>
      <c r="G26" s="35"/>
      <c r="H26" s="294"/>
      <c r="I26" s="295"/>
      <c r="J26" s="36"/>
      <c r="K26" s="36"/>
      <c r="L26" s="36"/>
      <c r="M26" s="37"/>
      <c r="N26" s="38"/>
      <c r="O26" s="38"/>
      <c r="P26" s="89" t="s">
        <v>43</v>
      </c>
      <c r="Q26" s="94">
        <f>SUM(Q5:Q25)</f>
        <v>2947.4599999999996</v>
      </c>
    </row>
    <row r="27" spans="1:17" s="2" customFormat="1" ht="12" customHeight="1">
      <c r="D27" s="22"/>
      <c r="E27" s="22"/>
      <c r="J27" s="8"/>
      <c r="K27" s="8"/>
      <c r="L27" s="8"/>
      <c r="M27" s="8"/>
      <c r="N27" s="5"/>
      <c r="O27" s="5"/>
      <c r="P27" s="88"/>
      <c r="Q27" s="95"/>
    </row>
    <row r="28" spans="1:17" s="2" customFormat="1" ht="12" customHeight="1">
      <c r="D28" s="22"/>
      <c r="I28" s="5"/>
      <c r="J28" s="5"/>
      <c r="K28" s="5"/>
      <c r="L28" s="5"/>
      <c r="M28" s="5"/>
      <c r="N28" s="5"/>
      <c r="O28" s="88"/>
      <c r="P28" s="95"/>
    </row>
    <row r="29" spans="1:17" s="2" customFormat="1" ht="12" customHeight="1">
      <c r="B29" s="22"/>
      <c r="G29" s="5"/>
      <c r="H29" s="5"/>
      <c r="I29" s="5"/>
      <c r="J29" s="5"/>
      <c r="K29" s="5"/>
      <c r="L29" s="5"/>
      <c r="M29" s="88"/>
      <c r="N29" s="95"/>
    </row>
    <row r="30" spans="1:17" s="2" customFormat="1" ht="12" customHeight="1">
      <c r="B30" s="22"/>
      <c r="G30" s="5"/>
      <c r="H30" s="5"/>
      <c r="I30" s="5"/>
      <c r="J30" s="5"/>
      <c r="K30" s="5"/>
      <c r="L30" s="5"/>
      <c r="M30" s="88"/>
      <c r="N30" s="95"/>
    </row>
    <row r="31" spans="1:17" s="2" customFormat="1" ht="12" customHeight="1">
      <c r="B31" s="22"/>
      <c r="G31" s="5"/>
      <c r="H31" s="5"/>
      <c r="I31" s="5"/>
      <c r="J31" s="5"/>
      <c r="K31" s="5"/>
      <c r="L31" s="5"/>
      <c r="M31" s="88"/>
      <c r="N31" s="95"/>
    </row>
    <row r="32" spans="1:17" s="2" customFormat="1" ht="12" customHeight="1">
      <c r="B32" s="22"/>
      <c r="G32" s="5"/>
      <c r="H32" s="5"/>
      <c r="I32" s="5"/>
      <c r="J32" s="5"/>
      <c r="K32" s="5"/>
      <c r="L32" s="5"/>
      <c r="M32" s="88"/>
      <c r="N32" s="95"/>
    </row>
    <row r="33" spans="2:17" s="2" customFormat="1" ht="12" customHeight="1">
      <c r="B33" s="22"/>
      <c r="G33" s="5"/>
      <c r="H33" s="5"/>
      <c r="I33" s="5"/>
      <c r="J33" s="5"/>
      <c r="K33" s="5"/>
      <c r="L33" s="5"/>
      <c r="M33" s="88"/>
      <c r="N33" s="95"/>
    </row>
    <row r="34" spans="2:17" s="2" customFormat="1" ht="12" customHeight="1">
      <c r="B34" s="22"/>
      <c r="G34" s="5"/>
      <c r="H34" s="5"/>
      <c r="I34" s="5"/>
      <c r="J34" s="5"/>
      <c r="K34" s="5"/>
      <c r="L34" s="5"/>
      <c r="M34" s="88"/>
      <c r="N34" s="95"/>
    </row>
    <row r="35" spans="2:17" s="2" customFormat="1" ht="12" customHeight="1">
      <c r="B35" s="22"/>
      <c r="G35" s="5"/>
      <c r="H35" s="5"/>
      <c r="I35" s="5"/>
      <c r="J35" s="5"/>
      <c r="K35" s="5"/>
      <c r="L35" s="5"/>
      <c r="M35" s="88"/>
      <c r="N35" s="95"/>
    </row>
    <row r="36" spans="2:17" s="2" customFormat="1" ht="12" customHeight="1">
      <c r="B36" s="22"/>
      <c r="C36" s="22"/>
      <c r="H36" s="5"/>
      <c r="I36" s="5"/>
      <c r="J36" s="5"/>
      <c r="K36" s="5"/>
      <c r="L36" s="5"/>
      <c r="M36" s="5"/>
      <c r="N36" s="88"/>
      <c r="O36" s="95"/>
    </row>
    <row r="37" spans="2:17" s="2" customFormat="1" ht="12" customHeight="1">
      <c r="B37" s="22"/>
      <c r="C37" s="22"/>
      <c r="H37" s="5"/>
      <c r="I37" s="5"/>
      <c r="J37" s="5"/>
      <c r="K37" s="5"/>
      <c r="L37" s="5"/>
      <c r="M37" s="5"/>
      <c r="N37" s="88"/>
      <c r="O37" s="95"/>
    </row>
    <row r="38" spans="2:17" s="2" customFormat="1" ht="12" customHeight="1">
      <c r="B38" s="22"/>
      <c r="C38" s="22"/>
      <c r="H38" s="5"/>
      <c r="I38" s="5"/>
      <c r="J38" s="5"/>
      <c r="K38" s="5"/>
      <c r="L38" s="5"/>
      <c r="M38" s="5"/>
      <c r="N38" s="88"/>
      <c r="O38" s="95"/>
    </row>
    <row r="39" spans="2:17" s="2" customFormat="1" ht="12" customHeight="1">
      <c r="B39" s="22"/>
      <c r="C39" s="22"/>
      <c r="H39" s="5"/>
      <c r="I39" s="5"/>
      <c r="J39" s="5"/>
      <c r="K39" s="5"/>
      <c r="L39" s="5"/>
      <c r="M39" s="5"/>
      <c r="N39" s="88"/>
      <c r="O39" s="95"/>
    </row>
    <row r="40" spans="2:17" s="2" customFormat="1" ht="12" customHeight="1">
      <c r="B40" s="22"/>
      <c r="C40" s="22"/>
      <c r="H40" s="5"/>
      <c r="I40" s="5"/>
      <c r="J40" s="5"/>
      <c r="K40" s="5"/>
      <c r="L40" s="5"/>
      <c r="M40" s="5"/>
      <c r="N40" s="88"/>
      <c r="O40" s="95"/>
    </row>
    <row r="41" spans="2:17" s="2" customFormat="1" ht="12" customHeight="1">
      <c r="B41" s="22"/>
      <c r="C41" s="22"/>
      <c r="H41" s="5"/>
      <c r="I41" s="5"/>
      <c r="J41" s="5"/>
      <c r="K41" s="5"/>
      <c r="L41" s="5"/>
      <c r="M41" s="5"/>
      <c r="N41" s="88"/>
      <c r="O41" s="95"/>
    </row>
    <row r="42" spans="2:17" s="2" customFormat="1" ht="12" customHeight="1">
      <c r="B42" s="22"/>
      <c r="C42" s="22"/>
      <c r="H42" s="5"/>
      <c r="I42" s="5"/>
      <c r="J42" s="5"/>
      <c r="K42" s="5"/>
      <c r="L42" s="5"/>
      <c r="M42" s="5"/>
      <c r="N42" s="88"/>
      <c r="O42" s="95"/>
    </row>
    <row r="43" spans="2:17" s="2" customFormat="1" ht="12" customHeight="1">
      <c r="D43" s="22"/>
      <c r="E43" s="22"/>
      <c r="J43" s="5"/>
      <c r="K43" s="5"/>
      <c r="L43" s="5"/>
      <c r="M43" s="5"/>
      <c r="N43" s="5"/>
      <c r="O43" s="5"/>
      <c r="P43" s="88"/>
      <c r="Q43" s="95"/>
    </row>
    <row r="44" spans="2:17" s="2" customFormat="1" ht="12" customHeight="1">
      <c r="D44" s="22"/>
      <c r="E44" s="22"/>
      <c r="J44" s="5"/>
      <c r="K44" s="5"/>
      <c r="L44" s="5"/>
      <c r="M44" s="5"/>
      <c r="N44" s="5"/>
      <c r="O44" s="5"/>
      <c r="P44" s="88"/>
      <c r="Q44" s="95"/>
    </row>
    <row r="45" spans="2:17" s="2" customFormat="1" ht="12" customHeight="1">
      <c r="D45" s="22"/>
      <c r="E45" s="22"/>
      <c r="J45" s="5"/>
      <c r="K45" s="5"/>
      <c r="L45" s="5"/>
      <c r="M45" s="5"/>
      <c r="N45" s="5"/>
      <c r="O45" s="5"/>
      <c r="P45" s="88"/>
      <c r="Q45" s="95"/>
    </row>
    <row r="46" spans="2:17" s="2" customFormat="1" ht="12" customHeight="1">
      <c r="D46" s="22"/>
      <c r="E46" s="22"/>
      <c r="J46" s="5"/>
      <c r="K46" s="5"/>
      <c r="L46" s="5"/>
      <c r="M46" s="5"/>
      <c r="N46" s="5"/>
      <c r="O46" s="5"/>
      <c r="P46" s="88"/>
      <c r="Q46" s="95"/>
    </row>
    <row r="47" spans="2:17" s="2" customFormat="1" ht="12" customHeight="1">
      <c r="D47" s="22"/>
      <c r="E47" s="22"/>
      <c r="J47" s="5"/>
      <c r="K47" s="5"/>
      <c r="L47" s="5"/>
      <c r="M47" s="5"/>
      <c r="N47" s="5"/>
      <c r="O47" s="5"/>
      <c r="P47" s="88"/>
      <c r="Q47" s="95"/>
    </row>
    <row r="48" spans="2:17" s="2" customFormat="1" ht="12" customHeight="1">
      <c r="D48" s="22"/>
      <c r="E48" s="22"/>
      <c r="J48" s="5"/>
      <c r="K48" s="5"/>
      <c r="L48" s="5"/>
      <c r="M48" s="5"/>
      <c r="N48" s="5"/>
      <c r="O48" s="5"/>
      <c r="P48" s="88"/>
      <c r="Q48" s="95"/>
    </row>
    <row r="49" spans="4:17" s="2" customFormat="1" ht="12" customHeight="1">
      <c r="D49" s="22"/>
      <c r="E49" s="22"/>
      <c r="J49" s="5"/>
      <c r="K49" s="5"/>
      <c r="L49" s="5"/>
      <c r="M49" s="5"/>
      <c r="N49" s="5"/>
      <c r="O49" s="5"/>
      <c r="P49" s="88"/>
      <c r="Q49" s="95"/>
    </row>
    <row r="50" spans="4:17" s="2" customFormat="1" ht="12" customHeight="1">
      <c r="D50" s="22"/>
      <c r="E50" s="22"/>
      <c r="J50" s="5"/>
      <c r="K50" s="5"/>
      <c r="L50" s="5"/>
      <c r="M50" s="5"/>
      <c r="N50" s="5"/>
      <c r="O50" s="5"/>
      <c r="P50" s="88"/>
      <c r="Q50" s="95"/>
    </row>
    <row r="51" spans="4:17" s="2" customFormat="1" ht="12" customHeight="1">
      <c r="D51" s="22"/>
      <c r="E51" s="22"/>
      <c r="J51" s="5"/>
      <c r="K51" s="5"/>
      <c r="L51" s="5"/>
      <c r="M51" s="5"/>
      <c r="N51" s="5"/>
      <c r="O51" s="5"/>
      <c r="P51" s="88"/>
      <c r="Q51" s="95"/>
    </row>
    <row r="52" spans="4:17" s="2" customFormat="1" ht="12" customHeight="1">
      <c r="D52" s="22"/>
      <c r="E52" s="22"/>
      <c r="J52" s="5"/>
      <c r="K52" s="5"/>
      <c r="L52" s="5"/>
      <c r="M52" s="5"/>
      <c r="N52" s="5"/>
      <c r="O52" s="5"/>
      <c r="P52" s="88"/>
      <c r="Q52" s="95"/>
    </row>
    <row r="53" spans="4:17" s="2" customFormat="1" ht="12" customHeight="1">
      <c r="D53" s="22"/>
      <c r="E53" s="22"/>
      <c r="J53" s="5"/>
      <c r="K53" s="5"/>
      <c r="L53" s="5"/>
      <c r="M53" s="5"/>
      <c r="N53" s="5"/>
      <c r="O53" s="5"/>
      <c r="P53" s="88"/>
      <c r="Q53" s="95"/>
    </row>
    <row r="54" spans="4:17" s="2" customFormat="1" ht="12" customHeight="1">
      <c r="D54" s="22"/>
      <c r="E54" s="22"/>
      <c r="J54" s="5"/>
      <c r="K54" s="5"/>
      <c r="L54" s="5"/>
      <c r="M54" s="5"/>
      <c r="N54" s="5"/>
      <c r="O54" s="5"/>
      <c r="P54" s="88"/>
      <c r="Q54" s="95"/>
    </row>
    <row r="55" spans="4:17" s="2" customFormat="1" ht="12" customHeight="1">
      <c r="D55" s="22"/>
      <c r="E55" s="22"/>
      <c r="J55" s="5"/>
      <c r="K55" s="5"/>
      <c r="L55" s="5"/>
      <c r="M55" s="5"/>
      <c r="N55" s="5"/>
      <c r="O55" s="5"/>
      <c r="P55" s="88"/>
      <c r="Q55" s="95"/>
    </row>
    <row r="56" spans="4:17" s="2" customFormat="1" ht="12" customHeight="1">
      <c r="D56" s="22"/>
      <c r="E56" s="22"/>
      <c r="J56" s="5"/>
      <c r="K56" s="5"/>
      <c r="L56" s="5"/>
      <c r="M56" s="5"/>
      <c r="N56" s="5"/>
      <c r="O56" s="5"/>
      <c r="P56" s="88"/>
      <c r="Q56" s="95"/>
    </row>
    <row r="57" spans="4:17" s="2" customFormat="1" ht="12" customHeight="1">
      <c r="D57" s="22"/>
      <c r="E57" s="22"/>
      <c r="J57" s="5"/>
      <c r="K57" s="5"/>
      <c r="L57" s="5"/>
      <c r="M57" s="5"/>
      <c r="N57" s="5"/>
      <c r="O57" s="5"/>
      <c r="P57" s="88"/>
      <c r="Q57" s="95"/>
    </row>
    <row r="58" spans="4:17" s="2" customFormat="1" ht="12" customHeight="1">
      <c r="D58" s="22"/>
      <c r="E58" s="22"/>
      <c r="J58" s="5"/>
      <c r="K58" s="5"/>
      <c r="L58" s="5"/>
      <c r="M58" s="5"/>
      <c r="N58" s="5"/>
      <c r="O58" s="5"/>
      <c r="P58" s="88"/>
      <c r="Q58" s="95"/>
    </row>
    <row r="59" spans="4:17" s="2" customFormat="1" ht="12" customHeight="1">
      <c r="D59" s="22"/>
      <c r="E59" s="22"/>
      <c r="J59" s="5"/>
      <c r="K59" s="5"/>
      <c r="L59" s="5"/>
      <c r="M59" s="5"/>
      <c r="N59" s="5"/>
      <c r="O59" s="5"/>
      <c r="P59" s="88"/>
      <c r="Q59" s="95"/>
    </row>
    <row r="60" spans="4:17" s="2" customFormat="1" ht="12" customHeight="1">
      <c r="D60" s="22"/>
      <c r="E60" s="22"/>
      <c r="J60" s="5"/>
      <c r="K60" s="5"/>
      <c r="L60" s="5"/>
      <c r="M60" s="5"/>
      <c r="N60" s="5"/>
      <c r="O60" s="5"/>
      <c r="P60" s="88"/>
      <c r="Q60" s="95"/>
    </row>
    <row r="61" spans="4:17" s="2" customFormat="1" ht="12" customHeight="1">
      <c r="D61" s="22"/>
      <c r="E61" s="22"/>
      <c r="J61" s="5"/>
      <c r="K61" s="5"/>
      <c r="L61" s="5"/>
      <c r="M61" s="5"/>
      <c r="N61" s="5"/>
      <c r="O61" s="5"/>
      <c r="P61" s="88"/>
      <c r="Q61" s="95"/>
    </row>
    <row r="62" spans="4:17" s="2" customFormat="1" ht="12" customHeight="1">
      <c r="D62" s="22"/>
      <c r="E62" s="22"/>
      <c r="J62" s="5"/>
      <c r="K62" s="5"/>
      <c r="L62" s="5"/>
      <c r="M62" s="5"/>
      <c r="N62" s="5"/>
      <c r="O62" s="5"/>
      <c r="P62" s="88"/>
      <c r="Q62" s="95"/>
    </row>
    <row r="63" spans="4:17" s="2" customFormat="1" ht="12" customHeight="1">
      <c r="D63" s="22"/>
      <c r="E63" s="22"/>
      <c r="J63" s="5"/>
      <c r="K63" s="5"/>
      <c r="L63" s="5"/>
      <c r="M63" s="5"/>
      <c r="N63" s="5"/>
      <c r="O63" s="5"/>
      <c r="P63" s="88"/>
      <c r="Q63" s="95"/>
    </row>
    <row r="64" spans="4:17" s="2" customFormat="1" ht="12" customHeight="1">
      <c r="D64" s="22"/>
      <c r="E64" s="22"/>
      <c r="J64" s="5"/>
      <c r="K64" s="5"/>
      <c r="L64" s="5"/>
      <c r="M64" s="5"/>
      <c r="N64" s="5"/>
      <c r="O64" s="5"/>
      <c r="P64" s="88"/>
      <c r="Q64" s="95"/>
    </row>
    <row r="65" spans="1:17" s="2" customFormat="1" ht="12" customHeight="1">
      <c r="D65" s="22"/>
      <c r="E65" s="22"/>
      <c r="J65" s="5"/>
      <c r="K65" s="5"/>
      <c r="L65" s="5"/>
      <c r="M65" s="5"/>
      <c r="N65" s="5"/>
      <c r="O65" s="5"/>
      <c r="P65" s="88"/>
      <c r="Q65" s="96"/>
    </row>
    <row r="66" spans="1:17" s="2" customFormat="1" ht="12" customHeight="1">
      <c r="D66" s="22"/>
      <c r="E66" s="22"/>
      <c r="J66" s="5"/>
      <c r="K66" s="5"/>
      <c r="L66" s="5"/>
      <c r="M66" s="5"/>
      <c r="N66" s="5"/>
      <c r="O66" s="5"/>
      <c r="P66" s="88"/>
      <c r="Q66" s="96"/>
    </row>
    <row r="67" spans="1:17" s="2" customFormat="1" ht="12" customHeight="1">
      <c r="D67" s="22"/>
      <c r="E67" s="22"/>
      <c r="J67" s="5"/>
      <c r="K67" s="5"/>
      <c r="L67" s="5"/>
      <c r="M67" s="5"/>
      <c r="N67" s="5"/>
      <c r="O67" s="5"/>
      <c r="P67" s="88"/>
      <c r="Q67" s="96"/>
    </row>
    <row r="68" spans="1:17" s="2" customFormat="1" ht="12" customHeight="1">
      <c r="D68" s="22"/>
      <c r="E68" s="22"/>
      <c r="J68" s="5"/>
      <c r="K68" s="5"/>
      <c r="L68" s="5"/>
      <c r="M68" s="5"/>
      <c r="N68" s="5"/>
      <c r="O68" s="5"/>
      <c r="P68" s="88"/>
      <c r="Q68" s="96"/>
    </row>
    <row r="69" spans="1:17" s="2" customFormat="1" ht="12" customHeight="1">
      <c r="A69"/>
      <c r="B69"/>
      <c r="C69"/>
      <c r="D69" s="23"/>
      <c r="E69" s="23"/>
      <c r="F69"/>
      <c r="G69"/>
      <c r="H69"/>
      <c r="I69"/>
      <c r="J69" s="19"/>
      <c r="K69" s="19"/>
      <c r="L69" s="19"/>
      <c r="M69" s="19"/>
      <c r="N69" s="19"/>
      <c r="O69" s="19"/>
      <c r="P69" s="90"/>
      <c r="Q69" s="96"/>
    </row>
    <row r="70" spans="1:17" s="2" customFormat="1" ht="12" customHeight="1">
      <c r="A70"/>
      <c r="B70"/>
      <c r="C70"/>
      <c r="D70" s="23"/>
      <c r="E70" s="23"/>
      <c r="F70"/>
      <c r="G70"/>
      <c r="H70"/>
      <c r="I70"/>
      <c r="J70" s="19"/>
      <c r="K70" s="19"/>
      <c r="L70" s="19"/>
      <c r="M70" s="19"/>
      <c r="N70" s="19"/>
      <c r="O70" s="19"/>
      <c r="P70" s="90"/>
      <c r="Q70" s="96"/>
    </row>
    <row r="71" spans="1:17" s="2" customFormat="1" ht="12" customHeight="1">
      <c r="A71"/>
      <c r="B71"/>
      <c r="C71"/>
      <c r="D71" s="23"/>
      <c r="E71" s="23"/>
      <c r="F71"/>
      <c r="G71"/>
      <c r="H71"/>
      <c r="I71"/>
      <c r="J71" s="19"/>
      <c r="K71" s="19"/>
      <c r="L71" s="19"/>
      <c r="M71" s="19"/>
      <c r="N71" s="19"/>
      <c r="O71" s="19"/>
      <c r="P71" s="90"/>
      <c r="Q71" s="96"/>
    </row>
    <row r="72" spans="1:17" s="2" customFormat="1" ht="12" customHeight="1">
      <c r="A72"/>
      <c r="B72"/>
      <c r="C72"/>
      <c r="D72" s="23"/>
      <c r="E72" s="23"/>
      <c r="F72"/>
      <c r="G72"/>
      <c r="H72"/>
      <c r="I72"/>
      <c r="J72" s="19"/>
      <c r="K72" s="19"/>
      <c r="L72" s="19"/>
      <c r="M72" s="19"/>
      <c r="N72" s="19"/>
      <c r="O72" s="19"/>
      <c r="P72" s="90"/>
      <c r="Q72" s="96"/>
    </row>
    <row r="73" spans="1:17" s="2" customFormat="1" ht="12" customHeight="1">
      <c r="A73"/>
      <c r="B73"/>
      <c r="C73"/>
      <c r="D73" s="23"/>
      <c r="E73" s="23"/>
      <c r="F73"/>
      <c r="G73"/>
      <c r="H73"/>
      <c r="I73"/>
      <c r="J73" s="19"/>
      <c r="K73" s="19"/>
      <c r="L73" s="19"/>
      <c r="M73" s="19"/>
      <c r="N73" s="19"/>
      <c r="O73" s="19"/>
      <c r="P73" s="90"/>
      <c r="Q73" s="96"/>
    </row>
    <row r="74" spans="1:17">
      <c r="Q74" s="96"/>
    </row>
    <row r="75" spans="1:17">
      <c r="Q75" s="96"/>
    </row>
    <row r="76" spans="1:17">
      <c r="Q76" s="96"/>
    </row>
    <row r="77" spans="1:17">
      <c r="Q77" s="96"/>
    </row>
    <row r="78" spans="1:17">
      <c r="Q78" s="96"/>
    </row>
    <row r="79" spans="1:17">
      <c r="Q79" s="96"/>
    </row>
    <row r="80" spans="1:17">
      <c r="Q80" s="96"/>
    </row>
    <row r="81" spans="17:17">
      <c r="Q81" s="96"/>
    </row>
    <row r="82" spans="17:17">
      <c r="Q82" s="96"/>
    </row>
    <row r="83" spans="17:17">
      <c r="Q83" s="96"/>
    </row>
    <row r="84" spans="17:17">
      <c r="Q84" s="96"/>
    </row>
    <row r="85" spans="17:17">
      <c r="Q85" s="96"/>
    </row>
    <row r="86" spans="17:17">
      <c r="Q86" s="96"/>
    </row>
    <row r="87" spans="17:17">
      <c r="Q87" s="96"/>
    </row>
    <row r="88" spans="17:17">
      <c r="Q88" s="96"/>
    </row>
    <row r="89" spans="17:17">
      <c r="Q89" s="96"/>
    </row>
    <row r="90" spans="17:17">
      <c r="Q90" s="96"/>
    </row>
    <row r="91" spans="17:17">
      <c r="Q91" s="96"/>
    </row>
    <row r="92" spans="17:17">
      <c r="Q92" s="96"/>
    </row>
    <row r="93" spans="17:17">
      <c r="Q93" s="96"/>
    </row>
    <row r="130" ht="12" customHeight="1"/>
    <row r="131" ht="12" customHeight="1"/>
    <row r="132" ht="12" customHeight="1"/>
    <row r="133" ht="12" customHeight="1"/>
    <row r="134" ht="12" customHeight="1"/>
    <row r="135" ht="12" customHeight="1"/>
    <row r="136" ht="12" customHeight="1"/>
    <row r="137" ht="12" customHeight="1"/>
    <row r="138" ht="12" customHeight="1"/>
    <row r="139" ht="12" customHeight="1"/>
    <row r="140" ht="12" customHeight="1"/>
    <row r="141" ht="12" customHeight="1"/>
    <row r="142" ht="12" customHeight="1"/>
    <row r="143" ht="12" customHeight="1"/>
    <row r="144" ht="12" customHeight="1"/>
    <row r="145" ht="12" customHeight="1"/>
    <row r="146" ht="12" customHeight="1"/>
    <row r="147" ht="12" customHeight="1"/>
    <row r="148" ht="12" customHeight="1"/>
    <row r="149" ht="12" customHeight="1"/>
    <row r="150" ht="12" customHeight="1"/>
    <row r="151" ht="12" customHeight="1"/>
    <row r="152" ht="12" customHeight="1"/>
    <row r="153" ht="12" customHeight="1"/>
    <row r="154" ht="12" customHeight="1"/>
    <row r="155" ht="12" customHeight="1"/>
    <row r="156" ht="12" customHeight="1"/>
    <row r="157" ht="12" customHeight="1"/>
    <row r="158" ht="12" customHeight="1"/>
    <row r="159" ht="12" customHeight="1"/>
    <row r="160" ht="12" customHeight="1"/>
    <row r="161" ht="12" customHeight="1"/>
    <row r="162" ht="12" customHeight="1"/>
    <row r="163" ht="12" customHeight="1"/>
    <row r="164" ht="12" customHeight="1"/>
    <row r="165" ht="12" customHeight="1"/>
    <row r="166" ht="12" customHeight="1"/>
    <row r="167" ht="12" customHeight="1"/>
    <row r="168" ht="12" customHeight="1"/>
    <row r="169" ht="12" customHeight="1"/>
    <row r="170" ht="12" customHeight="1"/>
    <row r="171" ht="12" customHeight="1"/>
    <row r="172" ht="12" customHeight="1"/>
    <row r="173" ht="12" customHeight="1"/>
    <row r="174" ht="12" customHeight="1"/>
    <row r="175" ht="12" customHeight="1"/>
    <row r="176" ht="12" customHeight="1"/>
    <row r="177" ht="12" customHeight="1"/>
    <row r="178" ht="12" customHeight="1"/>
    <row r="179" ht="12" customHeight="1"/>
  </sheetData>
  <mergeCells count="27">
    <mergeCell ref="D17:E17"/>
    <mergeCell ref="D18:E18"/>
    <mergeCell ref="D26:E26"/>
    <mergeCell ref="H26:I26"/>
    <mergeCell ref="D12:E12"/>
    <mergeCell ref="D13:E13"/>
    <mergeCell ref="D14:E14"/>
    <mergeCell ref="D15:E15"/>
    <mergeCell ref="D16:E16"/>
    <mergeCell ref="D19:E19"/>
    <mergeCell ref="H19:I19"/>
    <mergeCell ref="D20:E20"/>
    <mergeCell ref="D21:E21"/>
    <mergeCell ref="D22:E22"/>
    <mergeCell ref="D23:E23"/>
    <mergeCell ref="D24:E24"/>
    <mergeCell ref="D7:E7"/>
    <mergeCell ref="D8:E8"/>
    <mergeCell ref="D9:E9"/>
    <mergeCell ref="D11:E11"/>
    <mergeCell ref="H11:I11"/>
    <mergeCell ref="D10:E10"/>
    <mergeCell ref="D1:E1"/>
    <mergeCell ref="D4:E4"/>
    <mergeCell ref="H4:I4"/>
    <mergeCell ref="D5:E5"/>
    <mergeCell ref="D6:E6"/>
  </mergeCells>
  <conditionalFormatting sqref="M12:M18 M5:M10">
    <cfRule type="cellIs" dxfId="270" priority="5" stopIfTrue="1" operator="lessThanOrEqual">
      <formula>$L5</formula>
    </cfRule>
    <cfRule type="cellIs" dxfId="269" priority="6" operator="greaterThan">
      <formula>L5</formula>
    </cfRule>
  </conditionalFormatting>
  <conditionalFormatting sqref="M20:M25">
    <cfRule type="cellIs" dxfId="268" priority="1" stopIfTrue="1" operator="lessThanOrEqual">
      <formula>$L20</formula>
    </cfRule>
    <cfRule type="cellIs" dxfId="267" priority="2" operator="greaterThan">
      <formula>L20</formula>
    </cfRule>
  </conditionalFormatting>
  <pageMargins left="0.7" right="0.7" top="0.75" bottom="0.75" header="0.3" footer="0.3"/>
  <pageSetup paperSize="3" fitToHeight="0" orientation="landscape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1D9C596-C8DD-42A3-92C2-0360C1D4FC0F}">
          <x14:formula1>
            <xm:f>Bolts!$A:$A</xm:f>
          </x14:formula1>
          <xm:sqref>C20:C25</xm:sqref>
        </x14:dataValidation>
        <x14:dataValidation type="list" allowBlank="1" showInputMessage="1" showErrorMessage="1" xr:uid="{03CC0201-FB31-40B2-961F-DE7A96518982}">
          <x14:formula1>
            <xm:f>Purchased!$A:$A</xm:f>
          </x14:formula1>
          <xm:sqref>C12:C18</xm:sqref>
        </x14:dataValidation>
        <x14:dataValidation type="list" allowBlank="1" showInputMessage="1" showErrorMessage="1" xr:uid="{7045561B-49D7-4B21-B4E4-F6FEC4FF4C51}">
          <x14:formula1>
            <xm:f>Machined!$C:$C</xm:f>
          </x14:formula1>
          <xm:sqref>C5:C10</xm:sqref>
        </x14:dataValidation>
      </x14:dataValidations>
    </ext>
  </extLst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E41F19-4C9C-4AD0-A8DA-E1BC110D5E06}">
  <sheetPr codeName="Sheet110">
    <tabColor theme="3" tint="0.79998168889431442"/>
    <pageSetUpPr fitToPage="1"/>
  </sheetPr>
  <dimension ref="A1:R170"/>
  <sheetViews>
    <sheetView zoomScaleNormal="100" workbookViewId="0">
      <selection activeCell="O24" sqref="O24"/>
    </sheetView>
  </sheetViews>
  <sheetFormatPr defaultColWidth="9.140625" defaultRowHeight="15"/>
  <cols>
    <col min="1" max="1" width="5.7109375" customWidth="1"/>
    <col min="2" max="2" width="5.42578125" bestFit="1" customWidth="1"/>
    <col min="3" max="3" width="30.7109375" customWidth="1"/>
    <col min="4" max="5" width="20.7109375" style="23" customWidth="1"/>
    <col min="6" max="6" width="16.85546875" bestFit="1" customWidth="1"/>
    <col min="7" max="7" width="9.7109375" customWidth="1"/>
    <col min="8" max="8" width="8.7109375" customWidth="1"/>
    <col min="9" max="9" width="20.7109375" customWidth="1"/>
    <col min="10" max="13" width="11.7109375" style="19" customWidth="1"/>
    <col min="14" max="14" width="11.85546875" style="19" bestFit="1" customWidth="1"/>
    <col min="15" max="15" width="7.7109375" style="19" customWidth="1"/>
    <col min="16" max="16" width="10.7109375" style="90" customWidth="1"/>
    <col min="17" max="17" width="10.7109375" style="97" customWidth="1"/>
  </cols>
  <sheetData>
    <row r="1" spans="1:18" s="55" customFormat="1" ht="12" customHeight="1">
      <c r="A1" s="68" t="s">
        <v>0</v>
      </c>
      <c r="B1" s="69"/>
      <c r="C1" s="69"/>
      <c r="D1" s="262" t="s">
        <v>1</v>
      </c>
      <c r="E1" s="263"/>
      <c r="F1" s="70"/>
      <c r="G1" s="69"/>
      <c r="H1" s="70"/>
      <c r="I1" s="71"/>
      <c r="J1" s="72"/>
      <c r="K1" s="72"/>
      <c r="L1" s="72"/>
      <c r="M1" s="72"/>
      <c r="N1" s="72"/>
      <c r="O1" s="72"/>
      <c r="P1" s="85"/>
      <c r="Q1" s="91"/>
    </row>
    <row r="2" spans="1:18" s="55" customFormat="1" ht="12" customHeight="1">
      <c r="A2" s="74" t="s">
        <v>48</v>
      </c>
      <c r="B2" s="58"/>
      <c r="C2" s="57" t="e">
        <f ca="1">VLOOKUP(E3,Assemblies!B:F,4,0)</f>
        <v>#VALUE!</v>
      </c>
      <c r="D2" s="75" t="s">
        <v>3</v>
      </c>
      <c r="E2" s="76" t="e">
        <f ca="1">'GF12'!E2</f>
        <v>#VALUE!</v>
      </c>
      <c r="F2" s="77" t="s">
        <v>4</v>
      </c>
      <c r="G2" s="58" t="str">
        <f>'GF12'!G2</f>
        <v>GH</v>
      </c>
      <c r="H2" s="77" t="s">
        <v>6</v>
      </c>
      <c r="I2" s="59">
        <f>'GF12'!I2</f>
        <v>44775</v>
      </c>
      <c r="J2" s="39"/>
      <c r="K2" s="40" t="s">
        <v>49</v>
      </c>
      <c r="L2" s="41" t="e">
        <f ca="1">VLOOKUP(C2,Assemblies!E:G,3,0)</f>
        <v>#VALUE!</v>
      </c>
      <c r="M2" s="78"/>
      <c r="N2" s="78"/>
      <c r="O2" s="78"/>
      <c r="P2" s="86"/>
      <c r="Q2" s="92"/>
    </row>
    <row r="3" spans="1:18" s="55" customFormat="1" ht="12" customHeight="1" thickBot="1">
      <c r="A3" s="74" t="s">
        <v>7</v>
      </c>
      <c r="B3" s="58"/>
      <c r="C3" s="57" t="e">
        <f ca="1">VLOOKUP(E3,Assemblies!B:F,5,0)</f>
        <v>#VALUE!</v>
      </c>
      <c r="D3" s="75" t="s">
        <v>50</v>
      </c>
      <c r="E3" s="76" t="e">
        <f ca="1">MID(CELL("filename",A1),FIND("]",CELL("filename",A1))+1,256)</f>
        <v>#VALUE!</v>
      </c>
      <c r="F3" s="77" t="s">
        <v>11</v>
      </c>
      <c r="G3" s="58" t="str">
        <f>'GF12'!G3</f>
        <v>GH</v>
      </c>
      <c r="H3" s="77" t="s">
        <v>6</v>
      </c>
      <c r="I3" s="59">
        <f>'GF12'!I3</f>
        <v>44775</v>
      </c>
      <c r="J3" s="78"/>
      <c r="K3" s="78"/>
      <c r="L3" s="78"/>
      <c r="M3" s="78"/>
      <c r="N3" s="78"/>
      <c r="O3" s="78"/>
      <c r="P3" s="86"/>
      <c r="Q3" s="92"/>
    </row>
    <row r="4" spans="1:18" s="56" customFormat="1" ht="12.75" customHeight="1" thickBot="1">
      <c r="A4" s="80" t="s">
        <v>12</v>
      </c>
      <c r="B4" s="81" t="s">
        <v>13</v>
      </c>
      <c r="C4" s="81" t="s">
        <v>14</v>
      </c>
      <c r="D4" s="270" t="s">
        <v>15</v>
      </c>
      <c r="E4" s="271"/>
      <c r="F4" s="104" t="s">
        <v>16</v>
      </c>
      <c r="G4" s="81" t="s">
        <v>17</v>
      </c>
      <c r="H4" s="260" t="s">
        <v>18</v>
      </c>
      <c r="I4" s="261"/>
      <c r="J4" s="81" t="s">
        <v>51</v>
      </c>
      <c r="K4" s="81" t="s">
        <v>20</v>
      </c>
      <c r="L4" s="81" t="s">
        <v>21</v>
      </c>
      <c r="M4" s="81" t="s">
        <v>52</v>
      </c>
      <c r="N4" s="81" t="s">
        <v>22</v>
      </c>
      <c r="O4" s="81" t="s">
        <v>53</v>
      </c>
      <c r="P4" s="107" t="s">
        <v>26</v>
      </c>
      <c r="Q4" s="82" t="s">
        <v>27</v>
      </c>
    </row>
    <row r="5" spans="1:18" s="21" customFormat="1" ht="12.75" customHeight="1">
      <c r="A5" s="25"/>
      <c r="B5" s="26"/>
      <c r="C5" s="26"/>
      <c r="D5" s="272"/>
      <c r="E5" s="273"/>
      <c r="F5" s="26"/>
      <c r="G5" s="26"/>
      <c r="H5" s="274"/>
      <c r="I5" s="275"/>
      <c r="J5" s="27"/>
      <c r="K5" s="27"/>
      <c r="L5" s="27"/>
      <c r="M5" s="28"/>
      <c r="N5" s="29"/>
      <c r="O5" s="29"/>
      <c r="P5" s="141"/>
      <c r="Q5" s="142"/>
      <c r="R5" s="20"/>
    </row>
    <row r="6" spans="1:18" s="2" customFormat="1" ht="12.75" customHeight="1">
      <c r="A6" s="127">
        <v>1</v>
      </c>
      <c r="B6" s="21">
        <v>1</v>
      </c>
      <c r="C6" s="108" t="s">
        <v>1166</v>
      </c>
      <c r="D6" s="277" t="str">
        <f>VLOOKUP(C6,Machined!C:Q,2,0)</f>
        <v>MODIFIED Hammond C3RWT412 Wiring Trough 1 Plug</v>
      </c>
      <c r="E6" s="278"/>
      <c r="F6" s="131">
        <f>VLOOKUP(C6,Machined!C:Q,6,0)</f>
        <v>2</v>
      </c>
      <c r="G6" s="131" t="str">
        <f>VLOOKUP(C6,Machined!C:Q,8,0)</f>
        <v>None</v>
      </c>
      <c r="H6" s="131" t="str">
        <f>VLOOKUP(C6,Machined!C:Q,9,0)</f>
        <v>N/A</v>
      </c>
      <c r="I6" s="131"/>
      <c r="J6" s="42" t="str">
        <f>VLOOKUP(C6,Machined!C:Q,10,0)</f>
        <v>AUTODIR, NULINE</v>
      </c>
      <c r="K6" s="42" t="str">
        <f>VLOOKUP(C6,Machined!C:Q,11,0)</f>
        <v xml:space="preserve">  </v>
      </c>
      <c r="L6" s="42">
        <f>VLOOKUP(C6,Machined!C:Q,12,0)</f>
        <v>45160</v>
      </c>
      <c r="M6" s="42">
        <f>VLOOKUP(C6,Machined!C:Q,13,0)</f>
        <v>45160</v>
      </c>
      <c r="N6" s="43">
        <f>VLOOKUP(C6,Machined!C:Q,14,0)</f>
        <v>45163</v>
      </c>
      <c r="O6" s="43" t="e">
        <f t="shared" ref="O6" ca="1" si="0">B6*$L$2</f>
        <v>#VALUE!</v>
      </c>
      <c r="P6" s="47">
        <f>IFERROR(VLOOKUP(C6,Machined!C:F,3,0),"")</f>
        <v>33</v>
      </c>
      <c r="Q6" s="48">
        <f t="shared" ref="Q6" si="1">IFERROR(B6*P6,"")</f>
        <v>33</v>
      </c>
    </row>
    <row r="7" spans="1:18" s="2" customFormat="1" ht="12.75" customHeight="1">
      <c r="A7" s="143"/>
      <c r="B7" s="26"/>
      <c r="C7" s="26"/>
      <c r="D7" s="272"/>
      <c r="E7" s="273"/>
      <c r="F7" s="26"/>
      <c r="G7" s="26"/>
      <c r="H7" s="274"/>
      <c r="I7" s="275"/>
      <c r="J7" s="27"/>
      <c r="K7" s="27"/>
      <c r="L7" s="27"/>
      <c r="M7" s="28"/>
      <c r="N7" s="29"/>
      <c r="O7" s="29"/>
      <c r="P7" s="141"/>
      <c r="Q7" s="142"/>
    </row>
    <row r="8" spans="1:18" s="2" customFormat="1" ht="12" customHeight="1">
      <c r="A8" s="4">
        <v>301</v>
      </c>
      <c r="B8" s="2">
        <v>1</v>
      </c>
      <c r="C8" s="114" t="s">
        <v>1135</v>
      </c>
      <c r="D8" s="268" t="str">
        <f>VLOOKUP(C8,Purchased!A:B,2,0)</f>
        <v>Turn-Lock Connector 3-Slot Single Female Receptacle, Grounded, NEMA L7-30</v>
      </c>
      <c r="E8" s="269"/>
      <c r="F8" s="112" t="str">
        <f>VLOOKUP(C8,Purchased!A:Q,9,0)</f>
        <v>MCM</v>
      </c>
      <c r="G8" s="112" t="str">
        <f>VLOOKUP(C8,Purchased!A:Q,10,0)</f>
        <v>MCM</v>
      </c>
      <c r="H8" s="112" t="str">
        <f>VLOOKUP(C8,Purchased!A:Q,12,0)</f>
        <v xml:space="preserve"> </v>
      </c>
      <c r="I8" s="113"/>
      <c r="J8" s="44" t="str">
        <f>VLOOKUP(C8,Purchased!A:Q,13,0)</f>
        <v>N/A</v>
      </c>
      <c r="K8" s="44">
        <f>VLOOKUP(C8,Purchased!A:Q,14,0)</f>
        <v>45162</v>
      </c>
      <c r="L8" s="44">
        <f>VLOOKUP(C8,Purchased!A:Q,15,0)</f>
        <v>45184</v>
      </c>
      <c r="M8" s="44">
        <f>VLOOKUP(C8,Purchased!A:Q,16,0)</f>
        <v>45166</v>
      </c>
      <c r="N8" s="45">
        <f>VLOOKUP(C8,Purchased!A:Q,17,0)</f>
        <v>55087</v>
      </c>
      <c r="O8" s="45" t="e">
        <f t="shared" ref="O8:O13" ca="1" si="2">B8*$L$2</f>
        <v>#VALUE!</v>
      </c>
      <c r="P8" s="49">
        <f>IFERROR(VLOOKUP(C8,Purchased!A:E,3,FALSE),"")</f>
        <v>33.19</v>
      </c>
      <c r="Q8" s="50">
        <f t="shared" ref="Q8:Q11" si="3">IFERROR(B8*P8,"")</f>
        <v>33.19</v>
      </c>
    </row>
    <row r="9" spans="1:18" s="2" customFormat="1" ht="12" customHeight="1">
      <c r="A9" s="4">
        <f t="shared" ref="A9:A11" si="4">A8+1</f>
        <v>302</v>
      </c>
      <c r="B9" s="2">
        <v>2</v>
      </c>
      <c r="C9" s="114" t="s">
        <v>937</v>
      </c>
      <c r="D9" s="268" t="str">
        <f>VLOOKUP(C9,Purchased!A:B,2,0)</f>
        <v>WATLOW THERMAL COUPLE JACK</v>
      </c>
      <c r="E9" s="269"/>
      <c r="F9" s="112" t="str">
        <f>VLOOKUP(C9,Purchased!A:Q,9,0)</f>
        <v>WATLOW</v>
      </c>
      <c r="G9" s="112" t="str">
        <f>VLOOKUP(C9,Purchased!A:Q,10,0)</f>
        <v>VALIN</v>
      </c>
      <c r="H9" s="112" t="str">
        <f>VLOOKUP(C9,Purchased!A:Q,12,0)</f>
        <v xml:space="preserve">  </v>
      </c>
      <c r="I9" s="113"/>
      <c r="J9" s="44">
        <f>VLOOKUP(C9,Purchased!A:Q,13,0)</f>
        <v>45121</v>
      </c>
      <c r="K9" s="44">
        <f>VLOOKUP(C9,Purchased!A:Q,14,0)</f>
        <v>45126</v>
      </c>
      <c r="L9" s="44">
        <f>VLOOKUP(C9,Purchased!A:Q,15,0)</f>
        <v>45156</v>
      </c>
      <c r="M9" s="44">
        <f>VLOOKUP(C9,Purchased!A:Q,16,0)</f>
        <v>45156</v>
      </c>
      <c r="N9" s="45">
        <f>VLOOKUP(C9,Purchased!A:Q,17,0)</f>
        <v>54998</v>
      </c>
      <c r="O9" s="45" t="e">
        <f t="shared" ca="1" si="2"/>
        <v>#VALUE!</v>
      </c>
      <c r="P9" s="49">
        <f>IFERROR(VLOOKUP(C9,Purchased!A:E,3,FALSE),"")</f>
        <v>23.76</v>
      </c>
      <c r="Q9" s="50">
        <f t="shared" si="3"/>
        <v>47.52</v>
      </c>
    </row>
    <row r="10" spans="1:18" s="2" customFormat="1" ht="12" customHeight="1">
      <c r="A10" s="4">
        <f t="shared" si="4"/>
        <v>303</v>
      </c>
      <c r="B10" s="2">
        <v>1</v>
      </c>
      <c r="C10" s="114" t="s">
        <v>1136</v>
      </c>
      <c r="D10" s="268" t="str">
        <f>VLOOKUP(C10,Purchased!A:B,2,0)</f>
        <v>Turn-Lock Connector, Three-Blade Straight Plug, Grounded, NEMA L7-30</v>
      </c>
      <c r="E10" s="269"/>
      <c r="F10" s="112" t="str">
        <f>VLOOKUP(C10,Purchased!A:Q,9,0)</f>
        <v>MCM</v>
      </c>
      <c r="G10" s="112" t="str">
        <f>VLOOKUP(C10,Purchased!A:Q,10,0)</f>
        <v>MCM</v>
      </c>
      <c r="H10" s="112" t="str">
        <f>VLOOKUP(C10,Purchased!A:Q,12,0)</f>
        <v xml:space="preserve"> </v>
      </c>
      <c r="I10" s="113"/>
      <c r="J10" s="44" t="str">
        <f>VLOOKUP(C10,Purchased!A:Q,13,0)</f>
        <v>N/A</v>
      </c>
      <c r="K10" s="44">
        <f>VLOOKUP(C10,Purchased!A:Q,14,0)</f>
        <v>45162</v>
      </c>
      <c r="L10" s="44">
        <f>VLOOKUP(C10,Purchased!A:Q,15,0)</f>
        <v>45184</v>
      </c>
      <c r="M10" s="44">
        <f>VLOOKUP(C10,Purchased!A:Q,16,0)</f>
        <v>45166</v>
      </c>
      <c r="N10" s="45" t="str">
        <f>VLOOKUP(C10,Purchased!A:Q,17,0)</f>
        <v>55087, 55152</v>
      </c>
      <c r="O10" s="45" t="e">
        <f ca="1">B10*$L$2</f>
        <v>#VALUE!</v>
      </c>
      <c r="P10" s="49">
        <f>IFERROR(VLOOKUP(C10,Purchased!A:E,3,FALSE),"")</f>
        <v>31.33</v>
      </c>
      <c r="Q10" s="50">
        <f>IFERROR(B10*P10,"")</f>
        <v>31.33</v>
      </c>
    </row>
    <row r="11" spans="1:18" s="2" customFormat="1" ht="12" customHeight="1">
      <c r="A11" s="4">
        <f t="shared" si="4"/>
        <v>304</v>
      </c>
      <c r="B11" s="2">
        <v>4</v>
      </c>
      <c r="C11" s="114" t="s">
        <v>256</v>
      </c>
      <c r="D11" s="268" t="str">
        <f>VLOOKUP(C11,Purchased!A:B,2,0)</f>
        <v>BRX GOTO T-NUT 10 M8</v>
      </c>
      <c r="E11" s="269"/>
      <c r="F11" s="112" t="str">
        <f>VLOOKUP(C11,Purchased!A:Q,9,0)</f>
        <v>BRX</v>
      </c>
      <c r="G11" s="112" t="str">
        <f>VLOOKUP(C11,Purchased!A:Q,10,0)</f>
        <v>AAP</v>
      </c>
      <c r="H11" s="112" t="str">
        <f>VLOOKUP(C11,Purchased!A:Q,12,0)</f>
        <v xml:space="preserve">  </v>
      </c>
      <c r="I11" s="113"/>
      <c r="J11" s="44">
        <f>VLOOKUP(C11,Purchased!A:Q,13,0)</f>
        <v>45104</v>
      </c>
      <c r="K11" s="44">
        <f>VLOOKUP(C11,Purchased!A:Q,14,0)</f>
        <v>45105</v>
      </c>
      <c r="L11" s="44">
        <f>VLOOKUP(C11,Purchased!A:Q,15,0)</f>
        <v>45133</v>
      </c>
      <c r="M11" s="44">
        <f>VLOOKUP(C11,Purchased!A:Q,16,0)</f>
        <v>45133</v>
      </c>
      <c r="N11" s="45" t="str">
        <f>VLOOKUP(C11,Purchased!A:Q,17,0)</f>
        <v>54968, 55147</v>
      </c>
      <c r="O11" s="45" t="e">
        <f t="shared" ca="1" si="2"/>
        <v>#VALUE!</v>
      </c>
      <c r="P11" s="49">
        <f>IFERROR(VLOOKUP(C11,Purchased!A:E,3,FALSE),"")</f>
        <v>0.64290000000000003</v>
      </c>
      <c r="Q11" s="50">
        <f t="shared" si="3"/>
        <v>2.5716000000000001</v>
      </c>
    </row>
    <row r="12" spans="1:18" s="2" customFormat="1" ht="12.75" customHeight="1">
      <c r="A12" s="25"/>
      <c r="B12" s="26"/>
      <c r="C12" s="26"/>
      <c r="D12" s="272"/>
      <c r="E12" s="273"/>
      <c r="F12" s="26"/>
      <c r="G12" s="26"/>
      <c r="H12" s="274"/>
      <c r="I12" s="275"/>
      <c r="J12" s="27"/>
      <c r="K12" s="27"/>
      <c r="L12" s="27"/>
      <c r="M12" s="28"/>
      <c r="N12" s="29"/>
      <c r="O12" s="29" t="e">
        <f t="shared" ca="1" si="2"/>
        <v>#VALUE!</v>
      </c>
      <c r="P12" s="141"/>
      <c r="Q12" s="142"/>
    </row>
    <row r="13" spans="1:18" s="2" customFormat="1" ht="12.75" customHeight="1">
      <c r="A13" s="4">
        <v>501</v>
      </c>
      <c r="B13" s="2">
        <v>4</v>
      </c>
      <c r="C13" s="110" t="s">
        <v>542</v>
      </c>
      <c r="D13" s="268"/>
      <c r="E13" s="276"/>
      <c r="F13" s="112" t="str">
        <f>VLOOKUP(C13,Bolts!A:L,5,0)</f>
        <v xml:space="preserve">  </v>
      </c>
      <c r="G13" s="112" t="str">
        <f>VLOOKUP(C13,Bolts!A:L,6,0)</f>
        <v>Monroe Fasteners</v>
      </c>
      <c r="H13" s="112" t="str">
        <f>VLOOKUP(C13,Bolts!A:L,7,0)</f>
        <v xml:space="preserve">  </v>
      </c>
      <c r="I13" s="112"/>
      <c r="J13" s="44" t="str">
        <f>VLOOKUP(C13,Bolts!A:L,8,0)</f>
        <v xml:space="preserve"> </v>
      </c>
      <c r="K13" s="44" t="str">
        <f>VLOOKUP(C13,Bolts!A:L,9,0)</f>
        <v xml:space="preserve"> </v>
      </c>
      <c r="L13" s="44" t="str">
        <f>VLOOKUP(C13,Bolts!A:L,10,0)</f>
        <v xml:space="preserve"> </v>
      </c>
      <c r="M13" s="44" t="str">
        <f>VLOOKUP(C13,Bolts!A:L,11,0)</f>
        <v xml:space="preserve"> </v>
      </c>
      <c r="N13" s="45" t="str">
        <f>VLOOKUP(C13,Bolts!A:L,12,0)</f>
        <v xml:space="preserve"> </v>
      </c>
      <c r="O13" s="45" t="e">
        <f t="shared" ca="1" si="2"/>
        <v>#VALUE!</v>
      </c>
      <c r="P13" s="49" t="str">
        <f>IFERROR(VLOOKUP(C13,Bolts!A:B,2,FALSE),"")</f>
        <v xml:space="preserve"> </v>
      </c>
      <c r="Q13" s="50" t="str">
        <f t="shared" ref="Q13" si="5">IFERROR(B13*P13,"")</f>
        <v/>
      </c>
    </row>
    <row r="14" spans="1:18" s="2" customFormat="1" ht="12.75" customHeight="1">
      <c r="A14" s="4">
        <v>502</v>
      </c>
      <c r="B14" s="2">
        <v>4</v>
      </c>
      <c r="C14" s="110" t="s">
        <v>515</v>
      </c>
      <c r="D14" s="268"/>
      <c r="E14" s="276"/>
      <c r="F14" s="112" t="str">
        <f>VLOOKUP(C14,Bolts!A:L,5,0)</f>
        <v xml:space="preserve">  </v>
      </c>
      <c r="G14" s="112" t="str">
        <f>VLOOKUP(C14,Bolts!A:L,6,0)</f>
        <v>Monroe Fasteners</v>
      </c>
      <c r="H14" s="112" t="str">
        <f>VLOOKUP(C14,Bolts!A:L,7,0)</f>
        <v xml:space="preserve">  </v>
      </c>
      <c r="I14" s="112"/>
      <c r="J14" s="44" t="str">
        <f>VLOOKUP(C14,Bolts!A:L,8,0)</f>
        <v xml:space="preserve"> </v>
      </c>
      <c r="K14" s="44" t="str">
        <f>VLOOKUP(C14,Bolts!A:L,9,0)</f>
        <v xml:space="preserve"> </v>
      </c>
      <c r="L14" s="44" t="str">
        <f>VLOOKUP(C14,Bolts!A:L,10,0)</f>
        <v xml:space="preserve"> </v>
      </c>
      <c r="M14" s="44" t="str">
        <f>VLOOKUP(C14,Bolts!A:L,11,0)</f>
        <v xml:space="preserve"> </v>
      </c>
      <c r="N14" s="45" t="str">
        <f>VLOOKUP(C14,Bolts!A:L,12,0)</f>
        <v xml:space="preserve"> </v>
      </c>
      <c r="O14" s="45" t="e">
        <f ca="1">B14*$L$2</f>
        <v>#VALUE!</v>
      </c>
      <c r="P14" s="49" t="str">
        <f>IFERROR(VLOOKUP(C14,Bolts!A:B,2,FALSE),"")</f>
        <v xml:space="preserve"> </v>
      </c>
      <c r="Q14" s="50" t="str">
        <f>IFERROR(B14*P14,"")</f>
        <v/>
      </c>
    </row>
    <row r="15" spans="1:18" s="2" customFormat="1" ht="12.75" customHeight="1">
      <c r="A15" s="4">
        <v>503</v>
      </c>
      <c r="B15" s="2">
        <v>2</v>
      </c>
      <c r="C15" s="110" t="s">
        <v>1137</v>
      </c>
      <c r="D15" s="268"/>
      <c r="E15" s="276"/>
      <c r="F15" s="112">
        <f>VLOOKUP(C15,Bolts!A:L,5,0)</f>
        <v>0</v>
      </c>
      <c r="G15" s="112">
        <f>VLOOKUP(C15,Bolts!A:L,6,0)</f>
        <v>0</v>
      </c>
      <c r="H15" s="112">
        <f>VLOOKUP(C15,Bolts!A:L,7,0)</f>
        <v>0</v>
      </c>
      <c r="I15" s="112"/>
      <c r="J15" s="44">
        <f>VLOOKUP(C15,Bolts!A:L,8,0)</f>
        <v>0</v>
      </c>
      <c r="K15" s="44">
        <f>VLOOKUP(C15,Bolts!A:L,9,0)</f>
        <v>0</v>
      </c>
      <c r="L15" s="44">
        <f>VLOOKUP(C15,Bolts!A:L,10,0)</f>
        <v>0</v>
      </c>
      <c r="M15" s="44">
        <f>VLOOKUP(C15,Bolts!A:L,11,0)</f>
        <v>0</v>
      </c>
      <c r="N15" s="45">
        <f>VLOOKUP(C15,Bolts!A:L,12,0)</f>
        <v>0</v>
      </c>
      <c r="O15" s="45" t="e">
        <f ca="1">B15*$L$2</f>
        <v>#VALUE!</v>
      </c>
      <c r="P15" s="49">
        <f>IFERROR(VLOOKUP(C15,Bolts!A:B,2,FALSE),"")</f>
        <v>0</v>
      </c>
      <c r="Q15" s="50">
        <f>IFERROR(B15*P15,"")</f>
        <v>0</v>
      </c>
    </row>
    <row r="16" spans="1:18" s="2" customFormat="1" ht="12.75" customHeight="1" thickBot="1">
      <c r="A16" s="4">
        <v>504</v>
      </c>
      <c r="B16" s="2">
        <v>2</v>
      </c>
      <c r="C16" s="110" t="s">
        <v>1138</v>
      </c>
      <c r="D16" s="268"/>
      <c r="E16" s="276"/>
      <c r="F16" s="112">
        <f>VLOOKUP(C16,Bolts!A:L,5,0)</f>
        <v>0</v>
      </c>
      <c r="G16" s="112">
        <f>VLOOKUP(C16,Bolts!A:L,6,0)</f>
        <v>0</v>
      </c>
      <c r="H16" s="112">
        <f>VLOOKUP(C16,Bolts!A:L,7,0)</f>
        <v>0</v>
      </c>
      <c r="I16" s="112"/>
      <c r="J16" s="44">
        <f>VLOOKUP(C16,Bolts!A:L,8,0)</f>
        <v>0</v>
      </c>
      <c r="K16" s="44">
        <f>VLOOKUP(C16,Bolts!A:L,9,0)</f>
        <v>0</v>
      </c>
      <c r="L16" s="44">
        <f>VLOOKUP(C16,Bolts!A:L,10,0)</f>
        <v>0</v>
      </c>
      <c r="M16" s="44">
        <f>VLOOKUP(C16,Bolts!A:L,11,0)</f>
        <v>0</v>
      </c>
      <c r="N16" s="45">
        <f>VLOOKUP(C16,Bolts!A:L,12,0)</f>
        <v>0</v>
      </c>
      <c r="O16" s="45" t="e">
        <f ca="1">B16*$L$2</f>
        <v>#VALUE!</v>
      </c>
      <c r="P16" s="49">
        <f>IFERROR(VLOOKUP(C16,Bolts!A:B,2,FALSE),"")</f>
        <v>0</v>
      </c>
      <c r="Q16" s="50">
        <f>IFERROR(B16*P16,"")</f>
        <v>0</v>
      </c>
    </row>
    <row r="17" spans="1:17" s="2" customFormat="1" ht="12.75" customHeight="1" thickBot="1">
      <c r="A17" s="34"/>
      <c r="B17" s="35"/>
      <c r="C17" s="35"/>
      <c r="D17" s="256"/>
      <c r="E17" s="257"/>
      <c r="F17" s="35"/>
      <c r="G17" s="35"/>
      <c r="H17" s="294"/>
      <c r="I17" s="295"/>
      <c r="J17" s="36"/>
      <c r="K17" s="36"/>
      <c r="L17" s="36"/>
      <c r="M17" s="37"/>
      <c r="N17" s="38"/>
      <c r="O17" s="38"/>
      <c r="P17" s="89" t="s">
        <v>43</v>
      </c>
      <c r="Q17" s="94">
        <f>SUM(Q5:Q16)</f>
        <v>147.61160000000001</v>
      </c>
    </row>
    <row r="18" spans="1:17" s="2" customFormat="1" ht="12" customHeight="1">
      <c r="D18" s="22"/>
      <c r="E18" s="22"/>
      <c r="J18" s="8"/>
      <c r="K18" s="8"/>
      <c r="L18" s="8"/>
      <c r="M18" s="8"/>
      <c r="N18" s="5"/>
      <c r="O18" s="5"/>
      <c r="P18" s="88"/>
      <c r="Q18" s="95"/>
    </row>
    <row r="19" spans="1:17" s="2" customFormat="1" ht="12" customHeight="1">
      <c r="D19" s="22"/>
      <c r="E19" s="22"/>
      <c r="J19" s="5"/>
      <c r="K19" s="5"/>
      <c r="L19" s="5"/>
      <c r="M19" s="5"/>
      <c r="N19" s="5"/>
      <c r="O19" s="5"/>
      <c r="P19" s="88"/>
      <c r="Q19" s="95"/>
    </row>
    <row r="20" spans="1:17" s="2" customFormat="1" ht="12" customHeight="1">
      <c r="D20" s="22"/>
      <c r="E20" s="22"/>
      <c r="J20" s="5"/>
      <c r="K20" s="5"/>
      <c r="L20" s="5"/>
      <c r="M20" s="5"/>
      <c r="N20" s="5"/>
      <c r="O20" s="5"/>
      <c r="P20" s="88"/>
      <c r="Q20" s="95"/>
    </row>
    <row r="21" spans="1:17" s="2" customFormat="1" ht="12" customHeight="1">
      <c r="D21" s="22"/>
      <c r="E21" s="22"/>
      <c r="J21" s="5"/>
      <c r="K21" s="5"/>
      <c r="L21" s="5"/>
      <c r="M21" s="5"/>
      <c r="N21" s="5"/>
      <c r="O21" s="5"/>
      <c r="P21" s="88"/>
      <c r="Q21" s="95"/>
    </row>
    <row r="22" spans="1:17" s="2" customFormat="1" ht="12" customHeight="1">
      <c r="D22" s="22"/>
      <c r="E22" s="22"/>
      <c r="J22" s="5"/>
      <c r="K22" s="5"/>
      <c r="L22" s="5"/>
      <c r="M22" s="5"/>
      <c r="N22" s="5"/>
      <c r="O22" s="5"/>
      <c r="P22" s="88"/>
      <c r="Q22" s="95"/>
    </row>
    <row r="23" spans="1:17" s="2" customFormat="1" ht="12" customHeight="1">
      <c r="D23" s="22"/>
      <c r="E23" s="22"/>
      <c r="J23" s="5"/>
      <c r="K23" s="5"/>
      <c r="L23" s="5"/>
      <c r="M23" s="5"/>
      <c r="N23" s="5"/>
      <c r="O23" s="5"/>
      <c r="P23" s="88"/>
      <c r="Q23" s="95"/>
    </row>
    <row r="24" spans="1:17" s="2" customFormat="1" ht="12" customHeight="1">
      <c r="D24" s="22"/>
      <c r="E24" s="22"/>
      <c r="J24" s="5"/>
      <c r="K24" s="5"/>
      <c r="L24" s="5"/>
      <c r="M24" s="5"/>
      <c r="N24" s="5"/>
      <c r="O24" s="5"/>
      <c r="P24" s="88"/>
      <c r="Q24" s="95"/>
    </row>
    <row r="25" spans="1:17" s="2" customFormat="1" ht="12" customHeight="1">
      <c r="D25" s="22"/>
      <c r="E25" s="22"/>
      <c r="J25" s="5"/>
      <c r="K25" s="5"/>
      <c r="L25" s="5"/>
      <c r="M25" s="5"/>
      <c r="N25" s="5"/>
      <c r="O25" s="5"/>
      <c r="P25" s="88"/>
      <c r="Q25" s="95"/>
    </row>
    <row r="26" spans="1:17" s="2" customFormat="1" ht="12" customHeight="1">
      <c r="D26" s="22"/>
      <c r="E26" s="22"/>
      <c r="J26" s="5"/>
      <c r="K26" s="5"/>
      <c r="L26" s="5"/>
      <c r="M26" s="5"/>
      <c r="N26" s="5"/>
      <c r="O26" s="5"/>
      <c r="P26" s="88"/>
      <c r="Q26" s="95"/>
    </row>
    <row r="27" spans="1:17" s="2" customFormat="1" ht="12" customHeight="1">
      <c r="D27" s="22"/>
      <c r="E27" s="22"/>
      <c r="J27" s="5"/>
      <c r="K27" s="5"/>
      <c r="L27" s="5"/>
      <c r="M27" s="5"/>
      <c r="N27" s="5"/>
      <c r="O27" s="5"/>
      <c r="P27" s="88"/>
      <c r="Q27" s="95"/>
    </row>
    <row r="28" spans="1:17" s="2" customFormat="1" ht="12" customHeight="1">
      <c r="D28" s="22"/>
      <c r="E28" s="22"/>
      <c r="J28" s="5"/>
      <c r="K28" s="5"/>
      <c r="L28" s="5"/>
      <c r="M28" s="5"/>
      <c r="N28" s="5"/>
      <c r="O28" s="5"/>
      <c r="P28" s="88"/>
      <c r="Q28" s="95"/>
    </row>
    <row r="29" spans="1:17" s="2" customFormat="1" ht="12" customHeight="1">
      <c r="D29" s="22"/>
      <c r="E29" s="22"/>
      <c r="J29" s="5"/>
      <c r="K29" s="5"/>
      <c r="L29" s="5"/>
      <c r="M29" s="5"/>
      <c r="N29" s="5"/>
      <c r="O29" s="5"/>
      <c r="P29" s="88"/>
      <c r="Q29" s="95"/>
    </row>
    <row r="30" spans="1:17" s="2" customFormat="1" ht="12" customHeight="1">
      <c r="D30" s="22"/>
      <c r="E30" s="22"/>
      <c r="J30" s="5"/>
      <c r="K30" s="5"/>
      <c r="L30" s="5"/>
      <c r="M30" s="5"/>
      <c r="N30" s="5"/>
      <c r="O30" s="5"/>
      <c r="P30" s="88"/>
      <c r="Q30" s="95"/>
    </row>
    <row r="31" spans="1:17" s="2" customFormat="1" ht="12" customHeight="1">
      <c r="D31" s="22"/>
      <c r="E31" s="22"/>
      <c r="J31" s="5"/>
      <c r="K31" s="5"/>
      <c r="L31" s="5"/>
      <c r="M31" s="5"/>
      <c r="N31" s="5"/>
      <c r="O31" s="5"/>
      <c r="P31" s="88"/>
      <c r="Q31" s="95"/>
    </row>
    <row r="32" spans="1:17" s="2" customFormat="1" ht="12" customHeight="1">
      <c r="D32" s="22"/>
      <c r="E32" s="22"/>
      <c r="J32" s="5"/>
      <c r="K32" s="5"/>
      <c r="L32" s="5"/>
      <c r="M32" s="5"/>
      <c r="N32" s="5"/>
      <c r="O32" s="5"/>
      <c r="P32" s="88"/>
      <c r="Q32" s="95"/>
    </row>
    <row r="33" spans="4:17" s="2" customFormat="1" ht="12" customHeight="1">
      <c r="D33" s="22"/>
      <c r="E33" s="22"/>
      <c r="J33" s="5"/>
      <c r="K33" s="5"/>
      <c r="L33" s="5"/>
      <c r="M33" s="5"/>
      <c r="N33" s="5"/>
      <c r="O33" s="5"/>
      <c r="P33" s="88"/>
      <c r="Q33" s="95"/>
    </row>
    <row r="34" spans="4:17" s="2" customFormat="1" ht="12" customHeight="1">
      <c r="D34" s="22"/>
      <c r="E34" s="22"/>
      <c r="J34" s="5"/>
      <c r="K34" s="5"/>
      <c r="L34" s="5"/>
      <c r="M34" s="5"/>
      <c r="N34" s="5"/>
      <c r="O34" s="5"/>
      <c r="P34" s="88"/>
      <c r="Q34" s="95"/>
    </row>
    <row r="35" spans="4:17" s="2" customFormat="1" ht="12" customHeight="1">
      <c r="D35" s="22"/>
      <c r="E35" s="22"/>
      <c r="J35" s="5"/>
      <c r="K35" s="5"/>
      <c r="L35" s="5"/>
      <c r="M35" s="5"/>
      <c r="N35" s="5"/>
      <c r="O35" s="5"/>
      <c r="P35" s="88"/>
      <c r="Q35" s="95"/>
    </row>
    <row r="36" spans="4:17" s="2" customFormat="1" ht="12" customHeight="1">
      <c r="D36" s="22"/>
      <c r="E36" s="22"/>
      <c r="J36" s="5"/>
      <c r="K36" s="5"/>
      <c r="L36" s="5"/>
      <c r="M36" s="5"/>
      <c r="N36" s="5"/>
      <c r="O36" s="5"/>
      <c r="P36" s="88"/>
      <c r="Q36" s="95"/>
    </row>
    <row r="37" spans="4:17" s="2" customFormat="1" ht="12" customHeight="1">
      <c r="D37" s="22"/>
      <c r="E37" s="22"/>
      <c r="J37" s="5"/>
      <c r="K37" s="5"/>
      <c r="L37" s="5"/>
      <c r="M37" s="5"/>
      <c r="N37" s="5"/>
      <c r="O37" s="5"/>
      <c r="P37" s="88"/>
      <c r="Q37" s="95"/>
    </row>
    <row r="38" spans="4:17" s="2" customFormat="1" ht="12" customHeight="1">
      <c r="D38" s="22"/>
      <c r="E38" s="22"/>
      <c r="J38" s="5"/>
      <c r="K38" s="5"/>
      <c r="L38" s="5"/>
      <c r="M38" s="5"/>
      <c r="N38" s="5"/>
      <c r="O38" s="5"/>
      <c r="P38" s="88"/>
      <c r="Q38" s="95"/>
    </row>
    <row r="39" spans="4:17" s="2" customFormat="1" ht="12" customHeight="1">
      <c r="D39" s="22"/>
      <c r="E39" s="22"/>
      <c r="J39" s="5"/>
      <c r="K39" s="5"/>
      <c r="L39" s="5"/>
      <c r="M39" s="5"/>
      <c r="N39" s="5"/>
      <c r="O39" s="5"/>
      <c r="P39" s="88"/>
      <c r="Q39" s="95"/>
    </row>
    <row r="40" spans="4:17" s="2" customFormat="1" ht="12" customHeight="1">
      <c r="D40" s="22"/>
      <c r="E40" s="22"/>
      <c r="J40" s="5"/>
      <c r="K40" s="5"/>
      <c r="L40" s="5"/>
      <c r="M40" s="5"/>
      <c r="N40" s="5"/>
      <c r="O40" s="5"/>
      <c r="P40" s="88"/>
      <c r="Q40" s="95"/>
    </row>
    <row r="41" spans="4:17" s="2" customFormat="1" ht="12" customHeight="1">
      <c r="D41" s="22"/>
      <c r="E41" s="22"/>
      <c r="J41" s="5"/>
      <c r="K41" s="5"/>
      <c r="L41" s="5"/>
      <c r="M41" s="5"/>
      <c r="N41" s="5"/>
      <c r="O41" s="5"/>
      <c r="P41" s="88"/>
      <c r="Q41" s="95"/>
    </row>
    <row r="42" spans="4:17" s="2" customFormat="1" ht="12" customHeight="1">
      <c r="D42" s="22"/>
      <c r="E42" s="22"/>
      <c r="J42" s="5"/>
      <c r="K42" s="5"/>
      <c r="L42" s="5"/>
      <c r="M42" s="5"/>
      <c r="N42" s="5"/>
      <c r="O42" s="5"/>
      <c r="P42" s="88"/>
      <c r="Q42" s="95"/>
    </row>
    <row r="43" spans="4:17" s="2" customFormat="1" ht="12" customHeight="1">
      <c r="D43" s="22"/>
      <c r="E43" s="22"/>
      <c r="J43" s="5"/>
      <c r="K43" s="5"/>
      <c r="L43" s="5"/>
      <c r="M43" s="5"/>
      <c r="N43" s="5"/>
      <c r="O43" s="5"/>
      <c r="P43" s="88"/>
      <c r="Q43" s="95"/>
    </row>
    <row r="44" spans="4:17" s="2" customFormat="1" ht="12" customHeight="1">
      <c r="D44" s="22"/>
      <c r="E44" s="22"/>
      <c r="J44" s="5"/>
      <c r="K44" s="5"/>
      <c r="L44" s="5"/>
      <c r="M44" s="5"/>
      <c r="N44" s="5"/>
      <c r="O44" s="5"/>
      <c r="P44" s="88"/>
      <c r="Q44" s="95"/>
    </row>
    <row r="45" spans="4:17" s="2" customFormat="1" ht="12" customHeight="1">
      <c r="D45" s="22"/>
      <c r="E45" s="22"/>
      <c r="J45" s="5"/>
      <c r="K45" s="5"/>
      <c r="L45" s="5"/>
      <c r="M45" s="5"/>
      <c r="N45" s="5"/>
      <c r="O45" s="5"/>
      <c r="P45" s="88"/>
      <c r="Q45" s="95"/>
    </row>
    <row r="46" spans="4:17" s="2" customFormat="1" ht="12" customHeight="1">
      <c r="D46" s="22"/>
      <c r="E46" s="22"/>
      <c r="J46" s="5"/>
      <c r="K46" s="5"/>
      <c r="L46" s="5"/>
      <c r="M46" s="5"/>
      <c r="N46" s="5"/>
      <c r="O46" s="5"/>
      <c r="P46" s="88"/>
      <c r="Q46" s="95"/>
    </row>
    <row r="47" spans="4:17" s="2" customFormat="1" ht="12" customHeight="1">
      <c r="D47" s="22"/>
      <c r="E47" s="22"/>
      <c r="J47" s="5"/>
      <c r="K47" s="5"/>
      <c r="L47" s="5"/>
      <c r="M47" s="5"/>
      <c r="N47" s="5"/>
      <c r="O47" s="5"/>
      <c r="P47" s="88"/>
      <c r="Q47" s="95"/>
    </row>
    <row r="48" spans="4:17" s="2" customFormat="1" ht="12" customHeight="1">
      <c r="D48" s="22"/>
      <c r="E48" s="22"/>
      <c r="J48" s="5"/>
      <c r="K48" s="5"/>
      <c r="L48" s="5"/>
      <c r="M48" s="5"/>
      <c r="N48" s="5"/>
      <c r="O48" s="5"/>
      <c r="P48" s="88"/>
      <c r="Q48" s="95"/>
    </row>
    <row r="49" spans="1:17" s="2" customFormat="1" ht="12" customHeight="1">
      <c r="D49" s="22"/>
      <c r="E49" s="22"/>
      <c r="J49" s="5"/>
      <c r="K49" s="5"/>
      <c r="L49" s="5"/>
      <c r="M49" s="5"/>
      <c r="N49" s="5"/>
      <c r="O49" s="5"/>
      <c r="P49" s="88"/>
      <c r="Q49" s="95"/>
    </row>
    <row r="50" spans="1:17" s="2" customFormat="1" ht="12" customHeight="1">
      <c r="D50" s="22"/>
      <c r="E50" s="22"/>
      <c r="J50" s="5"/>
      <c r="K50" s="5"/>
      <c r="L50" s="5"/>
      <c r="M50" s="5"/>
      <c r="N50" s="5"/>
      <c r="O50" s="5"/>
      <c r="P50" s="88"/>
      <c r="Q50" s="95"/>
    </row>
    <row r="51" spans="1:17" s="2" customFormat="1" ht="12" customHeight="1">
      <c r="D51" s="22"/>
      <c r="E51" s="22"/>
      <c r="J51" s="5"/>
      <c r="K51" s="5"/>
      <c r="L51" s="5"/>
      <c r="M51" s="5"/>
      <c r="N51" s="5"/>
      <c r="O51" s="5"/>
      <c r="P51" s="88"/>
      <c r="Q51" s="95"/>
    </row>
    <row r="52" spans="1:17" s="2" customFormat="1" ht="12" customHeight="1">
      <c r="D52" s="22"/>
      <c r="E52" s="22"/>
      <c r="J52" s="5"/>
      <c r="K52" s="5"/>
      <c r="L52" s="5"/>
      <c r="M52" s="5"/>
      <c r="N52" s="5"/>
      <c r="O52" s="5"/>
      <c r="P52" s="88"/>
      <c r="Q52" s="95"/>
    </row>
    <row r="53" spans="1:17" s="2" customFormat="1" ht="12" customHeight="1">
      <c r="D53" s="22"/>
      <c r="E53" s="22"/>
      <c r="J53" s="5"/>
      <c r="K53" s="5"/>
      <c r="L53" s="5"/>
      <c r="M53" s="5"/>
      <c r="N53" s="5"/>
      <c r="O53" s="5"/>
      <c r="P53" s="88"/>
      <c r="Q53" s="95"/>
    </row>
    <row r="54" spans="1:17" s="2" customFormat="1" ht="12" customHeight="1">
      <c r="D54" s="22"/>
      <c r="E54" s="22"/>
      <c r="J54" s="5"/>
      <c r="K54" s="5"/>
      <c r="L54" s="5"/>
      <c r="M54" s="5"/>
      <c r="N54" s="5"/>
      <c r="O54" s="5"/>
      <c r="P54" s="88"/>
      <c r="Q54" s="95"/>
    </row>
    <row r="55" spans="1:17" s="2" customFormat="1" ht="12" customHeight="1">
      <c r="D55" s="22"/>
      <c r="E55" s="22"/>
      <c r="J55" s="5"/>
      <c r="K55" s="5"/>
      <c r="L55" s="5"/>
      <c r="M55" s="5"/>
      <c r="N55" s="5"/>
      <c r="O55" s="5"/>
      <c r="P55" s="88"/>
      <c r="Q55" s="95"/>
    </row>
    <row r="56" spans="1:17" s="2" customFormat="1" ht="12" customHeight="1">
      <c r="D56" s="22"/>
      <c r="E56" s="22"/>
      <c r="J56" s="5"/>
      <c r="K56" s="5"/>
      <c r="L56" s="5"/>
      <c r="M56" s="5"/>
      <c r="N56" s="5"/>
      <c r="O56" s="5"/>
      <c r="P56" s="88"/>
      <c r="Q56" s="96"/>
    </row>
    <row r="57" spans="1:17" s="2" customFormat="1" ht="12" customHeight="1">
      <c r="D57" s="22"/>
      <c r="E57" s="22"/>
      <c r="J57" s="5"/>
      <c r="K57" s="5"/>
      <c r="L57" s="5"/>
      <c r="M57" s="5"/>
      <c r="N57" s="5"/>
      <c r="O57" s="5"/>
      <c r="P57" s="88"/>
      <c r="Q57" s="96"/>
    </row>
    <row r="58" spans="1:17" s="2" customFormat="1" ht="12" customHeight="1">
      <c r="D58" s="22"/>
      <c r="E58" s="22"/>
      <c r="J58" s="5"/>
      <c r="K58" s="5"/>
      <c r="L58" s="5"/>
      <c r="M58" s="5"/>
      <c r="N58" s="5"/>
      <c r="O58" s="5"/>
      <c r="P58" s="88"/>
      <c r="Q58" s="96"/>
    </row>
    <row r="59" spans="1:17" s="2" customFormat="1" ht="12" customHeight="1">
      <c r="D59" s="22"/>
      <c r="E59" s="22"/>
      <c r="J59" s="5"/>
      <c r="K59" s="5"/>
      <c r="L59" s="5"/>
      <c r="M59" s="5"/>
      <c r="N59" s="5"/>
      <c r="O59" s="5"/>
      <c r="P59" s="88"/>
      <c r="Q59" s="96"/>
    </row>
    <row r="60" spans="1:17" s="2" customFormat="1" ht="12" customHeight="1">
      <c r="A60"/>
      <c r="B60"/>
      <c r="C60"/>
      <c r="D60" s="23"/>
      <c r="E60" s="23"/>
      <c r="F60"/>
      <c r="G60"/>
      <c r="H60"/>
      <c r="I60"/>
      <c r="J60" s="19"/>
      <c r="K60" s="19"/>
      <c r="L60" s="19"/>
      <c r="M60" s="19"/>
      <c r="N60" s="19"/>
      <c r="O60" s="19"/>
      <c r="P60" s="90"/>
      <c r="Q60" s="96"/>
    </row>
    <row r="61" spans="1:17" s="2" customFormat="1" ht="12" customHeight="1">
      <c r="A61"/>
      <c r="B61"/>
      <c r="C61"/>
      <c r="D61" s="23"/>
      <c r="E61" s="23"/>
      <c r="F61"/>
      <c r="G61"/>
      <c r="H61"/>
      <c r="I61"/>
      <c r="J61" s="19"/>
      <c r="K61" s="19"/>
      <c r="L61" s="19"/>
      <c r="M61" s="19"/>
      <c r="N61" s="19"/>
      <c r="O61" s="19"/>
      <c r="P61" s="90"/>
      <c r="Q61" s="96"/>
    </row>
    <row r="62" spans="1:17" s="2" customFormat="1" ht="12" customHeight="1">
      <c r="A62"/>
      <c r="B62"/>
      <c r="C62"/>
      <c r="D62" s="23"/>
      <c r="E62" s="23"/>
      <c r="F62"/>
      <c r="G62"/>
      <c r="H62"/>
      <c r="I62"/>
      <c r="J62" s="19"/>
      <c r="K62" s="19"/>
      <c r="L62" s="19"/>
      <c r="M62" s="19"/>
      <c r="N62" s="19"/>
      <c r="O62" s="19"/>
      <c r="P62" s="90"/>
      <c r="Q62" s="96"/>
    </row>
    <row r="63" spans="1:17" s="2" customFormat="1" ht="12" customHeight="1">
      <c r="A63"/>
      <c r="B63"/>
      <c r="C63"/>
      <c r="D63" s="23"/>
      <c r="E63" s="23"/>
      <c r="F63"/>
      <c r="G63"/>
      <c r="H63"/>
      <c r="I63"/>
      <c r="J63" s="19"/>
      <c r="K63" s="19"/>
      <c r="L63" s="19"/>
      <c r="M63" s="19"/>
      <c r="N63" s="19"/>
      <c r="O63" s="19"/>
      <c r="P63" s="90"/>
      <c r="Q63" s="96"/>
    </row>
    <row r="64" spans="1:17" s="2" customFormat="1" ht="12" customHeight="1">
      <c r="A64"/>
      <c r="B64"/>
      <c r="C64"/>
      <c r="D64" s="23"/>
      <c r="E64" s="23"/>
      <c r="F64"/>
      <c r="G64"/>
      <c r="H64"/>
      <c r="I64"/>
      <c r="J64" s="19"/>
      <c r="K64" s="19"/>
      <c r="L64" s="19"/>
      <c r="M64" s="19"/>
      <c r="N64" s="19"/>
      <c r="O64" s="19"/>
      <c r="P64" s="90"/>
      <c r="Q64" s="96"/>
    </row>
    <row r="65" spans="17:17">
      <c r="Q65" s="96"/>
    </row>
    <row r="66" spans="17:17">
      <c r="Q66" s="96"/>
    </row>
    <row r="67" spans="17:17">
      <c r="Q67" s="96"/>
    </row>
    <row r="68" spans="17:17">
      <c r="Q68" s="96"/>
    </row>
    <row r="69" spans="17:17">
      <c r="Q69" s="96"/>
    </row>
    <row r="70" spans="17:17">
      <c r="Q70" s="96"/>
    </row>
    <row r="71" spans="17:17">
      <c r="Q71" s="96"/>
    </row>
    <row r="72" spans="17:17">
      <c r="Q72" s="96"/>
    </row>
    <row r="73" spans="17:17">
      <c r="Q73" s="96"/>
    </row>
    <row r="74" spans="17:17">
      <c r="Q74" s="96"/>
    </row>
    <row r="75" spans="17:17">
      <c r="Q75" s="96"/>
    </row>
    <row r="76" spans="17:17">
      <c r="Q76" s="96"/>
    </row>
    <row r="77" spans="17:17">
      <c r="Q77" s="96"/>
    </row>
    <row r="78" spans="17:17">
      <c r="Q78" s="96"/>
    </row>
    <row r="79" spans="17:17">
      <c r="Q79" s="96"/>
    </row>
    <row r="80" spans="17:17">
      <c r="Q80" s="96"/>
    </row>
    <row r="81" spans="17:17">
      <c r="Q81" s="96"/>
    </row>
    <row r="82" spans="17:17">
      <c r="Q82" s="96"/>
    </row>
    <row r="83" spans="17:17">
      <c r="Q83" s="96"/>
    </row>
    <row r="84" spans="17:17">
      <c r="Q84" s="96"/>
    </row>
    <row r="121" ht="12" customHeight="1"/>
    <row r="122" ht="12" customHeight="1"/>
    <row r="123" ht="12" customHeight="1"/>
    <row r="124" ht="12" customHeight="1"/>
    <row r="125" ht="12" customHeight="1"/>
    <row r="126" ht="12" customHeight="1"/>
    <row r="127" ht="12" customHeight="1"/>
    <row r="128" ht="12" customHeight="1"/>
    <row r="129" ht="12" customHeight="1"/>
    <row r="130" ht="12" customHeight="1"/>
    <row r="131" ht="12" customHeight="1"/>
    <row r="132" ht="12" customHeight="1"/>
    <row r="133" ht="12" customHeight="1"/>
    <row r="134" ht="12" customHeight="1"/>
    <row r="135" ht="12" customHeight="1"/>
    <row r="136" ht="12" customHeight="1"/>
    <row r="137" ht="12" customHeight="1"/>
    <row r="138" ht="12" customHeight="1"/>
    <row r="139" ht="12" customHeight="1"/>
    <row r="140" ht="12" customHeight="1"/>
    <row r="141" ht="12" customHeight="1"/>
    <row r="142" ht="12" customHeight="1"/>
    <row r="143" ht="12" customHeight="1"/>
    <row r="144" ht="12" customHeight="1"/>
    <row r="145" ht="12" customHeight="1"/>
    <row r="146" ht="12" customHeight="1"/>
    <row r="147" ht="12" customHeight="1"/>
    <row r="148" ht="12" customHeight="1"/>
    <row r="149" ht="12" customHeight="1"/>
    <row r="150" ht="12" customHeight="1"/>
    <row r="151" ht="12" customHeight="1"/>
    <row r="152" ht="12" customHeight="1"/>
    <row r="153" ht="12" customHeight="1"/>
    <row r="154" ht="12" customHeight="1"/>
    <row r="155" ht="12" customHeight="1"/>
    <row r="156" ht="12" customHeight="1"/>
    <row r="157" ht="12" customHeight="1"/>
    <row r="158" ht="12" customHeight="1"/>
    <row r="159" ht="12" customHeight="1"/>
    <row r="160" ht="12" customHeight="1"/>
    <row r="161" ht="12" customHeight="1"/>
    <row r="162" ht="12" customHeight="1"/>
    <row r="163" ht="12" customHeight="1"/>
    <row r="164" ht="12" customHeight="1"/>
    <row r="165" ht="12" customHeight="1"/>
    <row r="166" ht="12" customHeight="1"/>
    <row r="167" ht="12" customHeight="1"/>
    <row r="168" ht="12" customHeight="1"/>
    <row r="169" ht="12" customHeight="1"/>
    <row r="170" ht="12" customHeight="1"/>
  </sheetData>
  <mergeCells count="20">
    <mergeCell ref="D6:E6"/>
    <mergeCell ref="D5:E5"/>
    <mergeCell ref="H5:I5"/>
    <mergeCell ref="D1:E1"/>
    <mergeCell ref="D4:E4"/>
    <mergeCell ref="H4:I4"/>
    <mergeCell ref="D9:E9"/>
    <mergeCell ref="D10:E10"/>
    <mergeCell ref="D11:E11"/>
    <mergeCell ref="D7:E7"/>
    <mergeCell ref="H7:I7"/>
    <mergeCell ref="D8:E8"/>
    <mergeCell ref="D17:E17"/>
    <mergeCell ref="H17:I17"/>
    <mergeCell ref="D13:E13"/>
    <mergeCell ref="D12:E12"/>
    <mergeCell ref="H12:I12"/>
    <mergeCell ref="D14:E14"/>
    <mergeCell ref="D15:E15"/>
    <mergeCell ref="D16:E16"/>
  </mergeCells>
  <conditionalFormatting sqref="M6 M8:M11 M13:M16">
    <cfRule type="cellIs" dxfId="266" priority="3" stopIfTrue="1" operator="lessThanOrEqual">
      <formula>$L6</formula>
    </cfRule>
    <cfRule type="cellIs" dxfId="265" priority="4" operator="greaterThan">
      <formula>L6</formula>
    </cfRule>
  </conditionalFormatting>
  <pageMargins left="0.7" right="0.7" top="0.75" bottom="0.75" header="0.3" footer="0.3"/>
  <pageSetup paperSize="3" fitToHeight="0" orientation="landscape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D2065FA-A2CB-484F-BA8A-210F21067DF9}">
          <x14:formula1>
            <xm:f>Bolts!$A:$A</xm:f>
          </x14:formula1>
          <xm:sqref>C13:C16</xm:sqref>
        </x14:dataValidation>
        <x14:dataValidation type="list" allowBlank="1" showInputMessage="1" showErrorMessage="1" xr:uid="{7663562F-8AB0-4AE5-906A-50883213CDE8}">
          <x14:formula1>
            <xm:f>Purchased!$A:$A</xm:f>
          </x14:formula1>
          <xm:sqref>C8:C11</xm:sqref>
        </x14:dataValidation>
        <x14:dataValidation type="list" allowBlank="1" showInputMessage="1" showErrorMessage="1" xr:uid="{F41F0905-0C22-4BDE-9400-68492D1F4D87}">
          <x14:formula1>
            <xm:f>Machined!$C:$C</xm:f>
          </x14:formula1>
          <xm:sqref>C6</xm:sqref>
        </x14:dataValidation>
      </x14:dataValidations>
    </ext>
  </extLst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B5897-434A-42B1-94E3-405391E9FE47}">
  <sheetPr codeName="Sheet111">
    <tabColor theme="3" tint="0.79998168889431442"/>
    <pageSetUpPr fitToPage="1"/>
  </sheetPr>
  <dimension ref="A1:R170"/>
  <sheetViews>
    <sheetView zoomScaleNormal="100" workbookViewId="0">
      <selection activeCell="K31" sqref="K31"/>
    </sheetView>
  </sheetViews>
  <sheetFormatPr defaultColWidth="9.140625" defaultRowHeight="15"/>
  <cols>
    <col min="1" max="1" width="5.7109375" customWidth="1"/>
    <col min="2" max="2" width="5.42578125" bestFit="1" customWidth="1"/>
    <col min="3" max="3" width="30.7109375" customWidth="1"/>
    <col min="4" max="5" width="20.7109375" style="23" customWidth="1"/>
    <col min="6" max="6" width="16.85546875" bestFit="1" customWidth="1"/>
    <col min="7" max="7" width="9.7109375" customWidth="1"/>
    <col min="8" max="8" width="8.7109375" customWidth="1"/>
    <col min="9" max="9" width="20.7109375" customWidth="1"/>
    <col min="10" max="13" width="11.7109375" style="19" customWidth="1"/>
    <col min="14" max="14" width="11.85546875" style="19" bestFit="1" customWidth="1"/>
    <col min="15" max="15" width="7.7109375" style="19" customWidth="1"/>
    <col min="16" max="16" width="10.7109375" style="90" customWidth="1"/>
    <col min="17" max="17" width="10.7109375" style="97" customWidth="1"/>
  </cols>
  <sheetData>
    <row r="1" spans="1:18" s="55" customFormat="1" ht="12" customHeight="1">
      <c r="A1" s="68" t="s">
        <v>0</v>
      </c>
      <c r="B1" s="69"/>
      <c r="C1" s="69"/>
      <c r="D1" s="262" t="s">
        <v>1</v>
      </c>
      <c r="E1" s="263"/>
      <c r="F1" s="70"/>
      <c r="G1" s="69"/>
      <c r="H1" s="70"/>
      <c r="I1" s="71"/>
      <c r="J1" s="72"/>
      <c r="K1" s="72"/>
      <c r="L1" s="72"/>
      <c r="M1" s="72"/>
      <c r="N1" s="72"/>
      <c r="O1" s="72"/>
      <c r="P1" s="85"/>
      <c r="Q1" s="91"/>
    </row>
    <row r="2" spans="1:18" s="55" customFormat="1" ht="12" customHeight="1">
      <c r="A2" s="74" t="s">
        <v>48</v>
      </c>
      <c r="B2" s="58"/>
      <c r="C2" s="57" t="e">
        <f ca="1">VLOOKUP(E3,Assemblies!B:F,4,0)</f>
        <v>#VALUE!</v>
      </c>
      <c r="D2" s="75" t="s">
        <v>3</v>
      </c>
      <c r="E2" s="76" t="e">
        <f ca="1">'GF12'!E2</f>
        <v>#VALUE!</v>
      </c>
      <c r="F2" s="77" t="s">
        <v>4</v>
      </c>
      <c r="G2" s="58" t="str">
        <f>'GF12'!G2</f>
        <v>GH</v>
      </c>
      <c r="H2" s="77" t="s">
        <v>6</v>
      </c>
      <c r="I2" s="59">
        <f>'GF12'!I2</f>
        <v>44775</v>
      </c>
      <c r="J2" s="39"/>
      <c r="K2" s="40" t="s">
        <v>49</v>
      </c>
      <c r="L2" s="41" t="e">
        <f ca="1">VLOOKUP(C2,Assemblies!E:G,3,0)</f>
        <v>#VALUE!</v>
      </c>
      <c r="M2" s="78"/>
      <c r="N2" s="78"/>
      <c r="O2" s="78"/>
      <c r="P2" s="86"/>
      <c r="Q2" s="92"/>
    </row>
    <row r="3" spans="1:18" s="55" customFormat="1" ht="12" customHeight="1" thickBot="1">
      <c r="A3" s="74" t="s">
        <v>7</v>
      </c>
      <c r="B3" s="58"/>
      <c r="C3" s="57" t="e">
        <f ca="1">VLOOKUP(E3,Assemblies!B:F,5,0)</f>
        <v>#VALUE!</v>
      </c>
      <c r="D3" s="75" t="s">
        <v>50</v>
      </c>
      <c r="E3" s="76" t="e">
        <f ca="1">MID(CELL("filename",A1),FIND("]",CELL("filename",A1))+1,256)</f>
        <v>#VALUE!</v>
      </c>
      <c r="F3" s="77" t="s">
        <v>11</v>
      </c>
      <c r="G3" s="58" t="str">
        <f>'GF12'!G3</f>
        <v>GH</v>
      </c>
      <c r="H3" s="77" t="s">
        <v>6</v>
      </c>
      <c r="I3" s="59">
        <f>'GF12'!I3</f>
        <v>44775</v>
      </c>
      <c r="J3" s="78"/>
      <c r="K3" s="78"/>
      <c r="L3" s="78"/>
      <c r="M3" s="78"/>
      <c r="N3" s="78"/>
      <c r="O3" s="78"/>
      <c r="P3" s="86"/>
      <c r="Q3" s="92"/>
    </row>
    <row r="4" spans="1:18" s="56" customFormat="1" ht="12.75" customHeight="1" thickBot="1">
      <c r="A4" s="80" t="s">
        <v>12</v>
      </c>
      <c r="B4" s="81" t="s">
        <v>13</v>
      </c>
      <c r="C4" s="81" t="s">
        <v>14</v>
      </c>
      <c r="D4" s="270" t="s">
        <v>15</v>
      </c>
      <c r="E4" s="271"/>
      <c r="F4" s="104" t="s">
        <v>16</v>
      </c>
      <c r="G4" s="81" t="s">
        <v>17</v>
      </c>
      <c r="H4" s="260" t="s">
        <v>18</v>
      </c>
      <c r="I4" s="261"/>
      <c r="J4" s="81" t="s">
        <v>51</v>
      </c>
      <c r="K4" s="81" t="s">
        <v>20</v>
      </c>
      <c r="L4" s="81" t="s">
        <v>21</v>
      </c>
      <c r="M4" s="81" t="s">
        <v>52</v>
      </c>
      <c r="N4" s="81" t="s">
        <v>22</v>
      </c>
      <c r="O4" s="81" t="s">
        <v>53</v>
      </c>
      <c r="P4" s="107" t="s">
        <v>26</v>
      </c>
      <c r="Q4" s="82" t="s">
        <v>27</v>
      </c>
    </row>
    <row r="5" spans="1:18" s="21" customFormat="1" ht="12.75" customHeight="1">
      <c r="A5" s="25"/>
      <c r="B5" s="26"/>
      <c r="C5" s="26"/>
      <c r="D5" s="272"/>
      <c r="E5" s="273"/>
      <c r="F5" s="26"/>
      <c r="G5" s="26"/>
      <c r="H5" s="274"/>
      <c r="I5" s="275"/>
      <c r="J5" s="27"/>
      <c r="K5" s="27"/>
      <c r="L5" s="27"/>
      <c r="M5" s="28"/>
      <c r="N5" s="29"/>
      <c r="O5" s="29"/>
      <c r="P5" s="141"/>
      <c r="Q5" s="142"/>
      <c r="R5" s="20"/>
    </row>
    <row r="6" spans="1:18" s="2" customFormat="1" ht="12.75" customHeight="1">
      <c r="A6" s="127">
        <v>1</v>
      </c>
      <c r="B6" s="21">
        <v>1</v>
      </c>
      <c r="C6" s="108" t="s">
        <v>1167</v>
      </c>
      <c r="D6" s="277" t="str">
        <f>VLOOKUP(C6,Machined!C:Q,2,0)</f>
        <v>MODIFIED Hammond C3RWT412 Wiring Trough 2 Plugs</v>
      </c>
      <c r="E6" s="278"/>
      <c r="F6" s="131">
        <f>VLOOKUP(C6,Machined!C:Q,6,0)</f>
        <v>2</v>
      </c>
      <c r="G6" s="131" t="str">
        <f>VLOOKUP(C6,Machined!C:Q,8,0)</f>
        <v>None</v>
      </c>
      <c r="H6" s="131" t="str">
        <f>VLOOKUP(C6,Machined!C:Q,9,0)</f>
        <v>N/A</v>
      </c>
      <c r="I6" s="131"/>
      <c r="J6" s="42" t="str">
        <f>VLOOKUP(C6,Machined!C:Q,10,0)</f>
        <v>AUTODIR, NULINE</v>
      </c>
      <c r="K6" s="42" t="str">
        <f>VLOOKUP(C6,Machined!C:Q,11,0)</f>
        <v xml:space="preserve">  </v>
      </c>
      <c r="L6" s="42">
        <f>VLOOKUP(C6,Machined!C:Q,12,0)</f>
        <v>45160</v>
      </c>
      <c r="M6" s="42">
        <f>VLOOKUP(C6,Machined!C:Q,13,0)</f>
        <v>45160</v>
      </c>
      <c r="N6" s="43">
        <f>VLOOKUP(C6,Machined!C:Q,14,0)</f>
        <v>45163</v>
      </c>
      <c r="O6" s="43" t="e">
        <f t="shared" ref="O6" ca="1" si="0">B6*$L$2</f>
        <v>#VALUE!</v>
      </c>
      <c r="P6" s="47">
        <f>IFERROR(VLOOKUP(C6,Machined!C:F,3,0),"")</f>
        <v>33</v>
      </c>
      <c r="Q6" s="48">
        <f t="shared" ref="Q6" si="1">IFERROR(B6*P6,"")</f>
        <v>33</v>
      </c>
    </row>
    <row r="7" spans="1:18" s="2" customFormat="1" ht="12.75" customHeight="1">
      <c r="A7" s="143"/>
      <c r="B7" s="26"/>
      <c r="C7" s="26"/>
      <c r="D7" s="272"/>
      <c r="E7" s="273"/>
      <c r="F7" s="26"/>
      <c r="G7" s="26"/>
      <c r="H7" s="274"/>
      <c r="I7" s="275"/>
      <c r="J7" s="27"/>
      <c r="K7" s="27"/>
      <c r="L7" s="27"/>
      <c r="M7" s="28"/>
      <c r="N7" s="29"/>
      <c r="O7" s="29"/>
      <c r="P7" s="141"/>
      <c r="Q7" s="142"/>
    </row>
    <row r="8" spans="1:18" s="2" customFormat="1" ht="12" customHeight="1">
      <c r="A8" s="4">
        <v>301</v>
      </c>
      <c r="B8" s="2">
        <v>1</v>
      </c>
      <c r="C8" s="114" t="s">
        <v>1135</v>
      </c>
      <c r="D8" s="268" t="str">
        <f>VLOOKUP(C8,Purchased!A:B,2,0)</f>
        <v>Turn-Lock Connector 3-Slot Single Female Receptacle, Grounded, NEMA L7-30</v>
      </c>
      <c r="E8" s="269"/>
      <c r="F8" s="112" t="str">
        <f>VLOOKUP(C8,Purchased!A:Q,9,0)</f>
        <v>MCM</v>
      </c>
      <c r="G8" s="112" t="str">
        <f>VLOOKUP(C8,Purchased!A:Q,10,0)</f>
        <v>MCM</v>
      </c>
      <c r="H8" s="112" t="str">
        <f>VLOOKUP(C8,Purchased!A:Q,12,0)</f>
        <v xml:space="preserve"> </v>
      </c>
      <c r="I8" s="113"/>
      <c r="J8" s="44" t="str">
        <f>VLOOKUP(C8,Purchased!A:Q,13,0)</f>
        <v>N/A</v>
      </c>
      <c r="K8" s="44">
        <f>VLOOKUP(C8,Purchased!A:Q,14,0)</f>
        <v>45162</v>
      </c>
      <c r="L8" s="44">
        <f>VLOOKUP(C8,Purchased!A:Q,15,0)</f>
        <v>45184</v>
      </c>
      <c r="M8" s="44">
        <f>VLOOKUP(C8,Purchased!A:Q,16,0)</f>
        <v>45166</v>
      </c>
      <c r="N8" s="45">
        <f>VLOOKUP(C8,Purchased!A:Q,17,0)</f>
        <v>55087</v>
      </c>
      <c r="O8" s="45" t="e">
        <f t="shared" ref="O8:O13" ca="1" si="2">B8*$L$2</f>
        <v>#VALUE!</v>
      </c>
      <c r="P8" s="49">
        <f>IFERROR(VLOOKUP(C8,Purchased!A:E,3,FALSE),"")</f>
        <v>33.19</v>
      </c>
      <c r="Q8" s="50">
        <f t="shared" ref="Q8:Q11" si="3">IFERROR(B8*P8,"")</f>
        <v>33.19</v>
      </c>
    </row>
    <row r="9" spans="1:18" s="2" customFormat="1" ht="12" customHeight="1">
      <c r="A9" s="4">
        <f t="shared" ref="A9:A11" si="4">A8+1</f>
        <v>302</v>
      </c>
      <c r="B9" s="2">
        <v>1</v>
      </c>
      <c r="C9" s="114" t="s">
        <v>937</v>
      </c>
      <c r="D9" s="268" t="str">
        <f>VLOOKUP(C9,Purchased!A:B,2,0)</f>
        <v>WATLOW THERMAL COUPLE JACK</v>
      </c>
      <c r="E9" s="269"/>
      <c r="F9" s="112" t="str">
        <f>VLOOKUP(C9,Purchased!A:Q,9,0)</f>
        <v>WATLOW</v>
      </c>
      <c r="G9" s="112" t="str">
        <f>VLOOKUP(C9,Purchased!A:Q,10,0)</f>
        <v>VALIN</v>
      </c>
      <c r="H9" s="112" t="str">
        <f>VLOOKUP(C9,Purchased!A:Q,12,0)</f>
        <v xml:space="preserve">  </v>
      </c>
      <c r="I9" s="113"/>
      <c r="J9" s="44">
        <f>VLOOKUP(C9,Purchased!A:Q,13,0)</f>
        <v>45121</v>
      </c>
      <c r="K9" s="44">
        <f>VLOOKUP(C9,Purchased!A:Q,14,0)</f>
        <v>45126</v>
      </c>
      <c r="L9" s="44">
        <f>VLOOKUP(C9,Purchased!A:Q,15,0)</f>
        <v>45156</v>
      </c>
      <c r="M9" s="44">
        <f>VLOOKUP(C9,Purchased!A:Q,16,0)</f>
        <v>45156</v>
      </c>
      <c r="N9" s="45">
        <f>VLOOKUP(C9,Purchased!A:Q,17,0)</f>
        <v>54998</v>
      </c>
      <c r="O9" s="45" t="e">
        <f t="shared" ca="1" si="2"/>
        <v>#VALUE!</v>
      </c>
      <c r="P9" s="49">
        <f>IFERROR(VLOOKUP(C9,Purchased!A:E,3,FALSE),"")</f>
        <v>23.76</v>
      </c>
      <c r="Q9" s="50">
        <f t="shared" si="3"/>
        <v>23.76</v>
      </c>
    </row>
    <row r="10" spans="1:18" s="2" customFormat="1" ht="12" customHeight="1">
      <c r="A10" s="4">
        <f t="shared" si="4"/>
        <v>303</v>
      </c>
      <c r="B10" s="2">
        <v>1</v>
      </c>
      <c r="C10" s="114" t="s">
        <v>1136</v>
      </c>
      <c r="D10" s="268" t="str">
        <f>VLOOKUP(C10,Purchased!A:B,2,0)</f>
        <v>Turn-Lock Connector, Three-Blade Straight Plug, Grounded, NEMA L7-30</v>
      </c>
      <c r="E10" s="269"/>
      <c r="F10" s="112" t="str">
        <f>VLOOKUP(C10,Purchased!A:Q,9,0)</f>
        <v>MCM</v>
      </c>
      <c r="G10" s="112" t="str">
        <f>VLOOKUP(C10,Purchased!A:Q,10,0)</f>
        <v>MCM</v>
      </c>
      <c r="H10" s="112" t="str">
        <f>VLOOKUP(C10,Purchased!A:Q,12,0)</f>
        <v xml:space="preserve"> </v>
      </c>
      <c r="I10" s="113"/>
      <c r="J10" s="44" t="str">
        <f>VLOOKUP(C10,Purchased!A:Q,13,0)</f>
        <v>N/A</v>
      </c>
      <c r="K10" s="44">
        <f>VLOOKUP(C10,Purchased!A:Q,14,0)</f>
        <v>45162</v>
      </c>
      <c r="L10" s="44">
        <f>VLOOKUP(C10,Purchased!A:Q,15,0)</f>
        <v>45184</v>
      </c>
      <c r="M10" s="44">
        <f>VLOOKUP(C10,Purchased!A:Q,16,0)</f>
        <v>45166</v>
      </c>
      <c r="N10" s="45" t="str">
        <f>VLOOKUP(C10,Purchased!A:Q,17,0)</f>
        <v>55087, 55152</v>
      </c>
      <c r="O10" s="45" t="e">
        <f t="shared" ca="1" si="2"/>
        <v>#VALUE!</v>
      </c>
      <c r="P10" s="49">
        <f>IFERROR(VLOOKUP(C10,Purchased!A:E,3,FALSE),"")</f>
        <v>31.33</v>
      </c>
      <c r="Q10" s="50">
        <f t="shared" si="3"/>
        <v>31.33</v>
      </c>
    </row>
    <row r="11" spans="1:18" s="2" customFormat="1" ht="12" customHeight="1">
      <c r="A11" s="4">
        <f t="shared" si="4"/>
        <v>304</v>
      </c>
      <c r="B11" s="2">
        <v>4</v>
      </c>
      <c r="C11" s="114" t="s">
        <v>256</v>
      </c>
      <c r="D11" s="268" t="str">
        <f>VLOOKUP(C11,Purchased!A:B,2,0)</f>
        <v>BRX GOTO T-NUT 10 M8</v>
      </c>
      <c r="E11" s="269"/>
      <c r="F11" s="112" t="str">
        <f>VLOOKUP(C11,Purchased!A:Q,9,0)</f>
        <v>BRX</v>
      </c>
      <c r="G11" s="112" t="str">
        <f>VLOOKUP(C11,Purchased!A:Q,10,0)</f>
        <v>AAP</v>
      </c>
      <c r="H11" s="112" t="str">
        <f>VLOOKUP(C11,Purchased!A:Q,12,0)</f>
        <v xml:space="preserve">  </v>
      </c>
      <c r="I11" s="113"/>
      <c r="J11" s="44">
        <f>VLOOKUP(C11,Purchased!A:Q,13,0)</f>
        <v>45104</v>
      </c>
      <c r="K11" s="44">
        <f>VLOOKUP(C11,Purchased!A:Q,14,0)</f>
        <v>45105</v>
      </c>
      <c r="L11" s="44">
        <f>VLOOKUP(C11,Purchased!A:Q,15,0)</f>
        <v>45133</v>
      </c>
      <c r="M11" s="44">
        <f>VLOOKUP(C11,Purchased!A:Q,16,0)</f>
        <v>45133</v>
      </c>
      <c r="N11" s="45" t="str">
        <f>VLOOKUP(C11,Purchased!A:Q,17,0)</f>
        <v>54968, 55147</v>
      </c>
      <c r="O11" s="45" t="e">
        <f t="shared" ca="1" si="2"/>
        <v>#VALUE!</v>
      </c>
      <c r="P11" s="49">
        <f>IFERROR(VLOOKUP(C11,Purchased!A:E,3,FALSE),"")</f>
        <v>0.64290000000000003</v>
      </c>
      <c r="Q11" s="50">
        <f t="shared" si="3"/>
        <v>2.5716000000000001</v>
      </c>
    </row>
    <row r="12" spans="1:18" s="2" customFormat="1" ht="12.75" customHeight="1">
      <c r="A12" s="25"/>
      <c r="B12" s="26"/>
      <c r="C12" s="26"/>
      <c r="D12" s="272"/>
      <c r="E12" s="273"/>
      <c r="F12" s="26"/>
      <c r="G12" s="26"/>
      <c r="H12" s="274"/>
      <c r="I12" s="275"/>
      <c r="J12" s="27"/>
      <c r="K12" s="27"/>
      <c r="L12" s="27"/>
      <c r="M12" s="28"/>
      <c r="N12" s="29"/>
      <c r="O12" s="29" t="e">
        <f t="shared" ca="1" si="2"/>
        <v>#VALUE!</v>
      </c>
      <c r="P12" s="141"/>
      <c r="Q12" s="142"/>
    </row>
    <row r="13" spans="1:18" s="2" customFormat="1" ht="12.75" customHeight="1">
      <c r="A13" s="4">
        <v>501</v>
      </c>
      <c r="B13" s="2">
        <v>4</v>
      </c>
      <c r="C13" s="110" t="s">
        <v>542</v>
      </c>
      <c r="D13" s="268"/>
      <c r="E13" s="276"/>
      <c r="F13" s="112" t="str">
        <f>VLOOKUP(C13,Bolts!A:L,5,0)</f>
        <v xml:space="preserve">  </v>
      </c>
      <c r="G13" s="112" t="str">
        <f>VLOOKUP(C13,Bolts!A:L,6,0)</f>
        <v>Monroe Fasteners</v>
      </c>
      <c r="H13" s="112" t="str">
        <f>VLOOKUP(C13,Bolts!A:L,7,0)</f>
        <v xml:space="preserve">  </v>
      </c>
      <c r="I13" s="112"/>
      <c r="J13" s="44" t="str">
        <f>VLOOKUP(C13,Bolts!A:L,8,0)</f>
        <v xml:space="preserve"> </v>
      </c>
      <c r="K13" s="44" t="str">
        <f>VLOOKUP(C13,Bolts!A:L,9,0)</f>
        <v xml:space="preserve"> </v>
      </c>
      <c r="L13" s="44" t="str">
        <f>VLOOKUP(C13,Bolts!A:L,10,0)</f>
        <v xml:space="preserve"> </v>
      </c>
      <c r="M13" s="44" t="str">
        <f>VLOOKUP(C13,Bolts!A:L,11,0)</f>
        <v xml:space="preserve"> </v>
      </c>
      <c r="N13" s="45" t="str">
        <f>VLOOKUP(C13,Bolts!A:L,12,0)</f>
        <v xml:space="preserve"> </v>
      </c>
      <c r="O13" s="45" t="e">
        <f t="shared" ca="1" si="2"/>
        <v>#VALUE!</v>
      </c>
      <c r="P13" s="49" t="str">
        <f>IFERROR(VLOOKUP(C13,Bolts!A:B,2,FALSE),"")</f>
        <v xml:space="preserve"> </v>
      </c>
      <c r="Q13" s="50" t="str">
        <f t="shared" ref="Q13" si="5">IFERROR(B13*P13,"")</f>
        <v/>
      </c>
    </row>
    <row r="14" spans="1:18" s="2" customFormat="1" ht="12.75" customHeight="1">
      <c r="A14" s="4">
        <v>502</v>
      </c>
      <c r="B14" s="2">
        <v>4</v>
      </c>
      <c r="C14" s="110" t="s">
        <v>515</v>
      </c>
      <c r="D14" s="268"/>
      <c r="E14" s="276"/>
      <c r="F14" s="112" t="str">
        <f>VLOOKUP(C14,Bolts!A:L,5,0)</f>
        <v xml:space="preserve">  </v>
      </c>
      <c r="G14" s="112" t="str">
        <f>VLOOKUP(C14,Bolts!A:L,6,0)</f>
        <v>Monroe Fasteners</v>
      </c>
      <c r="H14" s="112" t="str">
        <f>VLOOKUP(C14,Bolts!A:L,7,0)</f>
        <v xml:space="preserve">  </v>
      </c>
      <c r="I14" s="112"/>
      <c r="J14" s="44" t="str">
        <f>VLOOKUP(C14,Bolts!A:L,8,0)</f>
        <v xml:space="preserve"> </v>
      </c>
      <c r="K14" s="44" t="str">
        <f>VLOOKUP(C14,Bolts!A:L,9,0)</f>
        <v xml:space="preserve"> </v>
      </c>
      <c r="L14" s="44" t="str">
        <f>VLOOKUP(C14,Bolts!A:L,10,0)</f>
        <v xml:space="preserve"> </v>
      </c>
      <c r="M14" s="44" t="str">
        <f>VLOOKUP(C14,Bolts!A:L,11,0)</f>
        <v xml:space="preserve"> </v>
      </c>
      <c r="N14" s="45" t="str">
        <f>VLOOKUP(C14,Bolts!A:L,12,0)</f>
        <v xml:space="preserve"> </v>
      </c>
      <c r="O14" s="45" t="e">
        <f ca="1">B14*$L$2</f>
        <v>#VALUE!</v>
      </c>
      <c r="P14" s="49" t="str">
        <f>IFERROR(VLOOKUP(C14,Bolts!A:B,2,FALSE),"")</f>
        <v xml:space="preserve"> </v>
      </c>
      <c r="Q14" s="50" t="str">
        <f>IFERROR(B14*P14,"")</f>
        <v/>
      </c>
    </row>
    <row r="15" spans="1:18" s="2" customFormat="1" ht="12.75" customHeight="1">
      <c r="A15" s="4">
        <v>503</v>
      </c>
      <c r="B15" s="2">
        <v>2</v>
      </c>
      <c r="C15" s="110" t="s">
        <v>1137</v>
      </c>
      <c r="D15" s="268"/>
      <c r="E15" s="276"/>
      <c r="F15" s="112">
        <f>VLOOKUP(C15,Bolts!A:L,5,0)</f>
        <v>0</v>
      </c>
      <c r="G15" s="112">
        <f>VLOOKUP(C15,Bolts!A:L,6,0)</f>
        <v>0</v>
      </c>
      <c r="H15" s="112">
        <f>VLOOKUP(C15,Bolts!A:L,7,0)</f>
        <v>0</v>
      </c>
      <c r="I15" s="112"/>
      <c r="J15" s="44">
        <f>VLOOKUP(C15,Bolts!A:L,8,0)</f>
        <v>0</v>
      </c>
      <c r="K15" s="44">
        <f>VLOOKUP(C15,Bolts!A:L,9,0)</f>
        <v>0</v>
      </c>
      <c r="L15" s="44">
        <f>VLOOKUP(C15,Bolts!A:L,10,0)</f>
        <v>0</v>
      </c>
      <c r="M15" s="44">
        <f>VLOOKUP(C15,Bolts!A:L,11,0)</f>
        <v>0</v>
      </c>
      <c r="N15" s="45">
        <f>VLOOKUP(C15,Bolts!A:L,12,0)</f>
        <v>0</v>
      </c>
      <c r="O15" s="45" t="e">
        <f ca="1">B15*$L$2</f>
        <v>#VALUE!</v>
      </c>
      <c r="P15" s="49">
        <f>IFERROR(VLOOKUP(C15,Bolts!A:B,2,FALSE),"")</f>
        <v>0</v>
      </c>
      <c r="Q15" s="50">
        <f>IFERROR(B15*P15,"")</f>
        <v>0</v>
      </c>
    </row>
    <row r="16" spans="1:18" s="2" customFormat="1" ht="12.75" customHeight="1" thickBot="1">
      <c r="A16" s="4">
        <v>504</v>
      </c>
      <c r="B16" s="2">
        <v>2</v>
      </c>
      <c r="C16" s="110" t="s">
        <v>1138</v>
      </c>
      <c r="D16" s="268"/>
      <c r="E16" s="276"/>
      <c r="F16" s="112">
        <f>VLOOKUP(C16,Bolts!A:L,5,0)</f>
        <v>0</v>
      </c>
      <c r="G16" s="112">
        <f>VLOOKUP(C16,Bolts!A:L,6,0)</f>
        <v>0</v>
      </c>
      <c r="H16" s="112">
        <f>VLOOKUP(C16,Bolts!A:L,7,0)</f>
        <v>0</v>
      </c>
      <c r="I16" s="112"/>
      <c r="J16" s="44">
        <f>VLOOKUP(C16,Bolts!A:L,8,0)</f>
        <v>0</v>
      </c>
      <c r="K16" s="44">
        <f>VLOOKUP(C16,Bolts!A:L,9,0)</f>
        <v>0</v>
      </c>
      <c r="L16" s="44">
        <f>VLOOKUP(C16,Bolts!A:L,10,0)</f>
        <v>0</v>
      </c>
      <c r="M16" s="44">
        <f>VLOOKUP(C16,Bolts!A:L,11,0)</f>
        <v>0</v>
      </c>
      <c r="N16" s="45">
        <f>VLOOKUP(C16,Bolts!A:L,12,0)</f>
        <v>0</v>
      </c>
      <c r="O16" s="45" t="e">
        <f ca="1">B16*$L$2</f>
        <v>#VALUE!</v>
      </c>
      <c r="P16" s="49">
        <f>IFERROR(VLOOKUP(C16,Bolts!A:B,2,FALSE),"")</f>
        <v>0</v>
      </c>
      <c r="Q16" s="50">
        <f>IFERROR(B16*P16,"")</f>
        <v>0</v>
      </c>
    </row>
    <row r="17" spans="1:17" s="2" customFormat="1" ht="12.75" customHeight="1" thickBot="1">
      <c r="A17" s="34"/>
      <c r="B17" s="35"/>
      <c r="C17" s="35"/>
      <c r="D17" s="256"/>
      <c r="E17" s="257"/>
      <c r="F17" s="35"/>
      <c r="G17" s="35"/>
      <c r="H17" s="294"/>
      <c r="I17" s="295"/>
      <c r="J17" s="36"/>
      <c r="K17" s="36"/>
      <c r="L17" s="36"/>
      <c r="M17" s="37"/>
      <c r="N17" s="38"/>
      <c r="O17" s="38"/>
      <c r="P17" s="89" t="s">
        <v>43</v>
      </c>
      <c r="Q17" s="94">
        <f>SUM(Q5:Q16)</f>
        <v>123.8516</v>
      </c>
    </row>
    <row r="18" spans="1:17" s="2" customFormat="1" ht="12" customHeight="1">
      <c r="D18" s="22"/>
      <c r="E18" s="22"/>
      <c r="J18" s="8"/>
      <c r="K18" s="8"/>
      <c r="L18" s="8"/>
      <c r="M18" s="8"/>
      <c r="N18" s="5"/>
      <c r="O18" s="5"/>
      <c r="P18" s="88"/>
      <c r="Q18" s="95"/>
    </row>
    <row r="19" spans="1:17" s="2" customFormat="1" ht="12" customHeight="1">
      <c r="D19" s="22"/>
      <c r="E19" s="22"/>
      <c r="J19" s="5"/>
      <c r="K19" s="5"/>
      <c r="L19" s="5"/>
      <c r="M19" s="5"/>
      <c r="N19" s="5"/>
      <c r="O19" s="5"/>
      <c r="P19" s="88"/>
      <c r="Q19" s="95"/>
    </row>
    <row r="20" spans="1:17" s="2" customFormat="1" ht="12" customHeight="1">
      <c r="D20" s="22"/>
      <c r="E20" s="22"/>
      <c r="J20" s="5"/>
      <c r="K20" s="5"/>
      <c r="L20" s="5"/>
      <c r="M20" s="5"/>
      <c r="N20" s="5"/>
      <c r="O20" s="5"/>
      <c r="P20" s="88"/>
      <c r="Q20" s="95"/>
    </row>
    <row r="21" spans="1:17" s="2" customFormat="1" ht="12" customHeight="1">
      <c r="D21" s="22"/>
      <c r="E21" s="22"/>
      <c r="J21" s="5"/>
      <c r="K21" s="5"/>
      <c r="L21" s="5"/>
      <c r="M21" s="5"/>
      <c r="N21" s="5"/>
      <c r="O21" s="5"/>
      <c r="P21" s="88"/>
      <c r="Q21" s="95"/>
    </row>
    <row r="22" spans="1:17" s="2" customFormat="1" ht="12" customHeight="1">
      <c r="D22" s="22"/>
      <c r="E22" s="22"/>
      <c r="J22" s="5"/>
      <c r="K22" s="5"/>
      <c r="L22" s="5"/>
      <c r="M22" s="5"/>
      <c r="N22" s="5"/>
      <c r="O22" s="5"/>
      <c r="P22" s="88"/>
      <c r="Q22" s="95"/>
    </row>
    <row r="23" spans="1:17" s="2" customFormat="1" ht="12" customHeight="1">
      <c r="D23" s="22"/>
      <c r="E23" s="22"/>
      <c r="J23" s="5"/>
      <c r="K23" s="5"/>
      <c r="L23" s="5"/>
      <c r="M23" s="5"/>
      <c r="N23" s="5"/>
      <c r="O23" s="5"/>
      <c r="P23" s="88"/>
      <c r="Q23" s="95"/>
    </row>
    <row r="24" spans="1:17" s="2" customFormat="1" ht="12" customHeight="1">
      <c r="D24" s="22"/>
      <c r="E24" s="22"/>
      <c r="J24" s="5"/>
      <c r="K24" s="5"/>
      <c r="L24" s="5"/>
      <c r="M24" s="5"/>
      <c r="N24" s="5"/>
      <c r="O24" s="5"/>
      <c r="P24" s="88"/>
      <c r="Q24" s="95"/>
    </row>
    <row r="25" spans="1:17" s="2" customFormat="1" ht="12" customHeight="1">
      <c r="D25" s="22"/>
      <c r="E25" s="22"/>
      <c r="J25" s="5"/>
      <c r="K25" s="5"/>
      <c r="L25" s="5"/>
      <c r="M25" s="5"/>
      <c r="N25" s="5"/>
      <c r="O25" s="5"/>
      <c r="P25" s="88"/>
      <c r="Q25" s="95"/>
    </row>
    <row r="26" spans="1:17" s="2" customFormat="1" ht="12" customHeight="1">
      <c r="D26" s="22"/>
      <c r="E26" s="22"/>
      <c r="J26" s="5"/>
      <c r="K26" s="5"/>
      <c r="L26" s="5"/>
      <c r="M26" s="5"/>
      <c r="N26" s="5"/>
      <c r="O26" s="5"/>
      <c r="P26" s="88"/>
      <c r="Q26" s="95"/>
    </row>
    <row r="27" spans="1:17" s="2" customFormat="1" ht="12" customHeight="1">
      <c r="D27" s="22"/>
      <c r="E27" s="22"/>
      <c r="J27" s="5"/>
      <c r="K27" s="5"/>
      <c r="L27" s="5"/>
      <c r="M27" s="5"/>
      <c r="N27" s="5"/>
      <c r="O27" s="5"/>
      <c r="P27" s="88"/>
      <c r="Q27" s="95"/>
    </row>
    <row r="28" spans="1:17" s="2" customFormat="1" ht="12" customHeight="1">
      <c r="D28" s="22"/>
      <c r="E28" s="22"/>
      <c r="J28" s="5"/>
      <c r="K28" s="5"/>
      <c r="L28" s="5"/>
      <c r="M28" s="5"/>
      <c r="N28" s="5"/>
      <c r="O28" s="5"/>
      <c r="P28" s="88"/>
      <c r="Q28" s="95"/>
    </row>
    <row r="29" spans="1:17" s="2" customFormat="1" ht="12" customHeight="1">
      <c r="D29" s="22"/>
      <c r="E29" s="22"/>
      <c r="J29" s="5"/>
      <c r="K29" s="5"/>
      <c r="L29" s="5"/>
      <c r="M29" s="5"/>
      <c r="N29" s="5"/>
      <c r="O29" s="5"/>
      <c r="P29" s="88"/>
      <c r="Q29" s="95"/>
    </row>
    <row r="30" spans="1:17" s="2" customFormat="1" ht="12" customHeight="1">
      <c r="D30" s="22"/>
      <c r="E30" s="22"/>
      <c r="J30" s="5"/>
      <c r="K30" s="5"/>
      <c r="L30" s="5"/>
      <c r="M30" s="5"/>
      <c r="N30" s="5"/>
      <c r="O30" s="5"/>
      <c r="P30" s="88"/>
      <c r="Q30" s="95"/>
    </row>
    <row r="31" spans="1:17" s="2" customFormat="1" ht="12" customHeight="1">
      <c r="D31" s="22"/>
      <c r="E31" s="22"/>
      <c r="J31" s="5"/>
      <c r="K31" s="5"/>
      <c r="L31" s="5"/>
      <c r="M31" s="5"/>
      <c r="N31" s="5"/>
      <c r="O31" s="5"/>
      <c r="P31" s="88"/>
      <c r="Q31" s="95"/>
    </row>
    <row r="32" spans="1:17" s="2" customFormat="1" ht="12" customHeight="1">
      <c r="D32" s="22"/>
      <c r="E32" s="22"/>
      <c r="J32" s="5"/>
      <c r="K32" s="5"/>
      <c r="L32" s="5"/>
      <c r="M32" s="5"/>
      <c r="N32" s="5"/>
      <c r="O32" s="5"/>
      <c r="P32" s="88"/>
      <c r="Q32" s="95"/>
    </row>
    <row r="33" spans="4:17" s="2" customFormat="1" ht="12" customHeight="1">
      <c r="D33" s="22"/>
      <c r="E33" s="22"/>
      <c r="J33" s="5"/>
      <c r="K33" s="5"/>
      <c r="L33" s="5"/>
      <c r="M33" s="5"/>
      <c r="N33" s="5"/>
      <c r="O33" s="5"/>
      <c r="P33" s="88"/>
      <c r="Q33" s="95"/>
    </row>
    <row r="34" spans="4:17" s="2" customFormat="1" ht="12" customHeight="1">
      <c r="D34" s="22"/>
      <c r="E34" s="22"/>
      <c r="J34" s="5"/>
      <c r="K34" s="5"/>
      <c r="L34" s="5"/>
      <c r="M34" s="5"/>
      <c r="N34" s="5"/>
      <c r="O34" s="5"/>
      <c r="P34" s="88"/>
      <c r="Q34" s="95"/>
    </row>
    <row r="35" spans="4:17" s="2" customFormat="1" ht="12" customHeight="1">
      <c r="D35" s="22"/>
      <c r="E35" s="22"/>
      <c r="J35" s="5"/>
      <c r="K35" s="5"/>
      <c r="L35" s="5"/>
      <c r="M35" s="5"/>
      <c r="N35" s="5"/>
      <c r="O35" s="5"/>
      <c r="P35" s="88"/>
      <c r="Q35" s="95"/>
    </row>
    <row r="36" spans="4:17" s="2" customFormat="1" ht="12" customHeight="1">
      <c r="D36" s="22"/>
      <c r="E36" s="22"/>
      <c r="J36" s="5"/>
      <c r="K36" s="5"/>
      <c r="L36" s="5"/>
      <c r="M36" s="5"/>
      <c r="N36" s="5"/>
      <c r="O36" s="5"/>
      <c r="P36" s="88"/>
      <c r="Q36" s="95"/>
    </row>
    <row r="37" spans="4:17" s="2" customFormat="1" ht="12" customHeight="1">
      <c r="D37" s="22"/>
      <c r="E37" s="22"/>
      <c r="J37" s="5"/>
      <c r="K37" s="5"/>
      <c r="L37" s="5"/>
      <c r="M37" s="5"/>
      <c r="N37" s="5"/>
      <c r="O37" s="5"/>
      <c r="P37" s="88"/>
      <c r="Q37" s="95"/>
    </row>
    <row r="38" spans="4:17" s="2" customFormat="1" ht="12" customHeight="1">
      <c r="D38" s="22"/>
      <c r="E38" s="22"/>
      <c r="J38" s="5"/>
      <c r="K38" s="5"/>
      <c r="L38" s="5"/>
      <c r="M38" s="5"/>
      <c r="N38" s="5"/>
      <c r="O38" s="5"/>
      <c r="P38" s="88"/>
      <c r="Q38" s="95"/>
    </row>
    <row r="39" spans="4:17" s="2" customFormat="1" ht="12" customHeight="1">
      <c r="D39" s="22"/>
      <c r="E39" s="22"/>
      <c r="J39" s="5"/>
      <c r="K39" s="5"/>
      <c r="L39" s="5"/>
      <c r="M39" s="5"/>
      <c r="N39" s="5"/>
      <c r="O39" s="5"/>
      <c r="P39" s="88"/>
      <c r="Q39" s="95"/>
    </row>
    <row r="40" spans="4:17" s="2" customFormat="1" ht="12" customHeight="1">
      <c r="D40" s="22"/>
      <c r="E40" s="22"/>
      <c r="J40" s="5"/>
      <c r="K40" s="5"/>
      <c r="L40" s="5"/>
      <c r="M40" s="5"/>
      <c r="N40" s="5"/>
      <c r="O40" s="5"/>
      <c r="P40" s="88"/>
      <c r="Q40" s="95"/>
    </row>
    <row r="41" spans="4:17" s="2" customFormat="1" ht="12" customHeight="1">
      <c r="D41" s="22"/>
      <c r="E41" s="22"/>
      <c r="J41" s="5"/>
      <c r="K41" s="5"/>
      <c r="L41" s="5"/>
      <c r="M41" s="5"/>
      <c r="N41" s="5"/>
      <c r="O41" s="5"/>
      <c r="P41" s="88"/>
      <c r="Q41" s="95"/>
    </row>
    <row r="42" spans="4:17" s="2" customFormat="1" ht="12" customHeight="1">
      <c r="D42" s="22"/>
      <c r="E42" s="22"/>
      <c r="J42" s="5"/>
      <c r="K42" s="5"/>
      <c r="L42" s="5"/>
      <c r="M42" s="5"/>
      <c r="N42" s="5"/>
      <c r="O42" s="5"/>
      <c r="P42" s="88"/>
      <c r="Q42" s="95"/>
    </row>
    <row r="43" spans="4:17" s="2" customFormat="1" ht="12" customHeight="1">
      <c r="D43" s="22"/>
      <c r="E43" s="22"/>
      <c r="J43" s="5"/>
      <c r="K43" s="5"/>
      <c r="L43" s="5"/>
      <c r="M43" s="5"/>
      <c r="N43" s="5"/>
      <c r="O43" s="5"/>
      <c r="P43" s="88"/>
      <c r="Q43" s="95"/>
    </row>
    <row r="44" spans="4:17" s="2" customFormat="1" ht="12" customHeight="1">
      <c r="D44" s="22"/>
      <c r="E44" s="22"/>
      <c r="J44" s="5"/>
      <c r="K44" s="5"/>
      <c r="L44" s="5"/>
      <c r="M44" s="5"/>
      <c r="N44" s="5"/>
      <c r="O44" s="5"/>
      <c r="P44" s="88"/>
      <c r="Q44" s="95"/>
    </row>
    <row r="45" spans="4:17" s="2" customFormat="1" ht="12" customHeight="1">
      <c r="D45" s="22"/>
      <c r="E45" s="22"/>
      <c r="J45" s="5"/>
      <c r="K45" s="5"/>
      <c r="L45" s="5"/>
      <c r="M45" s="5"/>
      <c r="N45" s="5"/>
      <c r="O45" s="5"/>
      <c r="P45" s="88"/>
      <c r="Q45" s="95"/>
    </row>
    <row r="46" spans="4:17" s="2" customFormat="1" ht="12" customHeight="1">
      <c r="D46" s="22"/>
      <c r="E46" s="22"/>
      <c r="J46" s="5"/>
      <c r="K46" s="5"/>
      <c r="L46" s="5"/>
      <c r="M46" s="5"/>
      <c r="N46" s="5"/>
      <c r="O46" s="5"/>
      <c r="P46" s="88"/>
      <c r="Q46" s="95"/>
    </row>
    <row r="47" spans="4:17" s="2" customFormat="1" ht="12" customHeight="1">
      <c r="D47" s="22"/>
      <c r="E47" s="22"/>
      <c r="J47" s="5"/>
      <c r="K47" s="5"/>
      <c r="L47" s="5"/>
      <c r="M47" s="5"/>
      <c r="N47" s="5"/>
      <c r="O47" s="5"/>
      <c r="P47" s="88"/>
      <c r="Q47" s="95"/>
    </row>
    <row r="48" spans="4:17" s="2" customFormat="1" ht="12" customHeight="1">
      <c r="D48" s="22"/>
      <c r="E48" s="22"/>
      <c r="J48" s="5"/>
      <c r="K48" s="5"/>
      <c r="L48" s="5"/>
      <c r="M48" s="5"/>
      <c r="N48" s="5"/>
      <c r="O48" s="5"/>
      <c r="P48" s="88"/>
      <c r="Q48" s="95"/>
    </row>
    <row r="49" spans="1:17" s="2" customFormat="1" ht="12" customHeight="1">
      <c r="D49" s="22"/>
      <c r="E49" s="22"/>
      <c r="J49" s="5"/>
      <c r="K49" s="5"/>
      <c r="L49" s="5"/>
      <c r="M49" s="5"/>
      <c r="N49" s="5"/>
      <c r="O49" s="5"/>
      <c r="P49" s="88"/>
      <c r="Q49" s="95"/>
    </row>
    <row r="50" spans="1:17" s="2" customFormat="1" ht="12" customHeight="1">
      <c r="D50" s="22"/>
      <c r="E50" s="22"/>
      <c r="J50" s="5"/>
      <c r="K50" s="5"/>
      <c r="L50" s="5"/>
      <c r="M50" s="5"/>
      <c r="N50" s="5"/>
      <c r="O50" s="5"/>
      <c r="P50" s="88"/>
      <c r="Q50" s="95"/>
    </row>
    <row r="51" spans="1:17" s="2" customFormat="1" ht="12" customHeight="1">
      <c r="D51" s="22"/>
      <c r="E51" s="22"/>
      <c r="J51" s="5"/>
      <c r="K51" s="5"/>
      <c r="L51" s="5"/>
      <c r="M51" s="5"/>
      <c r="N51" s="5"/>
      <c r="O51" s="5"/>
      <c r="P51" s="88"/>
      <c r="Q51" s="95"/>
    </row>
    <row r="52" spans="1:17" s="2" customFormat="1" ht="12" customHeight="1">
      <c r="D52" s="22"/>
      <c r="E52" s="22"/>
      <c r="J52" s="5"/>
      <c r="K52" s="5"/>
      <c r="L52" s="5"/>
      <c r="M52" s="5"/>
      <c r="N52" s="5"/>
      <c r="O52" s="5"/>
      <c r="P52" s="88"/>
      <c r="Q52" s="95"/>
    </row>
    <row r="53" spans="1:17" s="2" customFormat="1" ht="12" customHeight="1">
      <c r="D53" s="22"/>
      <c r="E53" s="22"/>
      <c r="J53" s="5"/>
      <c r="K53" s="5"/>
      <c r="L53" s="5"/>
      <c r="M53" s="5"/>
      <c r="N53" s="5"/>
      <c r="O53" s="5"/>
      <c r="P53" s="88"/>
      <c r="Q53" s="95"/>
    </row>
    <row r="54" spans="1:17" s="2" customFormat="1" ht="12" customHeight="1">
      <c r="D54" s="22"/>
      <c r="E54" s="22"/>
      <c r="J54" s="5"/>
      <c r="K54" s="5"/>
      <c r="L54" s="5"/>
      <c r="M54" s="5"/>
      <c r="N54" s="5"/>
      <c r="O54" s="5"/>
      <c r="P54" s="88"/>
      <c r="Q54" s="95"/>
    </row>
    <row r="55" spans="1:17" s="2" customFormat="1" ht="12" customHeight="1">
      <c r="D55" s="22"/>
      <c r="E55" s="22"/>
      <c r="J55" s="5"/>
      <c r="K55" s="5"/>
      <c r="L55" s="5"/>
      <c r="M55" s="5"/>
      <c r="N55" s="5"/>
      <c r="O55" s="5"/>
      <c r="P55" s="88"/>
      <c r="Q55" s="95"/>
    </row>
    <row r="56" spans="1:17" s="2" customFormat="1" ht="12" customHeight="1">
      <c r="D56" s="22"/>
      <c r="E56" s="22"/>
      <c r="J56" s="5"/>
      <c r="K56" s="5"/>
      <c r="L56" s="5"/>
      <c r="M56" s="5"/>
      <c r="N56" s="5"/>
      <c r="O56" s="5"/>
      <c r="P56" s="88"/>
      <c r="Q56" s="96"/>
    </row>
    <row r="57" spans="1:17" s="2" customFormat="1" ht="12" customHeight="1">
      <c r="D57" s="22"/>
      <c r="E57" s="22"/>
      <c r="J57" s="5"/>
      <c r="K57" s="5"/>
      <c r="L57" s="5"/>
      <c r="M57" s="5"/>
      <c r="N57" s="5"/>
      <c r="O57" s="5"/>
      <c r="P57" s="88"/>
      <c r="Q57" s="96"/>
    </row>
    <row r="58" spans="1:17" s="2" customFormat="1" ht="12" customHeight="1">
      <c r="D58" s="22"/>
      <c r="E58" s="22"/>
      <c r="J58" s="5"/>
      <c r="K58" s="5"/>
      <c r="L58" s="5"/>
      <c r="M58" s="5"/>
      <c r="N58" s="5"/>
      <c r="O58" s="5"/>
      <c r="P58" s="88"/>
      <c r="Q58" s="96"/>
    </row>
    <row r="59" spans="1:17" s="2" customFormat="1" ht="12" customHeight="1">
      <c r="D59" s="22"/>
      <c r="E59" s="22"/>
      <c r="J59" s="5"/>
      <c r="K59" s="5"/>
      <c r="L59" s="5"/>
      <c r="M59" s="5"/>
      <c r="N59" s="5"/>
      <c r="O59" s="5"/>
      <c r="P59" s="88"/>
      <c r="Q59" s="96"/>
    </row>
    <row r="60" spans="1:17" s="2" customFormat="1" ht="12" customHeight="1">
      <c r="A60"/>
      <c r="B60"/>
      <c r="C60"/>
      <c r="D60" s="23"/>
      <c r="E60" s="23"/>
      <c r="F60"/>
      <c r="G60"/>
      <c r="H60"/>
      <c r="I60"/>
      <c r="J60" s="19"/>
      <c r="K60" s="19"/>
      <c r="L60" s="19"/>
      <c r="M60" s="19"/>
      <c r="N60" s="19"/>
      <c r="O60" s="19"/>
      <c r="P60" s="90"/>
      <c r="Q60" s="96"/>
    </row>
    <row r="61" spans="1:17" s="2" customFormat="1" ht="12" customHeight="1">
      <c r="A61"/>
      <c r="B61"/>
      <c r="C61"/>
      <c r="D61" s="23"/>
      <c r="E61" s="23"/>
      <c r="F61"/>
      <c r="G61"/>
      <c r="H61"/>
      <c r="I61"/>
      <c r="J61" s="19"/>
      <c r="K61" s="19"/>
      <c r="L61" s="19"/>
      <c r="M61" s="19"/>
      <c r="N61" s="19"/>
      <c r="O61" s="19"/>
      <c r="P61" s="90"/>
      <c r="Q61" s="96"/>
    </row>
    <row r="62" spans="1:17" s="2" customFormat="1" ht="12" customHeight="1">
      <c r="A62"/>
      <c r="B62"/>
      <c r="C62"/>
      <c r="D62" s="23"/>
      <c r="E62" s="23"/>
      <c r="F62"/>
      <c r="G62"/>
      <c r="H62"/>
      <c r="I62"/>
      <c r="J62" s="19"/>
      <c r="K62" s="19"/>
      <c r="L62" s="19"/>
      <c r="M62" s="19"/>
      <c r="N62" s="19"/>
      <c r="O62" s="19"/>
      <c r="P62" s="90"/>
      <c r="Q62" s="96"/>
    </row>
    <row r="63" spans="1:17" s="2" customFormat="1" ht="12" customHeight="1">
      <c r="A63"/>
      <c r="B63"/>
      <c r="C63"/>
      <c r="D63" s="23"/>
      <c r="E63" s="23"/>
      <c r="F63"/>
      <c r="G63"/>
      <c r="H63"/>
      <c r="I63"/>
      <c r="J63" s="19"/>
      <c r="K63" s="19"/>
      <c r="L63" s="19"/>
      <c r="M63" s="19"/>
      <c r="N63" s="19"/>
      <c r="O63" s="19"/>
      <c r="P63" s="90"/>
      <c r="Q63" s="96"/>
    </row>
    <row r="64" spans="1:17" s="2" customFormat="1" ht="12" customHeight="1">
      <c r="A64"/>
      <c r="B64"/>
      <c r="C64"/>
      <c r="D64" s="23"/>
      <c r="E64" s="23"/>
      <c r="F64"/>
      <c r="G64"/>
      <c r="H64"/>
      <c r="I64"/>
      <c r="J64" s="19"/>
      <c r="K64" s="19"/>
      <c r="L64" s="19"/>
      <c r="M64" s="19"/>
      <c r="N64" s="19"/>
      <c r="O64" s="19"/>
      <c r="P64" s="90"/>
      <c r="Q64" s="96"/>
    </row>
    <row r="65" spans="17:17">
      <c r="Q65" s="96"/>
    </row>
    <row r="66" spans="17:17">
      <c r="Q66" s="96"/>
    </row>
    <row r="67" spans="17:17">
      <c r="Q67" s="96"/>
    </row>
    <row r="68" spans="17:17">
      <c r="Q68" s="96"/>
    </row>
    <row r="69" spans="17:17">
      <c r="Q69" s="96"/>
    </row>
    <row r="70" spans="17:17">
      <c r="Q70" s="96"/>
    </row>
    <row r="71" spans="17:17">
      <c r="Q71" s="96"/>
    </row>
    <row r="72" spans="17:17">
      <c r="Q72" s="96"/>
    </row>
    <row r="73" spans="17:17">
      <c r="Q73" s="96"/>
    </row>
    <row r="74" spans="17:17">
      <c r="Q74" s="96"/>
    </row>
    <row r="75" spans="17:17">
      <c r="Q75" s="96"/>
    </row>
    <row r="76" spans="17:17">
      <c r="Q76" s="96"/>
    </row>
    <row r="77" spans="17:17">
      <c r="Q77" s="96"/>
    </row>
    <row r="78" spans="17:17">
      <c r="Q78" s="96"/>
    </row>
    <row r="79" spans="17:17">
      <c r="Q79" s="96"/>
    </row>
    <row r="80" spans="17:17">
      <c r="Q80" s="96"/>
    </row>
    <row r="81" spans="17:17">
      <c r="Q81" s="96"/>
    </row>
    <row r="82" spans="17:17">
      <c r="Q82" s="96"/>
    </row>
    <row r="83" spans="17:17">
      <c r="Q83" s="96"/>
    </row>
    <row r="84" spans="17:17">
      <c r="Q84" s="96"/>
    </row>
    <row r="121" ht="12" customHeight="1"/>
    <row r="122" ht="12" customHeight="1"/>
    <row r="123" ht="12" customHeight="1"/>
    <row r="124" ht="12" customHeight="1"/>
    <row r="125" ht="12" customHeight="1"/>
    <row r="126" ht="12" customHeight="1"/>
    <row r="127" ht="12" customHeight="1"/>
    <row r="128" ht="12" customHeight="1"/>
    <row r="129" ht="12" customHeight="1"/>
    <row r="130" ht="12" customHeight="1"/>
    <row r="131" ht="12" customHeight="1"/>
    <row r="132" ht="12" customHeight="1"/>
    <row r="133" ht="12" customHeight="1"/>
    <row r="134" ht="12" customHeight="1"/>
    <row r="135" ht="12" customHeight="1"/>
    <row r="136" ht="12" customHeight="1"/>
    <row r="137" ht="12" customHeight="1"/>
    <row r="138" ht="12" customHeight="1"/>
    <row r="139" ht="12" customHeight="1"/>
    <row r="140" ht="12" customHeight="1"/>
    <row r="141" ht="12" customHeight="1"/>
    <row r="142" ht="12" customHeight="1"/>
    <row r="143" ht="12" customHeight="1"/>
    <row r="144" ht="12" customHeight="1"/>
    <row r="145" ht="12" customHeight="1"/>
    <row r="146" ht="12" customHeight="1"/>
    <row r="147" ht="12" customHeight="1"/>
    <row r="148" ht="12" customHeight="1"/>
    <row r="149" ht="12" customHeight="1"/>
    <row r="150" ht="12" customHeight="1"/>
    <row r="151" ht="12" customHeight="1"/>
    <row r="152" ht="12" customHeight="1"/>
    <row r="153" ht="12" customHeight="1"/>
    <row r="154" ht="12" customHeight="1"/>
    <row r="155" ht="12" customHeight="1"/>
    <row r="156" ht="12" customHeight="1"/>
    <row r="157" ht="12" customHeight="1"/>
    <row r="158" ht="12" customHeight="1"/>
    <row r="159" ht="12" customHeight="1"/>
    <row r="160" ht="12" customHeight="1"/>
    <row r="161" ht="12" customHeight="1"/>
    <row r="162" ht="12" customHeight="1"/>
    <row r="163" ht="12" customHeight="1"/>
    <row r="164" ht="12" customHeight="1"/>
    <row r="165" ht="12" customHeight="1"/>
    <row r="166" ht="12" customHeight="1"/>
    <row r="167" ht="12" customHeight="1"/>
    <row r="168" ht="12" customHeight="1"/>
    <row r="169" ht="12" customHeight="1"/>
    <row r="170" ht="12" customHeight="1"/>
  </sheetData>
  <mergeCells count="20">
    <mergeCell ref="D6:E6"/>
    <mergeCell ref="D5:E5"/>
    <mergeCell ref="H5:I5"/>
    <mergeCell ref="D1:E1"/>
    <mergeCell ref="D4:E4"/>
    <mergeCell ref="H4:I4"/>
    <mergeCell ref="D9:E9"/>
    <mergeCell ref="D10:E10"/>
    <mergeCell ref="D11:E11"/>
    <mergeCell ref="D7:E7"/>
    <mergeCell ref="H7:I7"/>
    <mergeCell ref="D8:E8"/>
    <mergeCell ref="D17:E17"/>
    <mergeCell ref="H17:I17"/>
    <mergeCell ref="D13:E13"/>
    <mergeCell ref="D12:E12"/>
    <mergeCell ref="H12:I12"/>
    <mergeCell ref="D14:E14"/>
    <mergeCell ref="D15:E15"/>
    <mergeCell ref="D16:E16"/>
  </mergeCells>
  <conditionalFormatting sqref="M6 M8:M11 M13:M16">
    <cfRule type="cellIs" dxfId="264" priority="3" stopIfTrue="1" operator="lessThanOrEqual">
      <formula>$L6</formula>
    </cfRule>
    <cfRule type="cellIs" dxfId="263" priority="4" operator="greaterThan">
      <formula>L6</formula>
    </cfRule>
  </conditionalFormatting>
  <pageMargins left="0.7" right="0.7" top="0.75" bottom="0.75" header="0.3" footer="0.3"/>
  <pageSetup paperSize="3" fitToHeight="0" orientation="landscape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CDAFE2E-8A77-4E90-8083-B2E3CE09D187}">
          <x14:formula1>
            <xm:f>Bolts!$A:$A</xm:f>
          </x14:formula1>
          <xm:sqref>C13:C16</xm:sqref>
        </x14:dataValidation>
        <x14:dataValidation type="list" allowBlank="1" showInputMessage="1" showErrorMessage="1" xr:uid="{24129F6B-6D50-42D6-BB4D-79569A2C2E2A}">
          <x14:formula1>
            <xm:f>Purchased!$A:$A</xm:f>
          </x14:formula1>
          <xm:sqref>C8:C11</xm:sqref>
        </x14:dataValidation>
        <x14:dataValidation type="list" allowBlank="1" showInputMessage="1" showErrorMessage="1" xr:uid="{750FED23-A1E5-4380-8D24-53387477C306}">
          <x14:formula1>
            <xm:f>Machined!$C:$C</xm:f>
          </x14:formula1>
          <xm:sqref>C6</xm:sqref>
        </x14:dataValidation>
      </x14:dataValidations>
    </ext>
  </extLst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ED77A-D8BD-4E31-9C35-A63D24F8FA38}">
  <sheetPr codeName="Sheet153">
    <tabColor theme="3" tint="0.79998168889431442"/>
    <pageSetUpPr fitToPage="1"/>
  </sheetPr>
  <dimension ref="A1:R168"/>
  <sheetViews>
    <sheetView zoomScaleNormal="100" workbookViewId="0">
      <selection activeCell="E21" sqref="E21"/>
    </sheetView>
  </sheetViews>
  <sheetFormatPr defaultColWidth="9.140625" defaultRowHeight="15"/>
  <cols>
    <col min="1" max="1" width="5.7109375" customWidth="1"/>
    <col min="2" max="2" width="5.42578125" bestFit="1" customWidth="1"/>
    <col min="3" max="3" width="30.7109375" customWidth="1"/>
    <col min="4" max="5" width="20.7109375" style="23" customWidth="1"/>
    <col min="6" max="6" width="16.85546875" bestFit="1" customWidth="1"/>
    <col min="7" max="7" width="9.7109375" customWidth="1"/>
    <col min="8" max="8" width="8.7109375" customWidth="1"/>
    <col min="9" max="9" width="20.7109375" customWidth="1"/>
    <col min="10" max="13" width="11.7109375" style="19" customWidth="1"/>
    <col min="14" max="14" width="11.85546875" style="19" bestFit="1" customWidth="1"/>
    <col min="15" max="15" width="7.7109375" style="19" customWidth="1"/>
    <col min="16" max="16" width="10.7109375" style="90" customWidth="1"/>
    <col min="17" max="17" width="10.7109375" style="97" customWidth="1"/>
  </cols>
  <sheetData>
    <row r="1" spans="1:18" s="55" customFormat="1" ht="12" customHeight="1">
      <c r="A1" s="68" t="s">
        <v>0</v>
      </c>
      <c r="B1" s="69"/>
      <c r="C1" s="69"/>
      <c r="D1" s="262" t="s">
        <v>1</v>
      </c>
      <c r="E1" s="263"/>
      <c r="F1" s="70"/>
      <c r="G1" s="69"/>
      <c r="H1" s="70"/>
      <c r="I1" s="71"/>
      <c r="J1" s="72"/>
      <c r="K1" s="72"/>
      <c r="L1" s="72"/>
      <c r="M1" s="72"/>
      <c r="N1" s="72"/>
      <c r="O1" s="72"/>
      <c r="P1" s="85"/>
      <c r="Q1" s="91"/>
    </row>
    <row r="2" spans="1:18" s="55" customFormat="1" ht="12" customHeight="1">
      <c r="A2" s="74" t="s">
        <v>48</v>
      </c>
      <c r="B2" s="58"/>
      <c r="C2" s="57" t="e">
        <f ca="1">VLOOKUP(E3,Assemblies!B:F,4,0)</f>
        <v>#VALUE!</v>
      </c>
      <c r="D2" s="75" t="s">
        <v>3</v>
      </c>
      <c r="E2" s="76" t="e">
        <f ca="1">'GF12'!E2</f>
        <v>#VALUE!</v>
      </c>
      <c r="F2" s="77" t="s">
        <v>4</v>
      </c>
      <c r="G2" s="58" t="str">
        <f>'GF12'!G2</f>
        <v>GH</v>
      </c>
      <c r="H2" s="77" t="s">
        <v>6</v>
      </c>
      <c r="I2" s="59">
        <f>'GF12'!I2</f>
        <v>44775</v>
      </c>
      <c r="J2" s="39"/>
      <c r="K2" s="40" t="s">
        <v>49</v>
      </c>
      <c r="L2" s="41" t="e">
        <f ca="1">VLOOKUP(C2,Assemblies!E:G,3,0)</f>
        <v>#VALUE!</v>
      </c>
      <c r="M2" s="78"/>
      <c r="N2" s="78"/>
      <c r="O2" s="78"/>
      <c r="P2" s="86"/>
      <c r="Q2" s="92"/>
    </row>
    <row r="3" spans="1:18" s="55" customFormat="1" ht="12" customHeight="1" thickBot="1">
      <c r="A3" s="74" t="s">
        <v>7</v>
      </c>
      <c r="B3" s="58"/>
      <c r="C3" s="57" t="e">
        <f ca="1">VLOOKUP(E3,Assemblies!B:F,5,0)</f>
        <v>#VALUE!</v>
      </c>
      <c r="D3" s="75" t="s">
        <v>50</v>
      </c>
      <c r="E3" s="76" t="e">
        <f ca="1">MID(CELL("filename",A1),FIND("]",CELL("filename",A1))+1,256)</f>
        <v>#VALUE!</v>
      </c>
      <c r="F3" s="77" t="s">
        <v>11</v>
      </c>
      <c r="G3" s="58" t="str">
        <f>'GF12'!G3</f>
        <v>GH</v>
      </c>
      <c r="H3" s="77" t="s">
        <v>6</v>
      </c>
      <c r="I3" s="59">
        <f>'GF12'!I3</f>
        <v>44775</v>
      </c>
      <c r="J3" s="78"/>
      <c r="K3" s="78"/>
      <c r="L3" s="78"/>
      <c r="M3" s="78"/>
      <c r="N3" s="78"/>
      <c r="O3" s="78"/>
      <c r="P3" s="86"/>
      <c r="Q3" s="92"/>
    </row>
    <row r="4" spans="1:18" s="56" customFormat="1" ht="12.75" customHeight="1" thickBot="1">
      <c r="A4" s="80" t="s">
        <v>12</v>
      </c>
      <c r="B4" s="81" t="s">
        <v>13</v>
      </c>
      <c r="C4" s="81" t="s">
        <v>14</v>
      </c>
      <c r="D4" s="270" t="s">
        <v>15</v>
      </c>
      <c r="E4" s="271"/>
      <c r="F4" s="104" t="s">
        <v>16</v>
      </c>
      <c r="G4" s="81" t="s">
        <v>17</v>
      </c>
      <c r="H4" s="260" t="s">
        <v>18</v>
      </c>
      <c r="I4" s="261"/>
      <c r="J4" s="81" t="s">
        <v>51</v>
      </c>
      <c r="K4" s="81" t="s">
        <v>20</v>
      </c>
      <c r="L4" s="81" t="s">
        <v>21</v>
      </c>
      <c r="M4" s="81" t="s">
        <v>52</v>
      </c>
      <c r="N4" s="81" t="s">
        <v>22</v>
      </c>
      <c r="O4" s="81" t="s">
        <v>53</v>
      </c>
      <c r="P4" s="107" t="s">
        <v>26</v>
      </c>
      <c r="Q4" s="82" t="s">
        <v>27</v>
      </c>
    </row>
    <row r="5" spans="1:18" s="21" customFormat="1" ht="12.75" customHeight="1">
      <c r="A5" s="25"/>
      <c r="B5" s="26"/>
      <c r="C5" s="26"/>
      <c r="D5" s="272"/>
      <c r="E5" s="273"/>
      <c r="F5" s="26"/>
      <c r="G5" s="26"/>
      <c r="H5" s="274"/>
      <c r="I5" s="275"/>
      <c r="J5" s="27"/>
      <c r="K5" s="27"/>
      <c r="L5" s="27"/>
      <c r="M5" s="28"/>
      <c r="N5" s="29"/>
      <c r="O5" s="29"/>
      <c r="P5" s="141"/>
      <c r="Q5" s="142"/>
      <c r="R5" s="20"/>
    </row>
    <row r="6" spans="1:18" s="2" customFormat="1" ht="12.75" customHeight="1">
      <c r="A6" s="127">
        <v>1</v>
      </c>
      <c r="B6" s="21">
        <v>2</v>
      </c>
      <c r="C6" s="108" t="s">
        <v>1168</v>
      </c>
      <c r="D6" s="277" t="str">
        <f>VLOOKUP(C6,Machined!C:Q,2,0)</f>
        <v>CROSS SEAL TEFLON ROLL SHAFT</v>
      </c>
      <c r="E6" s="278"/>
      <c r="F6" s="131">
        <f>VLOOKUP(C6,Machined!C:Q,6,0)</f>
        <v>0</v>
      </c>
      <c r="G6" s="131" t="str">
        <f>VLOOKUP(C6,Machined!C:Q,8,0)</f>
        <v>None</v>
      </c>
      <c r="H6" s="131" t="str">
        <f>VLOOKUP(C6,Machined!C:Q,9,0)</f>
        <v>N/A</v>
      </c>
      <c r="I6" s="131"/>
      <c r="J6" s="42" t="str">
        <f>VLOOKUP(C6,Machined!C:Q,10,0)</f>
        <v>ALEXANDRIA, NULINE</v>
      </c>
      <c r="K6" s="42">
        <f>VLOOKUP(C6,Machined!C:Q,11,0)</f>
        <v>0</v>
      </c>
      <c r="L6" s="42" t="str">
        <f>VLOOKUP(C6,Machined!C:Q,12,0)</f>
        <v>N/A</v>
      </c>
      <c r="M6" s="42" t="str">
        <f>VLOOKUP(C6,Machined!C:Q,13,0)</f>
        <v>N/A</v>
      </c>
      <c r="N6" s="43" t="str">
        <f>VLOOKUP(C6,Machined!C:Q,14,0)</f>
        <v>N/A</v>
      </c>
      <c r="O6" s="43" t="e">
        <f t="shared" ref="O6" ca="1" si="0">B6*$L$2</f>
        <v>#VALUE!</v>
      </c>
      <c r="P6" s="47">
        <f>IFERROR(VLOOKUP(C6,Machined!C:F,3,0),"")</f>
        <v>0</v>
      </c>
      <c r="Q6" s="48">
        <f t="shared" ref="Q6" si="1">IFERROR(B6*P6,"")</f>
        <v>0</v>
      </c>
    </row>
    <row r="7" spans="1:18" s="2" customFormat="1" ht="12.75" customHeight="1">
      <c r="A7" s="127">
        <f>A6+1</f>
        <v>2</v>
      </c>
      <c r="B7" s="21">
        <v>4</v>
      </c>
      <c r="C7" s="108" t="s">
        <v>1093</v>
      </c>
      <c r="D7" s="277" t="str">
        <f>VLOOKUP(C7,Machined!C:Q,2,0)</f>
        <v>TEFLON ROLL CLAMP</v>
      </c>
      <c r="E7" s="278"/>
      <c r="F7" s="131">
        <f>VLOOKUP(C7,Machined!C:Q,6,0)</f>
        <v>32</v>
      </c>
      <c r="G7" s="131" t="str">
        <f>VLOOKUP(C7,Machined!C:Q,8,0)</f>
        <v>Clear Zinc</v>
      </c>
      <c r="H7" s="131" t="str">
        <f>VLOOKUP(C7,Machined!C:Q,9,0)</f>
        <v>NO</v>
      </c>
      <c r="I7" s="131"/>
      <c r="J7" s="42" t="str">
        <f>VLOOKUP(C7,Machined!C:Q,10,0)</f>
        <v>FRONTIER</v>
      </c>
      <c r="K7" s="42">
        <f>VLOOKUP(C7,Machined!C:Q,11,0)</f>
        <v>0</v>
      </c>
      <c r="L7" s="42">
        <f>VLOOKUP(C7,Machined!C:Q,12,0)</f>
        <v>45209</v>
      </c>
      <c r="M7" s="42">
        <f>VLOOKUP(C7,Machined!C:Q,13,0)</f>
        <v>45210</v>
      </c>
      <c r="N7" s="43">
        <f>VLOOKUP(C7,Machined!C:Q,14,0)</f>
        <v>45216</v>
      </c>
      <c r="O7" s="43" t="e">
        <f t="shared" ref="O7:O8" ca="1" si="2">B7*$L$2</f>
        <v>#VALUE!</v>
      </c>
      <c r="P7" s="47">
        <f>IFERROR(VLOOKUP(C7,Machined!C:F,3,0),"")</f>
        <v>0</v>
      </c>
      <c r="Q7" s="48">
        <f t="shared" ref="Q7:Q8" si="3">IFERROR(B7*P7,"")</f>
        <v>0</v>
      </c>
    </row>
    <row r="8" spans="1:18" s="2" customFormat="1" ht="12.75" customHeight="1">
      <c r="A8" s="127">
        <f>A7+1</f>
        <v>3</v>
      </c>
      <c r="B8" s="21">
        <v>4</v>
      </c>
      <c r="C8" s="108" t="s">
        <v>1094</v>
      </c>
      <c r="D8" s="277" t="str">
        <f>VLOOKUP(C8,Machined!C:Q,2,0)</f>
        <v>TEFLON ROLL BRACKET</v>
      </c>
      <c r="E8" s="278"/>
      <c r="F8" s="131">
        <f>VLOOKUP(C8,Machined!C:Q,6,0)</f>
        <v>32</v>
      </c>
      <c r="G8" s="131" t="str">
        <f>VLOOKUP(C8,Machined!C:Q,8,0)</f>
        <v>Clear Zinc</v>
      </c>
      <c r="H8" s="131" t="str">
        <f>VLOOKUP(C8,Machined!C:Q,9,0)</f>
        <v>NO</v>
      </c>
      <c r="I8" s="131"/>
      <c r="J8" s="42" t="str">
        <f>VLOOKUP(C8,Machined!C:Q,10,0)</f>
        <v>FRONTIER</v>
      </c>
      <c r="K8" s="42">
        <f>VLOOKUP(C8,Machined!C:Q,11,0)</f>
        <v>0</v>
      </c>
      <c r="L8" s="42">
        <f>VLOOKUP(C8,Machined!C:Q,12,0)</f>
        <v>45209</v>
      </c>
      <c r="M8" s="42">
        <f>VLOOKUP(C8,Machined!C:Q,13,0)</f>
        <v>45210</v>
      </c>
      <c r="N8" s="43">
        <f>VLOOKUP(C8,Machined!C:Q,14,0)</f>
        <v>45216</v>
      </c>
      <c r="O8" s="43" t="e">
        <f t="shared" ca="1" si="2"/>
        <v>#VALUE!</v>
      </c>
      <c r="P8" s="47">
        <f>IFERROR(VLOOKUP(C8,Machined!C:F,3,0),"")</f>
        <v>0</v>
      </c>
      <c r="Q8" s="48">
        <f t="shared" si="3"/>
        <v>0</v>
      </c>
    </row>
    <row r="9" spans="1:18" s="2" customFormat="1" ht="12.75" customHeight="1">
      <c r="A9" s="143"/>
      <c r="B9" s="26"/>
      <c r="C9" s="26"/>
      <c r="D9" s="272"/>
      <c r="E9" s="273"/>
      <c r="F9" s="26"/>
      <c r="G9" s="26"/>
      <c r="H9" s="274"/>
      <c r="I9" s="275"/>
      <c r="J9" s="27"/>
      <c r="K9" s="27"/>
      <c r="L9" s="27"/>
      <c r="M9" s="28"/>
      <c r="N9" s="29"/>
      <c r="O9" s="29"/>
      <c r="P9" s="141"/>
      <c r="Q9" s="142"/>
    </row>
    <row r="10" spans="1:18" s="2" customFormat="1" ht="12" customHeight="1">
      <c r="A10" s="4">
        <v>301</v>
      </c>
      <c r="B10" s="2">
        <v>4</v>
      </c>
      <c r="C10" s="114" t="s">
        <v>1095</v>
      </c>
      <c r="D10" s="268" t="str">
        <f>VLOOKUP(C10,Purchased!A:B,2,0)</f>
        <v>Clamping Shaft Collar for 3/4" Diameter, Zinc-Plated 1215 Carbon Steel</v>
      </c>
      <c r="E10" s="269"/>
      <c r="F10" s="112" t="str">
        <f>VLOOKUP(C10,Purchased!A:Q,9,0)</f>
        <v>MCM</v>
      </c>
      <c r="G10" s="112" t="str">
        <f>VLOOKUP(C10,Purchased!A:Q,10,0)</f>
        <v>MCM</v>
      </c>
      <c r="H10" s="112">
        <f>VLOOKUP(C10,Purchased!A:Q,12,0)</f>
        <v>0</v>
      </c>
      <c r="I10" s="113"/>
      <c r="J10" s="44" t="str">
        <f>VLOOKUP(C10,Purchased!A:Q,13,0)</f>
        <v>N/A</v>
      </c>
      <c r="K10" s="44">
        <f>VLOOKUP(C10,Purchased!A:Q,14,0)</f>
        <v>45216</v>
      </c>
      <c r="L10" s="44">
        <f>VLOOKUP(C10,Purchased!A:Q,15,0)</f>
        <v>45217</v>
      </c>
      <c r="M10" s="44">
        <f>VLOOKUP(C10,Purchased!A:Q,16,0)</f>
        <v>45217</v>
      </c>
      <c r="N10" s="45">
        <f>VLOOKUP(C10,Purchased!A:Q,17,0)</f>
        <v>55215</v>
      </c>
      <c r="O10" s="45" t="e">
        <f t="shared" ref="O10:O12" ca="1" si="4">B10*$L$2</f>
        <v>#VALUE!</v>
      </c>
      <c r="P10" s="49">
        <f>IFERROR(VLOOKUP(C10,Purchased!A:E,3,FALSE),"")</f>
        <v>7.99</v>
      </c>
      <c r="Q10" s="50">
        <f t="shared" ref="Q10" si="5">IFERROR(B10*P10,"")</f>
        <v>31.96</v>
      </c>
    </row>
    <row r="11" spans="1:18" s="2" customFormat="1" ht="12.75" customHeight="1">
      <c r="A11" s="25"/>
      <c r="B11" s="26"/>
      <c r="C11" s="26"/>
      <c r="D11" s="272"/>
      <c r="E11" s="273"/>
      <c r="F11" s="26"/>
      <c r="G11" s="26"/>
      <c r="H11" s="274"/>
      <c r="I11" s="275"/>
      <c r="J11" s="27"/>
      <c r="K11" s="27"/>
      <c r="L11" s="27"/>
      <c r="M11" s="28"/>
      <c r="N11" s="29"/>
      <c r="O11" s="29" t="e">
        <f t="shared" ca="1" si="4"/>
        <v>#VALUE!</v>
      </c>
      <c r="P11" s="141"/>
      <c r="Q11" s="142"/>
    </row>
    <row r="12" spans="1:18" s="2" customFormat="1" ht="12.75" customHeight="1">
      <c r="A12" s="4">
        <v>501</v>
      </c>
      <c r="B12" s="2">
        <v>16</v>
      </c>
      <c r="C12" s="110" t="s">
        <v>828</v>
      </c>
      <c r="D12" s="268"/>
      <c r="E12" s="276"/>
      <c r="F12" s="112" t="str">
        <f>VLOOKUP(C12,Bolts!A:L,5,0)</f>
        <v xml:space="preserve">  </v>
      </c>
      <c r="G12" s="112" t="str">
        <f>VLOOKUP(C12,Bolts!A:L,6,0)</f>
        <v>Monroe Fasteners</v>
      </c>
      <c r="H12" s="112" t="str">
        <f>VLOOKUP(C12,Bolts!A:L,7,0)</f>
        <v xml:space="preserve">  </v>
      </c>
      <c r="I12" s="112"/>
      <c r="J12" s="44" t="str">
        <f>VLOOKUP(C12,Bolts!A:L,8,0)</f>
        <v xml:space="preserve"> </v>
      </c>
      <c r="K12" s="44" t="str">
        <f>VLOOKUP(C12,Bolts!A:L,9,0)</f>
        <v xml:space="preserve"> </v>
      </c>
      <c r="L12" s="44" t="str">
        <f>VLOOKUP(C12,Bolts!A:L,10,0)</f>
        <v xml:space="preserve"> </v>
      </c>
      <c r="M12" s="44" t="str">
        <f>VLOOKUP(C12,Bolts!A:L,11,0)</f>
        <v xml:space="preserve"> </v>
      </c>
      <c r="N12" s="45" t="str">
        <f>VLOOKUP(C12,Bolts!A:L,12,0)</f>
        <v xml:space="preserve"> </v>
      </c>
      <c r="O12" s="45" t="e">
        <f t="shared" ca="1" si="4"/>
        <v>#VALUE!</v>
      </c>
      <c r="P12" s="49" t="str">
        <f>IFERROR(VLOOKUP(C12,Bolts!A:B,2,FALSE),"")</f>
        <v xml:space="preserve"> </v>
      </c>
      <c r="Q12" s="50" t="str">
        <f t="shared" ref="Q12" si="6">IFERROR(B12*P12,"")</f>
        <v/>
      </c>
    </row>
    <row r="13" spans="1:18" s="2" customFormat="1" ht="12.75" customHeight="1">
      <c r="A13" s="4">
        <v>502</v>
      </c>
      <c r="B13" s="2">
        <v>4</v>
      </c>
      <c r="C13" s="110" t="s">
        <v>479</v>
      </c>
      <c r="D13" s="268"/>
      <c r="E13" s="276"/>
      <c r="F13" s="112" t="str">
        <f>VLOOKUP(C13,Bolts!A:L,5,0)</f>
        <v xml:space="preserve">  </v>
      </c>
      <c r="G13" s="112" t="str">
        <f>VLOOKUP(C13,Bolts!A:L,6,0)</f>
        <v>Monroe Fasteners</v>
      </c>
      <c r="H13" s="112" t="str">
        <f>VLOOKUP(C13,Bolts!A:L,7,0)</f>
        <v xml:space="preserve">  </v>
      </c>
      <c r="I13" s="112"/>
      <c r="J13" s="44" t="str">
        <f>VLOOKUP(C13,Bolts!A:L,8,0)</f>
        <v xml:space="preserve"> </v>
      </c>
      <c r="K13" s="44" t="str">
        <f>VLOOKUP(C13,Bolts!A:L,9,0)</f>
        <v xml:space="preserve"> </v>
      </c>
      <c r="L13" s="44" t="str">
        <f>VLOOKUP(C13,Bolts!A:L,10,0)</f>
        <v xml:space="preserve"> </v>
      </c>
      <c r="M13" s="44" t="str">
        <f>VLOOKUP(C13,Bolts!A:L,11,0)</f>
        <v xml:space="preserve"> </v>
      </c>
      <c r="N13" s="45" t="str">
        <f>VLOOKUP(C13,Bolts!A:L,12,0)</f>
        <v xml:space="preserve"> </v>
      </c>
      <c r="O13" s="45" t="e">
        <f ca="1">B13*$L$2</f>
        <v>#VALUE!</v>
      </c>
      <c r="P13" s="49" t="str">
        <f>IFERROR(VLOOKUP(C13,Bolts!A:B,2,FALSE),"")</f>
        <v xml:space="preserve"> </v>
      </c>
      <c r="Q13" s="50" t="str">
        <f>IFERROR(B13*P13,"")</f>
        <v/>
      </c>
    </row>
    <row r="14" spans="1:18" s="2" customFormat="1" ht="12.75" customHeight="1" thickBot="1">
      <c r="A14" s="4">
        <v>503</v>
      </c>
      <c r="B14" s="2">
        <v>16</v>
      </c>
      <c r="C14" s="110" t="s">
        <v>595</v>
      </c>
      <c r="D14" s="268"/>
      <c r="E14" s="276"/>
      <c r="F14" s="112" t="str">
        <f>VLOOKUP(C14,Bolts!A:L,5,0)</f>
        <v xml:space="preserve">  </v>
      </c>
      <c r="G14" s="112" t="str">
        <f>VLOOKUP(C14,Bolts!A:L,6,0)</f>
        <v>Monroe Fasteners</v>
      </c>
      <c r="H14" s="112" t="str">
        <f>VLOOKUP(C14,Bolts!A:L,7,0)</f>
        <v xml:space="preserve">  </v>
      </c>
      <c r="I14" s="112"/>
      <c r="J14" s="44" t="str">
        <f>VLOOKUP(C14,Bolts!A:L,8,0)</f>
        <v xml:space="preserve"> </v>
      </c>
      <c r="K14" s="44" t="str">
        <f>VLOOKUP(C14,Bolts!A:L,9,0)</f>
        <v xml:space="preserve"> </v>
      </c>
      <c r="L14" s="44" t="str">
        <f>VLOOKUP(C14,Bolts!A:L,10,0)</f>
        <v xml:space="preserve"> </v>
      </c>
      <c r="M14" s="44" t="str">
        <f>VLOOKUP(C14,Bolts!A:L,11,0)</f>
        <v xml:space="preserve"> </v>
      </c>
      <c r="N14" s="45" t="str">
        <f>VLOOKUP(C14,Bolts!A:L,12,0)</f>
        <v xml:space="preserve"> </v>
      </c>
      <c r="O14" s="45" t="e">
        <f ca="1">B14*$L$2</f>
        <v>#VALUE!</v>
      </c>
      <c r="P14" s="49" t="str">
        <f>IFERROR(VLOOKUP(C14,Bolts!A:B,2,FALSE),"")</f>
        <v xml:space="preserve"> </v>
      </c>
      <c r="Q14" s="50" t="str">
        <f>IFERROR(B14*P14,"")</f>
        <v/>
      </c>
    </row>
    <row r="15" spans="1:18" s="2" customFormat="1" ht="12.75" customHeight="1" thickBot="1">
      <c r="A15" s="34"/>
      <c r="B15" s="35"/>
      <c r="C15" s="35"/>
      <c r="D15" s="256"/>
      <c r="E15" s="257"/>
      <c r="F15" s="35"/>
      <c r="G15" s="35"/>
      <c r="H15" s="294"/>
      <c r="I15" s="295"/>
      <c r="J15" s="36"/>
      <c r="K15" s="36"/>
      <c r="L15" s="36"/>
      <c r="M15" s="37"/>
      <c r="N15" s="38"/>
      <c r="O15" s="38"/>
      <c r="P15" s="89" t="s">
        <v>43</v>
      </c>
      <c r="Q15" s="94">
        <f>SUM(Q5:Q14)</f>
        <v>31.96</v>
      </c>
    </row>
    <row r="16" spans="1:18" s="2" customFormat="1" ht="12" customHeight="1">
      <c r="D16" s="22"/>
      <c r="E16" s="22"/>
      <c r="J16" s="8"/>
      <c r="K16" s="8"/>
      <c r="L16" s="8"/>
      <c r="M16" s="8"/>
      <c r="N16" s="5"/>
      <c r="O16" s="5"/>
      <c r="P16" s="88"/>
      <c r="Q16" s="95"/>
    </row>
    <row r="17" spans="4:17" s="2" customFormat="1" ht="12" customHeight="1">
      <c r="D17" s="22"/>
      <c r="E17" s="22"/>
      <c r="J17" s="5"/>
      <c r="K17" s="5"/>
      <c r="L17" s="5"/>
      <c r="M17" s="5"/>
      <c r="N17" s="5"/>
      <c r="O17" s="5"/>
      <c r="P17" s="88"/>
      <c r="Q17" s="95"/>
    </row>
    <row r="18" spans="4:17" s="2" customFormat="1" ht="12" customHeight="1">
      <c r="D18" s="22"/>
      <c r="E18" s="22"/>
      <c r="J18" s="5"/>
      <c r="K18" s="5"/>
      <c r="L18" s="5"/>
      <c r="M18" s="5"/>
      <c r="N18" s="5"/>
      <c r="O18" s="5"/>
      <c r="P18" s="88"/>
      <c r="Q18" s="95"/>
    </row>
    <row r="19" spans="4:17" s="2" customFormat="1" ht="12" customHeight="1">
      <c r="D19" s="22"/>
      <c r="E19" s="22"/>
      <c r="J19" s="5"/>
      <c r="K19" s="5"/>
      <c r="L19" s="5"/>
      <c r="M19" s="5"/>
      <c r="N19" s="5"/>
      <c r="O19" s="5"/>
      <c r="P19" s="88"/>
      <c r="Q19" s="95"/>
    </row>
    <row r="20" spans="4:17" s="2" customFormat="1" ht="12" customHeight="1">
      <c r="D20" s="22"/>
      <c r="E20" s="22"/>
      <c r="J20" s="5"/>
      <c r="K20" s="5"/>
      <c r="L20" s="5"/>
      <c r="M20" s="5"/>
      <c r="N20" s="5"/>
      <c r="O20" s="5"/>
      <c r="P20" s="88"/>
      <c r="Q20" s="95"/>
    </row>
    <row r="21" spans="4:17" s="2" customFormat="1" ht="12" customHeight="1">
      <c r="D21" s="22"/>
      <c r="E21" s="22"/>
      <c r="J21" s="5"/>
      <c r="K21" s="5"/>
      <c r="L21" s="5"/>
      <c r="M21" s="5"/>
      <c r="N21" s="5"/>
      <c r="O21" s="5"/>
      <c r="P21" s="88"/>
      <c r="Q21" s="95"/>
    </row>
    <row r="22" spans="4:17" s="2" customFormat="1" ht="12" customHeight="1">
      <c r="D22" s="22"/>
      <c r="E22" s="22"/>
      <c r="J22" s="5"/>
      <c r="K22" s="5"/>
      <c r="L22" s="5"/>
      <c r="M22" s="5"/>
      <c r="N22" s="5"/>
      <c r="O22" s="5"/>
      <c r="P22" s="88"/>
      <c r="Q22" s="95"/>
    </row>
    <row r="23" spans="4:17" s="2" customFormat="1" ht="12" customHeight="1">
      <c r="D23" s="22"/>
      <c r="E23" s="22"/>
      <c r="J23" s="5"/>
      <c r="K23" s="5"/>
      <c r="L23" s="5"/>
      <c r="M23" s="5"/>
      <c r="N23" s="5"/>
      <c r="O23" s="5"/>
      <c r="P23" s="88"/>
      <c r="Q23" s="95"/>
    </row>
    <row r="24" spans="4:17" s="2" customFormat="1" ht="12" customHeight="1">
      <c r="D24" s="22"/>
      <c r="E24" s="22"/>
      <c r="J24" s="5"/>
      <c r="K24" s="5"/>
      <c r="L24" s="5"/>
      <c r="M24" s="5"/>
      <c r="N24" s="5"/>
      <c r="O24" s="5"/>
      <c r="P24" s="88"/>
      <c r="Q24" s="95"/>
    </row>
    <row r="25" spans="4:17" s="2" customFormat="1" ht="12" customHeight="1">
      <c r="D25" s="22"/>
      <c r="E25" s="22"/>
      <c r="J25" s="5"/>
      <c r="K25" s="5"/>
      <c r="L25" s="5"/>
      <c r="M25" s="5"/>
      <c r="N25" s="5"/>
      <c r="O25" s="5"/>
      <c r="P25" s="88"/>
      <c r="Q25" s="95"/>
    </row>
    <row r="26" spans="4:17" s="2" customFormat="1" ht="12" customHeight="1">
      <c r="D26" s="22"/>
      <c r="E26" s="22"/>
      <c r="J26" s="5"/>
      <c r="K26" s="5"/>
      <c r="L26" s="5"/>
      <c r="M26" s="5"/>
      <c r="N26" s="5"/>
      <c r="O26" s="5"/>
      <c r="P26" s="88"/>
      <c r="Q26" s="95"/>
    </row>
    <row r="27" spans="4:17" s="2" customFormat="1" ht="12" customHeight="1">
      <c r="D27" s="22"/>
      <c r="E27" s="22"/>
      <c r="J27" s="5"/>
      <c r="K27" s="5"/>
      <c r="L27" s="5"/>
      <c r="M27" s="5"/>
      <c r="N27" s="5"/>
      <c r="O27" s="5"/>
      <c r="P27" s="88"/>
      <c r="Q27" s="95"/>
    </row>
    <row r="28" spans="4:17" s="2" customFormat="1" ht="12" customHeight="1">
      <c r="D28" s="22"/>
      <c r="E28" s="22"/>
      <c r="J28" s="5"/>
      <c r="K28" s="5"/>
      <c r="L28" s="5"/>
      <c r="M28" s="5"/>
      <c r="N28" s="5"/>
      <c r="O28" s="5"/>
      <c r="P28" s="88"/>
      <c r="Q28" s="95"/>
    </row>
    <row r="29" spans="4:17" s="2" customFormat="1" ht="12" customHeight="1">
      <c r="D29" s="22"/>
      <c r="E29" s="22"/>
      <c r="J29" s="5"/>
      <c r="K29" s="5"/>
      <c r="L29" s="5"/>
      <c r="M29" s="5"/>
      <c r="N29" s="5"/>
      <c r="O29" s="5"/>
      <c r="P29" s="88"/>
      <c r="Q29" s="95"/>
    </row>
    <row r="30" spans="4:17" s="2" customFormat="1" ht="12" customHeight="1">
      <c r="D30" s="22"/>
      <c r="E30" s="22"/>
      <c r="J30" s="5"/>
      <c r="K30" s="5"/>
      <c r="L30" s="5"/>
      <c r="M30" s="5"/>
      <c r="N30" s="5"/>
      <c r="O30" s="5"/>
      <c r="P30" s="88"/>
      <c r="Q30" s="95"/>
    </row>
    <row r="31" spans="4:17" s="2" customFormat="1" ht="12" customHeight="1">
      <c r="D31" s="22"/>
      <c r="E31" s="22"/>
      <c r="J31" s="5"/>
      <c r="K31" s="5"/>
      <c r="L31" s="5"/>
      <c r="M31" s="5"/>
      <c r="N31" s="5"/>
      <c r="O31" s="5"/>
      <c r="P31" s="88"/>
      <c r="Q31" s="95"/>
    </row>
    <row r="32" spans="4:17" s="2" customFormat="1" ht="12" customHeight="1">
      <c r="D32" s="22"/>
      <c r="E32" s="22"/>
      <c r="J32" s="5"/>
      <c r="K32" s="5"/>
      <c r="L32" s="5"/>
      <c r="M32" s="5"/>
      <c r="N32" s="5"/>
      <c r="O32" s="5"/>
      <c r="P32" s="88"/>
      <c r="Q32" s="95"/>
    </row>
    <row r="33" spans="4:17" s="2" customFormat="1" ht="12" customHeight="1">
      <c r="D33" s="22"/>
      <c r="E33" s="22"/>
      <c r="J33" s="5"/>
      <c r="K33" s="5"/>
      <c r="L33" s="5"/>
      <c r="M33" s="5"/>
      <c r="N33" s="5"/>
      <c r="O33" s="5"/>
      <c r="P33" s="88"/>
      <c r="Q33" s="95"/>
    </row>
    <row r="34" spans="4:17" s="2" customFormat="1" ht="12" customHeight="1">
      <c r="D34" s="22"/>
      <c r="E34" s="22"/>
      <c r="J34" s="5"/>
      <c r="K34" s="5"/>
      <c r="L34" s="5"/>
      <c r="M34" s="5"/>
      <c r="N34" s="5"/>
      <c r="O34" s="5"/>
      <c r="P34" s="88"/>
      <c r="Q34" s="95"/>
    </row>
    <row r="35" spans="4:17" s="2" customFormat="1" ht="12" customHeight="1">
      <c r="D35" s="22"/>
      <c r="E35" s="22"/>
      <c r="J35" s="5"/>
      <c r="K35" s="5"/>
      <c r="L35" s="5"/>
      <c r="M35" s="5"/>
      <c r="N35" s="5"/>
      <c r="O35" s="5"/>
      <c r="P35" s="88"/>
      <c r="Q35" s="95"/>
    </row>
    <row r="36" spans="4:17" s="2" customFormat="1" ht="12" customHeight="1">
      <c r="D36" s="22"/>
      <c r="E36" s="22"/>
      <c r="J36" s="5"/>
      <c r="K36" s="5"/>
      <c r="L36" s="5"/>
      <c r="M36" s="5"/>
      <c r="N36" s="5"/>
      <c r="O36" s="5"/>
      <c r="P36" s="88"/>
      <c r="Q36" s="95"/>
    </row>
    <row r="37" spans="4:17" s="2" customFormat="1" ht="12" customHeight="1">
      <c r="D37" s="22"/>
      <c r="E37" s="22"/>
      <c r="J37" s="5"/>
      <c r="K37" s="5"/>
      <c r="L37" s="5"/>
      <c r="M37" s="5"/>
      <c r="N37" s="5"/>
      <c r="O37" s="5"/>
      <c r="P37" s="88"/>
      <c r="Q37" s="95"/>
    </row>
    <row r="38" spans="4:17" s="2" customFormat="1" ht="12" customHeight="1">
      <c r="D38" s="22"/>
      <c r="E38" s="22"/>
      <c r="J38" s="5"/>
      <c r="K38" s="5"/>
      <c r="L38" s="5"/>
      <c r="M38" s="5"/>
      <c r="N38" s="5"/>
      <c r="O38" s="5"/>
      <c r="P38" s="88"/>
      <c r="Q38" s="95"/>
    </row>
    <row r="39" spans="4:17" s="2" customFormat="1" ht="12" customHeight="1">
      <c r="D39" s="22"/>
      <c r="E39" s="22"/>
      <c r="J39" s="5"/>
      <c r="K39" s="5"/>
      <c r="L39" s="5"/>
      <c r="M39" s="5"/>
      <c r="N39" s="5"/>
      <c r="O39" s="5"/>
      <c r="P39" s="88"/>
      <c r="Q39" s="95"/>
    </row>
    <row r="40" spans="4:17" s="2" customFormat="1" ht="12" customHeight="1">
      <c r="D40" s="22"/>
      <c r="E40" s="22"/>
      <c r="J40" s="5"/>
      <c r="K40" s="5"/>
      <c r="L40" s="5"/>
      <c r="M40" s="5"/>
      <c r="N40" s="5"/>
      <c r="O40" s="5"/>
      <c r="P40" s="88"/>
      <c r="Q40" s="95"/>
    </row>
    <row r="41" spans="4:17" s="2" customFormat="1" ht="12" customHeight="1">
      <c r="D41" s="22"/>
      <c r="E41" s="22"/>
      <c r="J41" s="5"/>
      <c r="K41" s="5"/>
      <c r="L41" s="5"/>
      <c r="M41" s="5"/>
      <c r="N41" s="5"/>
      <c r="O41" s="5"/>
      <c r="P41" s="88"/>
      <c r="Q41" s="95"/>
    </row>
    <row r="42" spans="4:17" s="2" customFormat="1" ht="12" customHeight="1">
      <c r="D42" s="22"/>
      <c r="E42" s="22"/>
      <c r="J42" s="5"/>
      <c r="K42" s="5"/>
      <c r="L42" s="5"/>
      <c r="M42" s="5"/>
      <c r="N42" s="5"/>
      <c r="O42" s="5"/>
      <c r="P42" s="88"/>
      <c r="Q42" s="95"/>
    </row>
    <row r="43" spans="4:17" s="2" customFormat="1" ht="12" customHeight="1">
      <c r="D43" s="22"/>
      <c r="E43" s="22"/>
      <c r="J43" s="5"/>
      <c r="K43" s="5"/>
      <c r="L43" s="5"/>
      <c r="M43" s="5"/>
      <c r="N43" s="5"/>
      <c r="O43" s="5"/>
      <c r="P43" s="88"/>
      <c r="Q43" s="95"/>
    </row>
    <row r="44" spans="4:17" s="2" customFormat="1" ht="12" customHeight="1">
      <c r="D44" s="22"/>
      <c r="E44" s="22"/>
      <c r="J44" s="5"/>
      <c r="K44" s="5"/>
      <c r="L44" s="5"/>
      <c r="M44" s="5"/>
      <c r="N44" s="5"/>
      <c r="O44" s="5"/>
      <c r="P44" s="88"/>
      <c r="Q44" s="95"/>
    </row>
    <row r="45" spans="4:17" s="2" customFormat="1" ht="12" customHeight="1">
      <c r="D45" s="22"/>
      <c r="E45" s="22"/>
      <c r="J45" s="5"/>
      <c r="K45" s="5"/>
      <c r="L45" s="5"/>
      <c r="M45" s="5"/>
      <c r="N45" s="5"/>
      <c r="O45" s="5"/>
      <c r="P45" s="88"/>
      <c r="Q45" s="95"/>
    </row>
    <row r="46" spans="4:17" s="2" customFormat="1" ht="12" customHeight="1">
      <c r="D46" s="22"/>
      <c r="E46" s="22"/>
      <c r="J46" s="5"/>
      <c r="K46" s="5"/>
      <c r="L46" s="5"/>
      <c r="M46" s="5"/>
      <c r="N46" s="5"/>
      <c r="O46" s="5"/>
      <c r="P46" s="88"/>
      <c r="Q46" s="95"/>
    </row>
    <row r="47" spans="4:17" s="2" customFormat="1" ht="12" customHeight="1">
      <c r="D47" s="22"/>
      <c r="E47" s="22"/>
      <c r="J47" s="5"/>
      <c r="K47" s="5"/>
      <c r="L47" s="5"/>
      <c r="M47" s="5"/>
      <c r="N47" s="5"/>
      <c r="O47" s="5"/>
      <c r="P47" s="88"/>
      <c r="Q47" s="95"/>
    </row>
    <row r="48" spans="4:17" s="2" customFormat="1" ht="12" customHeight="1">
      <c r="D48" s="22"/>
      <c r="E48" s="22"/>
      <c r="J48" s="5"/>
      <c r="K48" s="5"/>
      <c r="L48" s="5"/>
      <c r="M48" s="5"/>
      <c r="N48" s="5"/>
      <c r="O48" s="5"/>
      <c r="P48" s="88"/>
      <c r="Q48" s="95"/>
    </row>
    <row r="49" spans="1:17" s="2" customFormat="1" ht="12" customHeight="1">
      <c r="D49" s="22"/>
      <c r="E49" s="22"/>
      <c r="J49" s="5"/>
      <c r="K49" s="5"/>
      <c r="L49" s="5"/>
      <c r="M49" s="5"/>
      <c r="N49" s="5"/>
      <c r="O49" s="5"/>
      <c r="P49" s="88"/>
      <c r="Q49" s="95"/>
    </row>
    <row r="50" spans="1:17" s="2" customFormat="1" ht="12" customHeight="1">
      <c r="D50" s="22"/>
      <c r="E50" s="22"/>
      <c r="J50" s="5"/>
      <c r="K50" s="5"/>
      <c r="L50" s="5"/>
      <c r="M50" s="5"/>
      <c r="N50" s="5"/>
      <c r="O50" s="5"/>
      <c r="P50" s="88"/>
      <c r="Q50" s="95"/>
    </row>
    <row r="51" spans="1:17" s="2" customFormat="1" ht="12" customHeight="1">
      <c r="D51" s="22"/>
      <c r="E51" s="22"/>
      <c r="J51" s="5"/>
      <c r="K51" s="5"/>
      <c r="L51" s="5"/>
      <c r="M51" s="5"/>
      <c r="N51" s="5"/>
      <c r="O51" s="5"/>
      <c r="P51" s="88"/>
      <c r="Q51" s="95"/>
    </row>
    <row r="52" spans="1:17" s="2" customFormat="1" ht="12" customHeight="1">
      <c r="D52" s="22"/>
      <c r="E52" s="22"/>
      <c r="J52" s="5"/>
      <c r="K52" s="5"/>
      <c r="L52" s="5"/>
      <c r="M52" s="5"/>
      <c r="N52" s="5"/>
      <c r="O52" s="5"/>
      <c r="P52" s="88"/>
      <c r="Q52" s="95"/>
    </row>
    <row r="53" spans="1:17" s="2" customFormat="1" ht="12" customHeight="1">
      <c r="D53" s="22"/>
      <c r="E53" s="22"/>
      <c r="J53" s="5"/>
      <c r="K53" s="5"/>
      <c r="L53" s="5"/>
      <c r="M53" s="5"/>
      <c r="N53" s="5"/>
      <c r="O53" s="5"/>
      <c r="P53" s="88"/>
      <c r="Q53" s="95"/>
    </row>
    <row r="54" spans="1:17" s="2" customFormat="1" ht="12" customHeight="1">
      <c r="D54" s="22"/>
      <c r="E54" s="22"/>
      <c r="J54" s="5"/>
      <c r="K54" s="5"/>
      <c r="L54" s="5"/>
      <c r="M54" s="5"/>
      <c r="N54" s="5"/>
      <c r="O54" s="5"/>
      <c r="P54" s="88"/>
      <c r="Q54" s="96"/>
    </row>
    <row r="55" spans="1:17" s="2" customFormat="1" ht="12" customHeight="1">
      <c r="D55" s="22"/>
      <c r="E55" s="22"/>
      <c r="J55" s="5"/>
      <c r="K55" s="5"/>
      <c r="L55" s="5"/>
      <c r="M55" s="5"/>
      <c r="N55" s="5"/>
      <c r="O55" s="5"/>
      <c r="P55" s="88"/>
      <c r="Q55" s="96"/>
    </row>
    <row r="56" spans="1:17" s="2" customFormat="1" ht="12" customHeight="1">
      <c r="D56" s="22"/>
      <c r="E56" s="22"/>
      <c r="J56" s="5"/>
      <c r="K56" s="5"/>
      <c r="L56" s="5"/>
      <c r="M56" s="5"/>
      <c r="N56" s="5"/>
      <c r="O56" s="5"/>
      <c r="P56" s="88"/>
      <c r="Q56" s="96"/>
    </row>
    <row r="57" spans="1:17" s="2" customFormat="1" ht="12" customHeight="1">
      <c r="D57" s="22"/>
      <c r="E57" s="22"/>
      <c r="J57" s="5"/>
      <c r="K57" s="5"/>
      <c r="L57" s="5"/>
      <c r="M57" s="5"/>
      <c r="N57" s="5"/>
      <c r="O57" s="5"/>
      <c r="P57" s="88"/>
      <c r="Q57" s="96"/>
    </row>
    <row r="58" spans="1:17" s="2" customFormat="1" ht="12" customHeight="1">
      <c r="A58"/>
      <c r="B58"/>
      <c r="C58"/>
      <c r="D58" s="23"/>
      <c r="E58" s="23"/>
      <c r="F58"/>
      <c r="G58"/>
      <c r="H58"/>
      <c r="I58"/>
      <c r="J58" s="19"/>
      <c r="K58" s="19"/>
      <c r="L58" s="19"/>
      <c r="M58" s="19"/>
      <c r="N58" s="19"/>
      <c r="O58" s="19"/>
      <c r="P58" s="90"/>
      <c r="Q58" s="96"/>
    </row>
    <row r="59" spans="1:17" s="2" customFormat="1" ht="12" customHeight="1">
      <c r="A59"/>
      <c r="B59"/>
      <c r="C59"/>
      <c r="D59" s="23"/>
      <c r="E59" s="23"/>
      <c r="F59"/>
      <c r="G59"/>
      <c r="H59"/>
      <c r="I59"/>
      <c r="J59" s="19"/>
      <c r="K59" s="19"/>
      <c r="L59" s="19"/>
      <c r="M59" s="19"/>
      <c r="N59" s="19"/>
      <c r="O59" s="19"/>
      <c r="P59" s="90"/>
      <c r="Q59" s="96"/>
    </row>
    <row r="60" spans="1:17" s="2" customFormat="1" ht="12" customHeight="1">
      <c r="A60"/>
      <c r="B60"/>
      <c r="C60"/>
      <c r="D60" s="23"/>
      <c r="E60" s="23"/>
      <c r="F60"/>
      <c r="G60"/>
      <c r="H60"/>
      <c r="I60"/>
      <c r="J60" s="19"/>
      <c r="K60" s="19"/>
      <c r="L60" s="19"/>
      <c r="M60" s="19"/>
      <c r="N60" s="19"/>
      <c r="O60" s="19"/>
      <c r="P60" s="90"/>
      <c r="Q60" s="96"/>
    </row>
    <row r="61" spans="1:17" s="2" customFormat="1" ht="12" customHeight="1">
      <c r="A61"/>
      <c r="B61"/>
      <c r="C61"/>
      <c r="D61" s="23"/>
      <c r="E61" s="23"/>
      <c r="F61"/>
      <c r="G61"/>
      <c r="H61"/>
      <c r="I61"/>
      <c r="J61" s="19"/>
      <c r="K61" s="19"/>
      <c r="L61" s="19"/>
      <c r="M61" s="19"/>
      <c r="N61" s="19"/>
      <c r="O61" s="19"/>
      <c r="P61" s="90"/>
      <c r="Q61" s="96"/>
    </row>
    <row r="62" spans="1:17" s="2" customFormat="1" ht="12" customHeight="1">
      <c r="A62"/>
      <c r="B62"/>
      <c r="C62"/>
      <c r="D62" s="23"/>
      <c r="E62" s="23"/>
      <c r="F62"/>
      <c r="G62"/>
      <c r="H62"/>
      <c r="I62"/>
      <c r="J62" s="19"/>
      <c r="K62" s="19"/>
      <c r="L62" s="19"/>
      <c r="M62" s="19"/>
      <c r="N62" s="19"/>
      <c r="O62" s="19"/>
      <c r="P62" s="90"/>
      <c r="Q62" s="96"/>
    </row>
    <row r="63" spans="1:17">
      <c r="Q63" s="96"/>
    </row>
    <row r="64" spans="1:17">
      <c r="Q64" s="96"/>
    </row>
    <row r="65" spans="17:17">
      <c r="Q65" s="96"/>
    </row>
    <row r="66" spans="17:17">
      <c r="Q66" s="96"/>
    </row>
    <row r="67" spans="17:17">
      <c r="Q67" s="96"/>
    </row>
    <row r="68" spans="17:17">
      <c r="Q68" s="96"/>
    </row>
    <row r="69" spans="17:17">
      <c r="Q69" s="96"/>
    </row>
    <row r="70" spans="17:17">
      <c r="Q70" s="96"/>
    </row>
    <row r="71" spans="17:17">
      <c r="Q71" s="96"/>
    </row>
    <row r="72" spans="17:17">
      <c r="Q72" s="96"/>
    </row>
    <row r="73" spans="17:17">
      <c r="Q73" s="96"/>
    </row>
    <row r="74" spans="17:17">
      <c r="Q74" s="96"/>
    </row>
    <row r="75" spans="17:17">
      <c r="Q75" s="96"/>
    </row>
    <row r="76" spans="17:17">
      <c r="Q76" s="96"/>
    </row>
    <row r="77" spans="17:17">
      <c r="Q77" s="96"/>
    </row>
    <row r="78" spans="17:17">
      <c r="Q78" s="96"/>
    </row>
    <row r="79" spans="17:17">
      <c r="Q79" s="96"/>
    </row>
    <row r="80" spans="17:17">
      <c r="Q80" s="96"/>
    </row>
    <row r="81" spans="17:17">
      <c r="Q81" s="96"/>
    </row>
    <row r="82" spans="17:17">
      <c r="Q82" s="96"/>
    </row>
    <row r="119" ht="12" customHeight="1"/>
    <row r="120" ht="12" customHeight="1"/>
    <row r="121" ht="12" customHeight="1"/>
    <row r="122" ht="12" customHeight="1"/>
    <row r="123" ht="12" customHeight="1"/>
    <row r="124" ht="12" customHeight="1"/>
    <row r="125" ht="12" customHeight="1"/>
    <row r="126" ht="12" customHeight="1"/>
    <row r="127" ht="12" customHeight="1"/>
    <row r="128" ht="12" customHeight="1"/>
    <row r="129" ht="12" customHeight="1"/>
    <row r="130" ht="12" customHeight="1"/>
    <row r="131" ht="12" customHeight="1"/>
    <row r="132" ht="12" customHeight="1"/>
    <row r="133" ht="12" customHeight="1"/>
    <row r="134" ht="12" customHeight="1"/>
    <row r="135" ht="12" customHeight="1"/>
    <row r="136" ht="12" customHeight="1"/>
    <row r="137" ht="12" customHeight="1"/>
    <row r="138" ht="12" customHeight="1"/>
    <row r="139" ht="12" customHeight="1"/>
    <row r="140" ht="12" customHeight="1"/>
    <row r="141" ht="12" customHeight="1"/>
    <row r="142" ht="12" customHeight="1"/>
    <row r="143" ht="12" customHeight="1"/>
    <row r="144" ht="12" customHeight="1"/>
    <row r="145" ht="12" customHeight="1"/>
    <row r="146" ht="12" customHeight="1"/>
    <row r="147" ht="12" customHeight="1"/>
    <row r="148" ht="12" customHeight="1"/>
    <row r="149" ht="12" customHeight="1"/>
    <row r="150" ht="12" customHeight="1"/>
    <row r="151" ht="12" customHeight="1"/>
    <row r="152" ht="12" customHeight="1"/>
    <row r="153" ht="12" customHeight="1"/>
    <row r="154" ht="12" customHeight="1"/>
    <row r="155" ht="12" customHeight="1"/>
    <row r="156" ht="12" customHeight="1"/>
    <row r="157" ht="12" customHeight="1"/>
    <row r="158" ht="12" customHeight="1"/>
    <row r="159" ht="12" customHeight="1"/>
    <row r="160" ht="12" customHeight="1"/>
    <row r="161" ht="12" customHeight="1"/>
    <row r="162" ht="12" customHeight="1"/>
    <row r="163" ht="12" customHeight="1"/>
    <row r="164" ht="12" customHeight="1"/>
    <row r="165" ht="12" customHeight="1"/>
    <row r="166" ht="12" customHeight="1"/>
    <row r="167" ht="12" customHeight="1"/>
    <row r="168" ht="12" customHeight="1"/>
  </sheetData>
  <mergeCells count="18">
    <mergeCell ref="D15:E15"/>
    <mergeCell ref="H15:I15"/>
    <mergeCell ref="D11:E11"/>
    <mergeCell ref="H11:I11"/>
    <mergeCell ref="D12:E12"/>
    <mergeCell ref="D13:E13"/>
    <mergeCell ref="D14:E14"/>
    <mergeCell ref="D1:E1"/>
    <mergeCell ref="D4:E4"/>
    <mergeCell ref="H4:I4"/>
    <mergeCell ref="D5:E5"/>
    <mergeCell ref="H5:I5"/>
    <mergeCell ref="D6:E6"/>
    <mergeCell ref="D9:E9"/>
    <mergeCell ref="H9:I9"/>
    <mergeCell ref="D10:E10"/>
    <mergeCell ref="D7:E7"/>
    <mergeCell ref="D8:E8"/>
  </mergeCells>
  <conditionalFormatting sqref="M10 M12:M14 M6:M8">
    <cfRule type="cellIs" dxfId="262" priority="1" stopIfTrue="1" operator="lessThanOrEqual">
      <formula>$L6</formula>
    </cfRule>
    <cfRule type="cellIs" dxfId="261" priority="2" operator="greaterThan">
      <formula>L6</formula>
    </cfRule>
  </conditionalFormatting>
  <pageMargins left="0.7" right="0.7" top="0.75" bottom="0.75" header="0.3" footer="0.3"/>
  <pageSetup paperSize="3" fitToHeight="0" orientation="landscape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8EB85E6-817C-43ED-9670-402243B3F9B1}">
          <x14:formula1>
            <xm:f>Bolts!$A:$A</xm:f>
          </x14:formula1>
          <xm:sqref>C12:C14</xm:sqref>
        </x14:dataValidation>
        <x14:dataValidation type="list" allowBlank="1" showInputMessage="1" showErrorMessage="1" xr:uid="{D0B37B73-4395-40A5-93B0-B293B66B9275}">
          <x14:formula1>
            <xm:f>Purchased!$A:$A</xm:f>
          </x14:formula1>
          <xm:sqref>C10</xm:sqref>
        </x14:dataValidation>
        <x14:dataValidation type="list" allowBlank="1" showInputMessage="1" showErrorMessage="1" xr:uid="{DA9A66F0-20F0-4646-9C1E-63686CD9A625}">
          <x14:formula1>
            <xm:f>Machined!$C:$C</xm:f>
          </x14:formula1>
          <xm:sqref>C6:C8</xm:sqref>
        </x14:dataValidation>
      </x14:dataValidations>
    </ext>
  </extLst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6E0B6-EEAE-4B36-AA57-CC3891CA1644}">
  <sheetPr codeName="Sheet112">
    <tabColor theme="3" tint="0.59999389629810485"/>
    <pageSetUpPr fitToPage="1"/>
  </sheetPr>
  <dimension ref="A1:Q167"/>
  <sheetViews>
    <sheetView zoomScaleNormal="100" workbookViewId="0">
      <selection activeCell="F23" sqref="F23"/>
    </sheetView>
  </sheetViews>
  <sheetFormatPr defaultColWidth="9.140625" defaultRowHeight="15"/>
  <cols>
    <col min="1" max="1" width="5.7109375" customWidth="1"/>
    <col min="2" max="2" width="5.42578125" bestFit="1" customWidth="1"/>
    <col min="3" max="3" width="30.7109375" customWidth="1"/>
    <col min="4" max="5" width="20.7109375" style="23" customWidth="1"/>
    <col min="6" max="6" width="16.85546875" bestFit="1" customWidth="1"/>
    <col min="7" max="7" width="9.7109375" customWidth="1"/>
    <col min="8" max="8" width="8.7109375" customWidth="1"/>
    <col min="9" max="9" width="20.7109375" customWidth="1"/>
    <col min="10" max="13" width="11.7109375" style="19" customWidth="1"/>
    <col min="14" max="14" width="11.85546875" style="19" bestFit="1" customWidth="1"/>
    <col min="15" max="15" width="7.7109375" style="19" customWidth="1"/>
    <col min="16" max="16" width="10.7109375" style="90" customWidth="1"/>
    <col min="17" max="17" width="10.7109375" style="97" customWidth="1"/>
  </cols>
  <sheetData>
    <row r="1" spans="1:17" s="55" customFormat="1" ht="12" customHeight="1">
      <c r="A1" s="68" t="s">
        <v>0</v>
      </c>
      <c r="B1" s="69"/>
      <c r="C1" s="69"/>
      <c r="D1" s="262" t="s">
        <v>1</v>
      </c>
      <c r="E1" s="263"/>
      <c r="F1" s="70"/>
      <c r="G1" s="69"/>
      <c r="H1" s="70"/>
      <c r="I1" s="71"/>
      <c r="J1" s="72"/>
      <c r="K1" s="72"/>
      <c r="L1" s="72"/>
      <c r="M1" s="72"/>
      <c r="N1" s="72"/>
      <c r="O1" s="72"/>
      <c r="P1" s="85"/>
      <c r="Q1" s="91"/>
    </row>
    <row r="2" spans="1:17" s="55" customFormat="1" ht="12" customHeight="1">
      <c r="A2" s="74" t="s">
        <v>48</v>
      </c>
      <c r="B2" s="58"/>
      <c r="C2" s="57" t="e">
        <f ca="1">VLOOKUP(E3,Assemblies!B:F,4,0)</f>
        <v>#VALUE!</v>
      </c>
      <c r="D2" s="75" t="s">
        <v>3</v>
      </c>
      <c r="E2" s="76" t="e">
        <f ca="1">'GF12'!E2</f>
        <v>#VALUE!</v>
      </c>
      <c r="F2" s="77" t="s">
        <v>4</v>
      </c>
      <c r="G2" s="58" t="str">
        <f>'GF12'!G2</f>
        <v>GH</v>
      </c>
      <c r="H2" s="77" t="s">
        <v>6</v>
      </c>
      <c r="I2" s="59">
        <f>'GF12'!I2</f>
        <v>44775</v>
      </c>
      <c r="J2" s="39"/>
      <c r="K2" s="40" t="s">
        <v>49</v>
      </c>
      <c r="L2" s="41" t="e">
        <f ca="1">VLOOKUP(C2,Assemblies!E:G,3,0)</f>
        <v>#VALUE!</v>
      </c>
      <c r="M2" s="78"/>
      <c r="N2" s="78"/>
      <c r="O2" s="78"/>
      <c r="P2" s="86"/>
      <c r="Q2" s="92"/>
    </row>
    <row r="3" spans="1:17" s="55" customFormat="1" ht="12" customHeight="1" thickBot="1">
      <c r="A3" s="74" t="s">
        <v>7</v>
      </c>
      <c r="B3" s="58"/>
      <c r="C3" s="57" t="e">
        <f ca="1">VLOOKUP(E3,Assemblies!B:F,5,0)</f>
        <v>#VALUE!</v>
      </c>
      <c r="D3" s="75" t="s">
        <v>50</v>
      </c>
      <c r="E3" s="76" t="e">
        <f ca="1">MID(CELL("filename",A1),FIND("]",CELL("filename",A1))+1,256)</f>
        <v>#VALUE!</v>
      </c>
      <c r="F3" s="77" t="s">
        <v>11</v>
      </c>
      <c r="G3" s="58" t="str">
        <f>'GF12'!G3</f>
        <v>GH</v>
      </c>
      <c r="H3" s="77" t="s">
        <v>6</v>
      </c>
      <c r="I3" s="59">
        <f>'GF12'!I3</f>
        <v>44775</v>
      </c>
      <c r="J3" s="78"/>
      <c r="K3" s="78"/>
      <c r="L3" s="78"/>
      <c r="M3" s="78"/>
      <c r="N3" s="78"/>
      <c r="O3" s="78"/>
      <c r="P3" s="86"/>
      <c r="Q3" s="92"/>
    </row>
    <row r="4" spans="1:17" s="56" customFormat="1" ht="12.75" customHeight="1" thickBot="1">
      <c r="A4" s="80" t="s">
        <v>12</v>
      </c>
      <c r="B4" s="81" t="s">
        <v>13</v>
      </c>
      <c r="C4" s="81" t="s">
        <v>14</v>
      </c>
      <c r="D4" s="270" t="s">
        <v>15</v>
      </c>
      <c r="E4" s="271"/>
      <c r="F4" s="104" t="s">
        <v>16</v>
      </c>
      <c r="G4" s="81" t="s">
        <v>17</v>
      </c>
      <c r="H4" s="260" t="s">
        <v>18</v>
      </c>
      <c r="I4" s="261"/>
      <c r="J4" s="81" t="s">
        <v>51</v>
      </c>
      <c r="K4" s="81" t="s">
        <v>20</v>
      </c>
      <c r="L4" s="81" t="s">
        <v>21</v>
      </c>
      <c r="M4" s="81" t="s">
        <v>52</v>
      </c>
      <c r="N4" s="81" t="s">
        <v>22</v>
      </c>
      <c r="O4" s="81" t="s">
        <v>53</v>
      </c>
      <c r="P4" s="107" t="s">
        <v>26</v>
      </c>
      <c r="Q4" s="82" t="s">
        <v>27</v>
      </c>
    </row>
    <row r="5" spans="1:17" s="21" customFormat="1" ht="12.75" customHeight="1">
      <c r="A5" s="66" t="s">
        <v>54</v>
      </c>
      <c r="B5" s="1">
        <v>1</v>
      </c>
      <c r="C5" s="67" t="s">
        <v>1143</v>
      </c>
      <c r="D5" s="277" t="e">
        <f ca="1">VLOOKUP(C5,Assemblies!E:S,2,0)</f>
        <v>#N/A</v>
      </c>
      <c r="E5" s="278"/>
      <c r="F5" s="32"/>
      <c r="G5" s="32"/>
      <c r="H5" s="292"/>
      <c r="I5" s="293"/>
      <c r="J5" s="28"/>
      <c r="K5" s="28"/>
      <c r="L5" s="28"/>
      <c r="M5" s="28"/>
      <c r="N5" s="33"/>
      <c r="O5" s="46" t="e">
        <f t="shared" ref="O5:O10" ca="1" si="0">B5*$L$2</f>
        <v>#VALUE!</v>
      </c>
      <c r="P5" s="87">
        <f>'511'!Q20</f>
        <v>1170.5523687333334</v>
      </c>
      <c r="Q5" s="93">
        <f t="shared" ref="Q5:Q10" si="1">B5*P5</f>
        <v>1170.5523687333334</v>
      </c>
    </row>
    <row r="6" spans="1:17" s="21" customFormat="1" ht="12.75" customHeight="1">
      <c r="A6" s="66" t="s">
        <v>56</v>
      </c>
      <c r="B6" s="1">
        <v>1</v>
      </c>
      <c r="C6" s="67" t="s">
        <v>1169</v>
      </c>
      <c r="D6" s="277" t="e">
        <f ca="1">VLOOKUP(C6,Assemblies!E:S,2,0)</f>
        <v>#N/A</v>
      </c>
      <c r="E6" s="278"/>
      <c r="F6" s="32"/>
      <c r="G6" s="32"/>
      <c r="H6" s="292"/>
      <c r="I6" s="293"/>
      <c r="J6" s="28"/>
      <c r="K6" s="28"/>
      <c r="L6" s="28"/>
      <c r="M6" s="28"/>
      <c r="N6" s="33"/>
      <c r="O6" s="46" t="e">
        <f t="shared" ca="1" si="0"/>
        <v>#VALUE!</v>
      </c>
      <c r="P6" s="87">
        <f>'522'!Q26</f>
        <v>5996.3152000000009</v>
      </c>
      <c r="Q6" s="93">
        <f t="shared" si="1"/>
        <v>5996.3152000000009</v>
      </c>
    </row>
    <row r="7" spans="1:17" s="21" customFormat="1" ht="12.75" customHeight="1">
      <c r="A7" s="66" t="s">
        <v>58</v>
      </c>
      <c r="B7" s="1">
        <v>1</v>
      </c>
      <c r="C7" s="67" t="s">
        <v>1170</v>
      </c>
      <c r="D7" s="277" t="e">
        <f ca="1">VLOOKUP(C7,Assemblies!E:S,2,0)</f>
        <v>#N/A</v>
      </c>
      <c r="E7" s="278"/>
      <c r="F7" s="32"/>
      <c r="G7" s="32"/>
      <c r="H7" s="292"/>
      <c r="I7" s="293"/>
      <c r="J7" s="28"/>
      <c r="K7" s="28"/>
      <c r="L7" s="28"/>
      <c r="M7" s="28"/>
      <c r="N7" s="33"/>
      <c r="O7" s="46" t="e">
        <f t="shared" ca="1" si="0"/>
        <v>#VALUE!</v>
      </c>
      <c r="P7" s="87">
        <f>'523'!Q25</f>
        <v>3016.5</v>
      </c>
      <c r="Q7" s="93">
        <f t="shared" si="1"/>
        <v>3016.5</v>
      </c>
    </row>
    <row r="8" spans="1:17" s="21" customFormat="1" ht="12.75" customHeight="1">
      <c r="A8" s="66" t="s">
        <v>60</v>
      </c>
      <c r="B8" s="1">
        <v>2</v>
      </c>
      <c r="C8" s="67" t="s">
        <v>1041</v>
      </c>
      <c r="D8" s="277" t="e">
        <f ca="1">VLOOKUP(C8,Assemblies!E:S,2,0)</f>
        <v>#N/A</v>
      </c>
      <c r="E8" s="278"/>
      <c r="F8" s="32"/>
      <c r="G8" s="32"/>
      <c r="H8" s="292"/>
      <c r="I8" s="293"/>
      <c r="J8" s="28"/>
      <c r="K8" s="28"/>
      <c r="L8" s="28"/>
      <c r="M8" s="28"/>
      <c r="N8" s="33"/>
      <c r="O8" s="46" t="e">
        <f t="shared" ca="1" si="0"/>
        <v>#VALUE!</v>
      </c>
      <c r="P8" s="87">
        <f>'414'!Q19</f>
        <v>175.48000000000002</v>
      </c>
      <c r="Q8" s="93">
        <f t="shared" si="1"/>
        <v>350.96000000000004</v>
      </c>
    </row>
    <row r="9" spans="1:17" s="21" customFormat="1" ht="12.75" customHeight="1">
      <c r="A9" s="66" t="s">
        <v>62</v>
      </c>
      <c r="B9" s="1">
        <v>1</v>
      </c>
      <c r="C9" s="67" t="s">
        <v>1146</v>
      </c>
      <c r="D9" s="277" t="e">
        <f ca="1">VLOOKUP(C9,Assemblies!E:S,2,0)</f>
        <v>#N/A</v>
      </c>
      <c r="E9" s="278"/>
      <c r="F9" s="32"/>
      <c r="G9" s="32"/>
      <c r="H9" s="292"/>
      <c r="I9" s="293"/>
      <c r="J9" s="28"/>
      <c r="K9" s="28"/>
      <c r="L9" s="28"/>
      <c r="M9" s="28"/>
      <c r="N9" s="33"/>
      <c r="O9" s="46" t="e">
        <f t="shared" ca="1" si="0"/>
        <v>#VALUE!</v>
      </c>
      <c r="P9" s="87">
        <f>'514'!Q17</f>
        <v>147.61160000000001</v>
      </c>
      <c r="Q9" s="93">
        <f t="shared" si="1"/>
        <v>147.61160000000001</v>
      </c>
    </row>
    <row r="10" spans="1:17" s="21" customFormat="1" ht="12.75" customHeight="1">
      <c r="A10" s="66" t="s">
        <v>64</v>
      </c>
      <c r="B10" s="1">
        <v>1</v>
      </c>
      <c r="C10" s="67" t="s">
        <v>1147</v>
      </c>
      <c r="D10" s="277" t="e">
        <f ca="1">VLOOKUP(C10,Assemblies!E:S,2,0)</f>
        <v>#N/A</v>
      </c>
      <c r="E10" s="278"/>
      <c r="F10" s="32"/>
      <c r="G10" s="32"/>
      <c r="H10" s="292"/>
      <c r="I10" s="293"/>
      <c r="J10" s="28"/>
      <c r="K10" s="28"/>
      <c r="L10" s="28"/>
      <c r="M10" s="28"/>
      <c r="N10" s="33"/>
      <c r="O10" s="46" t="e">
        <f t="shared" ca="1" si="0"/>
        <v>#VALUE!</v>
      </c>
      <c r="P10" s="87">
        <f>'515'!Q17</f>
        <v>123.8516</v>
      </c>
      <c r="Q10" s="93">
        <f t="shared" si="1"/>
        <v>123.8516</v>
      </c>
    </row>
    <row r="11" spans="1:17" s="21" customFormat="1" ht="12.75" customHeight="1">
      <c r="A11" s="66" t="s">
        <v>66</v>
      </c>
      <c r="B11" s="1">
        <v>1</v>
      </c>
      <c r="C11" s="67" t="s">
        <v>1148</v>
      </c>
      <c r="D11" s="277" t="e">
        <f ca="1">VLOOKUP(C11,Assemblies!E:S,2,0)</f>
        <v>#N/A</v>
      </c>
      <c r="E11" s="278"/>
      <c r="F11" s="32"/>
      <c r="G11" s="32"/>
      <c r="H11" s="292"/>
      <c r="I11" s="293"/>
      <c r="J11" s="28"/>
      <c r="K11" s="28"/>
      <c r="L11" s="28"/>
      <c r="M11" s="28"/>
      <c r="N11" s="33"/>
      <c r="O11" s="46" t="e">
        <f t="shared" ref="O11" ca="1" si="2">B11*$L$2</f>
        <v>#VALUE!</v>
      </c>
      <c r="P11" s="87">
        <f>'516'!Q15</f>
        <v>31.96</v>
      </c>
      <c r="Q11" s="93">
        <f t="shared" ref="Q11" si="3">B11*P11</f>
        <v>31.96</v>
      </c>
    </row>
    <row r="12" spans="1:17" s="21" customFormat="1" ht="12.75" customHeight="1">
      <c r="A12" s="25"/>
      <c r="B12" s="26"/>
      <c r="C12" s="26"/>
      <c r="D12" s="272"/>
      <c r="E12" s="273"/>
      <c r="F12" s="26"/>
      <c r="G12" s="26"/>
      <c r="H12" s="274"/>
      <c r="I12" s="275"/>
      <c r="J12" s="27"/>
      <c r="K12" s="27"/>
      <c r="L12" s="27"/>
      <c r="M12" s="28"/>
      <c r="N12" s="29"/>
      <c r="O12" s="29" t="e">
        <f ca="1">B12*$L$2</f>
        <v>#VALUE!</v>
      </c>
      <c r="P12" s="141"/>
      <c r="Q12" s="142"/>
    </row>
    <row r="13" spans="1:17" s="21" customFormat="1" ht="12.75" customHeight="1" thickBot="1">
      <c r="A13" s="4">
        <v>501</v>
      </c>
      <c r="B13" s="2">
        <v>16</v>
      </c>
      <c r="C13" s="110" t="s">
        <v>801</v>
      </c>
      <c r="D13" s="268"/>
      <c r="E13" s="276"/>
      <c r="F13" s="112" t="str">
        <f>VLOOKUP(C13,Bolts!A:L,5,0)</f>
        <v xml:space="preserve">  </v>
      </c>
      <c r="G13" s="112" t="str">
        <f>VLOOKUP(C13,Bolts!A:L,6,0)</f>
        <v>Monroe Fasteners</v>
      </c>
      <c r="H13" s="112" t="str">
        <f>VLOOKUP(C13,Bolts!A:L,7,0)</f>
        <v xml:space="preserve">  </v>
      </c>
      <c r="I13" s="112"/>
      <c r="J13" s="44" t="str">
        <f>VLOOKUP(C13,Bolts!A:L,8,0)</f>
        <v xml:space="preserve"> </v>
      </c>
      <c r="K13" s="44" t="str">
        <f>VLOOKUP(C13,Bolts!A:L,9,0)</f>
        <v xml:space="preserve"> </v>
      </c>
      <c r="L13" s="44" t="str">
        <f>VLOOKUP(C13,Bolts!A:L,10,0)</f>
        <v xml:space="preserve"> </v>
      </c>
      <c r="M13" s="44" t="str">
        <f>VLOOKUP(C13,Bolts!A:L,11,0)</f>
        <v xml:space="preserve"> </v>
      </c>
      <c r="N13" s="45" t="str">
        <f>VLOOKUP(C13,Bolts!A:L,12,0)</f>
        <v xml:space="preserve"> </v>
      </c>
      <c r="O13" s="45" t="e">
        <f ca="1">B13*$L$2</f>
        <v>#VALUE!</v>
      </c>
      <c r="P13" s="49" t="str">
        <f>IFERROR(VLOOKUP(C13,Bolts!A:B,2,FALSE),"")</f>
        <v xml:space="preserve"> </v>
      </c>
      <c r="Q13" s="50" t="str">
        <f>IFERROR(B13*P13,"")</f>
        <v/>
      </c>
    </row>
    <row r="14" spans="1:17" s="2" customFormat="1" ht="12.75" customHeight="1" thickBot="1">
      <c r="A14" s="34"/>
      <c r="B14" s="35"/>
      <c r="C14" s="35"/>
      <c r="D14" s="256"/>
      <c r="E14" s="257"/>
      <c r="F14" s="35"/>
      <c r="G14" s="35"/>
      <c r="H14" s="294"/>
      <c r="I14" s="295"/>
      <c r="J14" s="36"/>
      <c r="K14" s="36"/>
      <c r="L14" s="36"/>
      <c r="M14" s="37"/>
      <c r="N14" s="38"/>
      <c r="O14" s="38"/>
      <c r="P14" s="89" t="s">
        <v>43</v>
      </c>
      <c r="Q14" s="94">
        <f>SUM(Q5:Q13)</f>
        <v>10837.750768733333</v>
      </c>
    </row>
    <row r="15" spans="1:17" s="2" customFormat="1" ht="12" customHeight="1">
      <c r="D15" s="22"/>
      <c r="E15" s="22"/>
      <c r="J15" s="8"/>
      <c r="K15" s="8"/>
      <c r="L15" s="8"/>
      <c r="M15" s="8"/>
      <c r="N15" s="5"/>
      <c r="O15" s="5"/>
      <c r="P15" s="88"/>
      <c r="Q15" s="95"/>
    </row>
    <row r="16" spans="1:17" s="2" customFormat="1" ht="12" customHeight="1">
      <c r="D16" s="22"/>
      <c r="E16" s="22"/>
      <c r="J16" s="5"/>
      <c r="K16" s="5"/>
      <c r="L16" s="5"/>
      <c r="M16" s="5"/>
      <c r="N16" s="5"/>
      <c r="O16" s="5"/>
      <c r="P16" s="88"/>
      <c r="Q16" s="95"/>
    </row>
    <row r="17" spans="4:17" s="2" customFormat="1" ht="12" customHeight="1">
      <c r="D17" s="22"/>
      <c r="E17" s="22"/>
      <c r="J17" s="5"/>
      <c r="K17" s="5"/>
      <c r="L17" s="5"/>
      <c r="M17" s="5"/>
      <c r="N17" s="5"/>
      <c r="O17" s="5"/>
      <c r="P17" s="88"/>
      <c r="Q17" s="95"/>
    </row>
    <row r="18" spans="4:17" s="2" customFormat="1" ht="12" customHeight="1">
      <c r="D18" s="22"/>
      <c r="E18" s="22"/>
      <c r="J18" s="5"/>
      <c r="K18" s="5"/>
      <c r="L18" s="5"/>
      <c r="M18" s="5"/>
      <c r="N18" s="5"/>
      <c r="O18" s="5"/>
      <c r="P18" s="88"/>
      <c r="Q18" s="95"/>
    </row>
    <row r="19" spans="4:17" s="2" customFormat="1" ht="12" customHeight="1">
      <c r="D19" s="22"/>
      <c r="E19" s="22"/>
      <c r="J19" s="5"/>
      <c r="K19" s="5"/>
      <c r="L19" s="5"/>
      <c r="M19" s="5"/>
      <c r="N19" s="5"/>
      <c r="O19" s="5"/>
      <c r="P19" s="88"/>
      <c r="Q19" s="95"/>
    </row>
    <row r="20" spans="4:17" s="2" customFormat="1" ht="12" customHeight="1">
      <c r="D20" s="22"/>
      <c r="E20" s="22"/>
      <c r="J20" s="5"/>
      <c r="K20" s="5"/>
      <c r="L20" s="5"/>
      <c r="M20" s="5"/>
      <c r="N20" s="5"/>
      <c r="O20" s="5"/>
      <c r="P20" s="88"/>
      <c r="Q20" s="95"/>
    </row>
    <row r="21" spans="4:17" s="2" customFormat="1" ht="12" customHeight="1">
      <c r="D21" s="22"/>
      <c r="E21" s="22"/>
      <c r="J21" s="5"/>
      <c r="K21" s="5"/>
      <c r="L21" s="5"/>
      <c r="M21" s="5"/>
      <c r="N21" s="5"/>
      <c r="O21" s="5"/>
      <c r="P21" s="88"/>
      <c r="Q21" s="95"/>
    </row>
    <row r="22" spans="4:17" s="2" customFormat="1" ht="12" customHeight="1">
      <c r="D22" s="22"/>
      <c r="E22" s="22"/>
      <c r="J22" s="5"/>
      <c r="K22" s="5"/>
      <c r="L22" s="5"/>
      <c r="M22" s="5"/>
      <c r="N22" s="5"/>
      <c r="O22" s="5"/>
      <c r="P22" s="88"/>
      <c r="Q22" s="95"/>
    </row>
    <row r="23" spans="4:17" s="2" customFormat="1" ht="12" customHeight="1">
      <c r="D23" s="22"/>
      <c r="E23" s="22"/>
      <c r="J23" s="5"/>
      <c r="K23" s="5"/>
      <c r="L23" s="5"/>
      <c r="M23" s="5"/>
      <c r="N23" s="5"/>
      <c r="O23" s="5"/>
      <c r="P23" s="88"/>
      <c r="Q23" s="95"/>
    </row>
    <row r="24" spans="4:17" s="2" customFormat="1" ht="12" customHeight="1">
      <c r="D24" s="22"/>
      <c r="E24" s="22"/>
      <c r="J24" s="5"/>
      <c r="K24" s="5"/>
      <c r="L24" s="5"/>
      <c r="M24" s="5"/>
      <c r="N24" s="5"/>
      <c r="O24" s="5"/>
      <c r="P24" s="88"/>
      <c r="Q24" s="95"/>
    </row>
    <row r="25" spans="4:17" s="2" customFormat="1" ht="12" customHeight="1">
      <c r="D25" s="22"/>
      <c r="E25" s="22"/>
      <c r="J25" s="5"/>
      <c r="K25" s="5"/>
      <c r="L25" s="5"/>
      <c r="M25" s="5"/>
      <c r="N25" s="5"/>
      <c r="O25" s="5"/>
      <c r="P25" s="88"/>
      <c r="Q25" s="95"/>
    </row>
    <row r="26" spans="4:17" s="2" customFormat="1" ht="12" customHeight="1">
      <c r="D26" s="22"/>
      <c r="E26" s="22"/>
      <c r="J26" s="5"/>
      <c r="K26" s="5"/>
      <c r="L26" s="5"/>
      <c r="M26" s="5"/>
      <c r="N26" s="5"/>
      <c r="O26" s="5"/>
      <c r="P26" s="88"/>
      <c r="Q26" s="95"/>
    </row>
    <row r="27" spans="4:17" s="2" customFormat="1" ht="12" customHeight="1">
      <c r="D27" s="22"/>
      <c r="E27" s="22"/>
      <c r="J27" s="5"/>
      <c r="K27" s="5"/>
      <c r="L27" s="5"/>
      <c r="M27" s="5"/>
      <c r="N27" s="5"/>
      <c r="O27" s="5"/>
      <c r="P27" s="88"/>
      <c r="Q27" s="95"/>
    </row>
    <row r="28" spans="4:17" s="2" customFormat="1" ht="12" customHeight="1">
      <c r="D28" s="22"/>
      <c r="E28" s="22"/>
      <c r="J28" s="5"/>
      <c r="K28" s="5"/>
      <c r="L28" s="5"/>
      <c r="M28" s="5"/>
      <c r="N28" s="5"/>
      <c r="O28" s="5"/>
      <c r="P28" s="88"/>
      <c r="Q28" s="95"/>
    </row>
    <row r="29" spans="4:17" s="2" customFormat="1" ht="12" customHeight="1">
      <c r="D29" s="22"/>
      <c r="E29" s="22"/>
      <c r="J29" s="5"/>
      <c r="K29" s="5"/>
      <c r="L29" s="5"/>
      <c r="M29" s="5"/>
      <c r="N29" s="5"/>
      <c r="O29" s="5"/>
      <c r="P29" s="88"/>
      <c r="Q29" s="95"/>
    </row>
    <row r="30" spans="4:17" s="2" customFormat="1" ht="12" customHeight="1">
      <c r="D30" s="22"/>
      <c r="E30" s="22"/>
      <c r="J30" s="5"/>
      <c r="K30" s="5"/>
      <c r="L30" s="5"/>
      <c r="M30" s="5"/>
      <c r="N30" s="5"/>
      <c r="O30" s="5"/>
      <c r="P30" s="88"/>
      <c r="Q30" s="95"/>
    </row>
    <row r="31" spans="4:17" s="2" customFormat="1" ht="12" customHeight="1">
      <c r="D31" s="22"/>
      <c r="E31" s="22"/>
      <c r="J31" s="5"/>
      <c r="K31" s="5"/>
      <c r="L31" s="5"/>
      <c r="M31" s="5"/>
      <c r="N31" s="5"/>
      <c r="O31" s="5"/>
      <c r="P31" s="88"/>
      <c r="Q31" s="95"/>
    </row>
    <row r="32" spans="4:17" s="2" customFormat="1" ht="12" customHeight="1">
      <c r="D32" s="22"/>
      <c r="E32" s="22"/>
      <c r="J32" s="5"/>
      <c r="K32" s="5"/>
      <c r="L32" s="5"/>
      <c r="M32" s="5"/>
      <c r="N32" s="5"/>
      <c r="O32" s="5"/>
      <c r="P32" s="88"/>
      <c r="Q32" s="95"/>
    </row>
    <row r="33" spans="4:17" s="2" customFormat="1" ht="12" customHeight="1">
      <c r="D33" s="22"/>
      <c r="E33" s="22"/>
      <c r="J33" s="5"/>
      <c r="K33" s="5"/>
      <c r="L33" s="5"/>
      <c r="M33" s="5"/>
      <c r="N33" s="5"/>
      <c r="O33" s="5"/>
      <c r="P33" s="88"/>
      <c r="Q33" s="95"/>
    </row>
    <row r="34" spans="4:17" s="2" customFormat="1" ht="12" customHeight="1">
      <c r="D34" s="22"/>
      <c r="E34" s="22"/>
      <c r="J34" s="5"/>
      <c r="K34" s="5"/>
      <c r="L34" s="5"/>
      <c r="M34" s="5"/>
      <c r="N34" s="5"/>
      <c r="O34" s="5"/>
      <c r="P34" s="88"/>
      <c r="Q34" s="95"/>
    </row>
    <row r="35" spans="4:17" s="2" customFormat="1" ht="12" customHeight="1">
      <c r="D35" s="22"/>
      <c r="E35" s="22"/>
      <c r="J35" s="5"/>
      <c r="K35" s="5"/>
      <c r="L35" s="5"/>
      <c r="M35" s="5"/>
      <c r="N35" s="5"/>
      <c r="O35" s="5"/>
      <c r="P35" s="88"/>
      <c r="Q35" s="95"/>
    </row>
    <row r="36" spans="4:17" s="2" customFormat="1" ht="12" customHeight="1">
      <c r="D36" s="22"/>
      <c r="E36" s="22"/>
      <c r="J36" s="5"/>
      <c r="K36" s="5"/>
      <c r="L36" s="5"/>
      <c r="M36" s="5"/>
      <c r="N36" s="5"/>
      <c r="O36" s="5"/>
      <c r="P36" s="88"/>
      <c r="Q36" s="95"/>
    </row>
    <row r="37" spans="4:17" s="2" customFormat="1" ht="12" customHeight="1">
      <c r="D37" s="22"/>
      <c r="E37" s="22"/>
      <c r="J37" s="5"/>
      <c r="K37" s="5"/>
      <c r="L37" s="5"/>
      <c r="M37" s="5"/>
      <c r="N37" s="5"/>
      <c r="O37" s="5"/>
      <c r="P37" s="88"/>
      <c r="Q37" s="95"/>
    </row>
    <row r="38" spans="4:17" s="2" customFormat="1" ht="12" customHeight="1">
      <c r="D38" s="22"/>
      <c r="E38" s="22"/>
      <c r="J38" s="5"/>
      <c r="K38" s="5"/>
      <c r="L38" s="5"/>
      <c r="M38" s="5"/>
      <c r="N38" s="5"/>
      <c r="O38" s="5"/>
      <c r="P38" s="88"/>
      <c r="Q38" s="95"/>
    </row>
    <row r="39" spans="4:17" s="2" customFormat="1" ht="12" customHeight="1">
      <c r="D39" s="22"/>
      <c r="E39" s="22"/>
      <c r="J39" s="5"/>
      <c r="K39" s="5"/>
      <c r="L39" s="5"/>
      <c r="M39" s="5"/>
      <c r="N39" s="5"/>
      <c r="O39" s="5"/>
      <c r="P39" s="88"/>
      <c r="Q39" s="95"/>
    </row>
    <row r="40" spans="4:17" s="2" customFormat="1" ht="12" customHeight="1">
      <c r="D40" s="22"/>
      <c r="E40" s="22"/>
      <c r="J40" s="5"/>
      <c r="K40" s="5"/>
      <c r="L40" s="5"/>
      <c r="M40" s="5"/>
      <c r="N40" s="5"/>
      <c r="O40" s="5"/>
      <c r="P40" s="88"/>
      <c r="Q40" s="95"/>
    </row>
    <row r="41" spans="4:17" s="2" customFormat="1" ht="12" customHeight="1">
      <c r="D41" s="22"/>
      <c r="E41" s="22"/>
      <c r="J41" s="5"/>
      <c r="K41" s="5"/>
      <c r="L41" s="5"/>
      <c r="M41" s="5"/>
      <c r="N41" s="5"/>
      <c r="O41" s="5"/>
      <c r="P41" s="88"/>
      <c r="Q41" s="95"/>
    </row>
    <row r="42" spans="4:17" s="2" customFormat="1" ht="12" customHeight="1">
      <c r="D42" s="22"/>
      <c r="E42" s="22"/>
      <c r="J42" s="5"/>
      <c r="K42" s="5"/>
      <c r="L42" s="5"/>
      <c r="M42" s="5"/>
      <c r="N42" s="5"/>
      <c r="O42" s="5"/>
      <c r="P42" s="88"/>
      <c r="Q42" s="95"/>
    </row>
    <row r="43" spans="4:17" s="2" customFormat="1" ht="12" customHeight="1">
      <c r="D43" s="22"/>
      <c r="E43" s="22"/>
      <c r="J43" s="5"/>
      <c r="K43" s="5"/>
      <c r="L43" s="5"/>
      <c r="M43" s="5"/>
      <c r="N43" s="5"/>
      <c r="O43" s="5"/>
      <c r="P43" s="88"/>
      <c r="Q43" s="95"/>
    </row>
    <row r="44" spans="4:17" s="2" customFormat="1" ht="12" customHeight="1">
      <c r="D44" s="22"/>
      <c r="E44" s="22"/>
      <c r="J44" s="5"/>
      <c r="K44" s="5"/>
      <c r="L44" s="5"/>
      <c r="M44" s="5"/>
      <c r="N44" s="5"/>
      <c r="O44" s="5"/>
      <c r="P44" s="88"/>
      <c r="Q44" s="95"/>
    </row>
    <row r="45" spans="4:17" s="2" customFormat="1" ht="12" customHeight="1">
      <c r="D45" s="22"/>
      <c r="E45" s="22"/>
      <c r="J45" s="5"/>
      <c r="K45" s="5"/>
      <c r="L45" s="5"/>
      <c r="M45" s="5"/>
      <c r="N45" s="5"/>
      <c r="O45" s="5"/>
      <c r="P45" s="88"/>
      <c r="Q45" s="95"/>
    </row>
    <row r="46" spans="4:17" s="2" customFormat="1" ht="12" customHeight="1">
      <c r="D46" s="22"/>
      <c r="E46" s="22"/>
      <c r="J46" s="5"/>
      <c r="K46" s="5"/>
      <c r="L46" s="5"/>
      <c r="M46" s="5"/>
      <c r="N46" s="5"/>
      <c r="O46" s="5"/>
      <c r="P46" s="88"/>
      <c r="Q46" s="95"/>
    </row>
    <row r="47" spans="4:17" s="2" customFormat="1" ht="12" customHeight="1">
      <c r="D47" s="22"/>
      <c r="E47" s="22"/>
      <c r="J47" s="5"/>
      <c r="K47" s="5"/>
      <c r="L47" s="5"/>
      <c r="M47" s="5"/>
      <c r="N47" s="5"/>
      <c r="O47" s="5"/>
      <c r="P47" s="88"/>
      <c r="Q47" s="95"/>
    </row>
    <row r="48" spans="4:17" s="2" customFormat="1" ht="12" customHeight="1">
      <c r="D48" s="22"/>
      <c r="E48" s="22"/>
      <c r="J48" s="5"/>
      <c r="K48" s="5"/>
      <c r="L48" s="5"/>
      <c r="M48" s="5"/>
      <c r="N48" s="5"/>
      <c r="O48" s="5"/>
      <c r="P48" s="88"/>
      <c r="Q48" s="95"/>
    </row>
    <row r="49" spans="1:17" s="2" customFormat="1" ht="12" customHeight="1">
      <c r="D49" s="22"/>
      <c r="E49" s="22"/>
      <c r="J49" s="5"/>
      <c r="K49" s="5"/>
      <c r="L49" s="5"/>
      <c r="M49" s="5"/>
      <c r="N49" s="5"/>
      <c r="O49" s="5"/>
      <c r="P49" s="88"/>
      <c r="Q49" s="95"/>
    </row>
    <row r="50" spans="1:17" s="2" customFormat="1" ht="12" customHeight="1">
      <c r="D50" s="22"/>
      <c r="E50" s="22"/>
      <c r="J50" s="5"/>
      <c r="K50" s="5"/>
      <c r="L50" s="5"/>
      <c r="M50" s="5"/>
      <c r="N50" s="5"/>
      <c r="O50" s="5"/>
      <c r="P50" s="88"/>
      <c r="Q50" s="95"/>
    </row>
    <row r="51" spans="1:17" s="2" customFormat="1" ht="12" customHeight="1">
      <c r="D51" s="22"/>
      <c r="E51" s="22"/>
      <c r="J51" s="5"/>
      <c r="K51" s="5"/>
      <c r="L51" s="5"/>
      <c r="M51" s="5"/>
      <c r="N51" s="5"/>
      <c r="O51" s="5"/>
      <c r="P51" s="88"/>
      <c r="Q51" s="95"/>
    </row>
    <row r="52" spans="1:17" s="2" customFormat="1" ht="12" customHeight="1">
      <c r="D52" s="22"/>
      <c r="E52" s="22"/>
      <c r="J52" s="5"/>
      <c r="K52" s="5"/>
      <c r="L52" s="5"/>
      <c r="M52" s="5"/>
      <c r="N52" s="5"/>
      <c r="O52" s="5"/>
      <c r="P52" s="88"/>
      <c r="Q52" s="95"/>
    </row>
    <row r="53" spans="1:17" s="2" customFormat="1" ht="12" customHeight="1">
      <c r="D53" s="22"/>
      <c r="E53" s="22"/>
      <c r="J53" s="5"/>
      <c r="K53" s="5"/>
      <c r="L53" s="5"/>
      <c r="M53" s="5"/>
      <c r="N53" s="5"/>
      <c r="O53" s="5"/>
      <c r="P53" s="88"/>
      <c r="Q53" s="96"/>
    </row>
    <row r="54" spans="1:17" s="2" customFormat="1" ht="12" customHeight="1">
      <c r="D54" s="22"/>
      <c r="E54" s="22"/>
      <c r="J54" s="5"/>
      <c r="K54" s="5"/>
      <c r="L54" s="5"/>
      <c r="M54" s="5"/>
      <c r="N54" s="5"/>
      <c r="O54" s="5"/>
      <c r="P54" s="88"/>
      <c r="Q54" s="96"/>
    </row>
    <row r="55" spans="1:17" s="2" customFormat="1" ht="12" customHeight="1">
      <c r="D55" s="22"/>
      <c r="E55" s="22"/>
      <c r="J55" s="5"/>
      <c r="K55" s="5"/>
      <c r="L55" s="5"/>
      <c r="M55" s="5"/>
      <c r="N55" s="5"/>
      <c r="O55" s="5"/>
      <c r="P55" s="88"/>
      <c r="Q55" s="96"/>
    </row>
    <row r="56" spans="1:17" s="2" customFormat="1" ht="12" customHeight="1">
      <c r="D56" s="22"/>
      <c r="E56" s="22"/>
      <c r="J56" s="5"/>
      <c r="K56" s="5"/>
      <c r="L56" s="5"/>
      <c r="M56" s="5"/>
      <c r="N56" s="5"/>
      <c r="O56" s="5"/>
      <c r="P56" s="88"/>
      <c r="Q56" s="96"/>
    </row>
    <row r="57" spans="1:17" s="2" customFormat="1" ht="12" customHeight="1">
      <c r="A57"/>
      <c r="B57"/>
      <c r="C57"/>
      <c r="D57" s="23"/>
      <c r="E57" s="23"/>
      <c r="F57"/>
      <c r="G57"/>
      <c r="H57"/>
      <c r="I57"/>
      <c r="J57" s="19"/>
      <c r="K57" s="19"/>
      <c r="L57" s="19"/>
      <c r="M57" s="19"/>
      <c r="N57" s="19"/>
      <c r="O57" s="19"/>
      <c r="P57" s="90"/>
      <c r="Q57" s="96"/>
    </row>
    <row r="58" spans="1:17" s="2" customFormat="1" ht="12" customHeight="1">
      <c r="A58"/>
      <c r="B58"/>
      <c r="C58"/>
      <c r="D58" s="23"/>
      <c r="E58" s="23"/>
      <c r="F58"/>
      <c r="G58"/>
      <c r="H58"/>
      <c r="I58"/>
      <c r="J58" s="19"/>
      <c r="K58" s="19"/>
      <c r="L58" s="19"/>
      <c r="M58" s="19"/>
      <c r="N58" s="19"/>
      <c r="O58" s="19"/>
      <c r="P58" s="90"/>
      <c r="Q58" s="96"/>
    </row>
    <row r="59" spans="1:17" s="2" customFormat="1" ht="12" customHeight="1">
      <c r="A59"/>
      <c r="B59"/>
      <c r="C59"/>
      <c r="D59" s="23"/>
      <c r="E59" s="23"/>
      <c r="F59"/>
      <c r="G59"/>
      <c r="H59"/>
      <c r="I59"/>
      <c r="J59" s="19"/>
      <c r="K59" s="19"/>
      <c r="L59" s="19"/>
      <c r="M59" s="19"/>
      <c r="N59" s="19"/>
      <c r="O59" s="19"/>
      <c r="P59" s="90"/>
      <c r="Q59" s="96"/>
    </row>
    <row r="60" spans="1:17" s="2" customFormat="1" ht="12" customHeight="1">
      <c r="A60"/>
      <c r="B60"/>
      <c r="C60"/>
      <c r="D60" s="23"/>
      <c r="E60" s="23"/>
      <c r="F60"/>
      <c r="G60"/>
      <c r="H60"/>
      <c r="I60"/>
      <c r="J60" s="19"/>
      <c r="K60" s="19"/>
      <c r="L60" s="19"/>
      <c r="M60" s="19"/>
      <c r="N60" s="19"/>
      <c r="O60" s="19"/>
      <c r="P60" s="90"/>
      <c r="Q60" s="96"/>
    </row>
    <row r="61" spans="1:17" s="2" customFormat="1" ht="12" customHeight="1">
      <c r="A61"/>
      <c r="B61"/>
      <c r="C61"/>
      <c r="D61" s="23"/>
      <c r="E61" s="23"/>
      <c r="F61"/>
      <c r="G61"/>
      <c r="H61"/>
      <c r="I61"/>
      <c r="J61" s="19"/>
      <c r="K61" s="19"/>
      <c r="L61" s="19"/>
      <c r="M61" s="19"/>
      <c r="N61" s="19"/>
      <c r="O61" s="19"/>
      <c r="P61" s="90"/>
      <c r="Q61" s="96"/>
    </row>
    <row r="62" spans="1:17">
      <c r="Q62" s="96"/>
    </row>
    <row r="63" spans="1:17">
      <c r="Q63" s="96"/>
    </row>
    <row r="64" spans="1:17">
      <c r="Q64" s="96"/>
    </row>
    <row r="65" spans="17:17">
      <c r="Q65" s="96"/>
    </row>
    <row r="66" spans="17:17">
      <c r="Q66" s="96"/>
    </row>
    <row r="67" spans="17:17">
      <c r="Q67" s="96"/>
    </row>
    <row r="68" spans="17:17">
      <c r="Q68" s="96"/>
    </row>
    <row r="69" spans="17:17">
      <c r="Q69" s="96"/>
    </row>
    <row r="70" spans="17:17">
      <c r="Q70" s="96"/>
    </row>
    <row r="71" spans="17:17">
      <c r="Q71" s="96"/>
    </row>
    <row r="72" spans="17:17">
      <c r="Q72" s="96"/>
    </row>
    <row r="73" spans="17:17">
      <c r="Q73" s="96"/>
    </row>
    <row r="74" spans="17:17">
      <c r="Q74" s="96"/>
    </row>
    <row r="75" spans="17:17">
      <c r="Q75" s="96"/>
    </row>
    <row r="76" spans="17:17">
      <c r="Q76" s="96"/>
    </row>
    <row r="77" spans="17:17">
      <c r="Q77" s="96"/>
    </row>
    <row r="78" spans="17:17">
      <c r="Q78" s="96"/>
    </row>
    <row r="79" spans="17:17">
      <c r="Q79" s="96"/>
    </row>
    <row r="80" spans="17:17">
      <c r="Q80" s="96"/>
    </row>
    <row r="81" spans="17:17">
      <c r="Q81" s="96"/>
    </row>
    <row r="118" ht="12" customHeight="1"/>
    <row r="119" ht="12" customHeight="1"/>
    <row r="120" ht="12" customHeight="1"/>
    <row r="121" ht="12" customHeight="1"/>
    <row r="122" ht="12" customHeight="1"/>
    <row r="123" ht="12" customHeight="1"/>
    <row r="124" ht="12" customHeight="1"/>
    <row r="125" ht="12" customHeight="1"/>
    <row r="126" ht="12" customHeight="1"/>
    <row r="127" ht="12" customHeight="1"/>
    <row r="128" ht="12" customHeight="1"/>
    <row r="129" ht="12" customHeight="1"/>
    <row r="130" ht="12" customHeight="1"/>
    <row r="131" ht="12" customHeight="1"/>
    <row r="132" ht="12" customHeight="1"/>
    <row r="133" ht="12" customHeight="1"/>
    <row r="134" ht="12" customHeight="1"/>
    <row r="135" ht="12" customHeight="1"/>
    <row r="136" ht="12" customHeight="1"/>
    <row r="137" ht="12" customHeight="1"/>
    <row r="138" ht="12" customHeight="1"/>
    <row r="139" ht="12" customHeight="1"/>
    <row r="140" ht="12" customHeight="1"/>
    <row r="141" ht="12" customHeight="1"/>
    <row r="142" ht="12" customHeight="1"/>
    <row r="143" ht="12" customHeight="1"/>
    <row r="144" ht="12" customHeight="1"/>
    <row r="145" ht="12" customHeight="1"/>
    <row r="146" ht="12" customHeight="1"/>
    <row r="147" ht="12" customHeight="1"/>
    <row r="148" ht="12" customHeight="1"/>
    <row r="149" ht="12" customHeight="1"/>
    <row r="150" ht="12" customHeight="1"/>
    <row r="151" ht="12" customHeight="1"/>
    <row r="152" ht="12" customHeight="1"/>
    <row r="153" ht="12" customHeight="1"/>
    <row r="154" ht="12" customHeight="1"/>
    <row r="155" ht="12" customHeight="1"/>
    <row r="156" ht="12" customHeight="1"/>
    <row r="157" ht="12" customHeight="1"/>
    <row r="158" ht="12" customHeight="1"/>
    <row r="159" ht="12" customHeight="1"/>
    <row r="160" ht="12" customHeight="1"/>
    <row r="161" ht="12" customHeight="1"/>
    <row r="162" ht="12" customHeight="1"/>
    <row r="163" ht="12" customHeight="1"/>
    <row r="164" ht="12" customHeight="1"/>
    <row r="165" ht="12" customHeight="1"/>
    <row r="166" ht="12" customHeight="1"/>
    <row r="167" ht="12" customHeight="1"/>
  </sheetData>
  <mergeCells count="22">
    <mergeCell ref="D14:E14"/>
    <mergeCell ref="H14:I14"/>
    <mergeCell ref="D7:E7"/>
    <mergeCell ref="H7:I7"/>
    <mergeCell ref="D8:E8"/>
    <mergeCell ref="H8:I8"/>
    <mergeCell ref="D9:E9"/>
    <mergeCell ref="H9:I9"/>
    <mergeCell ref="D12:E12"/>
    <mergeCell ref="H12:I12"/>
    <mergeCell ref="D13:E13"/>
    <mergeCell ref="D11:E11"/>
    <mergeCell ref="H11:I11"/>
    <mergeCell ref="D6:E6"/>
    <mergeCell ref="H6:I6"/>
    <mergeCell ref="D10:E10"/>
    <mergeCell ref="H10:I10"/>
    <mergeCell ref="D1:E1"/>
    <mergeCell ref="D4:E4"/>
    <mergeCell ref="H4:I4"/>
    <mergeCell ref="D5:E5"/>
    <mergeCell ref="H5:I5"/>
  </mergeCells>
  <conditionalFormatting sqref="M13">
    <cfRule type="cellIs" dxfId="260" priority="1" stopIfTrue="1" operator="lessThanOrEqual">
      <formula>$L13</formula>
    </cfRule>
    <cfRule type="cellIs" dxfId="259" priority="2" operator="greaterThan">
      <formula>L13</formula>
    </cfRule>
  </conditionalFormatting>
  <pageMargins left="0.7" right="0.7" top="0.75" bottom="0.75" header="0.3" footer="0.3"/>
  <pageSetup paperSize="3" fitToHeight="0" orientation="landscape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7AD27EBF-9368-43DC-841F-C559A19C9179}">
          <x14:formula1>
            <xm:f>Bolts!$A:$A</xm:f>
          </x14:formula1>
          <xm:sqref>C13</xm:sqref>
        </x14:dataValidation>
        <x14:dataValidation type="list" allowBlank="1" showInputMessage="1" showErrorMessage="1" xr:uid="{E1AC557B-666A-49BE-98F0-56A73DF21EB0}">
          <x14:formula1>
            <xm:f>Assemblies!$E:$E</xm:f>
          </x14:formula1>
          <xm:sqref>C5:C11</xm:sqref>
        </x14:dataValidation>
      </x14:dataValidations>
    </ext>
  </extLst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F3E62D-2643-4B33-9435-BD7240CF46DC}">
  <sheetPr codeName="Sheet113">
    <tabColor theme="3" tint="0.79998168889431442"/>
    <pageSetUpPr fitToPage="1"/>
  </sheetPr>
  <dimension ref="A1:Q179"/>
  <sheetViews>
    <sheetView zoomScaleNormal="100" workbookViewId="0">
      <selection activeCell="S24" sqref="S24"/>
    </sheetView>
  </sheetViews>
  <sheetFormatPr defaultColWidth="9.140625" defaultRowHeight="15"/>
  <cols>
    <col min="1" max="1" width="5.7109375" customWidth="1"/>
    <col min="2" max="2" width="5.42578125" bestFit="1" customWidth="1"/>
    <col min="3" max="3" width="30.7109375" customWidth="1"/>
    <col min="4" max="5" width="20.7109375" style="23" customWidth="1"/>
    <col min="6" max="6" width="16.85546875" bestFit="1" customWidth="1"/>
    <col min="7" max="7" width="9.7109375" customWidth="1"/>
    <col min="8" max="8" width="8.7109375" customWidth="1"/>
    <col min="9" max="9" width="20.7109375" customWidth="1"/>
    <col min="10" max="13" width="11.7109375" style="19" customWidth="1"/>
    <col min="14" max="14" width="11.85546875" style="19" bestFit="1" customWidth="1"/>
    <col min="15" max="15" width="7.7109375" style="19" customWidth="1"/>
    <col min="16" max="16" width="10.7109375" style="90" customWidth="1"/>
    <col min="17" max="17" width="10.7109375" style="97" customWidth="1"/>
  </cols>
  <sheetData>
    <row r="1" spans="1:17" s="55" customFormat="1" ht="12" customHeight="1">
      <c r="A1" s="68" t="s">
        <v>0</v>
      </c>
      <c r="B1" s="69"/>
      <c r="C1" s="69"/>
      <c r="D1" s="262" t="s">
        <v>1</v>
      </c>
      <c r="E1" s="263"/>
      <c r="F1" s="70"/>
      <c r="G1" s="69"/>
      <c r="H1" s="70"/>
      <c r="I1" s="71"/>
      <c r="J1" s="72"/>
      <c r="K1" s="72"/>
      <c r="L1" s="72"/>
      <c r="M1" s="72"/>
      <c r="N1" s="72"/>
      <c r="O1" s="72"/>
      <c r="P1" s="85"/>
      <c r="Q1" s="91"/>
    </row>
    <row r="2" spans="1:17" s="55" customFormat="1" ht="12" customHeight="1">
      <c r="A2" s="74" t="s">
        <v>48</v>
      </c>
      <c r="B2" s="58"/>
      <c r="C2" s="57" t="e">
        <f ca="1">VLOOKUP(E3,Assemblies!B:F,4,0)</f>
        <v>#VALUE!</v>
      </c>
      <c r="D2" s="75" t="s">
        <v>3</v>
      </c>
      <c r="E2" s="76" t="e">
        <f ca="1">'GF12'!E2</f>
        <v>#VALUE!</v>
      </c>
      <c r="F2" s="77" t="s">
        <v>4</v>
      </c>
      <c r="G2" s="58" t="str">
        <f>'GF12'!G2</f>
        <v>GH</v>
      </c>
      <c r="H2" s="77" t="s">
        <v>6</v>
      </c>
      <c r="I2" s="59">
        <f>'GF12'!I2</f>
        <v>44775</v>
      </c>
      <c r="J2" s="39"/>
      <c r="K2" s="40" t="s">
        <v>49</v>
      </c>
      <c r="L2" s="41" t="e">
        <f ca="1">VLOOKUP(C2,Assemblies!E:G,3,0)</f>
        <v>#VALUE!</v>
      </c>
      <c r="M2" s="78"/>
      <c r="N2" s="78"/>
      <c r="O2" s="78"/>
      <c r="P2" s="86"/>
      <c r="Q2" s="92"/>
    </row>
    <row r="3" spans="1:17" s="55" customFormat="1" ht="12" customHeight="1" thickBot="1">
      <c r="A3" s="74" t="s">
        <v>7</v>
      </c>
      <c r="B3" s="58"/>
      <c r="C3" s="57" t="e">
        <f ca="1">VLOOKUP(E3,Assemblies!B:F,5,0)</f>
        <v>#VALUE!</v>
      </c>
      <c r="D3" s="75" t="s">
        <v>50</v>
      </c>
      <c r="E3" s="76" t="e">
        <f ca="1">MID(CELL("filename",A1),FIND("]",CELL("filename",A1))+1,256)</f>
        <v>#VALUE!</v>
      </c>
      <c r="F3" s="77" t="s">
        <v>11</v>
      </c>
      <c r="G3" s="58" t="str">
        <f>'GF12'!G3</f>
        <v>GH</v>
      </c>
      <c r="H3" s="77" t="s">
        <v>6</v>
      </c>
      <c r="I3" s="59">
        <f>'GF12'!I3</f>
        <v>44775</v>
      </c>
      <c r="J3" s="78"/>
      <c r="K3" s="78"/>
      <c r="L3" s="78"/>
      <c r="M3" s="78"/>
      <c r="N3" s="78"/>
      <c r="O3" s="78"/>
      <c r="P3" s="86"/>
      <c r="Q3" s="92"/>
    </row>
    <row r="4" spans="1:17" s="56" customFormat="1" ht="12.75" customHeight="1" thickBot="1">
      <c r="A4" s="80" t="s">
        <v>12</v>
      </c>
      <c r="B4" s="81" t="s">
        <v>13</v>
      </c>
      <c r="C4" s="81" t="s">
        <v>14</v>
      </c>
      <c r="D4" s="270" t="s">
        <v>15</v>
      </c>
      <c r="E4" s="271"/>
      <c r="F4" s="104" t="s">
        <v>16</v>
      </c>
      <c r="G4" s="81" t="s">
        <v>17</v>
      </c>
      <c r="H4" s="260" t="s">
        <v>18</v>
      </c>
      <c r="I4" s="261"/>
      <c r="J4" s="81" t="s">
        <v>51</v>
      </c>
      <c r="K4" s="81" t="s">
        <v>20</v>
      </c>
      <c r="L4" s="81" t="s">
        <v>21</v>
      </c>
      <c r="M4" s="81" t="s">
        <v>52</v>
      </c>
      <c r="N4" s="81" t="s">
        <v>22</v>
      </c>
      <c r="O4" s="81" t="s">
        <v>53</v>
      </c>
      <c r="P4" s="107" t="s">
        <v>26</v>
      </c>
      <c r="Q4" s="82" t="s">
        <v>27</v>
      </c>
    </row>
    <row r="5" spans="1:17" s="2" customFormat="1" ht="12.75" customHeight="1">
      <c r="A5" s="127">
        <v>1</v>
      </c>
      <c r="B5" s="21">
        <v>1</v>
      </c>
      <c r="C5" s="108" t="s">
        <v>1156</v>
      </c>
      <c r="D5" s="277" t="str">
        <f>VLOOKUP(C5,Machined!C:Q,2,0)</f>
        <v>CROSS SEAL CRANKSHAFT</v>
      </c>
      <c r="E5" s="278"/>
      <c r="F5" s="131" t="str">
        <f>VLOOKUP(C5,Machined!C:R,7,0)</f>
        <v>303 SS - TG&amp;P</v>
      </c>
      <c r="G5" s="131" t="str">
        <f>VLOOKUP(C5,Machined!C:R,10,0)</f>
        <v>ALEXANDRIA, Nuline</v>
      </c>
      <c r="H5" s="131" t="str">
        <f>VLOOKUP(C5,Machined!C:R,11,0)</f>
        <v xml:space="preserve">  </v>
      </c>
      <c r="I5" s="131"/>
      <c r="J5" s="42" t="str">
        <f>VLOOKUP(C5,Machined!C:R,12,0)</f>
        <v>N/A</v>
      </c>
      <c r="K5" s="42" t="str">
        <f>VLOOKUP(C5,Machined!C:R,13,0)</f>
        <v>N/A</v>
      </c>
      <c r="L5" s="42" t="str">
        <f>VLOOKUP(C5,Machined!C:R,14,0)</f>
        <v>N/A</v>
      </c>
      <c r="M5" s="42" t="str">
        <f>VLOOKUP(C5,Machined!C:R,15,0)</f>
        <v>N/A</v>
      </c>
      <c r="N5" s="43">
        <f>VLOOKUP(C5,Machined!C:R,16,0)</f>
        <v>55018</v>
      </c>
      <c r="O5" s="43" t="e">
        <f t="shared" ref="O5:O9" ca="1" si="0">B5*$L$2</f>
        <v>#VALUE!</v>
      </c>
      <c r="P5" s="47">
        <f>IFERROR(VLOOKUP(C5,Machined!C:F,3,0),"")</f>
        <v>73.400000000000006</v>
      </c>
      <c r="Q5" s="48">
        <f t="shared" ref="Q5:Q9" si="1">IFERROR(B5*P5,"")</f>
        <v>73.400000000000006</v>
      </c>
    </row>
    <row r="6" spans="1:17" s="2" customFormat="1" ht="12.75" customHeight="1">
      <c r="A6" s="127">
        <v>2</v>
      </c>
      <c r="B6" s="21">
        <v>1</v>
      </c>
      <c r="C6" s="108" t="s">
        <v>1056</v>
      </c>
      <c r="D6" s="277" t="str">
        <f>VLOOKUP(C6,Machined!C:Q,2,0)</f>
        <v>SEAL BAR GEARBOX PLATE</v>
      </c>
      <c r="E6" s="278"/>
      <c r="F6" s="131" t="str">
        <f>VLOOKUP(C6,Machined!C:R,7,0)</f>
        <v>6061-T6 Alum</v>
      </c>
      <c r="G6" s="131" t="str">
        <f>VLOOKUP(C6,Machined!C:R,10,0)</f>
        <v>FRONTIER</v>
      </c>
      <c r="H6" s="131" t="str">
        <f>VLOOKUP(C6,Machined!C:R,11,0)</f>
        <v xml:space="preserve">  </v>
      </c>
      <c r="I6" s="131"/>
      <c r="J6" s="42">
        <f>VLOOKUP(C6,Machined!C:R,12,0)</f>
        <v>45139</v>
      </c>
      <c r="K6" s="42">
        <f>VLOOKUP(C6,Machined!C:R,13,0)</f>
        <v>45140</v>
      </c>
      <c r="L6" s="42">
        <f>VLOOKUP(C6,Machined!C:R,14,0)</f>
        <v>45170</v>
      </c>
      <c r="M6" s="42">
        <f>VLOOKUP(C6,Machined!C:R,15,0)</f>
        <v>45170</v>
      </c>
      <c r="N6" s="43">
        <f>VLOOKUP(C6,Machined!C:R,16,0)</f>
        <v>55025</v>
      </c>
      <c r="O6" s="43" t="e">
        <f t="shared" ca="1" si="0"/>
        <v>#VALUE!</v>
      </c>
      <c r="P6" s="47">
        <f>IFERROR(VLOOKUP(C6,Machined!C:F,3,0),"")</f>
        <v>0</v>
      </c>
      <c r="Q6" s="48">
        <f t="shared" si="1"/>
        <v>0</v>
      </c>
    </row>
    <row r="7" spans="1:17" s="2" customFormat="1" ht="12.75" customHeight="1">
      <c r="A7" s="127">
        <v>3</v>
      </c>
      <c r="B7" s="21">
        <v>2</v>
      </c>
      <c r="C7" s="108" t="s">
        <v>1057</v>
      </c>
      <c r="D7" s="277" t="str">
        <f>VLOOKUP(C7,Machined!C:Q,2,0)</f>
        <v>SMALL GEARBOX OFFSET BLOCK</v>
      </c>
      <c r="E7" s="278"/>
      <c r="F7" s="131" t="str">
        <f>VLOOKUP(C7,Machined!C:R,7,0)</f>
        <v>6061-T6 Alum</v>
      </c>
      <c r="G7" s="131" t="str">
        <f>VLOOKUP(C7,Machined!C:R,10,0)</f>
        <v>FRONTIER</v>
      </c>
      <c r="H7" s="131" t="str">
        <f>VLOOKUP(C7,Machined!C:R,11,0)</f>
        <v xml:space="preserve">  </v>
      </c>
      <c r="I7" s="131"/>
      <c r="J7" s="42">
        <f>VLOOKUP(C7,Machined!C:R,12,0)</f>
        <v>45139</v>
      </c>
      <c r="K7" s="42">
        <f>VLOOKUP(C7,Machined!C:R,13,0)</f>
        <v>45140</v>
      </c>
      <c r="L7" s="42">
        <f>VLOOKUP(C7,Machined!C:R,14,0)</f>
        <v>45170</v>
      </c>
      <c r="M7" s="42">
        <f>VLOOKUP(C7,Machined!C:R,15,0)</f>
        <v>45170</v>
      </c>
      <c r="N7" s="43">
        <f>VLOOKUP(C7,Machined!C:R,16,0)</f>
        <v>55025</v>
      </c>
      <c r="O7" s="43" t="e">
        <f t="shared" ca="1" si="0"/>
        <v>#VALUE!</v>
      </c>
      <c r="P7" s="47">
        <f>IFERROR(VLOOKUP(C7,Machined!C:F,3,0),"")</f>
        <v>0</v>
      </c>
      <c r="Q7" s="48">
        <f t="shared" si="1"/>
        <v>0</v>
      </c>
    </row>
    <row r="8" spans="1:17" s="2" customFormat="1" ht="12.75" customHeight="1">
      <c r="A8" s="127">
        <v>4</v>
      </c>
      <c r="B8" s="21">
        <v>1</v>
      </c>
      <c r="C8" s="108" t="s">
        <v>1058</v>
      </c>
      <c r="D8" s="277" t="str">
        <f>VLOOKUP(C8,Machined!C:Q,2,0)</f>
        <v>LARGE GEARBOX OFFSET BLOCK</v>
      </c>
      <c r="E8" s="278"/>
      <c r="F8" s="131" t="str">
        <f>VLOOKUP(C8,Machined!C:R,7,0)</f>
        <v>6061-T6 Alum</v>
      </c>
      <c r="G8" s="131" t="str">
        <f>VLOOKUP(C8,Machined!C:R,10,0)</f>
        <v>FRONTIER</v>
      </c>
      <c r="H8" s="131" t="str">
        <f>VLOOKUP(C8,Machined!C:R,11,0)</f>
        <v xml:space="preserve">  </v>
      </c>
      <c r="I8" s="131"/>
      <c r="J8" s="42">
        <f>VLOOKUP(C8,Machined!C:R,12,0)</f>
        <v>45139</v>
      </c>
      <c r="K8" s="42">
        <f>VLOOKUP(C8,Machined!C:R,13,0)</f>
        <v>45140</v>
      </c>
      <c r="L8" s="42">
        <f>VLOOKUP(C8,Machined!C:R,14,0)</f>
        <v>45170</v>
      </c>
      <c r="M8" s="42">
        <f>VLOOKUP(C8,Machined!C:R,15,0)</f>
        <v>45170</v>
      </c>
      <c r="N8" s="43">
        <f>VLOOKUP(C8,Machined!C:R,16,0)</f>
        <v>55025</v>
      </c>
      <c r="O8" s="43" t="e">
        <f t="shared" ca="1" si="0"/>
        <v>#VALUE!</v>
      </c>
      <c r="P8" s="47">
        <f>IFERROR(VLOOKUP(C8,Machined!C:F,3,0),"")</f>
        <v>0</v>
      </c>
      <c r="Q8" s="48">
        <f t="shared" si="1"/>
        <v>0</v>
      </c>
    </row>
    <row r="9" spans="1:17" s="2" customFormat="1" ht="12.75" customHeight="1">
      <c r="A9" s="127">
        <v>5</v>
      </c>
      <c r="B9" s="21">
        <v>2</v>
      </c>
      <c r="C9" s="108" t="s">
        <v>1059</v>
      </c>
      <c r="D9" s="277" t="str">
        <f>VLOOKUP(C9,Machined!C:Q,2,0)</f>
        <v>CRANKSHAFT BEARING MOUNT PLATE</v>
      </c>
      <c r="E9" s="278"/>
      <c r="F9" s="131" t="str">
        <f>VLOOKUP(C9,Machined!C:R,7,0)</f>
        <v>6061-T6 Alum</v>
      </c>
      <c r="G9" s="131" t="str">
        <f>VLOOKUP(C9,Machined!C:R,10,0)</f>
        <v>FRONTIER</v>
      </c>
      <c r="H9" s="131" t="str">
        <f>VLOOKUP(C9,Machined!C:R,11,0)</f>
        <v xml:space="preserve">  </v>
      </c>
      <c r="I9" s="131"/>
      <c r="J9" s="42">
        <f>VLOOKUP(C9,Machined!C:R,12,0)</f>
        <v>45139</v>
      </c>
      <c r="K9" s="42">
        <f>VLOOKUP(C9,Machined!C:R,13,0)</f>
        <v>45140</v>
      </c>
      <c r="L9" s="42">
        <f>VLOOKUP(C9,Machined!C:R,14,0)</f>
        <v>45170</v>
      </c>
      <c r="M9" s="42">
        <f>VLOOKUP(C9,Machined!C:R,15,0)</f>
        <v>45170</v>
      </c>
      <c r="N9" s="43">
        <f>VLOOKUP(C9,Machined!C:R,16,0)</f>
        <v>55025</v>
      </c>
      <c r="O9" s="43" t="e">
        <f t="shared" ca="1" si="0"/>
        <v>#VALUE!</v>
      </c>
      <c r="P9" s="47">
        <f>IFERROR(VLOOKUP(C9,Machined!C:F,3,0),"")</f>
        <v>0</v>
      </c>
      <c r="Q9" s="48">
        <f t="shared" si="1"/>
        <v>0</v>
      </c>
    </row>
    <row r="10" spans="1:17" s="2" customFormat="1" ht="12.75" customHeight="1">
      <c r="A10" s="143"/>
      <c r="B10" s="26"/>
      <c r="C10" s="26"/>
      <c r="D10" s="272"/>
      <c r="E10" s="273"/>
      <c r="F10" s="26"/>
      <c r="G10" s="26"/>
      <c r="H10" s="274"/>
      <c r="I10" s="275"/>
      <c r="J10" s="27"/>
      <c r="K10" s="27"/>
      <c r="L10" s="27"/>
      <c r="M10" s="28"/>
      <c r="N10" s="29"/>
      <c r="O10" s="29"/>
      <c r="P10" s="141"/>
      <c r="Q10" s="142"/>
    </row>
    <row r="11" spans="1:17" s="2" customFormat="1" ht="12.75" customHeight="1">
      <c r="A11" s="4">
        <v>301</v>
      </c>
      <c r="B11" s="2">
        <v>2</v>
      </c>
      <c r="C11" s="114" t="s">
        <v>1060</v>
      </c>
      <c r="D11" s="268" t="str">
        <f>VLOOKUP(C11,Purchased!A:B,2,0)</f>
        <v>Mounted Steel Ball Bearing with Cast Iron Housing for 35 mm Shaft Diameter, with Set Screw</v>
      </c>
      <c r="E11" s="269"/>
      <c r="F11" s="112" t="str">
        <f>VLOOKUP(C11,Purchased!A:Q,9,0)</f>
        <v>MOTION</v>
      </c>
      <c r="G11" s="112" t="str">
        <f>VLOOKUP(C11,Purchased!A:Q,10,0)</f>
        <v>MOTION</v>
      </c>
      <c r="H11" s="112" t="str">
        <f>VLOOKUP(C11,Purchased!A:Q,12,0)</f>
        <v>MCM=7835T54</v>
      </c>
      <c r="I11" s="113"/>
      <c r="J11" s="44" t="str">
        <f>VLOOKUP(C11,Purchased!A:Q,13,0)</f>
        <v>N/A</v>
      </c>
      <c r="K11" s="44">
        <f>VLOOKUP(C11,Purchased!A:Q,14,0)</f>
        <v>45161</v>
      </c>
      <c r="L11" s="44">
        <f>VLOOKUP(C11,Purchased!A:Q,15,0)</f>
        <v>45191</v>
      </c>
      <c r="M11" s="44">
        <f>VLOOKUP(C11,Purchased!A:Q,16,0)</f>
        <v>45191</v>
      </c>
      <c r="N11" s="45">
        <f>VLOOKUP(C11,Purchased!A:Q,17,0)</f>
        <v>55079</v>
      </c>
      <c r="O11" s="45" t="e">
        <f t="shared" ref="O11:O15" ca="1" si="2">B11*$L$2</f>
        <v>#VALUE!</v>
      </c>
      <c r="P11" s="49">
        <f>IFERROR(VLOOKUP(C11,Purchased!A:E,3,FALSE),"")</f>
        <v>41.75</v>
      </c>
      <c r="Q11" s="50">
        <f t="shared" ref="Q11:Q15" si="3">IFERROR(B11*P11,"")</f>
        <v>83.5</v>
      </c>
    </row>
    <row r="12" spans="1:17" s="2" customFormat="1" ht="12" customHeight="1">
      <c r="A12" s="4">
        <f t="shared" ref="A12:A16" si="4">A11+1</f>
        <v>302</v>
      </c>
      <c r="B12" s="2">
        <v>16</v>
      </c>
      <c r="C12" s="114" t="s">
        <v>256</v>
      </c>
      <c r="D12" s="268" t="str">
        <f>VLOOKUP(C12,Purchased!A:B,2,0)</f>
        <v>BRX GOTO T-NUT 10 M8</v>
      </c>
      <c r="E12" s="269"/>
      <c r="F12" s="112" t="str">
        <f>VLOOKUP(C12,Purchased!A:Q,9,0)</f>
        <v>BRX</v>
      </c>
      <c r="G12" s="112" t="str">
        <f>VLOOKUP(C12,Purchased!A:Q,10,0)</f>
        <v>AAP</v>
      </c>
      <c r="H12" s="112" t="str">
        <f>VLOOKUP(C12,Purchased!A:Q,12,0)</f>
        <v xml:space="preserve">  </v>
      </c>
      <c r="I12" s="113"/>
      <c r="J12" s="44">
        <f>VLOOKUP(C12,Purchased!A:Q,13,0)</f>
        <v>45104</v>
      </c>
      <c r="K12" s="44">
        <f>VLOOKUP(C12,Purchased!A:Q,14,0)</f>
        <v>45105</v>
      </c>
      <c r="L12" s="44">
        <f>VLOOKUP(C12,Purchased!A:Q,15,0)</f>
        <v>45133</v>
      </c>
      <c r="M12" s="44">
        <f>VLOOKUP(C12,Purchased!A:Q,16,0)</f>
        <v>45133</v>
      </c>
      <c r="N12" s="45" t="str">
        <f>VLOOKUP(C12,Purchased!A:Q,17,0)</f>
        <v>54968, 55147</v>
      </c>
      <c r="O12" s="45" t="e">
        <f t="shared" ca="1" si="2"/>
        <v>#VALUE!</v>
      </c>
      <c r="P12" s="49">
        <f>IFERROR(VLOOKUP(C12,Purchased!A:E,3,FALSE),"")</f>
        <v>0.64290000000000003</v>
      </c>
      <c r="Q12" s="50">
        <f t="shared" si="3"/>
        <v>10.2864</v>
      </c>
    </row>
    <row r="13" spans="1:17" s="2" customFormat="1" ht="12" customHeight="1">
      <c r="A13" s="4">
        <f t="shared" si="4"/>
        <v>303</v>
      </c>
      <c r="B13" s="2">
        <v>1</v>
      </c>
      <c r="C13" s="114" t="s">
        <v>1061</v>
      </c>
      <c r="D13" s="268" t="str">
        <f>VLOOKUP(C13,Purchased!A:B,2,0)</f>
        <v>BRC MS2N06-D0BNN-CMSK2-NNNNN-NN Servo Motor</v>
      </c>
      <c r="E13" s="269"/>
      <c r="F13" s="112" t="str">
        <f>VLOOKUP(C13,Purchased!A:Q,9,0)</f>
        <v>BRC</v>
      </c>
      <c r="G13" s="112" t="str">
        <f>VLOOKUP(C13,Purchased!A:Q,10,0)</f>
        <v>AAP</v>
      </c>
      <c r="H13" s="112" t="str">
        <f>VLOOKUP(C13,Purchased!A:Q,12,0)</f>
        <v xml:space="preserve"> </v>
      </c>
      <c r="I13" s="113"/>
      <c r="J13" s="44" t="str">
        <f>VLOOKUP(C13,Purchased!A:Q,13,0)</f>
        <v>N/A</v>
      </c>
      <c r="K13" s="44">
        <f>VLOOKUP(C13,Purchased!A:Q,14,0)</f>
        <v>44881</v>
      </c>
      <c r="L13" s="44">
        <f>VLOOKUP(C13,Purchased!A:Q,15,0)</f>
        <v>44986</v>
      </c>
      <c r="M13" s="44">
        <f>VLOOKUP(C13,Purchased!A:Q,16,0)</f>
        <v>44986</v>
      </c>
      <c r="N13" s="45">
        <f>VLOOKUP(C13,Purchased!A:Q,17,0)</f>
        <v>54563</v>
      </c>
      <c r="O13" s="45" t="e">
        <f t="shared" ca="1" si="2"/>
        <v>#VALUE!</v>
      </c>
      <c r="P13" s="49">
        <f>IFERROR(VLOOKUP(C13,Purchased!A:E,3,FALSE),"")</f>
        <v>2414.9888000000001</v>
      </c>
      <c r="Q13" s="50">
        <f t="shared" si="3"/>
        <v>2414.9888000000001</v>
      </c>
    </row>
    <row r="14" spans="1:17" s="2" customFormat="1" ht="12" customHeight="1">
      <c r="A14" s="4">
        <f t="shared" si="4"/>
        <v>304</v>
      </c>
      <c r="B14" s="2">
        <v>1</v>
      </c>
      <c r="C14" s="114" t="s">
        <v>1171</v>
      </c>
      <c r="D14" s="268" t="str">
        <f>VLOOKUP(C14,Purchased!A:B,2,0)</f>
        <v>STOBER K302SG0200ME20 GEARBOX</v>
      </c>
      <c r="E14" s="269"/>
      <c r="F14" s="112" t="str">
        <f>VLOOKUP(C14,Purchased!A:Q,9,0)</f>
        <v>STOBER</v>
      </c>
      <c r="G14" s="112" t="str">
        <f>VLOOKUP(C14,Purchased!A:Q,10,0)</f>
        <v>AAP</v>
      </c>
      <c r="H14" s="112" t="str">
        <f>VLOOKUP(C14,Purchased!A:Q,12,0)</f>
        <v xml:space="preserve"> </v>
      </c>
      <c r="I14" s="113"/>
      <c r="J14" s="44" t="str">
        <f>VLOOKUP(C14,Purchased!A:Q,13,0)</f>
        <v>N/A</v>
      </c>
      <c r="K14" s="44">
        <f>VLOOKUP(C14,Purchased!A:Q,14,0)</f>
        <v>45096</v>
      </c>
      <c r="L14" s="44">
        <f>VLOOKUP(C14,Purchased!A:Q,15,0)</f>
        <v>45110</v>
      </c>
      <c r="M14" s="44">
        <f>VLOOKUP(C14,Purchased!A:Q,16,0)</f>
        <v>45110</v>
      </c>
      <c r="N14" s="45">
        <f>VLOOKUP(C14,Purchased!A:Q,17,0)</f>
        <v>54937</v>
      </c>
      <c r="O14" s="45" t="e">
        <f t="shared" ca="1" si="2"/>
        <v>#VALUE!</v>
      </c>
      <c r="P14" s="49">
        <f>IFERROR(VLOOKUP(C14,Purchased!A:E,3,FALSE),"")</f>
        <v>2926.1097</v>
      </c>
      <c r="Q14" s="50">
        <f t="shared" si="3"/>
        <v>2926.1097</v>
      </c>
    </row>
    <row r="15" spans="1:17" s="2" customFormat="1" ht="12" customHeight="1">
      <c r="A15" s="4">
        <f t="shared" si="4"/>
        <v>305</v>
      </c>
      <c r="B15" s="2">
        <v>2</v>
      </c>
      <c r="C15" s="114" t="s">
        <v>1063</v>
      </c>
      <c r="D15" s="268" t="str">
        <f>VLOOKUP(C15,Purchased!A:B,2,0)</f>
        <v>Rounded Machine Key 316 Stainless Steel, 7 mm x 8 mm, 35 mm Long</v>
      </c>
      <c r="E15" s="269"/>
      <c r="F15" s="112" t="str">
        <f>VLOOKUP(C15,Purchased!A:Q,9,0)</f>
        <v>MCM</v>
      </c>
      <c r="G15" s="112" t="str">
        <f>VLOOKUP(C15,Purchased!A:Q,10,0)</f>
        <v>MCM</v>
      </c>
      <c r="H15" s="112" t="str">
        <f>VLOOKUP(C15,Purchased!A:Q,12,0)</f>
        <v xml:space="preserve"> </v>
      </c>
      <c r="I15" s="113"/>
      <c r="J15" s="44" t="str">
        <f>VLOOKUP(C15,Purchased!A:Q,13,0)</f>
        <v>N/A</v>
      </c>
      <c r="K15" s="44">
        <f>VLOOKUP(C15,Purchased!A:Q,14,0)</f>
        <v>45162</v>
      </c>
      <c r="L15" s="44">
        <f>VLOOKUP(C15,Purchased!A:Q,15,0)</f>
        <v>45184</v>
      </c>
      <c r="M15" s="44">
        <f>VLOOKUP(C15,Purchased!A:Q,16,0)</f>
        <v>45166</v>
      </c>
      <c r="N15" s="45">
        <f>VLOOKUP(C15,Purchased!A:Q,17,0)</f>
        <v>55087</v>
      </c>
      <c r="O15" s="45" t="e">
        <f t="shared" ca="1" si="2"/>
        <v>#VALUE!</v>
      </c>
      <c r="P15" s="49">
        <f>IFERROR(VLOOKUP(C15,Purchased!A:E,3,FALSE),"")</f>
        <v>6.04</v>
      </c>
      <c r="Q15" s="50">
        <f t="shared" si="3"/>
        <v>12.08</v>
      </c>
    </row>
    <row r="16" spans="1:17" s="2" customFormat="1" ht="12" customHeight="1">
      <c r="A16" s="4">
        <f t="shared" si="4"/>
        <v>306</v>
      </c>
      <c r="B16" s="2">
        <v>1</v>
      </c>
      <c r="C16" s="114" t="s">
        <v>1064</v>
      </c>
      <c r="D16" s="268" t="str">
        <f>VLOOKUP(C16,Purchased!A:B,2,0)</f>
        <v>BRC RH2-023DBB-NN-010,0 - 10m Hybrid Servo Cable</v>
      </c>
      <c r="E16" s="269"/>
      <c r="F16" s="112" t="str">
        <f>VLOOKUP(C16,Purchased!A:Q,9,0)</f>
        <v>BRC</v>
      </c>
      <c r="G16" s="112" t="str">
        <f>VLOOKUP(C16,Purchased!A:Q,10,0)</f>
        <v>AAP</v>
      </c>
      <c r="H16" s="112" t="str">
        <f>VLOOKUP(C16,Purchased!A:Q,12,0)</f>
        <v>Side Seals (4 in stock)</v>
      </c>
      <c r="I16" s="113"/>
      <c r="J16" s="44">
        <f>VLOOKUP(C16,Purchased!A:Q,13,0)</f>
        <v>45089</v>
      </c>
      <c r="K16" s="44">
        <f>VLOOKUP(C16,Purchased!A:Q,14,0)</f>
        <v>45092</v>
      </c>
      <c r="L16" s="44">
        <f>VLOOKUP(C16,Purchased!A:Q,15,0)</f>
        <v>45155</v>
      </c>
      <c r="M16" s="44">
        <f>VLOOKUP(C16,Purchased!A:Q,16,0)</f>
        <v>45155</v>
      </c>
      <c r="N16" s="45" t="str">
        <f>VLOOKUP(C16,Purchased!A:Q,17,0)</f>
        <v>2x54940, 4xSTOCK</v>
      </c>
      <c r="O16" s="45" t="e">
        <f t="shared" ref="O16" ca="1" si="5">B16*$L$2</f>
        <v>#VALUE!</v>
      </c>
      <c r="P16" s="49">
        <f>IFERROR(VLOOKUP(C16,Purchased!A:E,3,FALSE),"")</f>
        <v>475.95030000000003</v>
      </c>
      <c r="Q16" s="50">
        <f t="shared" ref="Q16" si="6">IFERROR(B16*P16,"")</f>
        <v>475.95030000000003</v>
      </c>
    </row>
    <row r="17" spans="1:17" s="2" customFormat="1" ht="12.75" customHeight="1">
      <c r="A17" s="25"/>
      <c r="B17" s="26"/>
      <c r="C17" s="26"/>
      <c r="D17" s="272"/>
      <c r="E17" s="273"/>
      <c r="F17" s="26"/>
      <c r="G17" s="26"/>
      <c r="H17" s="274"/>
      <c r="I17" s="275"/>
      <c r="J17" s="27"/>
      <c r="K17" s="27"/>
      <c r="L17" s="27"/>
      <c r="M17" s="28"/>
      <c r="N17" s="29"/>
      <c r="O17" s="29" t="e">
        <f t="shared" ref="O17:O24" ca="1" si="7">B17*$L$2</f>
        <v>#VALUE!</v>
      </c>
      <c r="P17" s="141"/>
      <c r="Q17" s="142"/>
    </row>
    <row r="18" spans="1:17" s="2" customFormat="1" ht="12.75" customHeight="1">
      <c r="A18" s="4">
        <v>501</v>
      </c>
      <c r="B18" s="2">
        <v>8</v>
      </c>
      <c r="C18" s="110" t="s">
        <v>606</v>
      </c>
      <c r="D18" s="268"/>
      <c r="E18" s="276"/>
      <c r="F18" s="112" t="str">
        <f>VLOOKUP(C18,Bolts!A:L,5,0)</f>
        <v xml:space="preserve">  </v>
      </c>
      <c r="G18" s="112" t="str">
        <f>VLOOKUP(C18,Bolts!A:L,6,0)</f>
        <v>Monroe Fasteners</v>
      </c>
      <c r="H18" s="112" t="str">
        <f>VLOOKUP(C18,Bolts!A:L,7,0)</f>
        <v xml:space="preserve">  </v>
      </c>
      <c r="I18" s="112"/>
      <c r="J18" s="44" t="str">
        <f>VLOOKUP(C18,Bolts!A:L,8,0)</f>
        <v xml:space="preserve"> </v>
      </c>
      <c r="K18" s="44" t="str">
        <f>VLOOKUP(C18,Bolts!A:L,9,0)</f>
        <v xml:space="preserve"> </v>
      </c>
      <c r="L18" s="44" t="str">
        <f>VLOOKUP(C18,Bolts!A:L,10,0)</f>
        <v xml:space="preserve"> </v>
      </c>
      <c r="M18" s="44" t="str">
        <f>VLOOKUP(C18,Bolts!A:L,11,0)</f>
        <v xml:space="preserve"> </v>
      </c>
      <c r="N18" s="45" t="str">
        <f>VLOOKUP(C18,Bolts!A:L,12,0)</f>
        <v xml:space="preserve"> </v>
      </c>
      <c r="O18" s="45" t="e">
        <f t="shared" ca="1" si="7"/>
        <v>#VALUE!</v>
      </c>
      <c r="P18" s="49" t="str">
        <f>IFERROR(VLOOKUP(C18,Bolts!A:B,2,FALSE),"")</f>
        <v xml:space="preserve"> </v>
      </c>
      <c r="Q18" s="50" t="str">
        <f t="shared" ref="Q18:Q24" si="8">IFERROR(B18*P18,"")</f>
        <v/>
      </c>
    </row>
    <row r="19" spans="1:17" s="2" customFormat="1" ht="12.75" customHeight="1">
      <c r="A19" s="4">
        <f t="shared" ref="A19:A25" si="9">A18+1</f>
        <v>502</v>
      </c>
      <c r="B19" s="2">
        <v>4</v>
      </c>
      <c r="C19" s="110" t="s">
        <v>362</v>
      </c>
      <c r="D19" s="268"/>
      <c r="E19" s="276"/>
      <c r="F19" s="112" t="str">
        <f>VLOOKUP(C19,Bolts!A:L,5,0)</f>
        <v xml:space="preserve">  </v>
      </c>
      <c r="G19" s="112" t="str">
        <f>VLOOKUP(C19,Bolts!A:L,6,0)</f>
        <v>Monroe Fasteners</v>
      </c>
      <c r="H19" s="112" t="str">
        <f>VLOOKUP(C19,Bolts!A:L,7,0)</f>
        <v xml:space="preserve">  </v>
      </c>
      <c r="I19" s="112"/>
      <c r="J19" s="44" t="str">
        <f>VLOOKUP(C19,Bolts!A:L,8,0)</f>
        <v xml:space="preserve"> </v>
      </c>
      <c r="K19" s="44" t="str">
        <f>VLOOKUP(C19,Bolts!A:L,9,0)</f>
        <v xml:space="preserve"> </v>
      </c>
      <c r="L19" s="44" t="str">
        <f>VLOOKUP(C19,Bolts!A:L,10,0)</f>
        <v xml:space="preserve"> </v>
      </c>
      <c r="M19" s="44" t="str">
        <f>VLOOKUP(C19,Bolts!A:L,11,0)</f>
        <v xml:space="preserve"> </v>
      </c>
      <c r="N19" s="45" t="str">
        <f>VLOOKUP(C19,Bolts!A:L,12,0)</f>
        <v xml:space="preserve"> </v>
      </c>
      <c r="O19" s="45" t="e">
        <f t="shared" ca="1" si="7"/>
        <v>#VALUE!</v>
      </c>
      <c r="P19" s="49" t="str">
        <f>IFERROR(VLOOKUP(C19,Bolts!A:B,2,FALSE),"")</f>
        <v xml:space="preserve"> </v>
      </c>
      <c r="Q19" s="50" t="str">
        <f t="shared" si="8"/>
        <v/>
      </c>
    </row>
    <row r="20" spans="1:17" s="2" customFormat="1" ht="12" customHeight="1">
      <c r="A20" s="4">
        <f t="shared" si="9"/>
        <v>503</v>
      </c>
      <c r="B20" s="2">
        <v>4</v>
      </c>
      <c r="C20" s="110" t="s">
        <v>434</v>
      </c>
      <c r="D20" s="268"/>
      <c r="E20" s="276"/>
      <c r="F20" s="112" t="str">
        <f>VLOOKUP(C20,Bolts!A:L,5,0)</f>
        <v xml:space="preserve">  </v>
      </c>
      <c r="G20" s="112" t="str">
        <f>VLOOKUP(C20,Bolts!A:L,6,0)</f>
        <v>Monroe Fasteners</v>
      </c>
      <c r="H20" s="112" t="str">
        <f>VLOOKUP(C20,Bolts!A:L,7,0)</f>
        <v xml:space="preserve">  </v>
      </c>
      <c r="I20" s="112"/>
      <c r="J20" s="44" t="str">
        <f>VLOOKUP(C20,Bolts!A:L,8,0)</f>
        <v xml:space="preserve"> </v>
      </c>
      <c r="K20" s="44" t="str">
        <f>VLOOKUP(C20,Bolts!A:L,9,0)</f>
        <v xml:space="preserve"> </v>
      </c>
      <c r="L20" s="44" t="str">
        <f>VLOOKUP(C20,Bolts!A:L,10,0)</f>
        <v xml:space="preserve"> </v>
      </c>
      <c r="M20" s="44" t="str">
        <f>VLOOKUP(C20,Bolts!A:L,11,0)</f>
        <v xml:space="preserve"> </v>
      </c>
      <c r="N20" s="45" t="str">
        <f>VLOOKUP(C20,Bolts!A:L,12,0)</f>
        <v xml:space="preserve"> </v>
      </c>
      <c r="O20" s="45" t="e">
        <f t="shared" ca="1" si="7"/>
        <v>#VALUE!</v>
      </c>
      <c r="P20" s="49" t="str">
        <f>IFERROR(VLOOKUP(C20,Bolts!A:B,2,FALSE),"")</f>
        <v xml:space="preserve"> </v>
      </c>
      <c r="Q20" s="50" t="str">
        <f t="shared" si="8"/>
        <v/>
      </c>
    </row>
    <row r="21" spans="1:17" s="2" customFormat="1" ht="12" customHeight="1">
      <c r="A21" s="4">
        <f t="shared" si="9"/>
        <v>504</v>
      </c>
      <c r="B21" s="2">
        <v>4</v>
      </c>
      <c r="C21" s="110" t="s">
        <v>830</v>
      </c>
      <c r="D21" s="268"/>
      <c r="E21" s="276"/>
      <c r="F21" s="112" t="str">
        <f>VLOOKUP(C21,Bolts!A:L,5,0)</f>
        <v xml:space="preserve">  </v>
      </c>
      <c r="G21" s="112" t="str">
        <f>VLOOKUP(C21,Bolts!A:L,6,0)</f>
        <v>Monroe Fasteners</v>
      </c>
      <c r="H21" s="112" t="str">
        <f>VLOOKUP(C21,Bolts!A:L,7,0)</f>
        <v xml:space="preserve">  </v>
      </c>
      <c r="I21" s="112"/>
      <c r="J21" s="44" t="str">
        <f>VLOOKUP(C21,Bolts!A:L,8,0)</f>
        <v xml:space="preserve"> </v>
      </c>
      <c r="K21" s="44" t="str">
        <f>VLOOKUP(C21,Bolts!A:L,9,0)</f>
        <v xml:space="preserve"> </v>
      </c>
      <c r="L21" s="44" t="str">
        <f>VLOOKUP(C21,Bolts!A:L,10,0)</f>
        <v xml:space="preserve"> </v>
      </c>
      <c r="M21" s="44" t="str">
        <f>VLOOKUP(C21,Bolts!A:L,11,0)</f>
        <v xml:space="preserve"> </v>
      </c>
      <c r="N21" s="45" t="str">
        <f>VLOOKUP(C21,Bolts!A:L,12,0)</f>
        <v xml:space="preserve"> </v>
      </c>
      <c r="O21" s="45" t="e">
        <f t="shared" ca="1" si="7"/>
        <v>#VALUE!</v>
      </c>
      <c r="P21" s="49" t="str">
        <f>IFERROR(VLOOKUP(C21,Bolts!A:B,2,FALSE),"")</f>
        <v xml:space="preserve"> </v>
      </c>
      <c r="Q21" s="50" t="str">
        <f t="shared" si="8"/>
        <v/>
      </c>
    </row>
    <row r="22" spans="1:17" s="2" customFormat="1" ht="12" customHeight="1">
      <c r="A22" s="4">
        <f t="shared" si="9"/>
        <v>505</v>
      </c>
      <c r="B22" s="2">
        <v>4</v>
      </c>
      <c r="C22" s="110" t="s">
        <v>1065</v>
      </c>
      <c r="D22" s="268"/>
      <c r="E22" s="276"/>
      <c r="F22" s="112" t="str">
        <f>VLOOKUP(C22,Bolts!A:L,5,0)</f>
        <v xml:space="preserve">  </v>
      </c>
      <c r="G22" s="112" t="str">
        <f>VLOOKUP(C22,Bolts!A:L,6,0)</f>
        <v>Monroe Fasteners</v>
      </c>
      <c r="H22" s="112" t="str">
        <f>VLOOKUP(C22,Bolts!A:L,7,0)</f>
        <v xml:space="preserve">  </v>
      </c>
      <c r="I22" s="112"/>
      <c r="J22" s="44" t="str">
        <f>VLOOKUP(C22,Bolts!A:L,8,0)</f>
        <v xml:space="preserve"> </v>
      </c>
      <c r="K22" s="44" t="str">
        <f>VLOOKUP(C22,Bolts!A:L,9,0)</f>
        <v xml:space="preserve"> </v>
      </c>
      <c r="L22" s="44" t="str">
        <f>VLOOKUP(C22,Bolts!A:L,10,0)</f>
        <v xml:space="preserve"> </v>
      </c>
      <c r="M22" s="44" t="str">
        <f>VLOOKUP(C22,Bolts!A:L,11,0)</f>
        <v xml:space="preserve"> </v>
      </c>
      <c r="N22" s="45" t="str">
        <f>VLOOKUP(C22,Bolts!A:L,12,0)</f>
        <v xml:space="preserve"> </v>
      </c>
      <c r="O22" s="45" t="e">
        <f t="shared" ca="1" si="7"/>
        <v>#VALUE!</v>
      </c>
      <c r="P22" s="49" t="str">
        <f>IFERROR(VLOOKUP(C22,Bolts!A:B,2,FALSE),"")</f>
        <v xml:space="preserve"> </v>
      </c>
      <c r="Q22" s="50" t="str">
        <f t="shared" si="8"/>
        <v/>
      </c>
    </row>
    <row r="23" spans="1:17" s="2" customFormat="1" ht="12" customHeight="1">
      <c r="A23" s="4">
        <f t="shared" si="9"/>
        <v>506</v>
      </c>
      <c r="B23" s="2">
        <v>2</v>
      </c>
      <c r="C23" s="110" t="s">
        <v>428</v>
      </c>
      <c r="D23" s="268"/>
      <c r="E23" s="276"/>
      <c r="F23" s="112" t="str">
        <f>VLOOKUP(C23,Bolts!A:L,5,0)</f>
        <v xml:space="preserve">  </v>
      </c>
      <c r="G23" s="112" t="str">
        <f>VLOOKUP(C23,Bolts!A:L,6,0)</f>
        <v>Monroe Fasteners</v>
      </c>
      <c r="H23" s="112" t="str">
        <f>VLOOKUP(C23,Bolts!A:L,7,0)</f>
        <v xml:space="preserve">  </v>
      </c>
      <c r="I23" s="112"/>
      <c r="J23" s="44" t="str">
        <f>VLOOKUP(C23,Bolts!A:L,8,0)</f>
        <v xml:space="preserve"> </v>
      </c>
      <c r="K23" s="44" t="str">
        <f>VLOOKUP(C23,Bolts!A:L,9,0)</f>
        <v xml:space="preserve"> </v>
      </c>
      <c r="L23" s="44" t="str">
        <f>VLOOKUP(C23,Bolts!A:L,10,0)</f>
        <v xml:space="preserve"> </v>
      </c>
      <c r="M23" s="44" t="str">
        <f>VLOOKUP(C23,Bolts!A:L,11,0)</f>
        <v xml:space="preserve"> </v>
      </c>
      <c r="N23" s="45" t="str">
        <f>VLOOKUP(C23,Bolts!A:L,12,0)</f>
        <v xml:space="preserve"> </v>
      </c>
      <c r="O23" s="45" t="e">
        <f t="shared" ca="1" si="7"/>
        <v>#VALUE!</v>
      </c>
      <c r="P23" s="49" t="str">
        <f>IFERROR(VLOOKUP(C23,Bolts!A:B,2,FALSE),"")</f>
        <v xml:space="preserve"> </v>
      </c>
      <c r="Q23" s="50" t="str">
        <f t="shared" si="8"/>
        <v/>
      </c>
    </row>
    <row r="24" spans="1:17" s="2" customFormat="1" ht="12" customHeight="1">
      <c r="A24" s="4">
        <f t="shared" si="9"/>
        <v>507</v>
      </c>
      <c r="B24" s="2">
        <v>4</v>
      </c>
      <c r="C24" s="110" t="s">
        <v>660</v>
      </c>
      <c r="D24" s="268"/>
      <c r="E24" s="276"/>
      <c r="F24" s="112" t="str">
        <f>VLOOKUP(C24,Bolts!A:L,5,0)</f>
        <v xml:space="preserve">  </v>
      </c>
      <c r="G24" s="112" t="str">
        <f>VLOOKUP(C24,Bolts!A:L,6,0)</f>
        <v>Monroe Fasteners</v>
      </c>
      <c r="H24" s="112" t="str">
        <f>VLOOKUP(C24,Bolts!A:L,7,0)</f>
        <v xml:space="preserve">  </v>
      </c>
      <c r="I24" s="112"/>
      <c r="J24" s="44" t="str">
        <f>VLOOKUP(C24,Bolts!A:L,8,0)</f>
        <v xml:space="preserve"> </v>
      </c>
      <c r="K24" s="44" t="str">
        <f>VLOOKUP(C24,Bolts!A:L,9,0)</f>
        <v xml:space="preserve"> </v>
      </c>
      <c r="L24" s="44" t="str">
        <f>VLOOKUP(C24,Bolts!A:L,10,0)</f>
        <v xml:space="preserve"> </v>
      </c>
      <c r="M24" s="44" t="str">
        <f>VLOOKUP(C24,Bolts!A:L,11,0)</f>
        <v xml:space="preserve"> </v>
      </c>
      <c r="N24" s="45" t="str">
        <f>VLOOKUP(C24,Bolts!A:L,12,0)</f>
        <v xml:space="preserve"> </v>
      </c>
      <c r="O24" s="45" t="e">
        <f t="shared" ca="1" si="7"/>
        <v>#VALUE!</v>
      </c>
      <c r="P24" s="49" t="str">
        <f>IFERROR(VLOOKUP(C24,Bolts!A:B,2,FALSE),"")</f>
        <v xml:space="preserve"> </v>
      </c>
      <c r="Q24" s="50" t="str">
        <f t="shared" si="8"/>
        <v/>
      </c>
    </row>
    <row r="25" spans="1:17" s="2" customFormat="1" ht="12" customHeight="1" thickBot="1">
      <c r="A25" s="4">
        <f t="shared" si="9"/>
        <v>508</v>
      </c>
      <c r="B25" s="2">
        <v>4</v>
      </c>
      <c r="C25" s="110" t="s">
        <v>803</v>
      </c>
      <c r="D25" s="164"/>
      <c r="E25" s="165"/>
      <c r="F25" s="112" t="str">
        <f>VLOOKUP(C25,Bolts!A:L,5,0)</f>
        <v xml:space="preserve">  </v>
      </c>
      <c r="G25" s="112" t="str">
        <f>VLOOKUP(C25,Bolts!A:L,6,0)</f>
        <v>Monroe Fasteners</v>
      </c>
      <c r="H25" s="112" t="str">
        <f>VLOOKUP(C25,Bolts!A:L,7,0)</f>
        <v xml:space="preserve">  </v>
      </c>
      <c r="I25" s="112"/>
      <c r="J25" s="44" t="str">
        <f>VLOOKUP(C25,Bolts!A:L,8,0)</f>
        <v xml:space="preserve"> </v>
      </c>
      <c r="K25" s="44" t="str">
        <f>VLOOKUP(C25,Bolts!A:L,9,0)</f>
        <v xml:space="preserve"> </v>
      </c>
      <c r="L25" s="44" t="str">
        <f>VLOOKUP(C25,Bolts!A:L,10,0)</f>
        <v xml:space="preserve"> </v>
      </c>
      <c r="M25" s="44" t="str">
        <f>VLOOKUP(C25,Bolts!A:L,11,0)</f>
        <v xml:space="preserve"> </v>
      </c>
      <c r="N25" s="45" t="str">
        <f>VLOOKUP(C25,Bolts!A:L,12,0)</f>
        <v xml:space="preserve"> </v>
      </c>
      <c r="O25" s="45" t="e">
        <f t="shared" ref="O25" ca="1" si="10">B25*$L$2</f>
        <v>#VALUE!</v>
      </c>
      <c r="P25" s="49" t="str">
        <f>IFERROR(VLOOKUP(C25,Bolts!A:B,2,FALSE),"")</f>
        <v xml:space="preserve"> </v>
      </c>
      <c r="Q25" s="50" t="str">
        <f t="shared" ref="Q25" si="11">IFERROR(B25*P25,"")</f>
        <v/>
      </c>
    </row>
    <row r="26" spans="1:17" s="2" customFormat="1" ht="12.75" customHeight="1" thickBot="1">
      <c r="A26" s="34"/>
      <c r="B26" s="35"/>
      <c r="C26" s="35"/>
      <c r="D26" s="256"/>
      <c r="E26" s="257"/>
      <c r="F26" s="35"/>
      <c r="G26" s="35"/>
      <c r="H26" s="294"/>
      <c r="I26" s="295"/>
      <c r="J26" s="36"/>
      <c r="K26" s="36"/>
      <c r="L26" s="36"/>
      <c r="M26" s="37"/>
      <c r="N26" s="38"/>
      <c r="O26" s="38"/>
      <c r="P26" s="89" t="s">
        <v>43</v>
      </c>
      <c r="Q26" s="94">
        <f>SUM(Q5:Q25)</f>
        <v>5996.3152000000009</v>
      </c>
    </row>
    <row r="27" spans="1:17" s="2" customFormat="1" ht="12" customHeight="1">
      <c r="D27" s="22"/>
      <c r="E27" s="22"/>
      <c r="J27" s="8"/>
      <c r="K27" s="8"/>
      <c r="L27" s="8"/>
      <c r="M27" s="8"/>
      <c r="N27" s="5"/>
      <c r="O27" s="5"/>
      <c r="P27" s="88"/>
      <c r="Q27" s="95"/>
    </row>
    <row r="28" spans="1:17" s="2" customFormat="1" ht="12" customHeight="1">
      <c r="D28" s="22"/>
      <c r="E28" s="22"/>
      <c r="J28" s="5"/>
      <c r="K28" s="5"/>
      <c r="L28" s="5"/>
      <c r="M28" s="5"/>
      <c r="N28" s="5"/>
      <c r="O28" s="5"/>
      <c r="P28" s="88"/>
      <c r="Q28" s="95"/>
    </row>
    <row r="29" spans="1:17" s="2" customFormat="1" ht="12" customHeight="1">
      <c r="B29" s="22"/>
      <c r="C29" s="22"/>
      <c r="H29" s="5"/>
      <c r="I29" s="5"/>
      <c r="J29" s="5"/>
      <c r="K29" s="5"/>
      <c r="L29" s="5"/>
      <c r="M29" s="5"/>
      <c r="N29" s="88"/>
      <c r="O29" s="95"/>
    </row>
    <row r="30" spans="1:17" s="2" customFormat="1" ht="12" customHeight="1">
      <c r="B30" s="22"/>
      <c r="C30" s="22"/>
      <c r="H30" s="5"/>
      <c r="I30" s="5"/>
      <c r="J30" s="5"/>
      <c r="K30" s="5"/>
      <c r="L30" s="5"/>
      <c r="M30" s="5"/>
      <c r="N30" s="88"/>
      <c r="O30" s="95"/>
    </row>
    <row r="31" spans="1:17" s="2" customFormat="1" ht="12" customHeight="1">
      <c r="B31" s="22"/>
      <c r="C31" s="22"/>
      <c r="H31" s="5"/>
      <c r="I31" s="5"/>
      <c r="J31" s="5"/>
      <c r="K31" s="5"/>
      <c r="L31" s="5"/>
      <c r="M31" s="5"/>
      <c r="N31" s="88"/>
      <c r="O31" s="95"/>
    </row>
    <row r="32" spans="1:17" s="2" customFormat="1" ht="12" customHeight="1">
      <c r="B32" s="22"/>
      <c r="C32" s="22"/>
      <c r="H32" s="5"/>
      <c r="I32" s="5"/>
      <c r="J32" s="5"/>
      <c r="K32" s="5"/>
      <c r="L32" s="5"/>
      <c r="M32" s="5"/>
      <c r="N32" s="88"/>
      <c r="O32" s="95"/>
    </row>
    <row r="33" spans="2:17" s="2" customFormat="1" ht="12" customHeight="1">
      <c r="B33" s="22"/>
      <c r="C33" s="22"/>
      <c r="H33" s="5"/>
      <c r="I33" s="5"/>
      <c r="J33" s="5"/>
      <c r="K33" s="5"/>
      <c r="L33" s="5"/>
      <c r="M33" s="5"/>
      <c r="N33" s="88"/>
      <c r="O33" s="95"/>
    </row>
    <row r="34" spans="2:17" s="2" customFormat="1" ht="12" customHeight="1">
      <c r="D34" s="22"/>
      <c r="E34" s="22"/>
      <c r="J34" s="5"/>
      <c r="K34" s="5"/>
      <c r="L34" s="5"/>
      <c r="M34" s="5"/>
      <c r="N34" s="5"/>
      <c r="O34" s="5"/>
      <c r="P34" s="88"/>
      <c r="Q34" s="95"/>
    </row>
    <row r="35" spans="2:17" s="2" customFormat="1" ht="12" customHeight="1">
      <c r="D35" s="22"/>
      <c r="E35" s="22"/>
      <c r="J35" s="5"/>
      <c r="K35" s="5"/>
      <c r="L35" s="5"/>
      <c r="M35" s="5"/>
      <c r="N35" s="5"/>
      <c r="O35" s="5"/>
      <c r="P35" s="88"/>
      <c r="Q35" s="95"/>
    </row>
    <row r="36" spans="2:17" s="2" customFormat="1" ht="12" customHeight="1">
      <c r="D36" s="22"/>
      <c r="E36" s="22"/>
      <c r="J36" s="5"/>
      <c r="K36" s="5"/>
      <c r="L36" s="5"/>
      <c r="M36" s="5"/>
      <c r="N36" s="5"/>
      <c r="O36" s="5"/>
      <c r="P36" s="88"/>
      <c r="Q36" s="95"/>
    </row>
    <row r="37" spans="2:17" s="2" customFormat="1" ht="12" customHeight="1">
      <c r="D37" s="22"/>
      <c r="E37" s="22"/>
      <c r="J37" s="5"/>
      <c r="K37" s="5"/>
      <c r="L37" s="5"/>
      <c r="M37" s="5"/>
      <c r="N37" s="5"/>
      <c r="O37" s="5"/>
      <c r="P37" s="88"/>
      <c r="Q37" s="95"/>
    </row>
    <row r="38" spans="2:17" s="2" customFormat="1" ht="12" customHeight="1">
      <c r="D38" s="22"/>
      <c r="E38" s="22"/>
      <c r="J38" s="5"/>
      <c r="K38" s="5"/>
      <c r="L38" s="5"/>
      <c r="M38" s="5"/>
      <c r="N38" s="5"/>
      <c r="O38" s="5"/>
      <c r="P38" s="88"/>
      <c r="Q38" s="95"/>
    </row>
    <row r="39" spans="2:17" s="2" customFormat="1" ht="12" customHeight="1">
      <c r="D39" s="22"/>
      <c r="E39" s="22"/>
      <c r="J39" s="5"/>
      <c r="K39" s="5"/>
      <c r="L39" s="5"/>
      <c r="M39" s="5"/>
      <c r="N39" s="5"/>
      <c r="O39" s="5"/>
      <c r="P39" s="88"/>
      <c r="Q39" s="95"/>
    </row>
    <row r="40" spans="2:17" s="2" customFormat="1" ht="12" customHeight="1">
      <c r="D40" s="22"/>
      <c r="E40" s="22"/>
      <c r="J40" s="5"/>
      <c r="K40" s="5"/>
      <c r="L40" s="5"/>
      <c r="M40" s="5"/>
      <c r="N40" s="5"/>
      <c r="O40" s="5"/>
      <c r="P40" s="88"/>
      <c r="Q40" s="95"/>
    </row>
    <row r="41" spans="2:17" s="2" customFormat="1" ht="12" customHeight="1">
      <c r="D41" s="22"/>
      <c r="E41" s="22"/>
      <c r="J41" s="5"/>
      <c r="K41" s="5"/>
      <c r="L41" s="5"/>
      <c r="M41" s="5"/>
      <c r="N41" s="5"/>
      <c r="O41" s="5"/>
      <c r="P41" s="88"/>
      <c r="Q41" s="95"/>
    </row>
    <row r="42" spans="2:17" s="2" customFormat="1" ht="12" customHeight="1">
      <c r="D42" s="22"/>
      <c r="E42" s="22"/>
      <c r="J42" s="5"/>
      <c r="K42" s="5"/>
      <c r="L42" s="5"/>
      <c r="M42" s="5"/>
      <c r="N42" s="5"/>
      <c r="O42" s="5"/>
      <c r="P42" s="88"/>
      <c r="Q42" s="95"/>
    </row>
    <row r="43" spans="2:17" s="2" customFormat="1" ht="12" customHeight="1">
      <c r="D43" s="22"/>
      <c r="E43" s="22"/>
      <c r="J43" s="5"/>
      <c r="K43" s="5"/>
      <c r="L43" s="5"/>
      <c r="M43" s="5"/>
      <c r="N43" s="5"/>
      <c r="O43" s="5"/>
      <c r="P43" s="88"/>
      <c r="Q43" s="95"/>
    </row>
    <row r="44" spans="2:17" s="2" customFormat="1" ht="12" customHeight="1">
      <c r="D44" s="22"/>
      <c r="E44" s="22"/>
      <c r="J44" s="5"/>
      <c r="K44" s="5"/>
      <c r="L44" s="5"/>
      <c r="M44" s="5"/>
      <c r="N44" s="5"/>
      <c r="O44" s="5"/>
      <c r="P44" s="88"/>
      <c r="Q44" s="95"/>
    </row>
    <row r="45" spans="2:17" s="2" customFormat="1" ht="12" customHeight="1">
      <c r="D45" s="22"/>
      <c r="E45" s="22"/>
      <c r="J45" s="5"/>
      <c r="K45" s="5"/>
      <c r="L45" s="5"/>
      <c r="M45" s="5"/>
      <c r="N45" s="5"/>
      <c r="O45" s="5"/>
      <c r="P45" s="88"/>
      <c r="Q45" s="95"/>
    </row>
    <row r="46" spans="2:17" s="2" customFormat="1" ht="12" customHeight="1">
      <c r="D46" s="22"/>
      <c r="E46" s="22"/>
      <c r="J46" s="5"/>
      <c r="K46" s="5"/>
      <c r="L46" s="5"/>
      <c r="M46" s="5"/>
      <c r="N46" s="5"/>
      <c r="O46" s="5"/>
      <c r="P46" s="88"/>
      <c r="Q46" s="95"/>
    </row>
    <row r="47" spans="2:17" s="2" customFormat="1" ht="12" customHeight="1">
      <c r="D47" s="22"/>
      <c r="E47" s="22"/>
      <c r="J47" s="5"/>
      <c r="K47" s="5"/>
      <c r="L47" s="5"/>
      <c r="M47" s="5"/>
      <c r="N47" s="5"/>
      <c r="O47" s="5"/>
      <c r="P47" s="88"/>
      <c r="Q47" s="95"/>
    </row>
    <row r="48" spans="2:17" s="2" customFormat="1" ht="12" customHeight="1">
      <c r="D48" s="22"/>
      <c r="E48" s="22"/>
      <c r="J48" s="5"/>
      <c r="K48" s="5"/>
      <c r="L48" s="5"/>
      <c r="M48" s="5"/>
      <c r="N48" s="5"/>
      <c r="O48" s="5"/>
      <c r="P48" s="88"/>
      <c r="Q48" s="95"/>
    </row>
    <row r="49" spans="4:17" s="2" customFormat="1" ht="12" customHeight="1">
      <c r="D49" s="22"/>
      <c r="E49" s="22"/>
      <c r="J49" s="5"/>
      <c r="K49" s="5"/>
      <c r="L49" s="5"/>
      <c r="M49" s="5"/>
      <c r="N49" s="5"/>
      <c r="O49" s="5"/>
      <c r="P49" s="88"/>
      <c r="Q49" s="95"/>
    </row>
    <row r="50" spans="4:17" s="2" customFormat="1" ht="12" customHeight="1">
      <c r="D50" s="22"/>
      <c r="E50" s="22"/>
      <c r="J50" s="5"/>
      <c r="K50" s="5"/>
      <c r="L50" s="5"/>
      <c r="M50" s="5"/>
      <c r="N50" s="5"/>
      <c r="O50" s="5"/>
      <c r="P50" s="88"/>
      <c r="Q50" s="95"/>
    </row>
    <row r="51" spans="4:17" s="2" customFormat="1" ht="12" customHeight="1">
      <c r="D51" s="22"/>
      <c r="E51" s="22"/>
      <c r="J51" s="5"/>
      <c r="K51" s="5"/>
      <c r="L51" s="5"/>
      <c r="M51" s="5"/>
      <c r="N51" s="5"/>
      <c r="O51" s="5"/>
      <c r="P51" s="88"/>
      <c r="Q51" s="95"/>
    </row>
    <row r="52" spans="4:17" s="2" customFormat="1" ht="12" customHeight="1">
      <c r="D52" s="22"/>
      <c r="E52" s="22"/>
      <c r="J52" s="5"/>
      <c r="K52" s="5"/>
      <c r="L52" s="5"/>
      <c r="M52" s="5"/>
      <c r="N52" s="5"/>
      <c r="O52" s="5"/>
      <c r="P52" s="88"/>
      <c r="Q52" s="95"/>
    </row>
    <row r="53" spans="4:17" s="2" customFormat="1" ht="12" customHeight="1">
      <c r="D53" s="22"/>
      <c r="E53" s="22"/>
      <c r="J53" s="5"/>
      <c r="K53" s="5"/>
      <c r="L53" s="5"/>
      <c r="M53" s="5"/>
      <c r="N53" s="5"/>
      <c r="O53" s="5"/>
      <c r="P53" s="88"/>
      <c r="Q53" s="95"/>
    </row>
    <row r="54" spans="4:17" s="2" customFormat="1" ht="12" customHeight="1">
      <c r="D54" s="22"/>
      <c r="E54" s="22"/>
      <c r="J54" s="5"/>
      <c r="K54" s="5"/>
      <c r="L54" s="5"/>
      <c r="M54" s="5"/>
      <c r="N54" s="5"/>
      <c r="O54" s="5"/>
      <c r="P54" s="88"/>
      <c r="Q54" s="95"/>
    </row>
    <row r="55" spans="4:17" s="2" customFormat="1" ht="12" customHeight="1">
      <c r="D55" s="22"/>
      <c r="E55" s="22"/>
      <c r="J55" s="5"/>
      <c r="K55" s="5"/>
      <c r="L55" s="5"/>
      <c r="M55" s="5"/>
      <c r="N55" s="5"/>
      <c r="O55" s="5"/>
      <c r="P55" s="88"/>
      <c r="Q55" s="95"/>
    </row>
    <row r="56" spans="4:17" s="2" customFormat="1" ht="12" customHeight="1">
      <c r="D56" s="22"/>
      <c r="E56" s="22"/>
      <c r="J56" s="5"/>
      <c r="K56" s="5"/>
      <c r="L56" s="5"/>
      <c r="M56" s="5"/>
      <c r="N56" s="5"/>
      <c r="O56" s="5"/>
      <c r="P56" s="88"/>
      <c r="Q56" s="95"/>
    </row>
    <row r="57" spans="4:17" s="2" customFormat="1" ht="12" customHeight="1">
      <c r="D57" s="22"/>
      <c r="E57" s="22"/>
      <c r="J57" s="5"/>
      <c r="K57" s="5"/>
      <c r="L57" s="5"/>
      <c r="M57" s="5"/>
      <c r="N57" s="5"/>
      <c r="O57" s="5"/>
      <c r="P57" s="88"/>
      <c r="Q57" s="95"/>
    </row>
    <row r="58" spans="4:17" s="2" customFormat="1" ht="12" customHeight="1">
      <c r="D58" s="22"/>
      <c r="E58" s="22"/>
      <c r="J58" s="5"/>
      <c r="K58" s="5"/>
      <c r="L58" s="5"/>
      <c r="M58" s="5"/>
      <c r="N58" s="5"/>
      <c r="O58" s="5"/>
      <c r="P58" s="88"/>
      <c r="Q58" s="95"/>
    </row>
    <row r="59" spans="4:17" s="2" customFormat="1" ht="12" customHeight="1">
      <c r="D59" s="22"/>
      <c r="E59" s="22"/>
      <c r="J59" s="5"/>
      <c r="K59" s="5"/>
      <c r="L59" s="5"/>
      <c r="M59" s="5"/>
      <c r="N59" s="5"/>
      <c r="O59" s="5"/>
      <c r="P59" s="88"/>
      <c r="Q59" s="95"/>
    </row>
    <row r="60" spans="4:17" s="2" customFormat="1" ht="12" customHeight="1">
      <c r="D60" s="22"/>
      <c r="E60" s="22"/>
      <c r="J60" s="5"/>
      <c r="K60" s="5"/>
      <c r="L60" s="5"/>
      <c r="M60" s="5"/>
      <c r="N60" s="5"/>
      <c r="O60" s="5"/>
      <c r="P60" s="88"/>
      <c r="Q60" s="95"/>
    </row>
    <row r="61" spans="4:17" s="2" customFormat="1" ht="12" customHeight="1">
      <c r="D61" s="22"/>
      <c r="E61" s="22"/>
      <c r="J61" s="5"/>
      <c r="K61" s="5"/>
      <c r="L61" s="5"/>
      <c r="M61" s="5"/>
      <c r="N61" s="5"/>
      <c r="O61" s="5"/>
      <c r="P61" s="88"/>
      <c r="Q61" s="95"/>
    </row>
    <row r="62" spans="4:17" s="2" customFormat="1" ht="12" customHeight="1">
      <c r="D62" s="22"/>
      <c r="E62" s="22"/>
      <c r="J62" s="5"/>
      <c r="K62" s="5"/>
      <c r="L62" s="5"/>
      <c r="M62" s="5"/>
      <c r="N62" s="5"/>
      <c r="O62" s="5"/>
      <c r="P62" s="88"/>
      <c r="Q62" s="95"/>
    </row>
    <row r="63" spans="4:17" s="2" customFormat="1" ht="12" customHeight="1">
      <c r="D63" s="22"/>
      <c r="E63" s="22"/>
      <c r="J63" s="5"/>
      <c r="K63" s="5"/>
      <c r="L63" s="5"/>
      <c r="M63" s="5"/>
      <c r="N63" s="5"/>
      <c r="O63" s="5"/>
      <c r="P63" s="88"/>
      <c r="Q63" s="95"/>
    </row>
    <row r="64" spans="4:17" s="2" customFormat="1" ht="12" customHeight="1">
      <c r="D64" s="22"/>
      <c r="E64" s="22"/>
      <c r="J64" s="5"/>
      <c r="K64" s="5"/>
      <c r="L64" s="5"/>
      <c r="M64" s="5"/>
      <c r="N64" s="5"/>
      <c r="O64" s="5"/>
      <c r="P64" s="88"/>
      <c r="Q64" s="95"/>
    </row>
    <row r="65" spans="1:17" s="2" customFormat="1" ht="12" customHeight="1">
      <c r="D65" s="22"/>
      <c r="E65" s="22"/>
      <c r="J65" s="5"/>
      <c r="K65" s="5"/>
      <c r="L65" s="5"/>
      <c r="M65" s="5"/>
      <c r="N65" s="5"/>
      <c r="O65" s="5"/>
      <c r="P65" s="88"/>
      <c r="Q65" s="96"/>
    </row>
    <row r="66" spans="1:17" s="2" customFormat="1" ht="12" customHeight="1">
      <c r="D66" s="22"/>
      <c r="E66" s="22"/>
      <c r="J66" s="5"/>
      <c r="K66" s="5"/>
      <c r="L66" s="5"/>
      <c r="M66" s="5"/>
      <c r="N66" s="5"/>
      <c r="O66" s="5"/>
      <c r="P66" s="88"/>
      <c r="Q66" s="96"/>
    </row>
    <row r="67" spans="1:17" s="2" customFormat="1" ht="12" customHeight="1">
      <c r="D67" s="22"/>
      <c r="E67" s="22"/>
      <c r="J67" s="5"/>
      <c r="K67" s="5"/>
      <c r="L67" s="5"/>
      <c r="M67" s="5"/>
      <c r="N67" s="5"/>
      <c r="O67" s="5"/>
      <c r="P67" s="88"/>
      <c r="Q67" s="96"/>
    </row>
    <row r="68" spans="1:17" s="2" customFormat="1" ht="12" customHeight="1">
      <c r="D68" s="22"/>
      <c r="E68" s="22"/>
      <c r="J68" s="5"/>
      <c r="K68" s="5"/>
      <c r="L68" s="5"/>
      <c r="M68" s="5"/>
      <c r="N68" s="5"/>
      <c r="O68" s="5"/>
      <c r="P68" s="88"/>
      <c r="Q68" s="96"/>
    </row>
    <row r="69" spans="1:17" s="2" customFormat="1" ht="12" customHeight="1">
      <c r="A69"/>
      <c r="B69"/>
      <c r="C69"/>
      <c r="D69" s="23"/>
      <c r="E69" s="23"/>
      <c r="F69"/>
      <c r="G69"/>
      <c r="H69"/>
      <c r="I69"/>
      <c r="J69" s="19"/>
      <c r="K69" s="19"/>
      <c r="L69" s="19"/>
      <c r="M69" s="19"/>
      <c r="N69" s="19"/>
      <c r="O69" s="19"/>
      <c r="P69" s="90"/>
      <c r="Q69" s="96"/>
    </row>
    <row r="70" spans="1:17" s="2" customFormat="1" ht="12" customHeight="1">
      <c r="A70"/>
      <c r="B70"/>
      <c r="C70"/>
      <c r="D70" s="23"/>
      <c r="E70" s="23"/>
      <c r="F70"/>
      <c r="G70"/>
      <c r="H70"/>
      <c r="I70"/>
      <c r="J70" s="19"/>
      <c r="K70" s="19"/>
      <c r="L70" s="19"/>
      <c r="M70" s="19"/>
      <c r="N70" s="19"/>
      <c r="O70" s="19"/>
      <c r="P70" s="90"/>
      <c r="Q70" s="96"/>
    </row>
    <row r="71" spans="1:17" s="2" customFormat="1" ht="12" customHeight="1">
      <c r="A71"/>
      <c r="B71"/>
      <c r="C71"/>
      <c r="D71" s="23"/>
      <c r="E71" s="23"/>
      <c r="F71"/>
      <c r="G71"/>
      <c r="H71"/>
      <c r="I71"/>
      <c r="J71" s="19"/>
      <c r="K71" s="19"/>
      <c r="L71" s="19"/>
      <c r="M71" s="19"/>
      <c r="N71" s="19"/>
      <c r="O71" s="19"/>
      <c r="P71" s="90"/>
      <c r="Q71" s="96"/>
    </row>
    <row r="72" spans="1:17" s="2" customFormat="1" ht="12" customHeight="1">
      <c r="A72"/>
      <c r="B72"/>
      <c r="C72"/>
      <c r="D72" s="23"/>
      <c r="E72" s="23"/>
      <c r="F72"/>
      <c r="G72"/>
      <c r="H72"/>
      <c r="I72"/>
      <c r="J72" s="19"/>
      <c r="K72" s="19"/>
      <c r="L72" s="19"/>
      <c r="M72" s="19"/>
      <c r="N72" s="19"/>
      <c r="O72" s="19"/>
      <c r="P72" s="90"/>
      <c r="Q72" s="96"/>
    </row>
    <row r="73" spans="1:17" s="2" customFormat="1" ht="12" customHeight="1">
      <c r="A73"/>
      <c r="B73"/>
      <c r="C73"/>
      <c r="D73" s="23"/>
      <c r="E73" s="23"/>
      <c r="F73"/>
      <c r="G73"/>
      <c r="H73"/>
      <c r="I73"/>
      <c r="J73" s="19"/>
      <c r="K73" s="19"/>
      <c r="L73" s="19"/>
      <c r="M73" s="19"/>
      <c r="N73" s="19"/>
      <c r="O73" s="19"/>
      <c r="P73" s="90"/>
      <c r="Q73" s="96"/>
    </row>
    <row r="74" spans="1:17">
      <c r="Q74" s="96"/>
    </row>
    <row r="75" spans="1:17">
      <c r="Q75" s="96"/>
    </row>
    <row r="76" spans="1:17">
      <c r="Q76" s="96"/>
    </row>
    <row r="77" spans="1:17">
      <c r="Q77" s="96"/>
    </row>
    <row r="78" spans="1:17">
      <c r="Q78" s="96"/>
    </row>
    <row r="79" spans="1:17">
      <c r="Q79" s="96"/>
    </row>
    <row r="80" spans="1:17">
      <c r="Q80" s="96"/>
    </row>
    <row r="81" spans="17:17">
      <c r="Q81" s="96"/>
    </row>
    <row r="82" spans="17:17">
      <c r="Q82" s="96"/>
    </row>
    <row r="83" spans="17:17">
      <c r="Q83" s="96"/>
    </row>
    <row r="84" spans="17:17">
      <c r="Q84" s="96"/>
    </row>
    <row r="85" spans="17:17">
      <c r="Q85" s="96"/>
    </row>
    <row r="86" spans="17:17">
      <c r="Q86" s="96"/>
    </row>
    <row r="87" spans="17:17">
      <c r="Q87" s="96"/>
    </row>
    <row r="88" spans="17:17">
      <c r="Q88" s="96"/>
    </row>
    <row r="89" spans="17:17">
      <c r="Q89" s="96"/>
    </row>
    <row r="90" spans="17:17">
      <c r="Q90" s="96"/>
    </row>
    <row r="91" spans="17:17">
      <c r="Q91" s="96"/>
    </row>
    <row r="92" spans="17:17">
      <c r="Q92" s="96"/>
    </row>
    <row r="93" spans="17:17">
      <c r="Q93" s="96"/>
    </row>
    <row r="130" ht="12" customHeight="1"/>
    <row r="131" ht="12" customHeight="1"/>
    <row r="132" ht="12" customHeight="1"/>
    <row r="133" ht="12" customHeight="1"/>
    <row r="134" ht="12" customHeight="1"/>
    <row r="135" ht="12" customHeight="1"/>
    <row r="136" ht="12" customHeight="1"/>
    <row r="137" ht="12" customHeight="1"/>
    <row r="138" ht="12" customHeight="1"/>
    <row r="139" ht="12" customHeight="1"/>
    <row r="140" ht="12" customHeight="1"/>
    <row r="141" ht="12" customHeight="1"/>
    <row r="142" ht="12" customHeight="1"/>
    <row r="143" ht="12" customHeight="1"/>
    <row r="144" ht="12" customHeight="1"/>
    <row r="145" ht="12" customHeight="1"/>
    <row r="146" ht="12" customHeight="1"/>
    <row r="147" ht="12" customHeight="1"/>
    <row r="148" ht="12" customHeight="1"/>
    <row r="149" ht="12" customHeight="1"/>
    <row r="150" ht="12" customHeight="1"/>
    <row r="151" ht="12" customHeight="1"/>
    <row r="152" ht="12" customHeight="1"/>
    <row r="153" ht="12" customHeight="1"/>
    <row r="154" ht="12" customHeight="1"/>
    <row r="155" ht="12" customHeight="1"/>
    <row r="156" ht="12" customHeight="1"/>
    <row r="157" ht="12" customHeight="1"/>
    <row r="158" ht="12" customHeight="1"/>
    <row r="159" ht="12" customHeight="1"/>
    <row r="160" ht="12" customHeight="1"/>
    <row r="161" ht="12" customHeight="1"/>
    <row r="162" ht="12" customHeight="1"/>
    <row r="163" ht="12" customHeight="1"/>
    <row r="164" ht="12" customHeight="1"/>
    <row r="165" ht="12" customHeight="1"/>
    <row r="166" ht="12" customHeight="1"/>
    <row r="167" ht="12" customHeight="1"/>
    <row r="168" ht="12" customHeight="1"/>
    <row r="169" ht="12" customHeight="1"/>
    <row r="170" ht="12" customHeight="1"/>
    <row r="171" ht="12" customHeight="1"/>
    <row r="172" ht="12" customHeight="1"/>
    <row r="173" ht="12" customHeight="1"/>
    <row r="174" ht="12" customHeight="1"/>
    <row r="175" ht="12" customHeight="1"/>
    <row r="176" ht="12" customHeight="1"/>
    <row r="177" ht="12" customHeight="1"/>
    <row r="178" ht="12" customHeight="1"/>
    <row r="179" ht="12" customHeight="1"/>
  </sheetData>
  <mergeCells count="27">
    <mergeCell ref="D16:E16"/>
    <mergeCell ref="H26:I26"/>
    <mergeCell ref="D22:E22"/>
    <mergeCell ref="D23:E23"/>
    <mergeCell ref="D17:E17"/>
    <mergeCell ref="D24:E24"/>
    <mergeCell ref="D26:E26"/>
    <mergeCell ref="H17:I17"/>
    <mergeCell ref="D18:E18"/>
    <mergeCell ref="D19:E19"/>
    <mergeCell ref="D20:E20"/>
    <mergeCell ref="D21:E21"/>
    <mergeCell ref="D11:E11"/>
    <mergeCell ref="D12:E12"/>
    <mergeCell ref="D13:E13"/>
    <mergeCell ref="D14:E14"/>
    <mergeCell ref="D15:E15"/>
    <mergeCell ref="D7:E7"/>
    <mergeCell ref="D8:E8"/>
    <mergeCell ref="D9:E9"/>
    <mergeCell ref="D10:E10"/>
    <mergeCell ref="H10:I10"/>
    <mergeCell ref="D1:E1"/>
    <mergeCell ref="D4:E4"/>
    <mergeCell ref="H4:I4"/>
    <mergeCell ref="D5:E5"/>
    <mergeCell ref="D6:E6"/>
  </mergeCells>
  <conditionalFormatting sqref="M5:M9 M11:M16 M18:M25">
    <cfRule type="cellIs" dxfId="258" priority="3" stopIfTrue="1" operator="lessThanOrEqual">
      <formula>$L5</formula>
    </cfRule>
    <cfRule type="cellIs" dxfId="257" priority="4" operator="greaterThan">
      <formula>L5</formula>
    </cfRule>
  </conditionalFormatting>
  <pageMargins left="0.7" right="0.7" top="0.75" bottom="0.75" header="0.3" footer="0.3"/>
  <pageSetup paperSize="3" fitToHeight="0" orientation="landscape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49024115-59E4-4C6B-9CCB-611AE944F2FB}">
          <x14:formula1>
            <xm:f>Bolts!$A:$A</xm:f>
          </x14:formula1>
          <xm:sqref>C18:C25</xm:sqref>
        </x14:dataValidation>
        <x14:dataValidation type="list" allowBlank="1" showInputMessage="1" showErrorMessage="1" xr:uid="{F83DE0AF-A825-4E8C-9017-D717A1CC0DBF}">
          <x14:formula1>
            <xm:f>Purchased!$A:$A</xm:f>
          </x14:formula1>
          <xm:sqref>C11:C16</xm:sqref>
        </x14:dataValidation>
        <x14:dataValidation type="list" allowBlank="1" showInputMessage="1" showErrorMessage="1" xr:uid="{1DA09FD5-06FB-4E2D-A935-B089C90BD20C}">
          <x14:formula1>
            <xm:f>Machined!$C:$C</xm:f>
          </x14:formula1>
          <xm:sqref>C5:C9</xm:sqref>
        </x14:dataValidation>
      </x14:dataValidations>
    </ext>
  </extLst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A8A48A-DAA1-48FB-8300-DA49E7BCC0D8}">
  <sheetPr codeName="Sheet114">
    <tabColor theme="3" tint="0.79998168889431442"/>
    <pageSetUpPr fitToPage="1"/>
  </sheetPr>
  <dimension ref="A1:Q178"/>
  <sheetViews>
    <sheetView zoomScaleNormal="100" workbookViewId="0">
      <selection activeCell="K37" sqref="K37"/>
    </sheetView>
  </sheetViews>
  <sheetFormatPr defaultColWidth="9.140625" defaultRowHeight="15"/>
  <cols>
    <col min="1" max="1" width="5.7109375" customWidth="1"/>
    <col min="2" max="2" width="5.42578125" bestFit="1" customWidth="1"/>
    <col min="3" max="3" width="30.7109375" customWidth="1"/>
    <col min="4" max="5" width="20.7109375" style="23" customWidth="1"/>
    <col min="6" max="6" width="16.85546875" bestFit="1" customWidth="1"/>
    <col min="7" max="7" width="9.7109375" customWidth="1"/>
    <col min="8" max="8" width="8.7109375" customWidth="1"/>
    <col min="9" max="9" width="20.7109375" customWidth="1"/>
    <col min="10" max="13" width="11.7109375" style="19" customWidth="1"/>
    <col min="14" max="14" width="11.85546875" style="19" bestFit="1" customWidth="1"/>
    <col min="15" max="15" width="7.7109375" style="19" customWidth="1"/>
    <col min="16" max="16" width="10.7109375" style="90" customWidth="1"/>
    <col min="17" max="17" width="10.7109375" style="97" customWidth="1"/>
  </cols>
  <sheetData>
    <row r="1" spans="1:17" s="55" customFormat="1" ht="12" customHeight="1">
      <c r="A1" s="68" t="s">
        <v>0</v>
      </c>
      <c r="B1" s="69"/>
      <c r="C1" s="69"/>
      <c r="D1" s="262" t="s">
        <v>1</v>
      </c>
      <c r="E1" s="263"/>
      <c r="F1" s="70"/>
      <c r="G1" s="69"/>
      <c r="H1" s="70"/>
      <c r="I1" s="71"/>
      <c r="J1" s="72"/>
      <c r="K1" s="72"/>
      <c r="L1" s="72"/>
      <c r="M1" s="72"/>
      <c r="N1" s="72"/>
      <c r="O1" s="72"/>
      <c r="P1" s="85"/>
      <c r="Q1" s="91"/>
    </row>
    <row r="2" spans="1:17" s="55" customFormat="1" ht="12" customHeight="1">
      <c r="A2" s="74" t="s">
        <v>48</v>
      </c>
      <c r="B2" s="58"/>
      <c r="C2" s="57" t="e">
        <f ca="1">VLOOKUP(E3,Assemblies!B:F,4,0)</f>
        <v>#VALUE!</v>
      </c>
      <c r="D2" s="75" t="s">
        <v>3</v>
      </c>
      <c r="E2" s="76" t="e">
        <f ca="1">'GF12'!E2</f>
        <v>#VALUE!</v>
      </c>
      <c r="F2" s="77" t="s">
        <v>4</v>
      </c>
      <c r="G2" s="58" t="str">
        <f>'GF12'!G2</f>
        <v>GH</v>
      </c>
      <c r="H2" s="77" t="s">
        <v>6</v>
      </c>
      <c r="I2" s="59">
        <f>'GF12'!I2</f>
        <v>44775</v>
      </c>
      <c r="J2" s="39"/>
      <c r="K2" s="40" t="s">
        <v>49</v>
      </c>
      <c r="L2" s="41" t="e">
        <f ca="1">VLOOKUP(C2,Assemblies!E:G,3,0)</f>
        <v>#VALUE!</v>
      </c>
      <c r="M2" s="78"/>
      <c r="N2" s="78"/>
      <c r="O2" s="78"/>
      <c r="P2" s="86"/>
      <c r="Q2" s="92"/>
    </row>
    <row r="3" spans="1:17" s="55" customFormat="1" ht="12" customHeight="1" thickBot="1">
      <c r="A3" s="74" t="s">
        <v>7</v>
      </c>
      <c r="B3" s="58"/>
      <c r="C3" s="57" t="e">
        <f ca="1">VLOOKUP(E3,Assemblies!B:F,5,0)</f>
        <v>#VALUE!</v>
      </c>
      <c r="D3" s="75" t="s">
        <v>50</v>
      </c>
      <c r="E3" s="76" t="e">
        <f ca="1">MID(CELL("filename",A1),FIND("]",CELL("filename",A1))+1,256)</f>
        <v>#VALUE!</v>
      </c>
      <c r="F3" s="77" t="s">
        <v>11</v>
      </c>
      <c r="G3" s="58" t="str">
        <f>'GF12'!G3</f>
        <v>GH</v>
      </c>
      <c r="H3" s="77" t="s">
        <v>6</v>
      </c>
      <c r="I3" s="59">
        <f>'GF12'!I3</f>
        <v>44775</v>
      </c>
      <c r="J3" s="78"/>
      <c r="K3" s="78"/>
      <c r="L3" s="78"/>
      <c r="M3" s="78"/>
      <c r="N3" s="78"/>
      <c r="O3" s="78"/>
      <c r="P3" s="86"/>
      <c r="Q3" s="92"/>
    </row>
    <row r="4" spans="1:17" s="56" customFormat="1" ht="12.75" customHeight="1" thickBot="1">
      <c r="A4" s="80" t="s">
        <v>12</v>
      </c>
      <c r="B4" s="81" t="s">
        <v>13</v>
      </c>
      <c r="C4" s="81" t="s">
        <v>14</v>
      </c>
      <c r="D4" s="270" t="s">
        <v>15</v>
      </c>
      <c r="E4" s="271"/>
      <c r="F4" s="104" t="s">
        <v>16</v>
      </c>
      <c r="G4" s="81" t="s">
        <v>17</v>
      </c>
      <c r="H4" s="260" t="s">
        <v>18</v>
      </c>
      <c r="I4" s="261"/>
      <c r="J4" s="81" t="s">
        <v>51</v>
      </c>
      <c r="K4" s="81" t="s">
        <v>20</v>
      </c>
      <c r="L4" s="81" t="s">
        <v>21</v>
      </c>
      <c r="M4" s="81" t="s">
        <v>52</v>
      </c>
      <c r="N4" s="81" t="s">
        <v>22</v>
      </c>
      <c r="O4" s="81" t="s">
        <v>53</v>
      </c>
      <c r="P4" s="107" t="s">
        <v>26</v>
      </c>
      <c r="Q4" s="82" t="s">
        <v>27</v>
      </c>
    </row>
    <row r="5" spans="1:17" s="2" customFormat="1" ht="12.75" customHeight="1">
      <c r="A5" s="127">
        <v>1</v>
      </c>
      <c r="B5" s="21">
        <v>1</v>
      </c>
      <c r="C5" s="108" t="s">
        <v>1172</v>
      </c>
      <c r="D5" s="277" t="str">
        <f>VLOOKUP(C5,Machined!C:Q,2,0)</f>
        <v>UPPER CROSS SEAL BAR</v>
      </c>
      <c r="E5" s="278"/>
      <c r="F5" s="131" t="str">
        <f>VLOOKUP(C5,Machined!C:R,7,0)</f>
        <v xml:space="preserve">MIC 6 </v>
      </c>
      <c r="G5" s="131" t="str">
        <f>VLOOKUP(C5,Machined!C:R,10,0)</f>
        <v>XOMETRY</v>
      </c>
      <c r="H5" s="131" t="str">
        <f>VLOOKUP(C5,Machined!C:R,11,0)</f>
        <v xml:space="preserve">  </v>
      </c>
      <c r="I5" s="131"/>
      <c r="J5" s="42">
        <f>VLOOKUP(C5,Machined!C:R,12,0)</f>
        <v>45084</v>
      </c>
      <c r="K5" s="42">
        <f>VLOOKUP(C5,Machined!C:R,13,0)</f>
        <v>45127</v>
      </c>
      <c r="L5" s="42">
        <f>VLOOKUP(C5,Machined!C:R,14,0)</f>
        <v>45156</v>
      </c>
      <c r="M5" s="42">
        <f>VLOOKUP(C5,Machined!C:R,15,0)</f>
        <v>45156</v>
      </c>
      <c r="N5" s="43">
        <f>VLOOKUP(C5,Machined!C:R,16,0)</f>
        <v>55003</v>
      </c>
      <c r="O5" s="43" t="e">
        <f t="shared" ref="O5:O9" ca="1" si="0">B5*$L$2</f>
        <v>#VALUE!</v>
      </c>
      <c r="P5" s="47">
        <f>IFERROR(VLOOKUP(C5,Machined!C:F,3,0),"")</f>
        <v>466.92</v>
      </c>
      <c r="Q5" s="48">
        <f t="shared" ref="Q5:Q9" si="1">IFERROR(B5*P5,"")</f>
        <v>466.92</v>
      </c>
    </row>
    <row r="6" spans="1:17" s="2" customFormat="1" ht="12.75" customHeight="1">
      <c r="A6" s="127">
        <v>2</v>
      </c>
      <c r="B6" s="21">
        <v>1</v>
      </c>
      <c r="C6" s="108" t="s">
        <v>1159</v>
      </c>
      <c r="D6" s="277" t="str">
        <f>VLOOKUP(C6,Machined!C:Q,2,0)</f>
        <v>CROSS SEAL MID BAR</v>
      </c>
      <c r="E6" s="278"/>
      <c r="F6" s="131" t="str">
        <f>VLOOKUP(C6,Machined!C:R,7,0)</f>
        <v xml:space="preserve">MIC 6 </v>
      </c>
      <c r="G6" s="131" t="str">
        <f>VLOOKUP(C6,Machined!C:R,10,0)</f>
        <v>XOMETRY</v>
      </c>
      <c r="H6" s="131" t="str">
        <f>VLOOKUP(C6,Machined!C:R,11,0)</f>
        <v>Nuline add 2x M4 Taps</v>
      </c>
      <c r="I6" s="131"/>
      <c r="J6" s="42">
        <f>VLOOKUP(C6,Machined!C:R,12,0)</f>
        <v>45084</v>
      </c>
      <c r="K6" s="42">
        <f>VLOOKUP(C6,Machined!C:R,13,0)</f>
        <v>45127</v>
      </c>
      <c r="L6" s="42">
        <f>VLOOKUP(C6,Machined!C:R,14,0)</f>
        <v>45156</v>
      </c>
      <c r="M6" s="42">
        <f>VLOOKUP(C6,Machined!C:R,15,0)</f>
        <v>45156</v>
      </c>
      <c r="N6" s="43">
        <f>VLOOKUP(C6,Machined!C:R,16,0)</f>
        <v>55003</v>
      </c>
      <c r="O6" s="43" t="e">
        <f t="shared" ca="1" si="0"/>
        <v>#VALUE!</v>
      </c>
      <c r="P6" s="47">
        <f>IFERROR(VLOOKUP(C6,Machined!C:F,3,0),"")</f>
        <v>266.51</v>
      </c>
      <c r="Q6" s="48">
        <f t="shared" si="1"/>
        <v>266.51</v>
      </c>
    </row>
    <row r="7" spans="1:17" s="2" customFormat="1" ht="12.75" customHeight="1">
      <c r="A7" s="127">
        <v>3</v>
      </c>
      <c r="B7" s="21">
        <v>1</v>
      </c>
      <c r="C7" s="108" t="s">
        <v>1160</v>
      </c>
      <c r="D7" s="277" t="str">
        <f>VLOOKUP(C7,Machined!C:Q,2,0)</f>
        <v>CROSS SEAL DIE CAP</v>
      </c>
      <c r="E7" s="278"/>
      <c r="F7" s="131" t="str">
        <f>VLOOKUP(C7,Machined!C:R,7,0)</f>
        <v xml:space="preserve">MIC 6 </v>
      </c>
      <c r="G7" s="131" t="str">
        <f>VLOOKUP(C7,Machined!C:R,10,0)</f>
        <v>XOMETRY</v>
      </c>
      <c r="H7" s="131" t="str">
        <f>VLOOKUP(C7,Machined!C:R,11,0)</f>
        <v xml:space="preserve">  </v>
      </c>
      <c r="I7" s="131"/>
      <c r="J7" s="42">
        <f>VLOOKUP(C7,Machined!C:R,12,0)</f>
        <v>45084</v>
      </c>
      <c r="K7" s="42">
        <f>VLOOKUP(C7,Machined!C:R,13,0)</f>
        <v>45127</v>
      </c>
      <c r="L7" s="42">
        <f>VLOOKUP(C7,Machined!C:R,14,0)</f>
        <v>45156</v>
      </c>
      <c r="M7" s="42">
        <f>VLOOKUP(C7,Machined!C:R,15,0)</f>
        <v>45156</v>
      </c>
      <c r="N7" s="43">
        <f>VLOOKUP(C7,Machined!C:R,16,0)</f>
        <v>55003</v>
      </c>
      <c r="O7" s="43" t="e">
        <f t="shared" ca="1" si="0"/>
        <v>#VALUE!</v>
      </c>
      <c r="P7" s="47">
        <f>IFERROR(VLOOKUP(C7,Machined!C:F,3,0),"")</f>
        <v>395.2</v>
      </c>
      <c r="Q7" s="48">
        <f t="shared" si="1"/>
        <v>395.2</v>
      </c>
    </row>
    <row r="8" spans="1:17" s="2" customFormat="1" ht="12.75" customHeight="1">
      <c r="A8" s="127">
        <v>4</v>
      </c>
      <c r="B8" s="21">
        <v>1</v>
      </c>
      <c r="C8" s="108" t="s">
        <v>1161</v>
      </c>
      <c r="D8" s="277" t="str">
        <f>VLOOKUP(C8,Machined!C:Q,2,0)</f>
        <v>CROSS SEAL MOUNTING TUBE</v>
      </c>
      <c r="E8" s="278"/>
      <c r="F8" s="131" t="str">
        <f>VLOOKUP(C8,Machined!C:R,7,0)</f>
        <v>3"x3" 1018 Rec Tube</v>
      </c>
      <c r="G8" s="131" t="str">
        <f>VLOOKUP(C8,Machined!C:R,10,0)</f>
        <v>XOMETRY</v>
      </c>
      <c r="H8" s="131" t="str">
        <f>VLOOKUP(C8,Machined!C:R,11,0)</f>
        <v xml:space="preserve">  </v>
      </c>
      <c r="I8" s="131"/>
      <c r="J8" s="42">
        <f>VLOOKUP(C8,Machined!C:R,12,0)</f>
        <v>45084</v>
      </c>
      <c r="K8" s="42">
        <f>VLOOKUP(C8,Machined!C:R,13,0)</f>
        <v>45149</v>
      </c>
      <c r="L8" s="42">
        <f>VLOOKUP(C8,Machined!C:R,14,0)</f>
        <v>45177</v>
      </c>
      <c r="M8" s="42">
        <f>VLOOKUP(C8,Machined!C:R,15,0)</f>
        <v>45177</v>
      </c>
      <c r="N8" s="43">
        <f>VLOOKUP(C8,Machined!C:R,16,0)</f>
        <v>55053</v>
      </c>
      <c r="O8" s="43" t="e">
        <f t="shared" ca="1" si="0"/>
        <v>#VALUE!</v>
      </c>
      <c r="P8" s="47">
        <f>IFERROR(VLOOKUP(C8,Machined!C:F,3,0),"")</f>
        <v>830.63</v>
      </c>
      <c r="Q8" s="48">
        <f t="shared" si="1"/>
        <v>830.63</v>
      </c>
    </row>
    <row r="9" spans="1:17" s="2" customFormat="1" ht="12.75" customHeight="1">
      <c r="A9" s="127">
        <v>5</v>
      </c>
      <c r="B9" s="21">
        <v>2</v>
      </c>
      <c r="C9" s="108" t="s">
        <v>1071</v>
      </c>
      <c r="D9" s="277" t="str">
        <f>VLOOKUP(C9,Machined!C:Q,2,0)</f>
        <v>MODIFIED MCM 9604T190 STEEL FLANGED SHAFT COLLAR, 30MM DIA</v>
      </c>
      <c r="E9" s="278"/>
      <c r="F9" s="131" t="str">
        <f>VLOOKUP(C9,Machined!C:R,7,0)</f>
        <v>PURCHASED</v>
      </c>
      <c r="G9" s="131" t="str">
        <f>VLOOKUP(C9,Machined!C:R,10,0)</f>
        <v>MCM, NULINE</v>
      </c>
      <c r="H9" s="131" t="str">
        <f>VLOOKUP(C9,Machined!C:R,11,0)</f>
        <v xml:space="preserve">  </v>
      </c>
      <c r="I9" s="131"/>
      <c r="J9" s="42" t="str">
        <f>VLOOKUP(C9,Machined!C:R,12,0)</f>
        <v>N/A</v>
      </c>
      <c r="K9" s="42" t="str">
        <f>VLOOKUP(C9,Machined!C:R,13,0)</f>
        <v>N/A</v>
      </c>
      <c r="L9" s="42" t="str">
        <f>VLOOKUP(C9,Machined!C:R,14,0)</f>
        <v>N/A</v>
      </c>
      <c r="M9" s="42" t="str">
        <f>VLOOKUP(C9,Machined!C:R,15,0)</f>
        <v>N/A</v>
      </c>
      <c r="N9" s="43" t="str">
        <f>VLOOKUP(C9,Machined!C:R,16,0)</f>
        <v>N/A</v>
      </c>
      <c r="O9" s="43" t="e">
        <f t="shared" ca="1" si="0"/>
        <v>#VALUE!</v>
      </c>
      <c r="P9" s="47">
        <f>IFERROR(VLOOKUP(C9,Machined!C:F,3,0),"")</f>
        <v>0</v>
      </c>
      <c r="Q9" s="48">
        <f t="shared" si="1"/>
        <v>0</v>
      </c>
    </row>
    <row r="10" spans="1:17" s="2" customFormat="1" ht="12.75" customHeight="1">
      <c r="A10" s="143"/>
      <c r="B10" s="26"/>
      <c r="C10" s="26"/>
      <c r="D10" s="272"/>
      <c r="E10" s="273"/>
      <c r="F10" s="26"/>
      <c r="G10" s="26"/>
      <c r="H10" s="274"/>
      <c r="I10" s="275"/>
      <c r="J10" s="27"/>
      <c r="K10" s="27"/>
      <c r="L10" s="27"/>
      <c r="M10" s="28"/>
      <c r="N10" s="29"/>
      <c r="O10" s="29"/>
      <c r="P10" s="141"/>
      <c r="Q10" s="142"/>
    </row>
    <row r="11" spans="1:17" s="2" customFormat="1" ht="12.75" customHeight="1">
      <c r="A11" s="4">
        <v>301</v>
      </c>
      <c r="C11" s="114"/>
      <c r="D11" s="268"/>
      <c r="E11" s="269"/>
      <c r="F11" s="112"/>
      <c r="G11" s="112"/>
      <c r="H11" s="112"/>
      <c r="I11" s="113"/>
      <c r="J11" s="44"/>
      <c r="K11" s="44"/>
      <c r="L11" s="44"/>
      <c r="M11" s="44"/>
      <c r="N11" s="45"/>
      <c r="O11" s="45"/>
      <c r="P11" s="49"/>
      <c r="Q11" s="50"/>
    </row>
    <row r="12" spans="1:17" s="2" customFormat="1" ht="12" customHeight="1">
      <c r="A12" s="4">
        <f t="shared" ref="A12:A17" si="2">A11+1</f>
        <v>302</v>
      </c>
      <c r="B12" s="2">
        <v>3</v>
      </c>
      <c r="C12" s="114" t="s">
        <v>1072</v>
      </c>
      <c r="D12" s="268" t="str">
        <f>VLOOKUP(C12,Purchased!A:B,2,0)</f>
        <v>1/8in Bayonet Adapter</v>
      </c>
      <c r="E12" s="269"/>
      <c r="F12" s="112" t="str">
        <f>VLOOKUP(C12,Purchased!A:Q,9,0)</f>
        <v>ACROLAB</v>
      </c>
      <c r="G12" s="112" t="str">
        <f>VLOOKUP(C12,Purchased!A:Q,10,0)</f>
        <v>ACROLAB</v>
      </c>
      <c r="H12" s="112" t="str">
        <f>VLOOKUP(C12,Purchased!A:Q,12,0)</f>
        <v xml:space="preserve"> </v>
      </c>
      <c r="I12" s="113"/>
      <c r="J12" s="44" t="str">
        <f>VLOOKUP(C12,Purchased!A:Q,13,0)</f>
        <v>N/A</v>
      </c>
      <c r="K12" s="44">
        <f>VLOOKUP(C12,Purchased!A:Q,14,0)</f>
        <v>45001</v>
      </c>
      <c r="L12" s="44">
        <f>VLOOKUP(C12,Purchased!A:Q,15,0)</f>
        <v>45031</v>
      </c>
      <c r="M12" s="44">
        <f>VLOOKUP(C12,Purchased!A:Q,16,0)</f>
        <v>45031</v>
      </c>
      <c r="N12" s="45">
        <f>VLOOKUP(C12,Purchased!A:Q,17,0)</f>
        <v>54804</v>
      </c>
      <c r="O12" s="45" t="e">
        <f t="shared" ref="O12:O15" ca="1" si="3">B12*$L$2</f>
        <v>#VALUE!</v>
      </c>
      <c r="P12" s="49">
        <f>IFERROR(VLOOKUP(C12,Purchased!A:E,3,FALSE),"")</f>
        <v>4.25</v>
      </c>
      <c r="Q12" s="50">
        <f t="shared" ref="Q12:Q15" si="4">IFERROR(B12*P12,"")</f>
        <v>12.75</v>
      </c>
    </row>
    <row r="13" spans="1:17" s="2" customFormat="1" ht="12" customHeight="1">
      <c r="A13" s="4">
        <f t="shared" si="2"/>
        <v>303</v>
      </c>
      <c r="B13" s="2">
        <v>1</v>
      </c>
      <c r="C13" s="114" t="s">
        <v>1163</v>
      </c>
      <c r="D13" s="268" t="str">
        <f>VLOOKUP(C13,Purchased!A:B,2,0)</f>
        <v xml:space="preserve">0.5” OD Isobar, 49” Long </v>
      </c>
      <c r="E13" s="269"/>
      <c r="F13" s="112" t="str">
        <f>VLOOKUP(C13,Purchased!A:Q,9,0)</f>
        <v>ACROLAB</v>
      </c>
      <c r="G13" s="112" t="str">
        <f>VLOOKUP(C13,Purchased!A:Q,10,0)</f>
        <v>ACROLAB</v>
      </c>
      <c r="H13" s="112" t="str">
        <f>VLOOKUP(C13,Purchased!A:Q,12,0)</f>
        <v xml:space="preserve"> </v>
      </c>
      <c r="I13" s="113"/>
      <c r="J13" s="44" t="str">
        <f>VLOOKUP(C13,Purchased!A:Q,13,0)</f>
        <v>N/A</v>
      </c>
      <c r="K13" s="44">
        <f>VLOOKUP(C13,Purchased!A:Q,14,0)</f>
        <v>45001</v>
      </c>
      <c r="L13" s="44">
        <f>VLOOKUP(C13,Purchased!A:Q,15,0)</f>
        <v>45031</v>
      </c>
      <c r="M13" s="44">
        <f>VLOOKUP(C13,Purchased!A:Q,16,0)</f>
        <v>45031</v>
      </c>
      <c r="N13" s="45">
        <f>VLOOKUP(C13,Purchased!A:Q,17,0)</f>
        <v>54809</v>
      </c>
      <c r="O13" s="45" t="e">
        <f t="shared" ca="1" si="3"/>
        <v>#VALUE!</v>
      </c>
      <c r="P13" s="49">
        <f>IFERROR(VLOOKUP(C13,Purchased!A:E,3,FALSE),"")</f>
        <v>98</v>
      </c>
      <c r="Q13" s="50">
        <f t="shared" si="4"/>
        <v>98</v>
      </c>
    </row>
    <row r="14" spans="1:17" s="2" customFormat="1" ht="12" customHeight="1">
      <c r="A14" s="4">
        <f t="shared" si="2"/>
        <v>304</v>
      </c>
      <c r="B14" s="2">
        <v>2</v>
      </c>
      <c r="C14" s="114" t="s">
        <v>1164</v>
      </c>
      <c r="D14" s="268" t="str">
        <f>VLOOKUP(C14,Purchased!A:B,2,0)</f>
        <v>CUSTOM CARTRIDGE HEATER 24.5" LONG</v>
      </c>
      <c r="E14" s="269"/>
      <c r="F14" s="112" t="str">
        <f>VLOOKUP(C14,Purchased!A:Q,9,0)</f>
        <v>ACROLAB</v>
      </c>
      <c r="G14" s="112" t="str">
        <f>VLOOKUP(C14,Purchased!A:Q,10,0)</f>
        <v>ACROLAB</v>
      </c>
      <c r="H14" s="112" t="str">
        <f>VLOOKUP(C14,Purchased!A:Q,12,0)</f>
        <v xml:space="preserve"> </v>
      </c>
      <c r="I14" s="113"/>
      <c r="J14" s="44" t="str">
        <f>VLOOKUP(C14,Purchased!A:Q,13,0)</f>
        <v>N/A</v>
      </c>
      <c r="K14" s="44">
        <f>VLOOKUP(C14,Purchased!A:Q,14,0)</f>
        <v>45001</v>
      </c>
      <c r="L14" s="44">
        <f>VLOOKUP(C14,Purchased!A:Q,15,0)</f>
        <v>45031</v>
      </c>
      <c r="M14" s="44">
        <f>VLOOKUP(C14,Purchased!A:Q,16,0)</f>
        <v>45031</v>
      </c>
      <c r="N14" s="45">
        <f>VLOOKUP(C14,Purchased!A:Q,17,0)</f>
        <v>54806</v>
      </c>
      <c r="O14" s="45" t="e">
        <f t="shared" ca="1" si="3"/>
        <v>#VALUE!</v>
      </c>
      <c r="P14" s="49">
        <f>IFERROR(VLOOKUP(C14,Purchased!A:E,3,FALSE),"")</f>
        <v>254.8</v>
      </c>
      <c r="Q14" s="50">
        <f t="shared" si="4"/>
        <v>509.6</v>
      </c>
    </row>
    <row r="15" spans="1:17" s="2" customFormat="1" ht="12" customHeight="1">
      <c r="A15" s="4">
        <f t="shared" si="2"/>
        <v>305</v>
      </c>
      <c r="B15" s="2">
        <v>22</v>
      </c>
      <c r="C15" s="114" t="s">
        <v>1075</v>
      </c>
      <c r="D15" s="268" t="str">
        <f>VLOOKUP(C15,Purchased!A:B,2,0)</f>
        <v>Alloy Steel Cup-Point Set Screw M6 x 1 mm Thread, 50 mm Long, 25pk</v>
      </c>
      <c r="E15" s="269"/>
      <c r="F15" s="112" t="str">
        <f>VLOOKUP(C15,Purchased!A:Q,9,0)</f>
        <v>MCM</v>
      </c>
      <c r="G15" s="112" t="str">
        <f>VLOOKUP(C15,Purchased!A:Q,10,0)</f>
        <v>MCM</v>
      </c>
      <c r="H15" s="112" t="str">
        <f>VLOOKUP(C15,Purchased!A:Q,12,0)</f>
        <v>Pack of 25</v>
      </c>
      <c r="I15" s="113"/>
      <c r="J15" s="44" t="str">
        <f>VLOOKUP(C15,Purchased!A:Q,13,0)</f>
        <v>N/A</v>
      </c>
      <c r="K15" s="44">
        <f>VLOOKUP(C15,Purchased!A:Q,14,0)</f>
        <v>45162</v>
      </c>
      <c r="L15" s="44">
        <f>VLOOKUP(C15,Purchased!A:Q,15,0)</f>
        <v>45189</v>
      </c>
      <c r="M15" s="44">
        <f>VLOOKUP(C15,Purchased!A:Q,16,0)</f>
        <v>45189</v>
      </c>
      <c r="N15" s="45" t="str">
        <f>VLOOKUP(C15,Purchased!A:Q,17,0)</f>
        <v>55088, 55152</v>
      </c>
      <c r="O15" s="45" t="e">
        <f t="shared" ca="1" si="3"/>
        <v>#VALUE!</v>
      </c>
      <c r="P15" s="49">
        <f>IFERROR(VLOOKUP(C15,Purchased!A:E,3,FALSE),"")</f>
        <v>13.62</v>
      </c>
      <c r="Q15" s="50">
        <f t="shared" si="4"/>
        <v>299.64</v>
      </c>
    </row>
    <row r="16" spans="1:17" s="2" customFormat="1" ht="12" customHeight="1">
      <c r="A16" s="4">
        <f t="shared" si="2"/>
        <v>306</v>
      </c>
      <c r="B16" s="2">
        <v>1</v>
      </c>
      <c r="C16" s="114" t="s">
        <v>1076</v>
      </c>
      <c r="D16" s="268" t="str">
        <f>VLOOKUP(C16,Purchased!A:B,2,0)</f>
        <v>CUSTOM A100 THERMOCOUPLE 60" LONG LEADS</v>
      </c>
      <c r="E16" s="269"/>
      <c r="F16" s="112" t="str">
        <f>VLOOKUP(C16,Purchased!A:Q,9,0)</f>
        <v>ACROLAB</v>
      </c>
      <c r="G16" s="112" t="str">
        <f>VLOOKUP(C16,Purchased!A:Q,10,0)</f>
        <v>ACROLAB</v>
      </c>
      <c r="H16" s="112" t="str">
        <f>VLOOKUP(C16,Purchased!A:Q,12,0)</f>
        <v xml:space="preserve"> </v>
      </c>
      <c r="I16" s="113"/>
      <c r="J16" s="44" t="str">
        <f>VLOOKUP(C16,Purchased!A:Q,13,0)</f>
        <v>N/A</v>
      </c>
      <c r="K16" s="44">
        <f>VLOOKUP(C16,Purchased!A:Q,14,0)</f>
        <v>45001</v>
      </c>
      <c r="L16" s="44">
        <f>VLOOKUP(C16,Purchased!A:Q,15,0)</f>
        <v>45031</v>
      </c>
      <c r="M16" s="44">
        <f>VLOOKUP(C16,Purchased!A:Q,16,0)</f>
        <v>45031</v>
      </c>
      <c r="N16" s="45">
        <f>VLOOKUP(C16,Purchased!A:Q,17,0)</f>
        <v>54807</v>
      </c>
      <c r="O16" s="45" t="e">
        <f t="shared" ref="O16:O17" ca="1" si="5">B16*$L$2</f>
        <v>#VALUE!</v>
      </c>
      <c r="P16" s="49">
        <f>IFERROR(VLOOKUP(C16,Purchased!A:E,3,FALSE),"")</f>
        <v>45.75</v>
      </c>
      <c r="Q16" s="50">
        <f t="shared" ref="Q16:Q17" si="6">IFERROR(B16*P16,"")</f>
        <v>45.75</v>
      </c>
    </row>
    <row r="17" spans="1:17" s="2" customFormat="1" ht="12" customHeight="1">
      <c r="A17" s="4">
        <f t="shared" si="2"/>
        <v>307</v>
      </c>
      <c r="B17" s="2">
        <v>2</v>
      </c>
      <c r="C17" s="114" t="s">
        <v>1165</v>
      </c>
      <c r="D17" s="268" t="str">
        <f>VLOOKUP(C17,Purchased!A:B,2,0)</f>
        <v>CUSTOM A100 THERMOCOUPLE 24" LONG LEADS</v>
      </c>
      <c r="E17" s="269"/>
      <c r="F17" s="112" t="str">
        <f>VLOOKUP(C17,Purchased!A:Q,9,0)</f>
        <v>ACROLAB</v>
      </c>
      <c r="G17" s="112" t="str">
        <f>VLOOKUP(C17,Purchased!A:Q,10,0)</f>
        <v>ACROLAB</v>
      </c>
      <c r="H17" s="112" t="str">
        <f>VLOOKUP(C17,Purchased!A:Q,12,0)</f>
        <v xml:space="preserve"> </v>
      </c>
      <c r="I17" s="113"/>
      <c r="J17" s="44" t="str">
        <f>VLOOKUP(C17,Purchased!A:Q,13,0)</f>
        <v>N/A</v>
      </c>
      <c r="K17" s="44">
        <f>VLOOKUP(C17,Purchased!A:Q,14,0)</f>
        <v>45001</v>
      </c>
      <c r="L17" s="44">
        <f>VLOOKUP(C17,Purchased!A:Q,15,0)</f>
        <v>45031</v>
      </c>
      <c r="M17" s="44">
        <f>VLOOKUP(C17,Purchased!A:Q,16,0)</f>
        <v>45031</v>
      </c>
      <c r="N17" s="45">
        <f>VLOOKUP(C17,Purchased!A:Q,17,0)</f>
        <v>54808</v>
      </c>
      <c r="O17" s="45" t="e">
        <f t="shared" ca="1" si="5"/>
        <v>#VALUE!</v>
      </c>
      <c r="P17" s="49">
        <f>IFERROR(VLOOKUP(C17,Purchased!A:E,3,FALSE),"")</f>
        <v>45.75</v>
      </c>
      <c r="Q17" s="50">
        <f t="shared" si="6"/>
        <v>91.5</v>
      </c>
    </row>
    <row r="18" spans="1:17" s="2" customFormat="1" ht="12" customHeight="1">
      <c r="A18" s="25"/>
      <c r="B18" s="26"/>
      <c r="C18" s="26"/>
      <c r="D18" s="272"/>
      <c r="E18" s="273"/>
      <c r="F18" s="26"/>
      <c r="G18" s="26"/>
      <c r="H18" s="274"/>
      <c r="I18" s="275"/>
      <c r="J18" s="27"/>
      <c r="K18" s="27"/>
      <c r="L18" s="27"/>
      <c r="M18" s="28"/>
      <c r="N18" s="29"/>
      <c r="O18" s="29" t="e">
        <f t="shared" ref="O18:O24" ca="1" si="7">B18*$L$2</f>
        <v>#VALUE!</v>
      </c>
      <c r="P18" s="141"/>
      <c r="Q18" s="142"/>
    </row>
    <row r="19" spans="1:17" s="2" customFormat="1" ht="12" customHeight="1">
      <c r="A19" s="4">
        <v>501</v>
      </c>
      <c r="B19" s="2">
        <v>8</v>
      </c>
      <c r="C19" s="110" t="s">
        <v>1077</v>
      </c>
      <c r="D19" s="268"/>
      <c r="E19" s="276"/>
      <c r="F19" s="112">
        <f>VLOOKUP(C19,Bolts!A:L,5,0)</f>
        <v>0</v>
      </c>
      <c r="G19" s="112">
        <f>VLOOKUP(C19,Bolts!A:L,6,0)</f>
        <v>0</v>
      </c>
      <c r="H19" s="112">
        <f>VLOOKUP(C19,Bolts!A:L,7,0)</f>
        <v>0</v>
      </c>
      <c r="I19" s="112"/>
      <c r="J19" s="44">
        <f>VLOOKUP(C19,Bolts!A:L,8,0)</f>
        <v>0</v>
      </c>
      <c r="K19" s="44">
        <f>VLOOKUP(C19,Bolts!A:L,9,0)</f>
        <v>0</v>
      </c>
      <c r="L19" s="44">
        <f>VLOOKUP(C19,Bolts!A:L,10,0)</f>
        <v>0</v>
      </c>
      <c r="M19" s="44">
        <f>VLOOKUP(C19,Bolts!A:L,11,0)</f>
        <v>0</v>
      </c>
      <c r="N19" s="45">
        <f>VLOOKUP(C19,Bolts!A:L,12,0)</f>
        <v>0</v>
      </c>
      <c r="O19" s="45" t="e">
        <f t="shared" ca="1" si="7"/>
        <v>#VALUE!</v>
      </c>
      <c r="P19" s="49">
        <f>IFERROR(VLOOKUP(C19,Bolts!A:B,2,FALSE),"")</f>
        <v>0</v>
      </c>
      <c r="Q19" s="50">
        <f t="shared" ref="Q19:Q20" si="8">IFERROR(B19*P19,"")</f>
        <v>0</v>
      </c>
    </row>
    <row r="20" spans="1:17" s="2" customFormat="1" ht="12" customHeight="1">
      <c r="A20" s="4">
        <f t="shared" ref="A20:A24" si="9">A19+1</f>
        <v>502</v>
      </c>
      <c r="B20" s="2">
        <v>74</v>
      </c>
      <c r="C20" s="110" t="s">
        <v>853</v>
      </c>
      <c r="D20" s="268"/>
      <c r="E20" s="276"/>
      <c r="F20" s="112" t="str">
        <f>VLOOKUP(C20,Bolts!A:L,5,0)</f>
        <v xml:space="preserve">  </v>
      </c>
      <c r="G20" s="112" t="str">
        <f>VLOOKUP(C20,Bolts!A:L,6,0)</f>
        <v>Monroe Fasteners</v>
      </c>
      <c r="H20" s="112" t="str">
        <f>VLOOKUP(C20,Bolts!A:L,7,0)</f>
        <v xml:space="preserve">  </v>
      </c>
      <c r="I20" s="112"/>
      <c r="J20" s="44" t="str">
        <f>VLOOKUP(C20,Bolts!A:L,8,0)</f>
        <v xml:space="preserve"> </v>
      </c>
      <c r="K20" s="44" t="str">
        <f>VLOOKUP(C20,Bolts!A:L,9,0)</f>
        <v xml:space="preserve"> </v>
      </c>
      <c r="L20" s="44" t="str">
        <f>VLOOKUP(C20,Bolts!A:L,10,0)</f>
        <v xml:space="preserve"> </v>
      </c>
      <c r="M20" s="44" t="str">
        <f>VLOOKUP(C20,Bolts!A:L,11,0)</f>
        <v xml:space="preserve"> </v>
      </c>
      <c r="N20" s="45" t="str">
        <f>VLOOKUP(C20,Bolts!A:L,12,0)</f>
        <v xml:space="preserve"> </v>
      </c>
      <c r="O20" s="45" t="e">
        <f t="shared" ca="1" si="7"/>
        <v>#VALUE!</v>
      </c>
      <c r="P20" s="49" t="str">
        <f>IFERROR(VLOOKUP(C20,Bolts!A:B,2,FALSE),"")</f>
        <v xml:space="preserve"> </v>
      </c>
      <c r="Q20" s="50" t="str">
        <f t="shared" si="8"/>
        <v/>
      </c>
    </row>
    <row r="21" spans="1:17" s="2" customFormat="1" ht="12" customHeight="1">
      <c r="A21" s="4">
        <f t="shared" si="9"/>
        <v>503</v>
      </c>
      <c r="B21" s="2">
        <v>8</v>
      </c>
      <c r="C21" s="110" t="s">
        <v>828</v>
      </c>
      <c r="D21" s="268"/>
      <c r="E21" s="276"/>
      <c r="F21" s="112" t="str">
        <f>VLOOKUP(C21,Bolts!A:L,5,0)</f>
        <v xml:space="preserve">  </v>
      </c>
      <c r="G21" s="112" t="str">
        <f>VLOOKUP(C21,Bolts!A:L,6,0)</f>
        <v>Monroe Fasteners</v>
      </c>
      <c r="H21" s="112" t="str">
        <f>VLOOKUP(C21,Bolts!A:L,7,0)</f>
        <v xml:space="preserve">  </v>
      </c>
      <c r="I21" s="112"/>
      <c r="J21" s="44" t="str">
        <f>VLOOKUP(C21,Bolts!A:L,8,0)</f>
        <v xml:space="preserve"> </v>
      </c>
      <c r="K21" s="44" t="str">
        <f>VLOOKUP(C21,Bolts!A:L,9,0)</f>
        <v xml:space="preserve"> </v>
      </c>
      <c r="L21" s="44" t="str">
        <f>VLOOKUP(C21,Bolts!A:L,10,0)</f>
        <v xml:space="preserve"> </v>
      </c>
      <c r="M21" s="44" t="str">
        <f>VLOOKUP(C21,Bolts!A:L,11,0)</f>
        <v xml:space="preserve"> </v>
      </c>
      <c r="N21" s="45" t="str">
        <f>VLOOKUP(C21,Bolts!A:L,12,0)</f>
        <v xml:space="preserve"> </v>
      </c>
      <c r="O21" s="45" t="e">
        <f t="shared" ca="1" si="7"/>
        <v>#VALUE!</v>
      </c>
      <c r="P21" s="49" t="str">
        <f>IFERROR(VLOOKUP(#REF!,Bolts!A:B,2,FALSE),"")</f>
        <v/>
      </c>
      <c r="Q21" s="50" t="str">
        <f>IFERROR(#REF!*P21,"")</f>
        <v/>
      </c>
    </row>
    <row r="22" spans="1:17" s="2" customFormat="1" ht="12" customHeight="1">
      <c r="A22" s="4">
        <f t="shared" si="9"/>
        <v>504</v>
      </c>
      <c r="B22" s="2">
        <v>16</v>
      </c>
      <c r="C22" s="110" t="s">
        <v>288</v>
      </c>
      <c r="D22" s="268"/>
      <c r="E22" s="276"/>
      <c r="F22" s="112" t="str">
        <f>VLOOKUP(C22,Bolts!A:L,5,0)</f>
        <v xml:space="preserve">  </v>
      </c>
      <c r="G22" s="112" t="str">
        <f>VLOOKUP(C22,Bolts!A:L,6,0)</f>
        <v>Monroe Fasteners</v>
      </c>
      <c r="H22" s="112" t="str">
        <f>VLOOKUP(C22,Bolts!A:L,7,0)</f>
        <v xml:space="preserve">  </v>
      </c>
      <c r="I22" s="112"/>
      <c r="J22" s="44" t="str">
        <f>VLOOKUP(C22,Bolts!A:L,8,0)</f>
        <v xml:space="preserve"> </v>
      </c>
      <c r="K22" s="44" t="str">
        <f>VLOOKUP(C22,Bolts!A:L,9,0)</f>
        <v xml:space="preserve"> </v>
      </c>
      <c r="L22" s="44" t="str">
        <f>VLOOKUP(C22,Bolts!A:L,10,0)</f>
        <v xml:space="preserve"> </v>
      </c>
      <c r="M22" s="44" t="str">
        <f>VLOOKUP(C22,Bolts!A:L,11,0)</f>
        <v xml:space="preserve"> </v>
      </c>
      <c r="N22" s="45" t="str">
        <f>VLOOKUP(C22,Bolts!A:L,12,0)</f>
        <v xml:space="preserve"> </v>
      </c>
      <c r="O22" s="45" t="e">
        <f t="shared" ca="1" si="7"/>
        <v>#VALUE!</v>
      </c>
      <c r="P22" s="49" t="str">
        <f>IFERROR(VLOOKUP(C21,Bolts!A:B,2,FALSE),"")</f>
        <v xml:space="preserve"> </v>
      </c>
      <c r="Q22" s="50" t="str">
        <f>IFERROR(B21*P22,"")</f>
        <v/>
      </c>
    </row>
    <row r="23" spans="1:17" s="2" customFormat="1" ht="12" customHeight="1">
      <c r="A23" s="4">
        <f t="shared" si="9"/>
        <v>505</v>
      </c>
      <c r="B23" s="2">
        <v>2</v>
      </c>
      <c r="C23" s="110" t="s">
        <v>1078</v>
      </c>
      <c r="D23" s="268"/>
      <c r="E23" s="276"/>
      <c r="F23" s="112" t="str">
        <f>VLOOKUP(C23,Bolts!A:L,5,0)</f>
        <v xml:space="preserve">  </v>
      </c>
      <c r="G23" s="112" t="str">
        <f>VLOOKUP(C23,Bolts!A:L,6,0)</f>
        <v>Monroe Fasteners</v>
      </c>
      <c r="H23" s="112" t="str">
        <f>VLOOKUP(C23,Bolts!A:L,7,0)</f>
        <v xml:space="preserve">  </v>
      </c>
      <c r="I23" s="112"/>
      <c r="J23" s="44" t="str">
        <f>VLOOKUP(C23,Bolts!A:L,8,0)</f>
        <v xml:space="preserve"> </v>
      </c>
      <c r="K23" s="44" t="str">
        <f>VLOOKUP(C23,Bolts!A:L,9,0)</f>
        <v xml:space="preserve"> </v>
      </c>
      <c r="L23" s="44" t="str">
        <f>VLOOKUP(C23,Bolts!A:L,10,0)</f>
        <v xml:space="preserve"> </v>
      </c>
      <c r="M23" s="44" t="str">
        <f>VLOOKUP(C23,Bolts!A:L,11,0)</f>
        <v xml:space="preserve"> </v>
      </c>
      <c r="N23" s="45" t="str">
        <f>VLOOKUP(C23,Bolts!A:L,12,0)</f>
        <v xml:space="preserve"> </v>
      </c>
      <c r="O23" s="45" t="e">
        <f t="shared" ca="1" si="7"/>
        <v>#VALUE!</v>
      </c>
      <c r="P23" s="49" t="str">
        <f>IFERROR(VLOOKUP(C22,Bolts!A:B,2,FALSE),"")</f>
        <v xml:space="preserve"> </v>
      </c>
      <c r="Q23" s="50" t="str">
        <f>IFERROR(B22*P23,"")</f>
        <v/>
      </c>
    </row>
    <row r="24" spans="1:17" s="2" customFormat="1" ht="12" customHeight="1" thickBot="1">
      <c r="A24" s="4">
        <f t="shared" si="9"/>
        <v>506</v>
      </c>
      <c r="B24" s="2">
        <v>82</v>
      </c>
      <c r="C24" s="110" t="s">
        <v>595</v>
      </c>
      <c r="D24" s="164"/>
      <c r="E24" s="165"/>
      <c r="F24" s="112" t="str">
        <f>VLOOKUP(C24,Bolts!A:L,5,0)</f>
        <v xml:space="preserve">  </v>
      </c>
      <c r="G24" s="112" t="str">
        <f>VLOOKUP(C24,Bolts!A:L,6,0)</f>
        <v>Monroe Fasteners</v>
      </c>
      <c r="H24" s="112" t="str">
        <f>VLOOKUP(C24,Bolts!A:L,7,0)</f>
        <v xml:space="preserve">  </v>
      </c>
      <c r="I24" s="112"/>
      <c r="J24" s="44" t="str">
        <f>VLOOKUP(C24,Bolts!A:L,8,0)</f>
        <v xml:space="preserve"> </v>
      </c>
      <c r="K24" s="44" t="str">
        <f>VLOOKUP(C24,Bolts!A:L,9,0)</f>
        <v xml:space="preserve"> </v>
      </c>
      <c r="L24" s="44" t="str">
        <f>VLOOKUP(C24,Bolts!A:L,10,0)</f>
        <v xml:space="preserve"> </v>
      </c>
      <c r="M24" s="44" t="str">
        <f>VLOOKUP(C24,Bolts!A:L,11,0)</f>
        <v xml:space="preserve"> </v>
      </c>
      <c r="N24" s="45" t="str">
        <f>VLOOKUP(C24,Bolts!A:L,12,0)</f>
        <v xml:space="preserve"> </v>
      </c>
      <c r="O24" s="45" t="e">
        <f t="shared" ca="1" si="7"/>
        <v>#VALUE!</v>
      </c>
      <c r="P24" s="49" t="str">
        <f>IFERROR(VLOOKUP(C23,Bolts!A:B,2,FALSE),"")</f>
        <v xml:space="preserve"> </v>
      </c>
      <c r="Q24" s="50" t="str">
        <f>IFERROR(B23*P24,"")</f>
        <v/>
      </c>
    </row>
    <row r="25" spans="1:17" s="2" customFormat="1" ht="12.75" customHeight="1" thickBot="1">
      <c r="A25" s="34"/>
      <c r="B25" s="35"/>
      <c r="C25" s="35"/>
      <c r="D25" s="256"/>
      <c r="E25" s="257"/>
      <c r="F25" s="35"/>
      <c r="G25" s="35"/>
      <c r="H25" s="294"/>
      <c r="I25" s="295"/>
      <c r="J25" s="36"/>
      <c r="K25" s="36"/>
      <c r="L25" s="36"/>
      <c r="M25" s="37"/>
      <c r="N25" s="38"/>
      <c r="O25" s="38"/>
      <c r="P25" s="89" t="s">
        <v>43</v>
      </c>
      <c r="Q25" s="94">
        <f>SUM(Q5:Q24)</f>
        <v>3016.5</v>
      </c>
    </row>
    <row r="26" spans="1:17" s="2" customFormat="1" ht="12" customHeight="1">
      <c r="D26" s="22"/>
      <c r="E26" s="22"/>
      <c r="J26" s="8"/>
      <c r="K26" s="8"/>
      <c r="L26" s="8"/>
      <c r="M26" s="8"/>
      <c r="N26" s="5"/>
      <c r="O26" s="5"/>
      <c r="P26" s="88"/>
      <c r="Q26" s="95"/>
    </row>
    <row r="27" spans="1:17" s="2" customFormat="1" ht="12" customHeight="1">
      <c r="D27" s="22"/>
      <c r="E27" s="22"/>
      <c r="J27" s="5"/>
      <c r="K27" s="5"/>
      <c r="L27" s="5"/>
      <c r="M27" s="5"/>
      <c r="N27" s="5"/>
      <c r="O27" s="5"/>
      <c r="P27" s="88"/>
      <c r="Q27" s="95"/>
    </row>
    <row r="28" spans="1:17" s="2" customFormat="1" ht="12" customHeight="1">
      <c r="D28" s="22"/>
      <c r="E28" s="22"/>
      <c r="J28" s="5"/>
      <c r="K28" s="5"/>
      <c r="L28" s="5"/>
      <c r="M28" s="5"/>
      <c r="N28" s="5"/>
      <c r="O28" s="5"/>
      <c r="P28" s="88"/>
      <c r="Q28" s="95"/>
    </row>
    <row r="29" spans="1:17" s="2" customFormat="1" ht="12" customHeight="1">
      <c r="B29" s="22"/>
      <c r="C29" s="22"/>
      <c r="H29" s="5"/>
      <c r="I29" s="5"/>
      <c r="J29" s="5"/>
      <c r="K29" s="5"/>
      <c r="L29" s="5"/>
      <c r="M29" s="5"/>
      <c r="N29" s="88"/>
      <c r="O29" s="95"/>
    </row>
    <row r="30" spans="1:17" s="2" customFormat="1" ht="12" customHeight="1">
      <c r="B30" s="22"/>
      <c r="C30" s="22"/>
      <c r="H30" s="5"/>
      <c r="I30" s="5"/>
      <c r="J30" s="5"/>
      <c r="K30" s="5"/>
      <c r="L30" s="5"/>
      <c r="M30" s="5"/>
      <c r="N30" s="88"/>
      <c r="O30" s="95"/>
    </row>
    <row r="31" spans="1:17" s="2" customFormat="1" ht="12" customHeight="1">
      <c r="B31" s="22"/>
      <c r="C31" s="22"/>
      <c r="H31" s="5"/>
      <c r="I31" s="5"/>
      <c r="J31" s="5"/>
      <c r="K31" s="5"/>
      <c r="L31" s="5"/>
      <c r="M31" s="5"/>
      <c r="N31" s="88"/>
      <c r="O31" s="95"/>
    </row>
    <row r="32" spans="1:17" s="2" customFormat="1" ht="12" customHeight="1">
      <c r="B32" s="22"/>
      <c r="C32" s="22"/>
      <c r="H32" s="5"/>
      <c r="I32" s="5"/>
      <c r="J32" s="5"/>
      <c r="K32" s="5"/>
      <c r="L32" s="5"/>
      <c r="M32" s="5"/>
      <c r="N32" s="88"/>
      <c r="O32" s="95"/>
    </row>
    <row r="33" spans="2:17" s="2" customFormat="1" ht="12" customHeight="1">
      <c r="B33" s="22"/>
      <c r="C33" s="22"/>
      <c r="H33" s="5"/>
      <c r="I33" s="5"/>
      <c r="J33" s="5"/>
      <c r="K33" s="5"/>
      <c r="L33" s="5"/>
      <c r="M33" s="5"/>
      <c r="N33" s="88"/>
      <c r="O33" s="95"/>
    </row>
    <row r="34" spans="2:17" s="2" customFormat="1" ht="12" customHeight="1">
      <c r="B34" s="22"/>
      <c r="C34" s="22"/>
      <c r="H34" s="5"/>
      <c r="I34" s="5"/>
      <c r="J34" s="5"/>
      <c r="K34" s="5"/>
      <c r="L34" s="5"/>
      <c r="M34" s="5"/>
      <c r="N34" s="88"/>
      <c r="O34" s="95"/>
    </row>
    <row r="35" spans="2:17" s="2" customFormat="1" ht="12" customHeight="1">
      <c r="D35" s="22"/>
      <c r="E35" s="22"/>
      <c r="J35" s="5"/>
      <c r="K35" s="5"/>
      <c r="L35" s="5"/>
      <c r="M35" s="5"/>
      <c r="N35" s="5"/>
      <c r="O35" s="5"/>
      <c r="P35" s="88"/>
      <c r="Q35" s="95"/>
    </row>
    <row r="36" spans="2:17" s="2" customFormat="1" ht="12" customHeight="1">
      <c r="D36" s="22"/>
      <c r="E36" s="22"/>
      <c r="J36" s="5"/>
      <c r="K36" s="5"/>
      <c r="L36" s="5"/>
      <c r="M36" s="5"/>
      <c r="N36" s="5"/>
      <c r="O36" s="5"/>
      <c r="P36" s="88"/>
      <c r="Q36" s="95"/>
    </row>
    <row r="37" spans="2:17" s="2" customFormat="1" ht="12" customHeight="1">
      <c r="D37" s="22"/>
      <c r="E37" s="22"/>
      <c r="J37" s="5"/>
      <c r="K37" s="5"/>
      <c r="L37" s="5"/>
      <c r="M37" s="5"/>
      <c r="N37" s="5"/>
      <c r="O37" s="5"/>
      <c r="P37" s="88"/>
      <c r="Q37" s="95"/>
    </row>
    <row r="38" spans="2:17" s="2" customFormat="1" ht="12" customHeight="1">
      <c r="D38" s="22"/>
      <c r="E38" s="22"/>
      <c r="J38" s="5"/>
      <c r="K38" s="5"/>
      <c r="L38" s="5"/>
      <c r="M38" s="5"/>
      <c r="N38" s="5"/>
      <c r="O38" s="5"/>
      <c r="P38" s="88"/>
      <c r="Q38" s="95"/>
    </row>
    <row r="39" spans="2:17" s="2" customFormat="1" ht="12" customHeight="1">
      <c r="D39" s="22"/>
      <c r="E39" s="22"/>
      <c r="J39" s="5"/>
      <c r="K39" s="5"/>
      <c r="L39" s="5"/>
      <c r="M39" s="5"/>
      <c r="N39" s="5"/>
      <c r="O39" s="5"/>
      <c r="P39" s="88"/>
      <c r="Q39" s="95"/>
    </row>
    <row r="40" spans="2:17" s="2" customFormat="1" ht="12" customHeight="1">
      <c r="D40" s="22"/>
      <c r="E40" s="22"/>
      <c r="J40" s="5"/>
      <c r="K40" s="5"/>
      <c r="L40" s="5"/>
      <c r="M40" s="5"/>
      <c r="N40" s="5"/>
      <c r="O40" s="5"/>
      <c r="P40" s="88"/>
      <c r="Q40" s="95"/>
    </row>
    <row r="41" spans="2:17" s="2" customFormat="1" ht="12" customHeight="1">
      <c r="D41" s="22"/>
      <c r="E41" s="22"/>
      <c r="J41" s="5"/>
      <c r="K41" s="5"/>
      <c r="L41" s="5"/>
      <c r="M41" s="5"/>
      <c r="N41" s="5"/>
      <c r="O41" s="5"/>
      <c r="P41" s="88"/>
      <c r="Q41" s="95"/>
    </row>
    <row r="42" spans="2:17" s="2" customFormat="1" ht="12" customHeight="1">
      <c r="D42" s="22"/>
      <c r="E42" s="22"/>
      <c r="J42" s="5"/>
      <c r="K42" s="5"/>
      <c r="L42" s="5"/>
      <c r="M42" s="5"/>
      <c r="N42" s="5"/>
      <c r="O42" s="5"/>
      <c r="P42" s="88"/>
      <c r="Q42" s="95"/>
    </row>
    <row r="43" spans="2:17" s="2" customFormat="1" ht="12" customHeight="1">
      <c r="D43" s="22"/>
      <c r="E43" s="22"/>
      <c r="J43" s="5"/>
      <c r="K43" s="5"/>
      <c r="L43" s="5"/>
      <c r="M43" s="5"/>
      <c r="N43" s="5"/>
      <c r="O43" s="5"/>
      <c r="P43" s="88"/>
      <c r="Q43" s="95"/>
    </row>
    <row r="44" spans="2:17" s="2" customFormat="1" ht="12" customHeight="1">
      <c r="D44" s="22"/>
      <c r="E44" s="22"/>
      <c r="J44" s="5"/>
      <c r="K44" s="5"/>
      <c r="L44" s="5"/>
      <c r="M44" s="5"/>
      <c r="N44" s="5"/>
      <c r="O44" s="5"/>
      <c r="P44" s="88"/>
      <c r="Q44" s="95"/>
    </row>
    <row r="45" spans="2:17" s="2" customFormat="1" ht="12" customHeight="1">
      <c r="D45" s="22"/>
      <c r="E45" s="22"/>
      <c r="J45" s="5"/>
      <c r="K45" s="5"/>
      <c r="L45" s="5"/>
      <c r="M45" s="5"/>
      <c r="N45" s="5"/>
      <c r="O45" s="5"/>
      <c r="P45" s="88"/>
      <c r="Q45" s="95"/>
    </row>
    <row r="46" spans="2:17" s="2" customFormat="1" ht="12" customHeight="1">
      <c r="D46" s="22"/>
      <c r="E46" s="22"/>
      <c r="J46" s="5"/>
      <c r="K46" s="5"/>
      <c r="L46" s="5"/>
      <c r="M46" s="5"/>
      <c r="N46" s="5"/>
      <c r="O46" s="5"/>
      <c r="P46" s="88"/>
      <c r="Q46" s="95"/>
    </row>
    <row r="47" spans="2:17" s="2" customFormat="1" ht="12" customHeight="1">
      <c r="D47" s="22"/>
      <c r="E47" s="22"/>
      <c r="J47" s="5"/>
      <c r="K47" s="5"/>
      <c r="L47" s="5"/>
      <c r="M47" s="5"/>
      <c r="N47" s="5"/>
      <c r="O47" s="5"/>
      <c r="P47" s="88"/>
      <c r="Q47" s="95"/>
    </row>
    <row r="48" spans="2:17" s="2" customFormat="1" ht="12" customHeight="1">
      <c r="D48" s="22"/>
      <c r="E48" s="22"/>
      <c r="J48" s="5"/>
      <c r="K48" s="5"/>
      <c r="L48" s="5"/>
      <c r="M48" s="5"/>
      <c r="N48" s="5"/>
      <c r="O48" s="5"/>
      <c r="P48" s="88"/>
      <c r="Q48" s="95"/>
    </row>
    <row r="49" spans="4:17" s="2" customFormat="1" ht="12" customHeight="1">
      <c r="D49" s="22"/>
      <c r="E49" s="22"/>
      <c r="J49" s="5"/>
      <c r="K49" s="5"/>
      <c r="L49" s="5"/>
      <c r="M49" s="5"/>
      <c r="N49" s="5"/>
      <c r="O49" s="5"/>
      <c r="P49" s="88"/>
      <c r="Q49" s="95"/>
    </row>
    <row r="50" spans="4:17" s="2" customFormat="1" ht="12" customHeight="1">
      <c r="D50" s="22"/>
      <c r="E50" s="22"/>
      <c r="J50" s="5"/>
      <c r="K50" s="5"/>
      <c r="L50" s="5"/>
      <c r="M50" s="5"/>
      <c r="N50" s="5"/>
      <c r="O50" s="5"/>
      <c r="P50" s="88"/>
      <c r="Q50" s="95"/>
    </row>
    <row r="51" spans="4:17" s="2" customFormat="1" ht="12" customHeight="1">
      <c r="D51" s="22"/>
      <c r="E51" s="22"/>
      <c r="J51" s="5"/>
      <c r="K51" s="5"/>
      <c r="L51" s="5"/>
      <c r="M51" s="5"/>
      <c r="N51" s="5"/>
      <c r="O51" s="5"/>
      <c r="P51" s="88"/>
      <c r="Q51" s="95"/>
    </row>
    <row r="52" spans="4:17" s="2" customFormat="1" ht="12" customHeight="1">
      <c r="D52" s="22"/>
      <c r="E52" s="22"/>
      <c r="J52" s="5"/>
      <c r="K52" s="5"/>
      <c r="L52" s="5"/>
      <c r="M52" s="5"/>
      <c r="N52" s="5"/>
      <c r="O52" s="5"/>
      <c r="P52" s="88"/>
      <c r="Q52" s="95"/>
    </row>
    <row r="53" spans="4:17" s="2" customFormat="1" ht="12" customHeight="1">
      <c r="D53" s="22"/>
      <c r="E53" s="22"/>
      <c r="J53" s="5"/>
      <c r="K53" s="5"/>
      <c r="L53" s="5"/>
      <c r="M53" s="5"/>
      <c r="N53" s="5"/>
      <c r="O53" s="5"/>
      <c r="P53" s="88"/>
      <c r="Q53" s="95"/>
    </row>
    <row r="54" spans="4:17" s="2" customFormat="1" ht="12" customHeight="1">
      <c r="D54" s="22"/>
      <c r="E54" s="22"/>
      <c r="J54" s="5"/>
      <c r="K54" s="5"/>
      <c r="L54" s="5"/>
      <c r="M54" s="5"/>
      <c r="N54" s="5"/>
      <c r="O54" s="5"/>
      <c r="P54" s="88"/>
      <c r="Q54" s="95"/>
    </row>
    <row r="55" spans="4:17" s="2" customFormat="1" ht="12" customHeight="1">
      <c r="D55" s="22"/>
      <c r="E55" s="22"/>
      <c r="J55" s="5"/>
      <c r="K55" s="5"/>
      <c r="L55" s="5"/>
      <c r="M55" s="5"/>
      <c r="N55" s="5"/>
      <c r="O55" s="5"/>
      <c r="P55" s="88"/>
      <c r="Q55" s="95"/>
    </row>
    <row r="56" spans="4:17" s="2" customFormat="1" ht="12" customHeight="1">
      <c r="D56" s="22"/>
      <c r="E56" s="22"/>
      <c r="J56" s="5"/>
      <c r="K56" s="5"/>
      <c r="L56" s="5"/>
      <c r="M56" s="5"/>
      <c r="N56" s="5"/>
      <c r="O56" s="5"/>
      <c r="P56" s="88"/>
      <c r="Q56" s="95"/>
    </row>
    <row r="57" spans="4:17" s="2" customFormat="1" ht="12" customHeight="1">
      <c r="D57" s="22"/>
      <c r="E57" s="22"/>
      <c r="J57" s="5"/>
      <c r="K57" s="5"/>
      <c r="L57" s="5"/>
      <c r="M57" s="5"/>
      <c r="N57" s="5"/>
      <c r="O57" s="5"/>
      <c r="P57" s="88"/>
      <c r="Q57" s="95"/>
    </row>
    <row r="58" spans="4:17" s="2" customFormat="1" ht="12" customHeight="1">
      <c r="D58" s="22"/>
      <c r="E58" s="22"/>
      <c r="J58" s="5"/>
      <c r="K58" s="5"/>
      <c r="L58" s="5"/>
      <c r="M58" s="5"/>
      <c r="N58" s="5"/>
      <c r="O58" s="5"/>
      <c r="P58" s="88"/>
      <c r="Q58" s="95"/>
    </row>
    <row r="59" spans="4:17" s="2" customFormat="1" ht="12" customHeight="1">
      <c r="D59" s="22"/>
      <c r="E59" s="22"/>
      <c r="J59" s="5"/>
      <c r="K59" s="5"/>
      <c r="L59" s="5"/>
      <c r="M59" s="5"/>
      <c r="N59" s="5"/>
      <c r="O59" s="5"/>
      <c r="P59" s="88"/>
      <c r="Q59" s="95"/>
    </row>
    <row r="60" spans="4:17" s="2" customFormat="1" ht="12" customHeight="1">
      <c r="D60" s="22"/>
      <c r="E60" s="22"/>
      <c r="J60" s="5"/>
      <c r="K60" s="5"/>
      <c r="L60" s="5"/>
      <c r="M60" s="5"/>
      <c r="N60" s="5"/>
      <c r="O60" s="5"/>
      <c r="P60" s="88"/>
      <c r="Q60" s="95"/>
    </row>
    <row r="61" spans="4:17" s="2" customFormat="1" ht="12" customHeight="1">
      <c r="D61" s="22"/>
      <c r="E61" s="22"/>
      <c r="J61" s="5"/>
      <c r="K61" s="5"/>
      <c r="L61" s="5"/>
      <c r="M61" s="5"/>
      <c r="N61" s="5"/>
      <c r="O61" s="5"/>
      <c r="P61" s="88"/>
      <c r="Q61" s="95"/>
    </row>
    <row r="62" spans="4:17" s="2" customFormat="1" ht="12" customHeight="1">
      <c r="D62" s="22"/>
      <c r="E62" s="22"/>
      <c r="J62" s="5"/>
      <c r="K62" s="5"/>
      <c r="L62" s="5"/>
      <c r="M62" s="5"/>
      <c r="N62" s="5"/>
      <c r="O62" s="5"/>
      <c r="P62" s="88"/>
      <c r="Q62" s="95"/>
    </row>
    <row r="63" spans="4:17" s="2" customFormat="1" ht="12" customHeight="1">
      <c r="D63" s="22"/>
      <c r="E63" s="22"/>
      <c r="J63" s="5"/>
      <c r="K63" s="5"/>
      <c r="L63" s="5"/>
      <c r="M63" s="5"/>
      <c r="N63" s="5"/>
      <c r="O63" s="5"/>
      <c r="P63" s="88"/>
      <c r="Q63" s="95"/>
    </row>
    <row r="64" spans="4:17" s="2" customFormat="1" ht="12" customHeight="1">
      <c r="D64" s="22"/>
      <c r="E64" s="22"/>
      <c r="J64" s="5"/>
      <c r="K64" s="5"/>
      <c r="L64" s="5"/>
      <c r="M64" s="5"/>
      <c r="N64" s="5"/>
      <c r="O64" s="5"/>
      <c r="P64" s="88"/>
      <c r="Q64" s="96"/>
    </row>
    <row r="65" spans="1:17" s="2" customFormat="1" ht="12" customHeight="1">
      <c r="D65" s="22"/>
      <c r="E65" s="22"/>
      <c r="J65" s="5"/>
      <c r="K65" s="5"/>
      <c r="L65" s="5"/>
      <c r="M65" s="5"/>
      <c r="N65" s="5"/>
      <c r="O65" s="5"/>
      <c r="P65" s="88"/>
      <c r="Q65" s="96"/>
    </row>
    <row r="66" spans="1:17" s="2" customFormat="1" ht="12" customHeight="1">
      <c r="D66" s="22"/>
      <c r="E66" s="22"/>
      <c r="J66" s="5"/>
      <c r="K66" s="5"/>
      <c r="L66" s="5"/>
      <c r="M66" s="5"/>
      <c r="N66" s="5"/>
      <c r="O66" s="5"/>
      <c r="P66" s="88"/>
      <c r="Q66" s="96"/>
    </row>
    <row r="67" spans="1:17" s="2" customFormat="1" ht="12" customHeight="1">
      <c r="D67" s="22"/>
      <c r="E67" s="22"/>
      <c r="J67" s="5"/>
      <c r="K67" s="5"/>
      <c r="L67" s="5"/>
      <c r="M67" s="5"/>
      <c r="N67" s="5"/>
      <c r="O67" s="5"/>
      <c r="P67" s="88"/>
      <c r="Q67" s="96"/>
    </row>
    <row r="68" spans="1:17" s="2" customFormat="1" ht="12" customHeight="1">
      <c r="A68"/>
      <c r="B68"/>
      <c r="C68"/>
      <c r="D68" s="23"/>
      <c r="E68" s="23"/>
      <c r="F68"/>
      <c r="G68"/>
      <c r="H68"/>
      <c r="I68"/>
      <c r="J68" s="19"/>
      <c r="K68" s="19"/>
      <c r="L68" s="19"/>
      <c r="M68" s="19"/>
      <c r="N68" s="19"/>
      <c r="O68" s="19"/>
      <c r="P68" s="90"/>
      <c r="Q68" s="96"/>
    </row>
    <row r="69" spans="1:17" s="2" customFormat="1" ht="12" customHeight="1">
      <c r="A69"/>
      <c r="B69"/>
      <c r="C69"/>
      <c r="D69" s="23"/>
      <c r="E69" s="23"/>
      <c r="F69"/>
      <c r="G69"/>
      <c r="H69"/>
      <c r="I69"/>
      <c r="J69" s="19"/>
      <c r="K69" s="19"/>
      <c r="L69" s="19"/>
      <c r="M69" s="19"/>
      <c r="N69" s="19"/>
      <c r="O69" s="19"/>
      <c r="P69" s="90"/>
      <c r="Q69" s="96"/>
    </row>
    <row r="70" spans="1:17" s="2" customFormat="1" ht="12" customHeight="1">
      <c r="A70"/>
      <c r="B70"/>
      <c r="C70"/>
      <c r="D70" s="23"/>
      <c r="E70" s="23"/>
      <c r="F70"/>
      <c r="G70"/>
      <c r="H70"/>
      <c r="I70"/>
      <c r="J70" s="19"/>
      <c r="K70" s="19"/>
      <c r="L70" s="19"/>
      <c r="M70" s="19"/>
      <c r="N70" s="19"/>
      <c r="O70" s="19"/>
      <c r="P70" s="90"/>
      <c r="Q70" s="96"/>
    </row>
    <row r="71" spans="1:17" s="2" customFormat="1" ht="12" customHeight="1">
      <c r="A71"/>
      <c r="B71"/>
      <c r="C71"/>
      <c r="D71" s="23"/>
      <c r="E71" s="23"/>
      <c r="F71"/>
      <c r="G71"/>
      <c r="H71"/>
      <c r="I71"/>
      <c r="J71" s="19"/>
      <c r="K71" s="19"/>
      <c r="L71" s="19"/>
      <c r="M71" s="19"/>
      <c r="N71" s="19"/>
      <c r="O71" s="19"/>
      <c r="P71" s="90"/>
      <c r="Q71" s="96"/>
    </row>
    <row r="72" spans="1:17" s="2" customFormat="1" ht="12" customHeight="1">
      <c r="A72"/>
      <c r="B72"/>
      <c r="C72"/>
      <c r="D72" s="23"/>
      <c r="E72" s="23"/>
      <c r="F72"/>
      <c r="G72"/>
      <c r="H72"/>
      <c r="I72"/>
      <c r="J72" s="19"/>
      <c r="K72" s="19"/>
      <c r="L72" s="19"/>
      <c r="M72" s="19"/>
      <c r="N72" s="19"/>
      <c r="O72" s="19"/>
      <c r="P72" s="90"/>
      <c r="Q72" s="96"/>
    </row>
    <row r="73" spans="1:17">
      <c r="Q73" s="96"/>
    </row>
    <row r="74" spans="1:17">
      <c r="Q74" s="96"/>
    </row>
    <row r="75" spans="1:17">
      <c r="Q75" s="96"/>
    </row>
    <row r="76" spans="1:17">
      <c r="Q76" s="96"/>
    </row>
    <row r="77" spans="1:17">
      <c r="Q77" s="96"/>
    </row>
    <row r="78" spans="1:17">
      <c r="Q78" s="96"/>
    </row>
    <row r="79" spans="1:17">
      <c r="Q79" s="96"/>
    </row>
    <row r="80" spans="1:17">
      <c r="Q80" s="96"/>
    </row>
    <row r="81" spans="17:17">
      <c r="Q81" s="96"/>
    </row>
    <row r="82" spans="17:17">
      <c r="Q82" s="96"/>
    </row>
    <row r="83" spans="17:17">
      <c r="Q83" s="96"/>
    </row>
    <row r="84" spans="17:17">
      <c r="Q84" s="96"/>
    </row>
    <row r="85" spans="17:17">
      <c r="Q85" s="96"/>
    </row>
    <row r="86" spans="17:17">
      <c r="Q86" s="96"/>
    </row>
    <row r="87" spans="17:17">
      <c r="Q87" s="96"/>
    </row>
    <row r="88" spans="17:17">
      <c r="Q88" s="96"/>
    </row>
    <row r="89" spans="17:17">
      <c r="Q89" s="96"/>
    </row>
    <row r="90" spans="17:17">
      <c r="Q90" s="96"/>
    </row>
    <row r="91" spans="17:17">
      <c r="Q91" s="96"/>
    </row>
    <row r="92" spans="17:17">
      <c r="Q92" s="96"/>
    </row>
    <row r="129" ht="12" customHeight="1"/>
    <row r="130" ht="12" customHeight="1"/>
    <row r="131" ht="12" customHeight="1"/>
    <row r="132" ht="12" customHeight="1"/>
    <row r="133" ht="12" customHeight="1"/>
    <row r="134" ht="12" customHeight="1"/>
    <row r="135" ht="12" customHeight="1"/>
    <row r="136" ht="12" customHeight="1"/>
    <row r="137" ht="12" customHeight="1"/>
    <row r="138" ht="12" customHeight="1"/>
    <row r="139" ht="12" customHeight="1"/>
    <row r="140" ht="12" customHeight="1"/>
    <row r="141" ht="12" customHeight="1"/>
    <row r="142" ht="12" customHeight="1"/>
    <row r="143" ht="12" customHeight="1"/>
    <row r="144" ht="12" customHeight="1"/>
    <row r="145" ht="12" customHeight="1"/>
    <row r="146" ht="12" customHeight="1"/>
    <row r="147" ht="12" customHeight="1"/>
    <row r="148" ht="12" customHeight="1"/>
    <row r="149" ht="12" customHeight="1"/>
    <row r="150" ht="12" customHeight="1"/>
    <row r="151" ht="12" customHeight="1"/>
    <row r="152" ht="12" customHeight="1"/>
    <row r="153" ht="12" customHeight="1"/>
    <row r="154" ht="12" customHeight="1"/>
    <row r="155" ht="12" customHeight="1"/>
    <row r="156" ht="12" customHeight="1"/>
    <row r="157" ht="12" customHeight="1"/>
    <row r="158" ht="12" customHeight="1"/>
    <row r="159" ht="12" customHeight="1"/>
    <row r="160" ht="12" customHeight="1"/>
    <row r="161" ht="12" customHeight="1"/>
    <row r="162" ht="12" customHeight="1"/>
    <row r="163" ht="12" customHeight="1"/>
    <row r="164" ht="12" customHeight="1"/>
    <row r="165" ht="12" customHeight="1"/>
    <row r="166" ht="12" customHeight="1"/>
    <row r="167" ht="12" customHeight="1"/>
    <row r="168" ht="12" customHeight="1"/>
    <row r="169" ht="12" customHeight="1"/>
    <row r="170" ht="12" customHeight="1"/>
    <row r="171" ht="12" customHeight="1"/>
    <row r="172" ht="12" customHeight="1"/>
    <row r="173" ht="12" customHeight="1"/>
    <row r="174" ht="12" customHeight="1"/>
    <row r="175" ht="12" customHeight="1"/>
    <row r="176" ht="12" customHeight="1"/>
    <row r="177" ht="12" customHeight="1"/>
    <row r="178" ht="12" customHeight="1"/>
  </sheetData>
  <mergeCells count="26">
    <mergeCell ref="D25:E25"/>
    <mergeCell ref="H25:I25"/>
    <mergeCell ref="D11:E11"/>
    <mergeCell ref="D12:E12"/>
    <mergeCell ref="D13:E13"/>
    <mergeCell ref="D14:E14"/>
    <mergeCell ref="D15:E15"/>
    <mergeCell ref="D18:E18"/>
    <mergeCell ref="H18:I18"/>
    <mergeCell ref="D19:E19"/>
    <mergeCell ref="D20:E20"/>
    <mergeCell ref="D21:E21"/>
    <mergeCell ref="D1:E1"/>
    <mergeCell ref="D4:E4"/>
    <mergeCell ref="D7:E7"/>
    <mergeCell ref="D8:E8"/>
    <mergeCell ref="D10:E10"/>
    <mergeCell ref="D9:E9"/>
    <mergeCell ref="H4:I4"/>
    <mergeCell ref="D5:E5"/>
    <mergeCell ref="D6:E6"/>
    <mergeCell ref="D22:E22"/>
    <mergeCell ref="D23:E23"/>
    <mergeCell ref="D16:E16"/>
    <mergeCell ref="D17:E17"/>
    <mergeCell ref="H10:I10"/>
  </mergeCells>
  <conditionalFormatting sqref="M11:M17 M5:M8">
    <cfRule type="cellIs" dxfId="256" priority="7" stopIfTrue="1" operator="lessThanOrEqual">
      <formula>$L5</formula>
    </cfRule>
    <cfRule type="cellIs" dxfId="255" priority="8" operator="greaterThan">
      <formula>L5</formula>
    </cfRule>
  </conditionalFormatting>
  <conditionalFormatting sqref="M19:M24">
    <cfRule type="cellIs" dxfId="254" priority="3" stopIfTrue="1" operator="lessThanOrEqual">
      <formula>$L19</formula>
    </cfRule>
    <cfRule type="cellIs" dxfId="253" priority="4" operator="greaterThan">
      <formula>L19</formula>
    </cfRule>
  </conditionalFormatting>
  <conditionalFormatting sqref="M9">
    <cfRule type="cellIs" dxfId="252" priority="1" stopIfTrue="1" operator="lessThanOrEqual">
      <formula>$L9</formula>
    </cfRule>
    <cfRule type="cellIs" dxfId="251" priority="2" operator="greaterThan">
      <formula>L9</formula>
    </cfRule>
  </conditionalFormatting>
  <pageMargins left="0.7" right="0.7" top="0.75" bottom="0.75" header="0.3" footer="0.3"/>
  <pageSetup paperSize="3" fitToHeight="0" orientation="landscape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52ED12F-A1AB-4E90-88E4-5DF18BCFEBAE}">
          <x14:formula1>
            <xm:f>Bolts!$A:$A</xm:f>
          </x14:formula1>
          <xm:sqref>C19:C24</xm:sqref>
        </x14:dataValidation>
        <x14:dataValidation type="list" allowBlank="1" showInputMessage="1" showErrorMessage="1" xr:uid="{B730FF03-3F8D-40F8-B7F2-49C31C117F92}">
          <x14:formula1>
            <xm:f>Purchased!$A:$A</xm:f>
          </x14:formula1>
          <xm:sqref>C11:C17</xm:sqref>
        </x14:dataValidation>
        <x14:dataValidation type="list" allowBlank="1" showInputMessage="1" showErrorMessage="1" xr:uid="{0C95D3F5-D5D7-474B-8506-866620B7B6B5}">
          <x14:formula1>
            <xm:f>Machined!$C:$C</xm:f>
          </x14:formula1>
          <xm:sqref>C5:C9</xm:sqref>
        </x14:dataValidation>
      </x14:dataValidations>
    </ext>
  </extLst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16E4E5-B817-42D2-96AA-242C1BB3058E}">
  <sheetPr codeName="Sheet115">
    <tabColor theme="3" tint="0.59999389629810485"/>
    <pageSetUpPr fitToPage="1"/>
  </sheetPr>
  <dimension ref="A1:R192"/>
  <sheetViews>
    <sheetView topLeftCell="A5" zoomScaleNormal="100" workbookViewId="0">
      <selection activeCell="C43" sqref="C43"/>
    </sheetView>
  </sheetViews>
  <sheetFormatPr defaultColWidth="9.140625" defaultRowHeight="15"/>
  <cols>
    <col min="1" max="1" width="5.7109375" customWidth="1"/>
    <col min="2" max="2" width="5.42578125" bestFit="1" customWidth="1"/>
    <col min="3" max="3" width="30.7109375" customWidth="1"/>
    <col min="4" max="5" width="20.7109375" style="23" customWidth="1"/>
    <col min="6" max="6" width="16.85546875" bestFit="1" customWidth="1"/>
    <col min="7" max="7" width="9.7109375" customWidth="1"/>
    <col min="8" max="8" width="8.7109375" customWidth="1"/>
    <col min="9" max="9" width="20.7109375" customWidth="1"/>
    <col min="10" max="13" width="11.7109375" style="19" customWidth="1"/>
    <col min="14" max="14" width="11.85546875" style="19" bestFit="1" customWidth="1"/>
    <col min="15" max="15" width="7.7109375" style="19" customWidth="1"/>
    <col min="16" max="16" width="10.7109375" style="90" customWidth="1"/>
    <col min="17" max="17" width="10.7109375" style="97" customWidth="1"/>
  </cols>
  <sheetData>
    <row r="1" spans="1:18" s="55" customFormat="1" ht="12" customHeight="1">
      <c r="A1" s="68" t="s">
        <v>0</v>
      </c>
      <c r="B1" s="69"/>
      <c r="C1" s="69"/>
      <c r="D1" s="262" t="s">
        <v>1</v>
      </c>
      <c r="E1" s="263"/>
      <c r="F1" s="70"/>
      <c r="G1" s="69"/>
      <c r="H1" s="70"/>
      <c r="I1" s="71"/>
      <c r="J1" s="72"/>
      <c r="K1" s="72"/>
      <c r="L1" s="72"/>
      <c r="M1" s="72"/>
      <c r="N1" s="72"/>
      <c r="O1" s="72"/>
      <c r="P1" s="85"/>
      <c r="Q1" s="91"/>
    </row>
    <row r="2" spans="1:18" s="55" customFormat="1" ht="12" customHeight="1">
      <c r="A2" s="74" t="s">
        <v>48</v>
      </c>
      <c r="B2" s="58"/>
      <c r="C2" s="57" t="e">
        <f ca="1">VLOOKUP(E3,Assemblies!B:F,4,0)</f>
        <v>#VALUE!</v>
      </c>
      <c r="D2" s="75" t="s">
        <v>3</v>
      </c>
      <c r="E2" s="76" t="e">
        <f ca="1">'GF12'!E2</f>
        <v>#VALUE!</v>
      </c>
      <c r="F2" s="77" t="s">
        <v>4</v>
      </c>
      <c r="G2" s="58" t="str">
        <f>'GF12'!G2</f>
        <v>GH</v>
      </c>
      <c r="H2" s="77" t="s">
        <v>6</v>
      </c>
      <c r="I2" s="59">
        <f>'GF12'!I2</f>
        <v>44775</v>
      </c>
      <c r="J2" s="39"/>
      <c r="K2" s="40" t="s">
        <v>49</v>
      </c>
      <c r="L2" s="41" t="e">
        <f ca="1">VLOOKUP(C2,Assemblies!E:G,3,0)</f>
        <v>#VALUE!</v>
      </c>
      <c r="M2" s="78"/>
      <c r="N2" s="78"/>
      <c r="O2" s="78"/>
      <c r="P2" s="86"/>
      <c r="Q2" s="92"/>
    </row>
    <row r="3" spans="1:18" s="55" customFormat="1" ht="12" customHeight="1" thickBot="1">
      <c r="A3" s="74" t="s">
        <v>7</v>
      </c>
      <c r="B3" s="58"/>
      <c r="C3" s="57" t="e">
        <f ca="1">VLOOKUP(E3,Assemblies!B:F,5,0)</f>
        <v>#VALUE!</v>
      </c>
      <c r="D3" s="75" t="s">
        <v>50</v>
      </c>
      <c r="E3" s="76" t="e">
        <f ca="1">MID(CELL("filename",A1),FIND("]",CELL("filename",A1))+1,256)</f>
        <v>#VALUE!</v>
      </c>
      <c r="F3" s="77" t="s">
        <v>11</v>
      </c>
      <c r="G3" s="58" t="str">
        <f>'GF12'!G3</f>
        <v>GH</v>
      </c>
      <c r="H3" s="77" t="s">
        <v>6</v>
      </c>
      <c r="I3" s="59">
        <f>'GF12'!I3</f>
        <v>44775</v>
      </c>
      <c r="J3" s="78"/>
      <c r="K3" s="78"/>
      <c r="L3" s="78"/>
      <c r="M3" s="78"/>
      <c r="N3" s="78"/>
      <c r="O3" s="78"/>
      <c r="P3" s="86"/>
      <c r="Q3" s="92"/>
    </row>
    <row r="4" spans="1:18" s="56" customFormat="1" ht="12.75" customHeight="1" thickBot="1">
      <c r="A4" s="80" t="s">
        <v>12</v>
      </c>
      <c r="B4" s="81" t="s">
        <v>13</v>
      </c>
      <c r="C4" s="81" t="s">
        <v>14</v>
      </c>
      <c r="D4" s="270" t="s">
        <v>15</v>
      </c>
      <c r="E4" s="271"/>
      <c r="F4" s="104" t="s">
        <v>16</v>
      </c>
      <c r="G4" s="81" t="s">
        <v>17</v>
      </c>
      <c r="H4" s="260" t="s">
        <v>18</v>
      </c>
      <c r="I4" s="261"/>
      <c r="J4" s="81" t="s">
        <v>51</v>
      </c>
      <c r="K4" s="81" t="s">
        <v>20</v>
      </c>
      <c r="L4" s="81" t="s">
        <v>21</v>
      </c>
      <c r="M4" s="81" t="s">
        <v>52</v>
      </c>
      <c r="N4" s="81" t="s">
        <v>22</v>
      </c>
      <c r="O4" s="81" t="s">
        <v>53</v>
      </c>
      <c r="P4" s="107" t="s">
        <v>26</v>
      </c>
      <c r="Q4" s="82" t="s">
        <v>27</v>
      </c>
    </row>
    <row r="5" spans="1:18" s="21" customFormat="1" ht="12.75" customHeight="1">
      <c r="A5" s="66" t="s">
        <v>54</v>
      </c>
      <c r="B5" s="1">
        <v>1</v>
      </c>
      <c r="C5" s="67" t="s">
        <v>866</v>
      </c>
      <c r="D5" s="277" t="e">
        <f ca="1">VLOOKUP(C5,Assemblies!E:S,2,0)</f>
        <v>#N/A</v>
      </c>
      <c r="E5" s="278"/>
      <c r="F5" s="32"/>
      <c r="G5" s="32"/>
      <c r="H5" s="292"/>
      <c r="I5" s="293"/>
      <c r="J5" s="28"/>
      <c r="K5" s="28"/>
      <c r="L5" s="28"/>
      <c r="M5" s="28"/>
      <c r="N5" s="33"/>
      <c r="O5" s="46" t="e">
        <f t="shared" ref="O5" ca="1" si="0">B5*$L$2</f>
        <v>#VALUE!</v>
      </c>
      <c r="P5" s="87">
        <f>'345'!Q20</f>
        <v>309.78000000000003</v>
      </c>
      <c r="Q5" s="93">
        <f t="shared" ref="Q5" si="1">B5*P5</f>
        <v>309.78000000000003</v>
      </c>
    </row>
    <row r="6" spans="1:18" s="21" customFormat="1" ht="12.75" customHeight="1">
      <c r="A6" s="25"/>
      <c r="B6" s="26"/>
      <c r="C6" s="26"/>
      <c r="D6" s="272"/>
      <c r="E6" s="273"/>
      <c r="F6" s="26"/>
      <c r="G6" s="26"/>
      <c r="H6" s="274"/>
      <c r="I6" s="275"/>
      <c r="J6" s="27"/>
      <c r="K6" s="27"/>
      <c r="L6" s="27"/>
      <c r="M6" s="28"/>
      <c r="N6" s="29"/>
      <c r="O6" s="29"/>
      <c r="P6" s="141"/>
      <c r="Q6" s="142"/>
      <c r="R6" s="20"/>
    </row>
    <row r="7" spans="1:18" s="2" customFormat="1" ht="12.75" customHeight="1">
      <c r="A7" s="127">
        <v>1</v>
      </c>
      <c r="B7" s="21">
        <v>2</v>
      </c>
      <c r="C7" s="108" t="s">
        <v>1173</v>
      </c>
      <c r="D7" s="277" t="str">
        <f>VLOOKUP(C7,Machined!C:Q,2,0)</f>
        <v>CROSS SEAL SIDE PLATE</v>
      </c>
      <c r="E7" s="278"/>
      <c r="F7" s="131" t="str">
        <f>VLOOKUP(C7,Machined!C:R,7,0)</f>
        <v>MIC 6</v>
      </c>
      <c r="G7" s="131" t="str">
        <f>VLOOKUP(C7,Machined!C:R,10,0)</f>
        <v>BEMOX</v>
      </c>
      <c r="H7" s="131" t="str">
        <f>VLOOKUP(C7,Machined!C:R,11,0)</f>
        <v xml:space="preserve">  </v>
      </c>
      <c r="I7" s="131"/>
      <c r="J7" s="42">
        <f>VLOOKUP(C7,Machined!C:R,12,0)</f>
        <v>45141</v>
      </c>
      <c r="K7" s="42">
        <f>VLOOKUP(C7,Machined!C:R,13,0)</f>
        <v>45141</v>
      </c>
      <c r="L7" s="42">
        <f>VLOOKUP(C7,Machined!C:R,14,0)</f>
        <v>45171</v>
      </c>
      <c r="M7" s="42">
        <f>VLOOKUP(C7,Machined!C:R,15,0)</f>
        <v>45171</v>
      </c>
      <c r="N7" s="43">
        <f>VLOOKUP(C7,Machined!C:R,16,0)</f>
        <v>55029</v>
      </c>
      <c r="O7" s="43" t="e">
        <f t="shared" ref="O7:O12" ca="1" si="2">B7*$L$2</f>
        <v>#VALUE!</v>
      </c>
      <c r="P7" s="47">
        <f>IFERROR(VLOOKUP(C7,Machined!C:F,3,0),"")</f>
        <v>992.5</v>
      </c>
      <c r="Q7" s="48">
        <f t="shared" ref="Q7:Q12" si="3">IFERROR(B7*P7,"")</f>
        <v>1985</v>
      </c>
    </row>
    <row r="8" spans="1:18" s="2" customFormat="1" ht="12.75" customHeight="1">
      <c r="A8" s="127">
        <v>2</v>
      </c>
      <c r="B8" s="21">
        <v>1</v>
      </c>
      <c r="C8" s="108" t="s">
        <v>1174</v>
      </c>
      <c r="D8" s="277" t="str">
        <f>VLOOKUP(C8,Machined!C:Q,2,0)</f>
        <v>GEARSHAFT SUPPORT BLOCK</v>
      </c>
      <c r="E8" s="278"/>
      <c r="F8" s="131" t="str">
        <f>VLOOKUP(C8,Machined!C:R,7,0)</f>
        <v>6061-T6 Alum</v>
      </c>
      <c r="G8" s="131" t="str">
        <f>VLOOKUP(C8,Machined!C:R,10,0)</f>
        <v>FRONTIER</v>
      </c>
      <c r="H8" s="131" t="str">
        <f>VLOOKUP(C8,Machined!C:R,11,0)</f>
        <v xml:space="preserve">  </v>
      </c>
      <c r="I8" s="131"/>
      <c r="J8" s="42">
        <f>VLOOKUP(C8,Machined!C:R,12,0)</f>
        <v>45139</v>
      </c>
      <c r="K8" s="42">
        <f>VLOOKUP(C8,Machined!C:R,13,0)</f>
        <v>45140</v>
      </c>
      <c r="L8" s="42">
        <f>VLOOKUP(C8,Machined!C:R,14,0)</f>
        <v>45170</v>
      </c>
      <c r="M8" s="42">
        <f>VLOOKUP(C8,Machined!C:R,15,0)</f>
        <v>45170</v>
      </c>
      <c r="N8" s="43">
        <f>VLOOKUP(C8,Machined!C:R,16,0)</f>
        <v>55025</v>
      </c>
      <c r="O8" s="43" t="e">
        <f t="shared" ca="1" si="2"/>
        <v>#VALUE!</v>
      </c>
      <c r="P8" s="47">
        <f>IFERROR(VLOOKUP(C8,Machined!C:F,3,0),"")</f>
        <v>0</v>
      </c>
      <c r="Q8" s="48">
        <f t="shared" si="3"/>
        <v>0</v>
      </c>
    </row>
    <row r="9" spans="1:18" s="2" customFormat="1" ht="12.75" customHeight="1">
      <c r="A9" s="127">
        <v>3</v>
      </c>
      <c r="B9" s="21">
        <v>1</v>
      </c>
      <c r="C9" s="108" t="s">
        <v>874</v>
      </c>
      <c r="D9" s="277" t="str">
        <f>VLOOKUP(C9,Machined!C:Q,2,0)</f>
        <v>JOINING GEARSHAFT, 12MM</v>
      </c>
      <c r="E9" s="278"/>
      <c r="F9" s="131" t="str">
        <f>VLOOKUP(C9,Machined!C:R,7,0)</f>
        <v>303 SS - TG&amp;P</v>
      </c>
      <c r="G9" s="131" t="str">
        <f>VLOOKUP(C9,Machined!C:R,10,0)</f>
        <v>ALEXANDRIA, Nuline</v>
      </c>
      <c r="H9" s="131" t="str">
        <f>VLOOKUP(C9,Machined!C:R,11,0)</f>
        <v xml:space="preserve"> </v>
      </c>
      <c r="I9" s="131"/>
      <c r="J9" s="42" t="str">
        <f>VLOOKUP(C9,Machined!C:R,12,0)</f>
        <v>N/A</v>
      </c>
      <c r="K9" s="42" t="str">
        <f>VLOOKUP(C9,Machined!C:R,13,0)</f>
        <v>N/A</v>
      </c>
      <c r="L9" s="42" t="str">
        <f>VLOOKUP(C9,Machined!C:R,14,0)</f>
        <v>N/A</v>
      </c>
      <c r="M9" s="42" t="str">
        <f>VLOOKUP(C9,Machined!C:R,15,0)</f>
        <v>N/A</v>
      </c>
      <c r="N9" s="43">
        <f>VLOOKUP(C9,Machined!C:R,16,0)</f>
        <v>55018</v>
      </c>
      <c r="O9" s="43" t="e">
        <f t="shared" ca="1" si="2"/>
        <v>#VALUE!</v>
      </c>
      <c r="P9" s="47">
        <f>IFERROR(VLOOKUP(C9,Machined!C:F,3,0),"")</f>
        <v>48.52</v>
      </c>
      <c r="Q9" s="48">
        <f t="shared" si="3"/>
        <v>48.52</v>
      </c>
    </row>
    <row r="10" spans="1:18" s="2" customFormat="1" ht="12.75" customHeight="1">
      <c r="A10" s="127">
        <v>5</v>
      </c>
      <c r="B10" s="21">
        <v>1</v>
      </c>
      <c r="C10" s="108" t="s">
        <v>875</v>
      </c>
      <c r="D10" s="277" t="str">
        <f>VLOOKUP(C10,Machined!C:Q,2,0)</f>
        <v>IDLER GEARSHAFT, CROSS SEAL</v>
      </c>
      <c r="E10" s="278"/>
      <c r="F10" s="131" t="str">
        <f>VLOOKUP(C10,Machined!C:R,7,0)</f>
        <v>303 SS - TG&amp;P</v>
      </c>
      <c r="G10" s="131" t="str">
        <f>VLOOKUP(C10,Machined!C:R,10,0)</f>
        <v>ALEXANDRIA, Big Sky</v>
      </c>
      <c r="H10" s="131" t="str">
        <f>VLOOKUP(C10,Machined!C:R,11,0)</f>
        <v xml:space="preserve">  </v>
      </c>
      <c r="I10" s="131"/>
      <c r="J10" s="42" t="str">
        <f>VLOOKUP(C10,Machined!C:R,12,0)</f>
        <v>N/A</v>
      </c>
      <c r="K10" s="42">
        <f>VLOOKUP(C10,Machined!C:R,13,0)</f>
        <v>45161</v>
      </c>
      <c r="L10" s="42">
        <f>VLOOKUP(C10,Machined!C:R,14,0)</f>
        <v>45180</v>
      </c>
      <c r="M10" s="42">
        <f>VLOOKUP(C10,Machined!C:R,15,0)</f>
        <v>45180</v>
      </c>
      <c r="N10" s="43" t="str">
        <f>VLOOKUP(C10,Machined!C:R,16,0)</f>
        <v>55018, 55091</v>
      </c>
      <c r="O10" s="43" t="e">
        <f t="shared" ca="1" si="2"/>
        <v>#VALUE!</v>
      </c>
      <c r="P10" s="47">
        <f>IFERROR(VLOOKUP(C10,Machined!C:F,3,0),"")</f>
        <v>35.86</v>
      </c>
      <c r="Q10" s="48">
        <f t="shared" si="3"/>
        <v>35.86</v>
      </c>
    </row>
    <row r="11" spans="1:18" s="2" customFormat="1" ht="12.75" customHeight="1">
      <c r="A11" s="127">
        <v>6</v>
      </c>
      <c r="B11" s="21">
        <v>8</v>
      </c>
      <c r="C11" s="108" t="s">
        <v>876</v>
      </c>
      <c r="D11" s="277" t="str">
        <f>VLOOKUP(C11,Machined!C:Q,2,0)</f>
        <v>BRL 15mm RUNNER BLOCK SPACER</v>
      </c>
      <c r="E11" s="278"/>
      <c r="F11" s="131" t="str">
        <f>VLOOKUP(C11,Machined!C:R,7,0)</f>
        <v>6061-T6 Alum</v>
      </c>
      <c r="G11" s="131" t="str">
        <f>VLOOKUP(C11,Machined!C:R,10,0)</f>
        <v>FRONTIER</v>
      </c>
      <c r="H11" s="131" t="str">
        <f>VLOOKUP(C11,Machined!C:R,11,0)</f>
        <v xml:space="preserve">  </v>
      </c>
      <c r="I11" s="131"/>
      <c r="J11" s="42">
        <f>VLOOKUP(C11,Machined!C:R,12,0)</f>
        <v>45139</v>
      </c>
      <c r="K11" s="42">
        <f>VLOOKUP(C11,Machined!C:R,13,0)</f>
        <v>45140</v>
      </c>
      <c r="L11" s="42">
        <f>VLOOKUP(C11,Machined!C:R,14,0)</f>
        <v>45170</v>
      </c>
      <c r="M11" s="42">
        <f>VLOOKUP(C11,Machined!C:R,15,0)</f>
        <v>45170</v>
      </c>
      <c r="N11" s="43">
        <f>VLOOKUP(C11,Machined!C:R,16,0)</f>
        <v>55025</v>
      </c>
      <c r="O11" s="43" t="e">
        <f t="shared" ca="1" si="2"/>
        <v>#VALUE!</v>
      </c>
      <c r="P11" s="47">
        <f>IFERROR(VLOOKUP(C11,Machined!C:F,3,0),"")</f>
        <v>0</v>
      </c>
      <c r="Q11" s="48">
        <f t="shared" si="3"/>
        <v>0</v>
      </c>
    </row>
    <row r="12" spans="1:18" s="2" customFormat="1" ht="12.75" customHeight="1">
      <c r="A12" s="127">
        <v>7</v>
      </c>
      <c r="B12" s="21">
        <v>4</v>
      </c>
      <c r="C12" s="108" t="s">
        <v>877</v>
      </c>
      <c r="D12" s="277" t="str">
        <f>VLOOKUP(C12,Machined!C:Q,2,0)</f>
        <v>ZIMMER 15mm BRAKE SPACER</v>
      </c>
      <c r="E12" s="278"/>
      <c r="F12" s="131" t="str">
        <f>VLOOKUP(C12,Machined!C:R,7,0)</f>
        <v>6061-T6 Alum</v>
      </c>
      <c r="G12" s="131" t="str">
        <f>VLOOKUP(C12,Machined!C:R,10,0)</f>
        <v>FRONTIER</v>
      </c>
      <c r="H12" s="131" t="str">
        <f>VLOOKUP(C12,Machined!C:R,11,0)</f>
        <v xml:space="preserve">  </v>
      </c>
      <c r="I12" s="131"/>
      <c r="J12" s="42">
        <f>VLOOKUP(C12,Machined!C:R,12,0)</f>
        <v>45139</v>
      </c>
      <c r="K12" s="42">
        <f>VLOOKUP(C12,Machined!C:R,13,0)</f>
        <v>45140</v>
      </c>
      <c r="L12" s="42">
        <f>VLOOKUP(C12,Machined!C:R,14,0)</f>
        <v>45170</v>
      </c>
      <c r="M12" s="42">
        <f>VLOOKUP(C12,Machined!C:R,15,0)</f>
        <v>45170</v>
      </c>
      <c r="N12" s="43">
        <f>VLOOKUP(C12,Machined!C:R,16,0)</f>
        <v>55025</v>
      </c>
      <c r="O12" s="43" t="e">
        <f t="shared" ca="1" si="2"/>
        <v>#VALUE!</v>
      </c>
      <c r="P12" s="47">
        <f>IFERROR(VLOOKUP(C12,Machined!C:F,3,0),"")</f>
        <v>0</v>
      </c>
      <c r="Q12" s="48">
        <f t="shared" si="3"/>
        <v>0</v>
      </c>
    </row>
    <row r="13" spans="1:18" s="2" customFormat="1" ht="12.75" customHeight="1">
      <c r="A13" s="143"/>
      <c r="B13" s="26"/>
      <c r="C13" s="26"/>
      <c r="D13" s="272"/>
      <c r="E13" s="273"/>
      <c r="F13" s="26"/>
      <c r="G13" s="26"/>
      <c r="H13" s="274"/>
      <c r="I13" s="275"/>
      <c r="J13" s="27"/>
      <c r="K13" s="27"/>
      <c r="L13" s="27"/>
      <c r="M13" s="28"/>
      <c r="N13" s="29"/>
      <c r="O13" s="29"/>
      <c r="P13" s="141"/>
      <c r="Q13" s="142"/>
    </row>
    <row r="14" spans="1:18" s="2" customFormat="1" ht="12.75" customHeight="1">
      <c r="A14" s="4">
        <v>301</v>
      </c>
      <c r="B14" s="2">
        <v>8</v>
      </c>
      <c r="C14" s="114" t="s">
        <v>887</v>
      </c>
      <c r="D14" s="268" t="str">
        <f>VLOOKUP(C14,Purchased!A:B,2,0)</f>
        <v>BRL 15mm runner block</v>
      </c>
      <c r="E14" s="269"/>
      <c r="F14" s="112" t="str">
        <f>VLOOKUP(C14,Purchased!A:Q,9,0)</f>
        <v>BRL</v>
      </c>
      <c r="G14" s="112" t="str">
        <f>VLOOKUP(C14,Purchased!A:Q,10,0)</f>
        <v>AAP</v>
      </c>
      <c r="H14" s="112" t="str">
        <f>VLOOKUP(C14,Purchased!A:Q,12,0)</f>
        <v xml:space="preserve"> </v>
      </c>
      <c r="I14" s="113"/>
      <c r="J14" s="44">
        <f>VLOOKUP(C14,Purchased!A:Q,13,0)</f>
        <v>45093</v>
      </c>
      <c r="K14" s="44">
        <f>VLOOKUP(C14,Purchased!A:Q,14,0)</f>
        <v>45093</v>
      </c>
      <c r="L14" s="44">
        <f>VLOOKUP(C14,Purchased!A:Q,15,0)</f>
        <v>45184</v>
      </c>
      <c r="M14" s="44">
        <f>VLOOKUP(C14,Purchased!A:Q,16,0)</f>
        <v>45184</v>
      </c>
      <c r="N14" s="45">
        <f>VLOOKUP(C14,Purchased!A:Q,17,0)</f>
        <v>54942</v>
      </c>
      <c r="O14" s="45" t="e">
        <f t="shared" ref="O14:O29" ca="1" si="4">B14*$L$2</f>
        <v>#VALUE!</v>
      </c>
      <c r="P14" s="49">
        <f>IFERROR(VLOOKUP(C14,Purchased!A:E,3,FALSE),"")</f>
        <v>103.7362</v>
      </c>
      <c r="Q14" s="50">
        <f t="shared" ref="Q14:Q29" si="5">IFERROR(B14*P14,"")</f>
        <v>829.88959999999997</v>
      </c>
    </row>
    <row r="15" spans="1:18" s="2" customFormat="1" ht="12" customHeight="1">
      <c r="A15" s="4">
        <f>A14+1</f>
        <v>302</v>
      </c>
      <c r="B15" s="2">
        <v>1</v>
      </c>
      <c r="C15" s="114" t="s">
        <v>1116</v>
      </c>
      <c r="D15" s="268" t="str">
        <f>VLOOKUP(C15,Purchased!A:B,2,0)</f>
        <v>SMC FITTING, DIFF DIA STR UNION</v>
      </c>
      <c r="E15" s="269"/>
      <c r="F15" s="112" t="str">
        <f>VLOOKUP(C15,Purchased!A:Q,9,0)</f>
        <v>SMC</v>
      </c>
      <c r="G15" s="112" t="str">
        <f>VLOOKUP(C15,Purchased!A:Q,10,0)</f>
        <v>AAP</v>
      </c>
      <c r="H15" s="112" t="str">
        <f>VLOOKUP(C15,Purchased!A:Q,12,0)</f>
        <v xml:space="preserve"> </v>
      </c>
      <c r="I15" s="113"/>
      <c r="J15" s="44" t="str">
        <f>VLOOKUP(C15,Purchased!A:Q,13,0)</f>
        <v>N/A</v>
      </c>
      <c r="K15" s="44">
        <f>VLOOKUP(C15,Purchased!A:Q,14,0)</f>
        <v>45162</v>
      </c>
      <c r="L15" s="44">
        <f>VLOOKUP(C15,Purchased!A:Q,15,0)</f>
        <v>45184</v>
      </c>
      <c r="M15" s="44">
        <f>VLOOKUP(C15,Purchased!A:Q,16,0)</f>
        <v>45180</v>
      </c>
      <c r="N15" s="45">
        <f>VLOOKUP(C15,Purchased!A:Q,17,0)</f>
        <v>55037</v>
      </c>
      <c r="O15" s="45" t="e">
        <f t="shared" ca="1" si="4"/>
        <v>#VALUE!</v>
      </c>
      <c r="P15" s="49">
        <f>IFERROR(VLOOKUP(C15,Purchased!A:E,3,FALSE),"")</f>
        <v>1.8398000000000001</v>
      </c>
      <c r="Q15" s="50">
        <f t="shared" si="5"/>
        <v>1.8398000000000001</v>
      </c>
    </row>
    <row r="16" spans="1:18" s="2" customFormat="1" ht="12" customHeight="1">
      <c r="A16" s="4">
        <f t="shared" ref="A16:A28" si="6">A15+1</f>
        <v>303</v>
      </c>
      <c r="B16" s="2">
        <v>1</v>
      </c>
      <c r="C16" s="114" t="s">
        <v>1175</v>
      </c>
      <c r="D16" s="268" t="str">
        <f>VLOOKUP(C16,Purchased!A:B,2,0)</f>
        <v>SMC FITTING, BRANCH</v>
      </c>
      <c r="E16" s="269"/>
      <c r="F16" s="112" t="str">
        <f>VLOOKUP(C16,Purchased!A:Q,9,0)</f>
        <v>SMC</v>
      </c>
      <c r="G16" s="112" t="str">
        <f>VLOOKUP(C16,Purchased!A:Q,10,0)</f>
        <v>AAP</v>
      </c>
      <c r="H16" s="112" t="str">
        <f>VLOOKUP(C16,Purchased!A:Q,12,0)</f>
        <v xml:space="preserve"> </v>
      </c>
      <c r="I16" s="113"/>
      <c r="J16" s="44" t="str">
        <f>VLOOKUP(C16,Purchased!A:Q,13,0)</f>
        <v>N/A</v>
      </c>
      <c r="K16" s="44">
        <f>VLOOKUP(C16,Purchased!A:Q,14,0)</f>
        <v>45162</v>
      </c>
      <c r="L16" s="44">
        <f>VLOOKUP(C16,Purchased!A:Q,15,0)</f>
        <v>45184</v>
      </c>
      <c r="M16" s="44">
        <f>VLOOKUP(C16,Purchased!A:Q,16,0)</f>
        <v>45180</v>
      </c>
      <c r="N16" s="45">
        <f>VLOOKUP(C16,Purchased!A:Q,17,0)</f>
        <v>55037</v>
      </c>
      <c r="O16" s="45" t="e">
        <f t="shared" ca="1" si="4"/>
        <v>#VALUE!</v>
      </c>
      <c r="P16" s="49">
        <f>IFERROR(VLOOKUP(C16,Purchased!A:E,3,FALSE),"")</f>
        <v>2.5314999999999999</v>
      </c>
      <c r="Q16" s="50">
        <f t="shared" si="5"/>
        <v>2.5314999999999999</v>
      </c>
    </row>
    <row r="17" spans="1:17" s="2" customFormat="1" ht="12" customHeight="1">
      <c r="A17" s="4">
        <f t="shared" si="6"/>
        <v>304</v>
      </c>
      <c r="B17" s="2">
        <v>4</v>
      </c>
      <c r="C17" s="114" t="s">
        <v>793</v>
      </c>
      <c r="D17" s="268" t="str">
        <f>VLOOKUP(C17,Purchased!A:B,2,0)</f>
        <v>SMC FITTING, MALE CONNECTOR</v>
      </c>
      <c r="E17" s="269"/>
      <c r="F17" s="112" t="str">
        <f>VLOOKUP(C17,Purchased!A:Q,9,0)</f>
        <v>SMC</v>
      </c>
      <c r="G17" s="112" t="str">
        <f>VLOOKUP(C17,Purchased!A:Q,10,0)</f>
        <v>AAP</v>
      </c>
      <c r="H17" s="112" t="str">
        <f>VLOOKUP(C17,Purchased!A:Q,12,0)</f>
        <v xml:space="preserve">  </v>
      </c>
      <c r="I17" s="113"/>
      <c r="J17" s="44" t="str">
        <f>VLOOKUP(C17,Purchased!A:Q,13,0)</f>
        <v>N/A</v>
      </c>
      <c r="K17" s="44">
        <f>VLOOKUP(C17,Purchased!A:Q,14,0)</f>
        <v>45162</v>
      </c>
      <c r="L17" s="44">
        <f>VLOOKUP(C17,Purchased!A:Q,15,0)</f>
        <v>45184</v>
      </c>
      <c r="M17" s="44">
        <f>VLOOKUP(C17,Purchased!A:Q,16,0)</f>
        <v>45180</v>
      </c>
      <c r="N17" s="45">
        <f>VLOOKUP(C17,Purchased!A:Q,17,0)</f>
        <v>55037</v>
      </c>
      <c r="O17" s="45" t="e">
        <f t="shared" ca="1" si="4"/>
        <v>#VALUE!</v>
      </c>
      <c r="P17" s="49">
        <f>IFERROR(VLOOKUP(C17,Purchased!A:E,3,FALSE),"")</f>
        <v>0.84379999999999999</v>
      </c>
      <c r="Q17" s="50">
        <f t="shared" si="5"/>
        <v>3.3752</v>
      </c>
    </row>
    <row r="18" spans="1:17" s="2" customFormat="1" ht="12" customHeight="1">
      <c r="A18" s="4">
        <f t="shared" si="6"/>
        <v>305</v>
      </c>
      <c r="B18" s="2">
        <v>2</v>
      </c>
      <c r="C18" s="114" t="s">
        <v>186</v>
      </c>
      <c r="D18" s="268" t="str">
        <f>VLOOKUP(C18,Purchased!A:B,2,0)</f>
        <v>SMC FITTING, MALE ELBOW</v>
      </c>
      <c r="E18" s="269"/>
      <c r="F18" s="112" t="str">
        <f>VLOOKUP(C18,Purchased!A:Q,9,0)</f>
        <v>SMC</v>
      </c>
      <c r="G18" s="112" t="str">
        <f>VLOOKUP(C18,Purchased!A:Q,10,0)</f>
        <v>AAP</v>
      </c>
      <c r="H18" s="112" t="str">
        <f>VLOOKUP(C18,Purchased!A:Q,12,0)</f>
        <v xml:space="preserve">  </v>
      </c>
      <c r="I18" s="113"/>
      <c r="J18" s="44" t="str">
        <f>VLOOKUP(C18,Purchased!A:Q,13,0)</f>
        <v>N/A</v>
      </c>
      <c r="K18" s="44">
        <f>VLOOKUP(C18,Purchased!A:Q,14,0)</f>
        <v>45162</v>
      </c>
      <c r="L18" s="44">
        <f>VLOOKUP(C18,Purchased!A:Q,15,0)</f>
        <v>45184</v>
      </c>
      <c r="M18" s="44">
        <f>VLOOKUP(C18,Purchased!A:Q,16,0)</f>
        <v>45180</v>
      </c>
      <c r="N18" s="45">
        <f>VLOOKUP(C18,Purchased!A:Q,17,0)</f>
        <v>55037</v>
      </c>
      <c r="O18" s="45" t="e">
        <f t="shared" ca="1" si="4"/>
        <v>#VALUE!</v>
      </c>
      <c r="P18" s="49">
        <f>IFERROR(VLOOKUP(C18,Purchased!A:E,3,FALSE),"")</f>
        <v>1.4248000000000001</v>
      </c>
      <c r="Q18" s="50">
        <f t="shared" si="5"/>
        <v>2.8496000000000001</v>
      </c>
    </row>
    <row r="19" spans="1:17" s="2" customFormat="1" ht="12" customHeight="1">
      <c r="A19" s="4">
        <f t="shared" si="6"/>
        <v>306</v>
      </c>
      <c r="B19" s="2">
        <v>2</v>
      </c>
      <c r="C19" s="114" t="s">
        <v>901</v>
      </c>
      <c r="D19" s="268" t="str">
        <f>VLOOKUP(C19,Purchased!A:B,2,0)</f>
        <v>SMC FITTING, UNION TEE</v>
      </c>
      <c r="E19" s="269"/>
      <c r="F19" s="112" t="str">
        <f>VLOOKUP(C19,Purchased!A:Q,9,0)</f>
        <v>SMC</v>
      </c>
      <c r="G19" s="112" t="str">
        <f>VLOOKUP(C19,Purchased!A:Q,10,0)</f>
        <v>AAP</v>
      </c>
      <c r="H19" s="112" t="str">
        <f>VLOOKUP(C19,Purchased!A:Q,12,0)</f>
        <v xml:space="preserve"> </v>
      </c>
      <c r="I19" s="113"/>
      <c r="J19" s="44" t="str">
        <f>VLOOKUP(C19,Purchased!A:Q,13,0)</f>
        <v>N/A</v>
      </c>
      <c r="K19" s="44">
        <f>VLOOKUP(C19,Purchased!A:Q,14,0)</f>
        <v>45162</v>
      </c>
      <c r="L19" s="44">
        <f>VLOOKUP(C19,Purchased!A:Q,15,0)</f>
        <v>45184</v>
      </c>
      <c r="M19" s="44">
        <f>VLOOKUP(C19,Purchased!A:Q,16,0)</f>
        <v>45180</v>
      </c>
      <c r="N19" s="45">
        <f>VLOOKUP(C19,Purchased!A:Q,17,0)</f>
        <v>55037</v>
      </c>
      <c r="O19" s="45" t="e">
        <f t="shared" ca="1" si="4"/>
        <v>#VALUE!</v>
      </c>
      <c r="P19" s="49">
        <f>IFERROR(VLOOKUP(C19,Purchased!A:E,3,FALSE),"")</f>
        <v>1.6877</v>
      </c>
      <c r="Q19" s="50">
        <f t="shared" si="5"/>
        <v>3.3754</v>
      </c>
    </row>
    <row r="20" spans="1:17" s="2" customFormat="1" ht="12" customHeight="1">
      <c r="A20" s="4">
        <f t="shared" si="6"/>
        <v>307</v>
      </c>
      <c r="B20" s="2">
        <v>8</v>
      </c>
      <c r="C20" s="114" t="s">
        <v>1176</v>
      </c>
      <c r="D20" s="268" t="str">
        <f>VLOOKUP(C20,Purchased!A:B,2,0)</f>
        <v>18-8 Stainless Steel Round Shim, 0.5mm Thick, 20mm ID, 25pk</v>
      </c>
      <c r="E20" s="269"/>
      <c r="F20" s="112" t="str">
        <f>VLOOKUP(C20,Purchased!A:Q,9,0)</f>
        <v>MCM</v>
      </c>
      <c r="G20" s="112" t="str">
        <f>VLOOKUP(C20,Purchased!A:Q,10,0)</f>
        <v>MCM</v>
      </c>
      <c r="H20" s="112" t="str">
        <f>VLOOKUP(C20,Purchased!A:Q,12,0)</f>
        <v xml:space="preserve"> </v>
      </c>
      <c r="I20" s="113"/>
      <c r="J20" s="44" t="str">
        <f>VLOOKUP(C20,Purchased!A:Q,13,0)</f>
        <v>N/A</v>
      </c>
      <c r="K20" s="44">
        <f>VLOOKUP(C20,Purchased!A:Q,14,0)</f>
        <v>45162</v>
      </c>
      <c r="L20" s="44">
        <f>VLOOKUP(C20,Purchased!A:Q,15,0)</f>
        <v>45184</v>
      </c>
      <c r="M20" s="44">
        <f>VLOOKUP(C20,Purchased!A:Q,16,0)</f>
        <v>45163</v>
      </c>
      <c r="N20" s="45">
        <f>VLOOKUP(C20,Purchased!A:Q,17,0)</f>
        <v>55089</v>
      </c>
      <c r="O20" s="45" t="e">
        <f t="shared" ca="1" si="4"/>
        <v>#VALUE!</v>
      </c>
      <c r="P20" s="49">
        <f>IFERROR(VLOOKUP(C20,Purchased!A:E,3,FALSE),"")</f>
        <v>13.95</v>
      </c>
      <c r="Q20" s="50">
        <f t="shared" si="5"/>
        <v>111.6</v>
      </c>
    </row>
    <row r="21" spans="1:17" s="2" customFormat="1" ht="12" customHeight="1">
      <c r="A21" s="4">
        <f t="shared" si="6"/>
        <v>308</v>
      </c>
      <c r="B21" s="2">
        <v>4</v>
      </c>
      <c r="C21" s="114" t="s">
        <v>893</v>
      </c>
      <c r="D21" s="268" t="str">
        <f>VLOOKUP(C21,Purchased!A:B,2,0)</f>
        <v>Ball Bearing, Shielded, Trade No. 16004-2Z, for 20 mm Shaft Diameter</v>
      </c>
      <c r="E21" s="269"/>
      <c r="F21" s="112" t="str">
        <f>VLOOKUP(C21,Purchased!A:Q,9,0)</f>
        <v>MOTION</v>
      </c>
      <c r="G21" s="112" t="str">
        <f>VLOOKUP(C21,Purchased!A:Q,10,0)</f>
        <v>MOTION</v>
      </c>
      <c r="H21" s="112" t="str">
        <f>VLOOKUP(C21,Purchased!A:Q,12,0)</f>
        <v>MCM=5972K266</v>
      </c>
      <c r="I21" s="113"/>
      <c r="J21" s="44" t="str">
        <f>VLOOKUP(C21,Purchased!A:Q,13,0)</f>
        <v>N/A</v>
      </c>
      <c r="K21" s="44">
        <f>VLOOKUP(C21,Purchased!A:Q,14,0)</f>
        <v>45161</v>
      </c>
      <c r="L21" s="44">
        <f>VLOOKUP(C21,Purchased!A:Q,15,0)</f>
        <v>45191</v>
      </c>
      <c r="M21" s="44">
        <f>VLOOKUP(C21,Purchased!A:Q,16,0)</f>
        <v>45191</v>
      </c>
      <c r="N21" s="45">
        <f>VLOOKUP(C21,Purchased!A:Q,17,0)</f>
        <v>55079</v>
      </c>
      <c r="O21" s="45" t="e">
        <f t="shared" ca="1" si="4"/>
        <v>#VALUE!</v>
      </c>
      <c r="P21" s="49">
        <f>IFERROR(VLOOKUP(C21,Purchased!A:E,3,FALSE),"")</f>
        <v>27.09</v>
      </c>
      <c r="Q21" s="50">
        <f t="shared" si="5"/>
        <v>108.36</v>
      </c>
    </row>
    <row r="22" spans="1:17" s="2" customFormat="1" ht="12" customHeight="1">
      <c r="A22" s="4">
        <f t="shared" si="6"/>
        <v>309</v>
      </c>
      <c r="B22" s="2">
        <v>2</v>
      </c>
      <c r="C22" s="114" t="s">
        <v>755</v>
      </c>
      <c r="D22" s="268" t="str">
        <f>VLOOKUP(C22,Purchased!A:B,2,0)</f>
        <v>Two-Piece Shaft Coupling Steel, for 12 mm x 12 mm Diameter Round Shaft</v>
      </c>
      <c r="E22" s="269"/>
      <c r="F22" s="112" t="str">
        <f>VLOOKUP(C22,Purchased!A:Q,9,0)</f>
        <v>MOTION</v>
      </c>
      <c r="G22" s="112" t="str">
        <f>VLOOKUP(C22,Purchased!A:Q,10,0)</f>
        <v>MOTION</v>
      </c>
      <c r="H22" s="112" t="str">
        <f>VLOOKUP(C22,Purchased!A:Q,12,0)</f>
        <v>MCM=6508T54</v>
      </c>
      <c r="I22" s="113"/>
      <c r="J22" s="44" t="str">
        <f>VLOOKUP(C22,Purchased!A:Q,13,0)</f>
        <v>N/A</v>
      </c>
      <c r="K22" s="44">
        <f>VLOOKUP(C22,Purchased!A:Q,14,0)</f>
        <v>45161</v>
      </c>
      <c r="L22" s="44">
        <f>VLOOKUP(C22,Purchased!A:Q,15,0)</f>
        <v>45191</v>
      </c>
      <c r="M22" s="44">
        <f>VLOOKUP(C22,Purchased!A:Q,16,0)</f>
        <v>45191</v>
      </c>
      <c r="N22" s="45" t="str">
        <f>VLOOKUP(C22,Purchased!A:Q,17,0)</f>
        <v>7x55079</v>
      </c>
      <c r="O22" s="45" t="e">
        <f t="shared" ca="1" si="4"/>
        <v>#VALUE!</v>
      </c>
      <c r="P22" s="49">
        <f>IFERROR(VLOOKUP(C22,Purchased!A:E,3,FALSE),"")</f>
        <v>44.78</v>
      </c>
      <c r="Q22" s="50">
        <f t="shared" si="5"/>
        <v>89.56</v>
      </c>
    </row>
    <row r="23" spans="1:17" s="2" customFormat="1" ht="12" customHeight="1">
      <c r="A23" s="4">
        <f t="shared" si="6"/>
        <v>310</v>
      </c>
      <c r="B23" s="2">
        <v>2</v>
      </c>
      <c r="C23" s="114" t="s">
        <v>891</v>
      </c>
      <c r="D23" s="268" t="str">
        <f>VLOOKUP(C23,Purchased!A:B,2,0)</f>
        <v>Clamping Shaft Collar for 20 mm Diameter, Black-Oxide 1215 Carbon Steel</v>
      </c>
      <c r="E23" s="269"/>
      <c r="F23" s="112" t="str">
        <f>VLOOKUP(C23,Purchased!A:Q,9,0)</f>
        <v>MOTION</v>
      </c>
      <c r="G23" s="112" t="str">
        <f>VLOOKUP(C23,Purchased!A:Q,10,0)</f>
        <v>MOTION</v>
      </c>
      <c r="H23" s="112" t="str">
        <f>VLOOKUP(C23,Purchased!A:Q,12,0)</f>
        <v>MCM=57445K73</v>
      </c>
      <c r="I23" s="113"/>
      <c r="J23" s="44" t="str">
        <f>VLOOKUP(C23,Purchased!A:Q,13,0)</f>
        <v>N/A</v>
      </c>
      <c r="K23" s="44">
        <f>VLOOKUP(C23,Purchased!A:Q,14,0)</f>
        <v>45161</v>
      </c>
      <c r="L23" s="44">
        <f>VLOOKUP(C23,Purchased!A:Q,15,0)</f>
        <v>45191</v>
      </c>
      <c r="M23" s="44">
        <f>VLOOKUP(C23,Purchased!A:Q,16,0)</f>
        <v>45191</v>
      </c>
      <c r="N23" s="45">
        <f>VLOOKUP(C23,Purchased!A:Q,17,0)</f>
        <v>55079</v>
      </c>
      <c r="O23" s="45" t="e">
        <f t="shared" ca="1" si="4"/>
        <v>#VALUE!</v>
      </c>
      <c r="P23" s="49">
        <f>IFERROR(VLOOKUP(C23,Purchased!A:E,3,FALSE),"")</f>
        <v>6.24</v>
      </c>
      <c r="Q23" s="50">
        <f t="shared" si="5"/>
        <v>12.48</v>
      </c>
    </row>
    <row r="24" spans="1:17" s="2" customFormat="1" ht="12" customHeight="1">
      <c r="A24" s="4">
        <f t="shared" si="6"/>
        <v>311</v>
      </c>
      <c r="B24" s="2">
        <v>1</v>
      </c>
      <c r="C24" s="114" t="s">
        <v>895</v>
      </c>
      <c r="D24" s="268" t="str">
        <f>VLOOKUP(C24,Purchased!A:B,2,0)</f>
        <v>Ball Bearing Shielded, Trade No. 6001-2Z, for 12 mm Shaft Diameter</v>
      </c>
      <c r="E24" s="269"/>
      <c r="F24" s="112" t="str">
        <f>VLOOKUP(C24,Purchased!A:Q,9,0)</f>
        <v>MCM</v>
      </c>
      <c r="G24" s="112" t="str">
        <f>VLOOKUP(C24,Purchased!A:Q,10,0)</f>
        <v>MCM</v>
      </c>
      <c r="H24" s="112" t="str">
        <f>VLOOKUP(C24,Purchased!A:Q,12,0)</f>
        <v xml:space="preserve"> </v>
      </c>
      <c r="I24" s="113"/>
      <c r="J24" s="44" t="str">
        <f>VLOOKUP(C24,Purchased!A:Q,13,0)</f>
        <v>N/A</v>
      </c>
      <c r="K24" s="44">
        <f>VLOOKUP(C24,Purchased!A:Q,14,0)</f>
        <v>45162</v>
      </c>
      <c r="L24" s="44">
        <f>VLOOKUP(C24,Purchased!A:Q,15,0)</f>
        <v>45184</v>
      </c>
      <c r="M24" s="44">
        <f>VLOOKUP(C24,Purchased!A:Q,16,0)</f>
        <v>45166</v>
      </c>
      <c r="N24" s="45">
        <f>VLOOKUP(C24,Purchased!A:Q,17,0)</f>
        <v>55087</v>
      </c>
      <c r="O24" s="45" t="e">
        <f t="shared" ca="1" si="4"/>
        <v>#VALUE!</v>
      </c>
      <c r="P24" s="49">
        <f>IFERROR(VLOOKUP(C24,Purchased!A:E,3,FALSE),"")</f>
        <v>8.42</v>
      </c>
      <c r="Q24" s="50">
        <f t="shared" si="5"/>
        <v>8.42</v>
      </c>
    </row>
    <row r="25" spans="1:17" s="2" customFormat="1" ht="12" customHeight="1">
      <c r="A25" s="4">
        <f t="shared" si="6"/>
        <v>312</v>
      </c>
      <c r="B25" s="2">
        <v>1</v>
      </c>
      <c r="C25" s="114" t="s">
        <v>1110</v>
      </c>
      <c r="D25" s="268" t="str">
        <f>VLOOKUP(C25,Purchased!A:B,2,0)</f>
        <v>Clamping Shaft Collarfor 12 mm Diameter, Black-Oxide 1215 Carbon Steel</v>
      </c>
      <c r="E25" s="269"/>
      <c r="F25" s="112" t="str">
        <f>VLOOKUP(C25,Purchased!A:Q,9,0)</f>
        <v>MOTION</v>
      </c>
      <c r="G25" s="112" t="str">
        <f>VLOOKUP(C25,Purchased!A:Q,10,0)</f>
        <v>MOTION</v>
      </c>
      <c r="H25" s="112" t="str">
        <f>VLOOKUP(C25,Purchased!A:Q,12,0)</f>
        <v>MCM=57445K26</v>
      </c>
      <c r="I25" s="113"/>
      <c r="J25" s="44" t="str">
        <f>VLOOKUP(C25,Purchased!A:Q,13,0)</f>
        <v>N/A</v>
      </c>
      <c r="K25" s="44">
        <f>VLOOKUP(C25,Purchased!A:Q,14,0)</f>
        <v>45161</v>
      </c>
      <c r="L25" s="44">
        <f>VLOOKUP(C25,Purchased!A:Q,15,0)</f>
        <v>45191</v>
      </c>
      <c r="M25" s="44">
        <f>VLOOKUP(C25,Purchased!A:Q,16,0)</f>
        <v>45191</v>
      </c>
      <c r="N25" s="45" t="str">
        <f>VLOOKUP(C25,Purchased!A:Q,17,0)</f>
        <v>11x55079</v>
      </c>
      <c r="O25" s="45" t="e">
        <f t="shared" ca="1" si="4"/>
        <v>#VALUE!</v>
      </c>
      <c r="P25" s="49">
        <f>IFERROR(VLOOKUP(C25,Purchased!A:E,3,FALSE),"")</f>
        <v>1.73</v>
      </c>
      <c r="Q25" s="50">
        <f t="shared" si="5"/>
        <v>1.73</v>
      </c>
    </row>
    <row r="26" spans="1:17" s="2" customFormat="1" ht="12" customHeight="1">
      <c r="A26" s="4">
        <f t="shared" si="6"/>
        <v>313</v>
      </c>
      <c r="B26" s="2">
        <v>1</v>
      </c>
      <c r="C26" s="114" t="s">
        <v>903</v>
      </c>
      <c r="D26" s="268" t="str">
        <f>VLOOKUP(C26,Purchased!A:B,2,0)</f>
        <v>316 Stainless Steel Ring Shim 0.5mm Thick, 12mm ID, 10pk</v>
      </c>
      <c r="E26" s="269"/>
      <c r="F26" s="112" t="str">
        <f>VLOOKUP(C26,Purchased!A:Q,9,0)</f>
        <v>MCM</v>
      </c>
      <c r="G26" s="112" t="str">
        <f>VLOOKUP(C26,Purchased!A:Q,10,0)</f>
        <v>MCM</v>
      </c>
      <c r="H26" s="112" t="str">
        <f>VLOOKUP(C26,Purchased!A:Q,12,0)</f>
        <v>Pack of 10</v>
      </c>
      <c r="I26" s="113"/>
      <c r="J26" s="44" t="str">
        <f>VLOOKUP(C26,Purchased!A:Q,13,0)</f>
        <v>N/A</v>
      </c>
      <c r="K26" s="44">
        <f>VLOOKUP(C26,Purchased!A:Q,14,0)</f>
        <v>45162</v>
      </c>
      <c r="L26" s="44">
        <f>VLOOKUP(C26,Purchased!A:Q,15,0)</f>
        <v>45184</v>
      </c>
      <c r="M26" s="44">
        <f>VLOOKUP(C26,Purchased!A:Q,16,0)</f>
        <v>45163</v>
      </c>
      <c r="N26" s="45">
        <f>VLOOKUP(C26,Purchased!A:Q,17,0)</f>
        <v>55088</v>
      </c>
      <c r="O26" s="45" t="e">
        <f t="shared" ca="1" si="4"/>
        <v>#VALUE!</v>
      </c>
      <c r="P26" s="49">
        <f>IFERROR(VLOOKUP(C26,Purchased!A:E,3,FALSE),"")</f>
        <v>12.97</v>
      </c>
      <c r="Q26" s="50">
        <f t="shared" si="5"/>
        <v>12.97</v>
      </c>
    </row>
    <row r="27" spans="1:17" s="2" customFormat="1" ht="12" customHeight="1">
      <c r="A27" s="4">
        <f t="shared" si="6"/>
        <v>314</v>
      </c>
      <c r="B27" s="2">
        <v>2</v>
      </c>
      <c r="C27" s="114" t="s">
        <v>899</v>
      </c>
      <c r="D27" s="268" t="str">
        <f>VLOOKUP(C27,Purchased!A:B,2,0)</f>
        <v>MISUMI Spur Gear Pressure Angle 20, Module 2.0, 20mm Shaft</v>
      </c>
      <c r="E27" s="269"/>
      <c r="F27" s="112" t="str">
        <f>VLOOKUP(C27,Purchased!A:Q,9,0)</f>
        <v>MISUMI</v>
      </c>
      <c r="G27" s="112" t="str">
        <f>VLOOKUP(C27,Purchased!A:Q,10,0)</f>
        <v>MISUMI</v>
      </c>
      <c r="H27" s="112" t="str">
        <f>VLOOKUP(C27,Purchased!A:Q,12,0)</f>
        <v xml:space="preserve"> </v>
      </c>
      <c r="I27" s="113"/>
      <c r="J27" s="44" t="str">
        <f>VLOOKUP(C27,Purchased!A:Q,13,0)</f>
        <v>N/A</v>
      </c>
      <c r="K27" s="44">
        <f>VLOOKUP(C27,Purchased!A:Q,14,0)</f>
        <v>45140</v>
      </c>
      <c r="L27" s="44">
        <f>VLOOKUP(C27,Purchased!A:Q,15,0)</f>
        <v>45153</v>
      </c>
      <c r="M27" s="44">
        <f>VLOOKUP(C27,Purchased!A:Q,16,0)</f>
        <v>45156</v>
      </c>
      <c r="N27" s="45">
        <f>VLOOKUP(C27,Purchased!A:Q,17,0)</f>
        <v>55026</v>
      </c>
      <c r="O27" s="45" t="e">
        <f t="shared" ca="1" si="4"/>
        <v>#VALUE!</v>
      </c>
      <c r="P27" s="49">
        <f>IFERROR(VLOOKUP(C27,Purchased!A:E,3,FALSE),"")</f>
        <v>46.29</v>
      </c>
      <c r="Q27" s="50">
        <f t="shared" si="5"/>
        <v>92.58</v>
      </c>
    </row>
    <row r="28" spans="1:17" s="2" customFormat="1" ht="12" customHeight="1">
      <c r="A28" s="4">
        <f t="shared" si="6"/>
        <v>315</v>
      </c>
      <c r="B28" s="2">
        <v>2</v>
      </c>
      <c r="C28" s="109" t="s">
        <v>286</v>
      </c>
      <c r="D28" s="268" t="str">
        <f>VLOOKUP(C28,Purchased!A:B,2,0)</f>
        <v>BRX GOTO T-NUT 10 M5</v>
      </c>
      <c r="E28" s="269"/>
      <c r="F28" s="112" t="str">
        <f>VLOOKUP(C28,Purchased!A:Q,9,0)</f>
        <v>BRX</v>
      </c>
      <c r="G28" s="112" t="str">
        <f>VLOOKUP(C28,Purchased!A:Q,10,0)</f>
        <v>AAP</v>
      </c>
      <c r="H28" s="112">
        <f>VLOOKUP(C28,Purchased!A:Q,12,0)</f>
        <v>0</v>
      </c>
      <c r="I28" s="113"/>
      <c r="J28" s="44">
        <f>VLOOKUP(C28,Purchased!A:Q,13,0)</f>
        <v>45104</v>
      </c>
      <c r="K28" s="44">
        <f>VLOOKUP(C28,Purchased!A:Q,14,0)</f>
        <v>45105</v>
      </c>
      <c r="L28" s="44">
        <f>VLOOKUP(C28,Purchased!A:Q,15,0)</f>
        <v>45133</v>
      </c>
      <c r="M28" s="44">
        <f>VLOOKUP(C28,Purchased!A:Q,16,0)</f>
        <v>45133</v>
      </c>
      <c r="N28" s="45" t="str">
        <f>VLOOKUP(C28,Purchased!A:Q,17,0)</f>
        <v>50x54968, 200x55147, 150x55169</v>
      </c>
      <c r="O28" s="45" t="e">
        <f t="shared" ca="1" si="4"/>
        <v>#VALUE!</v>
      </c>
      <c r="P28" s="49">
        <f>IFERROR(VLOOKUP(C28,Purchased!A:E,3,FALSE),"")</f>
        <v>0.64290000000000003</v>
      </c>
      <c r="Q28" s="50">
        <f t="shared" si="5"/>
        <v>1.2858000000000001</v>
      </c>
    </row>
    <row r="29" spans="1:17" s="2" customFormat="1" ht="12" customHeight="1">
      <c r="A29" s="4">
        <f>A28+1</f>
        <v>316</v>
      </c>
      <c r="B29" s="2">
        <v>16</v>
      </c>
      <c r="C29" s="109" t="s">
        <v>889</v>
      </c>
      <c r="D29" s="268" t="str">
        <f>VLOOKUP(C29,Purchased!A:B,2,0)</f>
        <v>Dowel Pin 52100 Alloy Steel, 8 mm Diameter, 50 mm Long, 10pk</v>
      </c>
      <c r="E29" s="269"/>
      <c r="F29" s="112" t="str">
        <f>VLOOKUP(C29,Purchased!A:Q,9,0)</f>
        <v>MCM</v>
      </c>
      <c r="G29" s="112" t="str">
        <f>VLOOKUP(C29,Purchased!A:Q,10,0)</f>
        <v>MCM</v>
      </c>
      <c r="H29" s="112" t="str">
        <f>VLOOKUP(C29,Purchased!A:Q,12,0)</f>
        <v xml:space="preserve"> </v>
      </c>
      <c r="I29" s="113"/>
      <c r="J29" s="44" t="str">
        <f>VLOOKUP(C29,Purchased!A:Q,13,0)</f>
        <v>N/A</v>
      </c>
      <c r="K29" s="44">
        <f>VLOOKUP(C29,Purchased!A:Q,14,0)</f>
        <v>45162</v>
      </c>
      <c r="L29" s="44">
        <f>VLOOKUP(C29,Purchased!A:Q,15,0)</f>
        <v>45189</v>
      </c>
      <c r="M29" s="44">
        <f>VLOOKUP(C29,Purchased!A:Q,16,0)</f>
        <v>45189</v>
      </c>
      <c r="N29" s="45" t="str">
        <f>VLOOKUP(C29,Purchased!A:Q,17,0)</f>
        <v>55088, 55152</v>
      </c>
      <c r="O29" s="45" t="e">
        <f t="shared" ca="1" si="4"/>
        <v>#VALUE!</v>
      </c>
      <c r="P29" s="49">
        <f>IFERROR(VLOOKUP(C29,Purchased!A:E,3,FALSE),"")</f>
        <v>13.02</v>
      </c>
      <c r="Q29" s="50">
        <f t="shared" si="5"/>
        <v>208.32</v>
      </c>
    </row>
    <row r="30" spans="1:17" s="2" customFormat="1" ht="12" customHeight="1">
      <c r="A30" s="4">
        <f>A29+1</f>
        <v>317</v>
      </c>
      <c r="B30" s="2">
        <v>4</v>
      </c>
      <c r="C30" s="109" t="s">
        <v>900</v>
      </c>
      <c r="D30" s="268" t="str">
        <f>VLOOKUP(C30,Purchased!A:B,2,0)</f>
        <v>MKS Series Pneumatic clamp for 25mm bosch profile rail</v>
      </c>
      <c r="E30" s="269"/>
      <c r="F30" s="112" t="str">
        <f>VLOOKUP(C30,Purchased!A:Q,9,0)</f>
        <v>ZIMMER</v>
      </c>
      <c r="G30" s="112" t="str">
        <f>VLOOKUP(C30,Purchased!A:Q,10,0)</f>
        <v>ZIMMER</v>
      </c>
      <c r="H30" s="112" t="str">
        <f>VLOOKUP(C30,Purchased!A:Q,12,0)</f>
        <v xml:space="preserve"> </v>
      </c>
      <c r="I30" s="113"/>
      <c r="J30" s="44" t="str">
        <f>VLOOKUP(C30,Purchased!A:Q,13,0)</f>
        <v>N/A</v>
      </c>
      <c r="K30" s="44">
        <f>VLOOKUP(C30,Purchased!A:Q,14,0)</f>
        <v>45117</v>
      </c>
      <c r="L30" s="44">
        <f>VLOOKUP(C30,Purchased!A:Q,15,0)</f>
        <v>45147</v>
      </c>
      <c r="M30" s="44">
        <f>VLOOKUP(C30,Purchased!A:Q,16,0)</f>
        <v>45180</v>
      </c>
      <c r="N30" s="45">
        <f>VLOOKUP(C30,Purchased!A:Q,17,0)</f>
        <v>54979</v>
      </c>
      <c r="O30" s="45" t="e">
        <f ca="1">B30*$L$2</f>
        <v>#VALUE!</v>
      </c>
      <c r="P30" s="49">
        <f>IFERROR(VLOOKUP(C30,Purchased!A:E,3,FALSE),"")</f>
        <v>428.1</v>
      </c>
      <c r="Q30" s="50">
        <f>IFERROR(B30*P30,"")</f>
        <v>1712.4</v>
      </c>
    </row>
    <row r="31" spans="1:17" s="2" customFormat="1" ht="12.75" customHeight="1">
      <c r="A31" s="25"/>
      <c r="B31" s="26"/>
      <c r="C31" s="26"/>
      <c r="D31" s="272"/>
      <c r="E31" s="273"/>
      <c r="F31" s="26"/>
      <c r="G31" s="26"/>
      <c r="H31" s="274"/>
      <c r="I31" s="275"/>
      <c r="J31" s="27"/>
      <c r="K31" s="27"/>
      <c r="L31" s="27"/>
      <c r="M31" s="28"/>
      <c r="N31" s="29"/>
      <c r="O31" s="29" t="e">
        <f t="shared" ref="O31:O34" ca="1" si="7">B31*$L$2</f>
        <v>#VALUE!</v>
      </c>
      <c r="P31" s="141"/>
      <c r="Q31" s="142"/>
    </row>
    <row r="32" spans="1:17" s="2" customFormat="1" ht="12.75" customHeight="1">
      <c r="A32" s="4">
        <v>501</v>
      </c>
      <c r="B32" s="2">
        <v>32</v>
      </c>
      <c r="C32" s="110" t="s">
        <v>668</v>
      </c>
      <c r="D32" s="268" t="s">
        <v>1177</v>
      </c>
      <c r="E32" s="276"/>
      <c r="F32" s="112" t="str">
        <f>VLOOKUP(C32,Bolts!A:L,5,0)</f>
        <v xml:space="preserve">  </v>
      </c>
      <c r="G32" s="112" t="str">
        <f>VLOOKUP(C32,Bolts!A:L,6,0)</f>
        <v>Monroe Fasteners</v>
      </c>
      <c r="H32" s="112" t="str">
        <f>VLOOKUP(C32,Bolts!A:L,7,0)</f>
        <v xml:space="preserve">  </v>
      </c>
      <c r="I32" s="112"/>
      <c r="J32" s="44" t="str">
        <f>VLOOKUP(C32,Bolts!A:L,8,0)</f>
        <v xml:space="preserve"> </v>
      </c>
      <c r="K32" s="44" t="str">
        <f>VLOOKUP(C32,Bolts!A:L,9,0)</f>
        <v xml:space="preserve"> </v>
      </c>
      <c r="L32" s="44" t="str">
        <f>VLOOKUP(C32,Bolts!A:L,10,0)</f>
        <v xml:space="preserve"> </v>
      </c>
      <c r="M32" s="44" t="str">
        <f>VLOOKUP(C32,Bolts!A:L,11,0)</f>
        <v xml:space="preserve"> </v>
      </c>
      <c r="N32" s="45" t="str">
        <f>VLOOKUP(C32,Bolts!A:L,12,0)</f>
        <v xml:space="preserve"> </v>
      </c>
      <c r="O32" s="45" t="e">
        <f t="shared" ca="1" si="7"/>
        <v>#VALUE!</v>
      </c>
      <c r="P32" s="49" t="str">
        <f>IFERROR(VLOOKUP(C32,Bolts!A:B,2,FALSE),"")</f>
        <v xml:space="preserve"> </v>
      </c>
      <c r="Q32" s="50" t="str">
        <f t="shared" ref="Q32:Q34" si="8">IFERROR(B32*P32,"")</f>
        <v/>
      </c>
    </row>
    <row r="33" spans="1:17" s="2" customFormat="1" ht="12.75" customHeight="1">
      <c r="A33" s="4">
        <f t="shared" ref="A33:A34" si="9">A32+1</f>
        <v>502</v>
      </c>
      <c r="B33" s="2">
        <v>2</v>
      </c>
      <c r="C33" s="110" t="s">
        <v>638</v>
      </c>
      <c r="D33" s="268"/>
      <c r="E33" s="276"/>
      <c r="F33" s="112" t="str">
        <f>VLOOKUP(C33,Bolts!A:L,5,0)</f>
        <v xml:space="preserve">  </v>
      </c>
      <c r="G33" s="112" t="str">
        <f>VLOOKUP(C33,Bolts!A:L,6,0)</f>
        <v>Monroe Fasteners</v>
      </c>
      <c r="H33" s="112" t="str">
        <f>VLOOKUP(C33,Bolts!A:L,7,0)</f>
        <v xml:space="preserve">  </v>
      </c>
      <c r="I33" s="112"/>
      <c r="J33" s="44" t="str">
        <f>VLOOKUP(C33,Bolts!A:L,8,0)</f>
        <v xml:space="preserve"> </v>
      </c>
      <c r="K33" s="44" t="str">
        <f>VLOOKUP(C33,Bolts!A:L,9,0)</f>
        <v xml:space="preserve"> </v>
      </c>
      <c r="L33" s="44" t="str">
        <f>VLOOKUP(C33,Bolts!A:L,10,0)</f>
        <v xml:space="preserve"> </v>
      </c>
      <c r="M33" s="44" t="str">
        <f>VLOOKUP(C33,Bolts!A:L,11,0)</f>
        <v xml:space="preserve"> </v>
      </c>
      <c r="N33" s="45" t="str">
        <f>VLOOKUP(C33,Bolts!A:L,12,0)</f>
        <v xml:space="preserve"> </v>
      </c>
      <c r="O33" s="45" t="e">
        <f t="shared" ca="1" si="7"/>
        <v>#VALUE!</v>
      </c>
      <c r="P33" s="49" t="str">
        <f>IFERROR(VLOOKUP(C33,Bolts!A:B,2,FALSE),"")</f>
        <v xml:space="preserve"> </v>
      </c>
      <c r="Q33" s="50" t="str">
        <f t="shared" si="8"/>
        <v/>
      </c>
    </row>
    <row r="34" spans="1:17" s="2" customFormat="1" ht="12" customHeight="1">
      <c r="A34" s="4">
        <f t="shared" si="9"/>
        <v>503</v>
      </c>
      <c r="B34" s="2">
        <v>6</v>
      </c>
      <c r="C34" s="110" t="s">
        <v>801</v>
      </c>
      <c r="D34" s="268"/>
      <c r="E34" s="276"/>
      <c r="F34" s="112" t="str">
        <f>VLOOKUP(C34,Bolts!A:L,5,0)</f>
        <v xml:space="preserve">  </v>
      </c>
      <c r="G34" s="112" t="str">
        <f>VLOOKUP(C34,Bolts!A:L,6,0)</f>
        <v>Monroe Fasteners</v>
      </c>
      <c r="H34" s="112" t="str">
        <f>VLOOKUP(C34,Bolts!A:L,7,0)</f>
        <v xml:space="preserve">  </v>
      </c>
      <c r="I34" s="112"/>
      <c r="J34" s="44" t="str">
        <f>VLOOKUP(C34,Bolts!A:L,8,0)</f>
        <v xml:space="preserve"> </v>
      </c>
      <c r="K34" s="44" t="str">
        <f>VLOOKUP(C34,Bolts!A:L,9,0)</f>
        <v xml:space="preserve"> </v>
      </c>
      <c r="L34" s="44" t="str">
        <f>VLOOKUP(C34,Bolts!A:L,10,0)</f>
        <v xml:space="preserve"> </v>
      </c>
      <c r="M34" s="44" t="str">
        <f>VLOOKUP(C34,Bolts!A:L,11,0)</f>
        <v xml:space="preserve"> </v>
      </c>
      <c r="N34" s="45" t="str">
        <f>VLOOKUP(C34,Bolts!A:L,12,0)</f>
        <v xml:space="preserve"> </v>
      </c>
      <c r="O34" s="45" t="e">
        <f t="shared" ca="1" si="7"/>
        <v>#VALUE!</v>
      </c>
      <c r="P34" s="49" t="str">
        <f>IFERROR(VLOOKUP(C34,Bolts!A:B,2,FALSE),"")</f>
        <v xml:space="preserve"> </v>
      </c>
      <c r="Q34" s="50" t="str">
        <f t="shared" si="8"/>
        <v/>
      </c>
    </row>
    <row r="35" spans="1:17" s="2" customFormat="1" ht="12" customHeight="1">
      <c r="A35" s="4">
        <f>A34+1</f>
        <v>504</v>
      </c>
      <c r="B35" s="2">
        <v>16</v>
      </c>
      <c r="C35" s="110" t="s">
        <v>906</v>
      </c>
      <c r="D35" s="268"/>
      <c r="E35" s="276"/>
      <c r="F35" s="112" t="str">
        <f>VLOOKUP(C35,Bolts!A:L,5,0)</f>
        <v xml:space="preserve">  </v>
      </c>
      <c r="G35" s="112" t="str">
        <f>VLOOKUP(C35,Bolts!A:L,6,0)</f>
        <v>Monroe Fasteners</v>
      </c>
      <c r="H35" s="112" t="str">
        <f>VLOOKUP(C35,Bolts!A:L,7,0)</f>
        <v xml:space="preserve">  </v>
      </c>
      <c r="I35" s="112"/>
      <c r="J35" s="44" t="str">
        <f>VLOOKUP(C35,Bolts!A:L,8,0)</f>
        <v xml:space="preserve"> </v>
      </c>
      <c r="K35" s="44" t="str">
        <f>VLOOKUP(C35,Bolts!A:L,9,0)</f>
        <v xml:space="preserve"> </v>
      </c>
      <c r="L35" s="44" t="str">
        <f>VLOOKUP(C35,Bolts!A:L,10,0)</f>
        <v xml:space="preserve"> </v>
      </c>
      <c r="M35" s="44" t="str">
        <f>VLOOKUP(C35,Bolts!A:L,11,0)</f>
        <v xml:space="preserve"> </v>
      </c>
      <c r="N35" s="45" t="str">
        <f>VLOOKUP(C35,Bolts!A:L,12,0)</f>
        <v xml:space="preserve"> </v>
      </c>
      <c r="O35" s="45" t="e">
        <f ca="1">B35*$L$2</f>
        <v>#VALUE!</v>
      </c>
      <c r="P35" s="49" t="str">
        <f>IFERROR(VLOOKUP(C35,Bolts!A:B,2,FALSE),"")</f>
        <v xml:space="preserve"> </v>
      </c>
      <c r="Q35" s="50" t="str">
        <f>IFERROR(B35*P35,"")</f>
        <v/>
      </c>
    </row>
    <row r="36" spans="1:17" s="2" customFormat="1" ht="12.75" customHeight="1">
      <c r="A36" s="25"/>
      <c r="B36" s="26"/>
      <c r="C36" s="26"/>
      <c r="D36" s="272"/>
      <c r="E36" s="273"/>
      <c r="F36" s="26"/>
      <c r="G36" s="26"/>
      <c r="H36" s="274"/>
      <c r="I36" s="275"/>
      <c r="J36" s="27"/>
      <c r="K36" s="27"/>
      <c r="L36" s="27"/>
      <c r="M36" s="28"/>
      <c r="N36" s="29"/>
      <c r="O36" s="29"/>
      <c r="P36" s="141"/>
      <c r="Q36" s="142"/>
    </row>
    <row r="37" spans="1:17" s="2" customFormat="1" ht="12.75" customHeight="1">
      <c r="A37" s="4">
        <v>701</v>
      </c>
      <c r="B37" s="2">
        <v>1</v>
      </c>
      <c r="C37" s="111" t="s">
        <v>1178</v>
      </c>
      <c r="D37" s="268" t="str">
        <f>VLOOKUP(C37,Extrusion!B:C,2,0)</f>
        <v>Assy .530</v>
      </c>
      <c r="E37" s="269"/>
      <c r="F37" s="112" t="str">
        <f>VLOOKUP(C37,Extrusion!B:M,6,0)</f>
        <v>BOSCH</v>
      </c>
      <c r="G37" s="112" t="str">
        <f>VLOOKUP(C37,Extrusion!B:M,7,0)</f>
        <v>NULINE</v>
      </c>
      <c r="H37" s="112" t="str">
        <f>VLOOKUP(C37,Extrusion!B:M,8,0)</f>
        <v xml:space="preserve"> </v>
      </c>
      <c r="I37" s="113"/>
      <c r="J37" s="44" t="str">
        <f>VLOOKUP(C37,Extrusion!B:M,9,0)</f>
        <v>N/A</v>
      </c>
      <c r="K37" s="44">
        <f>VLOOKUP(C37,Extrusion!B:M,10,0)</f>
        <v>44894</v>
      </c>
      <c r="L37" s="44">
        <f>VLOOKUP(C37,Extrusion!B:M,11,0)</f>
        <v>44970</v>
      </c>
      <c r="M37" s="44">
        <f>VLOOKUP(C37,Extrusion!B:M,12,0)</f>
        <v>44970</v>
      </c>
      <c r="N37" s="45">
        <f>VLOOKUP(C37,Extrusion!B:N,13,0)</f>
        <v>54598</v>
      </c>
      <c r="O37" s="45" t="e">
        <f t="shared" ref="O37" ca="1" si="10">B37*$L$2</f>
        <v>#VALUE!</v>
      </c>
      <c r="P37" s="49">
        <f>IFERROR(VLOOKUP(C37,Extrusion!B:F,5,0),"")</f>
        <v>49.151244641666665</v>
      </c>
      <c r="Q37" s="50">
        <f t="shared" ref="Q37" si="11">IFERROR(B37*P37,"")</f>
        <v>49.151244641666665</v>
      </c>
    </row>
    <row r="38" spans="1:17" s="2" customFormat="1" ht="12.75" customHeight="1" thickBot="1">
      <c r="A38" s="4">
        <v>702</v>
      </c>
      <c r="B38" s="2">
        <v>1</v>
      </c>
      <c r="C38" s="111" t="s">
        <v>913</v>
      </c>
      <c r="D38" s="268" t="str">
        <f>VLOOKUP(C38,Extrusion!B:C,2,0)</f>
        <v>Assy. 341</v>
      </c>
      <c r="E38" s="269"/>
      <c r="F38" s="112" t="str">
        <f>VLOOKUP(C38,Extrusion!B:M,6,0)</f>
        <v>BOSCH</v>
      </c>
      <c r="G38" s="112" t="str">
        <f>VLOOKUP(C38,Extrusion!B:M,7,0)</f>
        <v>NULINE</v>
      </c>
      <c r="H38" s="112" t="str">
        <f>VLOOKUP(C38,Extrusion!B:M,8,0)</f>
        <v xml:space="preserve"> </v>
      </c>
      <c r="I38" s="113"/>
      <c r="J38" s="44" t="str">
        <f>VLOOKUP(C38,Extrusion!B:M,9,0)</f>
        <v>N/A</v>
      </c>
      <c r="K38" s="44">
        <f>VLOOKUP(C38,Extrusion!B:M,10,0)</f>
        <v>44894</v>
      </c>
      <c r="L38" s="44">
        <f>VLOOKUP(C38,Extrusion!B:M,11,0)</f>
        <v>44970</v>
      </c>
      <c r="M38" s="44">
        <f>VLOOKUP(C38,Extrusion!B:M,12,0)</f>
        <v>44970</v>
      </c>
      <c r="N38" s="45">
        <f>VLOOKUP(C38,Extrusion!B:N,13,0)</f>
        <v>54598</v>
      </c>
      <c r="O38" s="45" t="e">
        <f t="shared" ref="O38" ca="1" si="12">B38*$L$2</f>
        <v>#VALUE!</v>
      </c>
      <c r="P38" s="49">
        <f>IFERROR(VLOOKUP(C38,Extrusion!B:F,5,0),"")</f>
        <v>85.520175474499993</v>
      </c>
      <c r="Q38" s="50">
        <f t="shared" ref="Q38" si="13">IFERROR(B38*P38,"")</f>
        <v>85.520175474499993</v>
      </c>
    </row>
    <row r="39" spans="1:17" s="2" customFormat="1" ht="12.75" customHeight="1" thickBot="1">
      <c r="A39" s="34"/>
      <c r="B39" s="35"/>
      <c r="C39" s="35"/>
      <c r="D39" s="256"/>
      <c r="E39" s="257"/>
      <c r="F39" s="35"/>
      <c r="G39" s="35"/>
      <c r="H39" s="294"/>
      <c r="I39" s="295"/>
      <c r="J39" s="36"/>
      <c r="K39" s="36"/>
      <c r="L39" s="36"/>
      <c r="M39" s="37"/>
      <c r="N39" s="38"/>
      <c r="O39" s="38"/>
      <c r="P39" s="89" t="s">
        <v>43</v>
      </c>
      <c r="Q39" s="94">
        <f>SUM(Q5:Q37)</f>
        <v>5631.8781446416669</v>
      </c>
    </row>
    <row r="40" spans="1:17" s="2" customFormat="1" ht="12" customHeight="1">
      <c r="D40" s="22"/>
      <c r="E40" s="22"/>
      <c r="J40" s="8"/>
      <c r="K40" s="8"/>
      <c r="L40" s="8"/>
      <c r="M40" s="8"/>
      <c r="N40" s="5"/>
      <c r="O40" s="5"/>
      <c r="P40" s="88"/>
      <c r="Q40" s="95"/>
    </row>
    <row r="41" spans="1:17" s="2" customFormat="1" ht="12" customHeight="1">
      <c r="D41" s="22"/>
      <c r="E41" s="22"/>
      <c r="J41" s="5"/>
      <c r="K41" s="5"/>
      <c r="L41" s="5"/>
      <c r="M41" s="5"/>
      <c r="N41" s="5"/>
      <c r="O41" s="5"/>
      <c r="P41" s="88"/>
      <c r="Q41" s="95"/>
    </row>
    <row r="42" spans="1:17" s="2" customFormat="1" ht="12" customHeight="1">
      <c r="D42" s="22"/>
      <c r="E42" s="22"/>
      <c r="J42" s="5"/>
      <c r="K42" s="5"/>
      <c r="L42" s="5"/>
      <c r="M42" s="5"/>
      <c r="N42" s="5"/>
      <c r="O42" s="5"/>
      <c r="P42" s="88"/>
      <c r="Q42" s="95"/>
    </row>
    <row r="43" spans="1:17" s="2" customFormat="1" ht="12" customHeight="1">
      <c r="D43" s="22"/>
      <c r="E43" s="22"/>
      <c r="J43" s="5"/>
      <c r="K43" s="5"/>
      <c r="L43" s="5"/>
      <c r="M43" s="5"/>
      <c r="N43" s="5"/>
      <c r="O43" s="5"/>
      <c r="P43" s="88"/>
      <c r="Q43" s="95"/>
    </row>
    <row r="44" spans="1:17" s="2" customFormat="1" ht="12" customHeight="1">
      <c r="D44" s="22"/>
      <c r="E44" s="22"/>
      <c r="J44" s="5"/>
      <c r="K44" s="5"/>
      <c r="L44" s="5"/>
      <c r="M44" s="5"/>
      <c r="N44" s="5"/>
      <c r="O44" s="5"/>
      <c r="P44" s="88"/>
      <c r="Q44" s="95"/>
    </row>
    <row r="45" spans="1:17" s="2" customFormat="1" ht="12" customHeight="1">
      <c r="D45" s="22"/>
      <c r="E45" s="22"/>
      <c r="J45" s="5"/>
      <c r="K45" s="5"/>
      <c r="L45" s="5"/>
      <c r="M45" s="5"/>
      <c r="N45" s="5"/>
      <c r="O45" s="5"/>
      <c r="P45" s="88"/>
      <c r="Q45" s="95"/>
    </row>
    <row r="46" spans="1:17" s="2" customFormat="1" ht="12" customHeight="1">
      <c r="D46" s="22"/>
      <c r="E46" s="22"/>
      <c r="J46" s="5"/>
      <c r="K46" s="5"/>
      <c r="L46" s="5"/>
      <c r="M46" s="5"/>
      <c r="N46" s="5"/>
      <c r="O46" s="5"/>
      <c r="P46" s="88"/>
      <c r="Q46" s="95"/>
    </row>
    <row r="47" spans="1:17" s="2" customFormat="1" ht="12" customHeight="1">
      <c r="D47" s="22"/>
      <c r="E47" s="22"/>
      <c r="J47" s="5"/>
      <c r="K47" s="5"/>
      <c r="L47" s="5"/>
      <c r="M47" s="5"/>
      <c r="N47" s="5"/>
      <c r="O47" s="5"/>
      <c r="P47" s="88"/>
      <c r="Q47" s="95"/>
    </row>
    <row r="48" spans="1:17" s="2" customFormat="1" ht="12" customHeight="1">
      <c r="D48" s="22"/>
      <c r="E48" s="22"/>
      <c r="J48" s="5"/>
      <c r="K48" s="5"/>
      <c r="L48" s="5"/>
      <c r="M48" s="5"/>
      <c r="N48" s="5"/>
      <c r="O48" s="5"/>
      <c r="P48" s="88"/>
      <c r="Q48" s="95"/>
    </row>
    <row r="49" spans="4:17" s="2" customFormat="1" ht="12" customHeight="1">
      <c r="D49" s="22"/>
      <c r="E49" s="22"/>
      <c r="J49" s="5"/>
      <c r="K49" s="5"/>
      <c r="L49" s="5"/>
      <c r="M49" s="5"/>
      <c r="N49" s="5"/>
      <c r="O49" s="5"/>
      <c r="P49" s="88"/>
      <c r="Q49" s="95"/>
    </row>
    <row r="50" spans="4:17" s="2" customFormat="1" ht="12" customHeight="1">
      <c r="D50" s="22"/>
      <c r="E50" s="22"/>
      <c r="J50" s="5"/>
      <c r="K50" s="5"/>
      <c r="L50" s="5"/>
      <c r="M50" s="5"/>
      <c r="N50" s="5"/>
      <c r="O50" s="5"/>
      <c r="P50" s="88"/>
      <c r="Q50" s="95"/>
    </row>
    <row r="51" spans="4:17" s="2" customFormat="1" ht="12" customHeight="1">
      <c r="D51" s="22"/>
      <c r="E51" s="22"/>
      <c r="J51" s="5"/>
      <c r="K51" s="5"/>
      <c r="L51" s="5"/>
      <c r="M51" s="5"/>
      <c r="N51" s="5"/>
      <c r="O51" s="5"/>
      <c r="P51" s="88"/>
      <c r="Q51" s="95"/>
    </row>
    <row r="52" spans="4:17" s="2" customFormat="1" ht="12" customHeight="1">
      <c r="D52" s="22"/>
      <c r="E52" s="22"/>
      <c r="J52" s="5"/>
      <c r="K52" s="5"/>
      <c r="L52" s="5"/>
      <c r="M52" s="5"/>
      <c r="N52" s="5"/>
      <c r="O52" s="5"/>
      <c r="P52" s="88"/>
      <c r="Q52" s="95"/>
    </row>
    <row r="53" spans="4:17" s="2" customFormat="1" ht="12" customHeight="1">
      <c r="D53" s="22"/>
      <c r="E53" s="22"/>
      <c r="J53" s="5"/>
      <c r="K53" s="5"/>
      <c r="L53" s="5"/>
      <c r="M53" s="5"/>
      <c r="N53" s="5"/>
      <c r="O53" s="5"/>
      <c r="P53" s="88"/>
      <c r="Q53" s="95"/>
    </row>
    <row r="54" spans="4:17" s="2" customFormat="1" ht="12" customHeight="1">
      <c r="D54" s="22"/>
      <c r="E54" s="22"/>
      <c r="J54" s="5"/>
      <c r="K54" s="5"/>
      <c r="L54" s="5"/>
      <c r="M54" s="5"/>
      <c r="N54" s="5"/>
      <c r="O54" s="5"/>
      <c r="P54" s="88"/>
      <c r="Q54" s="95"/>
    </row>
    <row r="55" spans="4:17" s="2" customFormat="1" ht="12" customHeight="1">
      <c r="D55" s="22"/>
      <c r="E55" s="22"/>
      <c r="J55" s="5"/>
      <c r="K55" s="5"/>
      <c r="L55" s="5"/>
      <c r="M55" s="5"/>
      <c r="N55" s="5"/>
      <c r="O55" s="5"/>
      <c r="P55" s="88"/>
      <c r="Q55" s="95"/>
    </row>
    <row r="56" spans="4:17" s="2" customFormat="1" ht="12" customHeight="1">
      <c r="D56" s="22"/>
      <c r="E56" s="22"/>
      <c r="J56" s="5"/>
      <c r="K56" s="5"/>
      <c r="L56" s="5"/>
      <c r="M56" s="5"/>
      <c r="N56" s="5"/>
      <c r="O56" s="5"/>
      <c r="P56" s="88"/>
      <c r="Q56" s="95"/>
    </row>
    <row r="57" spans="4:17" s="2" customFormat="1" ht="12" customHeight="1">
      <c r="D57" s="22"/>
      <c r="E57" s="22"/>
      <c r="J57" s="5"/>
      <c r="K57" s="5"/>
      <c r="L57" s="5"/>
      <c r="M57" s="5"/>
      <c r="N57" s="5"/>
      <c r="O57" s="5"/>
      <c r="P57" s="88"/>
      <c r="Q57" s="95"/>
    </row>
    <row r="58" spans="4:17" s="2" customFormat="1" ht="12" customHeight="1">
      <c r="D58" s="22"/>
      <c r="E58" s="22"/>
      <c r="J58" s="5"/>
      <c r="K58" s="5"/>
      <c r="L58" s="5"/>
      <c r="M58" s="5"/>
      <c r="N58" s="5"/>
      <c r="O58" s="5"/>
      <c r="P58" s="88"/>
      <c r="Q58" s="95"/>
    </row>
    <row r="59" spans="4:17" s="2" customFormat="1" ht="12" customHeight="1">
      <c r="D59" s="22"/>
      <c r="E59" s="22"/>
      <c r="J59" s="5"/>
      <c r="K59" s="5"/>
      <c r="L59" s="5"/>
      <c r="M59" s="5"/>
      <c r="N59" s="5"/>
      <c r="O59" s="5"/>
      <c r="P59" s="88"/>
      <c r="Q59" s="95"/>
    </row>
    <row r="60" spans="4:17" s="2" customFormat="1" ht="12" customHeight="1">
      <c r="D60" s="22"/>
      <c r="E60" s="22"/>
      <c r="J60" s="5"/>
      <c r="K60" s="5"/>
      <c r="L60" s="5"/>
      <c r="M60" s="5"/>
      <c r="N60" s="5"/>
      <c r="O60" s="5"/>
      <c r="P60" s="88"/>
      <c r="Q60" s="95"/>
    </row>
    <row r="61" spans="4:17" s="2" customFormat="1" ht="12" customHeight="1">
      <c r="D61" s="22"/>
      <c r="E61" s="22"/>
      <c r="J61" s="5"/>
      <c r="K61" s="5"/>
      <c r="L61" s="5"/>
      <c r="M61" s="5"/>
      <c r="N61" s="5"/>
      <c r="O61" s="5"/>
      <c r="P61" s="88"/>
      <c r="Q61" s="95"/>
    </row>
    <row r="62" spans="4:17" s="2" customFormat="1" ht="12" customHeight="1">
      <c r="D62" s="22"/>
      <c r="E62" s="22"/>
      <c r="J62" s="5"/>
      <c r="K62" s="5"/>
      <c r="L62" s="5"/>
      <c r="M62" s="5"/>
      <c r="N62" s="5"/>
      <c r="O62" s="5"/>
      <c r="P62" s="88"/>
      <c r="Q62" s="95"/>
    </row>
    <row r="63" spans="4:17" s="2" customFormat="1" ht="12" customHeight="1">
      <c r="D63" s="22"/>
      <c r="E63" s="22"/>
      <c r="J63" s="5"/>
      <c r="K63" s="5"/>
      <c r="L63" s="5"/>
      <c r="M63" s="5"/>
      <c r="N63" s="5"/>
      <c r="O63" s="5"/>
      <c r="P63" s="88"/>
      <c r="Q63" s="95"/>
    </row>
    <row r="64" spans="4:17" s="2" customFormat="1" ht="12" customHeight="1">
      <c r="D64" s="22"/>
      <c r="E64" s="22"/>
      <c r="J64" s="5"/>
      <c r="K64" s="5"/>
      <c r="L64" s="5"/>
      <c r="M64" s="5"/>
      <c r="N64" s="5"/>
      <c r="O64" s="5"/>
      <c r="P64" s="88"/>
      <c r="Q64" s="95"/>
    </row>
    <row r="65" spans="4:17" s="2" customFormat="1" ht="12" customHeight="1">
      <c r="D65" s="22"/>
      <c r="E65" s="22"/>
      <c r="J65" s="5"/>
      <c r="K65" s="5"/>
      <c r="L65" s="5"/>
      <c r="M65" s="5"/>
      <c r="N65" s="5"/>
      <c r="O65" s="5"/>
      <c r="P65" s="88"/>
      <c r="Q65" s="95"/>
    </row>
    <row r="66" spans="4:17" s="2" customFormat="1" ht="12" customHeight="1">
      <c r="D66" s="22"/>
      <c r="E66" s="22"/>
      <c r="J66" s="5"/>
      <c r="K66" s="5"/>
      <c r="L66" s="5"/>
      <c r="M66" s="5"/>
      <c r="N66" s="5"/>
      <c r="O66" s="5"/>
      <c r="P66" s="88"/>
      <c r="Q66" s="95"/>
    </row>
    <row r="67" spans="4:17" s="2" customFormat="1" ht="12" customHeight="1">
      <c r="D67" s="22"/>
      <c r="E67" s="22"/>
      <c r="J67" s="5"/>
      <c r="K67" s="5"/>
      <c r="L67" s="5"/>
      <c r="M67" s="5"/>
      <c r="N67" s="5"/>
      <c r="O67" s="5"/>
      <c r="P67" s="88"/>
      <c r="Q67" s="95"/>
    </row>
    <row r="68" spans="4:17" s="2" customFormat="1" ht="12" customHeight="1">
      <c r="D68" s="22"/>
      <c r="E68" s="22"/>
      <c r="J68" s="5"/>
      <c r="K68" s="5"/>
      <c r="L68" s="5"/>
      <c r="M68" s="5"/>
      <c r="N68" s="5"/>
      <c r="O68" s="5"/>
      <c r="P68" s="88"/>
      <c r="Q68" s="95"/>
    </row>
    <row r="69" spans="4:17" s="2" customFormat="1" ht="12" customHeight="1">
      <c r="D69" s="22"/>
      <c r="E69" s="22"/>
      <c r="J69" s="5"/>
      <c r="K69" s="5"/>
      <c r="L69" s="5"/>
      <c r="M69" s="5"/>
      <c r="N69" s="5"/>
      <c r="O69" s="5"/>
      <c r="P69" s="88"/>
      <c r="Q69" s="95"/>
    </row>
    <row r="70" spans="4:17" s="2" customFormat="1" ht="12" customHeight="1">
      <c r="D70" s="22"/>
      <c r="E70" s="22"/>
      <c r="J70" s="5"/>
      <c r="K70" s="5"/>
      <c r="L70" s="5"/>
      <c r="M70" s="5"/>
      <c r="N70" s="5"/>
      <c r="O70" s="5"/>
      <c r="P70" s="88"/>
      <c r="Q70" s="95"/>
    </row>
    <row r="71" spans="4:17" s="2" customFormat="1" ht="12" customHeight="1">
      <c r="D71" s="22"/>
      <c r="E71" s="22"/>
      <c r="J71" s="5"/>
      <c r="K71" s="5"/>
      <c r="L71" s="5"/>
      <c r="M71" s="5"/>
      <c r="N71" s="5"/>
      <c r="O71" s="5"/>
      <c r="P71" s="88"/>
      <c r="Q71" s="95"/>
    </row>
    <row r="72" spans="4:17" s="2" customFormat="1" ht="12" customHeight="1">
      <c r="D72" s="22"/>
      <c r="E72" s="22"/>
      <c r="J72" s="5"/>
      <c r="K72" s="5"/>
      <c r="L72" s="5"/>
      <c r="M72" s="5"/>
      <c r="N72" s="5"/>
      <c r="O72" s="5"/>
      <c r="P72" s="88"/>
      <c r="Q72" s="95"/>
    </row>
    <row r="73" spans="4:17" s="2" customFormat="1" ht="12" customHeight="1">
      <c r="D73" s="22"/>
      <c r="E73" s="22"/>
      <c r="J73" s="5"/>
      <c r="K73" s="5"/>
      <c r="L73" s="5"/>
      <c r="M73" s="5"/>
      <c r="N73" s="5"/>
      <c r="O73" s="5"/>
      <c r="P73" s="88"/>
      <c r="Q73" s="95"/>
    </row>
    <row r="74" spans="4:17" s="2" customFormat="1" ht="12" customHeight="1">
      <c r="D74" s="22"/>
      <c r="E74" s="22"/>
      <c r="J74" s="5"/>
      <c r="K74" s="5"/>
      <c r="L74" s="5"/>
      <c r="M74" s="5"/>
      <c r="N74" s="5"/>
      <c r="O74" s="5"/>
      <c r="P74" s="88"/>
      <c r="Q74" s="95"/>
    </row>
    <row r="75" spans="4:17" s="2" customFormat="1" ht="12" customHeight="1">
      <c r="D75" s="22"/>
      <c r="E75" s="22"/>
      <c r="J75" s="5"/>
      <c r="K75" s="5"/>
      <c r="L75" s="5"/>
      <c r="M75" s="5"/>
      <c r="N75" s="5"/>
      <c r="O75" s="5"/>
      <c r="P75" s="88"/>
      <c r="Q75" s="95"/>
    </row>
    <row r="76" spans="4:17" s="2" customFormat="1" ht="12" customHeight="1">
      <c r="D76" s="22"/>
      <c r="E76" s="22"/>
      <c r="J76" s="5"/>
      <c r="K76" s="5"/>
      <c r="L76" s="5"/>
      <c r="M76" s="5"/>
      <c r="N76" s="5"/>
      <c r="O76" s="5"/>
      <c r="P76" s="88"/>
      <c r="Q76" s="95"/>
    </row>
    <row r="77" spans="4:17" s="2" customFormat="1" ht="12" customHeight="1">
      <c r="D77" s="22"/>
      <c r="E77" s="22"/>
      <c r="J77" s="5"/>
      <c r="K77" s="5"/>
      <c r="L77" s="5"/>
      <c r="M77" s="5"/>
      <c r="N77" s="5"/>
      <c r="O77" s="5"/>
      <c r="P77" s="88"/>
      <c r="Q77" s="95"/>
    </row>
    <row r="78" spans="4:17" s="2" customFormat="1" ht="12" customHeight="1">
      <c r="D78" s="22"/>
      <c r="E78" s="22"/>
      <c r="J78" s="5"/>
      <c r="K78" s="5"/>
      <c r="L78" s="5"/>
      <c r="M78" s="5"/>
      <c r="N78" s="5"/>
      <c r="O78" s="5"/>
      <c r="P78" s="88"/>
      <c r="Q78" s="96"/>
    </row>
    <row r="79" spans="4:17" s="2" customFormat="1" ht="12" customHeight="1">
      <c r="D79" s="22"/>
      <c r="E79" s="22"/>
      <c r="J79" s="5"/>
      <c r="K79" s="5"/>
      <c r="L79" s="5"/>
      <c r="M79" s="5"/>
      <c r="N79" s="5"/>
      <c r="O79" s="5"/>
      <c r="P79" s="88"/>
      <c r="Q79" s="96"/>
    </row>
    <row r="80" spans="4:17" s="2" customFormat="1" ht="12" customHeight="1">
      <c r="D80" s="22"/>
      <c r="E80" s="22"/>
      <c r="J80" s="5"/>
      <c r="K80" s="5"/>
      <c r="L80" s="5"/>
      <c r="M80" s="5"/>
      <c r="N80" s="5"/>
      <c r="O80" s="5"/>
      <c r="P80" s="88"/>
      <c r="Q80" s="96"/>
    </row>
    <row r="81" spans="1:17" s="2" customFormat="1" ht="12" customHeight="1">
      <c r="D81" s="22"/>
      <c r="E81" s="22"/>
      <c r="J81" s="5"/>
      <c r="K81" s="5"/>
      <c r="L81" s="5"/>
      <c r="M81" s="5"/>
      <c r="N81" s="5"/>
      <c r="O81" s="5"/>
      <c r="P81" s="88"/>
      <c r="Q81" s="96"/>
    </row>
    <row r="82" spans="1:17" s="2" customFormat="1" ht="12" customHeight="1">
      <c r="A82"/>
      <c r="B82"/>
      <c r="C82"/>
      <c r="D82" s="23"/>
      <c r="E82" s="23"/>
      <c r="F82"/>
      <c r="G82"/>
      <c r="H82"/>
      <c r="I82"/>
      <c r="J82" s="19"/>
      <c r="K82" s="19"/>
      <c r="L82" s="19"/>
      <c r="M82" s="19"/>
      <c r="N82" s="19"/>
      <c r="O82" s="19"/>
      <c r="P82" s="90"/>
      <c r="Q82" s="96"/>
    </row>
    <row r="83" spans="1:17" s="2" customFormat="1" ht="12" customHeight="1">
      <c r="A83"/>
      <c r="B83"/>
      <c r="C83"/>
      <c r="D83" s="23"/>
      <c r="E83" s="23"/>
      <c r="F83"/>
      <c r="G83"/>
      <c r="H83"/>
      <c r="I83"/>
      <c r="J83" s="19"/>
      <c r="K83" s="19"/>
      <c r="L83" s="19"/>
      <c r="M83" s="19"/>
      <c r="N83" s="19"/>
      <c r="O83" s="19"/>
      <c r="P83" s="90"/>
      <c r="Q83" s="96"/>
    </row>
    <row r="84" spans="1:17" s="2" customFormat="1" ht="12" customHeight="1">
      <c r="A84"/>
      <c r="B84"/>
      <c r="C84"/>
      <c r="D84" s="23"/>
      <c r="E84" s="23"/>
      <c r="F84"/>
      <c r="G84"/>
      <c r="H84"/>
      <c r="I84"/>
      <c r="J84" s="19"/>
      <c r="K84" s="19"/>
      <c r="L84" s="19"/>
      <c r="M84" s="19"/>
      <c r="N84" s="19"/>
      <c r="O84" s="19"/>
      <c r="P84" s="90"/>
      <c r="Q84" s="96"/>
    </row>
    <row r="85" spans="1:17" s="2" customFormat="1" ht="12" customHeight="1">
      <c r="A85"/>
      <c r="B85"/>
      <c r="C85"/>
      <c r="D85" s="23"/>
      <c r="E85" s="23"/>
      <c r="F85"/>
      <c r="G85"/>
      <c r="H85"/>
      <c r="I85"/>
      <c r="J85" s="19"/>
      <c r="K85" s="19"/>
      <c r="L85" s="19"/>
      <c r="M85" s="19"/>
      <c r="N85" s="19"/>
      <c r="O85" s="19"/>
      <c r="P85" s="90"/>
      <c r="Q85" s="96"/>
    </row>
    <row r="86" spans="1:17" s="2" customFormat="1" ht="12" customHeight="1">
      <c r="A86"/>
      <c r="B86"/>
      <c r="C86"/>
      <c r="D86" s="23"/>
      <c r="E86" s="23"/>
      <c r="F86"/>
      <c r="G86"/>
      <c r="H86"/>
      <c r="I86"/>
      <c r="J86" s="19"/>
      <c r="K86" s="19"/>
      <c r="L86" s="19"/>
      <c r="M86" s="19"/>
      <c r="N86" s="19"/>
      <c r="O86" s="19"/>
      <c r="P86" s="90"/>
      <c r="Q86" s="96"/>
    </row>
    <row r="87" spans="1:17">
      <c r="Q87" s="96"/>
    </row>
    <row r="88" spans="1:17">
      <c r="Q88" s="96"/>
    </row>
    <row r="89" spans="1:17">
      <c r="Q89" s="96"/>
    </row>
    <row r="90" spans="1:17">
      <c r="Q90" s="96"/>
    </row>
    <row r="91" spans="1:17">
      <c r="Q91" s="96"/>
    </row>
    <row r="92" spans="1:17">
      <c r="Q92" s="96"/>
    </row>
    <row r="93" spans="1:17">
      <c r="Q93" s="96"/>
    </row>
    <row r="94" spans="1:17">
      <c r="Q94" s="96"/>
    </row>
    <row r="95" spans="1:17">
      <c r="Q95" s="96"/>
    </row>
    <row r="96" spans="1:17">
      <c r="Q96" s="96"/>
    </row>
    <row r="97" spans="17:17">
      <c r="Q97" s="96"/>
    </row>
    <row r="98" spans="17:17">
      <c r="Q98" s="96"/>
    </row>
    <row r="99" spans="17:17">
      <c r="Q99" s="96"/>
    </row>
    <row r="100" spans="17:17">
      <c r="Q100" s="96"/>
    </row>
    <row r="101" spans="17:17">
      <c r="Q101" s="96"/>
    </row>
    <row r="102" spans="17:17">
      <c r="Q102" s="96"/>
    </row>
    <row r="103" spans="17:17">
      <c r="Q103" s="96"/>
    </row>
    <row r="104" spans="17:17">
      <c r="Q104" s="96"/>
    </row>
    <row r="105" spans="17:17">
      <c r="Q105" s="96"/>
    </row>
    <row r="106" spans="17:17">
      <c r="Q106" s="96"/>
    </row>
    <row r="143" ht="12" customHeight="1"/>
    <row r="144" ht="12" customHeight="1"/>
    <row r="145" ht="12" customHeight="1"/>
    <row r="146" ht="12" customHeight="1"/>
    <row r="147" ht="12" customHeight="1"/>
    <row r="148" ht="12" customHeight="1"/>
    <row r="149" ht="12" customHeight="1"/>
    <row r="150" ht="12" customHeight="1"/>
    <row r="151" ht="12" customHeight="1"/>
    <row r="152" ht="12" customHeight="1"/>
    <row r="153" ht="12" customHeight="1"/>
    <row r="154" ht="12" customHeight="1"/>
    <row r="155" ht="12" customHeight="1"/>
    <row r="156" ht="12" customHeight="1"/>
    <row r="157" ht="12" customHeight="1"/>
    <row r="158" ht="12" customHeight="1"/>
    <row r="159" ht="12" customHeight="1"/>
    <row r="160" ht="12" customHeight="1"/>
    <row r="161" ht="12" customHeight="1"/>
    <row r="162" ht="12" customHeight="1"/>
    <row r="163" ht="12" customHeight="1"/>
    <row r="164" ht="12" customHeight="1"/>
    <row r="165" ht="12" customHeight="1"/>
    <row r="166" ht="12" customHeight="1"/>
    <row r="167" ht="12" customHeight="1"/>
    <row r="168" ht="12" customHeight="1"/>
    <row r="169" ht="12" customHeight="1"/>
    <row r="170" ht="12" customHeight="1"/>
    <row r="171" ht="12" customHeight="1"/>
    <row r="172" ht="12" customHeight="1"/>
    <row r="173" ht="12" customHeight="1"/>
    <row r="174" ht="12" customHeight="1"/>
    <row r="175" ht="12" customHeight="1"/>
    <row r="176" ht="12" customHeight="1"/>
    <row r="177" ht="12" customHeight="1"/>
    <row r="178" ht="12" customHeight="1"/>
    <row r="179" ht="12" customHeight="1"/>
    <row r="180" ht="12" customHeight="1"/>
    <row r="181" ht="12" customHeight="1"/>
    <row r="182" ht="12" customHeight="1"/>
    <row r="183" ht="12" customHeight="1"/>
    <row r="184" ht="12" customHeight="1"/>
    <row r="185" ht="12" customHeight="1"/>
    <row r="186" ht="12" customHeight="1"/>
    <row r="187" ht="12" customHeight="1"/>
    <row r="188" ht="12" customHeight="1"/>
    <row r="189" ht="12" customHeight="1"/>
    <row r="190" ht="12" customHeight="1"/>
    <row r="191" ht="12" customHeight="1"/>
    <row r="192" ht="12" customHeight="1"/>
  </sheetData>
  <mergeCells count="44">
    <mergeCell ref="D37:E37"/>
    <mergeCell ref="D39:E39"/>
    <mergeCell ref="H39:I39"/>
    <mergeCell ref="D33:E33"/>
    <mergeCell ref="D34:E34"/>
    <mergeCell ref="D35:E35"/>
    <mergeCell ref="D38:E38"/>
    <mergeCell ref="D31:E31"/>
    <mergeCell ref="D36:E36"/>
    <mergeCell ref="H36:I36"/>
    <mergeCell ref="D27:E27"/>
    <mergeCell ref="D28:E28"/>
    <mergeCell ref="D29:E29"/>
    <mergeCell ref="H31:I31"/>
    <mergeCell ref="D32:E32"/>
    <mergeCell ref="D30:E30"/>
    <mergeCell ref="D25:E25"/>
    <mergeCell ref="D26:E26"/>
    <mergeCell ref="D15:E15"/>
    <mergeCell ref="D16:E16"/>
    <mergeCell ref="D17:E17"/>
    <mergeCell ref="D18:E18"/>
    <mergeCell ref="D19:E19"/>
    <mergeCell ref="D20:E20"/>
    <mergeCell ref="D14:E14"/>
    <mergeCell ref="D21:E21"/>
    <mergeCell ref="D22:E22"/>
    <mergeCell ref="D23:E23"/>
    <mergeCell ref="D24:E24"/>
    <mergeCell ref="D6:E6"/>
    <mergeCell ref="H6:I6"/>
    <mergeCell ref="D12:E12"/>
    <mergeCell ref="D13:E13"/>
    <mergeCell ref="H13:I13"/>
    <mergeCell ref="D7:E7"/>
    <mergeCell ref="D8:E8"/>
    <mergeCell ref="D9:E9"/>
    <mergeCell ref="D10:E10"/>
    <mergeCell ref="D11:E11"/>
    <mergeCell ref="D1:E1"/>
    <mergeCell ref="D4:E4"/>
    <mergeCell ref="H4:I4"/>
    <mergeCell ref="D5:E5"/>
    <mergeCell ref="H5:I5"/>
  </mergeCells>
  <conditionalFormatting sqref="M7:M12">
    <cfRule type="cellIs" dxfId="250" priority="1" stopIfTrue="1" operator="lessThanOrEqual">
      <formula>$L7</formula>
    </cfRule>
    <cfRule type="cellIs" dxfId="249" priority="2" operator="greaterThan">
      <formula>L7</formula>
    </cfRule>
  </conditionalFormatting>
  <conditionalFormatting sqref="M14:M30 M32:M35 M37:M38">
    <cfRule type="cellIs" dxfId="248" priority="13" stopIfTrue="1" operator="lessThanOrEqual">
      <formula>$L14</formula>
    </cfRule>
    <cfRule type="cellIs" dxfId="247" priority="14" operator="greaterThan">
      <formula>L14</formula>
    </cfRule>
  </conditionalFormatting>
  <pageMargins left="0.7" right="0.7" top="0.75" bottom="0.75" header="0.3" footer="0.3"/>
  <pageSetup paperSize="3" fitToHeight="0" orientation="landscape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6F447446-2001-4BF2-8120-31D9B59A86DD}">
          <x14:formula1>
            <xm:f>Bolts!$A:$A</xm:f>
          </x14:formula1>
          <xm:sqref>C32:C35</xm:sqref>
        </x14:dataValidation>
        <x14:dataValidation type="list" allowBlank="1" showInputMessage="1" showErrorMessage="1" xr:uid="{14375DCF-9427-4D8E-88C3-E7526FA7FA4E}">
          <x14:formula1>
            <xm:f>Assemblies!$E:$E</xm:f>
          </x14:formula1>
          <xm:sqref>C5</xm:sqref>
        </x14:dataValidation>
        <x14:dataValidation type="list" allowBlank="1" showInputMessage="1" showErrorMessage="1" xr:uid="{AD77CECC-4F13-47C7-9D84-99DD4CE645A8}">
          <x14:formula1>
            <xm:f>Purchased!$A:$A</xm:f>
          </x14:formula1>
          <xm:sqref>C14:C30</xm:sqref>
        </x14:dataValidation>
        <x14:dataValidation type="list" allowBlank="1" showInputMessage="1" showErrorMessage="1" xr:uid="{FCD4F545-36A6-4452-985D-8E8A4390E290}">
          <x14:formula1>
            <xm:f>Extrusion!$B:$B</xm:f>
          </x14:formula1>
          <xm:sqref>C37:C38</xm:sqref>
        </x14:dataValidation>
        <x14:dataValidation type="list" allowBlank="1" showInputMessage="1" showErrorMessage="1" xr:uid="{D6BD6576-D830-4C25-A302-9DA9DE768532}">
          <x14:formula1>
            <xm:f>Machined!$C:$C</xm:f>
          </x14:formula1>
          <xm:sqref>C7:C12</xm:sqref>
        </x14:dataValidation>
      </x14:dataValidations>
    </ext>
  </extLst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0A04F-610C-451B-A6B9-461E83BAE23B}">
  <sheetPr codeName="Sheet151">
    <tabColor theme="3" tint="0.59999389629810485"/>
    <pageSetUpPr fitToPage="1"/>
  </sheetPr>
  <dimension ref="A1:Q176"/>
  <sheetViews>
    <sheetView topLeftCell="F1" zoomScaleNormal="100" workbookViewId="0">
      <selection activeCell="R14" sqref="R14"/>
    </sheetView>
  </sheetViews>
  <sheetFormatPr defaultColWidth="9.140625" defaultRowHeight="15"/>
  <cols>
    <col min="1" max="1" width="5.7109375" customWidth="1"/>
    <col min="2" max="2" width="5.42578125" bestFit="1" customWidth="1"/>
    <col min="3" max="3" width="30.7109375" customWidth="1"/>
    <col min="4" max="5" width="20.7109375" style="23" customWidth="1"/>
    <col min="6" max="6" width="16.85546875" bestFit="1" customWidth="1"/>
    <col min="7" max="7" width="9.7109375" customWidth="1"/>
    <col min="8" max="8" width="8.7109375" customWidth="1"/>
    <col min="9" max="9" width="20.7109375" customWidth="1"/>
    <col min="10" max="13" width="11.7109375" style="19" customWidth="1"/>
    <col min="14" max="14" width="11.85546875" style="19" bestFit="1" customWidth="1"/>
    <col min="15" max="15" width="7.7109375" style="19" customWidth="1"/>
    <col min="16" max="16" width="10.7109375" style="90" customWidth="1"/>
    <col min="17" max="17" width="10.7109375" style="97" customWidth="1"/>
  </cols>
  <sheetData>
    <row r="1" spans="1:17" s="55" customFormat="1" ht="12" customHeight="1">
      <c r="A1" s="68" t="s">
        <v>0</v>
      </c>
      <c r="B1" s="69"/>
      <c r="C1" s="69"/>
      <c r="D1" s="262" t="s">
        <v>1</v>
      </c>
      <c r="E1" s="263"/>
      <c r="F1" s="70"/>
      <c r="G1" s="69"/>
      <c r="H1" s="70"/>
      <c r="I1" s="71"/>
      <c r="J1" s="72"/>
      <c r="K1" s="72"/>
      <c r="L1" s="72"/>
      <c r="M1" s="72"/>
      <c r="N1" s="72"/>
      <c r="O1" s="72"/>
      <c r="P1" s="85"/>
      <c r="Q1" s="91"/>
    </row>
    <row r="2" spans="1:17" s="55" customFormat="1" ht="12" customHeight="1">
      <c r="A2" s="74" t="s">
        <v>48</v>
      </c>
      <c r="B2" s="58"/>
      <c r="C2" s="57" t="e">
        <f ca="1">VLOOKUP(E3,Assemblies!B:F,4,0)</f>
        <v>#VALUE!</v>
      </c>
      <c r="D2" s="75" t="s">
        <v>3</v>
      </c>
      <c r="E2" s="76" t="e">
        <f ca="1">'GF12'!E2</f>
        <v>#VALUE!</v>
      </c>
      <c r="F2" s="77" t="s">
        <v>4</v>
      </c>
      <c r="G2" s="58" t="str">
        <f>'GF12'!G2</f>
        <v>GH</v>
      </c>
      <c r="H2" s="77" t="s">
        <v>6</v>
      </c>
      <c r="I2" s="59">
        <f>'GF12'!I2</f>
        <v>44775</v>
      </c>
      <c r="J2" s="39"/>
      <c r="K2" s="40" t="s">
        <v>49</v>
      </c>
      <c r="L2" s="41" t="e">
        <f ca="1">VLOOKUP(C2,Assemblies!E:G,3,0)</f>
        <v>#VALUE!</v>
      </c>
      <c r="M2" s="78"/>
      <c r="N2" s="78"/>
      <c r="O2" s="78"/>
      <c r="P2" s="86"/>
      <c r="Q2" s="92"/>
    </row>
    <row r="3" spans="1:17" s="55" customFormat="1" ht="12" customHeight="1" thickBot="1">
      <c r="A3" s="74" t="s">
        <v>7</v>
      </c>
      <c r="B3" s="58"/>
      <c r="C3" s="57" t="e">
        <f ca="1">VLOOKUP(E3,Assemblies!B:F,5,0)</f>
        <v>#VALUE!</v>
      </c>
      <c r="D3" s="75" t="s">
        <v>50</v>
      </c>
      <c r="E3" s="76" t="e">
        <f ca="1">MID(CELL("filename",A1),FIND("]",CELL("filename",A1))+1,256)</f>
        <v>#VALUE!</v>
      </c>
      <c r="F3" s="77" t="s">
        <v>11</v>
      </c>
      <c r="G3" s="58" t="str">
        <f>'GF12'!G3</f>
        <v>GH</v>
      </c>
      <c r="H3" s="77" t="s">
        <v>6</v>
      </c>
      <c r="I3" s="59">
        <f>'GF12'!I3</f>
        <v>44775</v>
      </c>
      <c r="J3" s="78"/>
      <c r="K3" s="78"/>
      <c r="L3" s="78"/>
      <c r="M3" s="78"/>
      <c r="N3" s="78"/>
      <c r="O3" s="78"/>
      <c r="P3" s="86"/>
      <c r="Q3" s="92"/>
    </row>
    <row r="4" spans="1:17" s="56" customFormat="1" ht="12.75" customHeight="1" thickBot="1">
      <c r="A4" s="80" t="s">
        <v>12</v>
      </c>
      <c r="B4" s="81" t="s">
        <v>13</v>
      </c>
      <c r="C4" s="81" t="s">
        <v>14</v>
      </c>
      <c r="D4" s="270" t="s">
        <v>15</v>
      </c>
      <c r="E4" s="271"/>
      <c r="F4" s="104" t="s">
        <v>16</v>
      </c>
      <c r="G4" s="81" t="s">
        <v>17</v>
      </c>
      <c r="H4" s="260" t="s">
        <v>18</v>
      </c>
      <c r="I4" s="261"/>
      <c r="J4" s="81" t="s">
        <v>51</v>
      </c>
      <c r="K4" s="81" t="s">
        <v>20</v>
      </c>
      <c r="L4" s="81" t="s">
        <v>21</v>
      </c>
      <c r="M4" s="81" t="s">
        <v>52</v>
      </c>
      <c r="N4" s="81" t="s">
        <v>22</v>
      </c>
      <c r="O4" s="81" t="s">
        <v>53</v>
      </c>
      <c r="P4" s="107" t="s">
        <v>26</v>
      </c>
      <c r="Q4" s="82" t="s">
        <v>27</v>
      </c>
    </row>
    <row r="5" spans="1:17" s="2" customFormat="1" ht="12.75" customHeight="1">
      <c r="A5" s="127">
        <v>1</v>
      </c>
      <c r="B5" s="21">
        <v>1</v>
      </c>
      <c r="C5" s="108" t="s">
        <v>1179</v>
      </c>
      <c r="D5" s="277" t="str">
        <f>VLOOKUP(C5,Machined!C:Q,2,0)</f>
        <v>Toe Roller Post RH</v>
      </c>
      <c r="E5" s="278"/>
      <c r="F5" s="131" t="str">
        <f>VLOOKUP(C5,Machined!C:R,7,0)</f>
        <v>6061-T6 Alum</v>
      </c>
      <c r="G5" s="131" t="str">
        <f>VLOOKUP(C5,Machined!C:R,10,0)</f>
        <v>FRONTIER</v>
      </c>
      <c r="H5" s="131">
        <f>VLOOKUP(C5,Machined!C:R,11,0)</f>
        <v>0</v>
      </c>
      <c r="I5" s="131"/>
      <c r="J5" s="42">
        <f>VLOOKUP(C5,Machined!C:R,12,0)</f>
        <v>45201</v>
      </c>
      <c r="K5" s="42">
        <f>VLOOKUP(C5,Machined!C:R,13,0)</f>
        <v>45202</v>
      </c>
      <c r="L5" s="42">
        <f>VLOOKUP(C5,Machined!C:R,14,0)</f>
        <v>45216</v>
      </c>
      <c r="M5" s="42">
        <f>VLOOKUP(C5,Machined!C:R,15,0)</f>
        <v>45216</v>
      </c>
      <c r="N5" s="43">
        <f>VLOOKUP(C5,Machined!C:R,16,0)</f>
        <v>55179</v>
      </c>
      <c r="O5" s="43" t="e">
        <f t="shared" ref="O5:O10" ca="1" si="0">B5*$L$2</f>
        <v>#VALUE!</v>
      </c>
      <c r="P5" s="47">
        <f>IFERROR(VLOOKUP(C5,Machined!C:F,3,0),"")</f>
        <v>0</v>
      </c>
      <c r="Q5" s="48">
        <f t="shared" ref="Q5:Q10" si="1">IFERROR(B5*P5,"")</f>
        <v>0</v>
      </c>
    </row>
    <row r="6" spans="1:17" s="2" customFormat="1" ht="12.75" customHeight="1">
      <c r="A6" s="127">
        <f>A5+1</f>
        <v>2</v>
      </c>
      <c r="B6" s="21">
        <v>1</v>
      </c>
      <c r="C6" s="108" t="s">
        <v>1180</v>
      </c>
      <c r="D6" s="277" t="str">
        <f>VLOOKUP(C6,Machined!C:Q,2,0)</f>
        <v>Toe Roller Post LH</v>
      </c>
      <c r="E6" s="278"/>
      <c r="F6" s="131" t="str">
        <f>VLOOKUP(C6,Machined!C:R,7,0)</f>
        <v>6061-T6 Alum</v>
      </c>
      <c r="G6" s="131" t="str">
        <f>VLOOKUP(C6,Machined!C:R,10,0)</f>
        <v>FRONTIER</v>
      </c>
      <c r="H6" s="131">
        <f>VLOOKUP(C6,Machined!C:R,11,0)</f>
        <v>0</v>
      </c>
      <c r="I6" s="131"/>
      <c r="J6" s="42">
        <f>VLOOKUP(C6,Machined!C:R,12,0)</f>
        <v>45201</v>
      </c>
      <c r="K6" s="42">
        <f>VLOOKUP(C6,Machined!C:R,13,0)</f>
        <v>45202</v>
      </c>
      <c r="L6" s="42">
        <f>VLOOKUP(C6,Machined!C:R,14,0)</f>
        <v>45216</v>
      </c>
      <c r="M6" s="42">
        <f>VLOOKUP(C6,Machined!C:R,15,0)</f>
        <v>45216</v>
      </c>
      <c r="N6" s="43">
        <f>VLOOKUP(C6,Machined!C:R,16,0)</f>
        <v>55179</v>
      </c>
      <c r="O6" s="43" t="e">
        <f t="shared" ca="1" si="0"/>
        <v>#VALUE!</v>
      </c>
      <c r="P6" s="47">
        <f>IFERROR(VLOOKUP(C6,Machined!C:F,3,0),"")</f>
        <v>0</v>
      </c>
      <c r="Q6" s="48">
        <f t="shared" si="1"/>
        <v>0</v>
      </c>
    </row>
    <row r="7" spans="1:17" s="2" customFormat="1" ht="12.75" customHeight="1">
      <c r="A7" s="127">
        <f t="shared" ref="A7:A10" si="2">A6+1</f>
        <v>3</v>
      </c>
      <c r="B7" s="21">
        <v>2</v>
      </c>
      <c r="C7" s="108" t="s">
        <v>1181</v>
      </c>
      <c r="D7" s="277" t="str">
        <f>VLOOKUP(C7,Machined!C:Q,2,0)</f>
        <v>Toe Roller Post Mount</v>
      </c>
      <c r="E7" s="278"/>
      <c r="F7" s="131" t="str">
        <f>VLOOKUP(C7,Machined!C:R,7,0)</f>
        <v>6061-T6 Alum</v>
      </c>
      <c r="G7" s="131" t="str">
        <f>VLOOKUP(C7,Machined!C:R,10,0)</f>
        <v>BIG SKY</v>
      </c>
      <c r="H7" s="131">
        <f>VLOOKUP(C7,Machined!C:R,11,0)</f>
        <v>0</v>
      </c>
      <c r="I7" s="131"/>
      <c r="J7" s="42">
        <f>VLOOKUP(C7,Machined!C:R,12,0)</f>
        <v>45201</v>
      </c>
      <c r="K7" s="42">
        <f>VLOOKUP(C7,Machined!C:R,13,0)</f>
        <v>45202</v>
      </c>
      <c r="L7" s="42">
        <f>VLOOKUP(C7,Machined!C:R,14,0)</f>
        <v>45216</v>
      </c>
      <c r="M7" s="42">
        <f>VLOOKUP(C7,Machined!C:R,15,0)</f>
        <v>45216</v>
      </c>
      <c r="N7" s="43">
        <f>VLOOKUP(C7,Machined!C:R,16,0)</f>
        <v>55178</v>
      </c>
      <c r="O7" s="43" t="e">
        <f t="shared" ca="1" si="0"/>
        <v>#VALUE!</v>
      </c>
      <c r="P7" s="47">
        <f>IFERROR(VLOOKUP(C7,Machined!C:F,3,0),"")</f>
        <v>0</v>
      </c>
      <c r="Q7" s="48">
        <f t="shared" si="1"/>
        <v>0</v>
      </c>
    </row>
    <row r="8" spans="1:17" s="2" customFormat="1" ht="12.75" customHeight="1">
      <c r="A8" s="127">
        <f t="shared" si="2"/>
        <v>4</v>
      </c>
      <c r="B8" s="21">
        <v>2</v>
      </c>
      <c r="C8" s="108" t="s">
        <v>1182</v>
      </c>
      <c r="D8" s="277" t="str">
        <f>VLOOKUP(C8,Machined!C:Q,2,0)</f>
        <v>Toe Roller Weight</v>
      </c>
      <c r="E8" s="278"/>
      <c r="F8" s="131" t="str">
        <f>VLOOKUP(C8,Machined!C:R,7,0)</f>
        <v>1018 CRS</v>
      </c>
      <c r="G8" s="131" t="str">
        <f>VLOOKUP(C8,Machined!C:R,10,0)</f>
        <v>BIG SKY</v>
      </c>
      <c r="H8" s="131">
        <f>VLOOKUP(C8,Machined!C:R,11,0)</f>
        <v>0</v>
      </c>
      <c r="I8" s="131"/>
      <c r="J8" s="42">
        <f>VLOOKUP(C8,Machined!C:R,12,0)</f>
        <v>45201</v>
      </c>
      <c r="K8" s="42">
        <f>VLOOKUP(C8,Machined!C:R,13,0)</f>
        <v>45202</v>
      </c>
      <c r="L8" s="42">
        <f>VLOOKUP(C8,Machined!C:R,14,0)</f>
        <v>45216</v>
      </c>
      <c r="M8" s="42">
        <f>VLOOKUP(C8,Machined!C:R,15,0)</f>
        <v>45216</v>
      </c>
      <c r="N8" s="43">
        <f>VLOOKUP(C8,Machined!C:R,16,0)</f>
        <v>55178</v>
      </c>
      <c r="O8" s="43" t="e">
        <f t="shared" ca="1" si="0"/>
        <v>#VALUE!</v>
      </c>
      <c r="P8" s="47">
        <f>IFERROR(VLOOKUP(C8,Machined!C:F,3,0),"")</f>
        <v>0</v>
      </c>
      <c r="Q8" s="48">
        <f t="shared" si="1"/>
        <v>0</v>
      </c>
    </row>
    <row r="9" spans="1:17" s="2" customFormat="1" ht="12.75" customHeight="1">
      <c r="A9" s="127">
        <f t="shared" si="2"/>
        <v>5</v>
      </c>
      <c r="B9" s="21">
        <v>2</v>
      </c>
      <c r="C9" s="108" t="s">
        <v>1183</v>
      </c>
      <c r="D9" s="277" t="str">
        <f>VLOOKUP(C9,Machined!C:Q,2,0)</f>
        <v>Pivot Shaft</v>
      </c>
      <c r="E9" s="278"/>
      <c r="F9" s="131" t="str">
        <f>VLOOKUP(C9,Machined!C:R,7,0)</f>
        <v>303 SS - TG&amp;P</v>
      </c>
      <c r="G9" s="131" t="str">
        <f>VLOOKUP(C9,Machined!C:R,10,0)</f>
        <v>BIG SKY</v>
      </c>
      <c r="H9" s="131" t="str">
        <f>VLOOKUP(C9,Machined!C:R,11,0)</f>
        <v>material supplied by NuLine</v>
      </c>
      <c r="I9" s="131"/>
      <c r="J9" s="42">
        <f>VLOOKUP(C9,Machined!C:R,12,0)</f>
        <v>45201</v>
      </c>
      <c r="K9" s="42">
        <f>VLOOKUP(C9,Machined!C:R,13,0)</f>
        <v>45202</v>
      </c>
      <c r="L9" s="42">
        <f>VLOOKUP(C9,Machined!C:R,14,0)</f>
        <v>45216</v>
      </c>
      <c r="M9" s="42">
        <f>VLOOKUP(C9,Machined!C:R,15,0)</f>
        <v>45216</v>
      </c>
      <c r="N9" s="43">
        <f>VLOOKUP(C9,Machined!C:R,16,0)</f>
        <v>55178</v>
      </c>
      <c r="O9" s="43" t="e">
        <f t="shared" ca="1" si="0"/>
        <v>#VALUE!</v>
      </c>
      <c r="P9" s="47">
        <f>IFERROR(VLOOKUP(C9,Machined!C:F,3,0),"")</f>
        <v>0</v>
      </c>
      <c r="Q9" s="48">
        <f t="shared" si="1"/>
        <v>0</v>
      </c>
    </row>
    <row r="10" spans="1:17" s="2" customFormat="1" ht="12.75" customHeight="1">
      <c r="A10" s="127">
        <f t="shared" si="2"/>
        <v>6</v>
      </c>
      <c r="B10" s="21">
        <v>2</v>
      </c>
      <c r="C10" s="108" t="s">
        <v>1184</v>
      </c>
      <c r="D10" s="277" t="str">
        <f>VLOOKUP(C10,Machined!C:Q,2,0)</f>
        <v>Stationary Shaft</v>
      </c>
      <c r="E10" s="278"/>
      <c r="F10" s="131" t="str">
        <f>VLOOKUP(C10,Machined!C:R,7,0)</f>
        <v>303 SS - TG&amp;P</v>
      </c>
      <c r="G10" s="131" t="str">
        <f>VLOOKUP(C10,Machined!C:R,10,0)</f>
        <v>BIG SKY</v>
      </c>
      <c r="H10" s="131" t="str">
        <f>VLOOKUP(C10,Machined!C:R,11,0)</f>
        <v>material supplied by NuLine</v>
      </c>
      <c r="I10" s="131"/>
      <c r="J10" s="42">
        <f>VLOOKUP(C10,Machined!C:R,12,0)</f>
        <v>45201</v>
      </c>
      <c r="K10" s="42">
        <f>VLOOKUP(C10,Machined!C:R,13,0)</f>
        <v>45202</v>
      </c>
      <c r="L10" s="42">
        <f>VLOOKUP(C10,Machined!C:R,14,0)</f>
        <v>45216</v>
      </c>
      <c r="M10" s="42">
        <f>VLOOKUP(C10,Machined!C:R,15,0)</f>
        <v>45216</v>
      </c>
      <c r="N10" s="43">
        <f>VLOOKUP(C10,Machined!C:R,16,0)</f>
        <v>55178</v>
      </c>
      <c r="O10" s="43" t="e">
        <f t="shared" ca="1" si="0"/>
        <v>#VALUE!</v>
      </c>
      <c r="P10" s="47">
        <f>IFERROR(VLOOKUP(C10,Machined!C:F,3,0),"")</f>
        <v>0</v>
      </c>
      <c r="Q10" s="48">
        <f t="shared" si="1"/>
        <v>0</v>
      </c>
    </row>
    <row r="11" spans="1:17" s="2" customFormat="1" ht="12.75" customHeight="1">
      <c r="A11" s="143"/>
      <c r="B11" s="26"/>
      <c r="C11" s="26"/>
      <c r="D11" s="272"/>
      <c r="E11" s="273"/>
      <c r="F11" s="26"/>
      <c r="G11" s="26"/>
      <c r="H11" s="274"/>
      <c r="I11" s="275"/>
      <c r="J11" s="27"/>
      <c r="K11" s="27"/>
      <c r="L11" s="27"/>
      <c r="M11" s="28"/>
      <c r="N11" s="29"/>
      <c r="O11" s="29"/>
      <c r="P11" s="141"/>
      <c r="Q11" s="142"/>
    </row>
    <row r="12" spans="1:17" s="2" customFormat="1" ht="12.75" customHeight="1">
      <c r="A12" s="4">
        <v>301</v>
      </c>
      <c r="B12" s="2">
        <v>4</v>
      </c>
      <c r="C12" s="114" t="s">
        <v>690</v>
      </c>
      <c r="D12" s="268" t="str">
        <f>VLOOKUP(C12,Purchased!A:B,2,0)</f>
        <v>BRX GOTO T-SLOT STONE 10 M8</v>
      </c>
      <c r="E12" s="269"/>
      <c r="F12" s="112" t="str">
        <f>VLOOKUP(C12,Purchased!A:Q,9,0)</f>
        <v>BRX</v>
      </c>
      <c r="G12" s="112" t="str">
        <f>VLOOKUP(C12,Purchased!A:Q,10,0)</f>
        <v>AAP</v>
      </c>
      <c r="H12" s="112" t="str">
        <f>VLOOKUP(C12,Purchased!A:Q,12,0)</f>
        <v xml:space="preserve">  </v>
      </c>
      <c r="I12" s="113"/>
      <c r="J12" s="44">
        <f>VLOOKUP(C12,Purchased!A:Q,13,0)</f>
        <v>45104</v>
      </c>
      <c r="K12" s="44">
        <f>VLOOKUP(C12,Purchased!A:Q,14,0)</f>
        <v>45105</v>
      </c>
      <c r="L12" s="44">
        <f>VLOOKUP(C12,Purchased!A:Q,15,0)</f>
        <v>45133</v>
      </c>
      <c r="M12" s="44">
        <f>VLOOKUP(C12,Purchased!A:Q,16,0)</f>
        <v>45133</v>
      </c>
      <c r="N12" s="45">
        <f>VLOOKUP(C12,Purchased!A:Q,17,0)</f>
        <v>54968</v>
      </c>
      <c r="O12" s="45" t="e">
        <f t="shared" ref="O12:O21" ca="1" si="3">B12*$L$2</f>
        <v>#VALUE!</v>
      </c>
      <c r="P12" s="49">
        <f>IFERROR(VLOOKUP(C12,Purchased!A:E,3,FALSE),"")</f>
        <v>0.98570000000000002</v>
      </c>
      <c r="Q12" s="50">
        <f t="shared" ref="Q12:Q15" si="4">IFERROR(B12*P12,"")</f>
        <v>3.9428000000000001</v>
      </c>
    </row>
    <row r="13" spans="1:17" s="2" customFormat="1" ht="12" customHeight="1">
      <c r="A13" s="4">
        <f>A12+1</f>
        <v>302</v>
      </c>
      <c r="B13" s="2">
        <v>4</v>
      </c>
      <c r="C13" s="114" t="s">
        <v>1185</v>
      </c>
      <c r="D13" s="268" t="str">
        <f>VLOOKUP(C13,Purchased!A:B,2,0)</f>
        <v>Adjustable handles with threaded screw GN 300-63-M8-25-SW</v>
      </c>
      <c r="E13" s="269"/>
      <c r="F13" s="112" t="str">
        <f>VLOOKUP(C13,Purchased!A:Q,9,0)</f>
        <v>Elesa</v>
      </c>
      <c r="G13" s="112" t="str">
        <f>VLOOKUP(C13,Purchased!A:Q,10,0)</f>
        <v>Elesa</v>
      </c>
      <c r="H13" s="112" t="str">
        <f>VLOOKUP(C13,Purchased!A:Q,12,0)</f>
        <v xml:space="preserve"> </v>
      </c>
      <c r="I13" s="113"/>
      <c r="J13" s="44" t="str">
        <f>VLOOKUP(C13,Purchased!A:Q,13,0)</f>
        <v>N/A</v>
      </c>
      <c r="K13" s="44">
        <f>VLOOKUP(C13,Purchased!A:Q,14,0)</f>
        <v>45196</v>
      </c>
      <c r="L13" s="44">
        <f>VLOOKUP(C13,Purchased!A:Q,15,0)</f>
        <v>45203</v>
      </c>
      <c r="M13" s="44">
        <f>VLOOKUP(C13,Purchased!A:Q,16,0)</f>
        <v>45203</v>
      </c>
      <c r="N13" s="45">
        <f>VLOOKUP(C13,Purchased!A:Q,17,0)</f>
        <v>55170</v>
      </c>
      <c r="O13" s="45" t="e">
        <f t="shared" ca="1" si="3"/>
        <v>#VALUE!</v>
      </c>
      <c r="P13" s="49">
        <f>IFERROR(VLOOKUP(C13,Purchased!A:E,3,FALSE),"")</f>
        <v>6.44</v>
      </c>
      <c r="Q13" s="50">
        <f t="shared" si="4"/>
        <v>25.76</v>
      </c>
    </row>
    <row r="14" spans="1:17" s="2" customFormat="1" ht="12" customHeight="1">
      <c r="A14" s="4">
        <f t="shared" ref="A14:A16" si="5">A13+1</f>
        <v>303</v>
      </c>
      <c r="B14" s="2">
        <v>2</v>
      </c>
      <c r="C14" s="114" t="s">
        <v>1186</v>
      </c>
      <c r="D14" s="268" t="str">
        <f>VLOOKUP(C14,Purchased!A:B,2,0)</f>
        <v>Alloy Steel Shoulder Screws 4 mm Shoulder Diameter, 30 mm Shoulder Length, M3 x 0.5 mm Thread</v>
      </c>
      <c r="E14" s="269"/>
      <c r="F14" s="112" t="str">
        <f>VLOOKUP(C14,Purchased!A:Q,9,0)</f>
        <v>MCM</v>
      </c>
      <c r="G14" s="112" t="str">
        <f>VLOOKUP(C14,Purchased!A:Q,10,0)</f>
        <v>MCM</v>
      </c>
      <c r="H14" s="112" t="str">
        <f>VLOOKUP(C14,Purchased!A:Q,12,0)</f>
        <v xml:space="preserve"> </v>
      </c>
      <c r="I14" s="113"/>
      <c r="J14" s="44" t="str">
        <f>VLOOKUP(C14,Purchased!A:Q,13,0)</f>
        <v>N/A</v>
      </c>
      <c r="K14" s="44">
        <f>VLOOKUP(C14,Purchased!A:Q,14,0)</f>
        <v>45196</v>
      </c>
      <c r="L14" s="44">
        <f>VLOOKUP(C14,Purchased!A:Q,15,0)</f>
        <v>45197</v>
      </c>
      <c r="M14" s="44">
        <f>VLOOKUP(C14,Purchased!A:Q,16,0)</f>
        <v>45197</v>
      </c>
      <c r="N14" s="45">
        <f>VLOOKUP(C14,Purchased!A:Q,17,0)</f>
        <v>55167</v>
      </c>
      <c r="O14" s="45" t="e">
        <f ca="1">B14*$L$2</f>
        <v>#VALUE!</v>
      </c>
      <c r="P14" s="49">
        <f>IFERROR(VLOOKUP(C14,Purchased!A:E,3,FALSE),"")</f>
        <v>3.2</v>
      </c>
      <c r="Q14" s="50">
        <f t="shared" si="4"/>
        <v>6.4</v>
      </c>
    </row>
    <row r="15" spans="1:17" s="2" customFormat="1" ht="12" customHeight="1">
      <c r="A15" s="4">
        <f t="shared" si="5"/>
        <v>304</v>
      </c>
      <c r="B15" s="2">
        <v>4</v>
      </c>
      <c r="C15" s="114" t="s">
        <v>1187</v>
      </c>
      <c r="D15" s="268" t="str">
        <f>VLOOKUP(C15,Purchased!A:B,2,0)</f>
        <v>Roller, Crowned 50mm OD, 25mm Thick</v>
      </c>
      <c r="E15" s="269"/>
      <c r="F15" s="112" t="str">
        <f>VLOOKUP(C15,Purchased!A:Q,9,0)</f>
        <v>MISUMI</v>
      </c>
      <c r="G15" s="112" t="str">
        <f>VLOOKUP(C15,Purchased!A:Q,10,0)</f>
        <v>MISUMI</v>
      </c>
      <c r="H15" s="112" t="str">
        <f>VLOOKUP(C15,Purchased!A:Q,12,0)</f>
        <v xml:space="preserve"> </v>
      </c>
      <c r="I15" s="113"/>
      <c r="J15" s="44" t="str">
        <f>VLOOKUP(C15,Purchased!A:Q,13,0)</f>
        <v>N/A</v>
      </c>
      <c r="K15" s="44">
        <f>VLOOKUP(C15,Purchased!A:Q,14,0)</f>
        <v>45196</v>
      </c>
      <c r="L15" s="44">
        <f>VLOOKUP(C15,Purchased!A:Q,15,0)</f>
        <v>45203</v>
      </c>
      <c r="M15" s="44">
        <f>VLOOKUP(C15,Purchased!A:Q,16,0)</f>
        <v>45205</v>
      </c>
      <c r="N15" s="45">
        <f>VLOOKUP(C15,Purchased!A:Q,17,0)</f>
        <v>55168</v>
      </c>
      <c r="O15" s="45" t="e">
        <f t="shared" ca="1" si="3"/>
        <v>#VALUE!</v>
      </c>
      <c r="P15" s="49">
        <f>IFERROR(VLOOKUP(C15,Purchased!A:E,3,FALSE),"")</f>
        <v>108.8</v>
      </c>
      <c r="Q15" s="50">
        <f t="shared" si="4"/>
        <v>435.2</v>
      </c>
    </row>
    <row r="16" spans="1:17" s="2" customFormat="1" ht="12" customHeight="1">
      <c r="A16" s="4">
        <f t="shared" si="5"/>
        <v>305</v>
      </c>
      <c r="B16" s="2">
        <v>8</v>
      </c>
      <c r="C16" s="114" t="s">
        <v>1188</v>
      </c>
      <c r="D16" s="268" t="str">
        <f>VLOOKUP(C16,Purchased!A:B,2,0)</f>
        <v>External Retaining Ring for 12 mm OD, Zinc-Chromate-Plated Spring Steel, 100pk</v>
      </c>
      <c r="E16" s="269"/>
      <c r="F16" s="112" t="str">
        <f>VLOOKUP(C16,Purchased!A:Q,9,0)</f>
        <v>MCM</v>
      </c>
      <c r="G16" s="112" t="str">
        <f>VLOOKUP(C16,Purchased!A:Q,10,0)</f>
        <v>MCM</v>
      </c>
      <c r="H16" s="112" t="str">
        <f>VLOOKUP(C16,Purchased!A:Q,12,0)</f>
        <v xml:space="preserve"> </v>
      </c>
      <c r="I16" s="113"/>
      <c r="J16" s="44" t="str">
        <f>VLOOKUP(C16,Purchased!A:Q,13,0)</f>
        <v>N/A</v>
      </c>
      <c r="K16" s="44">
        <f>VLOOKUP(C16,Purchased!A:Q,14,0)</f>
        <v>45196</v>
      </c>
      <c r="L16" s="44">
        <f>VLOOKUP(C16,Purchased!A:Q,15,0)</f>
        <v>45197</v>
      </c>
      <c r="M16" s="44">
        <f>VLOOKUP(C16,Purchased!A:Q,16,0)</f>
        <v>45197</v>
      </c>
      <c r="N16" s="45">
        <f>VLOOKUP(C16,Purchased!A:Q,17,0)</f>
        <v>55167</v>
      </c>
      <c r="O16" s="45" t="e">
        <f t="shared" ca="1" si="3"/>
        <v>#VALUE!</v>
      </c>
      <c r="P16" s="49">
        <f>IFERROR(VLOOKUP(C16,Purchased!A:E,3,FALSE),"")</f>
        <v>11.77</v>
      </c>
      <c r="Q16" s="50">
        <f>IFERROR(B16*P16,"")</f>
        <v>94.16</v>
      </c>
    </row>
    <row r="17" spans="1:17" s="2" customFormat="1" ht="12.75" customHeight="1">
      <c r="A17" s="25"/>
      <c r="B17" s="26"/>
      <c r="C17" s="26"/>
      <c r="D17" s="272"/>
      <c r="E17" s="273"/>
      <c r="F17" s="26"/>
      <c r="G17" s="26"/>
      <c r="H17" s="274"/>
      <c r="I17" s="275"/>
      <c r="J17" s="27"/>
      <c r="K17" s="27"/>
      <c r="L17" s="27"/>
      <c r="M17" s="28"/>
      <c r="N17" s="29"/>
      <c r="O17" s="29" t="e">
        <f t="shared" ca="1" si="3"/>
        <v>#VALUE!</v>
      </c>
      <c r="P17" s="141"/>
      <c r="Q17" s="142"/>
    </row>
    <row r="18" spans="1:17" s="2" customFormat="1" ht="12.75" customHeight="1">
      <c r="A18" s="4">
        <v>501</v>
      </c>
      <c r="B18" s="2">
        <v>2</v>
      </c>
      <c r="C18" s="110" t="s">
        <v>337</v>
      </c>
      <c r="D18" s="268"/>
      <c r="E18" s="276"/>
      <c r="F18" s="112" t="str">
        <f>VLOOKUP(C18,Bolts!A:L,5,0)</f>
        <v xml:space="preserve">  </v>
      </c>
      <c r="G18" s="112" t="str">
        <f>VLOOKUP(C18,Bolts!A:L,6,0)</f>
        <v>Monroe Fasteners</v>
      </c>
      <c r="H18" s="112" t="str">
        <f>VLOOKUP(C18,Bolts!A:L,7,0)</f>
        <v xml:space="preserve">  </v>
      </c>
      <c r="I18" s="112"/>
      <c r="J18" s="44" t="str">
        <f>VLOOKUP(C18,Bolts!A:L,8,0)</f>
        <v xml:space="preserve"> </v>
      </c>
      <c r="K18" s="44" t="str">
        <f>VLOOKUP(C18,Bolts!A:L,9,0)</f>
        <v xml:space="preserve"> </v>
      </c>
      <c r="L18" s="44" t="str">
        <f>VLOOKUP(C18,Bolts!A:L,10,0)</f>
        <v xml:space="preserve"> </v>
      </c>
      <c r="M18" s="44" t="str">
        <f>VLOOKUP(C18,Bolts!A:L,11,0)</f>
        <v xml:space="preserve"> </v>
      </c>
      <c r="N18" s="45" t="str">
        <f>VLOOKUP(C18,Bolts!A:L,12,0)</f>
        <v xml:space="preserve"> </v>
      </c>
      <c r="O18" s="45" t="e">
        <f t="shared" ref="O18:O20" ca="1" si="6">B18*$L$2</f>
        <v>#VALUE!</v>
      </c>
      <c r="P18" s="49" t="str">
        <f>IFERROR(VLOOKUP(C18,Bolts!A:B,2,FALSE),"")</f>
        <v xml:space="preserve"> </v>
      </c>
      <c r="Q18" s="50" t="str">
        <f t="shared" ref="Q18:Q20" si="7">IFERROR(B18*P18,"")</f>
        <v/>
      </c>
    </row>
    <row r="19" spans="1:17" s="2" customFormat="1" ht="12.75" customHeight="1">
      <c r="A19" s="4">
        <f t="shared" ref="A19:A20" si="8">A18+1</f>
        <v>502</v>
      </c>
      <c r="B19" s="2">
        <v>4</v>
      </c>
      <c r="C19" s="110" t="s">
        <v>432</v>
      </c>
      <c r="D19" s="268"/>
      <c r="E19" s="276"/>
      <c r="F19" s="112" t="str">
        <f>VLOOKUP(C19,Bolts!A:L,5,0)</f>
        <v xml:space="preserve">  </v>
      </c>
      <c r="G19" s="112" t="str">
        <f>VLOOKUP(C19,Bolts!A:L,6,0)</f>
        <v>Monroe Fasteners</v>
      </c>
      <c r="H19" s="112" t="str">
        <f>VLOOKUP(C19,Bolts!A:L,7,0)</f>
        <v xml:space="preserve">  </v>
      </c>
      <c r="I19" s="112"/>
      <c r="J19" s="44" t="str">
        <f>VLOOKUP(C19,Bolts!A:L,8,0)</f>
        <v xml:space="preserve"> </v>
      </c>
      <c r="K19" s="44" t="str">
        <f>VLOOKUP(C19,Bolts!A:L,9,0)</f>
        <v xml:space="preserve"> </v>
      </c>
      <c r="L19" s="44" t="str">
        <f>VLOOKUP(C19,Bolts!A:L,10,0)</f>
        <v xml:space="preserve"> </v>
      </c>
      <c r="M19" s="44" t="str">
        <f>VLOOKUP(C19,Bolts!A:L,11,0)</f>
        <v xml:space="preserve"> </v>
      </c>
      <c r="N19" s="45" t="str">
        <f>VLOOKUP(C19,Bolts!A:L,12,0)</f>
        <v xml:space="preserve"> </v>
      </c>
      <c r="O19" s="45" t="e">
        <f t="shared" ca="1" si="6"/>
        <v>#VALUE!</v>
      </c>
      <c r="P19" s="49" t="str">
        <f>IFERROR(VLOOKUP(C19,Bolts!A:B,2,FALSE),"")</f>
        <v xml:space="preserve"> </v>
      </c>
      <c r="Q19" s="50" t="str">
        <f t="shared" si="7"/>
        <v/>
      </c>
    </row>
    <row r="20" spans="1:17" s="2" customFormat="1" ht="12" customHeight="1">
      <c r="A20" s="4">
        <f t="shared" si="8"/>
        <v>503</v>
      </c>
      <c r="B20" s="2">
        <v>4</v>
      </c>
      <c r="C20" s="110" t="s">
        <v>351</v>
      </c>
      <c r="D20" s="268"/>
      <c r="E20" s="276"/>
      <c r="F20" s="112" t="str">
        <f>VLOOKUP(C20,Bolts!A:L,5,0)</f>
        <v xml:space="preserve">  </v>
      </c>
      <c r="G20" s="112" t="str">
        <f>VLOOKUP(C20,Bolts!A:L,6,0)</f>
        <v>Monroe Fasteners</v>
      </c>
      <c r="H20" s="112" t="str">
        <f>VLOOKUP(C20,Bolts!A:L,7,0)</f>
        <v xml:space="preserve">  </v>
      </c>
      <c r="I20" s="112"/>
      <c r="J20" s="44" t="str">
        <f>VLOOKUP(C20,Bolts!A:L,8,0)</f>
        <v xml:space="preserve"> </v>
      </c>
      <c r="K20" s="44" t="str">
        <f>VLOOKUP(C20,Bolts!A:L,9,0)</f>
        <v xml:space="preserve"> </v>
      </c>
      <c r="L20" s="44" t="str">
        <f>VLOOKUP(C20,Bolts!A:L,10,0)</f>
        <v xml:space="preserve"> </v>
      </c>
      <c r="M20" s="44" t="str">
        <f>VLOOKUP(C20,Bolts!A:L,11,0)</f>
        <v xml:space="preserve"> </v>
      </c>
      <c r="N20" s="45" t="str">
        <f>VLOOKUP(C20,Bolts!A:L,12,0)</f>
        <v xml:space="preserve"> </v>
      </c>
      <c r="O20" s="45" t="e">
        <f t="shared" ca="1" si="6"/>
        <v>#VALUE!</v>
      </c>
      <c r="P20" s="49" t="str">
        <f>IFERROR(VLOOKUP(C20,Bolts!A:B,2,FALSE),"")</f>
        <v xml:space="preserve"> </v>
      </c>
      <c r="Q20" s="50" t="str">
        <f t="shared" si="7"/>
        <v/>
      </c>
    </row>
    <row r="21" spans="1:17" s="2" customFormat="1" ht="12.75" customHeight="1">
      <c r="A21" s="4">
        <v>504</v>
      </c>
      <c r="B21" s="2">
        <v>2</v>
      </c>
      <c r="C21" s="110" t="s">
        <v>971</v>
      </c>
      <c r="D21" s="268"/>
      <c r="E21" s="276"/>
      <c r="F21" s="112" t="str">
        <f>VLOOKUP(C21,Bolts!A:L,5,0)</f>
        <v xml:space="preserve">  </v>
      </c>
      <c r="G21" s="112" t="str">
        <f>VLOOKUP(C21,Bolts!A:L,6,0)</f>
        <v>Monroe Fasteners</v>
      </c>
      <c r="H21" s="112" t="str">
        <f>VLOOKUP(C21,Bolts!A:L,7,0)</f>
        <v xml:space="preserve">  </v>
      </c>
      <c r="I21" s="112"/>
      <c r="J21" s="44" t="str">
        <f>VLOOKUP(C21,Bolts!A:L,8,0)</f>
        <v xml:space="preserve"> </v>
      </c>
      <c r="K21" s="44" t="str">
        <f>VLOOKUP(C21,Bolts!A:L,9,0)</f>
        <v xml:space="preserve"> </v>
      </c>
      <c r="L21" s="44" t="str">
        <f>VLOOKUP(C21,Bolts!A:L,10,0)</f>
        <v xml:space="preserve"> </v>
      </c>
      <c r="M21" s="44" t="str">
        <f>VLOOKUP(C21,Bolts!A:L,11,0)</f>
        <v xml:space="preserve"> </v>
      </c>
      <c r="N21" s="45" t="str">
        <f>VLOOKUP(C21,Bolts!A:L,12,0)</f>
        <v xml:space="preserve"> </v>
      </c>
      <c r="O21" s="45" t="e">
        <f t="shared" ca="1" si="3"/>
        <v>#VALUE!</v>
      </c>
      <c r="P21" s="49" t="str">
        <f>IFERROR(VLOOKUP(C21,Bolts!A:B,2,FALSE),"")</f>
        <v xml:space="preserve"> </v>
      </c>
      <c r="Q21" s="50" t="str">
        <f t="shared" ref="Q21" si="9">IFERROR(B21*P21,"")</f>
        <v/>
      </c>
    </row>
    <row r="22" spans="1:17" s="2" customFormat="1" ht="12.75" customHeight="1" thickBot="1">
      <c r="A22" s="4">
        <v>505</v>
      </c>
      <c r="B22" s="2">
        <v>4</v>
      </c>
      <c r="C22" s="110" t="s">
        <v>1189</v>
      </c>
      <c r="D22" s="268"/>
      <c r="E22" s="276"/>
      <c r="F22" s="112">
        <f>VLOOKUP(C22,Bolts!A:L,5,0)</f>
        <v>0</v>
      </c>
      <c r="G22" s="112">
        <f>VLOOKUP(C22,Bolts!A:L,6,0)</f>
        <v>0</v>
      </c>
      <c r="H22" s="112" t="str">
        <f>VLOOKUP(C22,Bolts!A:L,7,0)</f>
        <v>in NuLine stock</v>
      </c>
      <c r="I22" s="112"/>
      <c r="J22" s="44">
        <f>VLOOKUP(C22,Bolts!A:L,8,0)</f>
        <v>0</v>
      </c>
      <c r="K22" s="44">
        <f>VLOOKUP(C22,Bolts!A:L,9,0)</f>
        <v>0</v>
      </c>
      <c r="L22" s="44">
        <f>VLOOKUP(C22,Bolts!A:L,10,0)</f>
        <v>0</v>
      </c>
      <c r="M22" s="44">
        <f>VLOOKUP(C22,Bolts!A:L,11,0)</f>
        <v>0</v>
      </c>
      <c r="N22" s="45">
        <f>VLOOKUP(C22,Bolts!A:L,12,0)</f>
        <v>0</v>
      </c>
      <c r="O22" s="45" t="e">
        <f t="shared" ref="O22" ca="1" si="10">B22*$L$2</f>
        <v>#VALUE!</v>
      </c>
      <c r="P22" s="49">
        <f>IFERROR(VLOOKUP(C22,Bolts!A:B,2,FALSE),"")</f>
        <v>0</v>
      </c>
      <c r="Q22" s="50">
        <f t="shared" ref="Q22" si="11">IFERROR(B22*P22,"")</f>
        <v>0</v>
      </c>
    </row>
    <row r="23" spans="1:17" s="2" customFormat="1" ht="12.75" customHeight="1" thickBot="1">
      <c r="A23" s="34"/>
      <c r="B23" s="35"/>
      <c r="C23" s="35"/>
      <c r="D23" s="256"/>
      <c r="E23" s="257"/>
      <c r="F23" s="35"/>
      <c r="G23" s="35"/>
      <c r="H23" s="294"/>
      <c r="I23" s="295"/>
      <c r="J23" s="36"/>
      <c r="K23" s="36"/>
      <c r="L23" s="36"/>
      <c r="M23" s="37"/>
      <c r="N23" s="38"/>
      <c r="O23" s="38"/>
      <c r="P23" s="89" t="s">
        <v>43</v>
      </c>
      <c r="Q23" s="94">
        <f>SUM(Q5:Q22)</f>
        <v>565.46280000000002</v>
      </c>
    </row>
    <row r="24" spans="1:17" s="2" customFormat="1" ht="12" customHeight="1">
      <c r="D24" s="22"/>
      <c r="E24" s="22"/>
      <c r="J24" s="8"/>
      <c r="K24" s="8"/>
      <c r="L24" s="8"/>
      <c r="M24" s="8"/>
      <c r="N24" s="5"/>
      <c r="O24" s="5"/>
      <c r="P24" s="88"/>
      <c r="Q24" s="95"/>
    </row>
    <row r="25" spans="1:17" s="2" customFormat="1" ht="12" customHeight="1">
      <c r="D25" s="22"/>
      <c r="E25" s="22"/>
      <c r="J25" s="5"/>
      <c r="K25" s="5"/>
      <c r="L25" s="5"/>
      <c r="M25" s="5"/>
      <c r="N25" s="5"/>
      <c r="O25" s="5"/>
      <c r="P25" s="88"/>
      <c r="Q25" s="95"/>
    </row>
    <row r="26" spans="1:17" s="2" customFormat="1" ht="12" customHeight="1">
      <c r="D26" s="22"/>
      <c r="E26" s="22"/>
      <c r="J26" s="5"/>
      <c r="K26" s="5"/>
      <c r="L26" s="5"/>
      <c r="M26" s="5"/>
      <c r="N26" s="5"/>
      <c r="O26" s="5"/>
      <c r="P26" s="88"/>
      <c r="Q26" s="95"/>
    </row>
    <row r="27" spans="1:17" s="2" customFormat="1" ht="12" customHeight="1">
      <c r="D27" s="22"/>
      <c r="E27" s="22"/>
      <c r="J27" s="5"/>
      <c r="K27" s="5"/>
      <c r="L27" s="5"/>
      <c r="M27" s="5"/>
      <c r="N27" s="5"/>
      <c r="O27" s="5"/>
      <c r="P27" s="88"/>
      <c r="Q27" s="95"/>
    </row>
    <row r="28" spans="1:17" s="2" customFormat="1" ht="12" customHeight="1">
      <c r="D28" s="22"/>
      <c r="E28" s="22"/>
      <c r="J28" s="5"/>
      <c r="K28" s="5"/>
      <c r="L28" s="5"/>
      <c r="M28" s="5"/>
      <c r="N28" s="5"/>
      <c r="O28" s="5"/>
      <c r="P28" s="88"/>
      <c r="Q28" s="95"/>
    </row>
    <row r="29" spans="1:17" s="2" customFormat="1" ht="12" customHeight="1">
      <c r="D29" s="22"/>
      <c r="E29" s="22"/>
      <c r="J29" s="5"/>
      <c r="K29" s="5"/>
      <c r="L29" s="5"/>
      <c r="M29" s="5"/>
      <c r="N29" s="5"/>
      <c r="O29" s="5"/>
      <c r="P29" s="88"/>
      <c r="Q29" s="95"/>
    </row>
    <row r="30" spans="1:17" s="2" customFormat="1" ht="12" customHeight="1">
      <c r="D30" s="22"/>
      <c r="E30" s="22"/>
      <c r="J30" s="5"/>
      <c r="K30" s="5"/>
      <c r="L30" s="5"/>
      <c r="M30" s="5"/>
      <c r="N30" s="5"/>
      <c r="O30" s="5"/>
      <c r="P30" s="88"/>
      <c r="Q30" s="95"/>
    </row>
    <row r="31" spans="1:17" s="2" customFormat="1" ht="12" customHeight="1">
      <c r="D31" s="22"/>
      <c r="E31" s="22"/>
      <c r="J31" s="5"/>
      <c r="K31" s="5"/>
      <c r="L31" s="5"/>
      <c r="M31" s="5"/>
      <c r="N31" s="5"/>
      <c r="O31" s="5"/>
      <c r="P31" s="88"/>
      <c r="Q31" s="95"/>
    </row>
    <row r="32" spans="1:17" s="2" customFormat="1" ht="12" customHeight="1">
      <c r="D32" s="22"/>
      <c r="E32" s="22"/>
      <c r="J32" s="5"/>
      <c r="K32" s="5"/>
      <c r="L32" s="5"/>
      <c r="M32" s="5"/>
      <c r="N32" s="5"/>
      <c r="O32" s="5"/>
      <c r="P32" s="88"/>
      <c r="Q32" s="95"/>
    </row>
    <row r="33" spans="4:17" s="2" customFormat="1" ht="12" customHeight="1">
      <c r="D33" s="22"/>
      <c r="E33" s="22"/>
      <c r="J33" s="5"/>
      <c r="K33" s="5"/>
      <c r="L33" s="5"/>
      <c r="M33" s="5"/>
      <c r="N33" s="5"/>
      <c r="O33" s="5"/>
      <c r="P33" s="88"/>
      <c r="Q33" s="95"/>
    </row>
    <row r="34" spans="4:17" s="2" customFormat="1" ht="12" customHeight="1">
      <c r="D34" s="22"/>
      <c r="E34" s="22"/>
      <c r="J34" s="5"/>
      <c r="K34" s="5"/>
      <c r="L34" s="5"/>
      <c r="M34" s="5"/>
      <c r="N34" s="5"/>
      <c r="O34" s="5"/>
      <c r="P34" s="88"/>
      <c r="Q34" s="95"/>
    </row>
    <row r="35" spans="4:17" s="2" customFormat="1" ht="12" customHeight="1">
      <c r="D35" s="22"/>
      <c r="E35" s="22"/>
      <c r="J35" s="5"/>
      <c r="K35" s="5"/>
      <c r="L35" s="5"/>
      <c r="M35" s="5"/>
      <c r="N35" s="5"/>
      <c r="O35" s="5"/>
      <c r="P35" s="88"/>
      <c r="Q35" s="95"/>
    </row>
    <row r="36" spans="4:17" s="2" customFormat="1" ht="12" customHeight="1">
      <c r="D36" s="22"/>
      <c r="E36" s="22"/>
      <c r="J36" s="5"/>
      <c r="K36" s="5"/>
      <c r="L36" s="5"/>
      <c r="M36" s="5"/>
      <c r="N36" s="5"/>
      <c r="O36" s="5"/>
      <c r="P36" s="88"/>
      <c r="Q36" s="95"/>
    </row>
    <row r="37" spans="4:17" s="2" customFormat="1" ht="12" customHeight="1">
      <c r="D37" s="22"/>
      <c r="E37" s="22"/>
      <c r="J37" s="5"/>
      <c r="K37" s="5"/>
      <c r="L37" s="5"/>
      <c r="M37" s="5"/>
      <c r="N37" s="5"/>
      <c r="O37" s="5"/>
      <c r="P37" s="88"/>
      <c r="Q37" s="95"/>
    </row>
    <row r="38" spans="4:17" s="2" customFormat="1" ht="12" customHeight="1">
      <c r="D38" s="22"/>
      <c r="E38" s="22"/>
      <c r="J38" s="5"/>
      <c r="K38" s="5"/>
      <c r="L38" s="5"/>
      <c r="M38" s="5"/>
      <c r="N38" s="5"/>
      <c r="O38" s="5"/>
      <c r="P38" s="88"/>
      <c r="Q38" s="95"/>
    </row>
    <row r="39" spans="4:17" s="2" customFormat="1" ht="12" customHeight="1">
      <c r="D39" s="22"/>
      <c r="E39" s="22"/>
      <c r="J39" s="5"/>
      <c r="K39" s="5"/>
      <c r="L39" s="5"/>
      <c r="M39" s="5"/>
      <c r="N39" s="5"/>
      <c r="O39" s="5"/>
      <c r="P39" s="88"/>
      <c r="Q39" s="95"/>
    </row>
    <row r="40" spans="4:17" s="2" customFormat="1" ht="12" customHeight="1">
      <c r="D40" s="22"/>
      <c r="E40" s="22"/>
      <c r="J40" s="5"/>
      <c r="K40" s="5"/>
      <c r="L40" s="5"/>
      <c r="M40" s="5"/>
      <c r="N40" s="5"/>
      <c r="O40" s="5"/>
      <c r="P40" s="88"/>
      <c r="Q40" s="95"/>
    </row>
    <row r="41" spans="4:17" s="2" customFormat="1" ht="12" customHeight="1">
      <c r="D41" s="22"/>
      <c r="E41" s="22"/>
      <c r="J41" s="5"/>
      <c r="K41" s="5"/>
      <c r="L41" s="5"/>
      <c r="M41" s="5"/>
      <c r="N41" s="5"/>
      <c r="O41" s="5"/>
      <c r="P41" s="88"/>
      <c r="Q41" s="95"/>
    </row>
    <row r="42" spans="4:17" s="2" customFormat="1" ht="12" customHeight="1">
      <c r="D42" s="22"/>
      <c r="E42" s="22"/>
      <c r="J42" s="5"/>
      <c r="K42" s="5"/>
      <c r="L42" s="5"/>
      <c r="M42" s="5"/>
      <c r="N42" s="5"/>
      <c r="O42" s="5"/>
      <c r="P42" s="88"/>
      <c r="Q42" s="95"/>
    </row>
    <row r="43" spans="4:17" s="2" customFormat="1" ht="12" customHeight="1">
      <c r="D43" s="22"/>
      <c r="E43" s="22"/>
      <c r="J43" s="5"/>
      <c r="K43" s="5"/>
      <c r="L43" s="5"/>
      <c r="M43" s="5"/>
      <c r="N43" s="5"/>
      <c r="O43" s="5"/>
      <c r="P43" s="88"/>
      <c r="Q43" s="95"/>
    </row>
    <row r="44" spans="4:17" s="2" customFormat="1" ht="12" customHeight="1">
      <c r="D44" s="22"/>
      <c r="E44" s="22"/>
      <c r="J44" s="5"/>
      <c r="K44" s="5"/>
      <c r="L44" s="5"/>
      <c r="M44" s="5"/>
      <c r="N44" s="5"/>
      <c r="O44" s="5"/>
      <c r="P44" s="88"/>
      <c r="Q44" s="95"/>
    </row>
    <row r="45" spans="4:17" s="2" customFormat="1" ht="12" customHeight="1">
      <c r="D45" s="22"/>
      <c r="E45" s="22"/>
      <c r="J45" s="5"/>
      <c r="K45" s="5"/>
      <c r="L45" s="5"/>
      <c r="M45" s="5"/>
      <c r="N45" s="5"/>
      <c r="O45" s="5"/>
      <c r="P45" s="88"/>
      <c r="Q45" s="95"/>
    </row>
    <row r="46" spans="4:17" s="2" customFormat="1" ht="12" customHeight="1">
      <c r="D46" s="22"/>
      <c r="E46" s="22"/>
      <c r="J46" s="5"/>
      <c r="K46" s="5"/>
      <c r="L46" s="5"/>
      <c r="M46" s="5"/>
      <c r="N46" s="5"/>
      <c r="O46" s="5"/>
      <c r="P46" s="88"/>
      <c r="Q46" s="95"/>
    </row>
    <row r="47" spans="4:17" s="2" customFormat="1" ht="12" customHeight="1">
      <c r="D47" s="22"/>
      <c r="E47" s="22"/>
      <c r="J47" s="5"/>
      <c r="K47" s="5"/>
      <c r="L47" s="5"/>
      <c r="M47" s="5"/>
      <c r="N47" s="5"/>
      <c r="O47" s="5"/>
      <c r="P47" s="88"/>
      <c r="Q47" s="95"/>
    </row>
    <row r="48" spans="4:17" s="2" customFormat="1" ht="12" customHeight="1">
      <c r="D48" s="22"/>
      <c r="E48" s="22"/>
      <c r="J48" s="5"/>
      <c r="K48" s="5"/>
      <c r="L48" s="5"/>
      <c r="M48" s="5"/>
      <c r="N48" s="5"/>
      <c r="O48" s="5"/>
      <c r="P48" s="88"/>
      <c r="Q48" s="95"/>
    </row>
    <row r="49" spans="4:17" s="2" customFormat="1" ht="12" customHeight="1">
      <c r="D49" s="22"/>
      <c r="E49" s="22"/>
      <c r="J49" s="5"/>
      <c r="K49" s="5"/>
      <c r="L49" s="5"/>
      <c r="M49" s="5"/>
      <c r="N49" s="5"/>
      <c r="O49" s="5"/>
      <c r="P49" s="88"/>
      <c r="Q49" s="95"/>
    </row>
    <row r="50" spans="4:17" s="2" customFormat="1" ht="12" customHeight="1">
      <c r="D50" s="22"/>
      <c r="E50" s="22"/>
      <c r="J50" s="5"/>
      <c r="K50" s="5"/>
      <c r="L50" s="5"/>
      <c r="M50" s="5"/>
      <c r="N50" s="5"/>
      <c r="O50" s="5"/>
      <c r="P50" s="88"/>
      <c r="Q50" s="95"/>
    </row>
    <row r="51" spans="4:17" s="2" customFormat="1" ht="12" customHeight="1">
      <c r="D51" s="22"/>
      <c r="E51" s="22"/>
      <c r="J51" s="5"/>
      <c r="K51" s="5"/>
      <c r="L51" s="5"/>
      <c r="M51" s="5"/>
      <c r="N51" s="5"/>
      <c r="O51" s="5"/>
      <c r="P51" s="88"/>
      <c r="Q51" s="95"/>
    </row>
    <row r="52" spans="4:17" s="2" customFormat="1" ht="12" customHeight="1">
      <c r="D52" s="22"/>
      <c r="E52" s="22"/>
      <c r="J52" s="5"/>
      <c r="K52" s="5"/>
      <c r="L52" s="5"/>
      <c r="M52" s="5"/>
      <c r="N52" s="5"/>
      <c r="O52" s="5"/>
      <c r="P52" s="88"/>
      <c r="Q52" s="95"/>
    </row>
    <row r="53" spans="4:17" s="2" customFormat="1" ht="12" customHeight="1">
      <c r="D53" s="22"/>
      <c r="E53" s="22"/>
      <c r="J53" s="5"/>
      <c r="K53" s="5"/>
      <c r="L53" s="5"/>
      <c r="M53" s="5"/>
      <c r="N53" s="5"/>
      <c r="O53" s="5"/>
      <c r="P53" s="88"/>
      <c r="Q53" s="95"/>
    </row>
    <row r="54" spans="4:17" s="2" customFormat="1" ht="12" customHeight="1">
      <c r="D54" s="22"/>
      <c r="E54" s="22"/>
      <c r="J54" s="5"/>
      <c r="K54" s="5"/>
      <c r="L54" s="5"/>
      <c r="M54" s="5"/>
      <c r="N54" s="5"/>
      <c r="O54" s="5"/>
      <c r="P54" s="88"/>
      <c r="Q54" s="95"/>
    </row>
    <row r="55" spans="4:17" s="2" customFormat="1" ht="12" customHeight="1">
      <c r="D55" s="22"/>
      <c r="E55" s="22"/>
      <c r="J55" s="5"/>
      <c r="K55" s="5"/>
      <c r="L55" s="5"/>
      <c r="M55" s="5"/>
      <c r="N55" s="5"/>
      <c r="O55" s="5"/>
      <c r="P55" s="88"/>
      <c r="Q55" s="95"/>
    </row>
    <row r="56" spans="4:17" s="2" customFormat="1" ht="12" customHeight="1">
      <c r="D56" s="22"/>
      <c r="E56" s="22"/>
      <c r="J56" s="5"/>
      <c r="K56" s="5"/>
      <c r="L56" s="5"/>
      <c r="M56" s="5"/>
      <c r="N56" s="5"/>
      <c r="O56" s="5"/>
      <c r="P56" s="88"/>
      <c r="Q56" s="95"/>
    </row>
    <row r="57" spans="4:17" s="2" customFormat="1" ht="12" customHeight="1">
      <c r="D57" s="22"/>
      <c r="E57" s="22"/>
      <c r="J57" s="5"/>
      <c r="K57" s="5"/>
      <c r="L57" s="5"/>
      <c r="M57" s="5"/>
      <c r="N57" s="5"/>
      <c r="O57" s="5"/>
      <c r="P57" s="88"/>
      <c r="Q57" s="95"/>
    </row>
    <row r="58" spans="4:17" s="2" customFormat="1" ht="12" customHeight="1">
      <c r="D58" s="22"/>
      <c r="E58" s="22"/>
      <c r="J58" s="5"/>
      <c r="K58" s="5"/>
      <c r="L58" s="5"/>
      <c r="M58" s="5"/>
      <c r="N58" s="5"/>
      <c r="O58" s="5"/>
      <c r="P58" s="88"/>
      <c r="Q58" s="95"/>
    </row>
    <row r="59" spans="4:17" s="2" customFormat="1" ht="12" customHeight="1">
      <c r="D59" s="22"/>
      <c r="E59" s="22"/>
      <c r="J59" s="5"/>
      <c r="K59" s="5"/>
      <c r="L59" s="5"/>
      <c r="M59" s="5"/>
      <c r="N59" s="5"/>
      <c r="O59" s="5"/>
      <c r="P59" s="88"/>
      <c r="Q59" s="95"/>
    </row>
    <row r="60" spans="4:17" s="2" customFormat="1" ht="12" customHeight="1">
      <c r="D60" s="22"/>
      <c r="E60" s="22"/>
      <c r="J60" s="5"/>
      <c r="K60" s="5"/>
      <c r="L60" s="5"/>
      <c r="M60" s="5"/>
      <c r="N60" s="5"/>
      <c r="O60" s="5"/>
      <c r="P60" s="88"/>
      <c r="Q60" s="95"/>
    </row>
    <row r="61" spans="4:17" s="2" customFormat="1" ht="12" customHeight="1">
      <c r="D61" s="22"/>
      <c r="E61" s="22"/>
      <c r="J61" s="5"/>
      <c r="K61" s="5"/>
      <c r="L61" s="5"/>
      <c r="M61" s="5"/>
      <c r="N61" s="5"/>
      <c r="O61" s="5"/>
      <c r="P61" s="88"/>
      <c r="Q61" s="95"/>
    </row>
    <row r="62" spans="4:17" s="2" customFormat="1" ht="12" customHeight="1">
      <c r="D62" s="22"/>
      <c r="E62" s="22"/>
      <c r="J62" s="5"/>
      <c r="K62" s="5"/>
      <c r="L62" s="5"/>
      <c r="M62" s="5"/>
      <c r="N62" s="5"/>
      <c r="O62" s="5"/>
      <c r="P62" s="88"/>
      <c r="Q62" s="96"/>
    </row>
    <row r="63" spans="4:17" s="2" customFormat="1" ht="12" customHeight="1">
      <c r="D63" s="22"/>
      <c r="E63" s="22"/>
      <c r="J63" s="5"/>
      <c r="K63" s="5"/>
      <c r="L63" s="5"/>
      <c r="M63" s="5"/>
      <c r="N63" s="5"/>
      <c r="O63" s="5"/>
      <c r="P63" s="88"/>
      <c r="Q63" s="96"/>
    </row>
    <row r="64" spans="4:17" s="2" customFormat="1" ht="12" customHeight="1">
      <c r="D64" s="22"/>
      <c r="E64" s="22"/>
      <c r="J64" s="5"/>
      <c r="K64" s="5"/>
      <c r="L64" s="5"/>
      <c r="M64" s="5"/>
      <c r="N64" s="5"/>
      <c r="O64" s="5"/>
      <c r="P64" s="88"/>
      <c r="Q64" s="96"/>
    </row>
    <row r="65" spans="1:17" s="2" customFormat="1" ht="12" customHeight="1">
      <c r="D65" s="22"/>
      <c r="E65" s="22"/>
      <c r="J65" s="5"/>
      <c r="K65" s="5"/>
      <c r="L65" s="5"/>
      <c r="M65" s="5"/>
      <c r="N65" s="5"/>
      <c r="O65" s="5"/>
      <c r="P65" s="88"/>
      <c r="Q65" s="96"/>
    </row>
    <row r="66" spans="1:17" s="2" customFormat="1" ht="12" customHeight="1">
      <c r="A66"/>
      <c r="B66"/>
      <c r="C66"/>
      <c r="D66" s="23"/>
      <c r="E66" s="23"/>
      <c r="F66"/>
      <c r="G66"/>
      <c r="H66"/>
      <c r="I66"/>
      <c r="J66" s="19"/>
      <c r="K66" s="19"/>
      <c r="L66" s="19"/>
      <c r="M66" s="19"/>
      <c r="N66" s="19"/>
      <c r="O66" s="19"/>
      <c r="P66" s="90"/>
      <c r="Q66" s="96"/>
    </row>
    <row r="67" spans="1:17" s="2" customFormat="1" ht="12" customHeight="1">
      <c r="A67"/>
      <c r="B67"/>
      <c r="C67"/>
      <c r="D67" s="23"/>
      <c r="E67" s="23"/>
      <c r="F67"/>
      <c r="G67"/>
      <c r="H67"/>
      <c r="I67"/>
      <c r="J67" s="19"/>
      <c r="K67" s="19"/>
      <c r="L67" s="19"/>
      <c r="M67" s="19"/>
      <c r="N67" s="19"/>
      <c r="O67" s="19"/>
      <c r="P67" s="90"/>
      <c r="Q67" s="96"/>
    </row>
    <row r="68" spans="1:17" s="2" customFormat="1" ht="12" customHeight="1">
      <c r="A68"/>
      <c r="B68"/>
      <c r="C68"/>
      <c r="D68" s="23"/>
      <c r="E68" s="23"/>
      <c r="F68"/>
      <c r="G68"/>
      <c r="H68"/>
      <c r="I68"/>
      <c r="J68" s="19"/>
      <c r="K68" s="19"/>
      <c r="L68" s="19"/>
      <c r="M68" s="19"/>
      <c r="N68" s="19"/>
      <c r="O68" s="19"/>
      <c r="P68" s="90"/>
      <c r="Q68" s="96"/>
    </row>
    <row r="69" spans="1:17" s="2" customFormat="1" ht="12" customHeight="1">
      <c r="A69"/>
      <c r="B69"/>
      <c r="C69"/>
      <c r="D69" s="23"/>
      <c r="E69" s="23"/>
      <c r="F69"/>
      <c r="G69"/>
      <c r="H69"/>
      <c r="I69"/>
      <c r="J69" s="19"/>
      <c r="K69" s="19"/>
      <c r="L69" s="19"/>
      <c r="M69" s="19"/>
      <c r="N69" s="19"/>
      <c r="O69" s="19"/>
      <c r="P69" s="90"/>
      <c r="Q69" s="96"/>
    </row>
    <row r="70" spans="1:17" s="2" customFormat="1" ht="12" customHeight="1">
      <c r="A70"/>
      <c r="B70"/>
      <c r="C70"/>
      <c r="D70" s="23"/>
      <c r="E70" s="23"/>
      <c r="F70"/>
      <c r="G70"/>
      <c r="H70"/>
      <c r="I70"/>
      <c r="J70" s="19"/>
      <c r="K70" s="19"/>
      <c r="L70" s="19"/>
      <c r="M70" s="19"/>
      <c r="N70" s="19"/>
      <c r="O70" s="19"/>
      <c r="P70" s="90"/>
      <c r="Q70" s="96"/>
    </row>
    <row r="71" spans="1:17">
      <c r="Q71" s="96"/>
    </row>
    <row r="72" spans="1:17">
      <c r="Q72" s="96"/>
    </row>
    <row r="73" spans="1:17">
      <c r="Q73" s="96"/>
    </row>
    <row r="74" spans="1:17">
      <c r="Q74" s="96"/>
    </row>
    <row r="75" spans="1:17">
      <c r="Q75" s="96"/>
    </row>
    <row r="76" spans="1:17">
      <c r="Q76" s="96"/>
    </row>
    <row r="77" spans="1:17">
      <c r="Q77" s="96"/>
    </row>
    <row r="78" spans="1:17">
      <c r="Q78" s="96"/>
    </row>
    <row r="79" spans="1:17">
      <c r="Q79" s="96"/>
    </row>
    <row r="80" spans="1:17">
      <c r="Q80" s="96"/>
    </row>
    <row r="81" spans="17:17">
      <c r="Q81" s="96"/>
    </row>
    <row r="82" spans="17:17">
      <c r="Q82" s="96"/>
    </row>
    <row r="83" spans="17:17">
      <c r="Q83" s="96"/>
    </row>
    <row r="84" spans="17:17">
      <c r="Q84" s="96"/>
    </row>
    <row r="85" spans="17:17">
      <c r="Q85" s="96"/>
    </row>
    <row r="86" spans="17:17">
      <c r="Q86" s="96"/>
    </row>
    <row r="87" spans="17:17">
      <c r="Q87" s="96"/>
    </row>
    <row r="88" spans="17:17">
      <c r="Q88" s="96"/>
    </row>
    <row r="89" spans="17:17">
      <c r="Q89" s="96"/>
    </row>
    <row r="90" spans="17:17">
      <c r="Q90" s="96"/>
    </row>
    <row r="127" ht="12" customHeight="1"/>
    <row r="128" ht="12" customHeight="1"/>
    <row r="129" ht="12" customHeight="1"/>
    <row r="130" ht="12" customHeight="1"/>
    <row r="131" ht="12" customHeight="1"/>
    <row r="132" ht="12" customHeight="1"/>
    <row r="133" ht="12" customHeight="1"/>
    <row r="134" ht="12" customHeight="1"/>
    <row r="135" ht="12" customHeight="1"/>
    <row r="136" ht="12" customHeight="1"/>
    <row r="137" ht="12" customHeight="1"/>
    <row r="138" ht="12" customHeight="1"/>
    <row r="139" ht="12" customHeight="1"/>
    <row r="140" ht="12" customHeight="1"/>
    <row r="141" ht="12" customHeight="1"/>
    <row r="142" ht="12" customHeight="1"/>
    <row r="143" ht="12" customHeight="1"/>
    <row r="144" ht="12" customHeight="1"/>
    <row r="145" ht="12" customHeight="1"/>
    <row r="146" ht="12" customHeight="1"/>
    <row r="147" ht="12" customHeight="1"/>
    <row r="148" ht="12" customHeight="1"/>
    <row r="149" ht="12" customHeight="1"/>
    <row r="150" ht="12" customHeight="1"/>
    <row r="151" ht="12" customHeight="1"/>
    <row r="152" ht="12" customHeight="1"/>
    <row r="153" ht="12" customHeight="1"/>
    <row r="154" ht="12" customHeight="1"/>
    <row r="155" ht="12" customHeight="1"/>
    <row r="156" ht="12" customHeight="1"/>
    <row r="157" ht="12" customHeight="1"/>
    <row r="158" ht="12" customHeight="1"/>
    <row r="159" ht="12" customHeight="1"/>
    <row r="160" ht="12" customHeight="1"/>
    <row r="161" ht="12" customHeight="1"/>
    <row r="162" ht="12" customHeight="1"/>
    <row r="163" ht="12" customHeight="1"/>
    <row r="164" ht="12" customHeight="1"/>
    <row r="165" ht="12" customHeight="1"/>
    <row r="166" ht="12" customHeight="1"/>
    <row r="167" ht="12" customHeight="1"/>
    <row r="168" ht="12" customHeight="1"/>
    <row r="169" ht="12" customHeight="1"/>
    <row r="170" ht="12" customHeight="1"/>
    <row r="171" ht="12" customHeight="1"/>
    <row r="172" ht="12" customHeight="1"/>
    <row r="173" ht="12" customHeight="1"/>
    <row r="174" ht="12" customHeight="1"/>
    <row r="175" ht="12" customHeight="1"/>
    <row r="176" ht="12" customHeight="1"/>
  </sheetData>
  <mergeCells count="25">
    <mergeCell ref="D10:E10"/>
    <mergeCell ref="D1:E1"/>
    <mergeCell ref="D4:E4"/>
    <mergeCell ref="H4:I4"/>
    <mergeCell ref="D5:E5"/>
    <mergeCell ref="D6:E6"/>
    <mergeCell ref="D7:E7"/>
    <mergeCell ref="D8:E8"/>
    <mergeCell ref="D9:E9"/>
    <mergeCell ref="D11:E11"/>
    <mergeCell ref="H11:I11"/>
    <mergeCell ref="D12:E12"/>
    <mergeCell ref="D13:E13"/>
    <mergeCell ref="D14:E14"/>
    <mergeCell ref="D15:E15"/>
    <mergeCell ref="D16:E16"/>
    <mergeCell ref="D17:E17"/>
    <mergeCell ref="H17:I17"/>
    <mergeCell ref="D21:E21"/>
    <mergeCell ref="D23:E23"/>
    <mergeCell ref="H23:I23"/>
    <mergeCell ref="D18:E18"/>
    <mergeCell ref="D19:E19"/>
    <mergeCell ref="D20:E20"/>
    <mergeCell ref="D22:E22"/>
  </mergeCells>
  <conditionalFormatting sqref="M5:M10 M18:M22 M12:M16">
    <cfRule type="cellIs" dxfId="246" priority="1" stopIfTrue="1" operator="lessThanOrEqual">
      <formula>$L5</formula>
    </cfRule>
    <cfRule type="cellIs" dxfId="245" priority="2" operator="greaterThan">
      <formula>L5</formula>
    </cfRule>
  </conditionalFormatting>
  <pageMargins left="0.7" right="0.7" top="0.75" bottom="0.75" header="0.3" footer="0.3"/>
  <pageSetup paperSize="3" fitToHeight="0" orientation="landscape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2F4E66E-9187-4CFA-9E21-3A81EF6057CC}">
          <x14:formula1>
            <xm:f>Bolts!$A:$A</xm:f>
          </x14:formula1>
          <xm:sqref>C18:C22</xm:sqref>
        </x14:dataValidation>
        <x14:dataValidation type="list" allowBlank="1" showInputMessage="1" showErrorMessage="1" xr:uid="{15CF8A71-A7E7-45E3-A286-C06B92496161}">
          <x14:formula1>
            <xm:f>Purchased!$A:$A</xm:f>
          </x14:formula1>
          <xm:sqref>C12:C16</xm:sqref>
        </x14:dataValidation>
        <x14:dataValidation type="list" allowBlank="1" showInputMessage="1" showErrorMessage="1" xr:uid="{0073B9B0-A1F5-4033-B07B-947DB34B3E6C}">
          <x14:formula1>
            <xm:f>Machined!$C:$C</xm:f>
          </x14:formula1>
          <xm:sqref>C5:C10</xm:sqref>
        </x14:dataValidation>
      </x14:dataValidations>
    </ext>
  </extLst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A41C6-8490-4503-8078-4134DC134DC2}">
  <sheetPr codeName="Sheet116">
    <tabColor theme="3" tint="0.39997558519241921"/>
    <pageSetUpPr fitToPage="1"/>
  </sheetPr>
  <dimension ref="A1:Q166"/>
  <sheetViews>
    <sheetView zoomScaleNormal="100" workbookViewId="0">
      <selection activeCell="P5" sqref="P5"/>
    </sheetView>
  </sheetViews>
  <sheetFormatPr defaultColWidth="9.140625" defaultRowHeight="15"/>
  <cols>
    <col min="1" max="1" width="5.7109375" customWidth="1"/>
    <col min="2" max="2" width="5.42578125" bestFit="1" customWidth="1"/>
    <col min="3" max="3" width="30.7109375" customWidth="1"/>
    <col min="4" max="5" width="20.7109375" style="23" customWidth="1"/>
    <col min="6" max="6" width="16.85546875" bestFit="1" customWidth="1"/>
    <col min="7" max="7" width="9.7109375" customWidth="1"/>
    <col min="8" max="8" width="8.7109375" customWidth="1"/>
    <col min="9" max="9" width="20.7109375" customWidth="1"/>
    <col min="10" max="13" width="11.7109375" style="19" customWidth="1"/>
    <col min="14" max="14" width="11.85546875" style="19" bestFit="1" customWidth="1"/>
    <col min="15" max="15" width="7.7109375" style="19" customWidth="1"/>
    <col min="16" max="16" width="10.7109375" style="90" customWidth="1"/>
    <col min="17" max="17" width="10.7109375" style="97" customWidth="1"/>
  </cols>
  <sheetData>
    <row r="1" spans="1:17" s="55" customFormat="1" ht="12" customHeight="1">
      <c r="A1" s="68" t="s">
        <v>0</v>
      </c>
      <c r="B1" s="69"/>
      <c r="C1" s="69"/>
      <c r="D1" s="262" t="s">
        <v>1</v>
      </c>
      <c r="E1" s="263"/>
      <c r="F1" s="70"/>
      <c r="G1" s="69"/>
      <c r="H1" s="70"/>
      <c r="I1" s="71"/>
      <c r="J1" s="72"/>
      <c r="K1" s="72"/>
      <c r="L1" s="72"/>
      <c r="M1" s="72"/>
      <c r="N1" s="72"/>
      <c r="O1" s="72"/>
      <c r="P1" s="85"/>
      <c r="Q1" s="91"/>
    </row>
    <row r="2" spans="1:17" s="55" customFormat="1" ht="12" customHeight="1">
      <c r="A2" s="74" t="s">
        <v>48</v>
      </c>
      <c r="B2" s="58"/>
      <c r="C2" s="57" t="e">
        <f ca="1">VLOOKUP(E3,Assemblies!B:F,4,0)</f>
        <v>#VALUE!</v>
      </c>
      <c r="D2" s="75" t="s">
        <v>3</v>
      </c>
      <c r="E2" s="76" t="e">
        <f ca="1">'GF12'!E2</f>
        <v>#VALUE!</v>
      </c>
      <c r="F2" s="77" t="s">
        <v>4</v>
      </c>
      <c r="G2" s="58" t="str">
        <f>'GF12'!G2</f>
        <v>GH</v>
      </c>
      <c r="H2" s="77" t="s">
        <v>6</v>
      </c>
      <c r="I2" s="59">
        <f>'GF12'!I2</f>
        <v>44775</v>
      </c>
      <c r="J2" s="39"/>
      <c r="K2" s="40" t="s">
        <v>49</v>
      </c>
      <c r="L2" s="41" t="e">
        <f ca="1">VLOOKUP(C2,Assemblies!E:G,3,0)</f>
        <v>#VALUE!</v>
      </c>
      <c r="M2" s="78"/>
      <c r="N2" s="78"/>
      <c r="O2" s="78"/>
      <c r="P2" s="86"/>
      <c r="Q2" s="92"/>
    </row>
    <row r="3" spans="1:17" s="55" customFormat="1" ht="12" customHeight="1" thickBot="1">
      <c r="A3" s="74" t="s">
        <v>7</v>
      </c>
      <c r="B3" s="58"/>
      <c r="C3" s="57" t="e">
        <f ca="1">VLOOKUP(E3,Assemblies!B:F,5,0)</f>
        <v>#VALUE!</v>
      </c>
      <c r="D3" s="75" t="s">
        <v>50</v>
      </c>
      <c r="E3" s="76" t="e">
        <f ca="1">MID(CELL("filename",A1),FIND("]",CELL("filename",A1))+1,256)</f>
        <v>#VALUE!</v>
      </c>
      <c r="F3" s="77" t="s">
        <v>11</v>
      </c>
      <c r="G3" s="58" t="str">
        <f>'GF12'!G3</f>
        <v>GH</v>
      </c>
      <c r="H3" s="77" t="s">
        <v>6</v>
      </c>
      <c r="I3" s="59">
        <f>'GF12'!I3</f>
        <v>44775</v>
      </c>
      <c r="J3" s="78"/>
      <c r="K3" s="78"/>
      <c r="L3" s="78"/>
      <c r="M3" s="78"/>
      <c r="N3" s="78"/>
      <c r="O3" s="78"/>
      <c r="P3" s="86"/>
      <c r="Q3" s="92"/>
    </row>
    <row r="4" spans="1:17" s="56" customFormat="1" ht="12.75" customHeight="1" thickBot="1">
      <c r="A4" s="80" t="s">
        <v>12</v>
      </c>
      <c r="B4" s="81" t="s">
        <v>13</v>
      </c>
      <c r="C4" s="81" t="s">
        <v>14</v>
      </c>
      <c r="D4" s="270" t="s">
        <v>15</v>
      </c>
      <c r="E4" s="271"/>
      <c r="F4" s="104" t="s">
        <v>16</v>
      </c>
      <c r="G4" s="81" t="s">
        <v>17</v>
      </c>
      <c r="H4" s="260" t="s">
        <v>18</v>
      </c>
      <c r="I4" s="261"/>
      <c r="J4" s="81" t="s">
        <v>51</v>
      </c>
      <c r="K4" s="81" t="s">
        <v>20</v>
      </c>
      <c r="L4" s="81" t="s">
        <v>21</v>
      </c>
      <c r="M4" s="81" t="s">
        <v>52</v>
      </c>
      <c r="N4" s="81" t="s">
        <v>22</v>
      </c>
      <c r="O4" s="81" t="s">
        <v>53</v>
      </c>
      <c r="P4" s="107" t="s">
        <v>26</v>
      </c>
      <c r="Q4" s="82" t="s">
        <v>27</v>
      </c>
    </row>
    <row r="5" spans="1:17" s="21" customFormat="1" ht="12.75" customHeight="1">
      <c r="A5" s="66" t="s">
        <v>54</v>
      </c>
      <c r="B5" s="1">
        <v>1</v>
      </c>
      <c r="C5" s="67" t="s">
        <v>1190</v>
      </c>
      <c r="D5" s="277" t="e">
        <f ca="1">VLOOKUP(C5,Assemblies!E:S,2,0)</f>
        <v>#N/A</v>
      </c>
      <c r="E5" s="278"/>
      <c r="F5" s="32"/>
      <c r="G5" s="32"/>
      <c r="H5" s="292"/>
      <c r="I5" s="293"/>
      <c r="J5" s="28"/>
      <c r="K5" s="28"/>
      <c r="L5" s="28"/>
      <c r="M5" s="28"/>
      <c r="N5" s="33"/>
      <c r="O5" s="46" t="e">
        <f t="shared" ref="O5:O11" ca="1" si="0">B5*$L$2</f>
        <v>#VALUE!</v>
      </c>
      <c r="P5" s="87">
        <f>'006'!Q33</f>
        <v>2829.0992999999999</v>
      </c>
      <c r="Q5" s="93">
        <f t="shared" ref="Q5:Q11" si="1">B5*P5</f>
        <v>2829.0992999999999</v>
      </c>
    </row>
    <row r="6" spans="1:17" s="21" customFormat="1" ht="12.75" customHeight="1">
      <c r="A6" s="66" t="s">
        <v>56</v>
      </c>
      <c r="B6" s="1">
        <v>1</v>
      </c>
      <c r="C6" s="67" t="s">
        <v>1191</v>
      </c>
      <c r="D6" s="277" t="e">
        <f ca="1">VLOOKUP(C6,Assemblies!E:S,2,0)</f>
        <v>#N/A</v>
      </c>
      <c r="E6" s="278"/>
      <c r="F6" s="32"/>
      <c r="G6" s="32"/>
      <c r="H6" s="292"/>
      <c r="I6" s="293"/>
      <c r="J6" s="28"/>
      <c r="K6" s="28"/>
      <c r="L6" s="28"/>
      <c r="M6" s="28"/>
      <c r="N6" s="33"/>
      <c r="O6" s="46" t="e">
        <f t="shared" ca="1" si="0"/>
        <v>#VALUE!</v>
      </c>
      <c r="P6" s="87">
        <f>'008'!Q34</f>
        <v>813.83</v>
      </c>
      <c r="Q6" s="93">
        <f t="shared" si="1"/>
        <v>813.83</v>
      </c>
    </row>
    <row r="7" spans="1:17" s="21" customFormat="1" ht="12.75" customHeight="1">
      <c r="A7" s="66" t="s">
        <v>58</v>
      </c>
      <c r="B7" s="1">
        <v>1</v>
      </c>
      <c r="C7" s="67" t="s">
        <v>1192</v>
      </c>
      <c r="D7" s="277" t="e">
        <f ca="1">VLOOKUP(C7,Assemblies!E:S,2,0)</f>
        <v>#N/A</v>
      </c>
      <c r="E7" s="278"/>
      <c r="F7" s="32"/>
      <c r="G7" s="32"/>
      <c r="H7" s="292"/>
      <c r="I7" s="293"/>
      <c r="J7" s="28"/>
      <c r="K7" s="28"/>
      <c r="L7" s="28"/>
      <c r="M7" s="28"/>
      <c r="N7" s="33"/>
      <c r="O7" s="46" t="e">
        <f t="shared" ca="1" si="0"/>
        <v>#VALUE!</v>
      </c>
      <c r="P7" s="87">
        <f>'610'!Q24</f>
        <v>5199.9439697600001</v>
      </c>
      <c r="Q7" s="93">
        <f t="shared" si="1"/>
        <v>5199.9439697600001</v>
      </c>
    </row>
    <row r="8" spans="1:17" s="21" customFormat="1" ht="12.75" customHeight="1">
      <c r="A8" s="66" t="s">
        <v>60</v>
      </c>
      <c r="B8" s="1">
        <v>1</v>
      </c>
      <c r="C8" s="67" t="s">
        <v>1193</v>
      </c>
      <c r="D8" s="277" t="e">
        <f ca="1">VLOOKUP(C8,Assemblies!E:S,2,0)</f>
        <v>#N/A</v>
      </c>
      <c r="E8" s="278"/>
      <c r="F8" s="32"/>
      <c r="G8" s="32"/>
      <c r="H8" s="292"/>
      <c r="I8" s="293"/>
      <c r="J8" s="28"/>
      <c r="K8" s="28"/>
      <c r="L8" s="28"/>
      <c r="M8" s="28"/>
      <c r="N8" s="33"/>
      <c r="O8" s="46" t="e">
        <f t="shared" ca="1" si="0"/>
        <v>#VALUE!</v>
      </c>
      <c r="P8" s="87">
        <f>'620'!Q13</f>
        <v>36443.255800000006</v>
      </c>
      <c r="Q8" s="93">
        <f t="shared" si="1"/>
        <v>36443.255800000006</v>
      </c>
    </row>
    <row r="9" spans="1:17" s="21" customFormat="1" ht="12.75" customHeight="1">
      <c r="A9" s="66" t="s">
        <v>62</v>
      </c>
      <c r="B9" s="1">
        <v>1</v>
      </c>
      <c r="C9" s="67" t="s">
        <v>1194</v>
      </c>
      <c r="D9" s="277" t="e">
        <f ca="1">VLOOKUP(C9,Assemblies!E:S,2,0)</f>
        <v>#N/A</v>
      </c>
      <c r="E9" s="278"/>
      <c r="F9" s="32"/>
      <c r="G9" s="32"/>
      <c r="H9" s="292"/>
      <c r="I9" s="293"/>
      <c r="J9" s="28"/>
      <c r="K9" s="28"/>
      <c r="L9" s="28"/>
      <c r="M9" s="28"/>
      <c r="N9" s="33"/>
      <c r="O9" s="46" t="e">
        <f t="shared" ca="1" si="0"/>
        <v>#VALUE!</v>
      </c>
      <c r="P9" s="87">
        <f>'630'!Q21</f>
        <v>16489.081540773997</v>
      </c>
      <c r="Q9" s="93">
        <f t="shared" si="1"/>
        <v>16489.081540773997</v>
      </c>
    </row>
    <row r="10" spans="1:17" s="21" customFormat="1" ht="12.75" customHeight="1">
      <c r="A10" s="66" t="s">
        <v>64</v>
      </c>
      <c r="B10" s="1">
        <v>1</v>
      </c>
      <c r="C10" s="67" t="s">
        <v>1195</v>
      </c>
      <c r="D10" s="277" t="e">
        <f ca="1">VLOOKUP(C10,Assemblies!E:S,2,0)</f>
        <v>#N/A</v>
      </c>
      <c r="E10" s="278"/>
      <c r="F10" s="32"/>
      <c r="G10" s="32"/>
      <c r="H10" s="292"/>
      <c r="I10" s="293"/>
      <c r="J10" s="28"/>
      <c r="K10" s="28"/>
      <c r="L10" s="28"/>
      <c r="M10" s="28"/>
      <c r="N10" s="33"/>
      <c r="O10" s="46" t="e">
        <f t="shared" ca="1" si="0"/>
        <v>#VALUE!</v>
      </c>
      <c r="P10" s="87">
        <f>'640'!Q74</f>
        <v>5909.8597190666651</v>
      </c>
      <c r="Q10" s="93">
        <f t="shared" si="1"/>
        <v>5909.8597190666651</v>
      </c>
    </row>
    <row r="11" spans="1:17" s="21" customFormat="1" ht="12.75" customHeight="1">
      <c r="A11" s="66" t="s">
        <v>66</v>
      </c>
      <c r="B11" s="1">
        <v>1</v>
      </c>
      <c r="C11" s="67" t="s">
        <v>1196</v>
      </c>
      <c r="D11" s="277" t="e">
        <f ca="1">VLOOKUP(C11,Assemblies!E:S,2,0)</f>
        <v>#N/A</v>
      </c>
      <c r="E11" s="278"/>
      <c r="F11" s="32"/>
      <c r="G11" s="32"/>
      <c r="H11" s="292"/>
      <c r="I11" s="293"/>
      <c r="J11" s="28"/>
      <c r="K11" s="28"/>
      <c r="L11" s="28"/>
      <c r="M11" s="28"/>
      <c r="N11" s="33"/>
      <c r="O11" s="46" t="e">
        <f t="shared" ca="1" si="0"/>
        <v>#VALUE!</v>
      </c>
      <c r="P11" s="87">
        <f>'650'!Q42</f>
        <v>4953.6828999999998</v>
      </c>
      <c r="Q11" s="93">
        <f t="shared" si="1"/>
        <v>4953.6828999999998</v>
      </c>
    </row>
    <row r="12" spans="1:17" s="21" customFormat="1" ht="12.75" customHeight="1" thickBot="1">
      <c r="A12" s="66" t="s">
        <v>68</v>
      </c>
      <c r="B12" s="1">
        <v>1</v>
      </c>
      <c r="C12" s="67" t="s">
        <v>1197</v>
      </c>
      <c r="D12" s="277" t="e">
        <f ca="1">VLOOKUP(C12,Assemblies!E:S,2,0)</f>
        <v>#N/A</v>
      </c>
      <c r="E12" s="278"/>
      <c r="F12" s="32"/>
      <c r="G12" s="32"/>
      <c r="H12" s="32"/>
      <c r="I12" s="179"/>
      <c r="J12" s="28"/>
      <c r="K12" s="28"/>
      <c r="L12" s="28"/>
      <c r="M12" s="28"/>
      <c r="N12" s="33"/>
      <c r="O12" s="46" t="e">
        <f t="shared" ref="O12" ca="1" si="2">B12*$L$2</f>
        <v>#VALUE!</v>
      </c>
      <c r="P12" s="87">
        <f>'660'!Q42</f>
        <v>4955.6428999999998</v>
      </c>
      <c r="Q12" s="93">
        <f t="shared" ref="Q12" si="3">B12*P12</f>
        <v>4955.6428999999998</v>
      </c>
    </row>
    <row r="13" spans="1:17" s="2" customFormat="1" ht="12.75" customHeight="1" thickBot="1">
      <c r="A13" s="34"/>
      <c r="B13" s="35"/>
      <c r="C13" s="35"/>
      <c r="D13" s="256"/>
      <c r="E13" s="257"/>
      <c r="F13" s="35"/>
      <c r="G13" s="35"/>
      <c r="H13" s="294"/>
      <c r="I13" s="295"/>
      <c r="J13" s="36"/>
      <c r="K13" s="36"/>
      <c r="L13" s="36"/>
      <c r="M13" s="37"/>
      <c r="N13" s="38"/>
      <c r="O13" s="38"/>
      <c r="P13" s="89" t="s">
        <v>43</v>
      </c>
      <c r="Q13" s="94">
        <f>SUM(Q5:Q12)</f>
        <v>77594.396129600675</v>
      </c>
    </row>
    <row r="14" spans="1:17" s="2" customFormat="1" ht="12" customHeight="1">
      <c r="D14" s="22"/>
      <c r="E14" s="22"/>
      <c r="J14" s="8"/>
      <c r="K14" s="8"/>
      <c r="L14" s="8"/>
      <c r="M14" s="8"/>
      <c r="N14" s="5"/>
      <c r="O14" s="5"/>
      <c r="P14" s="88"/>
      <c r="Q14" s="95"/>
    </row>
    <row r="15" spans="1:17" s="2" customFormat="1" ht="12" customHeight="1">
      <c r="D15" s="22"/>
      <c r="E15" s="22"/>
      <c r="J15" s="5"/>
      <c r="K15" s="5"/>
      <c r="L15" s="5"/>
      <c r="M15" s="5"/>
      <c r="N15" s="5"/>
      <c r="O15" s="5"/>
      <c r="P15" s="88"/>
      <c r="Q15" s="95"/>
    </row>
    <row r="16" spans="1:17" s="2" customFormat="1" ht="12" customHeight="1">
      <c r="D16" s="22"/>
      <c r="E16" s="22"/>
      <c r="J16" s="5"/>
      <c r="K16" s="5"/>
      <c r="L16" s="5"/>
      <c r="M16" s="5"/>
      <c r="N16" s="5"/>
      <c r="O16" s="5"/>
      <c r="P16" s="88"/>
      <c r="Q16" s="95"/>
    </row>
    <row r="17" spans="4:17" s="2" customFormat="1" ht="12" customHeight="1">
      <c r="D17" s="22"/>
      <c r="E17" s="22"/>
      <c r="J17" s="5"/>
      <c r="K17" s="5"/>
      <c r="L17" s="5"/>
      <c r="M17" s="5"/>
      <c r="N17" s="5"/>
      <c r="O17" s="5"/>
      <c r="P17" s="88"/>
      <c r="Q17" s="95"/>
    </row>
    <row r="18" spans="4:17" s="2" customFormat="1" ht="12" customHeight="1">
      <c r="D18" s="22"/>
      <c r="E18" s="22"/>
      <c r="J18" s="5"/>
      <c r="K18" s="5"/>
      <c r="L18" s="5"/>
      <c r="M18" s="5"/>
      <c r="N18" s="5"/>
      <c r="O18" s="5"/>
      <c r="P18" s="88"/>
      <c r="Q18" s="95"/>
    </row>
    <row r="19" spans="4:17" s="2" customFormat="1" ht="12" customHeight="1">
      <c r="D19" s="22"/>
      <c r="E19" s="22"/>
      <c r="J19" s="5"/>
      <c r="K19" s="5"/>
      <c r="L19" s="5"/>
      <c r="M19" s="5"/>
      <c r="N19" s="5"/>
      <c r="O19" s="5"/>
      <c r="P19" s="88"/>
      <c r="Q19" s="95"/>
    </row>
    <row r="20" spans="4:17" s="2" customFormat="1" ht="12" customHeight="1">
      <c r="D20" s="22"/>
      <c r="E20" s="22"/>
      <c r="J20" s="5"/>
      <c r="K20" s="5"/>
      <c r="L20" s="5"/>
      <c r="M20" s="5"/>
      <c r="N20" s="5"/>
      <c r="O20" s="5"/>
      <c r="P20" s="88"/>
      <c r="Q20" s="95"/>
    </row>
    <row r="21" spans="4:17" s="2" customFormat="1" ht="12" customHeight="1">
      <c r="D21" s="22"/>
      <c r="E21" s="22"/>
      <c r="J21" s="5"/>
      <c r="K21" s="5"/>
      <c r="L21" s="5"/>
      <c r="M21" s="5"/>
      <c r="N21" s="5"/>
      <c r="O21" s="5"/>
      <c r="P21" s="88"/>
      <c r="Q21" s="95"/>
    </row>
    <row r="22" spans="4:17" s="2" customFormat="1" ht="12" customHeight="1">
      <c r="D22" s="22"/>
      <c r="E22" s="22"/>
      <c r="J22" s="5"/>
      <c r="K22" s="5"/>
      <c r="L22" s="5"/>
      <c r="M22" s="5"/>
      <c r="N22" s="5"/>
      <c r="O22" s="5"/>
      <c r="P22" s="88"/>
      <c r="Q22" s="95"/>
    </row>
    <row r="23" spans="4:17" s="2" customFormat="1" ht="12" customHeight="1">
      <c r="D23" s="22"/>
      <c r="E23" s="22"/>
      <c r="J23" s="5"/>
      <c r="K23" s="5"/>
      <c r="L23" s="5"/>
      <c r="M23" s="5"/>
      <c r="N23" s="5"/>
      <c r="O23" s="5"/>
      <c r="P23" s="88"/>
      <c r="Q23" s="95"/>
    </row>
    <row r="24" spans="4:17" s="2" customFormat="1" ht="12" customHeight="1">
      <c r="D24" s="22"/>
      <c r="E24" s="22"/>
      <c r="J24" s="5"/>
      <c r="K24" s="5"/>
      <c r="L24" s="5"/>
      <c r="M24" s="5"/>
      <c r="N24" s="5"/>
      <c r="O24" s="5"/>
      <c r="P24" s="88"/>
      <c r="Q24" s="95"/>
    </row>
    <row r="25" spans="4:17" s="2" customFormat="1" ht="12" customHeight="1">
      <c r="D25" s="22"/>
      <c r="E25" s="22"/>
      <c r="J25" s="5"/>
      <c r="K25" s="5"/>
      <c r="L25" s="5"/>
      <c r="M25" s="5"/>
      <c r="N25" s="5"/>
      <c r="O25" s="5"/>
      <c r="P25" s="88"/>
      <c r="Q25" s="95"/>
    </row>
    <row r="26" spans="4:17" s="2" customFormat="1" ht="12" customHeight="1">
      <c r="D26" s="22"/>
      <c r="E26" s="22"/>
      <c r="J26" s="5"/>
      <c r="K26" s="5"/>
      <c r="L26" s="5"/>
      <c r="M26" s="5"/>
      <c r="N26" s="5"/>
      <c r="O26" s="5"/>
      <c r="P26" s="88"/>
      <c r="Q26" s="95"/>
    </row>
    <row r="27" spans="4:17" s="2" customFormat="1" ht="12" customHeight="1">
      <c r="D27" s="22"/>
      <c r="E27" s="22"/>
      <c r="J27" s="5"/>
      <c r="K27" s="5"/>
      <c r="L27" s="5"/>
      <c r="M27" s="5"/>
      <c r="N27" s="5"/>
      <c r="O27" s="5"/>
      <c r="P27" s="88"/>
      <c r="Q27" s="95"/>
    </row>
    <row r="28" spans="4:17" s="2" customFormat="1" ht="12" customHeight="1">
      <c r="D28" s="22"/>
      <c r="E28" s="22"/>
      <c r="J28" s="5"/>
      <c r="K28" s="5"/>
      <c r="L28" s="5"/>
      <c r="M28" s="5"/>
      <c r="N28" s="5"/>
      <c r="O28" s="5"/>
      <c r="P28" s="88"/>
      <c r="Q28" s="95"/>
    </row>
    <row r="29" spans="4:17" s="2" customFormat="1" ht="12" customHeight="1">
      <c r="D29" s="22"/>
      <c r="E29" s="22"/>
      <c r="J29" s="5"/>
      <c r="K29" s="5"/>
      <c r="L29" s="5"/>
      <c r="M29" s="5"/>
      <c r="N29" s="5"/>
      <c r="O29" s="5"/>
      <c r="P29" s="88"/>
      <c r="Q29" s="95"/>
    </row>
    <row r="30" spans="4:17" s="2" customFormat="1" ht="12" customHeight="1">
      <c r="D30" s="22"/>
      <c r="E30" s="22"/>
      <c r="J30" s="5"/>
      <c r="K30" s="5"/>
      <c r="L30" s="5"/>
      <c r="M30" s="5"/>
      <c r="N30" s="5"/>
      <c r="O30" s="5"/>
      <c r="P30" s="88"/>
      <c r="Q30" s="95"/>
    </row>
    <row r="31" spans="4:17" s="2" customFormat="1" ht="12" customHeight="1">
      <c r="D31" s="22"/>
      <c r="E31" s="22"/>
      <c r="J31" s="5"/>
      <c r="K31" s="5"/>
      <c r="L31" s="5"/>
      <c r="M31" s="5"/>
      <c r="N31" s="5"/>
      <c r="O31" s="5"/>
      <c r="P31" s="88"/>
      <c r="Q31" s="95"/>
    </row>
    <row r="32" spans="4:17" s="2" customFormat="1" ht="12" customHeight="1">
      <c r="D32" s="22"/>
      <c r="E32" s="22"/>
      <c r="J32" s="5"/>
      <c r="K32" s="5"/>
      <c r="L32" s="5"/>
      <c r="M32" s="5"/>
      <c r="N32" s="5"/>
      <c r="O32" s="5"/>
      <c r="P32" s="88"/>
      <c r="Q32" s="95"/>
    </row>
    <row r="33" spans="4:17" s="2" customFormat="1" ht="12" customHeight="1">
      <c r="D33" s="22"/>
      <c r="E33" s="22"/>
      <c r="J33" s="5"/>
      <c r="K33" s="5"/>
      <c r="L33" s="5"/>
      <c r="M33" s="5"/>
      <c r="N33" s="5"/>
      <c r="O33" s="5"/>
      <c r="P33" s="88"/>
      <c r="Q33" s="95"/>
    </row>
    <row r="34" spans="4:17" s="2" customFormat="1" ht="12" customHeight="1">
      <c r="D34" s="22"/>
      <c r="E34" s="22"/>
      <c r="J34" s="5"/>
      <c r="K34" s="5"/>
      <c r="L34" s="5"/>
      <c r="M34" s="5"/>
      <c r="N34" s="5"/>
      <c r="O34" s="5"/>
      <c r="P34" s="88"/>
      <c r="Q34" s="95"/>
    </row>
    <row r="35" spans="4:17" s="2" customFormat="1" ht="12" customHeight="1">
      <c r="D35" s="22"/>
      <c r="E35" s="22"/>
      <c r="J35" s="5"/>
      <c r="K35" s="5"/>
      <c r="L35" s="5"/>
      <c r="M35" s="5"/>
      <c r="N35" s="5"/>
      <c r="O35" s="5"/>
      <c r="P35" s="88"/>
      <c r="Q35" s="95"/>
    </row>
    <row r="36" spans="4:17" s="2" customFormat="1" ht="12" customHeight="1">
      <c r="D36" s="22"/>
      <c r="E36" s="22"/>
      <c r="J36" s="5"/>
      <c r="K36" s="5"/>
      <c r="L36" s="5"/>
      <c r="M36" s="5"/>
      <c r="N36" s="5"/>
      <c r="O36" s="5"/>
      <c r="P36" s="88"/>
      <c r="Q36" s="95"/>
    </row>
    <row r="37" spans="4:17" s="2" customFormat="1" ht="12" customHeight="1">
      <c r="D37" s="22"/>
      <c r="E37" s="22"/>
      <c r="J37" s="5"/>
      <c r="K37" s="5"/>
      <c r="L37" s="5"/>
      <c r="M37" s="5"/>
      <c r="N37" s="5"/>
      <c r="O37" s="5"/>
      <c r="P37" s="88"/>
      <c r="Q37" s="95"/>
    </row>
    <row r="38" spans="4:17" s="2" customFormat="1" ht="12" customHeight="1">
      <c r="D38" s="22"/>
      <c r="E38" s="22"/>
      <c r="J38" s="5"/>
      <c r="K38" s="5"/>
      <c r="L38" s="5"/>
      <c r="M38" s="5"/>
      <c r="N38" s="5"/>
      <c r="O38" s="5"/>
      <c r="P38" s="88"/>
      <c r="Q38" s="95"/>
    </row>
    <row r="39" spans="4:17" s="2" customFormat="1" ht="12" customHeight="1">
      <c r="D39" s="22"/>
      <c r="E39" s="22"/>
      <c r="J39" s="5"/>
      <c r="K39" s="5"/>
      <c r="L39" s="5"/>
      <c r="M39" s="5"/>
      <c r="N39" s="5"/>
      <c r="O39" s="5"/>
      <c r="P39" s="88"/>
      <c r="Q39" s="95"/>
    </row>
    <row r="40" spans="4:17" s="2" customFormat="1" ht="12" customHeight="1">
      <c r="D40" s="22"/>
      <c r="E40" s="22"/>
      <c r="J40" s="5"/>
      <c r="K40" s="5"/>
      <c r="L40" s="5"/>
      <c r="M40" s="5"/>
      <c r="N40" s="5"/>
      <c r="O40" s="5"/>
      <c r="P40" s="88"/>
      <c r="Q40" s="95"/>
    </row>
    <row r="41" spans="4:17" s="2" customFormat="1" ht="12" customHeight="1">
      <c r="D41" s="22"/>
      <c r="E41" s="22"/>
      <c r="J41" s="5"/>
      <c r="K41" s="5"/>
      <c r="L41" s="5"/>
      <c r="M41" s="5"/>
      <c r="N41" s="5"/>
      <c r="O41" s="5"/>
      <c r="P41" s="88"/>
      <c r="Q41" s="95"/>
    </row>
    <row r="42" spans="4:17" s="2" customFormat="1" ht="12" customHeight="1">
      <c r="D42" s="22"/>
      <c r="E42" s="22"/>
      <c r="J42" s="5"/>
      <c r="K42" s="5"/>
      <c r="L42" s="5"/>
      <c r="M42" s="5"/>
      <c r="N42" s="5"/>
      <c r="O42" s="5"/>
      <c r="P42" s="88"/>
      <c r="Q42" s="95"/>
    </row>
    <row r="43" spans="4:17" s="2" customFormat="1" ht="12" customHeight="1">
      <c r="D43" s="22"/>
      <c r="E43" s="22"/>
      <c r="J43" s="5"/>
      <c r="K43" s="5"/>
      <c r="L43" s="5"/>
      <c r="M43" s="5"/>
      <c r="N43" s="5"/>
      <c r="O43" s="5"/>
      <c r="P43" s="88"/>
      <c r="Q43" s="95"/>
    </row>
    <row r="44" spans="4:17" s="2" customFormat="1" ht="12" customHeight="1">
      <c r="D44" s="22"/>
      <c r="E44" s="22"/>
      <c r="J44" s="5"/>
      <c r="K44" s="5"/>
      <c r="L44" s="5"/>
      <c r="M44" s="5"/>
      <c r="N44" s="5"/>
      <c r="O44" s="5"/>
      <c r="P44" s="88"/>
      <c r="Q44" s="95"/>
    </row>
    <row r="45" spans="4:17" s="2" customFormat="1" ht="12" customHeight="1">
      <c r="D45" s="22"/>
      <c r="E45" s="22"/>
      <c r="J45" s="5"/>
      <c r="K45" s="5"/>
      <c r="L45" s="5"/>
      <c r="M45" s="5"/>
      <c r="N45" s="5"/>
      <c r="O45" s="5"/>
      <c r="P45" s="88"/>
      <c r="Q45" s="95"/>
    </row>
    <row r="46" spans="4:17" s="2" customFormat="1" ht="12" customHeight="1">
      <c r="D46" s="22"/>
      <c r="E46" s="22"/>
      <c r="J46" s="5"/>
      <c r="K46" s="5"/>
      <c r="L46" s="5"/>
      <c r="M46" s="5"/>
      <c r="N46" s="5"/>
      <c r="O46" s="5"/>
      <c r="P46" s="88"/>
      <c r="Q46" s="95"/>
    </row>
    <row r="47" spans="4:17" s="2" customFormat="1" ht="12" customHeight="1">
      <c r="D47" s="22"/>
      <c r="E47" s="22"/>
      <c r="J47" s="5"/>
      <c r="K47" s="5"/>
      <c r="L47" s="5"/>
      <c r="M47" s="5"/>
      <c r="N47" s="5"/>
      <c r="O47" s="5"/>
      <c r="P47" s="88"/>
      <c r="Q47" s="95"/>
    </row>
    <row r="48" spans="4:17" s="2" customFormat="1" ht="12" customHeight="1">
      <c r="D48" s="22"/>
      <c r="E48" s="22"/>
      <c r="J48" s="5"/>
      <c r="K48" s="5"/>
      <c r="L48" s="5"/>
      <c r="M48" s="5"/>
      <c r="N48" s="5"/>
      <c r="O48" s="5"/>
      <c r="P48" s="88"/>
      <c r="Q48" s="95"/>
    </row>
    <row r="49" spans="1:17" s="2" customFormat="1" ht="12" customHeight="1">
      <c r="D49" s="22"/>
      <c r="E49" s="22"/>
      <c r="J49" s="5"/>
      <c r="K49" s="5"/>
      <c r="L49" s="5"/>
      <c r="M49" s="5"/>
      <c r="N49" s="5"/>
      <c r="O49" s="5"/>
      <c r="P49" s="88"/>
      <c r="Q49" s="95"/>
    </row>
    <row r="50" spans="1:17" s="2" customFormat="1" ht="12" customHeight="1">
      <c r="D50" s="22"/>
      <c r="E50" s="22"/>
      <c r="J50" s="5"/>
      <c r="K50" s="5"/>
      <c r="L50" s="5"/>
      <c r="M50" s="5"/>
      <c r="N50" s="5"/>
      <c r="O50" s="5"/>
      <c r="P50" s="88"/>
      <c r="Q50" s="95"/>
    </row>
    <row r="51" spans="1:17" s="2" customFormat="1" ht="12" customHeight="1">
      <c r="D51" s="22"/>
      <c r="E51" s="22"/>
      <c r="J51" s="5"/>
      <c r="K51" s="5"/>
      <c r="L51" s="5"/>
      <c r="M51" s="5"/>
      <c r="N51" s="5"/>
      <c r="O51" s="5"/>
      <c r="P51" s="88"/>
      <c r="Q51" s="95"/>
    </row>
    <row r="52" spans="1:17" s="2" customFormat="1" ht="12" customHeight="1">
      <c r="D52" s="22"/>
      <c r="E52" s="22"/>
      <c r="J52" s="5"/>
      <c r="K52" s="5"/>
      <c r="L52" s="5"/>
      <c r="M52" s="5"/>
      <c r="N52" s="5"/>
      <c r="O52" s="5"/>
      <c r="P52" s="88"/>
      <c r="Q52" s="96"/>
    </row>
    <row r="53" spans="1:17" s="2" customFormat="1" ht="12" customHeight="1">
      <c r="D53" s="22"/>
      <c r="E53" s="22"/>
      <c r="J53" s="5"/>
      <c r="K53" s="5"/>
      <c r="L53" s="5"/>
      <c r="M53" s="5"/>
      <c r="N53" s="5"/>
      <c r="O53" s="5"/>
      <c r="P53" s="88"/>
      <c r="Q53" s="96"/>
    </row>
    <row r="54" spans="1:17" s="2" customFormat="1" ht="12" customHeight="1">
      <c r="D54" s="22"/>
      <c r="E54" s="22"/>
      <c r="J54" s="5"/>
      <c r="K54" s="5"/>
      <c r="L54" s="5"/>
      <c r="M54" s="5"/>
      <c r="N54" s="5"/>
      <c r="O54" s="5"/>
      <c r="P54" s="88"/>
      <c r="Q54" s="96"/>
    </row>
    <row r="55" spans="1:17" s="2" customFormat="1" ht="12" customHeight="1">
      <c r="D55" s="22"/>
      <c r="E55" s="22"/>
      <c r="J55" s="5"/>
      <c r="K55" s="5"/>
      <c r="L55" s="5"/>
      <c r="M55" s="5"/>
      <c r="N55" s="5"/>
      <c r="O55" s="5"/>
      <c r="P55" s="88"/>
      <c r="Q55" s="96"/>
    </row>
    <row r="56" spans="1:17" s="2" customFormat="1" ht="12" customHeight="1">
      <c r="A56"/>
      <c r="B56"/>
      <c r="C56"/>
      <c r="D56" s="23"/>
      <c r="E56" s="23"/>
      <c r="F56"/>
      <c r="G56"/>
      <c r="H56"/>
      <c r="I56"/>
      <c r="J56" s="19"/>
      <c r="K56" s="19"/>
      <c r="L56" s="19"/>
      <c r="M56" s="19"/>
      <c r="N56" s="19"/>
      <c r="O56" s="19"/>
      <c r="P56" s="90"/>
      <c r="Q56" s="96"/>
    </row>
    <row r="57" spans="1:17" s="2" customFormat="1" ht="12" customHeight="1">
      <c r="A57"/>
      <c r="B57"/>
      <c r="C57"/>
      <c r="D57" s="23"/>
      <c r="E57" s="23"/>
      <c r="F57"/>
      <c r="G57"/>
      <c r="H57"/>
      <c r="I57"/>
      <c r="J57" s="19"/>
      <c r="K57" s="19"/>
      <c r="L57" s="19"/>
      <c r="M57" s="19"/>
      <c r="N57" s="19"/>
      <c r="O57" s="19"/>
      <c r="P57" s="90"/>
      <c r="Q57" s="96"/>
    </row>
    <row r="58" spans="1:17" s="2" customFormat="1" ht="12" customHeight="1">
      <c r="A58"/>
      <c r="B58"/>
      <c r="C58"/>
      <c r="D58" s="23"/>
      <c r="E58" s="23"/>
      <c r="F58"/>
      <c r="G58"/>
      <c r="H58"/>
      <c r="I58"/>
      <c r="J58" s="19"/>
      <c r="K58" s="19"/>
      <c r="L58" s="19"/>
      <c r="M58" s="19"/>
      <c r="N58" s="19"/>
      <c r="O58" s="19"/>
      <c r="P58" s="90"/>
      <c r="Q58" s="96"/>
    </row>
    <row r="59" spans="1:17" s="2" customFormat="1" ht="12" customHeight="1">
      <c r="A59"/>
      <c r="B59"/>
      <c r="C59"/>
      <c r="D59" s="23"/>
      <c r="E59" s="23"/>
      <c r="F59"/>
      <c r="G59"/>
      <c r="H59"/>
      <c r="I59"/>
      <c r="J59" s="19"/>
      <c r="K59" s="19"/>
      <c r="L59" s="19"/>
      <c r="M59" s="19"/>
      <c r="N59" s="19"/>
      <c r="O59" s="19"/>
      <c r="P59" s="90"/>
      <c r="Q59" s="96"/>
    </row>
    <row r="60" spans="1:17" s="2" customFormat="1" ht="12" customHeight="1">
      <c r="A60"/>
      <c r="B60"/>
      <c r="C60"/>
      <c r="D60" s="23"/>
      <c r="E60" s="23"/>
      <c r="F60"/>
      <c r="G60"/>
      <c r="H60"/>
      <c r="I60"/>
      <c r="J60" s="19"/>
      <c r="K60" s="19"/>
      <c r="L60" s="19"/>
      <c r="M60" s="19"/>
      <c r="N60" s="19"/>
      <c r="O60" s="19"/>
      <c r="P60" s="90"/>
      <c r="Q60" s="96"/>
    </row>
    <row r="61" spans="1:17">
      <c r="Q61" s="96"/>
    </row>
    <row r="62" spans="1:17">
      <c r="Q62" s="96"/>
    </row>
    <row r="63" spans="1:17">
      <c r="Q63" s="96"/>
    </row>
    <row r="64" spans="1:17">
      <c r="Q64" s="96"/>
    </row>
    <row r="65" spans="17:17">
      <c r="Q65" s="96"/>
    </row>
    <row r="66" spans="17:17">
      <c r="Q66" s="96"/>
    </row>
    <row r="67" spans="17:17">
      <c r="Q67" s="96"/>
    </row>
    <row r="68" spans="17:17">
      <c r="Q68" s="96"/>
    </row>
    <row r="69" spans="17:17">
      <c r="Q69" s="96"/>
    </row>
    <row r="70" spans="17:17">
      <c r="Q70" s="96"/>
    </row>
    <row r="71" spans="17:17">
      <c r="Q71" s="96"/>
    </row>
    <row r="72" spans="17:17">
      <c r="Q72" s="96"/>
    </row>
    <row r="73" spans="17:17">
      <c r="Q73" s="96"/>
    </row>
    <row r="74" spans="17:17">
      <c r="Q74" s="96"/>
    </row>
    <row r="75" spans="17:17">
      <c r="Q75" s="96"/>
    </row>
    <row r="76" spans="17:17">
      <c r="Q76" s="96"/>
    </row>
    <row r="77" spans="17:17">
      <c r="Q77" s="96"/>
    </row>
    <row r="78" spans="17:17">
      <c r="Q78" s="96"/>
    </row>
    <row r="79" spans="17:17">
      <c r="Q79" s="96"/>
    </row>
    <row r="80" spans="17:17">
      <c r="Q80" s="96"/>
    </row>
    <row r="117" ht="12" customHeight="1"/>
    <row r="118" ht="12" customHeight="1"/>
    <row r="119" ht="12" customHeight="1"/>
    <row r="120" ht="12" customHeight="1"/>
    <row r="121" ht="12" customHeight="1"/>
    <row r="122" ht="12" customHeight="1"/>
    <row r="123" ht="12" customHeight="1"/>
    <row r="124" ht="12" customHeight="1"/>
    <row r="125" ht="12" customHeight="1"/>
    <row r="126" ht="12" customHeight="1"/>
    <row r="127" ht="12" customHeight="1"/>
    <row r="128" ht="12" customHeight="1"/>
    <row r="129" ht="12" customHeight="1"/>
    <row r="130" ht="12" customHeight="1"/>
    <row r="131" ht="12" customHeight="1"/>
    <row r="132" ht="12" customHeight="1"/>
    <row r="133" ht="12" customHeight="1"/>
    <row r="134" ht="12" customHeight="1"/>
    <row r="135" ht="12" customHeight="1"/>
    <row r="136" ht="12" customHeight="1"/>
    <row r="137" ht="12" customHeight="1"/>
    <row r="138" ht="12" customHeight="1"/>
    <row r="139" ht="12" customHeight="1"/>
    <row r="140" ht="12" customHeight="1"/>
    <row r="141" ht="12" customHeight="1"/>
    <row r="142" ht="12" customHeight="1"/>
    <row r="143" ht="12" customHeight="1"/>
    <row r="144" ht="12" customHeight="1"/>
    <row r="145" ht="12" customHeight="1"/>
    <row r="146" ht="12" customHeight="1"/>
    <row r="147" ht="12" customHeight="1"/>
    <row r="148" ht="12" customHeight="1"/>
    <row r="149" ht="12" customHeight="1"/>
    <row r="150" ht="12" customHeight="1"/>
    <row r="151" ht="12" customHeight="1"/>
    <row r="152" ht="12" customHeight="1"/>
    <row r="153" ht="12" customHeight="1"/>
    <row r="154" ht="12" customHeight="1"/>
    <row r="155" ht="12" customHeight="1"/>
    <row r="156" ht="12" customHeight="1"/>
    <row r="157" ht="12" customHeight="1"/>
    <row r="158" ht="12" customHeight="1"/>
    <row r="159" ht="12" customHeight="1"/>
    <row r="160" ht="12" customHeight="1"/>
    <row r="161" ht="12" customHeight="1"/>
    <row r="162" ht="12" customHeight="1"/>
    <row r="163" ht="12" customHeight="1"/>
    <row r="164" ht="12" customHeight="1"/>
    <row r="165" ht="12" customHeight="1"/>
    <row r="166" ht="12" customHeight="1"/>
  </sheetData>
  <mergeCells count="20">
    <mergeCell ref="D13:E13"/>
    <mergeCell ref="H13:I13"/>
    <mergeCell ref="D10:E10"/>
    <mergeCell ref="H10:I10"/>
    <mergeCell ref="D11:E11"/>
    <mergeCell ref="H11:I11"/>
    <mergeCell ref="D12:E12"/>
    <mergeCell ref="D7:E7"/>
    <mergeCell ref="H7:I7"/>
    <mergeCell ref="D8:E8"/>
    <mergeCell ref="H8:I8"/>
    <mergeCell ref="D9:E9"/>
    <mergeCell ref="H9:I9"/>
    <mergeCell ref="D6:E6"/>
    <mergeCell ref="H6:I6"/>
    <mergeCell ref="D1:E1"/>
    <mergeCell ref="D4:E4"/>
    <mergeCell ref="H4:I4"/>
    <mergeCell ref="D5:E5"/>
    <mergeCell ref="H5:I5"/>
  </mergeCells>
  <pageMargins left="0.7" right="0.7" top="0.75" bottom="0.75" header="0.3" footer="0.3"/>
  <pageSetup paperSize="3" fitToHeight="0" orientation="landscape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49DC37C8-094B-4201-9FCB-D166FFFFDC36}">
          <x14:formula1>
            <xm:f>Assemblies!$E:$E</xm:f>
          </x14:formula1>
          <xm:sqref>C5:C12</xm:sqref>
        </x14:dataValidation>
      </x14:dataValidations>
    </ext>
  </extLst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50FA5A-35EA-499F-B91C-72EA927727BE}">
  <sheetPr codeName="Sheet117">
    <tabColor theme="3" tint="0.59999389629810485"/>
    <pageSetUpPr fitToPage="1"/>
  </sheetPr>
  <dimension ref="A1:R177"/>
  <sheetViews>
    <sheetView zoomScaleNormal="100" workbookViewId="0">
      <selection activeCell="P5" sqref="P5"/>
    </sheetView>
  </sheetViews>
  <sheetFormatPr defaultColWidth="9.140625" defaultRowHeight="15"/>
  <cols>
    <col min="1" max="1" width="5.7109375" customWidth="1"/>
    <col min="2" max="2" width="5.42578125" bestFit="1" customWidth="1"/>
    <col min="3" max="3" width="30.7109375" customWidth="1"/>
    <col min="4" max="5" width="20.7109375" style="23" customWidth="1"/>
    <col min="6" max="6" width="16.85546875" bestFit="1" customWidth="1"/>
    <col min="7" max="7" width="9.7109375" customWidth="1"/>
    <col min="8" max="8" width="8.7109375" customWidth="1"/>
    <col min="9" max="9" width="20.7109375" customWidth="1"/>
    <col min="10" max="13" width="11.7109375" style="19" customWidth="1"/>
    <col min="14" max="14" width="11.85546875" style="19" bestFit="1" customWidth="1"/>
    <col min="15" max="15" width="7.7109375" style="19" customWidth="1"/>
    <col min="16" max="16" width="10.7109375" style="90" customWidth="1"/>
    <col min="17" max="17" width="10.7109375" style="97" customWidth="1"/>
  </cols>
  <sheetData>
    <row r="1" spans="1:18" s="55" customFormat="1" ht="12" customHeight="1">
      <c r="A1" s="68" t="s">
        <v>0</v>
      </c>
      <c r="B1" s="69"/>
      <c r="C1" s="69"/>
      <c r="D1" s="262" t="s">
        <v>1</v>
      </c>
      <c r="E1" s="263"/>
      <c r="F1" s="70"/>
      <c r="G1" s="69"/>
      <c r="H1" s="70"/>
      <c r="I1" s="71"/>
      <c r="J1" s="72"/>
      <c r="K1" s="72"/>
      <c r="L1" s="72"/>
      <c r="M1" s="72"/>
      <c r="N1" s="72"/>
      <c r="O1" s="72"/>
      <c r="P1" s="85"/>
      <c r="Q1" s="91"/>
    </row>
    <row r="2" spans="1:18" s="55" customFormat="1" ht="12" customHeight="1">
      <c r="A2" s="74" t="s">
        <v>48</v>
      </c>
      <c r="B2" s="58"/>
      <c r="C2" s="57" t="e">
        <f ca="1">VLOOKUP(E3,Assemblies!B:F,4,0)</f>
        <v>#VALUE!</v>
      </c>
      <c r="D2" s="75" t="s">
        <v>3</v>
      </c>
      <c r="E2" s="76" t="e">
        <f ca="1">'GF12'!E2</f>
        <v>#VALUE!</v>
      </c>
      <c r="F2" s="77" t="s">
        <v>4</v>
      </c>
      <c r="G2" s="58" t="str">
        <f>'GF12'!G2</f>
        <v>GH</v>
      </c>
      <c r="H2" s="77" t="s">
        <v>6</v>
      </c>
      <c r="I2" s="59">
        <f>'GF12'!I2</f>
        <v>44775</v>
      </c>
      <c r="J2" s="39"/>
      <c r="K2" s="40" t="s">
        <v>49</v>
      </c>
      <c r="L2" s="41" t="e">
        <f ca="1">VLOOKUP(C2,Assemblies!E:G,3,0)</f>
        <v>#VALUE!</v>
      </c>
      <c r="M2" s="78"/>
      <c r="N2" s="78"/>
      <c r="O2" s="78"/>
      <c r="P2" s="86"/>
      <c r="Q2" s="92"/>
    </row>
    <row r="3" spans="1:18" s="55" customFormat="1" ht="12" customHeight="1" thickBot="1">
      <c r="A3" s="74" t="s">
        <v>7</v>
      </c>
      <c r="B3" s="58"/>
      <c r="C3" s="57" t="e">
        <f ca="1">VLOOKUP(E3,Assemblies!B:F,5,0)</f>
        <v>#VALUE!</v>
      </c>
      <c r="D3" s="75" t="s">
        <v>50</v>
      </c>
      <c r="E3" s="76" t="e">
        <f ca="1">MID(CELL("filename",A1),FIND("]",CELL("filename",A1))+1,256)</f>
        <v>#VALUE!</v>
      </c>
      <c r="F3" s="77" t="s">
        <v>11</v>
      </c>
      <c r="G3" s="58" t="str">
        <f>'GF12'!G3</f>
        <v>GH</v>
      </c>
      <c r="H3" s="77" t="s">
        <v>6</v>
      </c>
      <c r="I3" s="59">
        <f>'GF12'!I3</f>
        <v>44775</v>
      </c>
      <c r="J3" s="78"/>
      <c r="K3" s="78"/>
      <c r="L3" s="78"/>
      <c r="M3" s="78"/>
      <c r="N3" s="78"/>
      <c r="O3" s="78"/>
      <c r="P3" s="86"/>
      <c r="Q3" s="92"/>
    </row>
    <row r="4" spans="1:18" s="56" customFormat="1" ht="12.75" customHeight="1" thickBot="1">
      <c r="A4" s="80" t="s">
        <v>12</v>
      </c>
      <c r="B4" s="81" t="s">
        <v>13</v>
      </c>
      <c r="C4" s="81" t="s">
        <v>14</v>
      </c>
      <c r="D4" s="270" t="s">
        <v>15</v>
      </c>
      <c r="E4" s="271"/>
      <c r="F4" s="104" t="s">
        <v>16</v>
      </c>
      <c r="G4" s="81" t="s">
        <v>17</v>
      </c>
      <c r="H4" s="260" t="s">
        <v>18</v>
      </c>
      <c r="I4" s="261"/>
      <c r="J4" s="81" t="s">
        <v>51</v>
      </c>
      <c r="K4" s="81" t="s">
        <v>20</v>
      </c>
      <c r="L4" s="81" t="s">
        <v>21</v>
      </c>
      <c r="M4" s="81" t="s">
        <v>52</v>
      </c>
      <c r="N4" s="81" t="s">
        <v>22</v>
      </c>
      <c r="O4" s="81" t="s">
        <v>53</v>
      </c>
      <c r="P4" s="107" t="s">
        <v>26</v>
      </c>
      <c r="Q4" s="82" t="s">
        <v>27</v>
      </c>
    </row>
    <row r="5" spans="1:18" s="21" customFormat="1" ht="12.75" customHeight="1">
      <c r="A5" s="66" t="s">
        <v>54</v>
      </c>
      <c r="B5" s="1">
        <v>8</v>
      </c>
      <c r="C5" s="67" t="s">
        <v>782</v>
      </c>
      <c r="D5" s="277" t="e">
        <f ca="1">VLOOKUP(C5,Assemblies!E:S,2,0)</f>
        <v>#N/A</v>
      </c>
      <c r="E5" s="278"/>
      <c r="F5" s="32"/>
      <c r="G5" s="32"/>
      <c r="H5" s="292"/>
      <c r="I5" s="293"/>
      <c r="J5" s="28"/>
      <c r="K5" s="28"/>
      <c r="L5" s="28"/>
      <c r="M5" s="28"/>
      <c r="N5" s="33"/>
      <c r="O5" s="46" t="e">
        <f t="shared" ref="O5" ca="1" si="0">B5*$L$2</f>
        <v>#VALUE!</v>
      </c>
      <c r="P5" s="87">
        <f>'311'!Q10</f>
        <v>58.879999999999995</v>
      </c>
      <c r="Q5" s="93">
        <f t="shared" ref="Q5" si="1">B5*P5</f>
        <v>471.03999999999996</v>
      </c>
    </row>
    <row r="6" spans="1:18" s="21" customFormat="1" ht="12.75" customHeight="1">
      <c r="A6" s="25"/>
      <c r="B6" s="26"/>
      <c r="C6" s="26"/>
      <c r="D6" s="272"/>
      <c r="E6" s="273"/>
      <c r="F6" s="26"/>
      <c r="G6" s="26"/>
      <c r="H6" s="274"/>
      <c r="I6" s="275"/>
      <c r="J6" s="27"/>
      <c r="K6" s="27"/>
      <c r="L6" s="27"/>
      <c r="M6" s="28"/>
      <c r="N6" s="29"/>
      <c r="O6" s="29"/>
      <c r="P6" s="141"/>
      <c r="Q6" s="142"/>
      <c r="R6" s="20"/>
    </row>
    <row r="7" spans="1:18" s="2" customFormat="1" ht="12.75" customHeight="1">
      <c r="A7" s="127">
        <v>1</v>
      </c>
      <c r="B7" s="21">
        <v>2</v>
      </c>
      <c r="C7" s="108" t="s">
        <v>1198</v>
      </c>
      <c r="D7" s="277" t="str">
        <f>VLOOKUP(C7,Machined!C:Q,2,0)</f>
        <v>Cap Bowl Rail Plate</v>
      </c>
      <c r="E7" s="278"/>
      <c r="F7" s="131" t="str">
        <f>VLOOKUP(C7,Machined!C:R,7,0)</f>
        <v>6061-T6 Alum</v>
      </c>
      <c r="G7" s="131" t="str">
        <f>VLOOKUP(C7,Machined!C:R,10,0)</f>
        <v>BEMOX</v>
      </c>
      <c r="H7" s="131" t="str">
        <f>VLOOKUP(C7,Machined!C:R,11,0)</f>
        <v xml:space="preserve">  </v>
      </c>
      <c r="I7" s="131"/>
      <c r="J7" s="42">
        <f>VLOOKUP(C7,Machined!C:R,12,0)</f>
        <v>45141</v>
      </c>
      <c r="K7" s="42">
        <f>VLOOKUP(C7,Machined!C:R,13,0)</f>
        <v>45141</v>
      </c>
      <c r="L7" s="42">
        <f>VLOOKUP(C7,Machined!C:R,14,0)</f>
        <v>45171</v>
      </c>
      <c r="M7" s="42">
        <f>VLOOKUP(C7,Machined!C:R,15,0)</f>
        <v>45171</v>
      </c>
      <c r="N7" s="43">
        <f>VLOOKUP(C7,Machined!C:R,16,0)</f>
        <v>55029</v>
      </c>
      <c r="O7" s="43" t="e">
        <f t="shared" ref="O7" ca="1" si="2">B7*$L$2</f>
        <v>#VALUE!</v>
      </c>
      <c r="P7" s="47">
        <f>IFERROR(VLOOKUP(C7,Machined!C:F,3,0),"")</f>
        <v>513.5</v>
      </c>
      <c r="Q7" s="48">
        <f t="shared" ref="Q7" si="3">IFERROR(B7*P7,"")</f>
        <v>1027</v>
      </c>
    </row>
    <row r="8" spans="1:18" s="2" customFormat="1" ht="12.75" customHeight="1">
      <c r="A8" s="143"/>
      <c r="B8" s="26"/>
      <c r="C8" s="26"/>
      <c r="D8" s="272"/>
      <c r="E8" s="273"/>
      <c r="F8" s="26"/>
      <c r="G8" s="26"/>
      <c r="H8" s="274"/>
      <c r="I8" s="275"/>
      <c r="J8" s="27"/>
      <c r="K8" s="27"/>
      <c r="L8" s="27"/>
      <c r="M8" s="28"/>
      <c r="N8" s="29"/>
      <c r="O8" s="29"/>
      <c r="P8" s="141"/>
      <c r="Q8" s="142"/>
    </row>
    <row r="9" spans="1:18" s="2" customFormat="1" ht="12.75" customHeight="1">
      <c r="A9" s="4">
        <v>301</v>
      </c>
      <c r="B9" s="2">
        <v>2</v>
      </c>
      <c r="C9" s="114" t="s">
        <v>1199</v>
      </c>
      <c r="D9" s="268" t="str">
        <f>VLOOKUP(C9,Purchased!A:B,2,0)</f>
        <v>BRL 25mm Ball Rail, Cap Bowl</v>
      </c>
      <c r="E9" s="269"/>
      <c r="F9" s="112" t="str">
        <f>VLOOKUP(C9,Purchased!A:Q,9,0)</f>
        <v>BRL</v>
      </c>
      <c r="G9" s="112" t="str">
        <f>VLOOKUP(C9,Purchased!A:Q,10,0)</f>
        <v>AAP</v>
      </c>
      <c r="H9" s="112" t="str">
        <f>VLOOKUP(C9,Purchased!A:Q,12,0)</f>
        <v xml:space="preserve"> </v>
      </c>
      <c r="I9" s="113"/>
      <c r="J9" s="44">
        <f>VLOOKUP(C9,Purchased!A:Q,13,0)</f>
        <v>45093</v>
      </c>
      <c r="K9" s="44">
        <f>VLOOKUP(C9,Purchased!A:Q,14,0)</f>
        <v>45093</v>
      </c>
      <c r="L9" s="44">
        <f>VLOOKUP(C9,Purchased!A:Q,15,0)</f>
        <v>45184</v>
      </c>
      <c r="M9" s="44">
        <f>VLOOKUP(C9,Purchased!A:Q,16,0)</f>
        <v>45184</v>
      </c>
      <c r="N9" s="45">
        <f>VLOOKUP(C9,Purchased!A:Q,17,0)</f>
        <v>54942</v>
      </c>
      <c r="O9" s="45" t="e">
        <f t="shared" ref="O9:O14" ca="1" si="4">B9*$L$2</f>
        <v>#VALUE!</v>
      </c>
      <c r="P9" s="49">
        <f>IFERROR(VLOOKUP(C9,Purchased!A:E,3,FALSE),"")</f>
        <v>791.654</v>
      </c>
      <c r="Q9" s="50">
        <f t="shared" ref="Q9:Q14" si="5">IFERROR(B9*P9,"")</f>
        <v>1583.308</v>
      </c>
    </row>
    <row r="10" spans="1:18" s="2" customFormat="1" ht="12" customHeight="1">
      <c r="A10" s="4">
        <f t="shared" ref="A10:A14" si="6">A9+1</f>
        <v>302</v>
      </c>
      <c r="B10" s="2">
        <v>4</v>
      </c>
      <c r="C10" s="114" t="s">
        <v>263</v>
      </c>
      <c r="D10" s="268" t="str">
        <f>VLOOKUP(C10,Purchased!A:B,2,0)</f>
        <v>Dowel Pin 52100 Alloy Steel, 10 mm Diameter, 20 mm Long, 10pk</v>
      </c>
      <c r="E10" s="269"/>
      <c r="F10" s="112" t="str">
        <f>VLOOKUP(C10,Purchased!A:Q,9,0)</f>
        <v>MCM</v>
      </c>
      <c r="G10" s="112" t="str">
        <f>VLOOKUP(C10,Purchased!A:Q,10,0)</f>
        <v>MCM</v>
      </c>
      <c r="H10" s="112" t="str">
        <f>VLOOKUP(C10,Purchased!A:Q,12,0)</f>
        <v>Pack of 10</v>
      </c>
      <c r="I10" s="113"/>
      <c r="J10" s="44" t="str">
        <f>VLOOKUP(C10,Purchased!A:Q,13,0)</f>
        <v>N/A</v>
      </c>
      <c r="K10" s="44">
        <f>VLOOKUP(C10,Purchased!A:Q,14,0)</f>
        <v>45162</v>
      </c>
      <c r="L10" s="44">
        <f>VLOOKUP(C10,Purchased!A:Q,15,0)</f>
        <v>45184</v>
      </c>
      <c r="M10" s="44">
        <f>VLOOKUP(C10,Purchased!A:Q,16,0)</f>
        <v>45163</v>
      </c>
      <c r="N10" s="45">
        <f>VLOOKUP(C10,Purchased!A:Q,17,0)</f>
        <v>55088</v>
      </c>
      <c r="O10" s="45" t="e">
        <f t="shared" ca="1" si="4"/>
        <v>#VALUE!</v>
      </c>
      <c r="P10" s="49">
        <f>IFERROR(VLOOKUP(C10,Purchased!A:E,3,FALSE),"")</f>
        <v>10.57</v>
      </c>
      <c r="Q10" s="50">
        <f t="shared" si="5"/>
        <v>42.28</v>
      </c>
    </row>
    <row r="11" spans="1:18" s="2" customFormat="1" ht="12" customHeight="1">
      <c r="A11" s="4">
        <f t="shared" si="6"/>
        <v>303</v>
      </c>
      <c r="B11" s="2">
        <v>40</v>
      </c>
      <c r="C11" s="114" t="s">
        <v>262</v>
      </c>
      <c r="D11" s="268" t="str">
        <f>VLOOKUP(C11,Purchased!A:B,2,0)</f>
        <v>BRX GOTO T-NUT 10 M6</v>
      </c>
      <c r="E11" s="269"/>
      <c r="F11" s="112" t="str">
        <f>VLOOKUP(C11,Purchased!A:Q,9,0)</f>
        <v>BRX</v>
      </c>
      <c r="G11" s="112" t="str">
        <f>VLOOKUP(C11,Purchased!A:Q,10,0)</f>
        <v>AAP</v>
      </c>
      <c r="H11" s="112" t="str">
        <f>VLOOKUP(C11,Purchased!A:Q,12,0)</f>
        <v xml:space="preserve">  </v>
      </c>
      <c r="I11" s="113"/>
      <c r="J11" s="44">
        <f>VLOOKUP(C11,Purchased!A:Q,13,0)</f>
        <v>45104</v>
      </c>
      <c r="K11" s="44">
        <f>VLOOKUP(C11,Purchased!A:Q,14,0)</f>
        <v>45105</v>
      </c>
      <c r="L11" s="44">
        <f>VLOOKUP(C11,Purchased!A:Q,15,0)</f>
        <v>45133</v>
      </c>
      <c r="M11" s="44">
        <f>VLOOKUP(C11,Purchased!A:Q,16,0)</f>
        <v>45133</v>
      </c>
      <c r="N11" s="45" t="str">
        <f>VLOOKUP(C11,Purchased!A:Q,17,0)</f>
        <v>54968, 55147, 55270</v>
      </c>
      <c r="O11" s="45" t="e">
        <f t="shared" ca="1" si="4"/>
        <v>#VALUE!</v>
      </c>
      <c r="P11" s="49">
        <f>IFERROR(VLOOKUP(C11,Purchased!A:E,3,FALSE),"")</f>
        <v>0.64290000000000003</v>
      </c>
      <c r="Q11" s="50">
        <f t="shared" si="5"/>
        <v>25.716000000000001</v>
      </c>
    </row>
    <row r="12" spans="1:18" s="2" customFormat="1" ht="12" customHeight="1">
      <c r="A12" s="4">
        <f t="shared" si="6"/>
        <v>304</v>
      </c>
      <c r="B12" s="2">
        <v>116</v>
      </c>
      <c r="C12" s="114" t="s">
        <v>244</v>
      </c>
      <c r="D12" s="268" t="str">
        <f>VLOOKUP(C12,Purchased!A:B,2,0)</f>
        <v>BRX GOTO QUICK CONNECTOR N10 0°</v>
      </c>
      <c r="E12" s="269"/>
      <c r="F12" s="112" t="str">
        <f>VLOOKUP(C12,Purchased!A:Q,9,0)</f>
        <v>BRX</v>
      </c>
      <c r="G12" s="112" t="str">
        <f>VLOOKUP(C12,Purchased!A:Q,10,0)</f>
        <v>AAP</v>
      </c>
      <c r="H12" s="112" t="str">
        <f>VLOOKUP(C12,Purchased!A:Q,12,0)</f>
        <v>17 in stock</v>
      </c>
      <c r="I12" s="113"/>
      <c r="J12" s="44" t="str">
        <f>VLOOKUP(C12,Purchased!A:Q,13,0)</f>
        <v>N/A</v>
      </c>
      <c r="K12" s="44">
        <f>VLOOKUP(C12,Purchased!A:Q,14,0)</f>
        <v>45089</v>
      </c>
      <c r="L12" s="44">
        <f>VLOOKUP(C12,Purchased!A:Q,15,0)</f>
        <v>45124</v>
      </c>
      <c r="M12" s="44">
        <f>VLOOKUP(C12,Purchased!A:Q,16,0)</f>
        <v>45124</v>
      </c>
      <c r="N12" s="45" t="str">
        <f>VLOOKUP(C12,Purchased!A:Q,17,0)</f>
        <v>500x54927, 500x55060</v>
      </c>
      <c r="O12" s="45" t="e">
        <f t="shared" ca="1" si="4"/>
        <v>#VALUE!</v>
      </c>
      <c r="P12" s="49">
        <f>IFERROR(VLOOKUP(C12,Purchased!A:E,3,FALSE),"")</f>
        <v>5.2857000000000003</v>
      </c>
      <c r="Q12" s="50">
        <f t="shared" si="5"/>
        <v>613.14120000000003</v>
      </c>
    </row>
    <row r="13" spans="1:18" s="2" customFormat="1" ht="12" customHeight="1">
      <c r="A13" s="4">
        <f t="shared" si="6"/>
        <v>305</v>
      </c>
      <c r="B13" s="2">
        <v>4</v>
      </c>
      <c r="C13" s="114" t="s">
        <v>243</v>
      </c>
      <c r="D13" s="268" t="str">
        <f>VLOOKUP(C13,Purchased!A:B,2,0)</f>
        <v>BRX GOTO QUICK CONNECTOR N10 90°</v>
      </c>
      <c r="E13" s="269"/>
      <c r="F13" s="112" t="str">
        <f>VLOOKUP(C13,Purchased!A:Q,9,0)</f>
        <v>BRX</v>
      </c>
      <c r="G13" s="112" t="str">
        <f>VLOOKUP(C13,Purchased!A:Q,10,0)</f>
        <v>AAP</v>
      </c>
      <c r="H13" s="112" t="str">
        <f>VLOOKUP(C13,Purchased!A:Q,12,0)</f>
        <v xml:space="preserve">  </v>
      </c>
      <c r="I13" s="113"/>
      <c r="J13" s="44" t="str">
        <f>VLOOKUP(C13,Purchased!A:Q,13,0)</f>
        <v>N/A</v>
      </c>
      <c r="K13" s="44">
        <f>VLOOKUP(C13,Purchased!A:Q,14,0)</f>
        <v>45089</v>
      </c>
      <c r="L13" s="44">
        <f>VLOOKUP(C13,Purchased!A:Q,15,0)</f>
        <v>45124</v>
      </c>
      <c r="M13" s="44">
        <f>VLOOKUP(C13,Purchased!A:Q,16,0)</f>
        <v>45124</v>
      </c>
      <c r="N13" s="45">
        <f>VLOOKUP(C13,Purchased!A:Q,17,0)</f>
        <v>54927</v>
      </c>
      <c r="O13" s="45" t="e">
        <f t="shared" ca="1" si="4"/>
        <v>#VALUE!</v>
      </c>
      <c r="P13" s="49">
        <f>IFERROR(VLOOKUP(C13,Purchased!A:E,3,FALSE),"")</f>
        <v>5.2857000000000003</v>
      </c>
      <c r="Q13" s="50">
        <f t="shared" si="5"/>
        <v>21.142800000000001</v>
      </c>
    </row>
    <row r="14" spans="1:18" s="2" customFormat="1" ht="12" customHeight="1">
      <c r="A14" s="4">
        <f t="shared" si="6"/>
        <v>306</v>
      </c>
      <c r="B14" s="2">
        <v>6</v>
      </c>
      <c r="C14" s="114" t="s">
        <v>245</v>
      </c>
      <c r="D14" s="268" t="str">
        <f>VLOOKUP(C14,Purchased!A:B,2,0)</f>
        <v>BRX 3842548758 Cover Cap 90x90 Grey</v>
      </c>
      <c r="E14" s="269"/>
      <c r="F14" s="112" t="str">
        <f>VLOOKUP(C14,Purchased!A:Q,9,0)</f>
        <v>BRX</v>
      </c>
      <c r="G14" s="112" t="str">
        <f>VLOOKUP(C14,Purchased!A:Q,10,0)</f>
        <v>AAP</v>
      </c>
      <c r="H14" s="112" t="str">
        <f>VLOOKUP(C14,Purchased!A:Q,12,0)</f>
        <v xml:space="preserve"> </v>
      </c>
      <c r="I14" s="113"/>
      <c r="J14" s="44" t="str">
        <f>VLOOKUP(C14,Purchased!A:Q,13,0)</f>
        <v>N/A</v>
      </c>
      <c r="K14" s="44">
        <f>VLOOKUP(C14,Purchased!A:Q,14,0)</f>
        <v>45162</v>
      </c>
      <c r="L14" s="44">
        <f>VLOOKUP(C14,Purchased!A:Q,15,0)</f>
        <v>45184</v>
      </c>
      <c r="M14" s="44">
        <f>VLOOKUP(C14,Purchased!A:Q,16,0)</f>
        <v>45197</v>
      </c>
      <c r="N14" s="45">
        <f>VLOOKUP(C14,Purchased!A:Q,17,0)</f>
        <v>55073</v>
      </c>
      <c r="O14" s="45" t="e">
        <f t="shared" ca="1" si="4"/>
        <v>#VALUE!</v>
      </c>
      <c r="P14" s="49">
        <f>IFERROR(VLOOKUP(C14,Purchased!A:E,3,FALSE),"")</f>
        <v>3.2429000000000001</v>
      </c>
      <c r="Q14" s="50">
        <f t="shared" si="5"/>
        <v>19.4574</v>
      </c>
    </row>
    <row r="15" spans="1:18" s="2" customFormat="1" ht="12.75" customHeight="1">
      <c r="A15" s="25"/>
      <c r="B15" s="26"/>
      <c r="C15" s="26"/>
      <c r="D15" s="272"/>
      <c r="E15" s="273"/>
      <c r="F15" s="26"/>
      <c r="G15" s="26"/>
      <c r="H15" s="274"/>
      <c r="I15" s="275"/>
      <c r="J15" s="27"/>
      <c r="K15" s="27"/>
      <c r="L15" s="27"/>
      <c r="M15" s="28"/>
      <c r="N15" s="29"/>
      <c r="O15" s="29" t="e">
        <f t="shared" ref="O15:O17" ca="1" si="7">B15*$L$2</f>
        <v>#VALUE!</v>
      </c>
      <c r="P15" s="141"/>
      <c r="Q15" s="142"/>
    </row>
    <row r="16" spans="1:18" s="2" customFormat="1" ht="12.75" customHeight="1">
      <c r="A16" s="4">
        <v>501</v>
      </c>
      <c r="B16" s="2">
        <v>40</v>
      </c>
      <c r="C16" s="110" t="s">
        <v>278</v>
      </c>
      <c r="D16" s="268"/>
      <c r="E16" s="276"/>
      <c r="F16" s="112" t="str">
        <f>VLOOKUP(C16,Bolts!A:L,5,0)</f>
        <v xml:space="preserve">  </v>
      </c>
      <c r="G16" s="112" t="str">
        <f>VLOOKUP(C16,Bolts!A:L,6,0)</f>
        <v>Monroe Fasteners</v>
      </c>
      <c r="H16" s="112" t="str">
        <f>VLOOKUP(C16,Bolts!A:L,7,0)</f>
        <v xml:space="preserve">  </v>
      </c>
      <c r="I16" s="112"/>
      <c r="J16" s="44" t="str">
        <f>VLOOKUP(C16,Bolts!A:L,8,0)</f>
        <v xml:space="preserve"> </v>
      </c>
      <c r="K16" s="44" t="str">
        <f>VLOOKUP(C16,Bolts!A:L,9,0)</f>
        <v xml:space="preserve"> </v>
      </c>
      <c r="L16" s="44" t="str">
        <f>VLOOKUP(C16,Bolts!A:L,10,0)</f>
        <v xml:space="preserve"> </v>
      </c>
      <c r="M16" s="44" t="str">
        <f>VLOOKUP(C16,Bolts!A:L,11,0)</f>
        <v xml:space="preserve"> </v>
      </c>
      <c r="N16" s="45" t="str">
        <f>VLOOKUP(C16,Bolts!A:L,12,0)</f>
        <v xml:space="preserve"> </v>
      </c>
      <c r="O16" s="45" t="e">
        <f t="shared" ca="1" si="7"/>
        <v>#VALUE!</v>
      </c>
      <c r="P16" s="49" t="str">
        <f>IFERROR(VLOOKUP(C16,Bolts!A:B,2,FALSE),"")</f>
        <v xml:space="preserve"> </v>
      </c>
      <c r="Q16" s="50" t="str">
        <f t="shared" ref="Q16:Q17" si="8">IFERROR(B16*P16,"")</f>
        <v/>
      </c>
    </row>
    <row r="17" spans="1:17" s="2" customFormat="1" ht="12.75" customHeight="1">
      <c r="A17" s="4">
        <f t="shared" ref="A17" si="9">A16+1</f>
        <v>502</v>
      </c>
      <c r="B17" s="2">
        <v>34</v>
      </c>
      <c r="C17" s="110" t="s">
        <v>479</v>
      </c>
      <c r="D17" s="268"/>
      <c r="E17" s="276"/>
      <c r="F17" s="112" t="str">
        <f>VLOOKUP(C17,Bolts!A:L,5,0)</f>
        <v xml:space="preserve">  </v>
      </c>
      <c r="G17" s="112" t="str">
        <f>VLOOKUP(C17,Bolts!A:L,6,0)</f>
        <v>Monroe Fasteners</v>
      </c>
      <c r="H17" s="112" t="str">
        <f>VLOOKUP(C17,Bolts!A:L,7,0)</f>
        <v xml:space="preserve">  </v>
      </c>
      <c r="I17" s="112"/>
      <c r="J17" s="44" t="str">
        <f>VLOOKUP(C17,Bolts!A:L,8,0)</f>
        <v xml:space="preserve"> </v>
      </c>
      <c r="K17" s="44" t="str">
        <f>VLOOKUP(C17,Bolts!A:L,9,0)</f>
        <v xml:space="preserve"> </v>
      </c>
      <c r="L17" s="44" t="str">
        <f>VLOOKUP(C17,Bolts!A:L,10,0)</f>
        <v xml:space="preserve"> </v>
      </c>
      <c r="M17" s="44" t="str">
        <f>VLOOKUP(C17,Bolts!A:L,11,0)</f>
        <v xml:space="preserve"> </v>
      </c>
      <c r="N17" s="45" t="str">
        <f>VLOOKUP(C17,Bolts!A:L,12,0)</f>
        <v xml:space="preserve"> </v>
      </c>
      <c r="O17" s="45" t="e">
        <f t="shared" ca="1" si="7"/>
        <v>#VALUE!</v>
      </c>
      <c r="P17" s="49" t="str">
        <f>IFERROR(VLOOKUP(C17,Bolts!A:B,2,FALSE),"")</f>
        <v xml:space="preserve"> </v>
      </c>
      <c r="Q17" s="50" t="str">
        <f t="shared" si="8"/>
        <v/>
      </c>
    </row>
    <row r="18" spans="1:17" s="2" customFormat="1" ht="12.75" customHeight="1">
      <c r="A18" s="25"/>
      <c r="B18" s="26"/>
      <c r="C18" s="26"/>
      <c r="D18" s="272"/>
      <c r="E18" s="273"/>
      <c r="F18" s="26"/>
      <c r="G18" s="26"/>
      <c r="H18" s="274"/>
      <c r="I18" s="275"/>
      <c r="J18" s="27"/>
      <c r="K18" s="27"/>
      <c r="L18" s="27"/>
      <c r="M18" s="28"/>
      <c r="N18" s="29"/>
      <c r="O18" s="29"/>
      <c r="P18" s="141"/>
      <c r="Q18" s="142"/>
    </row>
    <row r="19" spans="1:17" s="2" customFormat="1" ht="12.75" customHeight="1">
      <c r="A19" s="4">
        <v>701</v>
      </c>
      <c r="B19" s="2">
        <v>2</v>
      </c>
      <c r="C19" s="111" t="s">
        <v>1200</v>
      </c>
      <c r="D19" s="268" t="str">
        <f>VLOOKUP(C19,Extrusion!B:C,2,0)</f>
        <v>Assy .610</v>
      </c>
      <c r="E19" s="269"/>
      <c r="F19" s="112" t="str">
        <f>VLOOKUP(C19,Extrusion!B:M,6,0)</f>
        <v>BOSCH</v>
      </c>
      <c r="G19" s="112" t="str">
        <f>VLOOKUP(C19,Extrusion!B:M,7,0)</f>
        <v>NULINE</v>
      </c>
      <c r="H19" s="112" t="str">
        <f>VLOOKUP(C19,Extrusion!B:M,8,0)</f>
        <v xml:space="preserve"> </v>
      </c>
      <c r="I19" s="113"/>
      <c r="J19" s="44" t="str">
        <f>VLOOKUP(C19,Extrusion!B:M,9,0)</f>
        <v>N/A</v>
      </c>
      <c r="K19" s="44">
        <f>VLOOKUP(C19,Extrusion!B:M,10,0)</f>
        <v>44894</v>
      </c>
      <c r="L19" s="44">
        <f>VLOOKUP(C19,Extrusion!B:M,11,0)</f>
        <v>44970</v>
      </c>
      <c r="M19" s="44">
        <f>VLOOKUP(C19,Extrusion!B:M,12,0)</f>
        <v>44970</v>
      </c>
      <c r="N19" s="45">
        <f>VLOOKUP(C19,Extrusion!B:N,13,0)</f>
        <v>54598</v>
      </c>
      <c r="O19" s="45" t="e">
        <f t="shared" ref="O19:O23" ca="1" si="10">B19*$L$2</f>
        <v>#VALUE!</v>
      </c>
      <c r="P19" s="49">
        <f>IFERROR(VLOOKUP(C19,Extrusion!B:F,5,0),"")</f>
        <v>171.6889214</v>
      </c>
      <c r="Q19" s="50">
        <f t="shared" ref="Q19:Q23" si="11">IFERROR(B19*P19,"")</f>
        <v>343.3778428</v>
      </c>
    </row>
    <row r="20" spans="1:17" s="2" customFormat="1" ht="12" customHeight="1">
      <c r="A20" s="4">
        <f t="shared" ref="A20:A23" si="12">A19+1</f>
        <v>702</v>
      </c>
      <c r="B20" s="2">
        <v>4</v>
      </c>
      <c r="C20" s="111" t="s">
        <v>1201</v>
      </c>
      <c r="D20" s="268" t="str">
        <f>VLOOKUP(C20,Extrusion!B:C,2,0)</f>
        <v>Assy .610</v>
      </c>
      <c r="E20" s="269"/>
      <c r="F20" s="112" t="str">
        <f>VLOOKUP(C20,Extrusion!B:M,6,0)</f>
        <v>BOSCH</v>
      </c>
      <c r="G20" s="112" t="str">
        <f>VLOOKUP(C20,Extrusion!B:M,7,0)</f>
        <v>NULINE</v>
      </c>
      <c r="H20" s="112" t="str">
        <f>VLOOKUP(C20,Extrusion!B:M,8,0)</f>
        <v xml:space="preserve"> </v>
      </c>
      <c r="I20" s="113"/>
      <c r="J20" s="44" t="str">
        <f>VLOOKUP(C20,Extrusion!B:M,9,0)</f>
        <v>N/A</v>
      </c>
      <c r="K20" s="44">
        <f>VLOOKUP(C20,Extrusion!B:M,10,0)</f>
        <v>44894</v>
      </c>
      <c r="L20" s="44">
        <f>VLOOKUP(C20,Extrusion!B:M,11,0)</f>
        <v>44970</v>
      </c>
      <c r="M20" s="44">
        <f>VLOOKUP(C20,Extrusion!B:M,12,0)</f>
        <v>44970</v>
      </c>
      <c r="N20" s="45">
        <f>VLOOKUP(C20,Extrusion!B:N,13,0)</f>
        <v>54598</v>
      </c>
      <c r="O20" s="45" t="e">
        <f t="shared" ca="1" si="10"/>
        <v>#VALUE!</v>
      </c>
      <c r="P20" s="49">
        <f>IFERROR(VLOOKUP(C20,Extrusion!B:F,5,0),"")</f>
        <v>62.284455226666665</v>
      </c>
      <c r="Q20" s="50">
        <f t="shared" si="11"/>
        <v>249.13782090666666</v>
      </c>
    </row>
    <row r="21" spans="1:17" s="2" customFormat="1" ht="12" customHeight="1">
      <c r="A21" s="4">
        <f t="shared" si="12"/>
        <v>703</v>
      </c>
      <c r="B21" s="2">
        <v>6</v>
      </c>
      <c r="C21" s="111" t="s">
        <v>1202</v>
      </c>
      <c r="D21" s="268" t="str">
        <f>VLOOKUP(C21,Extrusion!B:C,2,0)</f>
        <v>Assy .610</v>
      </c>
      <c r="E21" s="269"/>
      <c r="F21" s="112" t="str">
        <f>VLOOKUP(C21,Extrusion!B:M,6,0)</f>
        <v>BOSCH</v>
      </c>
      <c r="G21" s="112" t="str">
        <f>VLOOKUP(C21,Extrusion!B:M,7,0)</f>
        <v>NULINE</v>
      </c>
      <c r="H21" s="112" t="str">
        <f>VLOOKUP(C21,Extrusion!B:M,8,0)</f>
        <v xml:space="preserve"> </v>
      </c>
      <c r="I21" s="113"/>
      <c r="J21" s="44" t="str">
        <f>VLOOKUP(C21,Extrusion!B:M,9,0)</f>
        <v>N/A</v>
      </c>
      <c r="K21" s="44">
        <f>VLOOKUP(C21,Extrusion!B:M,10,0)</f>
        <v>44894</v>
      </c>
      <c r="L21" s="44">
        <f>VLOOKUP(C21,Extrusion!B:M,11,0)</f>
        <v>44970</v>
      </c>
      <c r="M21" s="44">
        <f>VLOOKUP(C21,Extrusion!B:M,12,0)</f>
        <v>44970</v>
      </c>
      <c r="N21" s="45">
        <f>VLOOKUP(C21,Extrusion!B:N,13,0)</f>
        <v>54598</v>
      </c>
      <c r="O21" s="45" t="e">
        <f t="shared" ca="1" si="10"/>
        <v>#VALUE!</v>
      </c>
      <c r="P21" s="49">
        <f>IFERROR(VLOOKUP(C21,Extrusion!B:F,5,0),"")</f>
        <v>58.3783058</v>
      </c>
      <c r="Q21" s="50">
        <f t="shared" si="11"/>
        <v>350.26983480000001</v>
      </c>
    </row>
    <row r="22" spans="1:17" s="2" customFormat="1" ht="12" customHeight="1">
      <c r="A22" s="4">
        <f t="shared" si="12"/>
        <v>704</v>
      </c>
      <c r="B22" s="2">
        <v>8</v>
      </c>
      <c r="C22" s="111" t="s">
        <v>1203</v>
      </c>
      <c r="D22" s="268" t="str">
        <f>VLOOKUP(C22,Extrusion!B:C,2,0)</f>
        <v>Assy .610</v>
      </c>
      <c r="E22" s="269"/>
      <c r="F22" s="112" t="str">
        <f>VLOOKUP(C22,Extrusion!B:M,6,0)</f>
        <v>BOSCH</v>
      </c>
      <c r="G22" s="112" t="str">
        <f>VLOOKUP(C22,Extrusion!B:M,7,0)</f>
        <v>NULINE</v>
      </c>
      <c r="H22" s="112" t="str">
        <f>VLOOKUP(C22,Extrusion!B:M,8,0)</f>
        <v xml:space="preserve"> </v>
      </c>
      <c r="I22" s="113"/>
      <c r="J22" s="44" t="str">
        <f>VLOOKUP(C22,Extrusion!B:M,9,0)</f>
        <v>N/A</v>
      </c>
      <c r="K22" s="44">
        <f>VLOOKUP(C22,Extrusion!B:M,10,0)</f>
        <v>44894</v>
      </c>
      <c r="L22" s="44">
        <f>VLOOKUP(C22,Extrusion!B:M,11,0)</f>
        <v>44970</v>
      </c>
      <c r="M22" s="44">
        <f>VLOOKUP(C22,Extrusion!B:M,12,0)</f>
        <v>44970</v>
      </c>
      <c r="N22" s="45">
        <f>VLOOKUP(C22,Extrusion!B:N,13,0)</f>
        <v>54598</v>
      </c>
      <c r="O22" s="45" t="e">
        <f t="shared" ca="1" si="10"/>
        <v>#VALUE!</v>
      </c>
      <c r="P22" s="49">
        <f>IFERROR(VLOOKUP(C22,Extrusion!B:F,5,0),"")</f>
        <v>44.626077240000001</v>
      </c>
      <c r="Q22" s="50">
        <f t="shared" si="11"/>
        <v>357.00861792000001</v>
      </c>
    </row>
    <row r="23" spans="1:17" s="2" customFormat="1" ht="12" customHeight="1" thickBot="1">
      <c r="A23" s="4">
        <f t="shared" si="12"/>
        <v>705</v>
      </c>
      <c r="B23" s="2">
        <v>2</v>
      </c>
      <c r="C23" s="111" t="s">
        <v>1204</v>
      </c>
      <c r="D23" s="268" t="str">
        <f>VLOOKUP(C23,Extrusion!B:C,2,0)</f>
        <v>Assy .610</v>
      </c>
      <c r="E23" s="269"/>
      <c r="F23" s="112" t="str">
        <f>VLOOKUP(C23,Extrusion!B:M,6,0)</f>
        <v>BOSCH</v>
      </c>
      <c r="G23" s="112" t="str">
        <f>VLOOKUP(C23,Extrusion!B:M,7,0)</f>
        <v>NULINE</v>
      </c>
      <c r="H23" s="112" t="str">
        <f>VLOOKUP(C23,Extrusion!B:M,8,0)</f>
        <v xml:space="preserve"> </v>
      </c>
      <c r="I23" s="113"/>
      <c r="J23" s="44" t="str">
        <f>VLOOKUP(C23,Extrusion!B:M,9,0)</f>
        <v>N/A</v>
      </c>
      <c r="K23" s="44">
        <f>VLOOKUP(C23,Extrusion!B:M,10,0)</f>
        <v>44894</v>
      </c>
      <c r="L23" s="44">
        <f>VLOOKUP(C23,Extrusion!B:M,11,0)</f>
        <v>44970</v>
      </c>
      <c r="M23" s="44">
        <f>VLOOKUP(C23,Extrusion!B:M,12,0)</f>
        <v>44970</v>
      </c>
      <c r="N23" s="45">
        <f>VLOOKUP(C23,Extrusion!B:N,13,0)</f>
        <v>54598</v>
      </c>
      <c r="O23" s="45" t="e">
        <f t="shared" ca="1" si="10"/>
        <v>#VALUE!</v>
      </c>
      <c r="P23" s="49">
        <f>IFERROR(VLOOKUP(C23,Extrusion!B:F,5,0),"")</f>
        <v>48.532226666666666</v>
      </c>
      <c r="Q23" s="50">
        <f t="shared" si="11"/>
        <v>97.064453333333333</v>
      </c>
    </row>
    <row r="24" spans="1:17" s="2" customFormat="1" ht="12.75" customHeight="1" thickBot="1">
      <c r="A24" s="34"/>
      <c r="B24" s="35"/>
      <c r="C24" s="35"/>
      <c r="D24" s="256"/>
      <c r="E24" s="257"/>
      <c r="F24" s="35"/>
      <c r="G24" s="35"/>
      <c r="H24" s="294"/>
      <c r="I24" s="295"/>
      <c r="J24" s="36"/>
      <c r="K24" s="36"/>
      <c r="L24" s="36"/>
      <c r="M24" s="37"/>
      <c r="N24" s="38"/>
      <c r="O24" s="38"/>
      <c r="P24" s="89" t="s">
        <v>43</v>
      </c>
      <c r="Q24" s="94">
        <f>SUM(Q5:Q23)</f>
        <v>5199.9439697600001</v>
      </c>
    </row>
    <row r="25" spans="1:17" s="2" customFormat="1" ht="12" customHeight="1">
      <c r="D25" s="22"/>
      <c r="E25" s="22"/>
      <c r="J25" s="8"/>
      <c r="K25" s="8"/>
      <c r="L25" s="8"/>
      <c r="M25" s="8"/>
      <c r="N25" s="5"/>
      <c r="O25" s="5"/>
      <c r="P25" s="88"/>
      <c r="Q25" s="95"/>
    </row>
    <row r="26" spans="1:17" s="2" customFormat="1" ht="12" customHeight="1">
      <c r="D26" s="22"/>
      <c r="E26" s="22"/>
      <c r="J26" s="5"/>
      <c r="K26" s="5"/>
      <c r="L26" s="5"/>
      <c r="M26" s="5"/>
      <c r="N26" s="5"/>
      <c r="O26" s="5"/>
      <c r="P26" s="88"/>
      <c r="Q26" s="95"/>
    </row>
    <row r="27" spans="1:17" s="2" customFormat="1" ht="12" customHeight="1">
      <c r="D27" s="22"/>
      <c r="E27" s="22"/>
      <c r="J27" s="5"/>
      <c r="K27" s="5"/>
      <c r="L27" s="5"/>
      <c r="M27" s="5"/>
      <c r="N27" s="5"/>
      <c r="O27" s="5"/>
      <c r="P27" s="88"/>
      <c r="Q27" s="95"/>
    </row>
    <row r="28" spans="1:17" s="2" customFormat="1" ht="12" customHeight="1">
      <c r="D28" s="22"/>
      <c r="E28" s="22"/>
      <c r="J28" s="5"/>
      <c r="K28" s="5"/>
      <c r="L28" s="5"/>
      <c r="M28" s="5"/>
      <c r="N28" s="5"/>
      <c r="O28" s="5"/>
      <c r="P28" s="88"/>
      <c r="Q28" s="95"/>
    </row>
    <row r="29" spans="1:17" s="2" customFormat="1" ht="12" customHeight="1">
      <c r="D29" s="22"/>
      <c r="E29" s="22"/>
      <c r="J29" s="5"/>
      <c r="K29" s="5"/>
      <c r="L29" s="5"/>
      <c r="M29" s="5"/>
      <c r="N29" s="5"/>
      <c r="O29" s="5"/>
      <c r="P29" s="88"/>
      <c r="Q29" s="95"/>
    </row>
    <row r="30" spans="1:17" s="2" customFormat="1" ht="12" customHeight="1">
      <c r="D30" s="22"/>
      <c r="E30" s="22"/>
      <c r="J30" s="5"/>
      <c r="K30" s="5"/>
      <c r="L30" s="5"/>
      <c r="M30" s="5"/>
      <c r="N30" s="5"/>
      <c r="O30" s="5"/>
      <c r="P30" s="88"/>
      <c r="Q30" s="95"/>
    </row>
    <row r="31" spans="1:17" s="2" customFormat="1" ht="12" customHeight="1">
      <c r="D31" s="22"/>
      <c r="E31" s="22"/>
      <c r="J31" s="5"/>
      <c r="K31" s="5"/>
      <c r="L31" s="5"/>
      <c r="M31" s="5"/>
      <c r="N31" s="5"/>
      <c r="O31" s="5"/>
      <c r="P31" s="88"/>
      <c r="Q31" s="95"/>
    </row>
    <row r="32" spans="1:17" s="2" customFormat="1" ht="12" customHeight="1">
      <c r="D32" s="22"/>
      <c r="E32" s="22"/>
      <c r="J32" s="5"/>
      <c r="K32" s="5"/>
      <c r="L32" s="5"/>
      <c r="M32" s="5"/>
      <c r="N32" s="5"/>
      <c r="O32" s="5"/>
      <c r="P32" s="88"/>
      <c r="Q32" s="95"/>
    </row>
    <row r="33" spans="4:17" s="2" customFormat="1" ht="12" customHeight="1">
      <c r="D33" s="22"/>
      <c r="E33" s="22"/>
      <c r="J33" s="5"/>
      <c r="K33" s="5"/>
      <c r="L33" s="5"/>
      <c r="M33" s="5"/>
      <c r="N33" s="5"/>
      <c r="O33" s="5"/>
      <c r="P33" s="88"/>
      <c r="Q33" s="95"/>
    </row>
    <row r="34" spans="4:17" s="2" customFormat="1" ht="12" customHeight="1">
      <c r="D34" s="22"/>
      <c r="E34" s="22"/>
      <c r="J34" s="5"/>
      <c r="K34" s="5"/>
      <c r="L34" s="5"/>
      <c r="M34" s="5"/>
      <c r="N34" s="5"/>
      <c r="O34" s="5"/>
      <c r="P34" s="88"/>
      <c r="Q34" s="95"/>
    </row>
    <row r="35" spans="4:17" s="2" customFormat="1" ht="12" customHeight="1">
      <c r="D35" s="22"/>
      <c r="E35" s="22"/>
      <c r="J35" s="5"/>
      <c r="K35" s="5"/>
      <c r="L35" s="5"/>
      <c r="M35" s="5"/>
      <c r="N35" s="5"/>
      <c r="O35" s="5"/>
      <c r="P35" s="88"/>
      <c r="Q35" s="95"/>
    </row>
    <row r="36" spans="4:17" s="2" customFormat="1" ht="12" customHeight="1">
      <c r="D36" s="22"/>
      <c r="E36" s="22"/>
      <c r="J36" s="5"/>
      <c r="K36" s="5"/>
      <c r="L36" s="5"/>
      <c r="M36" s="5"/>
      <c r="N36" s="5"/>
      <c r="O36" s="5"/>
      <c r="P36" s="88"/>
      <c r="Q36" s="95"/>
    </row>
    <row r="37" spans="4:17" s="2" customFormat="1" ht="12" customHeight="1">
      <c r="D37" s="22"/>
      <c r="E37" s="22"/>
      <c r="J37" s="5"/>
      <c r="K37" s="5"/>
      <c r="L37" s="5"/>
      <c r="M37" s="5"/>
      <c r="N37" s="5"/>
      <c r="O37" s="5"/>
      <c r="P37" s="88"/>
      <c r="Q37" s="95"/>
    </row>
    <row r="38" spans="4:17" s="2" customFormat="1" ht="12" customHeight="1">
      <c r="D38" s="22"/>
      <c r="E38" s="22"/>
      <c r="J38" s="5"/>
      <c r="K38" s="5"/>
      <c r="L38" s="5"/>
      <c r="M38" s="5"/>
      <c r="N38" s="5"/>
      <c r="O38" s="5"/>
      <c r="P38" s="88"/>
      <c r="Q38" s="95"/>
    </row>
    <row r="39" spans="4:17" s="2" customFormat="1" ht="12" customHeight="1">
      <c r="D39" s="22"/>
      <c r="E39" s="22"/>
      <c r="J39" s="5"/>
      <c r="K39" s="5"/>
      <c r="L39" s="5"/>
      <c r="M39" s="5"/>
      <c r="N39" s="5"/>
      <c r="O39" s="5"/>
      <c r="P39" s="88"/>
      <c r="Q39" s="95"/>
    </row>
    <row r="40" spans="4:17" s="2" customFormat="1" ht="12" customHeight="1">
      <c r="D40" s="22"/>
      <c r="E40" s="22"/>
      <c r="J40" s="5"/>
      <c r="K40" s="5"/>
      <c r="L40" s="5"/>
      <c r="M40" s="5"/>
      <c r="N40" s="5"/>
      <c r="O40" s="5"/>
      <c r="P40" s="88"/>
      <c r="Q40" s="95"/>
    </row>
    <row r="41" spans="4:17" s="2" customFormat="1" ht="12" customHeight="1">
      <c r="D41" s="22"/>
      <c r="E41" s="22"/>
      <c r="J41" s="5"/>
      <c r="K41" s="5"/>
      <c r="L41" s="5"/>
      <c r="M41" s="5"/>
      <c r="N41" s="5"/>
      <c r="O41" s="5"/>
      <c r="P41" s="88"/>
      <c r="Q41" s="95"/>
    </row>
    <row r="42" spans="4:17" s="2" customFormat="1" ht="12" customHeight="1">
      <c r="D42" s="22"/>
      <c r="E42" s="22"/>
      <c r="J42" s="5"/>
      <c r="K42" s="5"/>
      <c r="L42" s="5"/>
      <c r="M42" s="5"/>
      <c r="N42" s="5"/>
      <c r="O42" s="5"/>
      <c r="P42" s="88"/>
      <c r="Q42" s="95"/>
    </row>
    <row r="43" spans="4:17" s="2" customFormat="1" ht="12" customHeight="1">
      <c r="D43" s="22"/>
      <c r="E43" s="22"/>
      <c r="J43" s="5"/>
      <c r="K43" s="5"/>
      <c r="L43" s="5"/>
      <c r="M43" s="5"/>
      <c r="N43" s="5"/>
      <c r="O43" s="5"/>
      <c r="P43" s="88"/>
      <c r="Q43" s="95"/>
    </row>
    <row r="44" spans="4:17" s="2" customFormat="1" ht="12" customHeight="1">
      <c r="D44" s="22"/>
      <c r="E44" s="22"/>
      <c r="J44" s="5"/>
      <c r="K44" s="5"/>
      <c r="L44" s="5"/>
      <c r="M44" s="5"/>
      <c r="N44" s="5"/>
      <c r="O44" s="5"/>
      <c r="P44" s="88"/>
      <c r="Q44" s="95"/>
    </row>
    <row r="45" spans="4:17" s="2" customFormat="1" ht="12" customHeight="1">
      <c r="D45" s="22"/>
      <c r="E45" s="22"/>
      <c r="J45" s="5"/>
      <c r="K45" s="5"/>
      <c r="L45" s="5"/>
      <c r="M45" s="5"/>
      <c r="N45" s="5"/>
      <c r="O45" s="5"/>
      <c r="P45" s="88"/>
      <c r="Q45" s="95"/>
    </row>
    <row r="46" spans="4:17" s="2" customFormat="1" ht="12" customHeight="1">
      <c r="D46" s="22"/>
      <c r="E46" s="22"/>
      <c r="J46" s="5"/>
      <c r="K46" s="5"/>
      <c r="L46" s="5"/>
      <c r="M46" s="5"/>
      <c r="N46" s="5"/>
      <c r="O46" s="5"/>
      <c r="P46" s="88"/>
      <c r="Q46" s="95"/>
    </row>
    <row r="47" spans="4:17" s="2" customFormat="1" ht="12" customHeight="1">
      <c r="D47" s="22"/>
      <c r="E47" s="22"/>
      <c r="J47" s="5"/>
      <c r="K47" s="5"/>
      <c r="L47" s="5"/>
      <c r="M47" s="5"/>
      <c r="N47" s="5"/>
      <c r="O47" s="5"/>
      <c r="P47" s="88"/>
      <c r="Q47" s="95"/>
    </row>
    <row r="48" spans="4:17" s="2" customFormat="1" ht="12" customHeight="1">
      <c r="D48" s="22"/>
      <c r="E48" s="22"/>
      <c r="J48" s="5"/>
      <c r="K48" s="5"/>
      <c r="L48" s="5"/>
      <c r="M48" s="5"/>
      <c r="N48" s="5"/>
      <c r="O48" s="5"/>
      <c r="P48" s="88"/>
      <c r="Q48" s="95"/>
    </row>
    <row r="49" spans="4:17" s="2" customFormat="1" ht="12" customHeight="1">
      <c r="D49" s="22"/>
      <c r="E49" s="22"/>
      <c r="J49" s="5"/>
      <c r="K49" s="5"/>
      <c r="L49" s="5"/>
      <c r="M49" s="5"/>
      <c r="N49" s="5"/>
      <c r="O49" s="5"/>
      <c r="P49" s="88"/>
      <c r="Q49" s="95"/>
    </row>
    <row r="50" spans="4:17" s="2" customFormat="1" ht="12" customHeight="1">
      <c r="D50" s="22"/>
      <c r="E50" s="22"/>
      <c r="J50" s="5"/>
      <c r="K50" s="5"/>
      <c r="L50" s="5"/>
      <c r="M50" s="5"/>
      <c r="N50" s="5"/>
      <c r="O50" s="5"/>
      <c r="P50" s="88"/>
      <c r="Q50" s="95"/>
    </row>
    <row r="51" spans="4:17" s="2" customFormat="1" ht="12" customHeight="1">
      <c r="D51" s="22"/>
      <c r="E51" s="22"/>
      <c r="J51" s="5"/>
      <c r="K51" s="5"/>
      <c r="L51" s="5"/>
      <c r="M51" s="5"/>
      <c r="N51" s="5"/>
      <c r="O51" s="5"/>
      <c r="P51" s="88"/>
      <c r="Q51" s="95"/>
    </row>
    <row r="52" spans="4:17" s="2" customFormat="1" ht="12" customHeight="1">
      <c r="D52" s="22"/>
      <c r="E52" s="22"/>
      <c r="J52" s="5"/>
      <c r="K52" s="5"/>
      <c r="L52" s="5"/>
      <c r="M52" s="5"/>
      <c r="N52" s="5"/>
      <c r="O52" s="5"/>
      <c r="P52" s="88"/>
      <c r="Q52" s="95"/>
    </row>
    <row r="53" spans="4:17" s="2" customFormat="1" ht="12" customHeight="1">
      <c r="D53" s="22"/>
      <c r="E53" s="22"/>
      <c r="J53" s="5"/>
      <c r="K53" s="5"/>
      <c r="L53" s="5"/>
      <c r="M53" s="5"/>
      <c r="N53" s="5"/>
      <c r="O53" s="5"/>
      <c r="P53" s="88"/>
      <c r="Q53" s="95"/>
    </row>
    <row r="54" spans="4:17" s="2" customFormat="1" ht="12" customHeight="1">
      <c r="D54" s="22"/>
      <c r="E54" s="22"/>
      <c r="J54" s="5"/>
      <c r="K54" s="5"/>
      <c r="L54" s="5"/>
      <c r="M54" s="5"/>
      <c r="N54" s="5"/>
      <c r="O54" s="5"/>
      <c r="P54" s="88"/>
      <c r="Q54" s="95"/>
    </row>
    <row r="55" spans="4:17" s="2" customFormat="1" ht="12" customHeight="1">
      <c r="D55" s="22"/>
      <c r="E55" s="22"/>
      <c r="J55" s="5"/>
      <c r="K55" s="5"/>
      <c r="L55" s="5"/>
      <c r="M55" s="5"/>
      <c r="N55" s="5"/>
      <c r="O55" s="5"/>
      <c r="P55" s="88"/>
      <c r="Q55" s="95"/>
    </row>
    <row r="56" spans="4:17" s="2" customFormat="1" ht="12" customHeight="1">
      <c r="D56" s="22"/>
      <c r="E56" s="22"/>
      <c r="J56" s="5"/>
      <c r="K56" s="5"/>
      <c r="L56" s="5"/>
      <c r="M56" s="5"/>
      <c r="N56" s="5"/>
      <c r="O56" s="5"/>
      <c r="P56" s="88"/>
      <c r="Q56" s="95"/>
    </row>
    <row r="57" spans="4:17" s="2" customFormat="1" ht="12" customHeight="1">
      <c r="D57" s="22"/>
      <c r="E57" s="22"/>
      <c r="J57" s="5"/>
      <c r="K57" s="5"/>
      <c r="L57" s="5"/>
      <c r="M57" s="5"/>
      <c r="N57" s="5"/>
      <c r="O57" s="5"/>
      <c r="P57" s="88"/>
      <c r="Q57" s="95"/>
    </row>
    <row r="58" spans="4:17" s="2" customFormat="1" ht="12" customHeight="1">
      <c r="D58" s="22"/>
      <c r="E58" s="22"/>
      <c r="J58" s="5"/>
      <c r="K58" s="5"/>
      <c r="L58" s="5"/>
      <c r="M58" s="5"/>
      <c r="N58" s="5"/>
      <c r="O58" s="5"/>
      <c r="P58" s="88"/>
      <c r="Q58" s="95"/>
    </row>
    <row r="59" spans="4:17" s="2" customFormat="1" ht="12" customHeight="1">
      <c r="D59" s="22"/>
      <c r="E59" s="22"/>
      <c r="J59" s="5"/>
      <c r="K59" s="5"/>
      <c r="L59" s="5"/>
      <c r="M59" s="5"/>
      <c r="N59" s="5"/>
      <c r="O59" s="5"/>
      <c r="P59" s="88"/>
      <c r="Q59" s="95"/>
    </row>
    <row r="60" spans="4:17" s="2" customFormat="1" ht="12" customHeight="1">
      <c r="D60" s="22"/>
      <c r="E60" s="22"/>
      <c r="J60" s="5"/>
      <c r="K60" s="5"/>
      <c r="L60" s="5"/>
      <c r="M60" s="5"/>
      <c r="N60" s="5"/>
      <c r="O60" s="5"/>
      <c r="P60" s="88"/>
      <c r="Q60" s="95"/>
    </row>
    <row r="61" spans="4:17" s="2" customFormat="1" ht="12" customHeight="1">
      <c r="D61" s="22"/>
      <c r="E61" s="22"/>
      <c r="J61" s="5"/>
      <c r="K61" s="5"/>
      <c r="L61" s="5"/>
      <c r="M61" s="5"/>
      <c r="N61" s="5"/>
      <c r="O61" s="5"/>
      <c r="P61" s="88"/>
      <c r="Q61" s="95"/>
    </row>
    <row r="62" spans="4:17" s="2" customFormat="1" ht="12" customHeight="1">
      <c r="D62" s="22"/>
      <c r="E62" s="22"/>
      <c r="J62" s="5"/>
      <c r="K62" s="5"/>
      <c r="L62" s="5"/>
      <c r="M62" s="5"/>
      <c r="N62" s="5"/>
      <c r="O62" s="5"/>
      <c r="P62" s="88"/>
      <c r="Q62" s="95"/>
    </row>
    <row r="63" spans="4:17" s="2" customFormat="1" ht="12" customHeight="1">
      <c r="D63" s="22"/>
      <c r="E63" s="22"/>
      <c r="J63" s="5"/>
      <c r="K63" s="5"/>
      <c r="L63" s="5"/>
      <c r="M63" s="5"/>
      <c r="N63" s="5"/>
      <c r="O63" s="5"/>
      <c r="P63" s="88"/>
      <c r="Q63" s="96"/>
    </row>
    <row r="64" spans="4:17" s="2" customFormat="1" ht="12" customHeight="1">
      <c r="D64" s="22"/>
      <c r="E64" s="22"/>
      <c r="J64" s="5"/>
      <c r="K64" s="5"/>
      <c r="L64" s="5"/>
      <c r="M64" s="5"/>
      <c r="N64" s="5"/>
      <c r="O64" s="5"/>
      <c r="P64" s="88"/>
      <c r="Q64" s="96"/>
    </row>
    <row r="65" spans="1:17" s="2" customFormat="1" ht="12" customHeight="1">
      <c r="D65" s="22"/>
      <c r="E65" s="22"/>
      <c r="J65" s="5"/>
      <c r="K65" s="5"/>
      <c r="L65" s="5"/>
      <c r="M65" s="5"/>
      <c r="N65" s="5"/>
      <c r="O65" s="5"/>
      <c r="P65" s="88"/>
      <c r="Q65" s="96"/>
    </row>
    <row r="66" spans="1:17" s="2" customFormat="1" ht="12" customHeight="1">
      <c r="D66" s="22"/>
      <c r="E66" s="22"/>
      <c r="J66" s="5"/>
      <c r="K66" s="5"/>
      <c r="L66" s="5"/>
      <c r="M66" s="5"/>
      <c r="N66" s="5"/>
      <c r="O66" s="5"/>
      <c r="P66" s="88"/>
      <c r="Q66" s="96"/>
    </row>
    <row r="67" spans="1:17" s="2" customFormat="1" ht="12" customHeight="1">
      <c r="A67"/>
      <c r="B67"/>
      <c r="C67"/>
      <c r="D67" s="23"/>
      <c r="E67" s="23"/>
      <c r="F67"/>
      <c r="G67"/>
      <c r="H67"/>
      <c r="I67"/>
      <c r="J67" s="19"/>
      <c r="K67" s="19"/>
      <c r="L67" s="19"/>
      <c r="M67" s="19"/>
      <c r="N67" s="19"/>
      <c r="O67" s="19"/>
      <c r="P67" s="90"/>
      <c r="Q67" s="96"/>
    </row>
    <row r="68" spans="1:17" s="2" customFormat="1" ht="12" customHeight="1">
      <c r="A68"/>
      <c r="B68"/>
      <c r="C68"/>
      <c r="D68" s="23"/>
      <c r="E68" s="23"/>
      <c r="F68"/>
      <c r="G68"/>
      <c r="H68"/>
      <c r="I68"/>
      <c r="J68" s="19"/>
      <c r="K68" s="19"/>
      <c r="L68" s="19"/>
      <c r="M68" s="19"/>
      <c r="N68" s="19"/>
      <c r="O68" s="19"/>
      <c r="P68" s="90"/>
      <c r="Q68" s="96"/>
    </row>
    <row r="69" spans="1:17" s="2" customFormat="1" ht="12" customHeight="1">
      <c r="A69"/>
      <c r="B69"/>
      <c r="C69"/>
      <c r="D69" s="23"/>
      <c r="E69" s="23"/>
      <c r="F69"/>
      <c r="G69"/>
      <c r="H69"/>
      <c r="I69"/>
      <c r="J69" s="19"/>
      <c r="K69" s="19"/>
      <c r="L69" s="19"/>
      <c r="M69" s="19"/>
      <c r="N69" s="19"/>
      <c r="O69" s="19"/>
      <c r="P69" s="90"/>
      <c r="Q69" s="96"/>
    </row>
    <row r="70" spans="1:17" s="2" customFormat="1" ht="12" customHeight="1">
      <c r="A70"/>
      <c r="B70"/>
      <c r="C70"/>
      <c r="D70" s="23"/>
      <c r="E70" s="23"/>
      <c r="F70"/>
      <c r="G70"/>
      <c r="H70"/>
      <c r="I70"/>
      <c r="J70" s="19"/>
      <c r="K70" s="19"/>
      <c r="L70" s="19"/>
      <c r="M70" s="19"/>
      <c r="N70" s="19"/>
      <c r="O70" s="19"/>
      <c r="P70" s="90"/>
      <c r="Q70" s="96"/>
    </row>
    <row r="71" spans="1:17" s="2" customFormat="1" ht="12" customHeight="1">
      <c r="A71"/>
      <c r="B71"/>
      <c r="C71"/>
      <c r="D71" s="23"/>
      <c r="E71" s="23"/>
      <c r="F71"/>
      <c r="G71"/>
      <c r="H71"/>
      <c r="I71"/>
      <c r="J71" s="19"/>
      <c r="K71" s="19"/>
      <c r="L71" s="19"/>
      <c r="M71" s="19"/>
      <c r="N71" s="19"/>
      <c r="O71" s="19"/>
      <c r="P71" s="90"/>
      <c r="Q71" s="96"/>
    </row>
    <row r="72" spans="1:17">
      <c r="Q72" s="96"/>
    </row>
    <row r="73" spans="1:17">
      <c r="Q73" s="96"/>
    </row>
    <row r="74" spans="1:17">
      <c r="Q74" s="96"/>
    </row>
    <row r="75" spans="1:17">
      <c r="Q75" s="96"/>
    </row>
    <row r="76" spans="1:17">
      <c r="Q76" s="96"/>
    </row>
    <row r="77" spans="1:17">
      <c r="Q77" s="96"/>
    </row>
    <row r="78" spans="1:17">
      <c r="Q78" s="96"/>
    </row>
    <row r="79" spans="1:17">
      <c r="Q79" s="96"/>
    </row>
    <row r="80" spans="1:17">
      <c r="Q80" s="96"/>
    </row>
    <row r="81" spans="17:17">
      <c r="Q81" s="96"/>
    </row>
    <row r="82" spans="17:17">
      <c r="Q82" s="96"/>
    </row>
    <row r="83" spans="17:17">
      <c r="Q83" s="96"/>
    </row>
    <row r="84" spans="17:17">
      <c r="Q84" s="96"/>
    </row>
    <row r="85" spans="17:17">
      <c r="Q85" s="96"/>
    </row>
    <row r="86" spans="17:17">
      <c r="Q86" s="96"/>
    </row>
    <row r="87" spans="17:17">
      <c r="Q87" s="96"/>
    </row>
    <row r="88" spans="17:17">
      <c r="Q88" s="96"/>
    </row>
    <row r="89" spans="17:17">
      <c r="Q89" s="96"/>
    </row>
    <row r="90" spans="17:17">
      <c r="Q90" s="96"/>
    </row>
    <row r="91" spans="17:17">
      <c r="Q91" s="96"/>
    </row>
    <row r="128" ht="12" customHeight="1"/>
    <row r="129" ht="12" customHeight="1"/>
    <row r="130" ht="12" customHeight="1"/>
    <row r="131" ht="12" customHeight="1"/>
    <row r="132" ht="12" customHeight="1"/>
    <row r="133" ht="12" customHeight="1"/>
    <row r="134" ht="12" customHeight="1"/>
    <row r="135" ht="12" customHeight="1"/>
    <row r="136" ht="12" customHeight="1"/>
    <row r="137" ht="12" customHeight="1"/>
    <row r="138" ht="12" customHeight="1"/>
    <row r="139" ht="12" customHeight="1"/>
    <row r="140" ht="12" customHeight="1"/>
    <row r="141" ht="12" customHeight="1"/>
    <row r="142" ht="12" customHeight="1"/>
    <row r="143" ht="12" customHeight="1"/>
    <row r="144" ht="12" customHeight="1"/>
    <row r="145" ht="12" customHeight="1"/>
    <row r="146" ht="12" customHeight="1"/>
    <row r="147" ht="12" customHeight="1"/>
    <row r="148" ht="12" customHeight="1"/>
    <row r="149" ht="12" customHeight="1"/>
    <row r="150" ht="12" customHeight="1"/>
    <row r="151" ht="12" customHeight="1"/>
    <row r="152" ht="12" customHeight="1"/>
    <row r="153" ht="12" customHeight="1"/>
    <row r="154" ht="12" customHeight="1"/>
    <row r="155" ht="12" customHeight="1"/>
    <row r="156" ht="12" customHeight="1"/>
    <row r="157" ht="12" customHeight="1"/>
    <row r="158" ht="12" customHeight="1"/>
    <row r="159" ht="12" customHeight="1"/>
    <row r="160" ht="12" customHeight="1"/>
    <row r="161" ht="12" customHeight="1"/>
    <row r="162" ht="12" customHeight="1"/>
    <row r="163" ht="12" customHeight="1"/>
    <row r="164" ht="12" customHeight="1"/>
    <row r="165" ht="12" customHeight="1"/>
    <row r="166" ht="12" customHeight="1"/>
    <row r="167" ht="12" customHeight="1"/>
    <row r="168" ht="12" customHeight="1"/>
    <row r="169" ht="12" customHeight="1"/>
    <row r="170" ht="12" customHeight="1"/>
    <row r="171" ht="12" customHeight="1"/>
    <row r="172" ht="12" customHeight="1"/>
    <row r="173" ht="12" customHeight="1"/>
    <row r="174" ht="12" customHeight="1"/>
    <row r="175" ht="12" customHeight="1"/>
    <row r="176" ht="12" customHeight="1"/>
    <row r="177" ht="12" customHeight="1"/>
  </sheetData>
  <mergeCells count="29">
    <mergeCell ref="D24:E24"/>
    <mergeCell ref="H24:I24"/>
    <mergeCell ref="D23:E23"/>
    <mergeCell ref="D18:E18"/>
    <mergeCell ref="H18:I18"/>
    <mergeCell ref="D19:E19"/>
    <mergeCell ref="D20:E20"/>
    <mergeCell ref="D21:E21"/>
    <mergeCell ref="D22:E22"/>
    <mergeCell ref="D16:E16"/>
    <mergeCell ref="D17:E17"/>
    <mergeCell ref="D15:E15"/>
    <mergeCell ref="H15:I15"/>
    <mergeCell ref="D11:E11"/>
    <mergeCell ref="D12:E12"/>
    <mergeCell ref="D13:E13"/>
    <mergeCell ref="D14:E14"/>
    <mergeCell ref="D8:E8"/>
    <mergeCell ref="H8:I8"/>
    <mergeCell ref="D9:E9"/>
    <mergeCell ref="D10:E10"/>
    <mergeCell ref="D7:E7"/>
    <mergeCell ref="D6:E6"/>
    <mergeCell ref="H6:I6"/>
    <mergeCell ref="D1:E1"/>
    <mergeCell ref="D4:E4"/>
    <mergeCell ref="H4:I4"/>
    <mergeCell ref="D5:E5"/>
    <mergeCell ref="H5:I5"/>
  </mergeCells>
  <conditionalFormatting sqref="M7">
    <cfRule type="cellIs" dxfId="244" priority="1" stopIfTrue="1" operator="lessThanOrEqual">
      <formula>$L7</formula>
    </cfRule>
    <cfRule type="cellIs" dxfId="243" priority="2" operator="greaterThan">
      <formula>L7</formula>
    </cfRule>
  </conditionalFormatting>
  <conditionalFormatting sqref="M9:M14 M16:M17">
    <cfRule type="cellIs" dxfId="242" priority="5" stopIfTrue="1" operator="lessThanOrEqual">
      <formula>$L9</formula>
    </cfRule>
    <cfRule type="cellIs" dxfId="241" priority="6" operator="greaterThan">
      <formula>L9</formula>
    </cfRule>
  </conditionalFormatting>
  <conditionalFormatting sqref="M19:M23">
    <cfRule type="cellIs" dxfId="240" priority="3" stopIfTrue="1" operator="lessThanOrEqual">
      <formula>$L19</formula>
    </cfRule>
    <cfRule type="cellIs" dxfId="239" priority="4" operator="greaterThan">
      <formula>L19</formula>
    </cfRule>
  </conditionalFormatting>
  <pageMargins left="0.7" right="0.7" top="0.75" bottom="0.75" header="0.3" footer="0.3"/>
  <pageSetup paperSize="3" fitToHeight="0" orientation="landscape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A249FBC1-3D8B-459D-82F9-E27B866D906F}">
          <x14:formula1>
            <xm:f>Bolts!$A:$A</xm:f>
          </x14:formula1>
          <xm:sqref>C16:C17</xm:sqref>
        </x14:dataValidation>
        <x14:dataValidation type="list" allowBlank="1" showInputMessage="1" showErrorMessage="1" xr:uid="{120EDC30-D637-4554-B3DE-E2B3423E84E9}">
          <x14:formula1>
            <xm:f>Assemblies!$E:$E</xm:f>
          </x14:formula1>
          <xm:sqref>C5</xm:sqref>
        </x14:dataValidation>
        <x14:dataValidation type="list" allowBlank="1" showInputMessage="1" showErrorMessage="1" xr:uid="{A0FF8D18-CE33-4852-94BE-3C9AFD2C5DEE}">
          <x14:formula1>
            <xm:f>Purchased!$A:$A</xm:f>
          </x14:formula1>
          <xm:sqref>C9:C14</xm:sqref>
        </x14:dataValidation>
        <x14:dataValidation type="list" allowBlank="1" showInputMessage="1" showErrorMessage="1" xr:uid="{0733A150-B3E3-4CD9-9FDA-5AB4057980ED}">
          <x14:formula1>
            <xm:f>Extrusion!$B:$B</xm:f>
          </x14:formula1>
          <xm:sqref>C19:C23</xm:sqref>
        </x14:dataValidation>
        <x14:dataValidation type="list" allowBlank="1" showInputMessage="1" showErrorMessage="1" xr:uid="{7A00C16E-F3D4-4B81-BBA1-9FC8BB56BD41}">
          <x14:formula1>
            <xm:f>Machined!$C:$C</xm:f>
          </x14:formula1>
          <xm:sqref>C7</xm:sqref>
        </x14:dataValidation>
      </x14:dataValidations>
    </ext>
  </extLst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A9402B-2DBE-4D39-85BD-324AA22086DA}">
  <sheetPr codeName="Sheet118">
    <tabColor theme="3" tint="0.59999389629810485"/>
    <pageSetUpPr fitToPage="1"/>
  </sheetPr>
  <dimension ref="A1:Q166"/>
  <sheetViews>
    <sheetView zoomScaleNormal="100" workbookViewId="0">
      <selection activeCell="D18" sqref="D18"/>
    </sheetView>
  </sheetViews>
  <sheetFormatPr defaultColWidth="9.140625" defaultRowHeight="15"/>
  <cols>
    <col min="1" max="1" width="5.7109375" customWidth="1"/>
    <col min="2" max="2" width="5.42578125" bestFit="1" customWidth="1"/>
    <col min="3" max="3" width="30.7109375" customWidth="1"/>
    <col min="4" max="5" width="20.7109375" style="23" customWidth="1"/>
    <col min="6" max="6" width="16.85546875" bestFit="1" customWidth="1"/>
    <col min="7" max="7" width="9.7109375" customWidth="1"/>
    <col min="8" max="8" width="8.7109375" customWidth="1"/>
    <col min="9" max="9" width="20.7109375" customWidth="1"/>
    <col min="10" max="13" width="11.7109375" style="19" customWidth="1"/>
    <col min="14" max="14" width="11.85546875" style="19" bestFit="1" customWidth="1"/>
    <col min="15" max="15" width="7.7109375" style="19" customWidth="1"/>
    <col min="16" max="16" width="10.7109375" style="90" customWidth="1"/>
    <col min="17" max="17" width="10.7109375" style="97" customWidth="1"/>
  </cols>
  <sheetData>
    <row r="1" spans="1:17" s="55" customFormat="1" ht="12" customHeight="1">
      <c r="A1" s="68" t="s">
        <v>0</v>
      </c>
      <c r="B1" s="69"/>
      <c r="C1" s="69"/>
      <c r="D1" s="262" t="s">
        <v>1</v>
      </c>
      <c r="E1" s="263"/>
      <c r="F1" s="70"/>
      <c r="G1" s="69"/>
      <c r="H1" s="70"/>
      <c r="I1" s="71"/>
      <c r="J1" s="72"/>
      <c r="K1" s="72"/>
      <c r="L1" s="72"/>
      <c r="M1" s="72"/>
      <c r="N1" s="72"/>
      <c r="O1" s="72"/>
      <c r="P1" s="85"/>
      <c r="Q1" s="91"/>
    </row>
    <row r="2" spans="1:17" s="55" customFormat="1" ht="12" customHeight="1">
      <c r="A2" s="74" t="s">
        <v>48</v>
      </c>
      <c r="B2" s="58"/>
      <c r="C2" s="57" t="e">
        <f ca="1">VLOOKUP(E3,Assemblies!B:F,4,0)</f>
        <v>#VALUE!</v>
      </c>
      <c r="D2" s="75" t="s">
        <v>3</v>
      </c>
      <c r="E2" s="76" t="e">
        <f ca="1">'GF12'!E2</f>
        <v>#VALUE!</v>
      </c>
      <c r="F2" s="77" t="s">
        <v>4</v>
      </c>
      <c r="G2" s="58" t="str">
        <f>'GF12'!G2</f>
        <v>GH</v>
      </c>
      <c r="H2" s="77" t="s">
        <v>6</v>
      </c>
      <c r="I2" s="59">
        <f>'GF12'!I2</f>
        <v>44775</v>
      </c>
      <c r="J2" s="39"/>
      <c r="K2" s="40" t="s">
        <v>49</v>
      </c>
      <c r="L2" s="41" t="e">
        <f ca="1">VLOOKUP(C2,Assemblies!E:G,3,0)</f>
        <v>#VALUE!</v>
      </c>
      <c r="M2" s="78"/>
      <c r="N2" s="78"/>
      <c r="O2" s="78"/>
      <c r="P2" s="86"/>
      <c r="Q2" s="92"/>
    </row>
    <row r="3" spans="1:17" s="55" customFormat="1" ht="12" customHeight="1" thickBot="1">
      <c r="A3" s="74" t="s">
        <v>7</v>
      </c>
      <c r="B3" s="58"/>
      <c r="C3" s="57" t="e">
        <f ca="1">VLOOKUP(E3,Assemblies!B:F,5,0)</f>
        <v>#VALUE!</v>
      </c>
      <c r="D3" s="75" t="s">
        <v>50</v>
      </c>
      <c r="E3" s="76" t="e">
        <f ca="1">MID(CELL("filename",A1),FIND("]",CELL("filename",A1))+1,256)</f>
        <v>#VALUE!</v>
      </c>
      <c r="F3" s="77" t="s">
        <v>11</v>
      </c>
      <c r="G3" s="58" t="str">
        <f>'GF12'!G3</f>
        <v>GH</v>
      </c>
      <c r="H3" s="77" t="s">
        <v>6</v>
      </c>
      <c r="I3" s="59">
        <f>'GF12'!I3</f>
        <v>44775</v>
      </c>
      <c r="J3" s="78"/>
      <c r="K3" s="78"/>
      <c r="L3" s="78"/>
      <c r="M3" s="78"/>
      <c r="N3" s="78"/>
      <c r="O3" s="78"/>
      <c r="P3" s="86"/>
      <c r="Q3" s="92"/>
    </row>
    <row r="4" spans="1:17" s="56" customFormat="1" ht="12.75" customHeight="1" thickBot="1">
      <c r="A4" s="80" t="s">
        <v>12</v>
      </c>
      <c r="B4" s="81" t="s">
        <v>13</v>
      </c>
      <c r="C4" s="81" t="s">
        <v>14</v>
      </c>
      <c r="D4" s="270" t="s">
        <v>15</v>
      </c>
      <c r="E4" s="271"/>
      <c r="F4" s="104" t="s">
        <v>16</v>
      </c>
      <c r="G4" s="81" t="s">
        <v>17</v>
      </c>
      <c r="H4" s="260" t="s">
        <v>18</v>
      </c>
      <c r="I4" s="261"/>
      <c r="J4" s="81" t="s">
        <v>51</v>
      </c>
      <c r="K4" s="81" t="s">
        <v>20</v>
      </c>
      <c r="L4" s="81" t="s">
        <v>21</v>
      </c>
      <c r="M4" s="81" t="s">
        <v>52</v>
      </c>
      <c r="N4" s="81" t="s">
        <v>22</v>
      </c>
      <c r="O4" s="81" t="s">
        <v>53</v>
      </c>
      <c r="P4" s="107" t="s">
        <v>26</v>
      </c>
      <c r="Q4" s="82" t="s">
        <v>27</v>
      </c>
    </row>
    <row r="5" spans="1:17" s="2" customFormat="1" ht="12.75" customHeight="1">
      <c r="A5" s="4">
        <v>301</v>
      </c>
      <c r="B5" s="2">
        <v>4</v>
      </c>
      <c r="C5" s="114" t="s">
        <v>406</v>
      </c>
      <c r="D5" s="268" t="str">
        <f>VLOOKUP(C5,Purchased!A:B,2,0)</f>
        <v>BRL 25mm runner block, flanged</v>
      </c>
      <c r="E5" s="269"/>
      <c r="F5" s="112" t="str">
        <f>VLOOKUP(C5,Purchased!A:Q,9,0)</f>
        <v>BRL</v>
      </c>
      <c r="G5" s="112" t="str">
        <f>VLOOKUP(C5,Purchased!A:Q,10,0)</f>
        <v>AAP</v>
      </c>
      <c r="H5" s="112" t="str">
        <f>VLOOKUP(C5,Purchased!A:Q,12,0)</f>
        <v xml:space="preserve">  </v>
      </c>
      <c r="I5" s="113"/>
      <c r="J5" s="44">
        <f>VLOOKUP(C5,Purchased!A:Q,13,0)</f>
        <v>45093</v>
      </c>
      <c r="K5" s="44">
        <f>VLOOKUP(C5,Purchased!A:Q,14,0)</f>
        <v>45093</v>
      </c>
      <c r="L5" s="44">
        <f>VLOOKUP(C5,Purchased!A:Q,15,0)</f>
        <v>45184</v>
      </c>
      <c r="M5" s="44">
        <f>VLOOKUP(C5,Purchased!A:Q,16,0)</f>
        <v>45184</v>
      </c>
      <c r="N5" s="45">
        <f>VLOOKUP(C5,Purchased!A:Q,17,0)</f>
        <v>54942</v>
      </c>
      <c r="O5" s="45" t="e">
        <f t="shared" ref="O5:O9" ca="1" si="0">B5*$L$2</f>
        <v>#VALUE!</v>
      </c>
      <c r="P5" s="49">
        <f>IFERROR(VLOOKUP(C5,Purchased!A:E,3,FALSE),"")</f>
        <v>138.67920000000001</v>
      </c>
      <c r="Q5" s="50">
        <f t="shared" ref="Q5:Q9" si="1">IFERROR(B5*P5,"")</f>
        <v>554.71680000000003</v>
      </c>
    </row>
    <row r="6" spans="1:17" s="2" customFormat="1" ht="12" customHeight="1">
      <c r="A6" s="4">
        <f t="shared" ref="A6:A9" si="2">A5+1</f>
        <v>302</v>
      </c>
      <c r="B6" s="2">
        <v>4</v>
      </c>
      <c r="C6" s="114" t="s">
        <v>791</v>
      </c>
      <c r="D6" s="268" t="str">
        <f>VLOOKUP(C6,Purchased!A:B,2,0)</f>
        <v>MKS Series Pneumatic clamp for 15mm bosch profile rail</v>
      </c>
      <c r="E6" s="269"/>
      <c r="F6" s="112" t="str">
        <f>VLOOKUP(C6,Purchased!A:Q,9,0)</f>
        <v>ZIMMER</v>
      </c>
      <c r="G6" s="112" t="str">
        <f>VLOOKUP(C6,Purchased!A:Q,10,0)</f>
        <v>ZIMMER</v>
      </c>
      <c r="H6" s="112" t="str">
        <f>VLOOKUP(C6,Purchased!A:Q,12,0)</f>
        <v xml:space="preserve"> </v>
      </c>
      <c r="I6" s="113"/>
      <c r="J6" s="44" t="str">
        <f>VLOOKUP(C6,Purchased!A:Q,13,0)</f>
        <v>N/A</v>
      </c>
      <c r="K6" s="44">
        <f>VLOOKUP(C6,Purchased!A:Q,14,0)</f>
        <v>45117</v>
      </c>
      <c r="L6" s="44">
        <f>VLOOKUP(C6,Purchased!A:Q,15,0)</f>
        <v>45147</v>
      </c>
      <c r="M6" s="44">
        <f>VLOOKUP(C6,Purchased!A:Q,16,0)</f>
        <v>45180</v>
      </c>
      <c r="N6" s="45">
        <f>VLOOKUP(C6,Purchased!A:Q,17,0)</f>
        <v>54979</v>
      </c>
      <c r="O6" s="45" t="e">
        <f t="shared" ca="1" si="0"/>
        <v>#VALUE!</v>
      </c>
      <c r="P6" s="49">
        <f>IFERROR(VLOOKUP(C6,Purchased!A:E,3,FALSE),"")</f>
        <v>455</v>
      </c>
      <c r="Q6" s="50">
        <f t="shared" si="1"/>
        <v>1820</v>
      </c>
    </row>
    <row r="7" spans="1:17" s="2" customFormat="1" ht="12" customHeight="1">
      <c r="A7" s="4">
        <f t="shared" si="2"/>
        <v>303</v>
      </c>
      <c r="B7" s="2">
        <v>1</v>
      </c>
      <c r="C7" s="114" t="s">
        <v>1205</v>
      </c>
      <c r="D7" s="268" t="str">
        <f>VLOOKUP(C7,Purchased!A:B,2,0)</f>
        <v xml:space="preserve">Bowl Feeder Assembly per AFS Quote 2301-137Rev.3 </v>
      </c>
      <c r="E7" s="269"/>
      <c r="F7" s="112" t="str">
        <f>VLOOKUP(C7,Purchased!A:Q,9,0)</f>
        <v>AmFeed</v>
      </c>
      <c r="G7" s="112" t="str">
        <f>VLOOKUP(C7,Purchased!A:Q,10,0)</f>
        <v>AmFeed</v>
      </c>
      <c r="H7" s="112" t="str">
        <f>VLOOKUP(C7,Purchased!A:Q,12,0)</f>
        <v xml:space="preserve"> </v>
      </c>
      <c r="I7" s="113"/>
      <c r="J7" s="44" t="str">
        <f>VLOOKUP(C7,Purchased!A:Q,13,0)</f>
        <v>N/A</v>
      </c>
      <c r="K7" s="44">
        <f>VLOOKUP(C7,Purchased!A:Q,14,0)</f>
        <v>44981</v>
      </c>
      <c r="L7" s="44">
        <f>VLOOKUP(C7,Purchased!A:Q,15,0)</f>
        <v>45117</v>
      </c>
      <c r="M7" s="44">
        <f>VLOOKUP(C7,Purchased!A:Q,16,0)</f>
        <v>45135</v>
      </c>
      <c r="N7" s="45">
        <f>VLOOKUP(C7,Purchased!A:Q,17,0)</f>
        <v>54758</v>
      </c>
      <c r="O7" s="45" t="e">
        <f t="shared" ca="1" si="0"/>
        <v>#VALUE!</v>
      </c>
      <c r="P7" s="49">
        <f>IFERROR(VLOOKUP(C7,Purchased!A:E,3,FALSE),"")</f>
        <v>34061</v>
      </c>
      <c r="Q7" s="50">
        <f t="shared" si="1"/>
        <v>34061</v>
      </c>
    </row>
    <row r="8" spans="1:17" s="2" customFormat="1" ht="12" customHeight="1">
      <c r="A8" s="4">
        <f t="shared" si="2"/>
        <v>304</v>
      </c>
      <c r="B8" s="2">
        <v>4</v>
      </c>
      <c r="C8" s="114" t="s">
        <v>793</v>
      </c>
      <c r="D8" s="268" t="str">
        <f>VLOOKUP(C8,Purchased!A:B,2,0)</f>
        <v>SMC FITTING, MALE CONNECTOR</v>
      </c>
      <c r="E8" s="269"/>
      <c r="F8" s="112" t="str">
        <f>VLOOKUP(C8,Purchased!A:Q,9,0)</f>
        <v>SMC</v>
      </c>
      <c r="G8" s="112" t="str">
        <f>VLOOKUP(C8,Purchased!A:Q,10,0)</f>
        <v>AAP</v>
      </c>
      <c r="H8" s="112" t="str">
        <f>VLOOKUP(C8,Purchased!A:Q,12,0)</f>
        <v xml:space="preserve">  </v>
      </c>
      <c r="I8" s="113"/>
      <c r="J8" s="44" t="str">
        <f>VLOOKUP(C8,Purchased!A:Q,13,0)</f>
        <v>N/A</v>
      </c>
      <c r="K8" s="44">
        <f>VLOOKUP(C8,Purchased!A:Q,14,0)</f>
        <v>45162</v>
      </c>
      <c r="L8" s="44">
        <f>VLOOKUP(C8,Purchased!A:Q,15,0)</f>
        <v>45184</v>
      </c>
      <c r="M8" s="44">
        <f>VLOOKUP(C8,Purchased!A:Q,16,0)</f>
        <v>45180</v>
      </c>
      <c r="N8" s="45">
        <f>VLOOKUP(C8,Purchased!A:Q,17,0)</f>
        <v>55037</v>
      </c>
      <c r="O8" s="45" t="e">
        <f t="shared" ca="1" si="0"/>
        <v>#VALUE!</v>
      </c>
      <c r="P8" s="49">
        <f>IFERROR(VLOOKUP(C8,Purchased!A:E,3,FALSE),"")</f>
        <v>0.84379999999999999</v>
      </c>
      <c r="Q8" s="50">
        <f t="shared" si="1"/>
        <v>3.3752</v>
      </c>
    </row>
    <row r="9" spans="1:17" s="2" customFormat="1" ht="12" customHeight="1">
      <c r="A9" s="4">
        <f t="shared" si="2"/>
        <v>305</v>
      </c>
      <c r="B9" s="2">
        <v>1</v>
      </c>
      <c r="C9" s="114" t="s">
        <v>794</v>
      </c>
      <c r="D9" s="268" t="str">
        <f>VLOOKUP(C9,Purchased!A:B,2,0)</f>
        <v>SMS KQ2UD04-06A Straight 4 Way Union</v>
      </c>
      <c r="E9" s="269"/>
      <c r="F9" s="112" t="str">
        <f>VLOOKUP(C9,Purchased!A:Q,9,0)</f>
        <v>SMC</v>
      </c>
      <c r="G9" s="112" t="str">
        <f>VLOOKUP(C9,Purchased!A:Q,10,0)</f>
        <v>AAP</v>
      </c>
      <c r="H9" s="112" t="str">
        <f>VLOOKUP(C9,Purchased!A:Q,12,0)</f>
        <v xml:space="preserve"> </v>
      </c>
      <c r="I9" s="113"/>
      <c r="J9" s="44" t="str">
        <f>VLOOKUP(C9,Purchased!A:Q,13,0)</f>
        <v>N/A</v>
      </c>
      <c r="K9" s="44">
        <f>VLOOKUP(C9,Purchased!A:Q,14,0)</f>
        <v>45162</v>
      </c>
      <c r="L9" s="44">
        <f>VLOOKUP(C9,Purchased!A:Q,15,0)</f>
        <v>45184</v>
      </c>
      <c r="M9" s="44">
        <f>VLOOKUP(C9,Purchased!A:Q,16,0)</f>
        <v>45197</v>
      </c>
      <c r="N9" s="45">
        <f>VLOOKUP(C9,Purchased!A:Q,17,0)</f>
        <v>55073</v>
      </c>
      <c r="O9" s="45" t="e">
        <f t="shared" ca="1" si="0"/>
        <v>#VALUE!</v>
      </c>
      <c r="P9" s="49">
        <f>IFERROR(VLOOKUP(C9,Purchased!A:E,3,FALSE),"")</f>
        <v>4.1638000000000002</v>
      </c>
      <c r="Q9" s="50">
        <f t="shared" si="1"/>
        <v>4.1638000000000002</v>
      </c>
    </row>
    <row r="10" spans="1:17" s="2" customFormat="1" ht="12.75" customHeight="1">
      <c r="A10" s="25"/>
      <c r="B10" s="26"/>
      <c r="C10" s="26"/>
      <c r="D10" s="272"/>
      <c r="E10" s="273"/>
      <c r="F10" s="26"/>
      <c r="G10" s="26"/>
      <c r="H10" s="274"/>
      <c r="I10" s="275"/>
      <c r="J10" s="27"/>
      <c r="K10" s="27"/>
      <c r="L10" s="27"/>
      <c r="M10" s="28"/>
      <c r="N10" s="29"/>
      <c r="O10" s="29" t="e">
        <f t="shared" ref="O10:O12" ca="1" si="3">B10*$L$2</f>
        <v>#VALUE!</v>
      </c>
      <c r="P10" s="141"/>
      <c r="Q10" s="142"/>
    </row>
    <row r="11" spans="1:17" s="2" customFormat="1" ht="12.75" customHeight="1">
      <c r="A11" s="4">
        <v>501</v>
      </c>
      <c r="B11" s="2">
        <v>16</v>
      </c>
      <c r="C11" s="110" t="s">
        <v>795</v>
      </c>
      <c r="D11" s="268"/>
      <c r="E11" s="276"/>
      <c r="F11" s="112" t="str">
        <f>VLOOKUP(C11,Bolts!A:L,5,0)</f>
        <v xml:space="preserve">  </v>
      </c>
      <c r="G11" s="112" t="str">
        <f>VLOOKUP(C11,Bolts!A:L,6,0)</f>
        <v>Monroe Fasteners</v>
      </c>
      <c r="H11" s="112" t="str">
        <f>VLOOKUP(C11,Bolts!A:L,7,0)</f>
        <v xml:space="preserve">  </v>
      </c>
      <c r="I11" s="112"/>
      <c r="J11" s="44" t="str">
        <f>VLOOKUP(C11,Bolts!A:L,8,0)</f>
        <v xml:space="preserve"> </v>
      </c>
      <c r="K11" s="44" t="str">
        <f>VLOOKUP(C11,Bolts!A:L,9,0)</f>
        <v xml:space="preserve"> </v>
      </c>
      <c r="L11" s="44" t="str">
        <f>VLOOKUP(C11,Bolts!A:L,10,0)</f>
        <v xml:space="preserve"> </v>
      </c>
      <c r="M11" s="44" t="str">
        <f>VLOOKUP(C11,Bolts!A:L,11,0)</f>
        <v xml:space="preserve"> </v>
      </c>
      <c r="N11" s="45" t="str">
        <f>VLOOKUP(C11,Bolts!A:L,12,0)</f>
        <v xml:space="preserve"> </v>
      </c>
      <c r="O11" s="45" t="e">
        <f t="shared" ca="1" si="3"/>
        <v>#VALUE!</v>
      </c>
      <c r="P11" s="49" t="str">
        <f>IFERROR(VLOOKUP(C11,Bolts!A:B,2,FALSE),"")</f>
        <v xml:space="preserve"> </v>
      </c>
      <c r="Q11" s="50" t="str">
        <f t="shared" ref="Q11:Q12" si="4">IFERROR(B11*P11,"")</f>
        <v/>
      </c>
    </row>
    <row r="12" spans="1:17" s="2" customFormat="1" ht="12.75" customHeight="1" thickBot="1">
      <c r="A12" s="4">
        <f t="shared" ref="A12" si="5">A11+1</f>
        <v>502</v>
      </c>
      <c r="B12" s="2">
        <v>16</v>
      </c>
      <c r="C12" s="110" t="s">
        <v>426</v>
      </c>
      <c r="D12" s="268"/>
      <c r="E12" s="276"/>
      <c r="F12" s="112" t="str">
        <f>VLOOKUP(C12,Bolts!A:L,5,0)</f>
        <v xml:space="preserve">  </v>
      </c>
      <c r="G12" s="112" t="str">
        <f>VLOOKUP(C12,Bolts!A:L,6,0)</f>
        <v>Monroe Fasteners</v>
      </c>
      <c r="H12" s="112" t="str">
        <f>VLOOKUP(C12,Bolts!A:L,7,0)</f>
        <v xml:space="preserve">  </v>
      </c>
      <c r="I12" s="112"/>
      <c r="J12" s="44" t="str">
        <f>VLOOKUP(C12,Bolts!A:L,8,0)</f>
        <v xml:space="preserve"> </v>
      </c>
      <c r="K12" s="44" t="str">
        <f>VLOOKUP(C12,Bolts!A:L,9,0)</f>
        <v xml:space="preserve"> </v>
      </c>
      <c r="L12" s="44" t="str">
        <f>VLOOKUP(C12,Bolts!A:L,10,0)</f>
        <v xml:space="preserve"> </v>
      </c>
      <c r="M12" s="44" t="str">
        <f>VLOOKUP(C12,Bolts!A:L,11,0)</f>
        <v xml:space="preserve"> </v>
      </c>
      <c r="N12" s="45" t="str">
        <f>VLOOKUP(C12,Bolts!A:L,12,0)</f>
        <v xml:space="preserve"> </v>
      </c>
      <c r="O12" s="45" t="e">
        <f t="shared" ca="1" si="3"/>
        <v>#VALUE!</v>
      </c>
      <c r="P12" s="49" t="str">
        <f>IFERROR(VLOOKUP(C12,Bolts!A:B,2,FALSE),"")</f>
        <v xml:space="preserve"> </v>
      </c>
      <c r="Q12" s="50" t="str">
        <f t="shared" si="4"/>
        <v/>
      </c>
    </row>
    <row r="13" spans="1:17" s="2" customFormat="1" ht="12.75" customHeight="1" thickBot="1">
      <c r="A13" s="34"/>
      <c r="B13" s="35"/>
      <c r="C13" s="35"/>
      <c r="D13" s="256"/>
      <c r="E13" s="257"/>
      <c r="F13" s="35"/>
      <c r="G13" s="35"/>
      <c r="H13" s="294"/>
      <c r="I13" s="295"/>
      <c r="J13" s="36"/>
      <c r="K13" s="36"/>
      <c r="L13" s="36"/>
      <c r="M13" s="37"/>
      <c r="N13" s="38"/>
      <c r="O13" s="38"/>
      <c r="P13" s="89" t="s">
        <v>43</v>
      </c>
      <c r="Q13" s="94">
        <f>SUM(Q5:Q12)</f>
        <v>36443.255800000006</v>
      </c>
    </row>
    <row r="14" spans="1:17" s="2" customFormat="1" ht="12" customHeight="1">
      <c r="D14" s="22"/>
      <c r="E14" s="22"/>
      <c r="J14" s="8"/>
      <c r="K14" s="8"/>
      <c r="L14" s="8"/>
      <c r="M14" s="8"/>
      <c r="N14" s="5"/>
      <c r="O14" s="5"/>
      <c r="P14" s="88"/>
      <c r="Q14" s="95"/>
    </row>
    <row r="15" spans="1:17" s="2" customFormat="1" ht="12" customHeight="1">
      <c r="D15" s="22"/>
      <c r="E15" s="22"/>
      <c r="J15" s="5"/>
      <c r="K15" s="5"/>
      <c r="L15" s="5"/>
      <c r="M15" s="5"/>
      <c r="N15" s="5"/>
      <c r="O15" s="5"/>
      <c r="P15" s="88"/>
      <c r="Q15" s="95"/>
    </row>
    <row r="16" spans="1:17" s="2" customFormat="1" ht="12" customHeight="1">
      <c r="D16" s="22"/>
      <c r="E16" s="22"/>
      <c r="J16" s="5"/>
      <c r="K16" s="5"/>
      <c r="L16" s="5"/>
      <c r="M16" s="5"/>
      <c r="N16" s="5"/>
      <c r="O16" s="5"/>
      <c r="P16" s="88"/>
      <c r="Q16" s="95"/>
    </row>
    <row r="17" spans="4:17" s="2" customFormat="1" ht="12" customHeight="1">
      <c r="D17" s="22"/>
      <c r="E17" s="22"/>
      <c r="J17" s="5"/>
      <c r="K17" s="5"/>
      <c r="L17" s="5"/>
      <c r="M17" s="5"/>
      <c r="N17" s="5"/>
      <c r="O17" s="5"/>
      <c r="P17" s="88"/>
      <c r="Q17" s="95"/>
    </row>
    <row r="18" spans="4:17" s="2" customFormat="1" ht="12" customHeight="1">
      <c r="D18" s="22"/>
      <c r="E18" s="22"/>
      <c r="J18" s="5"/>
      <c r="K18" s="5"/>
      <c r="L18" s="5"/>
      <c r="M18" s="5"/>
      <c r="N18" s="5"/>
      <c r="O18" s="5"/>
      <c r="P18" s="88"/>
      <c r="Q18" s="95"/>
    </row>
    <row r="19" spans="4:17" s="2" customFormat="1" ht="12" customHeight="1">
      <c r="D19" s="22"/>
      <c r="E19" s="22"/>
      <c r="J19" s="5"/>
      <c r="K19" s="5"/>
      <c r="L19" s="5"/>
      <c r="M19" s="5"/>
      <c r="N19" s="5"/>
      <c r="O19" s="5"/>
      <c r="P19" s="88"/>
      <c r="Q19" s="95"/>
    </row>
    <row r="20" spans="4:17" s="2" customFormat="1" ht="12" customHeight="1">
      <c r="D20" s="22"/>
      <c r="E20" s="22"/>
      <c r="J20" s="5"/>
      <c r="K20" s="5"/>
      <c r="L20" s="5"/>
      <c r="M20" s="5"/>
      <c r="N20" s="5"/>
      <c r="O20" s="5"/>
      <c r="P20" s="88"/>
      <c r="Q20" s="95"/>
    </row>
    <row r="21" spans="4:17" s="2" customFormat="1" ht="12" customHeight="1">
      <c r="D21" s="22"/>
      <c r="E21" s="22"/>
      <c r="J21" s="5"/>
      <c r="K21" s="5"/>
      <c r="L21" s="5"/>
      <c r="M21" s="5"/>
      <c r="N21" s="5"/>
      <c r="O21" s="5"/>
      <c r="P21" s="88"/>
      <c r="Q21" s="95"/>
    </row>
    <row r="22" spans="4:17" s="2" customFormat="1" ht="12" customHeight="1">
      <c r="D22" s="22"/>
      <c r="E22" s="22"/>
      <c r="J22" s="5"/>
      <c r="K22" s="5"/>
      <c r="L22" s="5"/>
      <c r="M22" s="5"/>
      <c r="N22" s="5"/>
      <c r="O22" s="5"/>
      <c r="P22" s="88"/>
      <c r="Q22" s="95"/>
    </row>
    <row r="23" spans="4:17" s="2" customFormat="1" ht="12" customHeight="1">
      <c r="D23" s="22"/>
      <c r="E23" s="22"/>
      <c r="J23" s="5"/>
      <c r="K23" s="5"/>
      <c r="L23" s="5"/>
      <c r="M23" s="5"/>
      <c r="N23" s="5"/>
      <c r="O23" s="5"/>
      <c r="P23" s="88"/>
      <c r="Q23" s="95"/>
    </row>
    <row r="24" spans="4:17" s="2" customFormat="1" ht="12" customHeight="1">
      <c r="D24" s="22"/>
      <c r="E24" s="22"/>
      <c r="J24" s="5"/>
      <c r="K24" s="5"/>
      <c r="L24" s="5"/>
      <c r="M24" s="5"/>
      <c r="N24" s="5"/>
      <c r="O24" s="5"/>
      <c r="P24" s="88"/>
      <c r="Q24" s="95"/>
    </row>
    <row r="25" spans="4:17" s="2" customFormat="1" ht="12" customHeight="1">
      <c r="D25" s="22"/>
      <c r="E25" s="22"/>
      <c r="J25" s="5"/>
      <c r="K25" s="5"/>
      <c r="L25" s="5"/>
      <c r="M25" s="5"/>
      <c r="N25" s="5"/>
      <c r="O25" s="5"/>
      <c r="P25" s="88"/>
      <c r="Q25" s="95"/>
    </row>
    <row r="26" spans="4:17" s="2" customFormat="1" ht="12" customHeight="1">
      <c r="D26" s="22"/>
      <c r="E26" s="22"/>
      <c r="J26" s="5"/>
      <c r="K26" s="5"/>
      <c r="L26" s="5"/>
      <c r="M26" s="5"/>
      <c r="N26" s="5"/>
      <c r="O26" s="5"/>
      <c r="P26" s="88"/>
      <c r="Q26" s="95"/>
    </row>
    <row r="27" spans="4:17" s="2" customFormat="1" ht="12" customHeight="1">
      <c r="D27" s="22"/>
      <c r="E27" s="22"/>
      <c r="J27" s="5"/>
      <c r="K27" s="5"/>
      <c r="L27" s="5"/>
      <c r="M27" s="5"/>
      <c r="N27" s="5"/>
      <c r="O27" s="5"/>
      <c r="P27" s="88"/>
      <c r="Q27" s="95"/>
    </row>
    <row r="28" spans="4:17" s="2" customFormat="1" ht="12" customHeight="1">
      <c r="D28" s="22"/>
      <c r="E28" s="22"/>
      <c r="J28" s="5"/>
      <c r="K28" s="5"/>
      <c r="L28" s="5"/>
      <c r="M28" s="5"/>
      <c r="N28" s="5"/>
      <c r="O28" s="5"/>
      <c r="P28" s="88"/>
      <c r="Q28" s="95"/>
    </row>
    <row r="29" spans="4:17" s="2" customFormat="1" ht="12" customHeight="1">
      <c r="D29" s="22"/>
      <c r="E29" s="22"/>
      <c r="J29" s="5"/>
      <c r="K29" s="5"/>
      <c r="L29" s="5"/>
      <c r="M29" s="5"/>
      <c r="N29" s="5"/>
      <c r="O29" s="5"/>
      <c r="P29" s="88"/>
      <c r="Q29" s="95"/>
    </row>
    <row r="30" spans="4:17" s="2" customFormat="1" ht="12" customHeight="1">
      <c r="D30" s="22"/>
      <c r="E30" s="22"/>
      <c r="J30" s="5"/>
      <c r="K30" s="5"/>
      <c r="L30" s="5"/>
      <c r="M30" s="5"/>
      <c r="N30" s="5"/>
      <c r="O30" s="5"/>
      <c r="P30" s="88"/>
      <c r="Q30" s="95"/>
    </row>
    <row r="31" spans="4:17" s="2" customFormat="1" ht="12" customHeight="1">
      <c r="D31" s="22"/>
      <c r="E31" s="22"/>
      <c r="J31" s="5"/>
      <c r="K31" s="5"/>
      <c r="L31" s="5"/>
      <c r="M31" s="5"/>
      <c r="N31" s="5"/>
      <c r="O31" s="5"/>
      <c r="P31" s="88"/>
      <c r="Q31" s="95"/>
    </row>
    <row r="32" spans="4:17" s="2" customFormat="1" ht="12" customHeight="1">
      <c r="D32" s="22"/>
      <c r="E32" s="22"/>
      <c r="J32" s="5"/>
      <c r="K32" s="5"/>
      <c r="L32" s="5"/>
      <c r="M32" s="5"/>
      <c r="N32" s="5"/>
      <c r="O32" s="5"/>
      <c r="P32" s="88"/>
      <c r="Q32" s="95"/>
    </row>
    <row r="33" spans="4:17" s="2" customFormat="1" ht="12" customHeight="1">
      <c r="D33" s="22"/>
      <c r="E33" s="22"/>
      <c r="J33" s="5"/>
      <c r="K33" s="5"/>
      <c r="L33" s="5"/>
      <c r="M33" s="5"/>
      <c r="N33" s="5"/>
      <c r="O33" s="5"/>
      <c r="P33" s="88"/>
      <c r="Q33" s="95"/>
    </row>
    <row r="34" spans="4:17" s="2" customFormat="1" ht="12" customHeight="1">
      <c r="D34" s="22"/>
      <c r="E34" s="22"/>
      <c r="J34" s="5"/>
      <c r="K34" s="5"/>
      <c r="L34" s="5"/>
      <c r="M34" s="5"/>
      <c r="N34" s="5"/>
      <c r="O34" s="5"/>
      <c r="P34" s="88"/>
      <c r="Q34" s="95"/>
    </row>
    <row r="35" spans="4:17" s="2" customFormat="1" ht="12" customHeight="1">
      <c r="D35" s="22"/>
      <c r="E35" s="22"/>
      <c r="J35" s="5"/>
      <c r="K35" s="5"/>
      <c r="L35" s="5"/>
      <c r="M35" s="5"/>
      <c r="N35" s="5"/>
      <c r="O35" s="5"/>
      <c r="P35" s="88"/>
      <c r="Q35" s="95"/>
    </row>
    <row r="36" spans="4:17" s="2" customFormat="1" ht="12" customHeight="1">
      <c r="D36" s="22"/>
      <c r="E36" s="22"/>
      <c r="J36" s="5"/>
      <c r="K36" s="5"/>
      <c r="L36" s="5"/>
      <c r="M36" s="5"/>
      <c r="N36" s="5"/>
      <c r="O36" s="5"/>
      <c r="P36" s="88"/>
      <c r="Q36" s="95"/>
    </row>
    <row r="37" spans="4:17" s="2" customFormat="1" ht="12" customHeight="1">
      <c r="D37" s="22"/>
      <c r="E37" s="22"/>
      <c r="J37" s="5"/>
      <c r="K37" s="5"/>
      <c r="L37" s="5"/>
      <c r="M37" s="5"/>
      <c r="N37" s="5"/>
      <c r="O37" s="5"/>
      <c r="P37" s="88"/>
      <c r="Q37" s="95"/>
    </row>
    <row r="38" spans="4:17" s="2" customFormat="1" ht="12" customHeight="1">
      <c r="D38" s="22"/>
      <c r="E38" s="22"/>
      <c r="J38" s="5"/>
      <c r="K38" s="5"/>
      <c r="L38" s="5"/>
      <c r="M38" s="5"/>
      <c r="N38" s="5"/>
      <c r="O38" s="5"/>
      <c r="P38" s="88"/>
      <c r="Q38" s="95"/>
    </row>
    <row r="39" spans="4:17" s="2" customFormat="1" ht="12" customHeight="1">
      <c r="D39" s="22"/>
      <c r="E39" s="22"/>
      <c r="J39" s="5"/>
      <c r="K39" s="5"/>
      <c r="L39" s="5"/>
      <c r="M39" s="5"/>
      <c r="N39" s="5"/>
      <c r="O39" s="5"/>
      <c r="P39" s="88"/>
      <c r="Q39" s="95"/>
    </row>
    <row r="40" spans="4:17" s="2" customFormat="1" ht="12" customHeight="1">
      <c r="D40" s="22"/>
      <c r="E40" s="22"/>
      <c r="J40" s="5"/>
      <c r="K40" s="5"/>
      <c r="L40" s="5"/>
      <c r="M40" s="5"/>
      <c r="N40" s="5"/>
      <c r="O40" s="5"/>
      <c r="P40" s="88"/>
      <c r="Q40" s="95"/>
    </row>
    <row r="41" spans="4:17" s="2" customFormat="1" ht="12" customHeight="1">
      <c r="D41" s="22"/>
      <c r="E41" s="22"/>
      <c r="J41" s="5"/>
      <c r="K41" s="5"/>
      <c r="L41" s="5"/>
      <c r="M41" s="5"/>
      <c r="N41" s="5"/>
      <c r="O41" s="5"/>
      <c r="P41" s="88"/>
      <c r="Q41" s="95"/>
    </row>
    <row r="42" spans="4:17" s="2" customFormat="1" ht="12" customHeight="1">
      <c r="D42" s="22"/>
      <c r="E42" s="22"/>
      <c r="J42" s="5"/>
      <c r="K42" s="5"/>
      <c r="L42" s="5"/>
      <c r="M42" s="5"/>
      <c r="N42" s="5"/>
      <c r="O42" s="5"/>
      <c r="P42" s="88"/>
      <c r="Q42" s="95"/>
    </row>
    <row r="43" spans="4:17" s="2" customFormat="1" ht="12" customHeight="1">
      <c r="D43" s="22"/>
      <c r="E43" s="22"/>
      <c r="J43" s="5"/>
      <c r="K43" s="5"/>
      <c r="L43" s="5"/>
      <c r="M43" s="5"/>
      <c r="N43" s="5"/>
      <c r="O43" s="5"/>
      <c r="P43" s="88"/>
      <c r="Q43" s="95"/>
    </row>
    <row r="44" spans="4:17" s="2" customFormat="1" ht="12" customHeight="1">
      <c r="D44" s="22"/>
      <c r="E44" s="22"/>
      <c r="J44" s="5"/>
      <c r="K44" s="5"/>
      <c r="L44" s="5"/>
      <c r="M44" s="5"/>
      <c r="N44" s="5"/>
      <c r="O44" s="5"/>
      <c r="P44" s="88"/>
      <c r="Q44" s="95"/>
    </row>
    <row r="45" spans="4:17" s="2" customFormat="1" ht="12" customHeight="1">
      <c r="D45" s="22"/>
      <c r="E45" s="22"/>
      <c r="J45" s="5"/>
      <c r="K45" s="5"/>
      <c r="L45" s="5"/>
      <c r="M45" s="5"/>
      <c r="N45" s="5"/>
      <c r="O45" s="5"/>
      <c r="P45" s="88"/>
      <c r="Q45" s="95"/>
    </row>
    <row r="46" spans="4:17" s="2" customFormat="1" ht="12" customHeight="1">
      <c r="D46" s="22"/>
      <c r="E46" s="22"/>
      <c r="J46" s="5"/>
      <c r="K46" s="5"/>
      <c r="L46" s="5"/>
      <c r="M46" s="5"/>
      <c r="N46" s="5"/>
      <c r="O46" s="5"/>
      <c r="P46" s="88"/>
      <c r="Q46" s="95"/>
    </row>
    <row r="47" spans="4:17" s="2" customFormat="1" ht="12" customHeight="1">
      <c r="D47" s="22"/>
      <c r="E47" s="22"/>
      <c r="J47" s="5"/>
      <c r="K47" s="5"/>
      <c r="L47" s="5"/>
      <c r="M47" s="5"/>
      <c r="N47" s="5"/>
      <c r="O47" s="5"/>
      <c r="P47" s="88"/>
      <c r="Q47" s="95"/>
    </row>
    <row r="48" spans="4:17" s="2" customFormat="1" ht="12" customHeight="1">
      <c r="D48" s="22"/>
      <c r="E48" s="22"/>
      <c r="J48" s="5"/>
      <c r="K48" s="5"/>
      <c r="L48" s="5"/>
      <c r="M48" s="5"/>
      <c r="N48" s="5"/>
      <c r="O48" s="5"/>
      <c r="P48" s="88"/>
      <c r="Q48" s="95"/>
    </row>
    <row r="49" spans="1:17" s="2" customFormat="1" ht="12" customHeight="1">
      <c r="D49" s="22"/>
      <c r="E49" s="22"/>
      <c r="J49" s="5"/>
      <c r="K49" s="5"/>
      <c r="L49" s="5"/>
      <c r="M49" s="5"/>
      <c r="N49" s="5"/>
      <c r="O49" s="5"/>
      <c r="P49" s="88"/>
      <c r="Q49" s="95"/>
    </row>
    <row r="50" spans="1:17" s="2" customFormat="1" ht="12" customHeight="1">
      <c r="D50" s="22"/>
      <c r="E50" s="22"/>
      <c r="J50" s="5"/>
      <c r="K50" s="5"/>
      <c r="L50" s="5"/>
      <c r="M50" s="5"/>
      <c r="N50" s="5"/>
      <c r="O50" s="5"/>
      <c r="P50" s="88"/>
      <c r="Q50" s="95"/>
    </row>
    <row r="51" spans="1:17" s="2" customFormat="1" ht="12" customHeight="1">
      <c r="D51" s="22"/>
      <c r="E51" s="22"/>
      <c r="J51" s="5"/>
      <c r="K51" s="5"/>
      <c r="L51" s="5"/>
      <c r="M51" s="5"/>
      <c r="N51" s="5"/>
      <c r="O51" s="5"/>
      <c r="P51" s="88"/>
      <c r="Q51" s="95"/>
    </row>
    <row r="52" spans="1:17" s="2" customFormat="1" ht="12" customHeight="1">
      <c r="D52" s="22"/>
      <c r="E52" s="22"/>
      <c r="J52" s="5"/>
      <c r="K52" s="5"/>
      <c r="L52" s="5"/>
      <c r="M52" s="5"/>
      <c r="N52" s="5"/>
      <c r="O52" s="5"/>
      <c r="P52" s="88"/>
      <c r="Q52" s="96"/>
    </row>
    <row r="53" spans="1:17" s="2" customFormat="1" ht="12" customHeight="1">
      <c r="D53" s="22"/>
      <c r="E53" s="22"/>
      <c r="J53" s="5"/>
      <c r="K53" s="5"/>
      <c r="L53" s="5"/>
      <c r="M53" s="5"/>
      <c r="N53" s="5"/>
      <c r="O53" s="5"/>
      <c r="P53" s="88"/>
      <c r="Q53" s="96"/>
    </row>
    <row r="54" spans="1:17" s="2" customFormat="1" ht="12" customHeight="1">
      <c r="D54" s="22"/>
      <c r="E54" s="22"/>
      <c r="J54" s="5"/>
      <c r="K54" s="5"/>
      <c r="L54" s="5"/>
      <c r="M54" s="5"/>
      <c r="N54" s="5"/>
      <c r="O54" s="5"/>
      <c r="P54" s="88"/>
      <c r="Q54" s="96"/>
    </row>
    <row r="55" spans="1:17" s="2" customFormat="1" ht="12" customHeight="1">
      <c r="D55" s="22"/>
      <c r="E55" s="22"/>
      <c r="J55" s="5"/>
      <c r="K55" s="5"/>
      <c r="L55" s="5"/>
      <c r="M55" s="5"/>
      <c r="N55" s="5"/>
      <c r="O55" s="5"/>
      <c r="P55" s="88"/>
      <c r="Q55" s="96"/>
    </row>
    <row r="56" spans="1:17" s="2" customFormat="1" ht="12" customHeight="1">
      <c r="A56"/>
      <c r="B56"/>
      <c r="C56"/>
      <c r="D56" s="23"/>
      <c r="E56" s="23"/>
      <c r="F56"/>
      <c r="G56"/>
      <c r="H56"/>
      <c r="I56"/>
      <c r="J56" s="19"/>
      <c r="K56" s="19"/>
      <c r="L56" s="19"/>
      <c r="M56" s="19"/>
      <c r="N56" s="19"/>
      <c r="O56" s="19"/>
      <c r="P56" s="90"/>
      <c r="Q56" s="96"/>
    </row>
    <row r="57" spans="1:17" s="2" customFormat="1" ht="12" customHeight="1">
      <c r="A57"/>
      <c r="B57"/>
      <c r="C57"/>
      <c r="D57" s="23"/>
      <c r="E57" s="23"/>
      <c r="F57"/>
      <c r="G57"/>
      <c r="H57"/>
      <c r="I57"/>
      <c r="J57" s="19"/>
      <c r="K57" s="19"/>
      <c r="L57" s="19"/>
      <c r="M57" s="19"/>
      <c r="N57" s="19"/>
      <c r="O57" s="19"/>
      <c r="P57" s="90"/>
      <c r="Q57" s="96"/>
    </row>
    <row r="58" spans="1:17" s="2" customFormat="1" ht="12" customHeight="1">
      <c r="A58"/>
      <c r="B58"/>
      <c r="C58"/>
      <c r="D58" s="23"/>
      <c r="E58" s="23"/>
      <c r="F58"/>
      <c r="G58"/>
      <c r="H58"/>
      <c r="I58"/>
      <c r="J58" s="19"/>
      <c r="K58" s="19"/>
      <c r="L58" s="19"/>
      <c r="M58" s="19"/>
      <c r="N58" s="19"/>
      <c r="O58" s="19"/>
      <c r="P58" s="90"/>
      <c r="Q58" s="96"/>
    </row>
    <row r="59" spans="1:17" s="2" customFormat="1" ht="12" customHeight="1">
      <c r="A59"/>
      <c r="B59"/>
      <c r="C59"/>
      <c r="D59" s="23"/>
      <c r="E59" s="23"/>
      <c r="F59"/>
      <c r="G59"/>
      <c r="H59"/>
      <c r="I59"/>
      <c r="J59" s="19"/>
      <c r="K59" s="19"/>
      <c r="L59" s="19"/>
      <c r="M59" s="19"/>
      <c r="N59" s="19"/>
      <c r="O59" s="19"/>
      <c r="P59" s="90"/>
      <c r="Q59" s="96"/>
    </row>
    <row r="60" spans="1:17" s="2" customFormat="1" ht="12" customHeight="1">
      <c r="A60"/>
      <c r="B60"/>
      <c r="C60"/>
      <c r="D60" s="23"/>
      <c r="E60" s="23"/>
      <c r="F60"/>
      <c r="G60"/>
      <c r="H60"/>
      <c r="I60"/>
      <c r="J60" s="19"/>
      <c r="K60" s="19"/>
      <c r="L60" s="19"/>
      <c r="M60" s="19"/>
      <c r="N60" s="19"/>
      <c r="O60" s="19"/>
      <c r="P60" s="90"/>
      <c r="Q60" s="96"/>
    </row>
    <row r="61" spans="1:17">
      <c r="Q61" s="96"/>
    </row>
    <row r="62" spans="1:17">
      <c r="Q62" s="96"/>
    </row>
    <row r="63" spans="1:17">
      <c r="Q63" s="96"/>
    </row>
    <row r="64" spans="1:17">
      <c r="Q64" s="96"/>
    </row>
    <row r="65" spans="17:17">
      <c r="Q65" s="96"/>
    </row>
    <row r="66" spans="17:17">
      <c r="Q66" s="96"/>
    </row>
    <row r="67" spans="17:17">
      <c r="Q67" s="96"/>
    </row>
    <row r="68" spans="17:17">
      <c r="Q68" s="96"/>
    </row>
    <row r="69" spans="17:17">
      <c r="Q69" s="96"/>
    </row>
    <row r="70" spans="17:17">
      <c r="Q70" s="96"/>
    </row>
    <row r="71" spans="17:17">
      <c r="Q71" s="96"/>
    </row>
    <row r="72" spans="17:17">
      <c r="Q72" s="96"/>
    </row>
    <row r="73" spans="17:17">
      <c r="Q73" s="96"/>
    </row>
    <row r="74" spans="17:17">
      <c r="Q74" s="96"/>
    </row>
    <row r="75" spans="17:17">
      <c r="Q75" s="96"/>
    </row>
    <row r="76" spans="17:17">
      <c r="Q76" s="96"/>
    </row>
    <row r="77" spans="17:17">
      <c r="Q77" s="96"/>
    </row>
    <row r="78" spans="17:17">
      <c r="Q78" s="96"/>
    </row>
    <row r="79" spans="17:17">
      <c r="Q79" s="96"/>
    </row>
    <row r="80" spans="17:17">
      <c r="Q80" s="96"/>
    </row>
    <row r="117" ht="12" customHeight="1"/>
    <row r="118" ht="12" customHeight="1"/>
    <row r="119" ht="12" customHeight="1"/>
    <row r="120" ht="12" customHeight="1"/>
    <row r="121" ht="12" customHeight="1"/>
    <row r="122" ht="12" customHeight="1"/>
    <row r="123" ht="12" customHeight="1"/>
    <row r="124" ht="12" customHeight="1"/>
    <row r="125" ht="12" customHeight="1"/>
    <row r="126" ht="12" customHeight="1"/>
    <row r="127" ht="12" customHeight="1"/>
    <row r="128" ht="12" customHeight="1"/>
    <row r="129" ht="12" customHeight="1"/>
    <row r="130" ht="12" customHeight="1"/>
    <row r="131" ht="12" customHeight="1"/>
    <row r="132" ht="12" customHeight="1"/>
    <row r="133" ht="12" customHeight="1"/>
    <row r="134" ht="12" customHeight="1"/>
    <row r="135" ht="12" customHeight="1"/>
    <row r="136" ht="12" customHeight="1"/>
    <row r="137" ht="12" customHeight="1"/>
    <row r="138" ht="12" customHeight="1"/>
    <row r="139" ht="12" customHeight="1"/>
    <row r="140" ht="12" customHeight="1"/>
    <row r="141" ht="12" customHeight="1"/>
    <row r="142" ht="12" customHeight="1"/>
    <row r="143" ht="12" customHeight="1"/>
    <row r="144" ht="12" customHeight="1"/>
    <row r="145" ht="12" customHeight="1"/>
    <row r="146" ht="12" customHeight="1"/>
    <row r="147" ht="12" customHeight="1"/>
    <row r="148" ht="12" customHeight="1"/>
    <row r="149" ht="12" customHeight="1"/>
    <row r="150" ht="12" customHeight="1"/>
    <row r="151" ht="12" customHeight="1"/>
    <row r="152" ht="12" customHeight="1"/>
    <row r="153" ht="12" customHeight="1"/>
    <row r="154" ht="12" customHeight="1"/>
    <row r="155" ht="12" customHeight="1"/>
    <row r="156" ht="12" customHeight="1"/>
    <row r="157" ht="12" customHeight="1"/>
    <row r="158" ht="12" customHeight="1"/>
    <row r="159" ht="12" customHeight="1"/>
    <row r="160" ht="12" customHeight="1"/>
    <row r="161" ht="12" customHeight="1"/>
    <row r="162" ht="12" customHeight="1"/>
    <row r="163" ht="12" customHeight="1"/>
    <row r="164" ht="12" customHeight="1"/>
    <row r="165" ht="12" customHeight="1"/>
    <row r="166" ht="12" customHeight="1"/>
  </sheetData>
  <mergeCells count="14">
    <mergeCell ref="D9:E9"/>
    <mergeCell ref="D5:E5"/>
    <mergeCell ref="D6:E6"/>
    <mergeCell ref="D13:E13"/>
    <mergeCell ref="H13:I13"/>
    <mergeCell ref="D11:E11"/>
    <mergeCell ref="D12:E12"/>
    <mergeCell ref="D10:E10"/>
    <mergeCell ref="H10:I10"/>
    <mergeCell ref="D1:E1"/>
    <mergeCell ref="D4:E4"/>
    <mergeCell ref="H4:I4"/>
    <mergeCell ref="D7:E7"/>
    <mergeCell ref="D8:E8"/>
  </mergeCells>
  <conditionalFormatting sqref="M5:M9 M11:M12">
    <cfRule type="cellIs" dxfId="238" priority="1" stopIfTrue="1" operator="lessThanOrEqual">
      <formula>$L5</formula>
    </cfRule>
    <cfRule type="cellIs" dxfId="237" priority="2" operator="greaterThan">
      <formula>L5</formula>
    </cfRule>
  </conditionalFormatting>
  <pageMargins left="0.7" right="0.7" top="0.75" bottom="0.75" header="0.3" footer="0.3"/>
  <pageSetup paperSize="3" fitToHeight="0" orientation="landscape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4C6FA65-8E61-47DA-8FF1-8E52DAEC2AB1}">
          <x14:formula1>
            <xm:f>Bolts!$A:$A</xm:f>
          </x14:formula1>
          <xm:sqref>C11:C12</xm:sqref>
        </x14:dataValidation>
        <x14:dataValidation type="list" allowBlank="1" showInputMessage="1" showErrorMessage="1" xr:uid="{6820FF8E-5331-4A1F-908D-BF11C9998DFD}">
          <x14:formula1>
            <xm:f>Purchased!$A:$A</xm:f>
          </x14:formula1>
          <xm:sqref>C5:C9</xm:sqref>
        </x14:dataValidation>
      </x14:dataValidations>
    </ext>
  </extLst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176440-4FDF-414C-B0D0-C4EE15C4C40A}">
  <sheetPr codeName="Sheet119">
    <tabColor theme="3" tint="0.59999389629810485"/>
    <pageSetUpPr fitToPage="1"/>
  </sheetPr>
  <dimension ref="A1:Q174"/>
  <sheetViews>
    <sheetView zoomScaleNormal="100" workbookViewId="0">
      <selection activeCell="D29" sqref="D29"/>
    </sheetView>
  </sheetViews>
  <sheetFormatPr defaultColWidth="9.140625" defaultRowHeight="15"/>
  <cols>
    <col min="1" max="1" width="5.7109375" customWidth="1"/>
    <col min="2" max="2" width="5.42578125" bestFit="1" customWidth="1"/>
    <col min="3" max="3" width="30.7109375" customWidth="1"/>
    <col min="4" max="5" width="20.7109375" style="23" customWidth="1"/>
    <col min="6" max="6" width="16.85546875" bestFit="1" customWidth="1"/>
    <col min="7" max="7" width="9.7109375" customWidth="1"/>
    <col min="8" max="8" width="8.7109375" customWidth="1"/>
    <col min="9" max="9" width="20.7109375" customWidth="1"/>
    <col min="10" max="13" width="11.7109375" style="19" customWidth="1"/>
    <col min="14" max="14" width="11.85546875" style="19" bestFit="1" customWidth="1"/>
    <col min="15" max="15" width="7.7109375" style="19" customWidth="1"/>
    <col min="16" max="16" width="10.7109375" style="90" customWidth="1"/>
    <col min="17" max="17" width="10.7109375" style="97" customWidth="1"/>
  </cols>
  <sheetData>
    <row r="1" spans="1:17" s="55" customFormat="1" ht="12" customHeight="1">
      <c r="A1" s="68" t="s">
        <v>0</v>
      </c>
      <c r="B1" s="69"/>
      <c r="C1" s="69"/>
      <c r="D1" s="262" t="s">
        <v>1</v>
      </c>
      <c r="E1" s="263"/>
      <c r="F1" s="70"/>
      <c r="G1" s="69"/>
      <c r="H1" s="70"/>
      <c r="I1" s="71"/>
      <c r="J1" s="72"/>
      <c r="K1" s="72"/>
      <c r="L1" s="72"/>
      <c r="M1" s="72"/>
      <c r="N1" s="72"/>
      <c r="O1" s="72"/>
      <c r="P1" s="85"/>
      <c r="Q1" s="91"/>
    </row>
    <row r="2" spans="1:17" s="55" customFormat="1" ht="12" customHeight="1">
      <c r="A2" s="74" t="s">
        <v>48</v>
      </c>
      <c r="B2" s="58"/>
      <c r="C2" s="57" t="e">
        <f ca="1">VLOOKUP(E3,Assemblies!B:F,4,0)</f>
        <v>#VALUE!</v>
      </c>
      <c r="D2" s="75" t="s">
        <v>3</v>
      </c>
      <c r="E2" s="76" t="e">
        <f ca="1">'GF12'!E2</f>
        <v>#VALUE!</v>
      </c>
      <c r="F2" s="77" t="s">
        <v>4</v>
      </c>
      <c r="G2" s="58" t="str">
        <f>'GF12'!G2</f>
        <v>GH</v>
      </c>
      <c r="H2" s="77" t="s">
        <v>6</v>
      </c>
      <c r="I2" s="59">
        <f>'GF12'!I2</f>
        <v>44775</v>
      </c>
      <c r="J2" s="39"/>
      <c r="K2" s="40" t="s">
        <v>49</v>
      </c>
      <c r="L2" s="41" t="e">
        <f ca="1">VLOOKUP(C2,Assemblies!E:G,3,0)</f>
        <v>#VALUE!</v>
      </c>
      <c r="M2" s="78"/>
      <c r="N2" s="78"/>
      <c r="O2" s="78"/>
      <c r="P2" s="86"/>
      <c r="Q2" s="92"/>
    </row>
    <row r="3" spans="1:17" s="55" customFormat="1" ht="12" customHeight="1" thickBot="1">
      <c r="A3" s="74" t="s">
        <v>7</v>
      </c>
      <c r="B3" s="58"/>
      <c r="C3" s="57" t="e">
        <f ca="1">VLOOKUP(E3,Assemblies!B:F,5,0)</f>
        <v>#VALUE!</v>
      </c>
      <c r="D3" s="75" t="s">
        <v>50</v>
      </c>
      <c r="E3" s="76" t="e">
        <f ca="1">MID(CELL("filename",A1),FIND("]",CELL("filename",A1))+1,256)</f>
        <v>#VALUE!</v>
      </c>
      <c r="F3" s="77" t="s">
        <v>11</v>
      </c>
      <c r="G3" s="58" t="str">
        <f>'GF12'!G3</f>
        <v>GH</v>
      </c>
      <c r="H3" s="77" t="s">
        <v>6</v>
      </c>
      <c r="I3" s="59">
        <f>'GF12'!I3</f>
        <v>44775</v>
      </c>
      <c r="J3" s="78"/>
      <c r="K3" s="78"/>
      <c r="L3" s="78"/>
      <c r="M3" s="78"/>
      <c r="N3" s="78"/>
      <c r="O3" s="78"/>
      <c r="P3" s="86"/>
      <c r="Q3" s="92"/>
    </row>
    <row r="4" spans="1:17" s="56" customFormat="1" ht="12.75" customHeight="1" thickBot="1">
      <c r="A4" s="80" t="s">
        <v>12</v>
      </c>
      <c r="B4" s="81" t="s">
        <v>13</v>
      </c>
      <c r="C4" s="81" t="s">
        <v>14</v>
      </c>
      <c r="D4" s="270" t="s">
        <v>15</v>
      </c>
      <c r="E4" s="271"/>
      <c r="F4" s="104" t="s">
        <v>16</v>
      </c>
      <c r="G4" s="81" t="s">
        <v>17</v>
      </c>
      <c r="H4" s="260" t="s">
        <v>18</v>
      </c>
      <c r="I4" s="261"/>
      <c r="J4" s="81" t="s">
        <v>51</v>
      </c>
      <c r="K4" s="81" t="s">
        <v>20</v>
      </c>
      <c r="L4" s="81" t="s">
        <v>21</v>
      </c>
      <c r="M4" s="81" t="s">
        <v>52</v>
      </c>
      <c r="N4" s="81" t="s">
        <v>22</v>
      </c>
      <c r="O4" s="81" t="s">
        <v>53</v>
      </c>
      <c r="P4" s="107" t="s">
        <v>26</v>
      </c>
      <c r="Q4" s="82" t="s">
        <v>27</v>
      </c>
    </row>
    <row r="5" spans="1:17" s="21" customFormat="1" ht="12.75" customHeight="1">
      <c r="A5" s="66" t="s">
        <v>54</v>
      </c>
      <c r="B5" s="1">
        <v>1</v>
      </c>
      <c r="C5" s="67" t="s">
        <v>1206</v>
      </c>
      <c r="D5" s="277" t="e">
        <f ca="1">VLOOKUP(C5,Assemblies!E:S,2,0)</f>
        <v>#N/A</v>
      </c>
      <c r="E5" s="278"/>
      <c r="F5" s="32"/>
      <c r="G5" s="32"/>
      <c r="H5" s="292"/>
      <c r="I5" s="293"/>
      <c r="J5" s="28"/>
      <c r="K5" s="28"/>
      <c r="L5" s="28"/>
      <c r="M5" s="28"/>
      <c r="N5" s="33"/>
      <c r="O5" s="46" t="e">
        <f t="shared" ref="O5:O8" ca="1" si="0">B5*$L$2</f>
        <v>#VALUE!</v>
      </c>
      <c r="P5" s="87">
        <f>'631'!Q41</f>
        <v>2095.3275000000003</v>
      </c>
      <c r="Q5" s="93">
        <f t="shared" ref="Q5:Q8" si="1">B5*P5</f>
        <v>2095.3275000000003</v>
      </c>
    </row>
    <row r="6" spans="1:17" s="21" customFormat="1" ht="12.75" customHeight="1">
      <c r="A6" s="66" t="s">
        <v>56</v>
      </c>
      <c r="B6" s="1">
        <v>1</v>
      </c>
      <c r="C6" s="67" t="s">
        <v>1207</v>
      </c>
      <c r="D6" s="277" t="e">
        <f ca="1">VLOOKUP(C6,Assemblies!E:S,2,0)</f>
        <v>#N/A</v>
      </c>
      <c r="E6" s="278"/>
      <c r="F6" s="32"/>
      <c r="G6" s="32"/>
      <c r="H6" s="292"/>
      <c r="I6" s="293"/>
      <c r="J6" s="28"/>
      <c r="K6" s="28"/>
      <c r="L6" s="28"/>
      <c r="M6" s="28"/>
      <c r="N6" s="33"/>
      <c r="O6" s="46" t="e">
        <f t="shared" ca="1" si="0"/>
        <v>#VALUE!</v>
      </c>
      <c r="P6" s="87">
        <f>'632'!Q50</f>
        <v>5040.1911</v>
      </c>
      <c r="Q6" s="93">
        <f t="shared" si="1"/>
        <v>5040.1911</v>
      </c>
    </row>
    <row r="7" spans="1:17" s="21" customFormat="1" ht="12.75" customHeight="1">
      <c r="A7" s="66" t="s">
        <v>58</v>
      </c>
      <c r="B7" s="1">
        <v>1</v>
      </c>
      <c r="C7" s="67" t="s">
        <v>1208</v>
      </c>
      <c r="D7" s="277" t="e">
        <f ca="1">VLOOKUP(C7,Assemblies!E:S,2,0)</f>
        <v>#N/A</v>
      </c>
      <c r="E7" s="278"/>
      <c r="F7" s="32"/>
      <c r="G7" s="32"/>
      <c r="H7" s="292"/>
      <c r="I7" s="293"/>
      <c r="J7" s="28"/>
      <c r="K7" s="28"/>
      <c r="L7" s="28"/>
      <c r="M7" s="28"/>
      <c r="N7" s="33"/>
      <c r="O7" s="46" t="e">
        <f t="shared" ca="1" si="0"/>
        <v>#VALUE!</v>
      </c>
      <c r="P7" s="87">
        <f>'633'!Q50</f>
        <v>5392.3613499999992</v>
      </c>
      <c r="Q7" s="93">
        <f t="shared" si="1"/>
        <v>5392.3613499999992</v>
      </c>
    </row>
    <row r="8" spans="1:17" s="21" customFormat="1" ht="12.75" customHeight="1">
      <c r="A8" s="66" t="s">
        <v>60</v>
      </c>
      <c r="B8" s="1">
        <v>1</v>
      </c>
      <c r="C8" s="67" t="s">
        <v>1209</v>
      </c>
      <c r="D8" s="277" t="e">
        <f ca="1">VLOOKUP(C8,Assemblies!E:S,2,0)</f>
        <v>#N/A</v>
      </c>
      <c r="E8" s="278"/>
      <c r="F8" s="32"/>
      <c r="G8" s="32"/>
      <c r="H8" s="292"/>
      <c r="I8" s="293"/>
      <c r="J8" s="28"/>
      <c r="K8" s="28"/>
      <c r="L8" s="28"/>
      <c r="M8" s="28"/>
      <c r="N8" s="33"/>
      <c r="O8" s="46" t="e">
        <f t="shared" ca="1" si="0"/>
        <v>#VALUE!</v>
      </c>
      <c r="P8" s="87">
        <f>'634'!Q26</f>
        <v>3586.3864000000003</v>
      </c>
      <c r="Q8" s="93">
        <f t="shared" si="1"/>
        <v>3586.3864000000003</v>
      </c>
    </row>
    <row r="9" spans="1:17" s="2" customFormat="1" ht="12.75" customHeight="1">
      <c r="A9" s="143"/>
      <c r="B9" s="26"/>
      <c r="C9" s="26"/>
      <c r="D9" s="272"/>
      <c r="E9" s="273"/>
      <c r="F9" s="26"/>
      <c r="G9" s="26"/>
      <c r="H9" s="274"/>
      <c r="I9" s="275"/>
      <c r="J9" s="27"/>
      <c r="K9" s="27"/>
      <c r="L9" s="27"/>
      <c r="M9" s="28"/>
      <c r="N9" s="29"/>
      <c r="O9" s="29"/>
      <c r="P9" s="141"/>
      <c r="Q9" s="142"/>
    </row>
    <row r="10" spans="1:17" s="2" customFormat="1" ht="12.75" customHeight="1">
      <c r="A10" s="4">
        <v>301</v>
      </c>
      <c r="B10" s="2">
        <v>4</v>
      </c>
      <c r="C10" s="114" t="s">
        <v>243</v>
      </c>
      <c r="D10" s="268" t="str">
        <f>VLOOKUP(C10,Purchased!A:B,2,0)</f>
        <v>BRX GOTO QUICK CONNECTOR N10 90°</v>
      </c>
      <c r="E10" s="269"/>
      <c r="F10" s="112" t="str">
        <f>VLOOKUP(C10,Purchased!A:Q,9,0)</f>
        <v>BRX</v>
      </c>
      <c r="G10" s="112" t="str">
        <f>VLOOKUP(C10,Purchased!A:Q,10,0)</f>
        <v>AAP</v>
      </c>
      <c r="H10" s="112" t="str">
        <f>VLOOKUP(C10,Purchased!A:Q,12,0)</f>
        <v xml:space="preserve">  </v>
      </c>
      <c r="I10" s="113"/>
      <c r="J10" s="44" t="str">
        <f>VLOOKUP(C10,Purchased!A:Q,13,0)</f>
        <v>N/A</v>
      </c>
      <c r="K10" s="44">
        <f>VLOOKUP(C10,Purchased!A:Q,14,0)</f>
        <v>45089</v>
      </c>
      <c r="L10" s="44">
        <f>VLOOKUP(C10,Purchased!A:Q,15,0)</f>
        <v>45124</v>
      </c>
      <c r="M10" s="44">
        <f>VLOOKUP(C10,Purchased!A:Q,16,0)</f>
        <v>45124</v>
      </c>
      <c r="N10" s="45">
        <f>VLOOKUP(C10,Purchased!A:Q,17,0)</f>
        <v>54927</v>
      </c>
      <c r="O10" s="45" t="e">
        <f t="shared" ref="O10:O15" ca="1" si="2">B10*$L$2</f>
        <v>#VALUE!</v>
      </c>
      <c r="P10" s="49">
        <f>IFERROR(VLOOKUP(C10,Purchased!A:E,3,FALSE),"")</f>
        <v>5.2857000000000003</v>
      </c>
      <c r="Q10" s="50">
        <f t="shared" ref="Q10:Q11" si="3">IFERROR(B10*P10,"")</f>
        <v>21.142800000000001</v>
      </c>
    </row>
    <row r="11" spans="1:17" s="2" customFormat="1" ht="12" customHeight="1">
      <c r="A11" s="4">
        <f t="shared" ref="A11:A12" si="4">A10+1</f>
        <v>302</v>
      </c>
      <c r="B11" s="2">
        <v>16</v>
      </c>
      <c r="C11" s="114" t="s">
        <v>244</v>
      </c>
      <c r="D11" s="268" t="str">
        <f>VLOOKUP(C11,Purchased!A:B,2,0)</f>
        <v>BRX GOTO QUICK CONNECTOR N10 0°</v>
      </c>
      <c r="E11" s="269"/>
      <c r="F11" s="112" t="str">
        <f>VLOOKUP(C11,Purchased!A:Q,9,0)</f>
        <v>BRX</v>
      </c>
      <c r="G11" s="112" t="str">
        <f>VLOOKUP(C11,Purchased!A:Q,10,0)</f>
        <v>AAP</v>
      </c>
      <c r="H11" s="112" t="str">
        <f>VLOOKUP(C11,Purchased!A:Q,12,0)</f>
        <v>17 in stock</v>
      </c>
      <c r="I11" s="113"/>
      <c r="J11" s="44" t="str">
        <f>VLOOKUP(C11,Purchased!A:Q,13,0)</f>
        <v>N/A</v>
      </c>
      <c r="K11" s="44">
        <f>VLOOKUP(C11,Purchased!A:Q,14,0)</f>
        <v>45089</v>
      </c>
      <c r="L11" s="44">
        <f>VLOOKUP(C11,Purchased!A:Q,15,0)</f>
        <v>45124</v>
      </c>
      <c r="M11" s="44">
        <f>VLOOKUP(C11,Purchased!A:Q,16,0)</f>
        <v>45124</v>
      </c>
      <c r="N11" s="45" t="str">
        <f>VLOOKUP(C11,Purchased!A:Q,17,0)</f>
        <v>500x54927, 500x55060</v>
      </c>
      <c r="O11" s="45" t="e">
        <f t="shared" ca="1" si="2"/>
        <v>#VALUE!</v>
      </c>
      <c r="P11" s="49">
        <f>IFERROR(VLOOKUP(C11,Purchased!A:E,3,FALSE),"")</f>
        <v>5.2857000000000003</v>
      </c>
      <c r="Q11" s="50">
        <f t="shared" si="3"/>
        <v>84.571200000000005</v>
      </c>
    </row>
    <row r="12" spans="1:17" s="2" customFormat="1" ht="12" customHeight="1">
      <c r="A12" s="4">
        <f t="shared" si="4"/>
        <v>303</v>
      </c>
      <c r="B12" s="2">
        <v>2</v>
      </c>
      <c r="C12" s="114" t="s">
        <v>800</v>
      </c>
      <c r="D12" s="268" t="str">
        <f>VLOOKUP(C12,Purchased!A:B,2,0)</f>
        <v>BRX 45X90 GREY END CAP</v>
      </c>
      <c r="E12" s="269"/>
      <c r="F12" s="112" t="str">
        <f>VLOOKUP(C12,Purchased!A:Q,9,0)</f>
        <v>BRX</v>
      </c>
      <c r="G12" s="112" t="str">
        <f>VLOOKUP(C12,Purchased!A:Q,10,0)</f>
        <v>AAP</v>
      </c>
      <c r="H12" s="112" t="str">
        <f>VLOOKUP(C12,Purchased!A:Q,12,0)</f>
        <v xml:space="preserve"> </v>
      </c>
      <c r="I12" s="113"/>
      <c r="J12" s="44" t="str">
        <f>VLOOKUP(C12,Purchased!A:Q,13,0)</f>
        <v>N/A</v>
      </c>
      <c r="K12" s="44">
        <f>VLOOKUP(C12,Purchased!A:Q,14,0)</f>
        <v>45196</v>
      </c>
      <c r="L12" s="44">
        <f>VLOOKUP(C12,Purchased!A:Q,15,0)</f>
        <v>45203</v>
      </c>
      <c r="M12" s="44">
        <f>VLOOKUP(C12,Purchased!A:Q,16,0)</f>
        <v>0</v>
      </c>
      <c r="N12" s="45">
        <f>VLOOKUP(C12,Purchased!A:Q,17,0)</f>
        <v>55169</v>
      </c>
      <c r="O12" s="45" t="e">
        <f t="shared" ref="O12" ca="1" si="5">B12*$L$2</f>
        <v>#VALUE!</v>
      </c>
      <c r="P12" s="49">
        <f>IFERROR(VLOOKUP(C12,Purchased!A:E,3,FALSE),"")</f>
        <v>2.4571000000000001</v>
      </c>
      <c r="Q12" s="50">
        <f t="shared" ref="Q12" si="6">IFERROR(B12*P12,"")</f>
        <v>4.9142000000000001</v>
      </c>
    </row>
    <row r="13" spans="1:17" s="2" customFormat="1" ht="12.75" customHeight="1">
      <c r="A13" s="25"/>
      <c r="B13" s="26"/>
      <c r="C13" s="26"/>
      <c r="D13" s="272"/>
      <c r="E13" s="273"/>
      <c r="F13" s="26"/>
      <c r="G13" s="26"/>
      <c r="H13" s="274"/>
      <c r="I13" s="275"/>
      <c r="J13" s="27"/>
      <c r="K13" s="27"/>
      <c r="L13" s="27"/>
      <c r="M13" s="28"/>
      <c r="N13" s="29"/>
      <c r="O13" s="29" t="e">
        <f t="shared" ca="1" si="2"/>
        <v>#VALUE!</v>
      </c>
      <c r="P13" s="141"/>
      <c r="Q13" s="142"/>
    </row>
    <row r="14" spans="1:17" s="2" customFormat="1" ht="12.75" customHeight="1">
      <c r="A14" s="4">
        <v>501</v>
      </c>
      <c r="B14" s="2">
        <v>4</v>
      </c>
      <c r="C14" s="110" t="s">
        <v>801</v>
      </c>
      <c r="D14" s="268"/>
      <c r="E14" s="276"/>
      <c r="F14" s="112" t="str">
        <f>VLOOKUP(C14,Bolts!A:L,5,0)</f>
        <v xml:space="preserve">  </v>
      </c>
      <c r="G14" s="112" t="str">
        <f>VLOOKUP(C14,Bolts!A:L,6,0)</f>
        <v>Monroe Fasteners</v>
      </c>
      <c r="H14" s="112" t="str">
        <f>VLOOKUP(C14,Bolts!A:L,7,0)</f>
        <v xml:space="preserve">  </v>
      </c>
      <c r="I14" s="112"/>
      <c r="J14" s="44" t="str">
        <f>VLOOKUP(C14,Bolts!A:L,8,0)</f>
        <v xml:space="preserve"> </v>
      </c>
      <c r="K14" s="44" t="str">
        <f>VLOOKUP(C14,Bolts!A:L,9,0)</f>
        <v xml:space="preserve"> </v>
      </c>
      <c r="L14" s="44" t="str">
        <f>VLOOKUP(C14,Bolts!A:L,10,0)</f>
        <v xml:space="preserve"> </v>
      </c>
      <c r="M14" s="44" t="str">
        <f>VLOOKUP(C14,Bolts!A:L,11,0)</f>
        <v xml:space="preserve"> </v>
      </c>
      <c r="N14" s="45" t="str">
        <f>VLOOKUP(C14,Bolts!A:L,12,0)</f>
        <v xml:space="preserve"> </v>
      </c>
      <c r="O14" s="45" t="e">
        <f t="shared" ca="1" si="2"/>
        <v>#VALUE!</v>
      </c>
      <c r="P14" s="49" t="str">
        <f>IFERROR(VLOOKUP(C14,Bolts!A:B,2,FALSE),"")</f>
        <v xml:space="preserve"> </v>
      </c>
      <c r="Q14" s="50" t="str">
        <f t="shared" ref="Q14:Q15" si="7">IFERROR(B14*P14,"")</f>
        <v/>
      </c>
    </row>
    <row r="15" spans="1:17" s="2" customFormat="1" ht="12.75" customHeight="1">
      <c r="A15" s="4">
        <f t="shared" ref="A15:A16" si="8">A14+1</f>
        <v>502</v>
      </c>
      <c r="B15" s="2">
        <v>4</v>
      </c>
      <c r="C15" s="110" t="s">
        <v>802</v>
      </c>
      <c r="D15" s="268"/>
      <c r="E15" s="276"/>
      <c r="F15" s="112" t="str">
        <f>VLOOKUP(C15,Bolts!A:L,5,0)</f>
        <v xml:space="preserve">  </v>
      </c>
      <c r="G15" s="112" t="str">
        <f>VLOOKUP(C15,Bolts!A:L,6,0)</f>
        <v>Monroe Fasteners</v>
      </c>
      <c r="H15" s="112" t="str">
        <f>VLOOKUP(C15,Bolts!A:L,7,0)</f>
        <v xml:space="preserve">  </v>
      </c>
      <c r="I15" s="112"/>
      <c r="J15" s="44" t="str">
        <f>VLOOKUP(C15,Bolts!A:L,8,0)</f>
        <v xml:space="preserve"> </v>
      </c>
      <c r="K15" s="44" t="str">
        <f>VLOOKUP(C15,Bolts!A:L,9,0)</f>
        <v xml:space="preserve"> </v>
      </c>
      <c r="L15" s="44" t="str">
        <f>VLOOKUP(C15,Bolts!A:L,10,0)</f>
        <v xml:space="preserve"> </v>
      </c>
      <c r="M15" s="44" t="str">
        <f>VLOOKUP(C15,Bolts!A:L,11,0)</f>
        <v xml:space="preserve"> </v>
      </c>
      <c r="N15" s="45" t="str">
        <f>VLOOKUP(C15,Bolts!A:L,12,0)</f>
        <v xml:space="preserve"> </v>
      </c>
      <c r="O15" s="45" t="e">
        <f t="shared" ca="1" si="2"/>
        <v>#VALUE!</v>
      </c>
      <c r="P15" s="49" t="str">
        <f>IFERROR(VLOOKUP(C15,Bolts!A:B,2,FALSE),"")</f>
        <v xml:space="preserve"> </v>
      </c>
      <c r="Q15" s="50" t="str">
        <f t="shared" si="7"/>
        <v/>
      </c>
    </row>
    <row r="16" spans="1:17" s="2" customFormat="1" ht="12.75" customHeight="1">
      <c r="A16" s="4">
        <f t="shared" si="8"/>
        <v>503</v>
      </c>
      <c r="B16" s="2">
        <v>4</v>
      </c>
      <c r="C16" s="110" t="s">
        <v>803</v>
      </c>
      <c r="D16" s="268"/>
      <c r="E16" s="276"/>
      <c r="F16" s="112" t="str">
        <f>VLOOKUP(C16,Bolts!A:L,5,0)</f>
        <v xml:space="preserve">  </v>
      </c>
      <c r="G16" s="112" t="str">
        <f>VLOOKUP(C16,Bolts!A:L,6,0)</f>
        <v>Monroe Fasteners</v>
      </c>
      <c r="H16" s="112" t="str">
        <f>VLOOKUP(C16,Bolts!A:L,7,0)</f>
        <v xml:space="preserve">  </v>
      </c>
      <c r="I16" s="112"/>
      <c r="J16" s="44" t="str">
        <f>VLOOKUP(C16,Bolts!A:L,8,0)</f>
        <v xml:space="preserve"> </v>
      </c>
      <c r="K16" s="44" t="str">
        <f>VLOOKUP(C16,Bolts!A:L,9,0)</f>
        <v xml:space="preserve"> </v>
      </c>
      <c r="L16" s="44" t="str">
        <f>VLOOKUP(C16,Bolts!A:L,10,0)</f>
        <v xml:space="preserve"> </v>
      </c>
      <c r="M16" s="44" t="str">
        <f>VLOOKUP(C16,Bolts!A:L,11,0)</f>
        <v xml:space="preserve"> </v>
      </c>
      <c r="N16" s="45" t="str">
        <f>VLOOKUP(C16,Bolts!A:L,12,0)</f>
        <v xml:space="preserve"> </v>
      </c>
      <c r="O16" s="45" t="e">
        <f t="shared" ref="O16" ca="1" si="9">B16*$L$2</f>
        <v>#VALUE!</v>
      </c>
      <c r="P16" s="49" t="str">
        <f>IFERROR(VLOOKUP(C16,Bolts!A:B,2,FALSE),"")</f>
        <v xml:space="preserve"> </v>
      </c>
      <c r="Q16" s="50" t="str">
        <f t="shared" ref="Q16" si="10">IFERROR(B16*P16,"")</f>
        <v/>
      </c>
    </row>
    <row r="17" spans="1:17" s="2" customFormat="1" ht="12.75" customHeight="1">
      <c r="A17" s="25"/>
      <c r="B17" s="26"/>
      <c r="C17" s="26"/>
      <c r="D17" s="272"/>
      <c r="E17" s="273"/>
      <c r="F17" s="26"/>
      <c r="G17" s="26"/>
      <c r="H17" s="274"/>
      <c r="I17" s="275"/>
      <c r="J17" s="27"/>
      <c r="K17" s="27"/>
      <c r="L17" s="27"/>
      <c r="M17" s="28"/>
      <c r="N17" s="29"/>
      <c r="O17" s="29"/>
      <c r="P17" s="141"/>
      <c r="Q17" s="142"/>
    </row>
    <row r="18" spans="1:17" s="2" customFormat="1" ht="12.75" customHeight="1">
      <c r="A18" s="4">
        <v>701</v>
      </c>
      <c r="B18" s="2">
        <v>2</v>
      </c>
      <c r="C18" s="111" t="s">
        <v>1210</v>
      </c>
      <c r="D18" s="268" t="str">
        <f>VLOOKUP(C18,Extrusion!B:C,2,0)</f>
        <v>Assy .630</v>
      </c>
      <c r="E18" s="269"/>
      <c r="F18" s="112" t="str">
        <f>VLOOKUP(C18,Extrusion!B:M,6,0)</f>
        <v>BOSCH</v>
      </c>
      <c r="G18" s="112" t="str">
        <f>VLOOKUP(C18,Extrusion!B:M,7,0)</f>
        <v>NULINE</v>
      </c>
      <c r="H18" s="112" t="str">
        <f>VLOOKUP(C18,Extrusion!B:M,8,0)</f>
        <v xml:space="preserve"> </v>
      </c>
      <c r="I18" s="113"/>
      <c r="J18" s="44" t="str">
        <f>VLOOKUP(C18,Extrusion!B:M,9,0)</f>
        <v>N/A</v>
      </c>
      <c r="K18" s="44">
        <f>VLOOKUP(C18,Extrusion!B:M,10,0)</f>
        <v>44894</v>
      </c>
      <c r="L18" s="44">
        <f>VLOOKUP(C18,Extrusion!B:M,11,0)</f>
        <v>44970</v>
      </c>
      <c r="M18" s="44">
        <f>VLOOKUP(C18,Extrusion!B:M,12,0)</f>
        <v>44970</v>
      </c>
      <c r="N18" s="45">
        <f>VLOOKUP(C18,Extrusion!B:N,13,0)</f>
        <v>54598</v>
      </c>
      <c r="O18" s="45" t="e">
        <f t="shared" ref="O18:O20" ca="1" si="11">B18*$L$2</f>
        <v>#VALUE!</v>
      </c>
      <c r="P18" s="49">
        <f>IFERROR(VLOOKUP(C18,Extrusion!B:F,5,0),"")</f>
        <v>33.538318476166666</v>
      </c>
      <c r="Q18" s="50">
        <f t="shared" ref="Q18:Q20" si="12">IFERROR(B18*P18,"")</f>
        <v>67.076636952333331</v>
      </c>
    </row>
    <row r="19" spans="1:17" s="2" customFormat="1" ht="12" customHeight="1">
      <c r="A19" s="4">
        <f t="shared" ref="A19:A20" si="13">A18+1</f>
        <v>702</v>
      </c>
      <c r="B19" s="2">
        <v>2</v>
      </c>
      <c r="C19" s="111" t="s">
        <v>1211</v>
      </c>
      <c r="D19" s="268" t="str">
        <f>VLOOKUP(C19,Extrusion!B:C,2,0)</f>
        <v>Assy .630</v>
      </c>
      <c r="E19" s="269"/>
      <c r="F19" s="112" t="str">
        <f>VLOOKUP(C19,Extrusion!B:M,6,0)</f>
        <v>BOSCH</v>
      </c>
      <c r="G19" s="112" t="str">
        <f>VLOOKUP(C19,Extrusion!B:M,7,0)</f>
        <v>NULINE</v>
      </c>
      <c r="H19" s="112" t="str">
        <f>VLOOKUP(C19,Extrusion!B:M,8,0)</f>
        <v xml:space="preserve"> </v>
      </c>
      <c r="I19" s="113"/>
      <c r="J19" s="44" t="str">
        <f>VLOOKUP(C19,Extrusion!B:M,9,0)</f>
        <v>N/A</v>
      </c>
      <c r="K19" s="44">
        <f>VLOOKUP(C19,Extrusion!B:M,10,0)</f>
        <v>44894</v>
      </c>
      <c r="L19" s="44">
        <f>VLOOKUP(C19,Extrusion!B:M,11,0)</f>
        <v>44970</v>
      </c>
      <c r="M19" s="44">
        <f>VLOOKUP(C19,Extrusion!B:M,12,0)</f>
        <v>44970</v>
      </c>
      <c r="N19" s="45">
        <f>VLOOKUP(C19,Extrusion!B:N,13,0)</f>
        <v>54598</v>
      </c>
      <c r="O19" s="45" t="e">
        <f t="shared" ca="1" si="11"/>
        <v>#VALUE!</v>
      </c>
      <c r="P19" s="49">
        <f>IFERROR(VLOOKUP(C19,Extrusion!B:F,5,0),"")</f>
        <v>65.406161660833334</v>
      </c>
      <c r="Q19" s="50">
        <f t="shared" si="12"/>
        <v>130.81232332166667</v>
      </c>
    </row>
    <row r="20" spans="1:17" s="2" customFormat="1" ht="12" customHeight="1" thickBot="1">
      <c r="A20" s="4">
        <f t="shared" si="13"/>
        <v>703</v>
      </c>
      <c r="B20" s="2">
        <v>3</v>
      </c>
      <c r="C20" s="111" t="s">
        <v>806</v>
      </c>
      <c r="D20" s="268" t="str">
        <f>VLOOKUP(C20,Extrusion!B:C,2,0)</f>
        <v>Assy .330</v>
      </c>
      <c r="E20" s="269"/>
      <c r="F20" s="112" t="str">
        <f>VLOOKUP(C20,Extrusion!B:M,6,0)</f>
        <v>BOSCH</v>
      </c>
      <c r="G20" s="112" t="str">
        <f>VLOOKUP(C20,Extrusion!B:M,7,0)</f>
        <v>NULINE</v>
      </c>
      <c r="H20" s="112" t="str">
        <f>VLOOKUP(C20,Extrusion!B:M,8,0)</f>
        <v xml:space="preserve"> </v>
      </c>
      <c r="I20" s="113"/>
      <c r="J20" s="44" t="str">
        <f>VLOOKUP(C20,Extrusion!B:M,9,0)</f>
        <v>N/A</v>
      </c>
      <c r="K20" s="44">
        <f>VLOOKUP(C20,Extrusion!B:M,10,0)</f>
        <v>44894</v>
      </c>
      <c r="L20" s="44">
        <f>VLOOKUP(C20,Extrusion!B:M,11,0)</f>
        <v>44970</v>
      </c>
      <c r="M20" s="44">
        <f>VLOOKUP(C20,Extrusion!B:M,12,0)</f>
        <v>44970</v>
      </c>
      <c r="N20" s="45">
        <f>VLOOKUP(C20,Extrusion!B:N,13,0)</f>
        <v>54598</v>
      </c>
      <c r="O20" s="45" t="e">
        <f t="shared" ca="1" si="11"/>
        <v>#VALUE!</v>
      </c>
      <c r="P20" s="49">
        <f>IFERROR(VLOOKUP(C20,Extrusion!B:F,5,0),"")</f>
        <v>22.0993435</v>
      </c>
      <c r="Q20" s="50">
        <f t="shared" si="12"/>
        <v>66.298030499999996</v>
      </c>
    </row>
    <row r="21" spans="1:17" s="2" customFormat="1" ht="12.75" customHeight="1" thickBot="1">
      <c r="A21" s="34"/>
      <c r="B21" s="35"/>
      <c r="C21" s="35"/>
      <c r="D21" s="256"/>
      <c r="E21" s="257"/>
      <c r="F21" s="35"/>
      <c r="G21" s="35"/>
      <c r="H21" s="294"/>
      <c r="I21" s="295"/>
      <c r="J21" s="36"/>
      <c r="K21" s="36"/>
      <c r="L21" s="36"/>
      <c r="M21" s="37"/>
      <c r="N21" s="38"/>
      <c r="O21" s="38"/>
      <c r="P21" s="89" t="s">
        <v>43</v>
      </c>
      <c r="Q21" s="94">
        <f>SUM(Q5:Q20)</f>
        <v>16489.081540773997</v>
      </c>
    </row>
    <row r="22" spans="1:17" s="2" customFormat="1" ht="12" customHeight="1">
      <c r="D22" s="22"/>
      <c r="E22" s="22"/>
      <c r="J22" s="8"/>
      <c r="K22" s="8"/>
      <c r="L22" s="8"/>
      <c r="M22" s="8"/>
      <c r="N22" s="5"/>
      <c r="O22" s="5"/>
      <c r="P22" s="88"/>
      <c r="Q22" s="95"/>
    </row>
    <row r="23" spans="1:17" s="2" customFormat="1" ht="12" customHeight="1">
      <c r="F23" s="5"/>
      <c r="G23" s="5"/>
      <c r="H23" s="5"/>
      <c r="I23" s="5"/>
      <c r="J23" s="5"/>
      <c r="K23" s="5"/>
      <c r="L23" s="88"/>
      <c r="M23" s="95"/>
    </row>
    <row r="24" spans="1:17" s="2" customFormat="1" ht="12" customHeight="1">
      <c r="B24" s="22"/>
      <c r="C24" s="22"/>
      <c r="H24" s="5"/>
      <c r="I24" s="5"/>
      <c r="J24" s="5"/>
      <c r="K24" s="5"/>
      <c r="L24" s="5"/>
      <c r="M24" s="5"/>
      <c r="N24" s="88"/>
      <c r="O24" s="95"/>
    </row>
    <row r="25" spans="1:17" s="2" customFormat="1" ht="12" customHeight="1">
      <c r="D25" s="22"/>
      <c r="E25" s="22"/>
      <c r="J25" s="5"/>
      <c r="K25" s="5"/>
      <c r="L25" s="5"/>
      <c r="M25" s="5"/>
      <c r="N25" s="5"/>
      <c r="O25" s="5"/>
      <c r="P25" s="88"/>
      <c r="Q25" s="95"/>
    </row>
    <row r="26" spans="1:17" s="2" customFormat="1" ht="12" customHeight="1">
      <c r="D26" s="22"/>
      <c r="E26" s="22"/>
      <c r="J26" s="5"/>
      <c r="K26" s="5"/>
      <c r="L26" s="5"/>
      <c r="M26" s="5"/>
      <c r="N26" s="5"/>
      <c r="O26" s="5"/>
      <c r="P26" s="88"/>
      <c r="Q26" s="95"/>
    </row>
    <row r="27" spans="1:17" s="2" customFormat="1" ht="12" customHeight="1">
      <c r="D27" s="22"/>
      <c r="E27" s="22"/>
      <c r="J27" s="5"/>
      <c r="K27" s="5"/>
      <c r="L27" s="5"/>
      <c r="M27" s="5"/>
      <c r="N27" s="5"/>
      <c r="O27" s="5"/>
      <c r="P27" s="88"/>
      <c r="Q27" s="95"/>
    </row>
    <row r="28" spans="1:17" s="2" customFormat="1" ht="12" customHeight="1">
      <c r="D28" s="22"/>
      <c r="E28" s="22"/>
      <c r="J28" s="5"/>
      <c r="K28" s="5"/>
      <c r="L28" s="5"/>
      <c r="M28" s="5"/>
      <c r="N28" s="5"/>
      <c r="O28" s="5"/>
      <c r="P28" s="88"/>
      <c r="Q28" s="95"/>
    </row>
    <row r="29" spans="1:17" s="2" customFormat="1" ht="12" customHeight="1">
      <c r="D29" s="22"/>
      <c r="E29" s="22"/>
      <c r="J29" s="5"/>
      <c r="K29" s="5"/>
      <c r="L29" s="5"/>
      <c r="M29" s="5"/>
      <c r="N29" s="5"/>
      <c r="O29" s="5"/>
      <c r="P29" s="88"/>
      <c r="Q29" s="95"/>
    </row>
    <row r="30" spans="1:17" s="2" customFormat="1" ht="12" customHeight="1">
      <c r="D30" s="22"/>
      <c r="E30" s="22"/>
      <c r="J30" s="5"/>
      <c r="K30" s="5"/>
      <c r="L30" s="5"/>
      <c r="M30" s="5"/>
      <c r="N30" s="5"/>
      <c r="O30" s="5"/>
      <c r="P30" s="88"/>
      <c r="Q30" s="95"/>
    </row>
    <row r="31" spans="1:17" s="2" customFormat="1" ht="12" customHeight="1">
      <c r="D31" s="22"/>
      <c r="E31" s="22"/>
      <c r="J31" s="5"/>
      <c r="K31" s="5"/>
      <c r="L31" s="5"/>
      <c r="M31" s="5"/>
      <c r="N31" s="5"/>
      <c r="O31" s="5"/>
      <c r="P31" s="88"/>
      <c r="Q31" s="95"/>
    </row>
    <row r="32" spans="1:17" s="2" customFormat="1" ht="12" customHeight="1">
      <c r="D32" s="22"/>
      <c r="E32" s="22"/>
      <c r="J32" s="5"/>
      <c r="K32" s="5"/>
      <c r="L32" s="5"/>
      <c r="M32" s="5"/>
      <c r="N32" s="5"/>
      <c r="O32" s="5"/>
      <c r="P32" s="88"/>
      <c r="Q32" s="95"/>
    </row>
    <row r="33" spans="4:17" s="2" customFormat="1" ht="12" customHeight="1">
      <c r="D33" s="22"/>
      <c r="E33" s="22"/>
      <c r="J33" s="5"/>
      <c r="K33" s="5"/>
      <c r="L33" s="5"/>
      <c r="M33" s="5"/>
      <c r="N33" s="5"/>
      <c r="O33" s="5"/>
      <c r="P33" s="88"/>
      <c r="Q33" s="95"/>
    </row>
    <row r="34" spans="4:17" s="2" customFormat="1" ht="12" customHeight="1">
      <c r="D34" s="22"/>
      <c r="E34" s="22"/>
      <c r="J34" s="5"/>
      <c r="K34" s="5"/>
      <c r="L34" s="5"/>
      <c r="M34" s="5"/>
      <c r="N34" s="5"/>
      <c r="O34" s="5"/>
      <c r="P34" s="88"/>
      <c r="Q34" s="95"/>
    </row>
    <row r="35" spans="4:17" s="2" customFormat="1" ht="12" customHeight="1">
      <c r="D35" s="22"/>
      <c r="E35" s="22"/>
      <c r="J35" s="5"/>
      <c r="K35" s="5"/>
      <c r="L35" s="5"/>
      <c r="M35" s="5"/>
      <c r="N35" s="5"/>
      <c r="O35" s="5"/>
      <c r="P35" s="88"/>
      <c r="Q35" s="95"/>
    </row>
    <row r="36" spans="4:17" s="2" customFormat="1" ht="12" customHeight="1">
      <c r="D36" s="22"/>
      <c r="E36" s="22"/>
      <c r="J36" s="5"/>
      <c r="K36" s="5"/>
      <c r="L36" s="5"/>
      <c r="M36" s="5"/>
      <c r="N36" s="5"/>
      <c r="O36" s="5"/>
      <c r="P36" s="88"/>
      <c r="Q36" s="95"/>
    </row>
    <row r="37" spans="4:17" s="2" customFormat="1" ht="12" customHeight="1">
      <c r="D37" s="22"/>
      <c r="E37" s="22"/>
      <c r="J37" s="5"/>
      <c r="K37" s="5"/>
      <c r="L37" s="5"/>
      <c r="M37" s="5"/>
      <c r="N37" s="5"/>
      <c r="O37" s="5"/>
      <c r="P37" s="88"/>
      <c r="Q37" s="95"/>
    </row>
    <row r="38" spans="4:17" s="2" customFormat="1" ht="12" customHeight="1">
      <c r="D38" s="22"/>
      <c r="E38" s="22"/>
      <c r="J38" s="5"/>
      <c r="K38" s="5"/>
      <c r="L38" s="5"/>
      <c r="M38" s="5"/>
      <c r="N38" s="5"/>
      <c r="O38" s="5"/>
      <c r="P38" s="88"/>
      <c r="Q38" s="95"/>
    </row>
    <row r="39" spans="4:17" s="2" customFormat="1" ht="12" customHeight="1">
      <c r="D39" s="22"/>
      <c r="E39" s="22"/>
      <c r="J39" s="5"/>
      <c r="K39" s="5"/>
      <c r="L39" s="5"/>
      <c r="M39" s="5"/>
      <c r="N39" s="5"/>
      <c r="O39" s="5"/>
      <c r="P39" s="88"/>
      <c r="Q39" s="95"/>
    </row>
    <row r="40" spans="4:17" s="2" customFormat="1" ht="12" customHeight="1">
      <c r="D40" s="22"/>
      <c r="E40" s="22"/>
      <c r="J40" s="5"/>
      <c r="K40" s="5"/>
      <c r="L40" s="5"/>
      <c r="M40" s="5"/>
      <c r="N40" s="5"/>
      <c r="O40" s="5"/>
      <c r="P40" s="88"/>
      <c r="Q40" s="95"/>
    </row>
    <row r="41" spans="4:17" s="2" customFormat="1" ht="12" customHeight="1">
      <c r="D41" s="22"/>
      <c r="E41" s="22"/>
      <c r="J41" s="5"/>
      <c r="K41" s="5"/>
      <c r="L41" s="5"/>
      <c r="M41" s="5"/>
      <c r="N41" s="5"/>
      <c r="O41" s="5"/>
      <c r="P41" s="88"/>
      <c r="Q41" s="95"/>
    </row>
    <row r="42" spans="4:17" s="2" customFormat="1" ht="12" customHeight="1">
      <c r="D42" s="22"/>
      <c r="E42" s="22"/>
      <c r="J42" s="5"/>
      <c r="K42" s="5"/>
      <c r="L42" s="5"/>
      <c r="M42" s="5"/>
      <c r="N42" s="5"/>
      <c r="O42" s="5"/>
      <c r="P42" s="88"/>
      <c r="Q42" s="95"/>
    </row>
    <row r="43" spans="4:17" s="2" customFormat="1" ht="12" customHeight="1">
      <c r="D43" s="22"/>
      <c r="E43" s="22"/>
      <c r="J43" s="5"/>
      <c r="K43" s="5"/>
      <c r="L43" s="5"/>
      <c r="M43" s="5"/>
      <c r="N43" s="5"/>
      <c r="O43" s="5"/>
      <c r="P43" s="88"/>
      <c r="Q43" s="95"/>
    </row>
    <row r="44" spans="4:17" s="2" customFormat="1" ht="12" customHeight="1">
      <c r="D44" s="22"/>
      <c r="E44" s="22"/>
      <c r="J44" s="5"/>
      <c r="K44" s="5"/>
      <c r="L44" s="5"/>
      <c r="M44" s="5"/>
      <c r="N44" s="5"/>
      <c r="O44" s="5"/>
      <c r="P44" s="88"/>
      <c r="Q44" s="95"/>
    </row>
    <row r="45" spans="4:17" s="2" customFormat="1" ht="12" customHeight="1">
      <c r="D45" s="22"/>
      <c r="E45" s="22"/>
      <c r="J45" s="5"/>
      <c r="K45" s="5"/>
      <c r="L45" s="5"/>
      <c r="M45" s="5"/>
      <c r="N45" s="5"/>
      <c r="O45" s="5"/>
      <c r="P45" s="88"/>
      <c r="Q45" s="95"/>
    </row>
    <row r="46" spans="4:17" s="2" customFormat="1" ht="12" customHeight="1">
      <c r="D46" s="22"/>
      <c r="E46" s="22"/>
      <c r="J46" s="5"/>
      <c r="K46" s="5"/>
      <c r="L46" s="5"/>
      <c r="M46" s="5"/>
      <c r="N46" s="5"/>
      <c r="O46" s="5"/>
      <c r="P46" s="88"/>
      <c r="Q46" s="95"/>
    </row>
    <row r="47" spans="4:17" s="2" customFormat="1" ht="12" customHeight="1">
      <c r="D47" s="22"/>
      <c r="E47" s="22"/>
      <c r="J47" s="5"/>
      <c r="K47" s="5"/>
      <c r="L47" s="5"/>
      <c r="M47" s="5"/>
      <c r="N47" s="5"/>
      <c r="O47" s="5"/>
      <c r="P47" s="88"/>
      <c r="Q47" s="95"/>
    </row>
    <row r="48" spans="4:17" s="2" customFormat="1" ht="12" customHeight="1">
      <c r="D48" s="22"/>
      <c r="E48" s="22"/>
      <c r="J48" s="5"/>
      <c r="K48" s="5"/>
      <c r="L48" s="5"/>
      <c r="M48" s="5"/>
      <c r="N48" s="5"/>
      <c r="O48" s="5"/>
      <c r="P48" s="88"/>
      <c r="Q48" s="95"/>
    </row>
    <row r="49" spans="1:17" s="2" customFormat="1" ht="12" customHeight="1">
      <c r="D49" s="22"/>
      <c r="E49" s="22"/>
      <c r="J49" s="5"/>
      <c r="K49" s="5"/>
      <c r="L49" s="5"/>
      <c r="M49" s="5"/>
      <c r="N49" s="5"/>
      <c r="O49" s="5"/>
      <c r="P49" s="88"/>
      <c r="Q49" s="95"/>
    </row>
    <row r="50" spans="1:17" s="2" customFormat="1" ht="12" customHeight="1">
      <c r="D50" s="22"/>
      <c r="E50" s="22"/>
      <c r="J50" s="5"/>
      <c r="K50" s="5"/>
      <c r="L50" s="5"/>
      <c r="M50" s="5"/>
      <c r="N50" s="5"/>
      <c r="O50" s="5"/>
      <c r="P50" s="88"/>
      <c r="Q50" s="95"/>
    </row>
    <row r="51" spans="1:17" s="2" customFormat="1" ht="12" customHeight="1">
      <c r="D51" s="22"/>
      <c r="E51" s="22"/>
      <c r="J51" s="5"/>
      <c r="K51" s="5"/>
      <c r="L51" s="5"/>
      <c r="M51" s="5"/>
      <c r="N51" s="5"/>
      <c r="O51" s="5"/>
      <c r="P51" s="88"/>
      <c r="Q51" s="95"/>
    </row>
    <row r="52" spans="1:17" s="2" customFormat="1" ht="12" customHeight="1">
      <c r="D52" s="22"/>
      <c r="E52" s="22"/>
      <c r="J52" s="5"/>
      <c r="K52" s="5"/>
      <c r="L52" s="5"/>
      <c r="M52" s="5"/>
      <c r="N52" s="5"/>
      <c r="O52" s="5"/>
      <c r="P52" s="88"/>
      <c r="Q52" s="95"/>
    </row>
    <row r="53" spans="1:17" s="2" customFormat="1" ht="12" customHeight="1">
      <c r="D53" s="22"/>
      <c r="E53" s="22"/>
      <c r="J53" s="5"/>
      <c r="K53" s="5"/>
      <c r="L53" s="5"/>
      <c r="M53" s="5"/>
      <c r="N53" s="5"/>
      <c r="O53" s="5"/>
      <c r="P53" s="88"/>
      <c r="Q53" s="95"/>
    </row>
    <row r="54" spans="1:17" s="2" customFormat="1" ht="12" customHeight="1">
      <c r="D54" s="22"/>
      <c r="E54" s="22"/>
      <c r="J54" s="5"/>
      <c r="K54" s="5"/>
      <c r="L54" s="5"/>
      <c r="M54" s="5"/>
      <c r="N54" s="5"/>
      <c r="O54" s="5"/>
      <c r="P54" s="88"/>
      <c r="Q54" s="95"/>
    </row>
    <row r="55" spans="1:17" s="2" customFormat="1" ht="12" customHeight="1">
      <c r="D55" s="22"/>
      <c r="E55" s="22"/>
      <c r="J55" s="5"/>
      <c r="K55" s="5"/>
      <c r="L55" s="5"/>
      <c r="M55" s="5"/>
      <c r="N55" s="5"/>
      <c r="O55" s="5"/>
      <c r="P55" s="88"/>
      <c r="Q55" s="95"/>
    </row>
    <row r="56" spans="1:17" s="2" customFormat="1" ht="12" customHeight="1">
      <c r="D56" s="22"/>
      <c r="E56" s="22"/>
      <c r="J56" s="5"/>
      <c r="K56" s="5"/>
      <c r="L56" s="5"/>
      <c r="M56" s="5"/>
      <c r="N56" s="5"/>
      <c r="O56" s="5"/>
      <c r="P56" s="88"/>
      <c r="Q56" s="95"/>
    </row>
    <row r="57" spans="1:17" s="2" customFormat="1" ht="12" customHeight="1">
      <c r="D57" s="22"/>
      <c r="E57" s="22"/>
      <c r="J57" s="5"/>
      <c r="K57" s="5"/>
      <c r="L57" s="5"/>
      <c r="M57" s="5"/>
      <c r="N57" s="5"/>
      <c r="O57" s="5"/>
      <c r="P57" s="88"/>
      <c r="Q57" s="95"/>
    </row>
    <row r="58" spans="1:17" s="2" customFormat="1" ht="12" customHeight="1">
      <c r="D58" s="22"/>
      <c r="E58" s="22"/>
      <c r="J58" s="5"/>
      <c r="K58" s="5"/>
      <c r="L58" s="5"/>
      <c r="M58" s="5"/>
      <c r="N58" s="5"/>
      <c r="O58" s="5"/>
      <c r="P58" s="88"/>
      <c r="Q58" s="95"/>
    </row>
    <row r="59" spans="1:17" s="2" customFormat="1" ht="12" customHeight="1">
      <c r="D59" s="22"/>
      <c r="E59" s="22"/>
      <c r="J59" s="5"/>
      <c r="K59" s="5"/>
      <c r="L59" s="5"/>
      <c r="M59" s="5"/>
      <c r="N59" s="5"/>
      <c r="O59" s="5"/>
      <c r="P59" s="88"/>
      <c r="Q59" s="95"/>
    </row>
    <row r="60" spans="1:17" s="2" customFormat="1" ht="12" customHeight="1">
      <c r="D60" s="22"/>
      <c r="E60" s="22"/>
      <c r="J60" s="5"/>
      <c r="K60" s="5"/>
      <c r="L60" s="5"/>
      <c r="M60" s="5"/>
      <c r="N60" s="5"/>
      <c r="O60" s="5"/>
      <c r="P60" s="88"/>
      <c r="Q60" s="96"/>
    </row>
    <row r="61" spans="1:17" s="2" customFormat="1" ht="12" customHeight="1">
      <c r="D61" s="22"/>
      <c r="E61" s="22"/>
      <c r="J61" s="5"/>
      <c r="K61" s="5"/>
      <c r="L61" s="5"/>
      <c r="M61" s="5"/>
      <c r="N61" s="5"/>
      <c r="O61" s="5"/>
      <c r="P61" s="88"/>
      <c r="Q61" s="96"/>
    </row>
    <row r="62" spans="1:17" s="2" customFormat="1" ht="12" customHeight="1">
      <c r="D62" s="22"/>
      <c r="E62" s="22"/>
      <c r="J62" s="5"/>
      <c r="K62" s="5"/>
      <c r="L62" s="5"/>
      <c r="M62" s="5"/>
      <c r="N62" s="5"/>
      <c r="O62" s="5"/>
      <c r="P62" s="88"/>
      <c r="Q62" s="96"/>
    </row>
    <row r="63" spans="1:17" s="2" customFormat="1" ht="12" customHeight="1">
      <c r="D63" s="22"/>
      <c r="E63" s="22"/>
      <c r="J63" s="5"/>
      <c r="K63" s="5"/>
      <c r="L63" s="5"/>
      <c r="M63" s="5"/>
      <c r="N63" s="5"/>
      <c r="O63" s="5"/>
      <c r="P63" s="88"/>
      <c r="Q63" s="96"/>
    </row>
    <row r="64" spans="1:17" s="2" customFormat="1" ht="12" customHeight="1">
      <c r="A64"/>
      <c r="B64"/>
      <c r="C64"/>
      <c r="D64" s="23"/>
      <c r="E64" s="23"/>
      <c r="F64"/>
      <c r="G64"/>
      <c r="H64"/>
      <c r="I64"/>
      <c r="J64" s="19"/>
      <c r="K64" s="19"/>
      <c r="L64" s="19"/>
      <c r="M64" s="19"/>
      <c r="N64" s="19"/>
      <c r="O64" s="19"/>
      <c r="P64" s="90"/>
      <c r="Q64" s="96"/>
    </row>
    <row r="65" spans="1:17" s="2" customFormat="1" ht="12" customHeight="1">
      <c r="A65"/>
      <c r="B65"/>
      <c r="C65"/>
      <c r="D65" s="23"/>
      <c r="E65" s="23"/>
      <c r="F65"/>
      <c r="G65"/>
      <c r="H65"/>
      <c r="I65"/>
      <c r="J65" s="19"/>
      <c r="K65" s="19"/>
      <c r="L65" s="19"/>
      <c r="M65" s="19"/>
      <c r="N65" s="19"/>
      <c r="O65" s="19"/>
      <c r="P65" s="90"/>
      <c r="Q65" s="96"/>
    </row>
    <row r="66" spans="1:17" s="2" customFormat="1" ht="12" customHeight="1">
      <c r="A66"/>
      <c r="B66"/>
      <c r="C66"/>
      <c r="D66" s="23"/>
      <c r="E66" s="23"/>
      <c r="F66"/>
      <c r="G66"/>
      <c r="H66"/>
      <c r="I66"/>
      <c r="J66" s="19"/>
      <c r="K66" s="19"/>
      <c r="L66" s="19"/>
      <c r="M66" s="19"/>
      <c r="N66" s="19"/>
      <c r="O66" s="19"/>
      <c r="P66" s="90"/>
      <c r="Q66" s="96"/>
    </row>
    <row r="67" spans="1:17" s="2" customFormat="1" ht="12" customHeight="1">
      <c r="A67"/>
      <c r="B67"/>
      <c r="C67"/>
      <c r="D67" s="23"/>
      <c r="E67" s="23"/>
      <c r="F67"/>
      <c r="G67"/>
      <c r="H67"/>
      <c r="I67"/>
      <c r="J67" s="19"/>
      <c r="K67" s="19"/>
      <c r="L67" s="19"/>
      <c r="M67" s="19"/>
      <c r="N67" s="19"/>
      <c r="O67" s="19"/>
      <c r="P67" s="90"/>
      <c r="Q67" s="96"/>
    </row>
    <row r="68" spans="1:17" s="2" customFormat="1" ht="12" customHeight="1">
      <c r="A68"/>
      <c r="B68"/>
      <c r="C68"/>
      <c r="D68" s="23"/>
      <c r="E68" s="23"/>
      <c r="F68"/>
      <c r="G68"/>
      <c r="H68"/>
      <c r="I68"/>
      <c r="J68" s="19"/>
      <c r="K68" s="19"/>
      <c r="L68" s="19"/>
      <c r="M68" s="19"/>
      <c r="N68" s="19"/>
      <c r="O68" s="19"/>
      <c r="P68" s="90"/>
      <c r="Q68" s="96"/>
    </row>
    <row r="69" spans="1:17">
      <c r="Q69" s="96"/>
    </row>
    <row r="70" spans="1:17">
      <c r="Q70" s="96"/>
    </row>
    <row r="71" spans="1:17">
      <c r="Q71" s="96"/>
    </row>
    <row r="72" spans="1:17">
      <c r="Q72" s="96"/>
    </row>
    <row r="73" spans="1:17">
      <c r="Q73" s="96"/>
    </row>
    <row r="74" spans="1:17">
      <c r="Q74" s="96"/>
    </row>
    <row r="75" spans="1:17">
      <c r="Q75" s="96"/>
    </row>
    <row r="76" spans="1:17">
      <c r="Q76" s="96"/>
    </row>
    <row r="77" spans="1:17">
      <c r="Q77" s="96"/>
    </row>
    <row r="78" spans="1:17">
      <c r="Q78" s="96"/>
    </row>
    <row r="79" spans="1:17">
      <c r="Q79" s="96"/>
    </row>
    <row r="80" spans="1:17">
      <c r="Q80" s="96"/>
    </row>
    <row r="81" spans="17:17">
      <c r="Q81" s="96"/>
    </row>
    <row r="82" spans="17:17">
      <c r="Q82" s="96"/>
    </row>
    <row r="83" spans="17:17">
      <c r="Q83" s="96"/>
    </row>
    <row r="84" spans="17:17">
      <c r="Q84" s="96"/>
    </row>
    <row r="85" spans="17:17">
      <c r="Q85" s="96"/>
    </row>
    <row r="86" spans="17:17">
      <c r="Q86" s="96"/>
    </row>
    <row r="87" spans="17:17">
      <c r="Q87" s="96"/>
    </row>
    <row r="88" spans="17:17">
      <c r="Q88" s="96"/>
    </row>
    <row r="125" ht="12" customHeight="1"/>
    <row r="126" ht="12" customHeight="1"/>
    <row r="127" ht="12" customHeight="1"/>
    <row r="128" ht="12" customHeight="1"/>
    <row r="129" ht="12" customHeight="1"/>
    <row r="130" ht="12" customHeight="1"/>
    <row r="131" ht="12" customHeight="1"/>
    <row r="132" ht="12" customHeight="1"/>
    <row r="133" ht="12" customHeight="1"/>
    <row r="134" ht="12" customHeight="1"/>
    <row r="135" ht="12" customHeight="1"/>
    <row r="136" ht="12" customHeight="1"/>
    <row r="137" ht="12" customHeight="1"/>
    <row r="138" ht="12" customHeight="1"/>
    <row r="139" ht="12" customHeight="1"/>
    <row r="140" ht="12" customHeight="1"/>
    <row r="141" ht="12" customHeight="1"/>
    <row r="142" ht="12" customHeight="1"/>
    <row r="143" ht="12" customHeight="1"/>
    <row r="144" ht="12" customHeight="1"/>
    <row r="145" ht="12" customHeight="1"/>
    <row r="146" ht="12" customHeight="1"/>
    <row r="147" ht="12" customHeight="1"/>
    <row r="148" ht="12" customHeight="1"/>
    <row r="149" ht="12" customHeight="1"/>
    <row r="150" ht="12" customHeight="1"/>
    <row r="151" ht="12" customHeight="1"/>
    <row r="152" ht="12" customHeight="1"/>
    <row r="153" ht="12" customHeight="1"/>
    <row r="154" ht="12" customHeight="1"/>
    <row r="155" ht="12" customHeight="1"/>
    <row r="156" ht="12" customHeight="1"/>
    <row r="157" ht="12" customHeight="1"/>
    <row r="158" ht="12" customHeight="1"/>
    <row r="159" ht="12" customHeight="1"/>
    <row r="160" ht="12" customHeight="1"/>
    <row r="161" ht="12" customHeight="1"/>
    <row r="162" ht="12" customHeight="1"/>
    <row r="163" ht="12" customHeight="1"/>
    <row r="164" ht="12" customHeight="1"/>
    <row r="165" ht="12" customHeight="1"/>
    <row r="166" ht="12" customHeight="1"/>
    <row r="167" ht="12" customHeight="1"/>
    <row r="168" ht="12" customHeight="1"/>
    <row r="169" ht="12" customHeight="1"/>
    <row r="170" ht="12" customHeight="1"/>
    <row r="171" ht="12" customHeight="1"/>
    <row r="172" ht="12" customHeight="1"/>
    <row r="173" ht="12" customHeight="1"/>
    <row r="174" ht="12" customHeight="1"/>
  </sheetData>
  <mergeCells count="28">
    <mergeCell ref="D1:E1"/>
    <mergeCell ref="D4:E4"/>
    <mergeCell ref="H4:I4"/>
    <mergeCell ref="D5:E5"/>
    <mergeCell ref="H5:I5"/>
    <mergeCell ref="D7:E7"/>
    <mergeCell ref="H7:I7"/>
    <mergeCell ref="D8:E8"/>
    <mergeCell ref="H8:I8"/>
    <mergeCell ref="D6:E6"/>
    <mergeCell ref="H6:I6"/>
    <mergeCell ref="D14:E14"/>
    <mergeCell ref="D15:E15"/>
    <mergeCell ref="D13:E13"/>
    <mergeCell ref="H13:I13"/>
    <mergeCell ref="D9:E9"/>
    <mergeCell ref="H9:I9"/>
    <mergeCell ref="D10:E10"/>
    <mergeCell ref="D11:E11"/>
    <mergeCell ref="D12:E12"/>
    <mergeCell ref="D16:E16"/>
    <mergeCell ref="D21:E21"/>
    <mergeCell ref="H21:I21"/>
    <mergeCell ref="D17:E17"/>
    <mergeCell ref="H17:I17"/>
    <mergeCell ref="D18:E18"/>
    <mergeCell ref="D19:E19"/>
    <mergeCell ref="D20:E20"/>
  </mergeCells>
  <conditionalFormatting sqref="M10:M12 M14:M16">
    <cfRule type="cellIs" dxfId="236" priority="3" stopIfTrue="1" operator="lessThanOrEqual">
      <formula>$L10</formula>
    </cfRule>
    <cfRule type="cellIs" dxfId="235" priority="4" operator="greaterThan">
      <formula>L10</formula>
    </cfRule>
  </conditionalFormatting>
  <conditionalFormatting sqref="M18:M20">
    <cfRule type="cellIs" dxfId="234" priority="1" stopIfTrue="1" operator="lessThanOrEqual">
      <formula>$L18</formula>
    </cfRule>
    <cfRule type="cellIs" dxfId="233" priority="2" operator="greaterThan">
      <formula>L18</formula>
    </cfRule>
  </conditionalFormatting>
  <pageMargins left="0.7" right="0.7" top="0.75" bottom="0.75" header="0.3" footer="0.3"/>
  <pageSetup paperSize="3" fitToHeight="0" orientation="landscape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 xr:uid="{549B7B2F-FC18-4A96-9B4D-835FAEFF6DC7}">
          <x14:formula1>
            <xm:f>Bolts!$A:$A</xm:f>
          </x14:formula1>
          <xm:sqref>C14:C16</xm:sqref>
        </x14:dataValidation>
        <x14:dataValidation type="list" allowBlank="1" showInputMessage="1" showErrorMessage="1" xr:uid="{A96627D1-998F-4403-BCBE-FDB4E51287E9}">
          <x14:formula1>
            <xm:f>Assemblies!$E:$E</xm:f>
          </x14:formula1>
          <xm:sqref>C5:C8</xm:sqref>
        </x14:dataValidation>
        <x14:dataValidation type="list" allowBlank="1" showInputMessage="1" showErrorMessage="1" xr:uid="{6852F40B-BE32-401F-BF08-363726675AC8}">
          <x14:formula1>
            <xm:f>Purchased!$A:$A</xm:f>
          </x14:formula1>
          <xm:sqref>C10:C12</xm:sqref>
        </x14:dataValidation>
        <x14:dataValidation type="list" allowBlank="1" showInputMessage="1" showErrorMessage="1" xr:uid="{6FA2C8AA-0E84-4F00-A1F0-92FDF8891907}">
          <x14:formula1>
            <xm:f>Extrusion!$B:$B</xm:f>
          </x14:formula1>
          <xm:sqref>C18:C20</xm:sqref>
        </x14:dataValidation>
      </x14:dataValidations>
    </ext>
  </extLst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D10AF0-BE0C-459A-B7B2-F58278CD499D}">
  <sheetPr codeName="Sheet120">
    <tabColor theme="3" tint="0.79998168889431442"/>
    <pageSetUpPr fitToPage="1"/>
  </sheetPr>
  <dimension ref="A1:Q194"/>
  <sheetViews>
    <sheetView zoomScaleNormal="100" workbookViewId="0">
      <selection activeCell="C26" sqref="C26"/>
    </sheetView>
  </sheetViews>
  <sheetFormatPr defaultColWidth="9.140625" defaultRowHeight="15"/>
  <cols>
    <col min="1" max="1" width="5.7109375" customWidth="1"/>
    <col min="2" max="2" width="5.42578125" bestFit="1" customWidth="1"/>
    <col min="3" max="3" width="30.7109375" customWidth="1"/>
    <col min="4" max="5" width="20.7109375" style="23" customWidth="1"/>
    <col min="6" max="6" width="16.85546875" bestFit="1" customWidth="1"/>
    <col min="7" max="7" width="9.7109375" customWidth="1"/>
    <col min="8" max="8" width="8.7109375" customWidth="1"/>
    <col min="9" max="9" width="20.7109375" customWidth="1"/>
    <col min="10" max="13" width="11.7109375" style="19" customWidth="1"/>
    <col min="14" max="14" width="11.85546875" style="19" bestFit="1" customWidth="1"/>
    <col min="15" max="15" width="7.7109375" style="19" customWidth="1"/>
    <col min="16" max="16" width="10.7109375" style="90" customWidth="1"/>
    <col min="17" max="17" width="10.7109375" style="97" customWidth="1"/>
  </cols>
  <sheetData>
    <row r="1" spans="1:17" s="55" customFormat="1" ht="12" customHeight="1">
      <c r="A1" s="68" t="s">
        <v>0</v>
      </c>
      <c r="B1" s="69"/>
      <c r="C1" s="69"/>
      <c r="D1" s="262" t="s">
        <v>1</v>
      </c>
      <c r="E1" s="263"/>
      <c r="F1" s="70"/>
      <c r="G1" s="69"/>
      <c r="H1" s="70"/>
      <c r="I1" s="71"/>
      <c r="J1" s="72"/>
      <c r="K1" s="72"/>
      <c r="L1" s="72"/>
      <c r="M1" s="72"/>
      <c r="N1" s="72"/>
      <c r="O1" s="72"/>
      <c r="P1" s="85"/>
      <c r="Q1" s="91"/>
    </row>
    <row r="2" spans="1:17" s="55" customFormat="1" ht="12" customHeight="1">
      <c r="A2" s="74" t="s">
        <v>48</v>
      </c>
      <c r="B2" s="58"/>
      <c r="C2" s="57" t="e">
        <f ca="1">VLOOKUP(E3,Assemblies!B:F,4,0)</f>
        <v>#VALUE!</v>
      </c>
      <c r="D2" s="75" t="s">
        <v>3</v>
      </c>
      <c r="E2" s="76" t="e">
        <f ca="1">'GF12'!E2</f>
        <v>#VALUE!</v>
      </c>
      <c r="F2" s="77" t="s">
        <v>4</v>
      </c>
      <c r="G2" s="58" t="str">
        <f>'GF12'!G2</f>
        <v>GH</v>
      </c>
      <c r="H2" s="77" t="s">
        <v>6</v>
      </c>
      <c r="I2" s="59">
        <f>'GF12'!I2</f>
        <v>44775</v>
      </c>
      <c r="J2" s="39"/>
      <c r="K2" s="40" t="s">
        <v>49</v>
      </c>
      <c r="L2" s="41" t="e">
        <f ca="1">VLOOKUP(C2,Assemblies!E:G,3,0)</f>
        <v>#VALUE!</v>
      </c>
      <c r="M2" s="78"/>
      <c r="N2" s="78"/>
      <c r="O2" s="78"/>
      <c r="P2" s="86"/>
      <c r="Q2" s="92"/>
    </row>
    <row r="3" spans="1:17" s="55" customFormat="1" ht="12" customHeight="1" thickBot="1">
      <c r="A3" s="74" t="s">
        <v>7</v>
      </c>
      <c r="B3" s="58"/>
      <c r="C3" s="57" t="e">
        <f ca="1">VLOOKUP(E3,Assemblies!B:F,5,0)</f>
        <v>#VALUE!</v>
      </c>
      <c r="D3" s="75" t="s">
        <v>50</v>
      </c>
      <c r="E3" s="76" t="e">
        <f ca="1">MID(CELL("filename",A1),FIND("]",CELL("filename",A1))+1,256)</f>
        <v>#VALUE!</v>
      </c>
      <c r="F3" s="77" t="s">
        <v>11</v>
      </c>
      <c r="G3" s="58" t="str">
        <f>'GF12'!G3</f>
        <v>GH</v>
      </c>
      <c r="H3" s="77" t="s">
        <v>6</v>
      </c>
      <c r="I3" s="59">
        <f>'GF12'!I3</f>
        <v>44775</v>
      </c>
      <c r="J3" s="78"/>
      <c r="K3" s="78"/>
      <c r="L3" s="78"/>
      <c r="M3" s="78"/>
      <c r="N3" s="78"/>
      <c r="O3" s="78"/>
      <c r="P3" s="86"/>
      <c r="Q3" s="92"/>
    </row>
    <row r="4" spans="1:17" s="56" customFormat="1" ht="12.75" customHeight="1" thickBot="1">
      <c r="A4" s="80" t="s">
        <v>12</v>
      </c>
      <c r="B4" s="81" t="s">
        <v>13</v>
      </c>
      <c r="C4" s="81" t="s">
        <v>14</v>
      </c>
      <c r="D4" s="270" t="s">
        <v>15</v>
      </c>
      <c r="E4" s="271"/>
      <c r="F4" s="104" t="s">
        <v>16</v>
      </c>
      <c r="G4" s="81" t="s">
        <v>17</v>
      </c>
      <c r="H4" s="260" t="s">
        <v>18</v>
      </c>
      <c r="I4" s="261"/>
      <c r="J4" s="81" t="s">
        <v>51</v>
      </c>
      <c r="K4" s="81" t="s">
        <v>20</v>
      </c>
      <c r="L4" s="81" t="s">
        <v>21</v>
      </c>
      <c r="M4" s="81" t="s">
        <v>52</v>
      </c>
      <c r="N4" s="81" t="s">
        <v>22</v>
      </c>
      <c r="O4" s="81" t="s">
        <v>53</v>
      </c>
      <c r="P4" s="107" t="s">
        <v>26</v>
      </c>
      <c r="Q4" s="82" t="s">
        <v>27</v>
      </c>
    </row>
    <row r="5" spans="1:17" s="2" customFormat="1" ht="12.75" customHeight="1">
      <c r="A5" s="127">
        <v>1</v>
      </c>
      <c r="B5" s="21">
        <v>1</v>
      </c>
      <c r="C5" s="108" t="s">
        <v>807</v>
      </c>
      <c r="D5" s="277" t="str">
        <f>VLOOKUP(C5,Machined!C:Q,2,0)</f>
        <v>Diverter Actuator Plate</v>
      </c>
      <c r="E5" s="278"/>
      <c r="F5" s="131" t="str">
        <f>VLOOKUP(C5,Machined!C:R,7,0)</f>
        <v>6061-T6 Alum</v>
      </c>
      <c r="G5" s="131" t="str">
        <f>VLOOKUP(C5,Machined!C:R,10,0)</f>
        <v>DETAILED MACH</v>
      </c>
      <c r="H5" s="131" t="str">
        <f>VLOOKUP(C5,Machined!C:R,11,0)</f>
        <v>shipped 9/25/23</v>
      </c>
      <c r="I5" s="131"/>
      <c r="J5" s="42">
        <f>VLOOKUP(C5,Machined!C:R,12,0)</f>
        <v>45156</v>
      </c>
      <c r="K5" s="42">
        <f>VLOOKUP(C5,Machined!C:R,13,0)</f>
        <v>45162</v>
      </c>
      <c r="L5" s="42">
        <f>VLOOKUP(C5,Machined!C:R,14,0)</f>
        <v>45190</v>
      </c>
      <c r="M5" s="42">
        <f>VLOOKUP(C5,Machined!C:R,15,0)</f>
        <v>45190</v>
      </c>
      <c r="N5" s="43">
        <f>VLOOKUP(C5,Machined!C:R,16,0)</f>
        <v>55101</v>
      </c>
      <c r="O5" s="43" t="e">
        <f t="shared" ref="O5:O14" ca="1" si="0">B5*$L$2</f>
        <v>#VALUE!</v>
      </c>
      <c r="P5" s="47">
        <f>IFERROR(VLOOKUP(C5,Machined!C:F,3,0),"")</f>
        <v>0</v>
      </c>
      <c r="Q5" s="48">
        <f t="shared" ref="Q5:Q14" si="1">IFERROR(B5*P5,"")</f>
        <v>0</v>
      </c>
    </row>
    <row r="6" spans="1:17" s="2" customFormat="1" ht="12.75" customHeight="1">
      <c r="A6" s="127">
        <v>2</v>
      </c>
      <c r="B6" s="21">
        <v>1</v>
      </c>
      <c r="C6" s="108" t="s">
        <v>808</v>
      </c>
      <c r="D6" s="277" t="str">
        <f>VLOOKUP(C6,Machined!C:Q,2,0)</f>
        <v>Diverter Housing</v>
      </c>
      <c r="E6" s="278"/>
      <c r="F6" s="131" t="str">
        <f>VLOOKUP(C6,Machined!C:R,7,0)</f>
        <v>AISI 304, 11 Gauge</v>
      </c>
      <c r="G6" s="131" t="str">
        <f>VLOOKUP(C6,Machined!C:R,10,0)</f>
        <v>WESCO BHT</v>
      </c>
      <c r="H6" s="131" t="str">
        <f>VLOOKUP(C6,Machined!C:R,11,0)</f>
        <v xml:space="preserve">  </v>
      </c>
      <c r="I6" s="131"/>
      <c r="J6" s="42">
        <f>VLOOKUP(C6,Machined!C:R,12,0)</f>
        <v>45159</v>
      </c>
      <c r="K6" s="42">
        <f>VLOOKUP(C6,Machined!C:R,13,0)</f>
        <v>45161</v>
      </c>
      <c r="L6" s="42">
        <f>VLOOKUP(C6,Machined!C:R,14,0)</f>
        <v>45191</v>
      </c>
      <c r="M6" s="42">
        <f>VLOOKUP(C6,Machined!C:R,15,0)</f>
        <v>45191</v>
      </c>
      <c r="N6" s="43">
        <f>VLOOKUP(C6,Machined!C:R,16,0)</f>
        <v>55092</v>
      </c>
      <c r="O6" s="43" t="e">
        <f t="shared" ca="1" si="0"/>
        <v>#VALUE!</v>
      </c>
      <c r="P6" s="47">
        <f>IFERROR(VLOOKUP(C6,Machined!C:F,3,0),"")</f>
        <v>120.21</v>
      </c>
      <c r="Q6" s="48">
        <f t="shared" si="1"/>
        <v>120.21</v>
      </c>
    </row>
    <row r="7" spans="1:17" s="2" customFormat="1" ht="12.75" customHeight="1">
      <c r="A7" s="127">
        <v>3</v>
      </c>
      <c r="B7" s="21">
        <v>2</v>
      </c>
      <c r="C7" s="108" t="s">
        <v>809</v>
      </c>
      <c r="D7" s="277" t="str">
        <f>VLOOKUP(C7,Machined!C:Q,2,0)</f>
        <v>Spout Diverter Deadnest</v>
      </c>
      <c r="E7" s="278"/>
      <c r="F7" s="131" t="str">
        <f>VLOOKUP(C7,Machined!C:R,7,0)</f>
        <v>Delrin - White</v>
      </c>
      <c r="G7" s="131" t="str">
        <f>VLOOKUP(C7,Machined!C:R,10,0)</f>
        <v>DETAILED MACH</v>
      </c>
      <c r="H7" s="131" t="str">
        <f>VLOOKUP(C7,Machined!C:R,11,0)</f>
        <v>shipped 9/29/23</v>
      </c>
      <c r="I7" s="131"/>
      <c r="J7" s="42">
        <f>VLOOKUP(C7,Machined!C:R,12,0)</f>
        <v>45156</v>
      </c>
      <c r="K7" s="42">
        <f>VLOOKUP(C7,Machined!C:R,13,0)</f>
        <v>45162</v>
      </c>
      <c r="L7" s="42">
        <f>VLOOKUP(C7,Machined!C:R,14,0)</f>
        <v>45190</v>
      </c>
      <c r="M7" s="42">
        <f>VLOOKUP(C7,Machined!C:R,15,0)</f>
        <v>45190</v>
      </c>
      <c r="N7" s="43">
        <f>VLOOKUP(C7,Machined!C:R,16,0)</f>
        <v>55101</v>
      </c>
      <c r="O7" s="43" t="e">
        <f t="shared" ca="1" si="0"/>
        <v>#VALUE!</v>
      </c>
      <c r="P7" s="47">
        <f>IFERROR(VLOOKUP(C7,Machined!C:F,3,0),"")</f>
        <v>0</v>
      </c>
      <c r="Q7" s="48">
        <f t="shared" si="1"/>
        <v>0</v>
      </c>
    </row>
    <row r="8" spans="1:17" s="2" customFormat="1" ht="12.75" customHeight="1">
      <c r="A8" s="127">
        <v>4</v>
      </c>
      <c r="B8" s="21">
        <v>1</v>
      </c>
      <c r="C8" s="108" t="s">
        <v>810</v>
      </c>
      <c r="D8" s="277" t="str">
        <f>VLOOKUP(C8,Machined!C:Q,2,0)</f>
        <v>Diverter Stop</v>
      </c>
      <c r="E8" s="278"/>
      <c r="F8" s="131" t="str">
        <f>VLOOKUP(C8,Machined!C:R,7,0)</f>
        <v>Delrin - White</v>
      </c>
      <c r="G8" s="131" t="str">
        <f>VLOOKUP(C8,Machined!C:R,10,0)</f>
        <v>DETAILED MACH</v>
      </c>
      <c r="H8" s="131" t="str">
        <f>VLOOKUP(C8,Machined!C:R,11,0)</f>
        <v>shipped 9/28/23</v>
      </c>
      <c r="I8" s="131"/>
      <c r="J8" s="42">
        <f>VLOOKUP(C8,Machined!C:R,12,0)</f>
        <v>45156</v>
      </c>
      <c r="K8" s="42">
        <f>VLOOKUP(C8,Machined!C:R,13,0)</f>
        <v>45162</v>
      </c>
      <c r="L8" s="42">
        <f>VLOOKUP(C8,Machined!C:R,14,0)</f>
        <v>45190</v>
      </c>
      <c r="M8" s="42">
        <f>VLOOKUP(C8,Machined!C:R,15,0)</f>
        <v>45190</v>
      </c>
      <c r="N8" s="43">
        <f>VLOOKUP(C8,Machined!C:R,16,0)</f>
        <v>55101</v>
      </c>
      <c r="O8" s="43" t="e">
        <f t="shared" ca="1" si="0"/>
        <v>#VALUE!</v>
      </c>
      <c r="P8" s="47">
        <f>IFERROR(VLOOKUP(C8,Machined!C:F,3,0),"")</f>
        <v>0</v>
      </c>
      <c r="Q8" s="48">
        <f t="shared" si="1"/>
        <v>0</v>
      </c>
    </row>
    <row r="9" spans="1:17" s="2" customFormat="1" ht="12.75" customHeight="1">
      <c r="A9" s="127">
        <v>5</v>
      </c>
      <c r="B9" s="21">
        <v>1</v>
      </c>
      <c r="C9" s="108" t="s">
        <v>811</v>
      </c>
      <c r="D9" s="277" t="str">
        <f>VLOOKUP(C9,Machined!C:Q,2,0)</f>
        <v>Diverter Tray A-Side</v>
      </c>
      <c r="E9" s="278"/>
      <c r="F9" s="131" t="str">
        <f>VLOOKUP(C9,Machined!C:R,7,0)</f>
        <v>AISI 304, 1/16 in</v>
      </c>
      <c r="G9" s="131" t="str">
        <f>VLOOKUP(C9,Machined!C:R,10,0)</f>
        <v>WESCO BHT</v>
      </c>
      <c r="H9" s="131" t="str">
        <f>VLOOKUP(C9,Machined!C:R,11,0)</f>
        <v xml:space="preserve">  </v>
      </c>
      <c r="I9" s="131"/>
      <c r="J9" s="42">
        <f>VLOOKUP(C9,Machined!C:R,12,0)</f>
        <v>45159</v>
      </c>
      <c r="K9" s="42">
        <f>VLOOKUP(C9,Machined!C:R,13,0)</f>
        <v>45161</v>
      </c>
      <c r="L9" s="42">
        <f>VLOOKUP(C9,Machined!C:R,14,0)</f>
        <v>45191</v>
      </c>
      <c r="M9" s="42">
        <f>VLOOKUP(C9,Machined!C:R,15,0)</f>
        <v>45191</v>
      </c>
      <c r="N9" s="43">
        <f>VLOOKUP(C9,Machined!C:R,16,0)</f>
        <v>55092</v>
      </c>
      <c r="O9" s="43" t="e">
        <f t="shared" ca="1" si="0"/>
        <v>#VALUE!</v>
      </c>
      <c r="P9" s="47">
        <f>IFERROR(VLOOKUP(C9,Machined!C:F,3,0),"")</f>
        <v>73.959999999999994</v>
      </c>
      <c r="Q9" s="48">
        <f t="shared" si="1"/>
        <v>73.959999999999994</v>
      </c>
    </row>
    <row r="10" spans="1:17" s="2" customFormat="1" ht="12.75" customHeight="1">
      <c r="A10" s="127">
        <v>6</v>
      </c>
      <c r="B10" s="21">
        <v>1</v>
      </c>
      <c r="C10" s="108" t="s">
        <v>812</v>
      </c>
      <c r="D10" s="277" t="str">
        <f>VLOOKUP(C10,Machined!C:Q,2,0)</f>
        <v>Diverter Tray B-Side</v>
      </c>
      <c r="E10" s="278"/>
      <c r="F10" s="131" t="str">
        <f>VLOOKUP(C10,Machined!C:R,7,0)</f>
        <v>AISI 304, 1/16 in</v>
      </c>
      <c r="G10" s="131" t="str">
        <f>VLOOKUP(C10,Machined!C:R,10,0)</f>
        <v>WESCO BHT</v>
      </c>
      <c r="H10" s="131" t="str">
        <f>VLOOKUP(C10,Machined!C:R,11,0)</f>
        <v xml:space="preserve">  </v>
      </c>
      <c r="I10" s="131"/>
      <c r="J10" s="42">
        <f>VLOOKUP(C10,Machined!C:R,12,0)</f>
        <v>45159</v>
      </c>
      <c r="K10" s="42">
        <f>VLOOKUP(C10,Machined!C:R,13,0)</f>
        <v>45161</v>
      </c>
      <c r="L10" s="42">
        <f>VLOOKUP(C10,Machined!C:R,14,0)</f>
        <v>45191</v>
      </c>
      <c r="M10" s="42">
        <f>VLOOKUP(C10,Machined!C:R,15,0)</f>
        <v>45191</v>
      </c>
      <c r="N10" s="43">
        <f>VLOOKUP(C10,Machined!C:R,16,0)</f>
        <v>55092</v>
      </c>
      <c r="O10" s="43" t="e">
        <f t="shared" ca="1" si="0"/>
        <v>#VALUE!</v>
      </c>
      <c r="P10" s="47">
        <f>IFERROR(VLOOKUP(C10,Machined!C:F,3,0),"")</f>
        <v>73.959999999999994</v>
      </c>
      <c r="Q10" s="48">
        <f t="shared" si="1"/>
        <v>73.959999999999994</v>
      </c>
    </row>
    <row r="11" spans="1:17" s="2" customFormat="1" ht="12.75" customHeight="1">
      <c r="A11" s="127">
        <v>7</v>
      </c>
      <c r="B11" s="21">
        <v>1</v>
      </c>
      <c r="C11" s="108" t="s">
        <v>813</v>
      </c>
      <c r="D11" s="277" t="str">
        <f>VLOOKUP(C11,Machined!C:Q,2,0)</f>
        <v>Diverter Base</v>
      </c>
      <c r="E11" s="278"/>
      <c r="F11" s="131" t="str">
        <f>VLOOKUP(C11,Machined!C:R,7,0)</f>
        <v>MIC 6</v>
      </c>
      <c r="G11" s="131" t="str">
        <f>VLOOKUP(C11,Machined!C:R,10,0)</f>
        <v>DETAILED MACH</v>
      </c>
      <c r="H11" s="131" t="str">
        <f>VLOOKUP(C11,Machined!C:R,11,0)</f>
        <v xml:space="preserve">  </v>
      </c>
      <c r="I11" s="131"/>
      <c r="J11" s="42">
        <f>VLOOKUP(C11,Machined!C:R,12,0)</f>
        <v>45156</v>
      </c>
      <c r="K11" s="42">
        <f>VLOOKUP(C11,Machined!C:R,13,0)</f>
        <v>45162</v>
      </c>
      <c r="L11" s="42">
        <f>VLOOKUP(C11,Machined!C:R,14,0)</f>
        <v>45190</v>
      </c>
      <c r="M11" s="42">
        <f>VLOOKUP(C11,Machined!C:R,15,0)</f>
        <v>45190</v>
      </c>
      <c r="N11" s="43">
        <f>VLOOKUP(C11,Machined!C:R,16,0)</f>
        <v>55101</v>
      </c>
      <c r="O11" s="43" t="e">
        <f t="shared" ca="1" si="0"/>
        <v>#VALUE!</v>
      </c>
      <c r="P11" s="47">
        <f>IFERROR(VLOOKUP(C11,Machined!C:F,3,0),"")</f>
        <v>0</v>
      </c>
      <c r="Q11" s="48">
        <f t="shared" si="1"/>
        <v>0</v>
      </c>
    </row>
    <row r="12" spans="1:17" s="2" customFormat="1" ht="12.75" customHeight="1">
      <c r="A12" s="127">
        <v>8</v>
      </c>
      <c r="B12" s="21">
        <v>1</v>
      </c>
      <c r="C12" s="108" t="s">
        <v>814</v>
      </c>
      <c r="D12" s="277" t="str">
        <f>VLOOKUP(C12,Machined!C:Q,2,0)</f>
        <v>Diverter Back</v>
      </c>
      <c r="E12" s="278"/>
      <c r="F12" s="131" t="str">
        <f>VLOOKUP(C12,Machined!C:R,7,0)</f>
        <v>MIC 6</v>
      </c>
      <c r="G12" s="131" t="str">
        <f>VLOOKUP(C12,Machined!C:R,10,0)</f>
        <v>DETAILED MACH</v>
      </c>
      <c r="H12" s="131" t="str">
        <f>VLOOKUP(C12,Machined!C:R,11,0)</f>
        <v>shipped 9/25/23</v>
      </c>
      <c r="I12" s="131"/>
      <c r="J12" s="42">
        <f>VLOOKUP(C12,Machined!C:R,12,0)</f>
        <v>45156</v>
      </c>
      <c r="K12" s="42">
        <f>VLOOKUP(C12,Machined!C:R,13,0)</f>
        <v>45162</v>
      </c>
      <c r="L12" s="42">
        <f>VLOOKUP(C12,Machined!C:R,14,0)</f>
        <v>45190</v>
      </c>
      <c r="M12" s="42">
        <f>VLOOKUP(C12,Machined!C:R,15,0)</f>
        <v>45190</v>
      </c>
      <c r="N12" s="43">
        <f>VLOOKUP(C12,Machined!C:R,16,0)</f>
        <v>55101</v>
      </c>
      <c r="O12" s="43" t="e">
        <f t="shared" ca="1" si="0"/>
        <v>#VALUE!</v>
      </c>
      <c r="P12" s="47">
        <f>IFERROR(VLOOKUP(C12,Machined!C:F,3,0),"")</f>
        <v>0</v>
      </c>
      <c r="Q12" s="48">
        <f t="shared" si="1"/>
        <v>0</v>
      </c>
    </row>
    <row r="13" spans="1:17" s="2" customFormat="1" ht="12.75" customHeight="1">
      <c r="A13" s="127">
        <v>9</v>
      </c>
      <c r="B13" s="21">
        <v>1</v>
      </c>
      <c r="C13" s="108" t="s">
        <v>815</v>
      </c>
      <c r="D13" s="277" t="str">
        <f>VLOOKUP(C13,Machined!C:Q,2,0)</f>
        <v>Diverter Housing Mount</v>
      </c>
      <c r="E13" s="278"/>
      <c r="F13" s="131" t="str">
        <f>VLOOKUP(C13,Machined!C:R,7,0)</f>
        <v>6061-T6 Alum</v>
      </c>
      <c r="G13" s="131" t="str">
        <f>VLOOKUP(C13,Machined!C:R,10,0)</f>
        <v>DETAILED MACH</v>
      </c>
      <c r="H13" s="131" t="str">
        <f>VLOOKUP(C13,Machined!C:R,11,0)</f>
        <v>shipped 9/25/23</v>
      </c>
      <c r="I13" s="131"/>
      <c r="J13" s="42">
        <f>VLOOKUP(C13,Machined!C:R,12,0)</f>
        <v>45156</v>
      </c>
      <c r="K13" s="42">
        <f>VLOOKUP(C13,Machined!C:R,13,0)</f>
        <v>45162</v>
      </c>
      <c r="L13" s="42">
        <f>VLOOKUP(C13,Machined!C:R,14,0)</f>
        <v>45190</v>
      </c>
      <c r="M13" s="42">
        <f>VLOOKUP(C13,Machined!C:R,15,0)</f>
        <v>45190</v>
      </c>
      <c r="N13" s="43">
        <f>VLOOKUP(C13,Machined!C:R,16,0)</f>
        <v>55101</v>
      </c>
      <c r="O13" s="43" t="e">
        <f t="shared" ca="1" si="0"/>
        <v>#VALUE!</v>
      </c>
      <c r="P13" s="47">
        <f>IFERROR(VLOOKUP(C13,Machined!C:F,3,0),"")</f>
        <v>0</v>
      </c>
      <c r="Q13" s="48">
        <f t="shared" si="1"/>
        <v>0</v>
      </c>
    </row>
    <row r="14" spans="1:17" s="2" customFormat="1" ht="12.75" customHeight="1">
      <c r="A14" s="127">
        <v>10</v>
      </c>
      <c r="B14" s="21">
        <v>1</v>
      </c>
      <c r="C14" s="108" t="s">
        <v>1212</v>
      </c>
      <c r="D14" s="277" t="str">
        <f>VLOOKUP(C14,Machined!C:Q,2,0)</f>
        <v>Diverter Guard</v>
      </c>
      <c r="E14" s="278"/>
      <c r="F14" s="131" t="str">
        <f>VLOOKUP(C14,Machined!C:R,7,0)</f>
        <v>Polycarb</v>
      </c>
      <c r="G14" s="131" t="str">
        <f>VLOOKUP(C14,Machined!C:R,10,0)</f>
        <v>CURBELL PLASTICS</v>
      </c>
      <c r="H14" s="131" t="str">
        <f>VLOOKUP(C14,Machined!C:R,11,0)</f>
        <v>3 WEEKS FROM 9/27</v>
      </c>
      <c r="I14" s="131"/>
      <c r="J14" s="42">
        <f>VLOOKUP(C14,Machined!C:R,12,0)</f>
        <v>45194</v>
      </c>
      <c r="K14" s="42">
        <f>VLOOKUP(C14,Machined!C:R,13,0)</f>
        <v>45196</v>
      </c>
      <c r="L14" s="42">
        <f>VLOOKUP(C14,Machined!C:R,14,0)</f>
        <v>45219</v>
      </c>
      <c r="M14" s="42">
        <f>VLOOKUP(C14,Machined!C:R,15,0)</f>
        <v>45219</v>
      </c>
      <c r="N14" s="43">
        <f>VLOOKUP(C14,Machined!C:R,16,0)</f>
        <v>55166</v>
      </c>
      <c r="O14" s="43" t="e">
        <f t="shared" ca="1" si="0"/>
        <v>#VALUE!</v>
      </c>
      <c r="P14" s="47">
        <f>IFERROR(VLOOKUP(C14,Machined!C:F,3,0),"")</f>
        <v>333.5</v>
      </c>
      <c r="Q14" s="48">
        <f t="shared" si="1"/>
        <v>333.5</v>
      </c>
    </row>
    <row r="15" spans="1:17" s="2" customFormat="1" ht="12.75" customHeight="1">
      <c r="A15" s="143"/>
      <c r="B15" s="26"/>
      <c r="C15" s="26"/>
      <c r="D15" s="272"/>
      <c r="E15" s="273"/>
      <c r="F15" s="26"/>
      <c r="G15" s="26"/>
      <c r="H15" s="274"/>
      <c r="I15" s="275"/>
      <c r="J15" s="27"/>
      <c r="K15" s="27"/>
      <c r="L15" s="27"/>
      <c r="M15" s="28"/>
      <c r="N15" s="29"/>
      <c r="O15" s="29"/>
      <c r="P15" s="141"/>
      <c r="Q15" s="142"/>
    </row>
    <row r="16" spans="1:17" s="2" customFormat="1" ht="12.75" customHeight="1">
      <c r="A16" s="4">
        <v>301</v>
      </c>
      <c r="B16" s="2">
        <v>1</v>
      </c>
      <c r="C16" s="114" t="s">
        <v>817</v>
      </c>
      <c r="D16" s="268" t="str">
        <f>VLOOKUP(C16,Purchased!A:B,2,0)</f>
        <v>SMC Magnet Coupled Rodless Cylinder</v>
      </c>
      <c r="E16" s="269"/>
      <c r="F16" s="112" t="str">
        <f>VLOOKUP(C16,Purchased!A:Q,9,0)</f>
        <v>SMC</v>
      </c>
      <c r="G16" s="112" t="str">
        <f>VLOOKUP(C16,Purchased!A:Q,10,0)</f>
        <v>AAP</v>
      </c>
      <c r="H16" s="112" t="str">
        <f>VLOOKUP(C16,Purchased!A:Q,12,0)</f>
        <v xml:space="preserve"> </v>
      </c>
      <c r="I16" s="113"/>
      <c r="J16" s="44" t="str">
        <f>VLOOKUP(C16,Purchased!A:Q,13,0)</f>
        <v>N/A</v>
      </c>
      <c r="K16" s="44">
        <f>VLOOKUP(C16,Purchased!A:Q,16,0)</f>
        <v>45139</v>
      </c>
      <c r="L16" s="44">
        <f>VLOOKUP(C16,Purchased!A:Q,15,0)</f>
        <v>45098</v>
      </c>
      <c r="M16" s="44">
        <f>VLOOKUP(C16,Purchased!A:Q,16,0)</f>
        <v>45139</v>
      </c>
      <c r="N16" s="45">
        <f>VLOOKUP(C16,Purchased!A:Q,17,0)</f>
        <v>54862</v>
      </c>
      <c r="O16" s="45" t="e">
        <f t="shared" ref="O16:O35" ca="1" si="2">B16*$L$2</f>
        <v>#VALUE!</v>
      </c>
      <c r="P16" s="49">
        <f>IFERROR(VLOOKUP(C16,Purchased!A:E,3,FALSE),"")</f>
        <v>1019.8487</v>
      </c>
      <c r="Q16" s="50">
        <f t="shared" ref="Q16:Q25" si="3">IFERROR(B16*P16,"")</f>
        <v>1019.8487</v>
      </c>
    </row>
    <row r="17" spans="1:17" s="2" customFormat="1" ht="12" customHeight="1">
      <c r="A17" s="4">
        <f t="shared" ref="A17:A28" si="4">A16+1</f>
        <v>302</v>
      </c>
      <c r="B17" s="2">
        <v>1</v>
      </c>
      <c r="C17" s="114" t="s">
        <v>818</v>
      </c>
      <c r="D17" s="268" t="str">
        <f>VLOOKUP(C17,Purchased!A:B,2,0)</f>
        <v xml:space="preserve">KEYENCE PR-G4ACP Diffuse reflective long distance </v>
      </c>
      <c r="E17" s="269"/>
      <c r="F17" s="112" t="str">
        <f>VLOOKUP(C17,Purchased!A:Q,9,0)</f>
        <v>KEYENCE</v>
      </c>
      <c r="G17" s="112" t="str">
        <f>VLOOKUP(C17,Purchased!A:Q,10,0)</f>
        <v>KEYENCE</v>
      </c>
      <c r="H17" s="112" t="str">
        <f>VLOOKUP(C17,Purchased!A:Q,12,0)</f>
        <v xml:space="preserve"> </v>
      </c>
      <c r="I17" s="113"/>
      <c r="J17" s="44">
        <f>VLOOKUP(C17,Purchased!A:Q,13,0)</f>
        <v>45154</v>
      </c>
      <c r="K17" s="44">
        <f>VLOOKUP(C17,Purchased!A:Q,16,0)</f>
        <v>45184</v>
      </c>
      <c r="L17" s="44">
        <f>VLOOKUP(C17,Purchased!A:Q,15,0)</f>
        <v>45191</v>
      </c>
      <c r="M17" s="44">
        <f>VLOOKUP(C17,Purchased!A:Q,16,0)</f>
        <v>45184</v>
      </c>
      <c r="N17" s="45">
        <f>VLOOKUP(C17,Purchased!A:Q,17,0)</f>
        <v>55077</v>
      </c>
      <c r="O17" s="45" t="e">
        <f t="shared" ca="1" si="2"/>
        <v>#VALUE!</v>
      </c>
      <c r="P17" s="49">
        <f>IFERROR(VLOOKUP(C17,Purchased!A:E,3,FALSE),"")</f>
        <v>168</v>
      </c>
      <c r="Q17" s="50">
        <f t="shared" si="3"/>
        <v>168</v>
      </c>
    </row>
    <row r="18" spans="1:17" s="2" customFormat="1" ht="12" customHeight="1">
      <c r="A18" s="4">
        <f t="shared" si="4"/>
        <v>303</v>
      </c>
      <c r="B18" s="2">
        <v>4</v>
      </c>
      <c r="C18" s="114" t="s">
        <v>819</v>
      </c>
      <c r="D18" s="268" t="str">
        <f>VLOOKUP(C18,Purchased!A:B,2,0)</f>
        <v>316 Stainless Steel Dowel Pin 10mm Diameter, 20mm Long</v>
      </c>
      <c r="E18" s="269"/>
      <c r="F18" s="112" t="str">
        <f>VLOOKUP(C18,Purchased!A:Q,9,0)</f>
        <v>MCM</v>
      </c>
      <c r="G18" s="112" t="str">
        <f>VLOOKUP(C18,Purchased!A:Q,10,0)</f>
        <v>MCM</v>
      </c>
      <c r="H18" s="112" t="str">
        <f>VLOOKUP(C18,Purchased!A:Q,12,0)</f>
        <v xml:space="preserve"> </v>
      </c>
      <c r="I18" s="113"/>
      <c r="J18" s="44" t="str">
        <f>VLOOKUP(C18,Purchased!A:Q,13,0)</f>
        <v>N/A</v>
      </c>
      <c r="K18" s="44">
        <f>VLOOKUP(C18,Purchased!A:Q,16,0)</f>
        <v>45163</v>
      </c>
      <c r="L18" s="44">
        <f>VLOOKUP(C18,Purchased!A:Q,15,0)</f>
        <v>45184</v>
      </c>
      <c r="M18" s="44">
        <f>VLOOKUP(C18,Purchased!A:Q,16,0)</f>
        <v>45163</v>
      </c>
      <c r="N18" s="45">
        <f>VLOOKUP(C18,Purchased!A:Q,17,0)</f>
        <v>55089</v>
      </c>
      <c r="O18" s="45" t="e">
        <f t="shared" ca="1" si="2"/>
        <v>#VALUE!</v>
      </c>
      <c r="P18" s="49">
        <f>IFERROR(VLOOKUP(C18,Purchased!A:E,3,FALSE),"")</f>
        <v>3.09</v>
      </c>
      <c r="Q18" s="50">
        <f t="shared" si="3"/>
        <v>12.36</v>
      </c>
    </row>
    <row r="19" spans="1:17" s="2" customFormat="1" ht="12" customHeight="1">
      <c r="A19" s="4">
        <f t="shared" si="4"/>
        <v>304</v>
      </c>
      <c r="B19" s="2">
        <v>2</v>
      </c>
      <c r="C19" s="114" t="s">
        <v>185</v>
      </c>
      <c r="D19" s="268" t="str">
        <f>VLOOKUP(C19,Purchased!A:B,2,0)</f>
        <v>SMC FITTING, MALE ELBOW</v>
      </c>
      <c r="E19" s="269"/>
      <c r="F19" s="112" t="str">
        <f>VLOOKUP(C19,Purchased!A:Q,9,0)</f>
        <v>SMC</v>
      </c>
      <c r="G19" s="112" t="str">
        <f>VLOOKUP(C19,Purchased!A:Q,10,0)</f>
        <v>AAP</v>
      </c>
      <c r="H19" s="112" t="str">
        <f>VLOOKUP(C19,Purchased!A:Q,12,0)</f>
        <v xml:space="preserve"> </v>
      </c>
      <c r="I19" s="113"/>
      <c r="J19" s="44" t="str">
        <f>VLOOKUP(C19,Purchased!A:Q,13,0)</f>
        <v>N/A</v>
      </c>
      <c r="K19" s="44">
        <f>VLOOKUP(C19,Purchased!A:Q,16,0)</f>
        <v>45180</v>
      </c>
      <c r="L19" s="44">
        <f>VLOOKUP(C19,Purchased!A:Q,15,0)</f>
        <v>45184</v>
      </c>
      <c r="M19" s="44">
        <f>VLOOKUP(C19,Purchased!A:Q,16,0)</f>
        <v>45180</v>
      </c>
      <c r="N19" s="45" t="str">
        <f>VLOOKUP(C19,Purchased!A:Q,17,0)</f>
        <v>10x55037, 20x55073, 10x55270</v>
      </c>
      <c r="O19" s="45" t="e">
        <f t="shared" ca="1" si="2"/>
        <v>#VALUE!</v>
      </c>
      <c r="P19" s="49">
        <f>IFERROR(VLOOKUP(C19,Purchased!A:E,3,FALSE),"")</f>
        <v>2.2932999999999999</v>
      </c>
      <c r="Q19" s="50">
        <f t="shared" si="3"/>
        <v>4.5865999999999998</v>
      </c>
    </row>
    <row r="20" spans="1:17" s="2" customFormat="1" ht="12" customHeight="1">
      <c r="A20" s="4">
        <f t="shared" si="4"/>
        <v>305</v>
      </c>
      <c r="B20" s="2">
        <v>2</v>
      </c>
      <c r="C20" s="114" t="s">
        <v>820</v>
      </c>
      <c r="D20" s="268" t="str">
        <f>VLOOKUP(C20,Purchased!A:B,2,0)</f>
        <v>SMC SPEED CONTROLLER</v>
      </c>
      <c r="E20" s="269"/>
      <c r="F20" s="112" t="str">
        <f>VLOOKUP(C20,Purchased!A:Q,9,0)</f>
        <v>SMC</v>
      </c>
      <c r="G20" s="112" t="str">
        <f>VLOOKUP(C20,Purchased!A:Q,10,0)</f>
        <v>AAP</v>
      </c>
      <c r="H20" s="112" t="str">
        <f>VLOOKUP(C20,Purchased!A:Q,12,0)</f>
        <v xml:space="preserve"> </v>
      </c>
      <c r="I20" s="113"/>
      <c r="J20" s="44" t="str">
        <f>VLOOKUP(C20,Purchased!A:Q,13,0)</f>
        <v>N/A</v>
      </c>
      <c r="K20" s="44">
        <f>VLOOKUP(C20,Purchased!A:Q,16,0)</f>
        <v>45180</v>
      </c>
      <c r="L20" s="44">
        <f>VLOOKUP(C20,Purchased!A:Q,15,0)</f>
        <v>45184</v>
      </c>
      <c r="M20" s="44">
        <f>VLOOKUP(C20,Purchased!A:Q,16,0)</f>
        <v>45180</v>
      </c>
      <c r="N20" s="45">
        <f>VLOOKUP(C20,Purchased!A:Q,17,0)</f>
        <v>55037</v>
      </c>
      <c r="O20" s="45" t="e">
        <f t="shared" ca="1" si="2"/>
        <v>#VALUE!</v>
      </c>
      <c r="P20" s="49">
        <f>IFERROR(VLOOKUP(C20,Purchased!A:E,3,FALSE),"")</f>
        <v>20.3764</v>
      </c>
      <c r="Q20" s="50">
        <f t="shared" si="3"/>
        <v>40.752800000000001</v>
      </c>
    </row>
    <row r="21" spans="1:17" s="2" customFormat="1" ht="12" customHeight="1">
      <c r="A21" s="4">
        <f t="shared" si="4"/>
        <v>306</v>
      </c>
      <c r="B21" s="2">
        <v>2</v>
      </c>
      <c r="C21" s="114" t="s">
        <v>821</v>
      </c>
      <c r="D21" s="268" t="str">
        <f>VLOOKUP(C21,Purchased!A:B,2,0)</f>
        <v>SMC Flange Fitting For Speed Controller</v>
      </c>
      <c r="E21" s="269"/>
      <c r="F21" s="112" t="str">
        <f>VLOOKUP(C21,Purchased!A:Q,9,0)</f>
        <v>SMC</v>
      </c>
      <c r="G21" s="112" t="str">
        <f>VLOOKUP(C21,Purchased!A:Q,10,0)</f>
        <v>AAP</v>
      </c>
      <c r="H21" s="112" t="str">
        <f>VLOOKUP(C21,Purchased!A:Q,12,0)</f>
        <v xml:space="preserve"> </v>
      </c>
      <c r="I21" s="113"/>
      <c r="J21" s="44" t="str">
        <f>VLOOKUP(C21,Purchased!A:Q,13,0)</f>
        <v>N/A</v>
      </c>
      <c r="K21" s="44">
        <f>VLOOKUP(C21,Purchased!A:Q,16,0)</f>
        <v>45197</v>
      </c>
      <c r="L21" s="44">
        <f>VLOOKUP(C21,Purchased!A:Q,15,0)</f>
        <v>45184</v>
      </c>
      <c r="M21" s="44">
        <f>VLOOKUP(C21,Purchased!A:Q,16,0)</f>
        <v>45197</v>
      </c>
      <c r="N21" s="45">
        <f>VLOOKUP(C21,Purchased!A:Q,17,0)</f>
        <v>55073</v>
      </c>
      <c r="O21" s="45" t="e">
        <f t="shared" ca="1" si="2"/>
        <v>#VALUE!</v>
      </c>
      <c r="P21" s="49">
        <f>IFERROR(VLOOKUP(C21,Purchased!A:E,3,FALSE),"")</f>
        <v>2.2410000000000001</v>
      </c>
      <c r="Q21" s="50">
        <f t="shared" si="3"/>
        <v>4.4820000000000002</v>
      </c>
    </row>
    <row r="22" spans="1:17" s="2" customFormat="1" ht="12" customHeight="1">
      <c r="A22" s="4">
        <f t="shared" si="4"/>
        <v>307</v>
      </c>
      <c r="B22" s="2">
        <v>2</v>
      </c>
      <c r="C22" s="114" t="s">
        <v>822</v>
      </c>
      <c r="D22" s="268" t="str">
        <f>VLOOKUP(C22,Purchased!A:B,2,0)</f>
        <v>MCM 94595A238 All Threaded Rod M4x0.7 50mm L</v>
      </c>
      <c r="E22" s="269"/>
      <c r="F22" s="112" t="str">
        <f>VLOOKUP(C22,Purchased!A:Q,9,0)</f>
        <v>MCM</v>
      </c>
      <c r="G22" s="112" t="str">
        <f>VLOOKUP(C22,Purchased!A:Q,10,0)</f>
        <v>MCM</v>
      </c>
      <c r="H22" s="112" t="str">
        <f>VLOOKUP(C22,Purchased!A:Q,12,0)</f>
        <v xml:space="preserve"> </v>
      </c>
      <c r="I22" s="113"/>
      <c r="J22" s="44" t="str">
        <f>VLOOKUP(C22,Purchased!A:Q,13,0)</f>
        <v>N/A</v>
      </c>
      <c r="K22" s="44">
        <f>VLOOKUP(C22,Purchased!A:Q,16,0)</f>
        <v>45163</v>
      </c>
      <c r="L22" s="44">
        <f>VLOOKUP(C22,Purchased!A:Q,15,0)</f>
        <v>45184</v>
      </c>
      <c r="M22" s="44">
        <f>VLOOKUP(C22,Purchased!A:Q,16,0)</f>
        <v>45163</v>
      </c>
      <c r="N22" s="45">
        <f>VLOOKUP(C22,Purchased!A:Q,17,0)</f>
        <v>55089</v>
      </c>
      <c r="O22" s="45" t="e">
        <f t="shared" ca="1" si="2"/>
        <v>#VALUE!</v>
      </c>
      <c r="P22" s="49">
        <f>IFERROR(VLOOKUP(C22,Purchased!A:E,3,FALSE),"")</f>
        <v>8.59</v>
      </c>
      <c r="Q22" s="50">
        <f t="shared" si="3"/>
        <v>17.18</v>
      </c>
    </row>
    <row r="23" spans="1:17" s="2" customFormat="1" ht="12" customHeight="1">
      <c r="A23" s="4">
        <f t="shared" si="4"/>
        <v>308</v>
      </c>
      <c r="B23" s="2">
        <v>4</v>
      </c>
      <c r="C23" s="114" t="s">
        <v>690</v>
      </c>
      <c r="D23" s="268" t="str">
        <f>VLOOKUP(C23,Purchased!A:B,2,0)</f>
        <v>BRX GOTO T-SLOT STONE 10 M8</v>
      </c>
      <c r="E23" s="269"/>
      <c r="F23" s="112" t="str">
        <f>VLOOKUP(C23,Purchased!A:Q,9,0)</f>
        <v>BRX</v>
      </c>
      <c r="G23" s="112" t="str">
        <f>VLOOKUP(C23,Purchased!A:Q,10,0)</f>
        <v>AAP</v>
      </c>
      <c r="H23" s="112" t="str">
        <f>VLOOKUP(C23,Purchased!A:Q,12,0)</f>
        <v xml:space="preserve">  </v>
      </c>
      <c r="I23" s="113"/>
      <c r="J23" s="44">
        <f>VLOOKUP(C23,Purchased!A:Q,13,0)</f>
        <v>45104</v>
      </c>
      <c r="K23" s="44">
        <f>VLOOKUP(C23,Purchased!A:Q,16,0)</f>
        <v>45133</v>
      </c>
      <c r="L23" s="44">
        <f>VLOOKUP(C23,Purchased!A:Q,15,0)</f>
        <v>45133</v>
      </c>
      <c r="M23" s="44">
        <f>VLOOKUP(C23,Purchased!A:Q,16,0)</f>
        <v>45133</v>
      </c>
      <c r="N23" s="45">
        <f>VLOOKUP(C23,Purchased!A:Q,17,0)</f>
        <v>54968</v>
      </c>
      <c r="O23" s="45" t="e">
        <f t="shared" ca="1" si="2"/>
        <v>#VALUE!</v>
      </c>
      <c r="P23" s="49">
        <f>IFERROR(VLOOKUP(C23,Purchased!A:E,3,FALSE),"")</f>
        <v>0.98570000000000002</v>
      </c>
      <c r="Q23" s="50">
        <f t="shared" si="3"/>
        <v>3.9428000000000001</v>
      </c>
    </row>
    <row r="24" spans="1:17" s="2" customFormat="1" ht="12" customHeight="1">
      <c r="A24" s="4">
        <f t="shared" si="4"/>
        <v>309</v>
      </c>
      <c r="B24" s="2">
        <v>2</v>
      </c>
      <c r="C24" s="114" t="s">
        <v>477</v>
      </c>
      <c r="D24" s="268" t="str">
        <f>VLOOKUP(C24,Purchased!A:B,2,0)</f>
        <v>MURR M8 Female, 0deg A-Coded, 3-Pin, w/ Cable</v>
      </c>
      <c r="E24" s="269"/>
      <c r="F24" s="112" t="str">
        <f>VLOOKUP(C24,Purchased!A:Q,9,0)</f>
        <v>MURR</v>
      </c>
      <c r="G24" s="112" t="str">
        <f>VLOOKUP(C24,Purchased!A:Q,10,0)</f>
        <v>MURR</v>
      </c>
      <c r="H24" s="112" t="str">
        <f>VLOOKUP(C24,Purchased!A:Q,12,0)</f>
        <v xml:space="preserve">  </v>
      </c>
      <c r="I24" s="113"/>
      <c r="J24" s="44">
        <f>VLOOKUP(C24,Purchased!A:Q,13,0)</f>
        <v>45161</v>
      </c>
      <c r="K24" s="44">
        <f>VLOOKUP(C24,Purchased!A:Q,16,0)</f>
        <v>45184</v>
      </c>
      <c r="L24" s="44">
        <f>VLOOKUP(C24,Purchased!A:Q,15,0)</f>
        <v>45184</v>
      </c>
      <c r="M24" s="44">
        <f>VLOOKUP(C24,Purchased!A:Q,16,0)</f>
        <v>45184</v>
      </c>
      <c r="N24" s="45">
        <f>VLOOKUP(C24,Purchased!A:Q,17,0)</f>
        <v>55080</v>
      </c>
      <c r="O24" s="45" t="e">
        <f t="shared" ca="1" si="2"/>
        <v>#VALUE!</v>
      </c>
      <c r="P24" s="49">
        <f>IFERROR(VLOOKUP(C24,Purchased!A:E,3,FALSE),"")</f>
        <v>21.52</v>
      </c>
      <c r="Q24" s="50">
        <f t="shared" si="3"/>
        <v>43.04</v>
      </c>
    </row>
    <row r="25" spans="1:17" s="2" customFormat="1" ht="12" customHeight="1">
      <c r="A25" s="4">
        <f t="shared" si="4"/>
        <v>310</v>
      </c>
      <c r="B25" s="2">
        <v>2</v>
      </c>
      <c r="C25" s="114" t="s">
        <v>823</v>
      </c>
      <c r="D25" s="268" t="str">
        <f>VLOOKUP(C25,Purchased!A:B,2,0)</f>
        <v xml:space="preserve">ELESA Wing Nut 8751 CTL.476/40 p-M8x16 </v>
      </c>
      <c r="E25" s="269"/>
      <c r="F25" s="112" t="str">
        <f>VLOOKUP(C25,Purchased!A:Q,9,0)</f>
        <v>ELESA</v>
      </c>
      <c r="G25" s="112" t="str">
        <f>VLOOKUP(C25,Purchased!A:Q,10,0)</f>
        <v>ELESA</v>
      </c>
      <c r="H25" s="112" t="str">
        <f>VLOOKUP(C25,Purchased!A:Q,12,0)</f>
        <v xml:space="preserve"> </v>
      </c>
      <c r="I25" s="113"/>
      <c r="J25" s="44" t="str">
        <f>VLOOKUP(C25,Purchased!A:Q,13,0)</f>
        <v>N/A</v>
      </c>
      <c r="K25" s="44">
        <f>VLOOKUP(C25,Purchased!A:Q,16,0)</f>
        <v>45184</v>
      </c>
      <c r="L25" s="44">
        <f>VLOOKUP(C25,Purchased!A:Q,15,0)</f>
        <v>45184</v>
      </c>
      <c r="M25" s="44">
        <f>VLOOKUP(C25,Purchased!A:Q,16,0)</f>
        <v>45184</v>
      </c>
      <c r="N25" s="45">
        <f>VLOOKUP(C25,Purchased!A:Q,17,0)</f>
        <v>55075</v>
      </c>
      <c r="O25" s="45" t="e">
        <f t="shared" ca="1" si="2"/>
        <v>#VALUE!</v>
      </c>
      <c r="P25" s="49">
        <f>IFERROR(VLOOKUP(C25,Purchased!A:E,3,FALSE),"")</f>
        <v>16.350000000000001</v>
      </c>
      <c r="Q25" s="50">
        <f t="shared" si="3"/>
        <v>32.700000000000003</v>
      </c>
    </row>
    <row r="26" spans="1:17" s="2" customFormat="1" ht="12" customHeight="1">
      <c r="A26" s="4">
        <f t="shared" si="4"/>
        <v>311</v>
      </c>
      <c r="B26" s="2">
        <v>4</v>
      </c>
      <c r="C26" s="114" t="s">
        <v>824</v>
      </c>
      <c r="D26" s="268" t="str">
        <f>VLOOKUP(C26,Purchased!A:B,2,0)</f>
        <v>Plastic-Head Thumb Screws, Knurled, M8 x 1.25 mm Thread, 16 mm Long</v>
      </c>
      <c r="E26" s="269"/>
      <c r="F26" s="112" t="str">
        <f>VLOOKUP(C26,Purchased!A:Q,9,0)</f>
        <v>MCM</v>
      </c>
      <c r="G26" s="112" t="str">
        <f>VLOOKUP(C26,Purchased!A:Q,10,0)</f>
        <v>MCM</v>
      </c>
      <c r="H26" s="112" t="str">
        <f>VLOOKUP(C26,Purchased!A:Q,12,0)</f>
        <v xml:space="preserve"> </v>
      </c>
      <c r="I26" s="113"/>
      <c r="J26" s="44" t="str">
        <f>VLOOKUP(C26,Purchased!A:Q,13,0)</f>
        <v>N/A</v>
      </c>
      <c r="K26" s="44">
        <f>VLOOKUP(C26,Purchased!A:Q,16,0)</f>
        <v>45163</v>
      </c>
      <c r="L26" s="44">
        <f>VLOOKUP(C26,Purchased!A:Q,15,0)</f>
        <v>45184</v>
      </c>
      <c r="M26" s="44">
        <f>VLOOKUP(C26,Purchased!A:Q,16,0)</f>
        <v>45163</v>
      </c>
      <c r="N26" s="45">
        <f>VLOOKUP(C26,Purchased!A:Q,17,0)</f>
        <v>55089</v>
      </c>
      <c r="O26" s="45" t="e">
        <f t="shared" ref="O26" ca="1" si="5">B26*$L$2</f>
        <v>#VALUE!</v>
      </c>
      <c r="P26" s="49">
        <f>IFERROR(VLOOKUP(C26,Purchased!A:E,3,FALSE),"")</f>
        <v>8.4700000000000006</v>
      </c>
      <c r="Q26" s="50">
        <f t="shared" ref="Q26" si="6">IFERROR(B26*P26,"")</f>
        <v>33.880000000000003</v>
      </c>
    </row>
    <row r="27" spans="1:17" s="2" customFormat="1" ht="12" customHeight="1">
      <c r="A27" s="4">
        <f t="shared" si="4"/>
        <v>312</v>
      </c>
      <c r="B27" s="2">
        <v>2</v>
      </c>
      <c r="C27" s="114" t="s">
        <v>825</v>
      </c>
      <c r="D27" s="268" t="str">
        <f>VLOOKUP(C27,Purchased!A:B,2,0)</f>
        <v>SMC ACTUATOR SENSOR</v>
      </c>
      <c r="E27" s="269"/>
      <c r="F27" s="112" t="str">
        <f>VLOOKUP(C27,Purchased!A:Q,9,0)</f>
        <v>SMC</v>
      </c>
      <c r="G27" s="112" t="str">
        <f>VLOOKUP(C27,Purchased!A:Q,10,0)</f>
        <v>AAP</v>
      </c>
      <c r="H27" s="112" t="str">
        <f>VLOOKUP(C27,Purchased!A:Q,12,0)</f>
        <v xml:space="preserve"> </v>
      </c>
      <c r="I27" s="113"/>
      <c r="J27" s="44" t="str">
        <f>VLOOKUP(C27,Purchased!A:Q,13,0)</f>
        <v>N/A</v>
      </c>
      <c r="K27" s="44">
        <f>VLOOKUP(C27,Purchased!A:Q,16,0)</f>
        <v>45197</v>
      </c>
      <c r="L27" s="44">
        <f>VLOOKUP(C27,Purchased!A:Q,15,0)</f>
        <v>45184</v>
      </c>
      <c r="M27" s="44">
        <f>VLOOKUP(C27,Purchased!A:Q,16,0)</f>
        <v>45197</v>
      </c>
      <c r="N27" s="45" t="str">
        <f>VLOOKUP(C27,Purchased!A:Q,17,0)</f>
        <v>2x55073, 2x55169</v>
      </c>
      <c r="O27" s="45" t="e">
        <f t="shared" ref="O27" ca="1" si="7">B27*$L$2</f>
        <v>#VALUE!</v>
      </c>
      <c r="P27" s="49">
        <f>IFERROR(VLOOKUP(C27,Purchased!A:E,3,FALSE),"")</f>
        <v>43.962299999999999</v>
      </c>
      <c r="Q27" s="50">
        <f t="shared" ref="Q27" si="8">IFERROR(B27*P27,"")</f>
        <v>87.924599999999998</v>
      </c>
    </row>
    <row r="28" spans="1:17" s="2" customFormat="1" ht="12" customHeight="1">
      <c r="A28" s="4">
        <f t="shared" si="4"/>
        <v>313</v>
      </c>
      <c r="B28" s="2">
        <v>1</v>
      </c>
      <c r="C28" s="114" t="s">
        <v>625</v>
      </c>
      <c r="D28" s="268" t="str">
        <f>VLOOKUP(C28,Purchased!A:B,2,0)</f>
        <v>MURR M8 Female, 0deg A-Coded, 4-Pin, w/ Cable, 10m, black</v>
      </c>
      <c r="E28" s="269"/>
      <c r="F28" s="112" t="str">
        <f>VLOOKUP(C28,Purchased!A:Q,9,0)</f>
        <v>MURR</v>
      </c>
      <c r="G28" s="112" t="str">
        <f>VLOOKUP(C28,Purchased!A:Q,10,0)</f>
        <v>MURR</v>
      </c>
      <c r="H28" s="112">
        <f>VLOOKUP(C28,Purchased!A:Q,12,0)</f>
        <v>0</v>
      </c>
      <c r="I28" s="113"/>
      <c r="J28" s="44">
        <f>VLOOKUP(C28,Purchased!A:Q,13,0)</f>
        <v>45216</v>
      </c>
      <c r="K28" s="44">
        <f>VLOOKUP(C28,Purchased!A:Q,16,0)</f>
        <v>45226</v>
      </c>
      <c r="L28" s="44">
        <f>VLOOKUP(C28,Purchased!A:Q,15,0)</f>
        <v>45226</v>
      </c>
      <c r="M28" s="44">
        <f>VLOOKUP(C28,Purchased!A:Q,16,0)</f>
        <v>45226</v>
      </c>
      <c r="N28" s="45">
        <f>VLOOKUP(C28,Purchased!A:Q,17,0)</f>
        <v>55194</v>
      </c>
      <c r="O28" s="45" t="e">
        <f t="shared" ref="O28" ca="1" si="9">B28*$L$2</f>
        <v>#VALUE!</v>
      </c>
      <c r="P28" s="49">
        <f>IFERROR(VLOOKUP(C28,Purchased!A:E,3,FALSE),"")</f>
        <v>25</v>
      </c>
      <c r="Q28" s="50">
        <f t="shared" ref="Q28" si="10">IFERROR(B28*P28,"")</f>
        <v>25</v>
      </c>
    </row>
    <row r="29" spans="1:17" s="2" customFormat="1" ht="12.75" customHeight="1">
      <c r="A29" s="25"/>
      <c r="B29" s="26"/>
      <c r="C29" s="26"/>
      <c r="D29" s="272"/>
      <c r="E29" s="273"/>
      <c r="F29" s="26"/>
      <c r="G29" s="26"/>
      <c r="H29" s="274"/>
      <c r="I29" s="275"/>
      <c r="J29" s="27"/>
      <c r="K29" s="27"/>
      <c r="L29" s="27"/>
      <c r="M29" s="28"/>
      <c r="N29" s="29"/>
      <c r="O29" s="29" t="e">
        <f t="shared" ca="1" si="2"/>
        <v>#VALUE!</v>
      </c>
      <c r="P29" s="141"/>
      <c r="Q29" s="142"/>
    </row>
    <row r="30" spans="1:17" s="2" customFormat="1" ht="12.75" customHeight="1">
      <c r="A30" s="4">
        <v>501</v>
      </c>
      <c r="B30" s="2">
        <v>2</v>
      </c>
      <c r="C30" s="110" t="s">
        <v>826</v>
      </c>
      <c r="D30" s="268"/>
      <c r="E30" s="276"/>
      <c r="F30" s="112" t="str">
        <f>VLOOKUP(C30,Bolts!A:L,5,0)</f>
        <v xml:space="preserve">  </v>
      </c>
      <c r="G30" s="112" t="str">
        <f>VLOOKUP(C30,Bolts!A:L,6,0)</f>
        <v>Monroe Fasteners</v>
      </c>
      <c r="H30" s="112" t="str">
        <f>VLOOKUP(C30,Bolts!A:L,7,0)</f>
        <v xml:space="preserve">  </v>
      </c>
      <c r="I30" s="112"/>
      <c r="J30" s="44" t="str">
        <f>VLOOKUP(C30,Bolts!A:L,8,0)</f>
        <v xml:space="preserve"> </v>
      </c>
      <c r="K30" s="44" t="str">
        <f>VLOOKUP(C30,Bolts!A:L,9,0)</f>
        <v xml:space="preserve"> </v>
      </c>
      <c r="L30" s="44" t="str">
        <f>VLOOKUP(C30,Bolts!A:L,10,0)</f>
        <v xml:space="preserve"> </v>
      </c>
      <c r="M30" s="44" t="str">
        <f>VLOOKUP(C30,Bolts!A:L,11,0)</f>
        <v xml:space="preserve"> </v>
      </c>
      <c r="N30" s="45" t="str">
        <f>VLOOKUP(C30,Bolts!A:L,12,0)</f>
        <v xml:space="preserve"> </v>
      </c>
      <c r="O30" s="45" t="e">
        <f t="shared" ca="1" si="2"/>
        <v>#VALUE!</v>
      </c>
      <c r="P30" s="49" t="str">
        <f>IFERROR(VLOOKUP(C30,Bolts!A:B,2,FALSE),"")</f>
        <v xml:space="preserve"> </v>
      </c>
      <c r="Q30" s="50" t="str">
        <f t="shared" ref="Q30:Q35" si="11">IFERROR(B30*P30,"")</f>
        <v/>
      </c>
    </row>
    <row r="31" spans="1:17" s="2" customFormat="1" ht="12.75" customHeight="1">
      <c r="A31" s="4">
        <f t="shared" ref="A31:A40" si="12">A30+1</f>
        <v>502</v>
      </c>
      <c r="B31" s="2">
        <v>8</v>
      </c>
      <c r="C31" s="110" t="s">
        <v>827</v>
      </c>
      <c r="D31" s="268"/>
      <c r="E31" s="276"/>
      <c r="F31" s="112" t="str">
        <f>VLOOKUP(C31,Bolts!A:L,5,0)</f>
        <v xml:space="preserve">  </v>
      </c>
      <c r="G31" s="112" t="str">
        <f>VLOOKUP(C31,Bolts!A:L,6,0)</f>
        <v>Monroe Fasteners</v>
      </c>
      <c r="H31" s="112" t="str">
        <f>VLOOKUP(C31,Bolts!A:L,7,0)</f>
        <v xml:space="preserve">  </v>
      </c>
      <c r="I31" s="112"/>
      <c r="J31" s="44" t="str">
        <f>VLOOKUP(C31,Bolts!A:L,8,0)</f>
        <v xml:space="preserve"> </v>
      </c>
      <c r="K31" s="44" t="str">
        <f>VLOOKUP(C31,Bolts!A:L,9,0)</f>
        <v xml:space="preserve"> </v>
      </c>
      <c r="L31" s="44" t="str">
        <f>VLOOKUP(C31,Bolts!A:L,10,0)</f>
        <v xml:space="preserve"> </v>
      </c>
      <c r="M31" s="44" t="str">
        <f>VLOOKUP(C31,Bolts!A:L,11,0)</f>
        <v xml:space="preserve"> </v>
      </c>
      <c r="N31" s="45" t="str">
        <f>VLOOKUP(C31,Bolts!A:L,12,0)</f>
        <v xml:space="preserve"> </v>
      </c>
      <c r="O31" s="45" t="e">
        <f t="shared" ca="1" si="2"/>
        <v>#VALUE!</v>
      </c>
      <c r="P31" s="49" t="str">
        <f>IFERROR(VLOOKUP(C31,Bolts!A:B,2,FALSE),"")</f>
        <v xml:space="preserve"> </v>
      </c>
      <c r="Q31" s="50" t="str">
        <f t="shared" si="11"/>
        <v/>
      </c>
    </row>
    <row r="32" spans="1:17" s="2" customFormat="1" ht="12" customHeight="1">
      <c r="A32" s="4">
        <f t="shared" si="12"/>
        <v>503</v>
      </c>
      <c r="B32" s="2">
        <v>4</v>
      </c>
      <c r="C32" s="110" t="s">
        <v>450</v>
      </c>
      <c r="D32" s="268"/>
      <c r="E32" s="276"/>
      <c r="F32" s="112" t="str">
        <f>VLOOKUP(C32,Bolts!A:L,5,0)</f>
        <v xml:space="preserve">  </v>
      </c>
      <c r="G32" s="112" t="str">
        <f>VLOOKUP(C32,Bolts!A:L,6,0)</f>
        <v>Monroe Fasteners</v>
      </c>
      <c r="H32" s="112" t="str">
        <f>VLOOKUP(C32,Bolts!A:L,7,0)</f>
        <v xml:space="preserve">  </v>
      </c>
      <c r="I32" s="112"/>
      <c r="J32" s="44" t="str">
        <f>VLOOKUP(C32,Bolts!A:L,8,0)</f>
        <v xml:space="preserve"> </v>
      </c>
      <c r="K32" s="44" t="str">
        <f>VLOOKUP(C32,Bolts!A:L,9,0)</f>
        <v xml:space="preserve"> </v>
      </c>
      <c r="L32" s="44" t="str">
        <f>VLOOKUP(C32,Bolts!A:L,10,0)</f>
        <v xml:space="preserve"> </v>
      </c>
      <c r="M32" s="44" t="str">
        <f>VLOOKUP(C32,Bolts!A:L,11,0)</f>
        <v xml:space="preserve"> </v>
      </c>
      <c r="N32" s="45" t="str">
        <f>VLOOKUP(C32,Bolts!A:L,12,0)</f>
        <v xml:space="preserve"> </v>
      </c>
      <c r="O32" s="45" t="e">
        <f t="shared" ca="1" si="2"/>
        <v>#VALUE!</v>
      </c>
      <c r="P32" s="49" t="str">
        <f>IFERROR(VLOOKUP(C32,Bolts!A:B,2,FALSE),"")</f>
        <v xml:space="preserve"> </v>
      </c>
      <c r="Q32" s="50" t="str">
        <f t="shared" si="11"/>
        <v/>
      </c>
    </row>
    <row r="33" spans="1:17" s="2" customFormat="1" ht="12" customHeight="1">
      <c r="A33" s="4">
        <f t="shared" si="12"/>
        <v>504</v>
      </c>
      <c r="B33" s="2">
        <v>4</v>
      </c>
      <c r="C33" s="110" t="s">
        <v>452</v>
      </c>
      <c r="D33" s="268"/>
      <c r="E33" s="276"/>
      <c r="F33" s="112" t="str">
        <f>VLOOKUP(C33,Bolts!A:L,5,0)</f>
        <v xml:space="preserve">  </v>
      </c>
      <c r="G33" s="112" t="str">
        <f>VLOOKUP(C33,Bolts!A:L,6,0)</f>
        <v>Monroe Fasteners</v>
      </c>
      <c r="H33" s="112" t="str">
        <f>VLOOKUP(C33,Bolts!A:L,7,0)</f>
        <v xml:space="preserve">  </v>
      </c>
      <c r="I33" s="112"/>
      <c r="J33" s="44" t="str">
        <f>VLOOKUP(C33,Bolts!A:L,8,0)</f>
        <v xml:space="preserve"> </v>
      </c>
      <c r="K33" s="44" t="str">
        <f>VLOOKUP(C33,Bolts!A:L,9,0)</f>
        <v xml:space="preserve"> </v>
      </c>
      <c r="L33" s="44" t="str">
        <f>VLOOKUP(C33,Bolts!A:L,10,0)</f>
        <v xml:space="preserve"> </v>
      </c>
      <c r="M33" s="44" t="str">
        <f>VLOOKUP(C33,Bolts!A:L,11,0)</f>
        <v xml:space="preserve"> </v>
      </c>
      <c r="N33" s="45" t="str">
        <f>VLOOKUP(C33,Bolts!A:L,12,0)</f>
        <v xml:space="preserve"> </v>
      </c>
      <c r="O33" s="45" t="e">
        <f t="shared" ca="1" si="2"/>
        <v>#VALUE!</v>
      </c>
      <c r="P33" s="49" t="str">
        <f>IFERROR(VLOOKUP(C33,Bolts!A:B,2,FALSE),"")</f>
        <v xml:space="preserve"> </v>
      </c>
      <c r="Q33" s="50" t="str">
        <f t="shared" si="11"/>
        <v/>
      </c>
    </row>
    <row r="34" spans="1:17" s="2" customFormat="1" ht="12" customHeight="1">
      <c r="A34" s="4">
        <f t="shared" si="12"/>
        <v>505</v>
      </c>
      <c r="B34" s="2">
        <v>8</v>
      </c>
      <c r="C34" s="110" t="s">
        <v>540</v>
      </c>
      <c r="D34" s="268"/>
      <c r="E34" s="276"/>
      <c r="F34" s="112" t="str">
        <f>VLOOKUP(C34,Bolts!A:L,5,0)</f>
        <v xml:space="preserve">  </v>
      </c>
      <c r="G34" s="112" t="str">
        <f>VLOOKUP(C34,Bolts!A:L,6,0)</f>
        <v>Monroe Fasteners</v>
      </c>
      <c r="H34" s="112" t="str">
        <f>VLOOKUP(C34,Bolts!A:L,7,0)</f>
        <v xml:space="preserve">  </v>
      </c>
      <c r="I34" s="112"/>
      <c r="J34" s="44" t="str">
        <f>VLOOKUP(C34,Bolts!A:L,8,0)</f>
        <v xml:space="preserve"> </v>
      </c>
      <c r="K34" s="44" t="str">
        <f>VLOOKUP(C34,Bolts!A:L,9,0)</f>
        <v xml:space="preserve"> </v>
      </c>
      <c r="L34" s="44" t="str">
        <f>VLOOKUP(C34,Bolts!A:L,10,0)</f>
        <v xml:space="preserve"> </v>
      </c>
      <c r="M34" s="44" t="str">
        <f>VLOOKUP(C34,Bolts!A:L,11,0)</f>
        <v xml:space="preserve"> </v>
      </c>
      <c r="N34" s="45" t="str">
        <f>VLOOKUP(C34,Bolts!A:L,12,0)</f>
        <v xml:space="preserve"> </v>
      </c>
      <c r="O34" s="45" t="e">
        <f t="shared" ca="1" si="2"/>
        <v>#VALUE!</v>
      </c>
      <c r="P34" s="49" t="str">
        <f>IFERROR(VLOOKUP(C34,Bolts!A:B,2,FALSE),"")</f>
        <v xml:space="preserve"> </v>
      </c>
      <c r="Q34" s="50" t="str">
        <f t="shared" si="11"/>
        <v/>
      </c>
    </row>
    <row r="35" spans="1:17" s="2" customFormat="1" ht="12" customHeight="1">
      <c r="A35" s="4">
        <f t="shared" si="12"/>
        <v>506</v>
      </c>
      <c r="B35" s="2">
        <v>13</v>
      </c>
      <c r="C35" s="110" t="s">
        <v>828</v>
      </c>
      <c r="D35" s="268"/>
      <c r="E35" s="276"/>
      <c r="F35" s="112" t="str">
        <f>VLOOKUP(C35,Bolts!A:L,5,0)</f>
        <v xml:space="preserve">  </v>
      </c>
      <c r="G35" s="112" t="str">
        <f>VLOOKUP(C35,Bolts!A:L,6,0)</f>
        <v>Monroe Fasteners</v>
      </c>
      <c r="H35" s="112" t="str">
        <f>VLOOKUP(C35,Bolts!A:L,7,0)</f>
        <v xml:space="preserve">  </v>
      </c>
      <c r="I35" s="112"/>
      <c r="J35" s="44" t="str">
        <f>VLOOKUP(C35,Bolts!A:L,8,0)</f>
        <v xml:space="preserve"> </v>
      </c>
      <c r="K35" s="44" t="str">
        <f>VLOOKUP(C35,Bolts!A:L,9,0)</f>
        <v xml:space="preserve"> </v>
      </c>
      <c r="L35" s="44" t="str">
        <f>VLOOKUP(C35,Bolts!A:L,10,0)</f>
        <v xml:space="preserve"> </v>
      </c>
      <c r="M35" s="44" t="str">
        <f>VLOOKUP(C35,Bolts!A:L,11,0)</f>
        <v xml:space="preserve"> </v>
      </c>
      <c r="N35" s="45" t="str">
        <f>VLOOKUP(C35,Bolts!A:L,12,0)</f>
        <v xml:space="preserve"> </v>
      </c>
      <c r="O35" s="45" t="e">
        <f t="shared" ca="1" si="2"/>
        <v>#VALUE!</v>
      </c>
      <c r="P35" s="49" t="str">
        <f>IFERROR(VLOOKUP(C35,Bolts!A:B,2,FALSE),"")</f>
        <v xml:space="preserve"> </v>
      </c>
      <c r="Q35" s="50" t="str">
        <f t="shared" si="11"/>
        <v/>
      </c>
    </row>
    <row r="36" spans="1:17" s="2" customFormat="1" ht="12.75" customHeight="1">
      <c r="A36" s="4">
        <f t="shared" si="12"/>
        <v>507</v>
      </c>
      <c r="B36" s="2">
        <v>4</v>
      </c>
      <c r="C36" s="110" t="s">
        <v>829</v>
      </c>
      <c r="D36" s="268"/>
      <c r="E36" s="276"/>
      <c r="F36" s="112" t="str">
        <f>VLOOKUP(C36,Bolts!A:L,5,0)</f>
        <v xml:space="preserve">  </v>
      </c>
      <c r="G36" s="112" t="str">
        <f>VLOOKUP(C36,Bolts!A:L,6,0)</f>
        <v>Monroe Fasteners</v>
      </c>
      <c r="H36" s="112" t="str">
        <f>VLOOKUP(C36,Bolts!A:L,7,0)</f>
        <v xml:space="preserve">  </v>
      </c>
      <c r="I36" s="112"/>
      <c r="J36" s="44" t="str">
        <f>VLOOKUP(C36,Bolts!A:L,8,0)</f>
        <v xml:space="preserve"> </v>
      </c>
      <c r="K36" s="44" t="str">
        <f>VLOOKUP(C36,Bolts!A:L,9,0)</f>
        <v xml:space="preserve"> </v>
      </c>
      <c r="L36" s="44" t="str">
        <f>VLOOKUP(C36,Bolts!A:L,10,0)</f>
        <v xml:space="preserve"> </v>
      </c>
      <c r="M36" s="44" t="str">
        <f>VLOOKUP(C36,Bolts!A:L,11,0)</f>
        <v xml:space="preserve"> </v>
      </c>
      <c r="N36" s="45" t="str">
        <f>VLOOKUP(C36,Bolts!A:L,12,0)</f>
        <v xml:space="preserve"> </v>
      </c>
      <c r="O36" s="45" t="e">
        <f t="shared" ref="O36:O38" ca="1" si="13">B36*$L$2</f>
        <v>#VALUE!</v>
      </c>
      <c r="P36" s="49" t="str">
        <f>IFERROR(VLOOKUP(C36,Bolts!A:B,2,FALSE),"")</f>
        <v xml:space="preserve"> </v>
      </c>
      <c r="Q36" s="50" t="str">
        <f t="shared" ref="Q36:Q38" si="14">IFERROR(B36*P36,"")</f>
        <v/>
      </c>
    </row>
    <row r="37" spans="1:17" s="2" customFormat="1" ht="12.75" customHeight="1">
      <c r="A37" s="4">
        <f t="shared" si="12"/>
        <v>508</v>
      </c>
      <c r="B37" s="2">
        <v>4</v>
      </c>
      <c r="C37" s="110" t="s">
        <v>830</v>
      </c>
      <c r="D37" s="268"/>
      <c r="E37" s="276"/>
      <c r="F37" s="112" t="str">
        <f>VLOOKUP(C37,Bolts!A:L,5,0)</f>
        <v xml:space="preserve">  </v>
      </c>
      <c r="G37" s="112" t="str">
        <f>VLOOKUP(C37,Bolts!A:L,6,0)</f>
        <v>Monroe Fasteners</v>
      </c>
      <c r="H37" s="112" t="str">
        <f>VLOOKUP(C37,Bolts!A:L,7,0)</f>
        <v xml:space="preserve">  </v>
      </c>
      <c r="I37" s="112"/>
      <c r="J37" s="44" t="str">
        <f>VLOOKUP(C37,Bolts!A:L,8,0)</f>
        <v xml:space="preserve"> </v>
      </c>
      <c r="K37" s="44" t="str">
        <f>VLOOKUP(C37,Bolts!A:L,9,0)</f>
        <v xml:space="preserve"> </v>
      </c>
      <c r="L37" s="44" t="str">
        <f>VLOOKUP(C37,Bolts!A:L,10,0)</f>
        <v xml:space="preserve"> </v>
      </c>
      <c r="M37" s="44" t="str">
        <f>VLOOKUP(C37,Bolts!A:L,11,0)</f>
        <v xml:space="preserve"> </v>
      </c>
      <c r="N37" s="45" t="str">
        <f>VLOOKUP(C37,Bolts!A:L,12,0)</f>
        <v xml:space="preserve"> </v>
      </c>
      <c r="O37" s="45" t="e">
        <f t="shared" ca="1" si="13"/>
        <v>#VALUE!</v>
      </c>
      <c r="P37" s="49" t="str">
        <f>IFERROR(VLOOKUP(C37,Bolts!A:B,2,FALSE),"")</f>
        <v xml:space="preserve"> </v>
      </c>
      <c r="Q37" s="50" t="str">
        <f t="shared" si="14"/>
        <v/>
      </c>
    </row>
    <row r="38" spans="1:17" s="2" customFormat="1" ht="12" customHeight="1">
      <c r="A38" s="4">
        <f t="shared" si="12"/>
        <v>509</v>
      </c>
      <c r="B38" s="2">
        <v>4</v>
      </c>
      <c r="C38" s="110" t="s">
        <v>831</v>
      </c>
      <c r="D38" s="268"/>
      <c r="E38" s="276"/>
      <c r="F38" s="112" t="str">
        <f>VLOOKUP(C38,Bolts!A:L,5,0)</f>
        <v xml:space="preserve">  </v>
      </c>
      <c r="G38" s="112" t="str">
        <f>VLOOKUP(C38,Bolts!A:L,6,0)</f>
        <v>Monroe Fasteners</v>
      </c>
      <c r="H38" s="112" t="str">
        <f>VLOOKUP(C38,Bolts!A:L,7,0)</f>
        <v xml:space="preserve">  </v>
      </c>
      <c r="I38" s="112"/>
      <c r="J38" s="44" t="str">
        <f>VLOOKUP(C38,Bolts!A:L,8,0)</f>
        <v xml:space="preserve"> </v>
      </c>
      <c r="K38" s="44" t="str">
        <f>VLOOKUP(C38,Bolts!A:L,9,0)</f>
        <v xml:space="preserve"> </v>
      </c>
      <c r="L38" s="44" t="str">
        <f>VLOOKUP(C38,Bolts!A:L,10,0)</f>
        <v xml:space="preserve"> </v>
      </c>
      <c r="M38" s="44" t="str">
        <f>VLOOKUP(C38,Bolts!A:L,11,0)</f>
        <v xml:space="preserve"> </v>
      </c>
      <c r="N38" s="45" t="str">
        <f>VLOOKUP(C38,Bolts!A:L,12,0)</f>
        <v xml:space="preserve"> </v>
      </c>
      <c r="O38" s="45" t="e">
        <f t="shared" ca="1" si="13"/>
        <v>#VALUE!</v>
      </c>
      <c r="P38" s="49" t="str">
        <f>IFERROR(VLOOKUP(C38,Bolts!A:B,2,FALSE),"")</f>
        <v xml:space="preserve"> </v>
      </c>
      <c r="Q38" s="50" t="str">
        <f t="shared" si="14"/>
        <v/>
      </c>
    </row>
    <row r="39" spans="1:17" s="2" customFormat="1" ht="12" customHeight="1">
      <c r="A39" s="4">
        <f t="shared" si="12"/>
        <v>510</v>
      </c>
      <c r="B39" s="2">
        <v>13</v>
      </c>
      <c r="C39" s="110" t="s">
        <v>595</v>
      </c>
      <c r="D39" s="268"/>
      <c r="E39" s="276"/>
      <c r="F39" s="112" t="str">
        <f>VLOOKUP(C39,Bolts!A:L,5,0)</f>
        <v xml:space="preserve">  </v>
      </c>
      <c r="G39" s="112" t="str">
        <f>VLOOKUP(C39,Bolts!A:L,6,0)</f>
        <v>Monroe Fasteners</v>
      </c>
      <c r="H39" s="112" t="str">
        <f>VLOOKUP(C39,Bolts!A:L,7,0)</f>
        <v xml:space="preserve">  </v>
      </c>
      <c r="I39" s="112"/>
      <c r="J39" s="44" t="str">
        <f>VLOOKUP(C39,Bolts!A:L,8,0)</f>
        <v xml:space="preserve"> </v>
      </c>
      <c r="K39" s="44" t="str">
        <f>VLOOKUP(C39,Bolts!A:L,9,0)</f>
        <v xml:space="preserve"> </v>
      </c>
      <c r="L39" s="44" t="str">
        <f>VLOOKUP(C39,Bolts!A:L,10,0)</f>
        <v xml:space="preserve"> </v>
      </c>
      <c r="M39" s="44" t="str">
        <f>VLOOKUP(C39,Bolts!A:L,11,0)</f>
        <v xml:space="preserve"> </v>
      </c>
      <c r="N39" s="45" t="str">
        <f>VLOOKUP(C39,Bolts!A:L,12,0)</f>
        <v xml:space="preserve"> </v>
      </c>
      <c r="O39" s="45" t="e">
        <f t="shared" ref="O39:O40" ca="1" si="15">B39*$L$2</f>
        <v>#VALUE!</v>
      </c>
      <c r="P39" s="49" t="str">
        <f>IFERROR(VLOOKUP(C39,Bolts!A:B,2,FALSE),"")</f>
        <v xml:space="preserve"> </v>
      </c>
      <c r="Q39" s="50" t="str">
        <f t="shared" ref="Q39:Q40" si="16">IFERROR(B39*P39,"")</f>
        <v/>
      </c>
    </row>
    <row r="40" spans="1:17" s="2" customFormat="1" ht="12" customHeight="1" thickBot="1">
      <c r="A40" s="4">
        <f t="shared" si="12"/>
        <v>511</v>
      </c>
      <c r="B40" s="2">
        <v>4</v>
      </c>
      <c r="C40" s="110" t="s">
        <v>515</v>
      </c>
      <c r="D40" s="268"/>
      <c r="E40" s="276"/>
      <c r="F40" s="112" t="str">
        <f>VLOOKUP(C40,Bolts!A:L,5,0)</f>
        <v xml:space="preserve">  </v>
      </c>
      <c r="G40" s="112" t="str">
        <f>VLOOKUP(C40,Bolts!A:L,6,0)</f>
        <v>Monroe Fasteners</v>
      </c>
      <c r="H40" s="112" t="str">
        <f>VLOOKUP(C40,Bolts!A:L,7,0)</f>
        <v xml:space="preserve">  </v>
      </c>
      <c r="I40" s="112"/>
      <c r="J40" s="44" t="str">
        <f>VLOOKUP(C40,Bolts!A:L,8,0)</f>
        <v xml:space="preserve"> </v>
      </c>
      <c r="K40" s="44" t="str">
        <f>VLOOKUP(C40,Bolts!A:L,9,0)</f>
        <v xml:space="preserve"> </v>
      </c>
      <c r="L40" s="44" t="str">
        <f>VLOOKUP(C40,Bolts!A:L,10,0)</f>
        <v xml:space="preserve"> </v>
      </c>
      <c r="M40" s="44" t="str">
        <f>VLOOKUP(C40,Bolts!A:L,11,0)</f>
        <v xml:space="preserve"> </v>
      </c>
      <c r="N40" s="45" t="str">
        <f>VLOOKUP(C40,Bolts!A:L,12,0)</f>
        <v xml:space="preserve"> </v>
      </c>
      <c r="O40" s="45" t="e">
        <f t="shared" ca="1" si="15"/>
        <v>#VALUE!</v>
      </c>
      <c r="P40" s="49" t="str">
        <f>IFERROR(VLOOKUP(C40,Bolts!A:B,2,FALSE),"")</f>
        <v xml:space="preserve"> </v>
      </c>
      <c r="Q40" s="50" t="str">
        <f t="shared" si="16"/>
        <v/>
      </c>
    </row>
    <row r="41" spans="1:17" s="2" customFormat="1" ht="12.75" customHeight="1" thickBot="1">
      <c r="A41" s="25"/>
      <c r="B41" s="26"/>
      <c r="C41" s="26"/>
      <c r="D41" s="272"/>
      <c r="E41" s="273"/>
      <c r="F41" s="26"/>
      <c r="G41" s="26"/>
      <c r="H41" s="274"/>
      <c r="I41" s="275"/>
      <c r="J41" s="27"/>
      <c r="K41" s="27"/>
      <c r="L41" s="27"/>
      <c r="M41" s="28"/>
      <c r="N41" s="29"/>
      <c r="O41" s="29"/>
      <c r="P41" s="89" t="s">
        <v>43</v>
      </c>
      <c r="Q41" s="94">
        <f>SUM(Q5:Q38)</f>
        <v>2095.3275000000003</v>
      </c>
    </row>
    <row r="42" spans="1:17" s="2" customFormat="1" ht="12" customHeight="1">
      <c r="D42" s="22"/>
      <c r="E42" s="22"/>
      <c r="J42" s="8"/>
      <c r="K42" s="8"/>
      <c r="L42" s="8"/>
      <c r="M42" s="8"/>
      <c r="N42" s="5"/>
      <c r="O42" s="5"/>
      <c r="P42" s="88"/>
      <c r="Q42" s="95"/>
    </row>
    <row r="43" spans="1:17" s="2" customFormat="1" ht="12" customHeight="1">
      <c r="D43" s="22"/>
      <c r="E43" s="22"/>
      <c r="J43" s="5"/>
      <c r="K43" s="5"/>
      <c r="L43" s="5"/>
      <c r="M43" s="5"/>
      <c r="N43" s="5"/>
      <c r="O43" s="5"/>
      <c r="P43" s="88"/>
      <c r="Q43" s="95"/>
    </row>
    <row r="44" spans="1:17" s="2" customFormat="1" ht="12" customHeight="1">
      <c r="B44" s="22"/>
      <c r="G44" s="5"/>
      <c r="H44" s="5"/>
      <c r="I44" s="5"/>
      <c r="J44" s="5"/>
      <c r="K44" s="5"/>
      <c r="L44" s="5"/>
      <c r="M44" s="88"/>
      <c r="N44" s="95"/>
    </row>
    <row r="45" spans="1:17" s="2" customFormat="1" ht="12" customHeight="1">
      <c r="B45" s="22"/>
      <c r="G45" s="5"/>
      <c r="H45" s="5"/>
      <c r="I45" s="5"/>
      <c r="J45" s="5"/>
      <c r="K45" s="5"/>
      <c r="L45" s="5"/>
      <c r="M45" s="88"/>
      <c r="N45" s="95"/>
    </row>
    <row r="46" spans="1:17" s="2" customFormat="1" ht="12" customHeight="1">
      <c r="B46" s="22"/>
      <c r="G46" s="5"/>
      <c r="H46" s="5"/>
      <c r="I46" s="5"/>
      <c r="J46" s="5"/>
      <c r="K46" s="5"/>
      <c r="L46" s="5"/>
      <c r="M46" s="88"/>
      <c r="N46" s="95"/>
    </row>
    <row r="47" spans="1:17" s="2" customFormat="1" ht="12" customHeight="1">
      <c r="B47" s="22"/>
      <c r="G47" s="5"/>
      <c r="H47" s="5"/>
      <c r="I47" s="5"/>
      <c r="J47" s="5"/>
      <c r="K47" s="5"/>
      <c r="L47" s="5"/>
      <c r="M47" s="88"/>
      <c r="N47" s="95"/>
    </row>
    <row r="48" spans="1:17" s="2" customFormat="1" ht="12" customHeight="1">
      <c r="B48" s="22"/>
      <c r="G48" s="5"/>
      <c r="H48" s="5"/>
      <c r="I48" s="5"/>
      <c r="J48" s="5"/>
      <c r="K48" s="5"/>
      <c r="L48" s="5"/>
      <c r="M48" s="88"/>
      <c r="N48" s="95"/>
    </row>
    <row r="49" spans="2:17" s="2" customFormat="1" ht="12" customHeight="1">
      <c r="B49" s="22"/>
      <c r="G49" s="5"/>
      <c r="H49" s="5"/>
      <c r="I49" s="5"/>
      <c r="J49" s="5"/>
      <c r="K49" s="5"/>
      <c r="L49" s="5"/>
      <c r="M49" s="88"/>
      <c r="N49" s="95"/>
    </row>
    <row r="50" spans="2:17" s="2" customFormat="1" ht="12" customHeight="1">
      <c r="B50" s="22"/>
      <c r="G50" s="5"/>
      <c r="H50" s="5"/>
      <c r="I50" s="5"/>
      <c r="J50" s="5"/>
      <c r="K50" s="5"/>
      <c r="L50" s="5"/>
      <c r="M50" s="88"/>
      <c r="N50" s="95"/>
    </row>
    <row r="51" spans="2:17" s="2" customFormat="1" ht="12" customHeight="1">
      <c r="B51" s="22"/>
      <c r="G51" s="5"/>
      <c r="H51" s="5"/>
      <c r="I51" s="5"/>
      <c r="J51" s="5"/>
      <c r="K51" s="5"/>
      <c r="L51" s="5"/>
      <c r="M51" s="88"/>
      <c r="N51" s="95"/>
    </row>
    <row r="52" spans="2:17" s="2" customFormat="1" ht="12" customHeight="1">
      <c r="B52" s="22"/>
      <c r="G52" s="5"/>
      <c r="H52" s="5"/>
      <c r="I52" s="5"/>
      <c r="J52" s="5"/>
      <c r="K52" s="5"/>
      <c r="L52" s="5"/>
      <c r="M52" s="88"/>
      <c r="N52" s="95"/>
    </row>
    <row r="53" spans="2:17" s="2" customFormat="1" ht="12" customHeight="1">
      <c r="B53" s="22"/>
      <c r="G53" s="5"/>
      <c r="H53" s="5"/>
      <c r="I53" s="5"/>
      <c r="J53" s="5"/>
      <c r="K53" s="5"/>
      <c r="L53" s="5"/>
      <c r="M53" s="88"/>
      <c r="N53" s="95"/>
    </row>
    <row r="54" spans="2:17" s="2" customFormat="1" ht="12" customHeight="1">
      <c r="B54" s="22"/>
      <c r="G54" s="5"/>
      <c r="H54" s="5"/>
      <c r="I54" s="5"/>
      <c r="J54" s="5"/>
      <c r="K54" s="5"/>
      <c r="L54" s="5"/>
      <c r="M54" s="88"/>
      <c r="N54" s="95"/>
    </row>
    <row r="55" spans="2:17" s="2" customFormat="1" ht="12" customHeight="1">
      <c r="B55" s="22"/>
      <c r="G55" s="5"/>
      <c r="H55" s="5"/>
      <c r="I55" s="5"/>
      <c r="J55" s="5"/>
      <c r="K55" s="5"/>
      <c r="L55" s="5"/>
      <c r="M55" s="88"/>
      <c r="N55" s="95"/>
    </row>
    <row r="56" spans="2:17" s="2" customFormat="1" ht="12" customHeight="1">
      <c r="D56" s="22"/>
      <c r="E56" s="22"/>
      <c r="J56" s="5"/>
      <c r="K56" s="5"/>
      <c r="L56" s="5"/>
      <c r="M56" s="5"/>
      <c r="N56" s="5"/>
      <c r="O56" s="5"/>
      <c r="P56" s="88"/>
      <c r="Q56" s="95"/>
    </row>
    <row r="57" spans="2:17" s="2" customFormat="1" ht="12" customHeight="1">
      <c r="D57" s="22"/>
      <c r="E57" s="22"/>
      <c r="J57" s="5"/>
      <c r="K57" s="5"/>
      <c r="L57" s="5"/>
      <c r="M57" s="5"/>
      <c r="N57" s="5"/>
      <c r="O57" s="5"/>
      <c r="P57" s="88"/>
      <c r="Q57" s="95"/>
    </row>
    <row r="58" spans="2:17" s="2" customFormat="1" ht="12" customHeight="1">
      <c r="D58" s="22"/>
      <c r="E58" s="22"/>
      <c r="J58" s="5"/>
      <c r="K58" s="5"/>
      <c r="L58" s="5"/>
      <c r="M58" s="5"/>
      <c r="N58" s="5"/>
      <c r="O58" s="5"/>
      <c r="P58" s="88"/>
      <c r="Q58" s="95"/>
    </row>
    <row r="59" spans="2:17" s="2" customFormat="1" ht="12" customHeight="1">
      <c r="D59" s="22"/>
      <c r="E59" s="22"/>
      <c r="J59" s="5"/>
      <c r="K59" s="5"/>
      <c r="L59" s="5"/>
      <c r="M59" s="5"/>
      <c r="N59" s="5"/>
      <c r="O59" s="5"/>
      <c r="P59" s="88"/>
      <c r="Q59" s="95"/>
    </row>
    <row r="60" spans="2:17" s="2" customFormat="1" ht="12" customHeight="1">
      <c r="D60" s="22"/>
      <c r="E60" s="22"/>
      <c r="J60" s="5"/>
      <c r="K60" s="5"/>
      <c r="L60" s="5"/>
      <c r="M60" s="5"/>
      <c r="N60" s="5"/>
      <c r="O60" s="5"/>
      <c r="P60" s="88"/>
      <c r="Q60" s="95"/>
    </row>
    <row r="61" spans="2:17" s="2" customFormat="1" ht="12" customHeight="1">
      <c r="D61" s="22"/>
      <c r="E61" s="22"/>
      <c r="J61" s="5"/>
      <c r="K61" s="5"/>
      <c r="L61" s="5"/>
      <c r="M61" s="5"/>
      <c r="N61" s="5"/>
      <c r="O61" s="5"/>
      <c r="P61" s="88"/>
      <c r="Q61" s="95"/>
    </row>
    <row r="62" spans="2:17" s="2" customFormat="1" ht="12" customHeight="1">
      <c r="D62" s="22"/>
      <c r="E62" s="22"/>
      <c r="J62" s="5"/>
      <c r="K62" s="5"/>
      <c r="L62" s="5"/>
      <c r="M62" s="5"/>
      <c r="N62" s="5"/>
      <c r="O62" s="5"/>
      <c r="P62" s="88"/>
      <c r="Q62" s="95"/>
    </row>
    <row r="63" spans="2:17" s="2" customFormat="1" ht="12" customHeight="1">
      <c r="D63" s="22"/>
      <c r="E63" s="22"/>
      <c r="J63" s="5"/>
      <c r="K63" s="5"/>
      <c r="L63" s="5"/>
      <c r="M63" s="5"/>
      <c r="N63" s="5"/>
      <c r="O63" s="5"/>
      <c r="P63" s="88"/>
      <c r="Q63" s="95"/>
    </row>
    <row r="64" spans="2:17" s="2" customFormat="1" ht="12" customHeight="1">
      <c r="D64" s="22"/>
      <c r="E64" s="22"/>
      <c r="J64" s="5"/>
      <c r="K64" s="5"/>
      <c r="L64" s="5"/>
      <c r="M64" s="5"/>
      <c r="N64" s="5"/>
      <c r="O64" s="5"/>
      <c r="P64" s="88"/>
      <c r="Q64" s="95"/>
    </row>
    <row r="65" spans="4:17" s="2" customFormat="1" ht="12" customHeight="1">
      <c r="D65" s="22"/>
      <c r="E65" s="22"/>
      <c r="J65" s="5"/>
      <c r="K65" s="5"/>
      <c r="L65" s="5"/>
      <c r="M65" s="5"/>
      <c r="N65" s="5"/>
      <c r="O65" s="5"/>
      <c r="P65" s="88"/>
      <c r="Q65" s="95"/>
    </row>
    <row r="66" spans="4:17" s="2" customFormat="1" ht="12" customHeight="1">
      <c r="D66" s="22"/>
      <c r="E66" s="22"/>
      <c r="J66" s="5"/>
      <c r="K66" s="5"/>
      <c r="L66" s="5"/>
      <c r="M66" s="5"/>
      <c r="N66" s="5"/>
      <c r="O66" s="5"/>
      <c r="P66" s="88"/>
      <c r="Q66" s="95"/>
    </row>
    <row r="67" spans="4:17" s="2" customFormat="1" ht="12" customHeight="1">
      <c r="D67" s="22"/>
      <c r="E67" s="22"/>
      <c r="J67" s="5"/>
      <c r="K67" s="5"/>
      <c r="L67" s="5"/>
      <c r="M67" s="5"/>
      <c r="N67" s="5"/>
      <c r="O67" s="5"/>
      <c r="P67" s="88"/>
      <c r="Q67" s="95"/>
    </row>
    <row r="68" spans="4:17" s="2" customFormat="1" ht="12" customHeight="1">
      <c r="D68" s="22"/>
      <c r="E68" s="22"/>
      <c r="J68" s="5"/>
      <c r="K68" s="5"/>
      <c r="L68" s="5"/>
      <c r="M68" s="5"/>
      <c r="N68" s="5"/>
      <c r="O68" s="5"/>
      <c r="P68" s="88"/>
      <c r="Q68" s="95"/>
    </row>
    <row r="69" spans="4:17" s="2" customFormat="1" ht="12" customHeight="1">
      <c r="D69" s="22"/>
      <c r="E69" s="22"/>
      <c r="J69" s="5"/>
      <c r="K69" s="5"/>
      <c r="L69" s="5"/>
      <c r="M69" s="5"/>
      <c r="N69" s="5"/>
      <c r="O69" s="5"/>
      <c r="P69" s="88"/>
      <c r="Q69" s="95"/>
    </row>
    <row r="70" spans="4:17" s="2" customFormat="1" ht="12" customHeight="1">
      <c r="D70" s="22"/>
      <c r="E70" s="22"/>
      <c r="J70" s="5"/>
      <c r="K70" s="5"/>
      <c r="L70" s="5"/>
      <c r="M70" s="5"/>
      <c r="N70" s="5"/>
      <c r="O70" s="5"/>
      <c r="P70" s="88"/>
      <c r="Q70" s="95"/>
    </row>
    <row r="71" spans="4:17" s="2" customFormat="1" ht="12" customHeight="1">
      <c r="D71" s="22"/>
      <c r="E71" s="22"/>
      <c r="J71" s="5"/>
      <c r="K71" s="5"/>
      <c r="L71" s="5"/>
      <c r="M71" s="5"/>
      <c r="N71" s="5"/>
      <c r="O71" s="5"/>
      <c r="P71" s="88"/>
      <c r="Q71" s="95"/>
    </row>
    <row r="72" spans="4:17" s="2" customFormat="1" ht="12" customHeight="1">
      <c r="D72" s="22"/>
      <c r="E72" s="22"/>
      <c r="J72" s="5"/>
      <c r="K72" s="5"/>
      <c r="L72" s="5"/>
      <c r="M72" s="5"/>
      <c r="N72" s="5"/>
      <c r="O72" s="5"/>
      <c r="P72" s="88"/>
      <c r="Q72" s="95"/>
    </row>
    <row r="73" spans="4:17" s="2" customFormat="1" ht="12" customHeight="1">
      <c r="D73" s="22"/>
      <c r="E73" s="22"/>
      <c r="J73" s="5"/>
      <c r="K73" s="5"/>
      <c r="L73" s="5"/>
      <c r="M73" s="5"/>
      <c r="N73" s="5"/>
      <c r="O73" s="5"/>
      <c r="P73" s="88"/>
      <c r="Q73" s="95"/>
    </row>
    <row r="74" spans="4:17" s="2" customFormat="1" ht="12" customHeight="1">
      <c r="D74" s="22"/>
      <c r="E74" s="22"/>
      <c r="J74" s="5"/>
      <c r="K74" s="5"/>
      <c r="L74" s="5"/>
      <c r="M74" s="5"/>
      <c r="N74" s="5"/>
      <c r="O74" s="5"/>
      <c r="P74" s="88"/>
      <c r="Q74" s="95"/>
    </row>
    <row r="75" spans="4:17" s="2" customFormat="1" ht="12" customHeight="1">
      <c r="D75" s="22"/>
      <c r="E75" s="22"/>
      <c r="J75" s="5"/>
      <c r="K75" s="5"/>
      <c r="L75" s="5"/>
      <c r="M75" s="5"/>
      <c r="N75" s="5"/>
      <c r="O75" s="5"/>
      <c r="P75" s="88"/>
      <c r="Q75" s="95"/>
    </row>
    <row r="76" spans="4:17" s="2" customFormat="1" ht="12" customHeight="1">
      <c r="D76" s="22"/>
      <c r="E76" s="22"/>
      <c r="J76" s="5"/>
      <c r="K76" s="5"/>
      <c r="L76" s="5"/>
      <c r="M76" s="5"/>
      <c r="N76" s="5"/>
      <c r="O76" s="5"/>
      <c r="P76" s="88"/>
      <c r="Q76" s="95"/>
    </row>
    <row r="77" spans="4:17" s="2" customFormat="1" ht="12" customHeight="1">
      <c r="D77" s="22"/>
      <c r="E77" s="22"/>
      <c r="J77" s="5"/>
      <c r="K77" s="5"/>
      <c r="L77" s="5"/>
      <c r="M77" s="5"/>
      <c r="N77" s="5"/>
      <c r="O77" s="5"/>
      <c r="P77" s="88"/>
      <c r="Q77" s="95"/>
    </row>
    <row r="78" spans="4:17" s="2" customFormat="1" ht="12" customHeight="1">
      <c r="D78" s="22"/>
      <c r="E78" s="22"/>
      <c r="J78" s="5"/>
      <c r="K78" s="5"/>
      <c r="L78" s="5"/>
      <c r="M78" s="5"/>
      <c r="N78" s="5"/>
      <c r="O78" s="5"/>
      <c r="P78" s="88"/>
      <c r="Q78" s="95"/>
    </row>
    <row r="79" spans="4:17" s="2" customFormat="1" ht="12" customHeight="1">
      <c r="D79" s="22"/>
      <c r="E79" s="22"/>
      <c r="J79" s="5"/>
      <c r="K79" s="5"/>
      <c r="L79" s="5"/>
      <c r="M79" s="5"/>
      <c r="N79" s="5"/>
      <c r="O79" s="5"/>
      <c r="P79" s="88"/>
      <c r="Q79" s="95"/>
    </row>
    <row r="80" spans="4:17" s="2" customFormat="1" ht="12" customHeight="1">
      <c r="D80" s="22"/>
      <c r="E80" s="22"/>
      <c r="J80" s="5"/>
      <c r="K80" s="5"/>
      <c r="L80" s="5"/>
      <c r="M80" s="5"/>
      <c r="N80" s="5"/>
      <c r="O80" s="5"/>
      <c r="P80" s="88"/>
      <c r="Q80" s="96"/>
    </row>
    <row r="81" spans="1:17" s="2" customFormat="1" ht="12" customHeight="1">
      <c r="D81" s="22"/>
      <c r="E81" s="22"/>
      <c r="J81" s="5"/>
      <c r="K81" s="5"/>
      <c r="L81" s="5"/>
      <c r="M81" s="5"/>
      <c r="N81" s="5"/>
      <c r="O81" s="5"/>
      <c r="P81" s="88"/>
      <c r="Q81" s="96"/>
    </row>
    <row r="82" spans="1:17" s="2" customFormat="1" ht="12" customHeight="1">
      <c r="D82" s="22"/>
      <c r="E82" s="22"/>
      <c r="J82" s="5"/>
      <c r="K82" s="5"/>
      <c r="L82" s="5"/>
      <c r="M82" s="5"/>
      <c r="N82" s="5"/>
      <c r="O82" s="5"/>
      <c r="P82" s="88"/>
      <c r="Q82" s="96"/>
    </row>
    <row r="83" spans="1:17" s="2" customFormat="1" ht="12" customHeight="1">
      <c r="D83" s="22"/>
      <c r="E83" s="22"/>
      <c r="J83" s="5"/>
      <c r="K83" s="5"/>
      <c r="L83" s="5"/>
      <c r="M83" s="5"/>
      <c r="N83" s="5"/>
      <c r="O83" s="5"/>
      <c r="P83" s="88"/>
      <c r="Q83" s="96"/>
    </row>
    <row r="84" spans="1:17" s="2" customFormat="1" ht="12" customHeight="1">
      <c r="A84"/>
      <c r="B84"/>
      <c r="C84"/>
      <c r="D84" s="23"/>
      <c r="E84" s="23"/>
      <c r="F84"/>
      <c r="G84"/>
      <c r="H84"/>
      <c r="I84"/>
      <c r="J84" s="19"/>
      <c r="K84" s="19"/>
      <c r="L84" s="19"/>
      <c r="M84" s="19"/>
      <c r="N84" s="19"/>
      <c r="O84" s="19"/>
      <c r="P84" s="90"/>
      <c r="Q84" s="96"/>
    </row>
    <row r="85" spans="1:17" s="2" customFormat="1" ht="12" customHeight="1">
      <c r="A85"/>
      <c r="B85"/>
      <c r="C85"/>
      <c r="D85" s="23"/>
      <c r="E85" s="23"/>
      <c r="F85"/>
      <c r="G85"/>
      <c r="H85"/>
      <c r="I85"/>
      <c r="J85" s="19"/>
      <c r="K85" s="19"/>
      <c r="L85" s="19"/>
      <c r="M85" s="19"/>
      <c r="N85" s="19"/>
      <c r="O85" s="19"/>
      <c r="P85" s="90"/>
      <c r="Q85" s="96"/>
    </row>
    <row r="86" spans="1:17" s="2" customFormat="1" ht="12" customHeight="1">
      <c r="A86"/>
      <c r="B86"/>
      <c r="C86"/>
      <c r="D86" s="23"/>
      <c r="E86" s="23"/>
      <c r="F86"/>
      <c r="G86"/>
      <c r="H86"/>
      <c r="I86"/>
      <c r="J86" s="19"/>
      <c r="K86" s="19"/>
      <c r="L86" s="19"/>
      <c r="M86" s="19"/>
      <c r="N86" s="19"/>
      <c r="O86" s="19"/>
      <c r="P86" s="90"/>
      <c r="Q86" s="96"/>
    </row>
    <row r="87" spans="1:17" s="2" customFormat="1" ht="12" customHeight="1">
      <c r="A87"/>
      <c r="B87"/>
      <c r="C87"/>
      <c r="D87" s="23"/>
      <c r="E87" s="23"/>
      <c r="F87"/>
      <c r="G87"/>
      <c r="H87"/>
      <c r="I87"/>
      <c r="J87" s="19"/>
      <c r="K87" s="19"/>
      <c r="L87" s="19"/>
      <c r="M87" s="19"/>
      <c r="N87" s="19"/>
      <c r="O87" s="19"/>
      <c r="P87" s="90"/>
      <c r="Q87" s="96"/>
    </row>
    <row r="88" spans="1:17" s="2" customFormat="1" ht="12" customHeight="1">
      <c r="A88"/>
      <c r="B88"/>
      <c r="C88"/>
      <c r="D88" s="23"/>
      <c r="E88" s="23"/>
      <c r="F88"/>
      <c r="G88"/>
      <c r="H88"/>
      <c r="I88"/>
      <c r="J88" s="19"/>
      <c r="K88" s="19"/>
      <c r="L88" s="19"/>
      <c r="M88" s="19"/>
      <c r="N88" s="19"/>
      <c r="O88" s="19"/>
      <c r="P88" s="90"/>
      <c r="Q88" s="96"/>
    </row>
    <row r="89" spans="1:17">
      <c r="Q89" s="96"/>
    </row>
    <row r="90" spans="1:17">
      <c r="Q90" s="96"/>
    </row>
    <row r="91" spans="1:17">
      <c r="Q91" s="96"/>
    </row>
    <row r="92" spans="1:17">
      <c r="Q92" s="96"/>
    </row>
    <row r="93" spans="1:17">
      <c r="Q93" s="96"/>
    </row>
    <row r="94" spans="1:17">
      <c r="Q94" s="96"/>
    </row>
    <row r="95" spans="1:17">
      <c r="Q95" s="96"/>
    </row>
    <row r="96" spans="1:17">
      <c r="Q96" s="96"/>
    </row>
    <row r="97" spans="17:17">
      <c r="Q97" s="96"/>
    </row>
    <row r="98" spans="17:17">
      <c r="Q98" s="96"/>
    </row>
    <row r="99" spans="17:17">
      <c r="Q99" s="96"/>
    </row>
    <row r="100" spans="17:17">
      <c r="Q100" s="96"/>
    </row>
    <row r="101" spans="17:17">
      <c r="Q101" s="96"/>
    </row>
    <row r="102" spans="17:17">
      <c r="Q102" s="96"/>
    </row>
    <row r="103" spans="17:17">
      <c r="Q103" s="96"/>
    </row>
    <row r="104" spans="17:17">
      <c r="Q104" s="96"/>
    </row>
    <row r="105" spans="17:17">
      <c r="Q105" s="96"/>
    </row>
    <row r="106" spans="17:17">
      <c r="Q106" s="96"/>
    </row>
    <row r="107" spans="17:17">
      <c r="Q107" s="96"/>
    </row>
    <row r="108" spans="17:17">
      <c r="Q108" s="96"/>
    </row>
    <row r="145" ht="12" customHeight="1"/>
    <row r="146" ht="12" customHeight="1"/>
    <row r="147" ht="12" customHeight="1"/>
    <row r="148" ht="12" customHeight="1"/>
    <row r="149" ht="12" customHeight="1"/>
    <row r="150" ht="12" customHeight="1"/>
    <row r="151" ht="12" customHeight="1"/>
    <row r="152" ht="12" customHeight="1"/>
    <row r="153" ht="12" customHeight="1"/>
    <row r="154" ht="12" customHeight="1"/>
    <row r="155" ht="12" customHeight="1"/>
    <row r="156" ht="12" customHeight="1"/>
    <row r="157" ht="12" customHeight="1"/>
    <row r="158" ht="12" customHeight="1"/>
    <row r="159" ht="12" customHeight="1"/>
    <row r="160" ht="12" customHeight="1"/>
    <row r="161" ht="12" customHeight="1"/>
    <row r="162" ht="12" customHeight="1"/>
    <row r="163" ht="12" customHeight="1"/>
    <row r="164" ht="12" customHeight="1"/>
    <row r="165" ht="12" customHeight="1"/>
    <row r="166" ht="12" customHeight="1"/>
    <row r="167" ht="12" customHeight="1"/>
    <row r="168" ht="12" customHeight="1"/>
    <row r="169" ht="12" customHeight="1"/>
    <row r="170" ht="12" customHeight="1"/>
    <row r="171" ht="12" customHeight="1"/>
    <row r="172" ht="12" customHeight="1"/>
    <row r="173" ht="12" customHeight="1"/>
    <row r="174" ht="12" customHeight="1"/>
    <row r="175" ht="12" customHeight="1"/>
    <row r="176" ht="12" customHeight="1"/>
    <row r="177" ht="12" customHeight="1"/>
    <row r="178" ht="12" customHeight="1"/>
    <row r="179" ht="12" customHeight="1"/>
    <row r="180" ht="12" customHeight="1"/>
    <row r="181" ht="12" customHeight="1"/>
    <row r="182" ht="12" customHeight="1"/>
    <row r="183" ht="12" customHeight="1"/>
    <row r="184" ht="12" customHeight="1"/>
    <row r="185" ht="12" customHeight="1"/>
    <row r="186" ht="12" customHeight="1"/>
    <row r="187" ht="12" customHeight="1"/>
    <row r="188" ht="12" customHeight="1"/>
    <row r="189" ht="12" customHeight="1"/>
    <row r="190" ht="12" customHeight="1"/>
    <row r="191" ht="12" customHeight="1"/>
    <row r="192" ht="12" customHeight="1"/>
    <row r="193" ht="12" customHeight="1"/>
    <row r="194" ht="12" customHeight="1"/>
  </sheetData>
  <mergeCells count="43">
    <mergeCell ref="D28:E28"/>
    <mergeCell ref="D27:E27"/>
    <mergeCell ref="D16:E16"/>
    <mergeCell ref="D17:E17"/>
    <mergeCell ref="D18:E18"/>
    <mergeCell ref="D19:E19"/>
    <mergeCell ref="D20:E20"/>
    <mergeCell ref="D26:E26"/>
    <mergeCell ref="D21:E21"/>
    <mergeCell ref="D22:E22"/>
    <mergeCell ref="D23:E23"/>
    <mergeCell ref="D24:E24"/>
    <mergeCell ref="D25:E25"/>
    <mergeCell ref="H15:I15"/>
    <mergeCell ref="D1:E1"/>
    <mergeCell ref="D4:E4"/>
    <mergeCell ref="H4:I4"/>
    <mergeCell ref="D14:E14"/>
    <mergeCell ref="D5:E5"/>
    <mergeCell ref="D6:E6"/>
    <mergeCell ref="D7:E7"/>
    <mergeCell ref="D8:E8"/>
    <mergeCell ref="D9:E9"/>
    <mergeCell ref="D10:E10"/>
    <mergeCell ref="D11:E11"/>
    <mergeCell ref="D12:E12"/>
    <mergeCell ref="D13:E13"/>
    <mergeCell ref="D15:E15"/>
    <mergeCell ref="H41:I41"/>
    <mergeCell ref="D29:E29"/>
    <mergeCell ref="H29:I29"/>
    <mergeCell ref="D30:E30"/>
    <mergeCell ref="D31:E31"/>
    <mergeCell ref="D32:E32"/>
    <mergeCell ref="D33:E33"/>
    <mergeCell ref="D38:E38"/>
    <mergeCell ref="D34:E34"/>
    <mergeCell ref="D35:E35"/>
    <mergeCell ref="D41:E41"/>
    <mergeCell ref="D36:E36"/>
    <mergeCell ref="D37:E37"/>
    <mergeCell ref="D39:E39"/>
    <mergeCell ref="D40:E40"/>
  </mergeCells>
  <conditionalFormatting sqref="M5:M14 M30:M40 M16:M28">
    <cfRule type="cellIs" dxfId="232" priority="5" stopIfTrue="1" operator="lessThanOrEqual">
      <formula>$L5</formula>
    </cfRule>
    <cfRule type="cellIs" dxfId="231" priority="6" operator="greaterThan">
      <formula>L5</formula>
    </cfRule>
  </conditionalFormatting>
  <pageMargins left="0.7" right="0.7" top="0.75" bottom="0.75" header="0.3" footer="0.3"/>
  <pageSetup paperSize="3" fitToHeight="0" orientation="landscape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EF70FE9-B257-49B9-A5AC-7FD2137660DF}">
          <x14:formula1>
            <xm:f>Bolts!$A:$A</xm:f>
          </x14:formula1>
          <xm:sqref>C30:C40</xm:sqref>
        </x14:dataValidation>
        <x14:dataValidation type="list" allowBlank="1" showInputMessage="1" showErrorMessage="1" xr:uid="{F0E77E47-081D-456D-A206-1CD2F4F808EE}">
          <x14:formula1>
            <xm:f>Purchased!$A:$A</xm:f>
          </x14:formula1>
          <xm:sqref>C16:C28</xm:sqref>
        </x14:dataValidation>
        <x14:dataValidation type="list" allowBlank="1" showInputMessage="1" showErrorMessage="1" xr:uid="{0203ED92-03A9-4887-90F7-973C4A44B67E}">
          <x14:formula1>
            <xm:f>Machined!$C:$C</xm:f>
          </x14:formula1>
          <xm:sqref>C5:C14</xm:sqref>
        </x14:dataValidation>
      </x14:dataValidations>
    </ext>
  </extLst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2A7E02-4468-4ACA-9497-774F615D198B}">
  <sheetPr codeName="Sheet121">
    <tabColor theme="3" tint="0.79998168889431442"/>
    <pageSetUpPr fitToPage="1"/>
  </sheetPr>
  <dimension ref="A1:Q203"/>
  <sheetViews>
    <sheetView zoomScaleNormal="100" workbookViewId="0">
      <selection activeCell="S17" sqref="S17"/>
    </sheetView>
  </sheetViews>
  <sheetFormatPr defaultColWidth="9.140625" defaultRowHeight="15"/>
  <cols>
    <col min="1" max="1" width="5.7109375" customWidth="1"/>
    <col min="2" max="2" width="5.42578125" bestFit="1" customWidth="1"/>
    <col min="3" max="3" width="30.7109375" customWidth="1"/>
    <col min="4" max="5" width="20.7109375" style="23" customWidth="1"/>
    <col min="6" max="6" width="16.85546875" bestFit="1" customWidth="1"/>
    <col min="7" max="7" width="9.7109375" customWidth="1"/>
    <col min="8" max="8" width="8.7109375" customWidth="1"/>
    <col min="9" max="9" width="20.7109375" customWidth="1"/>
    <col min="10" max="13" width="11.7109375" style="19" customWidth="1"/>
    <col min="14" max="14" width="11.85546875" style="19" bestFit="1" customWidth="1"/>
    <col min="15" max="15" width="7.7109375" style="19" customWidth="1"/>
    <col min="16" max="16" width="10.7109375" style="90" customWidth="1"/>
    <col min="17" max="17" width="10.7109375" style="97" customWidth="1"/>
  </cols>
  <sheetData>
    <row r="1" spans="1:17" s="55" customFormat="1" ht="12" customHeight="1">
      <c r="A1" s="68" t="s">
        <v>0</v>
      </c>
      <c r="B1" s="69"/>
      <c r="C1" s="69"/>
      <c r="D1" s="262" t="s">
        <v>1</v>
      </c>
      <c r="E1" s="263"/>
      <c r="F1" s="70"/>
      <c r="G1" s="69"/>
      <c r="H1" s="70"/>
      <c r="I1" s="71"/>
      <c r="J1" s="72"/>
      <c r="K1" s="72"/>
      <c r="L1" s="72"/>
      <c r="M1" s="72"/>
      <c r="N1" s="72"/>
      <c r="O1" s="72"/>
      <c r="P1" s="85"/>
      <c r="Q1" s="91"/>
    </row>
    <row r="2" spans="1:17" s="55" customFormat="1" ht="12" customHeight="1">
      <c r="A2" s="74" t="s">
        <v>48</v>
      </c>
      <c r="B2" s="58"/>
      <c r="C2" s="57" t="e">
        <f ca="1">VLOOKUP(E3,Assemblies!B:F,4,0)</f>
        <v>#VALUE!</v>
      </c>
      <c r="D2" s="75" t="s">
        <v>3</v>
      </c>
      <c r="E2" s="76" t="e">
        <f ca="1">'GF12'!E2</f>
        <v>#VALUE!</v>
      </c>
      <c r="F2" s="77" t="s">
        <v>4</v>
      </c>
      <c r="G2" s="58" t="str">
        <f>'GF12'!G2</f>
        <v>GH</v>
      </c>
      <c r="H2" s="77" t="s">
        <v>6</v>
      </c>
      <c r="I2" s="59">
        <f>'GF12'!I2</f>
        <v>44775</v>
      </c>
      <c r="J2" s="39"/>
      <c r="K2" s="40" t="s">
        <v>49</v>
      </c>
      <c r="L2" s="41" t="e">
        <f ca="1">VLOOKUP(C2,Assemblies!E:G,3,0)</f>
        <v>#VALUE!</v>
      </c>
      <c r="M2" s="78"/>
      <c r="N2" s="78"/>
      <c r="O2" s="78"/>
      <c r="P2" s="86"/>
      <c r="Q2" s="92"/>
    </row>
    <row r="3" spans="1:17" s="55" customFormat="1" ht="12" customHeight="1" thickBot="1">
      <c r="A3" s="74" t="s">
        <v>7</v>
      </c>
      <c r="B3" s="58"/>
      <c r="C3" s="57" t="e">
        <f ca="1">VLOOKUP(E3,Assemblies!B:F,5,0)</f>
        <v>#VALUE!</v>
      </c>
      <c r="D3" s="75" t="s">
        <v>50</v>
      </c>
      <c r="E3" s="76" t="e">
        <f ca="1">MID(CELL("filename",A1),FIND("]",CELL("filename",A1))+1,256)</f>
        <v>#VALUE!</v>
      </c>
      <c r="F3" s="77" t="s">
        <v>11</v>
      </c>
      <c r="G3" s="58" t="str">
        <f>'GF12'!G3</f>
        <v>GH</v>
      </c>
      <c r="H3" s="77" t="s">
        <v>6</v>
      </c>
      <c r="I3" s="59">
        <f>'GF12'!I3</f>
        <v>44775</v>
      </c>
      <c r="J3" s="78"/>
      <c r="K3" s="78"/>
      <c r="L3" s="78"/>
      <c r="M3" s="78"/>
      <c r="N3" s="78"/>
      <c r="O3" s="78"/>
      <c r="P3" s="86"/>
      <c r="Q3" s="92"/>
    </row>
    <row r="4" spans="1:17" s="56" customFormat="1" ht="12.75" customHeight="1" thickBot="1">
      <c r="A4" s="80" t="s">
        <v>12</v>
      </c>
      <c r="B4" s="81" t="s">
        <v>13</v>
      </c>
      <c r="C4" s="81" t="s">
        <v>14</v>
      </c>
      <c r="D4" s="270" t="s">
        <v>15</v>
      </c>
      <c r="E4" s="271"/>
      <c r="F4" s="104" t="s">
        <v>16</v>
      </c>
      <c r="G4" s="81" t="s">
        <v>17</v>
      </c>
      <c r="H4" s="260" t="s">
        <v>18</v>
      </c>
      <c r="I4" s="261"/>
      <c r="J4" s="81" t="s">
        <v>51</v>
      </c>
      <c r="K4" s="81" t="s">
        <v>20</v>
      </c>
      <c r="L4" s="81" t="s">
        <v>21</v>
      </c>
      <c r="M4" s="81" t="s">
        <v>52</v>
      </c>
      <c r="N4" s="81" t="s">
        <v>22</v>
      </c>
      <c r="O4" s="81" t="s">
        <v>53</v>
      </c>
      <c r="P4" s="107" t="s">
        <v>26</v>
      </c>
      <c r="Q4" s="82" t="s">
        <v>27</v>
      </c>
    </row>
    <row r="5" spans="1:17" s="2" customFormat="1" ht="12.75" customHeight="1">
      <c r="A5" s="127">
        <v>1</v>
      </c>
      <c r="B5" s="21">
        <v>2</v>
      </c>
      <c r="C5" s="108" t="s">
        <v>1213</v>
      </c>
      <c r="D5" s="277" t="str">
        <f>VLOOKUP(C5,Machined!C:Q,2,0)</f>
        <v>Cap Rail Bracket</v>
      </c>
      <c r="E5" s="278"/>
      <c r="F5" s="131" t="str">
        <f>VLOOKUP(C5,Machined!C:R,7,0)</f>
        <v>6061-T6 Alum</v>
      </c>
      <c r="G5" s="131" t="str">
        <f>VLOOKUP(C5,Machined!C:R,10,0)</f>
        <v>XOMETRY</v>
      </c>
      <c r="H5" s="131" t="str">
        <f>VLOOKUP(C5,Machined!C:R,11,0)</f>
        <v xml:space="preserve">  </v>
      </c>
      <c r="I5" s="131"/>
      <c r="J5" s="42">
        <f>VLOOKUP(C5,Machined!C:R,12,0)</f>
        <v>45161</v>
      </c>
      <c r="K5" s="42">
        <f>VLOOKUP(C5,Machined!C:R,13,0)</f>
        <v>45161</v>
      </c>
      <c r="L5" s="42">
        <f>VLOOKUP(C5,Machined!C:R,14,0)</f>
        <v>45181</v>
      </c>
      <c r="M5" s="42">
        <f>VLOOKUP(C5,Machined!C:R,15,0)</f>
        <v>45181</v>
      </c>
      <c r="N5" s="43">
        <f>VLOOKUP(C5,Machined!C:R,16,0)</f>
        <v>55095</v>
      </c>
      <c r="O5" s="43" t="e">
        <f t="shared" ref="O5:O18" ca="1" si="0">B5*$L$2</f>
        <v>#VALUE!</v>
      </c>
      <c r="P5" s="47">
        <f>IFERROR(VLOOKUP(C5,Machined!C:F,3,0),"")</f>
        <v>35.020000000000003</v>
      </c>
      <c r="Q5" s="48">
        <f t="shared" ref="Q5:Q18" si="1">IFERROR(B5*P5,"")</f>
        <v>70.040000000000006</v>
      </c>
    </row>
    <row r="6" spans="1:17" s="2" customFormat="1" ht="12.75" customHeight="1">
      <c r="A6" s="127">
        <v>2</v>
      </c>
      <c r="B6" s="21">
        <v>1</v>
      </c>
      <c r="C6" s="108" t="s">
        <v>1214</v>
      </c>
      <c r="D6" s="277" t="str">
        <f>VLOOKUP(C6,Machined!C:Q,2,0)</f>
        <v>Cap Rail 1-A Side</v>
      </c>
      <c r="E6" s="278"/>
      <c r="F6" s="131" t="str">
        <f>VLOOKUP(C6,Machined!C:R,7,0)</f>
        <v>AISI 304, 1/16 in</v>
      </c>
      <c r="G6" s="131" t="str">
        <f>VLOOKUP(C6,Machined!C:R,10,0)</f>
        <v>WESCO BHT</v>
      </c>
      <c r="H6" s="131" t="str">
        <f>VLOOKUP(C6,Machined!C:R,11,0)</f>
        <v xml:space="preserve">  </v>
      </c>
      <c r="I6" s="131"/>
      <c r="J6" s="42">
        <f>VLOOKUP(C6,Machined!C:R,12,0)</f>
        <v>45159</v>
      </c>
      <c r="K6" s="42">
        <f>VLOOKUP(C6,Machined!C:R,13,0)</f>
        <v>45161</v>
      </c>
      <c r="L6" s="42">
        <f>VLOOKUP(C6,Machined!C:R,14,0)</f>
        <v>45191</v>
      </c>
      <c r="M6" s="42">
        <f>VLOOKUP(C6,Machined!C:R,15,0)</f>
        <v>45191</v>
      </c>
      <c r="N6" s="43">
        <f>VLOOKUP(C6,Machined!C:R,16,0)</f>
        <v>55092</v>
      </c>
      <c r="O6" s="43" t="e">
        <f t="shared" ca="1" si="0"/>
        <v>#VALUE!</v>
      </c>
      <c r="P6" s="47">
        <f>IFERROR(VLOOKUP(C6,Machined!C:F,3,0),"")</f>
        <v>114.47</v>
      </c>
      <c r="Q6" s="48">
        <f t="shared" si="1"/>
        <v>114.47</v>
      </c>
    </row>
    <row r="7" spans="1:17" s="2" customFormat="1" ht="12.75" customHeight="1">
      <c r="A7" s="127">
        <v>3</v>
      </c>
      <c r="B7" s="21">
        <v>1</v>
      </c>
      <c r="C7" s="108" t="s">
        <v>1215</v>
      </c>
      <c r="D7" s="277" t="str">
        <f>VLOOKUP(C7,Machined!C:Q,2,0)</f>
        <v>Cap Rail 2-A Side</v>
      </c>
      <c r="E7" s="278"/>
      <c r="F7" s="131" t="str">
        <f>VLOOKUP(C7,Machined!C:R,7,0)</f>
        <v>AISI 304, 1/16 in</v>
      </c>
      <c r="G7" s="131" t="str">
        <f>VLOOKUP(C7,Machined!C:R,10,0)</f>
        <v>WESCO BHT</v>
      </c>
      <c r="H7" s="131" t="str">
        <f>VLOOKUP(C7,Machined!C:R,11,0)</f>
        <v xml:space="preserve">  </v>
      </c>
      <c r="I7" s="131"/>
      <c r="J7" s="42">
        <f>VLOOKUP(C7,Machined!C:R,12,0)</f>
        <v>45159</v>
      </c>
      <c r="K7" s="42">
        <f>VLOOKUP(C7,Machined!C:R,13,0)</f>
        <v>45161</v>
      </c>
      <c r="L7" s="42">
        <f>VLOOKUP(C7,Machined!C:R,14,0)</f>
        <v>45191</v>
      </c>
      <c r="M7" s="42">
        <f>VLOOKUP(C7,Machined!C:R,15,0)</f>
        <v>45191</v>
      </c>
      <c r="N7" s="43">
        <f>VLOOKUP(C7,Machined!C:R,16,0)</f>
        <v>55092</v>
      </c>
      <c r="O7" s="43" t="e">
        <f t="shared" ca="1" si="0"/>
        <v>#VALUE!</v>
      </c>
      <c r="P7" s="47">
        <f>IFERROR(VLOOKUP(C7,Machined!C:F,3,0),"")</f>
        <v>113.87</v>
      </c>
      <c r="Q7" s="48">
        <f t="shared" si="1"/>
        <v>113.87</v>
      </c>
    </row>
    <row r="8" spans="1:17" s="2" customFormat="1" ht="12.75" customHeight="1">
      <c r="A8" s="127">
        <f t="shared" ref="A8:A18" si="2">A7+1</f>
        <v>4</v>
      </c>
      <c r="B8" s="21">
        <v>1</v>
      </c>
      <c r="C8" s="108" t="s">
        <v>1216</v>
      </c>
      <c r="D8" s="277" t="str">
        <f>VLOOKUP(C8,Machined!C:Q,2,0)</f>
        <v>Cap Rail 3-A Side</v>
      </c>
      <c r="E8" s="278"/>
      <c r="F8" s="131" t="str">
        <f>VLOOKUP(C8,Machined!C:R,7,0)</f>
        <v>AISI 304, 1/16 in</v>
      </c>
      <c r="G8" s="131" t="str">
        <f>VLOOKUP(C8,Machined!C:R,10,0)</f>
        <v>WESCO BHT</v>
      </c>
      <c r="H8" s="131" t="str">
        <f>VLOOKUP(C8,Machined!C:R,11,0)</f>
        <v xml:space="preserve">  </v>
      </c>
      <c r="I8" s="131"/>
      <c r="J8" s="42">
        <f>VLOOKUP(C8,Machined!C:R,12,0)</f>
        <v>45159</v>
      </c>
      <c r="K8" s="42">
        <f>VLOOKUP(C8,Machined!C:R,13,0)</f>
        <v>45161</v>
      </c>
      <c r="L8" s="42">
        <f>VLOOKUP(C8,Machined!C:R,14,0)</f>
        <v>45191</v>
      </c>
      <c r="M8" s="42">
        <f>VLOOKUP(C8,Machined!C:R,15,0)</f>
        <v>45191</v>
      </c>
      <c r="N8" s="43">
        <f>VLOOKUP(C8,Machined!C:R,16,0)</f>
        <v>55092</v>
      </c>
      <c r="O8" s="43" t="e">
        <f t="shared" ca="1" si="0"/>
        <v>#VALUE!</v>
      </c>
      <c r="P8" s="47">
        <f>IFERROR(VLOOKUP(C8,Machined!C:F,3,0),"")</f>
        <v>113.5</v>
      </c>
      <c r="Q8" s="48">
        <f t="shared" si="1"/>
        <v>113.5</v>
      </c>
    </row>
    <row r="9" spans="1:17" s="2" customFormat="1" ht="12.75" customHeight="1">
      <c r="A9" s="127">
        <f t="shared" si="2"/>
        <v>5</v>
      </c>
      <c r="B9" s="21">
        <v>1</v>
      </c>
      <c r="C9" s="108" t="s">
        <v>1217</v>
      </c>
      <c r="D9" s="277" t="str">
        <f>VLOOKUP(C9,Machined!C:Q,2,0)</f>
        <v>Cap Rail 4-A Side</v>
      </c>
      <c r="E9" s="278"/>
      <c r="F9" s="131" t="str">
        <f>VLOOKUP(C9,Machined!C:R,7,0)</f>
        <v>AISI 304, 1/16 in</v>
      </c>
      <c r="G9" s="131" t="str">
        <f>VLOOKUP(C9,Machined!C:R,10,0)</f>
        <v>WESCO BHT</v>
      </c>
      <c r="H9" s="131" t="str">
        <f>VLOOKUP(C9,Machined!C:R,11,0)</f>
        <v xml:space="preserve">  </v>
      </c>
      <c r="I9" s="131"/>
      <c r="J9" s="42">
        <f>VLOOKUP(C9,Machined!C:R,12,0)</f>
        <v>45159</v>
      </c>
      <c r="K9" s="42">
        <f>VLOOKUP(C9,Machined!C:R,13,0)</f>
        <v>45161</v>
      </c>
      <c r="L9" s="42">
        <f>VLOOKUP(C9,Machined!C:R,14,0)</f>
        <v>45191</v>
      </c>
      <c r="M9" s="42">
        <f>VLOOKUP(C9,Machined!C:R,15,0)</f>
        <v>45191</v>
      </c>
      <c r="N9" s="43">
        <f>VLOOKUP(C9,Machined!C:R,16,0)</f>
        <v>55092</v>
      </c>
      <c r="O9" s="43" t="e">
        <f t="shared" ca="1" si="0"/>
        <v>#VALUE!</v>
      </c>
      <c r="P9" s="47">
        <f>IFERROR(VLOOKUP(C9,Machined!C:F,3,0),"")</f>
        <v>114.47</v>
      </c>
      <c r="Q9" s="48">
        <f t="shared" si="1"/>
        <v>114.47</v>
      </c>
    </row>
    <row r="10" spans="1:17" s="2" customFormat="1" ht="12.75" customHeight="1">
      <c r="A10" s="127">
        <f t="shared" si="2"/>
        <v>6</v>
      </c>
      <c r="B10" s="21">
        <v>1</v>
      </c>
      <c r="C10" s="108" t="s">
        <v>1218</v>
      </c>
      <c r="D10" s="277" t="str">
        <f>VLOOKUP(C10,Machined!C:Q,2,0)</f>
        <v>Cap Rail Top 1 A-Side</v>
      </c>
      <c r="E10" s="278"/>
      <c r="F10" s="131" t="str">
        <f>VLOOKUP(C10,Machined!C:R,7,0)</f>
        <v>AISI 304, 11 Gauge</v>
      </c>
      <c r="G10" s="131" t="str">
        <f>VLOOKUP(C10,Machined!C:R,10,0)</f>
        <v>WESCO BHT</v>
      </c>
      <c r="H10" s="131" t="str">
        <f>VLOOKUP(C10,Machined!C:R,11,0)</f>
        <v xml:space="preserve">  </v>
      </c>
      <c r="I10" s="131"/>
      <c r="J10" s="42">
        <f>VLOOKUP(C10,Machined!C:R,12,0)</f>
        <v>45159</v>
      </c>
      <c r="K10" s="42">
        <f>VLOOKUP(C10,Machined!C:R,13,0)</f>
        <v>45161</v>
      </c>
      <c r="L10" s="42">
        <f>VLOOKUP(C10,Machined!C:R,14,0)</f>
        <v>45191</v>
      </c>
      <c r="M10" s="42">
        <f>VLOOKUP(C10,Machined!C:R,15,0)</f>
        <v>45191</v>
      </c>
      <c r="N10" s="43">
        <f>VLOOKUP(C10,Machined!C:R,16,0)</f>
        <v>55092</v>
      </c>
      <c r="O10" s="43" t="e">
        <f t="shared" ca="1" si="0"/>
        <v>#VALUE!</v>
      </c>
      <c r="P10" s="47">
        <f>IFERROR(VLOOKUP(C10,Machined!C:F,3,0),"")</f>
        <v>93.55</v>
      </c>
      <c r="Q10" s="48">
        <f t="shared" si="1"/>
        <v>93.55</v>
      </c>
    </row>
    <row r="11" spans="1:17" s="2" customFormat="1" ht="12.75" customHeight="1">
      <c r="A11" s="127">
        <f t="shared" si="2"/>
        <v>7</v>
      </c>
      <c r="B11" s="21">
        <v>1</v>
      </c>
      <c r="C11" s="108" t="s">
        <v>1219</v>
      </c>
      <c r="D11" s="277" t="str">
        <f>VLOOKUP(C11,Machined!C:Q,2,0)</f>
        <v>Cap Rail Top 2 A-Side</v>
      </c>
      <c r="E11" s="278"/>
      <c r="F11" s="131" t="str">
        <f>VLOOKUP(C11,Machined!C:R,7,0)</f>
        <v>AISI 304, 11 Gauge</v>
      </c>
      <c r="G11" s="131" t="str">
        <f>VLOOKUP(C11,Machined!C:R,10,0)</f>
        <v>WESCO BHT</v>
      </c>
      <c r="H11" s="131" t="str">
        <f>VLOOKUP(C11,Machined!C:R,11,0)</f>
        <v xml:space="preserve">  </v>
      </c>
      <c r="I11" s="131"/>
      <c r="J11" s="42">
        <f>VLOOKUP(C11,Machined!C:R,12,0)</f>
        <v>45159</v>
      </c>
      <c r="K11" s="42">
        <f>VLOOKUP(C11,Machined!C:R,13,0)</f>
        <v>45161</v>
      </c>
      <c r="L11" s="42">
        <f>VLOOKUP(C11,Machined!C:R,14,0)</f>
        <v>45191</v>
      </c>
      <c r="M11" s="42">
        <f>VLOOKUP(C11,Machined!C:R,15,0)</f>
        <v>45191</v>
      </c>
      <c r="N11" s="43">
        <f>VLOOKUP(C11,Machined!C:R,16,0)</f>
        <v>55092</v>
      </c>
      <c r="O11" s="43" t="e">
        <f t="shared" ca="1" si="0"/>
        <v>#VALUE!</v>
      </c>
      <c r="P11" s="47">
        <f>IFERROR(VLOOKUP(C11,Machined!C:F,3,0),"")</f>
        <v>92.68</v>
      </c>
      <c r="Q11" s="48">
        <f t="shared" si="1"/>
        <v>92.68</v>
      </c>
    </row>
    <row r="12" spans="1:17" s="2" customFormat="1" ht="12.75" customHeight="1">
      <c r="A12" s="127">
        <f t="shared" si="2"/>
        <v>8</v>
      </c>
      <c r="B12" s="21">
        <v>1</v>
      </c>
      <c r="C12" s="108" t="s">
        <v>1220</v>
      </c>
      <c r="D12" s="277" t="str">
        <f>VLOOKUP(C12,Machined!C:Q,2,0)</f>
        <v>Cap Rail Top 3 A-Side</v>
      </c>
      <c r="E12" s="278"/>
      <c r="F12" s="131" t="str">
        <f>VLOOKUP(C12,Machined!C:R,7,0)</f>
        <v>AISI 304, 11 Gauge</v>
      </c>
      <c r="G12" s="131" t="str">
        <f>VLOOKUP(C12,Machined!C:R,10,0)</f>
        <v>WESCO BHT</v>
      </c>
      <c r="H12" s="131" t="str">
        <f>VLOOKUP(C12,Machined!C:R,11,0)</f>
        <v xml:space="preserve">  </v>
      </c>
      <c r="I12" s="131"/>
      <c r="J12" s="42">
        <f>VLOOKUP(C12,Machined!C:R,12,0)</f>
        <v>45159</v>
      </c>
      <c r="K12" s="42">
        <f>VLOOKUP(C12,Machined!C:R,13,0)</f>
        <v>45161</v>
      </c>
      <c r="L12" s="42">
        <f>VLOOKUP(C12,Machined!C:R,14,0)</f>
        <v>45191</v>
      </c>
      <c r="M12" s="42">
        <f>VLOOKUP(C12,Machined!C:R,15,0)</f>
        <v>45191</v>
      </c>
      <c r="N12" s="43">
        <f>VLOOKUP(C12,Machined!C:R,16,0)</f>
        <v>55092</v>
      </c>
      <c r="O12" s="43" t="e">
        <f t="shared" ca="1" si="0"/>
        <v>#VALUE!</v>
      </c>
      <c r="P12" s="47">
        <f>IFERROR(VLOOKUP(C12,Machined!C:F,3,0),"")</f>
        <v>92.14</v>
      </c>
      <c r="Q12" s="48">
        <f t="shared" si="1"/>
        <v>92.14</v>
      </c>
    </row>
    <row r="13" spans="1:17" s="2" customFormat="1" ht="12.75" customHeight="1">
      <c r="A13" s="127">
        <f t="shared" si="2"/>
        <v>9</v>
      </c>
      <c r="B13" s="21">
        <v>1</v>
      </c>
      <c r="C13" s="108" t="s">
        <v>1221</v>
      </c>
      <c r="D13" s="277" t="str">
        <f>VLOOKUP(C13,Machined!C:Q,2,0)</f>
        <v>Cap Rail Top 4 A-Side</v>
      </c>
      <c r="E13" s="278"/>
      <c r="F13" s="131" t="str">
        <f>VLOOKUP(C13,Machined!C:R,7,0)</f>
        <v>AISI 304, 11 Gauge</v>
      </c>
      <c r="G13" s="131" t="str">
        <f>VLOOKUP(C13,Machined!C:R,10,0)</f>
        <v>WESCO BHT</v>
      </c>
      <c r="H13" s="131" t="str">
        <f>VLOOKUP(C13,Machined!C:R,11,0)</f>
        <v xml:space="preserve">  </v>
      </c>
      <c r="I13" s="131"/>
      <c r="J13" s="42">
        <f>VLOOKUP(C13,Machined!C:R,12,0)</f>
        <v>45159</v>
      </c>
      <c r="K13" s="42">
        <f>VLOOKUP(C13,Machined!C:R,13,0)</f>
        <v>45161</v>
      </c>
      <c r="L13" s="42">
        <f>VLOOKUP(C13,Machined!C:R,14,0)</f>
        <v>45191</v>
      </c>
      <c r="M13" s="42">
        <f>VLOOKUP(C13,Machined!C:R,15,0)</f>
        <v>45191</v>
      </c>
      <c r="N13" s="43">
        <f>VLOOKUP(C13,Machined!C:R,16,0)</f>
        <v>55092</v>
      </c>
      <c r="O13" s="43" t="e">
        <f t="shared" ca="1" si="0"/>
        <v>#VALUE!</v>
      </c>
      <c r="P13" s="47">
        <f>IFERROR(VLOOKUP(C13,Machined!C:F,3,0),"")</f>
        <v>93.55</v>
      </c>
      <c r="Q13" s="48">
        <f t="shared" si="1"/>
        <v>93.55</v>
      </c>
    </row>
    <row r="14" spans="1:17" s="2" customFormat="1" ht="12.75" customHeight="1">
      <c r="A14" s="127">
        <f t="shared" si="2"/>
        <v>10</v>
      </c>
      <c r="B14" s="21">
        <v>2</v>
      </c>
      <c r="C14" s="108" t="s">
        <v>1222</v>
      </c>
      <c r="D14" s="277" t="str">
        <f>VLOOKUP(C14,Machined!C:Q,2,0)</f>
        <v>Cap Rail Top 5</v>
      </c>
      <c r="E14" s="278"/>
      <c r="F14" s="131" t="str">
        <f>VLOOKUP(C14,Machined!C:R,7,0)</f>
        <v>AISI 304, 11 Gauge</v>
      </c>
      <c r="G14" s="131" t="str">
        <f>VLOOKUP(C14,Machined!C:R,10,0)</f>
        <v>WESCO BHT</v>
      </c>
      <c r="H14" s="131" t="str">
        <f>VLOOKUP(C14,Machined!C:R,11,0)</f>
        <v xml:space="preserve">  </v>
      </c>
      <c r="I14" s="131"/>
      <c r="J14" s="42">
        <f>VLOOKUP(C14,Machined!C:R,12,0)</f>
        <v>45159</v>
      </c>
      <c r="K14" s="42">
        <f>VLOOKUP(C14,Machined!C:R,13,0)</f>
        <v>45161</v>
      </c>
      <c r="L14" s="42">
        <f>VLOOKUP(C14,Machined!C:R,14,0)</f>
        <v>45191</v>
      </c>
      <c r="M14" s="42">
        <f>VLOOKUP(C14,Machined!C:R,15,0)</f>
        <v>45191</v>
      </c>
      <c r="N14" s="43">
        <f>VLOOKUP(C14,Machined!C:R,16,0)</f>
        <v>55092</v>
      </c>
      <c r="O14" s="43" t="e">
        <f t="shared" ca="1" si="0"/>
        <v>#VALUE!</v>
      </c>
      <c r="P14" s="47">
        <f>IFERROR(VLOOKUP(C14,Machined!C:F,3,0),"")</f>
        <v>34.020000000000003</v>
      </c>
      <c r="Q14" s="48">
        <f t="shared" si="1"/>
        <v>68.040000000000006</v>
      </c>
    </row>
    <row r="15" spans="1:17" s="2" customFormat="1" ht="12.75" customHeight="1">
      <c r="A15" s="127">
        <f t="shared" si="2"/>
        <v>11</v>
      </c>
      <c r="B15" s="21">
        <v>2</v>
      </c>
      <c r="C15" s="108" t="s">
        <v>1223</v>
      </c>
      <c r="D15" s="277" t="str">
        <f>VLOOKUP(C15,Machined!C:Q,2,0)</f>
        <v>Cap Rail Slide Bracket 1</v>
      </c>
      <c r="E15" s="278"/>
      <c r="F15" s="131" t="str">
        <f>VLOOKUP(C15,Machined!C:R,7,0)</f>
        <v>Delrin - White</v>
      </c>
      <c r="G15" s="131" t="str">
        <f>VLOOKUP(C15,Machined!C:R,10,0)</f>
        <v>NULINE</v>
      </c>
      <c r="H15" s="131">
        <f>VLOOKUP(C15,Machined!C:R,11,0)</f>
        <v>0</v>
      </c>
      <c r="I15" s="131"/>
      <c r="J15" s="42" t="str">
        <f>VLOOKUP(C15,Machined!C:R,12,0)</f>
        <v>N/A</v>
      </c>
      <c r="K15" s="42" t="str">
        <f>VLOOKUP(C15,Machined!C:R,13,0)</f>
        <v>N/A</v>
      </c>
      <c r="L15" s="42" t="str">
        <f>VLOOKUP(C15,Machined!C:R,14,0)</f>
        <v>N/A</v>
      </c>
      <c r="M15" s="42" t="str">
        <f>VLOOKUP(C15,Machined!C:R,15,0)</f>
        <v>N/A</v>
      </c>
      <c r="N15" s="43" t="str">
        <f>VLOOKUP(C15,Machined!C:R,16,0)</f>
        <v>N/A</v>
      </c>
      <c r="O15" s="43" t="e">
        <f t="shared" ca="1" si="0"/>
        <v>#VALUE!</v>
      </c>
      <c r="P15" s="47">
        <f>IFERROR(VLOOKUP(C15,Machined!C:F,3,0),"")</f>
        <v>0</v>
      </c>
      <c r="Q15" s="48">
        <f t="shared" si="1"/>
        <v>0</v>
      </c>
    </row>
    <row r="16" spans="1:17" s="2" customFormat="1" ht="12.75" customHeight="1">
      <c r="A16" s="127">
        <f t="shared" si="2"/>
        <v>12</v>
      </c>
      <c r="B16" s="21">
        <v>2</v>
      </c>
      <c r="C16" s="108" t="s">
        <v>1224</v>
      </c>
      <c r="D16" s="277" t="str">
        <f>VLOOKUP(C16,Machined!C:Q,2,0)</f>
        <v>Cap Rail Slide Bracket 2</v>
      </c>
      <c r="E16" s="278"/>
      <c r="F16" s="131" t="str">
        <f>VLOOKUP(C16,Machined!C:R,7,0)</f>
        <v>Delrin - White</v>
      </c>
      <c r="G16" s="131" t="str">
        <f>VLOOKUP(C16,Machined!C:R,10,0)</f>
        <v>NULINE</v>
      </c>
      <c r="H16" s="131" t="str">
        <f>VLOOKUP(C16,Machined!C:R,11,0)</f>
        <v xml:space="preserve">  </v>
      </c>
      <c r="I16" s="131"/>
      <c r="J16" s="42" t="str">
        <f>VLOOKUP(C16,Machined!C:R,12,0)</f>
        <v>N/A</v>
      </c>
      <c r="K16" s="42" t="str">
        <f>VLOOKUP(C16,Machined!C:R,13,0)</f>
        <v>N/A</v>
      </c>
      <c r="L16" s="42" t="str">
        <f>VLOOKUP(C16,Machined!C:R,14,0)</f>
        <v>N/A</v>
      </c>
      <c r="M16" s="42" t="str">
        <f>VLOOKUP(C16,Machined!C:R,15,0)</f>
        <v>N/A</v>
      </c>
      <c r="N16" s="43" t="str">
        <f>VLOOKUP(C16,Machined!C:R,16,0)</f>
        <v>N/A</v>
      </c>
      <c r="O16" s="43" t="e">
        <f t="shared" ca="1" si="0"/>
        <v>#VALUE!</v>
      </c>
      <c r="P16" s="47">
        <f>IFERROR(VLOOKUP(C16,Machined!C:F,3,0),"")</f>
        <v>0</v>
      </c>
      <c r="Q16" s="48">
        <f t="shared" si="1"/>
        <v>0</v>
      </c>
    </row>
    <row r="17" spans="1:17" s="2" customFormat="1" ht="12.75" customHeight="1">
      <c r="A17" s="127">
        <f t="shared" si="2"/>
        <v>13</v>
      </c>
      <c r="B17" s="21">
        <v>2</v>
      </c>
      <c r="C17" s="108" t="s">
        <v>1225</v>
      </c>
      <c r="D17" s="277" t="str">
        <f>VLOOKUP(C17,Machined!C:Q,2,0)</f>
        <v>Cap Rail-Center</v>
      </c>
      <c r="E17" s="278"/>
      <c r="F17" s="131" t="str">
        <f>VLOOKUP(C17,Machined!C:R,7,0)</f>
        <v>AISI 304, 1/16 in</v>
      </c>
      <c r="G17" s="131" t="str">
        <f>VLOOKUP(C17,Machined!C:R,10,0)</f>
        <v>WESCO BHT</v>
      </c>
      <c r="H17" s="131" t="str">
        <f>VLOOKUP(C17,Machined!C:R,11,0)</f>
        <v xml:space="preserve">  </v>
      </c>
      <c r="I17" s="131"/>
      <c r="J17" s="42">
        <f>VLOOKUP(C17,Machined!C:R,12,0)</f>
        <v>45159</v>
      </c>
      <c r="K17" s="42">
        <f>VLOOKUP(C17,Machined!C:R,13,0)</f>
        <v>45161</v>
      </c>
      <c r="L17" s="42">
        <f>VLOOKUP(C17,Machined!C:R,14,0)</f>
        <v>45191</v>
      </c>
      <c r="M17" s="42">
        <f>VLOOKUP(C17,Machined!C:R,15,0)</f>
        <v>45191</v>
      </c>
      <c r="N17" s="43">
        <f>VLOOKUP(C17,Machined!C:R,16,0)</f>
        <v>55092</v>
      </c>
      <c r="O17" s="43" t="e">
        <f t="shared" ca="1" si="0"/>
        <v>#VALUE!</v>
      </c>
      <c r="P17" s="47">
        <f>IFERROR(VLOOKUP(C17,Machined!C:F,3,0),"")</f>
        <v>34.020000000000003</v>
      </c>
      <c r="Q17" s="48">
        <f t="shared" si="1"/>
        <v>68.040000000000006</v>
      </c>
    </row>
    <row r="18" spans="1:17" s="2" customFormat="1" ht="12.75" customHeight="1">
      <c r="A18" s="127">
        <f t="shared" si="2"/>
        <v>14</v>
      </c>
      <c r="B18" s="21">
        <v>1</v>
      </c>
      <c r="C18" s="108" t="s">
        <v>1226</v>
      </c>
      <c r="D18" s="277" t="str">
        <f>VLOOKUP(C18,Machined!C:Q,2,0)</f>
        <v>Cap Rail Tie-Side A</v>
      </c>
      <c r="E18" s="278"/>
      <c r="F18" s="131" t="str">
        <f>VLOOKUP(C18,Machined!C:R,7,0)</f>
        <v>AISI 304, 11 Gauge</v>
      </c>
      <c r="G18" s="131" t="str">
        <f>VLOOKUP(C18,Machined!C:R,10,0)</f>
        <v>WESCO BHT</v>
      </c>
      <c r="H18" s="131" t="str">
        <f>VLOOKUP(C18,Machined!C:R,11,0)</f>
        <v xml:space="preserve">  </v>
      </c>
      <c r="I18" s="131"/>
      <c r="J18" s="42">
        <f>VLOOKUP(C18,Machined!C:R,12,0)</f>
        <v>45159</v>
      </c>
      <c r="K18" s="42">
        <f>VLOOKUP(C18,Machined!C:R,13,0)</f>
        <v>45161</v>
      </c>
      <c r="L18" s="42">
        <f>VLOOKUP(C18,Machined!C:R,14,0)</f>
        <v>45191</v>
      </c>
      <c r="M18" s="42">
        <f>VLOOKUP(C18,Machined!C:R,15,0)</f>
        <v>45191</v>
      </c>
      <c r="N18" s="43">
        <f>VLOOKUP(C18,Machined!C:R,16,0)</f>
        <v>55092</v>
      </c>
      <c r="O18" s="43" t="e">
        <f t="shared" ca="1" si="0"/>
        <v>#VALUE!</v>
      </c>
      <c r="P18" s="47">
        <f>IFERROR(VLOOKUP(C18,Machined!C:F,3,0),"")</f>
        <v>127.45</v>
      </c>
      <c r="Q18" s="48">
        <f t="shared" si="1"/>
        <v>127.45</v>
      </c>
    </row>
    <row r="19" spans="1:17" s="2" customFormat="1" ht="12.75" customHeight="1">
      <c r="A19" s="127">
        <v>15</v>
      </c>
      <c r="B19" s="21">
        <v>3</v>
      </c>
      <c r="C19" s="108" t="s">
        <v>838</v>
      </c>
      <c r="D19" s="277" t="str">
        <f>VLOOKUP(C19,Machined!C:Q,2,0)</f>
        <v>Extrusion Bracket</v>
      </c>
      <c r="E19" s="278"/>
      <c r="F19" s="131" t="str">
        <f>VLOOKUP(C19,Machined!C:R,7,0)</f>
        <v>6061-T6 Alum</v>
      </c>
      <c r="G19" s="131" t="str">
        <f>VLOOKUP(C19,Machined!C:R,10,0)</f>
        <v>XOMETRY</v>
      </c>
      <c r="H19" s="131" t="str">
        <f>VLOOKUP(C19,Machined!C:R,11,0)</f>
        <v xml:space="preserve">  </v>
      </c>
      <c r="I19" s="131"/>
      <c r="J19" s="42">
        <f>VLOOKUP(C19,Machined!C:R,12,0)</f>
        <v>45161</v>
      </c>
      <c r="K19" s="42">
        <f>VLOOKUP(C19,Machined!C:R,13,0)</f>
        <v>45161</v>
      </c>
      <c r="L19" s="42">
        <f>VLOOKUP(C19,Machined!C:R,14,0)</f>
        <v>45181</v>
      </c>
      <c r="M19" s="42">
        <f>VLOOKUP(C19,Machined!C:R,15,0)</f>
        <v>45181</v>
      </c>
      <c r="N19" s="43">
        <f>VLOOKUP(C19,Machined!C:R,16,0)</f>
        <v>55095</v>
      </c>
      <c r="O19" s="43" t="e">
        <f ca="1">B19*$L$2</f>
        <v>#VALUE!</v>
      </c>
      <c r="P19" s="47">
        <f>IFERROR(VLOOKUP(C19,Machined!C:F,3,0),"")</f>
        <v>27.97</v>
      </c>
      <c r="Q19" s="48">
        <f>IFERROR(B19*P19,"")</f>
        <v>83.91</v>
      </c>
    </row>
    <row r="20" spans="1:17" s="2" customFormat="1" ht="12.75" customHeight="1">
      <c r="A20" s="127">
        <v>16</v>
      </c>
      <c r="B20" s="21">
        <v>6</v>
      </c>
      <c r="C20" s="108" t="s">
        <v>839</v>
      </c>
      <c r="D20" s="277" t="str">
        <f>VLOOKUP(C20,Machined!C:Q,2,0)</f>
        <v>Conveyor Bracket</v>
      </c>
      <c r="E20" s="278"/>
      <c r="F20" s="131" t="str">
        <f>VLOOKUP(C20,Machined!C:R,7,0)</f>
        <v>6061-T6 Alum</v>
      </c>
      <c r="G20" s="131" t="str">
        <f>VLOOKUP(C20,Machined!C:R,10,0)</f>
        <v>XOMETRY</v>
      </c>
      <c r="H20" s="131" t="str">
        <f>VLOOKUP(C20,Machined!C:R,11,0)</f>
        <v xml:space="preserve">  </v>
      </c>
      <c r="I20" s="131"/>
      <c r="J20" s="42">
        <f>VLOOKUP(C20,Machined!C:R,12,0)</f>
        <v>45161</v>
      </c>
      <c r="K20" s="42">
        <f>VLOOKUP(C20,Machined!C:R,13,0)</f>
        <v>45161</v>
      </c>
      <c r="L20" s="42">
        <f>VLOOKUP(C20,Machined!C:R,14,0)</f>
        <v>45181</v>
      </c>
      <c r="M20" s="42">
        <f>VLOOKUP(C20,Machined!C:R,15,0)</f>
        <v>45181</v>
      </c>
      <c r="N20" s="43">
        <f>VLOOKUP(C20,Machined!C:R,16,0)</f>
        <v>55095</v>
      </c>
      <c r="O20" s="43" t="e">
        <f ca="1">B20*$L$2</f>
        <v>#VALUE!</v>
      </c>
      <c r="P20" s="47">
        <f>IFERROR(VLOOKUP(C20,Machined!C:F,3,0),"")</f>
        <v>26.98</v>
      </c>
      <c r="Q20" s="48">
        <f>IFERROR(B20*P20,"")</f>
        <v>161.88</v>
      </c>
    </row>
    <row r="21" spans="1:17" s="2" customFormat="1" ht="12.75" customHeight="1">
      <c r="A21" s="127">
        <v>17</v>
      </c>
      <c r="B21" s="21">
        <v>2</v>
      </c>
      <c r="C21" s="108" t="s">
        <v>840</v>
      </c>
      <c r="D21" s="277" t="str">
        <f>VLOOKUP(C21,Machined!C:Q,2,0)</f>
        <v>Fiber Optic Bracket</v>
      </c>
      <c r="E21" s="278"/>
      <c r="F21" s="131" t="str">
        <f>VLOOKUP(C21,Machined!C:R,7,0)</f>
        <v>6061-T6 Alum</v>
      </c>
      <c r="G21" s="131" t="str">
        <f>VLOOKUP(C21,Machined!C:R,10,0)</f>
        <v>XOMETRY</v>
      </c>
      <c r="H21" s="131" t="str">
        <f>VLOOKUP(C21,Machined!C:R,11,0)</f>
        <v xml:space="preserve">  </v>
      </c>
      <c r="I21" s="131"/>
      <c r="J21" s="42">
        <f>VLOOKUP(C21,Machined!C:R,12,0)</f>
        <v>45161</v>
      </c>
      <c r="K21" s="42">
        <f>VLOOKUP(C21,Machined!C:R,13,0)</f>
        <v>45161</v>
      </c>
      <c r="L21" s="42">
        <f>VLOOKUP(C21,Machined!C:R,14,0)</f>
        <v>45181</v>
      </c>
      <c r="M21" s="42">
        <f>VLOOKUP(C21,Machined!C:R,15,0)</f>
        <v>45181</v>
      </c>
      <c r="N21" s="43">
        <f>VLOOKUP(C21,Machined!C:R,16,0)</f>
        <v>55095</v>
      </c>
      <c r="O21" s="43" t="e">
        <f t="shared" ref="O21" ca="1" si="3">B21*$L$2</f>
        <v>#VALUE!</v>
      </c>
      <c r="P21" s="47">
        <f>IFERROR(VLOOKUP(C21,Machined!C:F,3,0),"")</f>
        <v>45.87</v>
      </c>
      <c r="Q21" s="48">
        <f t="shared" ref="Q21" si="4">IFERROR(B21*P21,"")</f>
        <v>91.74</v>
      </c>
    </row>
    <row r="22" spans="1:17" s="2" customFormat="1" ht="12.75" customHeight="1">
      <c r="A22" s="143"/>
      <c r="B22" s="26"/>
      <c r="C22" s="26"/>
      <c r="D22" s="272"/>
      <c r="E22" s="273"/>
      <c r="F22" s="26"/>
      <c r="G22" s="26"/>
      <c r="H22" s="274"/>
      <c r="I22" s="275"/>
      <c r="J22" s="27"/>
      <c r="K22" s="27"/>
      <c r="L22" s="27"/>
      <c r="M22" s="28"/>
      <c r="N22" s="29"/>
      <c r="O22" s="29"/>
      <c r="P22" s="141"/>
      <c r="Q22" s="142"/>
    </row>
    <row r="23" spans="1:17" s="2" customFormat="1" ht="12.75" customHeight="1">
      <c r="A23" s="4">
        <v>301</v>
      </c>
      <c r="B23" s="2">
        <v>1</v>
      </c>
      <c r="C23" s="114" t="s">
        <v>841</v>
      </c>
      <c r="D23" s="268" t="str">
        <f>VLOOKUP(C23,Purchased!A:B,2,0)</f>
        <v>Dorner End Drive Conveyor (A Side)
2200 Series end drive conveyor with V-guide belt
tracking, 2.75in (70mm) wide x 5.04ft (1536mm)
long, drive shaft in position B with type 01 - low
side profile on both sides and belt type 01, FDA
Accumulation with fused finger splice.</v>
      </c>
      <c r="E23" s="269"/>
      <c r="F23" s="112" t="str">
        <f>VLOOKUP(C23,Purchased!A:Q,9,0)</f>
        <v>Dorner</v>
      </c>
      <c r="G23" s="112" t="str">
        <f>VLOOKUP(C23,Purchased!A:Q,10,0)</f>
        <v>AAP</v>
      </c>
      <c r="H23" s="112" t="str">
        <f>VLOOKUP(C23,Purchased!A:Q,12,0)</f>
        <v xml:space="preserve"> </v>
      </c>
      <c r="I23" s="113"/>
      <c r="J23" s="44" t="str">
        <f>VLOOKUP(C23,Purchased!A:Q,13,0)</f>
        <v>N/A</v>
      </c>
      <c r="K23" s="44">
        <f>VLOOKUP(C23,Purchased!A:Q,14,0)</f>
        <v>45085</v>
      </c>
      <c r="L23" s="44">
        <f>VLOOKUP(C23,Purchased!A:Q,15,0)</f>
        <v>45110</v>
      </c>
      <c r="M23" s="44">
        <f>VLOOKUP(C23,Purchased!A:Q,16,0)</f>
        <v>45110</v>
      </c>
      <c r="N23" s="45">
        <f>VLOOKUP(C23,Purchased!A:Q,17,0)</f>
        <v>54924</v>
      </c>
      <c r="O23" s="45" t="e">
        <f t="shared" ref="O23:O49" ca="1" si="5">B23*$L$2</f>
        <v>#VALUE!</v>
      </c>
      <c r="P23" s="49">
        <f>IFERROR(VLOOKUP(C23,Purchased!A:E,3,FALSE),"")</f>
        <v>1231.5119999999999</v>
      </c>
      <c r="Q23" s="50">
        <f t="shared" ref="Q23:Q38" si="6">IFERROR(B23*P23,"")</f>
        <v>1231.5119999999999</v>
      </c>
    </row>
    <row r="24" spans="1:17" s="2" customFormat="1" ht="12" customHeight="1">
      <c r="A24" s="4">
        <f t="shared" ref="A24:A39" si="7">A23+1</f>
        <v>302</v>
      </c>
      <c r="B24" s="2">
        <v>1</v>
      </c>
      <c r="C24" s="114" t="s">
        <v>842</v>
      </c>
      <c r="D24" s="268" t="str">
        <f>VLOOKUP(C24,Purchased!A:B,2,0)</f>
        <v>Dorner Bottom Mount Pkg (A Side)
2200 Series Standard Load 90 Degree flush
Bottom mount package for a end drive conveyor,
mounted in the B position, 28:16 pulley ratio.
Uncrated weight = 6lb (3kg).</v>
      </c>
      <c r="E24" s="269"/>
      <c r="F24" s="112" t="str">
        <f>VLOOKUP(C24,Purchased!A:Q,9,0)</f>
        <v>Dorner</v>
      </c>
      <c r="G24" s="112" t="str">
        <f>VLOOKUP(C24,Purchased!A:Q,10,0)</f>
        <v>AAP</v>
      </c>
      <c r="H24" s="112" t="str">
        <f>VLOOKUP(C24,Purchased!A:Q,12,0)</f>
        <v xml:space="preserve"> </v>
      </c>
      <c r="I24" s="113"/>
      <c r="J24" s="44" t="str">
        <f>VLOOKUP(C24,Purchased!A:Q,13,0)</f>
        <v>N/A</v>
      </c>
      <c r="K24" s="44">
        <f>VLOOKUP(C24,Purchased!A:Q,14,0)</f>
        <v>45085</v>
      </c>
      <c r="L24" s="44">
        <f>VLOOKUP(C24,Purchased!A:Q,15,0)</f>
        <v>45110</v>
      </c>
      <c r="M24" s="44">
        <f>VLOOKUP(C24,Purchased!A:Q,16,0)</f>
        <v>45110</v>
      </c>
      <c r="N24" s="45">
        <f>VLOOKUP(C24,Purchased!A:Q,17,0)</f>
        <v>54924</v>
      </c>
      <c r="O24" s="45" t="e">
        <f t="shared" ca="1" si="5"/>
        <v>#VALUE!</v>
      </c>
      <c r="P24" s="49">
        <f>IFERROR(VLOOKUP(C24,Purchased!A:E,3,FALSE),"")</f>
        <v>409.8125</v>
      </c>
      <c r="Q24" s="50">
        <f t="shared" si="6"/>
        <v>409.8125</v>
      </c>
    </row>
    <row r="25" spans="1:17" s="2" customFormat="1" ht="12" customHeight="1">
      <c r="A25" s="4">
        <f t="shared" si="7"/>
        <v>303</v>
      </c>
      <c r="B25" s="2">
        <v>1</v>
      </c>
      <c r="C25" s="114" t="s">
        <v>843</v>
      </c>
      <c r="D25" s="268" t="str">
        <f>VLOOKUP(C25,Purchased!A:B,2,0)</f>
        <v>Dorner 2200 Series standard load 90 Degree (A and B Side)</v>
      </c>
      <c r="E25" s="269"/>
      <c r="F25" s="112" t="str">
        <f>VLOOKUP(C25,Purchased!A:Q,9,0)</f>
        <v>Dorner</v>
      </c>
      <c r="G25" s="112" t="str">
        <f>VLOOKUP(C25,Purchased!A:Q,10,0)</f>
        <v>AAP</v>
      </c>
      <c r="H25" s="112" t="str">
        <f>VLOOKUP(C25,Purchased!A:Q,12,0)</f>
        <v xml:space="preserve"> </v>
      </c>
      <c r="I25" s="113"/>
      <c r="J25" s="44" t="str">
        <f>VLOOKUP(C25,Purchased!A:Q,13,0)</f>
        <v>N/A</v>
      </c>
      <c r="K25" s="44">
        <f>VLOOKUP(C25,Purchased!A:Q,14,0)</f>
        <v>45085</v>
      </c>
      <c r="L25" s="44">
        <f>VLOOKUP(C25,Purchased!A:Q,15,0)</f>
        <v>45110</v>
      </c>
      <c r="M25" s="44">
        <f>VLOOKUP(C25,Purchased!A:Q,16,0)</f>
        <v>45110</v>
      </c>
      <c r="N25" s="45">
        <f>VLOOKUP(C25,Purchased!A:Q,17,0)</f>
        <v>54924</v>
      </c>
      <c r="O25" s="45" t="e">
        <f t="shared" ca="1" si="5"/>
        <v>#VALUE!</v>
      </c>
      <c r="P25" s="49">
        <f>IFERROR(VLOOKUP(C25,Purchased!A:E,3,FALSE),"")</f>
        <v>823.61540000000002</v>
      </c>
      <c r="Q25" s="50">
        <f t="shared" si="6"/>
        <v>823.61540000000002</v>
      </c>
    </row>
    <row r="26" spans="1:17" s="2" customFormat="1" ht="12" customHeight="1">
      <c r="A26" s="4">
        <f t="shared" si="7"/>
        <v>304</v>
      </c>
      <c r="B26" s="2">
        <v>4</v>
      </c>
      <c r="C26" s="114" t="s">
        <v>845</v>
      </c>
      <c r="D26" s="268" t="str">
        <f>VLOOKUP(C26,Purchased!A:B,2,0)</f>
        <v>Nylon Plastic Washer for M6 Screw Size, 6.5 mm ID, 17.8 mm OD, Off-White, 25pk</v>
      </c>
      <c r="E26" s="269"/>
      <c r="F26" s="112" t="str">
        <f>VLOOKUP(C26,Purchased!A:Q,9,0)</f>
        <v>MCM</v>
      </c>
      <c r="G26" s="112" t="str">
        <f>VLOOKUP(C26,Purchased!A:Q,10,0)</f>
        <v>MCM</v>
      </c>
      <c r="H26" s="112" t="str">
        <f>VLOOKUP(C26,Purchased!A:Q,12,0)</f>
        <v xml:space="preserve"> </v>
      </c>
      <c r="I26" s="113"/>
      <c r="J26" s="44" t="str">
        <f>VLOOKUP(C26,Purchased!A:Q,13,0)</f>
        <v>N/A</v>
      </c>
      <c r="K26" s="44">
        <f>VLOOKUP(C26,Purchased!A:Q,14,0)</f>
        <v>45162</v>
      </c>
      <c r="L26" s="44">
        <f>VLOOKUP(C26,Purchased!A:Q,15,0)</f>
        <v>45184</v>
      </c>
      <c r="M26" s="44">
        <f>VLOOKUP(C26,Purchased!A:Q,16,0)</f>
        <v>45163</v>
      </c>
      <c r="N26" s="45">
        <f>VLOOKUP(C26,Purchased!A:Q,17,0)</f>
        <v>55089</v>
      </c>
      <c r="O26" s="45" t="e">
        <f t="shared" ca="1" si="5"/>
        <v>#VALUE!</v>
      </c>
      <c r="P26" s="49">
        <f>IFERROR(VLOOKUP(C26,Purchased!A:E,3,FALSE),"")</f>
        <v>5.5</v>
      </c>
      <c r="Q26" s="50">
        <f t="shared" si="6"/>
        <v>22</v>
      </c>
    </row>
    <row r="27" spans="1:17" s="2" customFormat="1" ht="12" customHeight="1">
      <c r="A27" s="4">
        <f t="shared" si="7"/>
        <v>305</v>
      </c>
      <c r="B27" s="2">
        <v>16</v>
      </c>
      <c r="C27" s="114" t="s">
        <v>847</v>
      </c>
      <c r="D27" s="268" t="str">
        <f>VLOOKUP(C27,Purchased!A:B,2,0)</f>
        <v>Press-Fit Studs 18-8 Stainless Steel, M5 x 0.8 mm Thread, 15 mm Long, PEM Fhs-M5-15, 25pk</v>
      </c>
      <c r="E27" s="269"/>
      <c r="F27" s="112" t="str">
        <f>VLOOKUP(C27,Purchased!A:Q,9,0)</f>
        <v>MCM</v>
      </c>
      <c r="G27" s="112" t="str">
        <f>VLOOKUP(C27,Purchased!A:Q,10,0)</f>
        <v>MCM</v>
      </c>
      <c r="H27" s="112" t="str">
        <f>VLOOKUP(C27,Purchased!A:Q,12,0)</f>
        <v xml:space="preserve"> </v>
      </c>
      <c r="I27" s="113"/>
      <c r="J27" s="44" t="str">
        <f>VLOOKUP(C27,Purchased!A:Q,13,0)</f>
        <v>N/A</v>
      </c>
      <c r="K27" s="44">
        <f>VLOOKUP(C27,Purchased!A:Q,14,0)</f>
        <v>45162</v>
      </c>
      <c r="L27" s="44">
        <f>VLOOKUP(C27,Purchased!A:Q,15,0)</f>
        <v>45184</v>
      </c>
      <c r="M27" s="44">
        <f>VLOOKUP(C27,Purchased!A:Q,16,0)</f>
        <v>45163</v>
      </c>
      <c r="N27" s="45">
        <f>VLOOKUP(C27,Purchased!A:Q,17,0)</f>
        <v>55089</v>
      </c>
      <c r="O27" s="45" t="e">
        <f t="shared" ca="1" si="5"/>
        <v>#VALUE!</v>
      </c>
      <c r="P27" s="49">
        <f>IFERROR(VLOOKUP(C27,Purchased!A:E,3,FALSE),"")</f>
        <v>11.45</v>
      </c>
      <c r="Q27" s="50">
        <f t="shared" si="6"/>
        <v>183.2</v>
      </c>
    </row>
    <row r="28" spans="1:17" s="2" customFormat="1" ht="12" customHeight="1">
      <c r="A28" s="4">
        <f t="shared" si="7"/>
        <v>306</v>
      </c>
      <c r="B28" s="2">
        <v>16</v>
      </c>
      <c r="C28" s="114" t="s">
        <v>848</v>
      </c>
      <c r="D28" s="268" t="str">
        <f>VLOOKUP(C28,Purchased!A:B,2,0)</f>
        <v>Nylon Plastic Washer for M5 Screw Size, 5.3 mm ID, 11 mm OD, Off-White, 100pk</v>
      </c>
      <c r="E28" s="269"/>
      <c r="F28" s="112" t="str">
        <f>VLOOKUP(C28,Purchased!A:Q,9,0)</f>
        <v>MCM</v>
      </c>
      <c r="G28" s="112" t="str">
        <f>VLOOKUP(C28,Purchased!A:Q,10,0)</f>
        <v>MCM</v>
      </c>
      <c r="H28" s="112" t="str">
        <f>VLOOKUP(C28,Purchased!A:Q,12,0)</f>
        <v xml:space="preserve"> </v>
      </c>
      <c r="I28" s="113"/>
      <c r="J28" s="44" t="str">
        <f>VLOOKUP(C28,Purchased!A:Q,13,0)</f>
        <v>N/A</v>
      </c>
      <c r="K28" s="44">
        <f>VLOOKUP(C28,Purchased!A:Q,14,0)</f>
        <v>45162</v>
      </c>
      <c r="L28" s="44">
        <f>VLOOKUP(C28,Purchased!A:Q,15,0)</f>
        <v>45184</v>
      </c>
      <c r="M28" s="44">
        <f>VLOOKUP(C28,Purchased!A:Q,16,0)</f>
        <v>45163</v>
      </c>
      <c r="N28" s="45">
        <f>VLOOKUP(C28,Purchased!A:Q,17,0)</f>
        <v>55089</v>
      </c>
      <c r="O28" s="45" t="e">
        <f t="shared" ca="1" si="5"/>
        <v>#VALUE!</v>
      </c>
      <c r="P28" s="49">
        <f>IFERROR(VLOOKUP(C28,Purchased!A:E,3,FALSE),"")</f>
        <v>6.8</v>
      </c>
      <c r="Q28" s="50">
        <f t="shared" si="6"/>
        <v>108.8</v>
      </c>
    </row>
    <row r="29" spans="1:17" s="2" customFormat="1" ht="12" customHeight="1">
      <c r="A29" s="4">
        <f t="shared" si="7"/>
        <v>307</v>
      </c>
      <c r="B29" s="2">
        <v>16</v>
      </c>
      <c r="C29" s="114" t="s">
        <v>849</v>
      </c>
      <c r="D29" s="268" t="str">
        <f>VLOOKUP(C29,Purchased!A:B,2,0)</f>
        <v>18-8 Stainless Steel Nylon-Insert Locknut M5 x 0.8 mm Thread, 8 mm Wide, 5 mm High, 100pk</v>
      </c>
      <c r="E29" s="269"/>
      <c r="F29" s="112" t="str">
        <f>VLOOKUP(C29,Purchased!A:Q,9,0)</f>
        <v>MCM</v>
      </c>
      <c r="G29" s="112" t="str">
        <f>VLOOKUP(C29,Purchased!A:Q,10,0)</f>
        <v>MCM</v>
      </c>
      <c r="H29" s="112" t="str">
        <f>VLOOKUP(C29,Purchased!A:Q,12,0)</f>
        <v xml:space="preserve"> </v>
      </c>
      <c r="I29" s="113"/>
      <c r="J29" s="44" t="str">
        <f>VLOOKUP(C29,Purchased!A:Q,13,0)</f>
        <v>N/A</v>
      </c>
      <c r="K29" s="44">
        <f>VLOOKUP(C29,Purchased!A:Q,14,0)</f>
        <v>45162</v>
      </c>
      <c r="L29" s="44">
        <f>VLOOKUP(C29,Purchased!A:Q,15,0)</f>
        <v>45184</v>
      </c>
      <c r="M29" s="44">
        <f>VLOOKUP(C29,Purchased!A:Q,16,0)</f>
        <v>45163</v>
      </c>
      <c r="N29" s="45">
        <f>VLOOKUP(C29,Purchased!A:Q,17,0)</f>
        <v>55089</v>
      </c>
      <c r="O29" s="45" t="e">
        <f t="shared" ca="1" si="5"/>
        <v>#VALUE!</v>
      </c>
      <c r="P29" s="49">
        <f>IFERROR(VLOOKUP(C29,Purchased!A:E,3,FALSE),"")</f>
        <v>8.77</v>
      </c>
      <c r="Q29" s="50">
        <f t="shared" si="6"/>
        <v>140.32</v>
      </c>
    </row>
    <row r="30" spans="1:17" s="2" customFormat="1" ht="12" customHeight="1">
      <c r="A30" s="4">
        <f t="shared" si="7"/>
        <v>308</v>
      </c>
      <c r="B30" s="2">
        <v>4</v>
      </c>
      <c r="C30" s="114" t="s">
        <v>1227</v>
      </c>
      <c r="D30" s="268" t="str">
        <f>VLOOKUP(C30,Purchased!A:B,2,0)</f>
        <v>MCM 94669A171 Al Unthreaded Spacer, M5, 13mm OD, 8mm L</v>
      </c>
      <c r="E30" s="269"/>
      <c r="F30" s="112" t="str">
        <f>VLOOKUP(C30,Purchased!A:Q,9,0)</f>
        <v>MCM</v>
      </c>
      <c r="G30" s="112" t="str">
        <f>VLOOKUP(C30,Purchased!A:Q,10,0)</f>
        <v>MCM</v>
      </c>
      <c r="H30" s="112" t="str">
        <f>VLOOKUP(C30,Purchased!A:Q,12,0)</f>
        <v xml:space="preserve"> </v>
      </c>
      <c r="I30" s="113"/>
      <c r="J30" s="44" t="str">
        <f>VLOOKUP(C30,Purchased!A:Q,13,0)</f>
        <v>N/A</v>
      </c>
      <c r="K30" s="44">
        <f>VLOOKUP(C30,Purchased!A:Q,14,0)</f>
        <v>45162</v>
      </c>
      <c r="L30" s="44">
        <f>VLOOKUP(C30,Purchased!A:Q,15,0)</f>
        <v>45184</v>
      </c>
      <c r="M30" s="44">
        <f>VLOOKUP(C30,Purchased!A:Q,16,0)</f>
        <v>45163</v>
      </c>
      <c r="N30" s="45">
        <f>VLOOKUP(C30,Purchased!A:Q,17,0)</f>
        <v>55089</v>
      </c>
      <c r="O30" s="45" t="e">
        <f t="shared" ca="1" si="5"/>
        <v>#VALUE!</v>
      </c>
      <c r="P30" s="49">
        <f>IFERROR(VLOOKUP(C30,Purchased!A:E,3,FALSE),"")</f>
        <v>1.1100000000000001</v>
      </c>
      <c r="Q30" s="50">
        <f t="shared" si="6"/>
        <v>4.4400000000000004</v>
      </c>
    </row>
    <row r="31" spans="1:17" s="2" customFormat="1" ht="12" customHeight="1">
      <c r="A31" s="4">
        <f t="shared" si="7"/>
        <v>309</v>
      </c>
      <c r="B31" s="2">
        <v>4</v>
      </c>
      <c r="C31" s="114" t="s">
        <v>1228</v>
      </c>
      <c r="D31" s="268" t="str">
        <f>VLOOKUP(C31,Purchased!A:B,2,0)</f>
        <v>MCM 97310A113 Oversized Washer, M5, 15mm OD</v>
      </c>
      <c r="E31" s="269"/>
      <c r="F31" s="112" t="str">
        <f>VLOOKUP(C31,Purchased!A:Q,9,0)</f>
        <v>MCM</v>
      </c>
      <c r="G31" s="112" t="str">
        <f>VLOOKUP(C31,Purchased!A:Q,10,0)</f>
        <v>MCM</v>
      </c>
      <c r="H31" s="112" t="str">
        <f>VLOOKUP(C31,Purchased!A:Q,12,0)</f>
        <v xml:space="preserve"> </v>
      </c>
      <c r="I31" s="113"/>
      <c r="J31" s="44" t="str">
        <f>VLOOKUP(C31,Purchased!A:Q,13,0)</f>
        <v>N/A</v>
      </c>
      <c r="K31" s="44">
        <f>VLOOKUP(C31,Purchased!A:Q,14,0)</f>
        <v>45162</v>
      </c>
      <c r="L31" s="44">
        <f>VLOOKUP(C31,Purchased!A:Q,15,0)</f>
        <v>45184</v>
      </c>
      <c r="M31" s="44">
        <f>VLOOKUP(C31,Purchased!A:Q,16,0)</f>
        <v>45163</v>
      </c>
      <c r="N31" s="45">
        <f>VLOOKUP(C31,Purchased!A:Q,17,0)</f>
        <v>55089</v>
      </c>
      <c r="O31" s="45" t="e">
        <f t="shared" ca="1" si="5"/>
        <v>#VALUE!</v>
      </c>
      <c r="P31" s="49">
        <f>IFERROR(VLOOKUP(C31,Purchased!A:E,3,FALSE),"")</f>
        <v>6.85</v>
      </c>
      <c r="Q31" s="50">
        <f t="shared" si="6"/>
        <v>27.4</v>
      </c>
    </row>
    <row r="32" spans="1:17" s="2" customFormat="1" ht="12" customHeight="1">
      <c r="A32" s="4">
        <f t="shared" si="7"/>
        <v>310</v>
      </c>
      <c r="B32" s="2">
        <v>4</v>
      </c>
      <c r="C32" s="114" t="s">
        <v>1229</v>
      </c>
      <c r="D32" s="268" t="str">
        <f>VLOOKUP(C32,Purchased!A:B,2,0)</f>
        <v>MCM 94510A250 Brass Screw to Expand Insert for Plastic, M5x0.8</v>
      </c>
      <c r="E32" s="269"/>
      <c r="F32" s="112" t="str">
        <f>VLOOKUP(C32,Purchased!A:Q,9,0)</f>
        <v>MCM</v>
      </c>
      <c r="G32" s="112" t="str">
        <f>VLOOKUP(C32,Purchased!A:Q,10,0)</f>
        <v>MCM</v>
      </c>
      <c r="H32" s="112" t="str">
        <f>VLOOKUP(C32,Purchased!A:Q,12,0)</f>
        <v xml:space="preserve"> </v>
      </c>
      <c r="I32" s="113"/>
      <c r="J32" s="44" t="str">
        <f>VLOOKUP(C32,Purchased!A:Q,13,0)</f>
        <v>N/A</v>
      </c>
      <c r="K32" s="44">
        <f>VLOOKUP(C32,Purchased!A:Q,14,0)</f>
        <v>45162</v>
      </c>
      <c r="L32" s="44">
        <f>VLOOKUP(C32,Purchased!A:Q,15,0)</f>
        <v>45184</v>
      </c>
      <c r="M32" s="44">
        <f>VLOOKUP(C32,Purchased!A:Q,16,0)</f>
        <v>45163</v>
      </c>
      <c r="N32" s="45">
        <f>VLOOKUP(C32,Purchased!A:Q,17,0)</f>
        <v>55089</v>
      </c>
      <c r="O32" s="45" t="e">
        <f t="shared" ca="1" si="5"/>
        <v>#VALUE!</v>
      </c>
      <c r="P32" s="49">
        <f>IFERROR(VLOOKUP(C32,Purchased!A:E,3,FALSE),"")</f>
        <v>5.88</v>
      </c>
      <c r="Q32" s="50">
        <f t="shared" si="6"/>
        <v>23.52</v>
      </c>
    </row>
    <row r="33" spans="1:17" s="2" customFormat="1" ht="12" customHeight="1">
      <c r="A33" s="4">
        <f t="shared" si="7"/>
        <v>311</v>
      </c>
      <c r="B33" s="2">
        <v>12</v>
      </c>
      <c r="C33" s="114" t="s">
        <v>262</v>
      </c>
      <c r="D33" s="268" t="str">
        <f>VLOOKUP(C33,Purchased!A:B,2,0)</f>
        <v>BRX GOTO T-NUT 10 M6</v>
      </c>
      <c r="E33" s="269"/>
      <c r="F33" s="112" t="str">
        <f>VLOOKUP(C33,Purchased!A:Q,9,0)</f>
        <v>BRX</v>
      </c>
      <c r="G33" s="112" t="str">
        <f>VLOOKUP(C33,Purchased!A:Q,10,0)</f>
        <v>AAP</v>
      </c>
      <c r="H33" s="112" t="str">
        <f>VLOOKUP(C33,Purchased!A:Q,12,0)</f>
        <v xml:space="preserve">  </v>
      </c>
      <c r="I33" s="113"/>
      <c r="J33" s="44">
        <f>VLOOKUP(C33,Purchased!A:Q,13,0)</f>
        <v>45104</v>
      </c>
      <c r="K33" s="44">
        <f>VLOOKUP(C33,Purchased!A:Q,14,0)</f>
        <v>45105</v>
      </c>
      <c r="L33" s="44">
        <f>VLOOKUP(C33,Purchased!A:Q,15,0)</f>
        <v>45133</v>
      </c>
      <c r="M33" s="44">
        <f>VLOOKUP(C33,Purchased!A:Q,16,0)</f>
        <v>45133</v>
      </c>
      <c r="N33" s="45" t="str">
        <f>VLOOKUP(C33,Purchased!A:Q,17,0)</f>
        <v>54968, 55147, 55270</v>
      </c>
      <c r="O33" s="45" t="e">
        <f t="shared" ca="1" si="5"/>
        <v>#VALUE!</v>
      </c>
      <c r="P33" s="49">
        <f>IFERROR(VLOOKUP(C33,Purchased!A:E,3,FALSE),"")</f>
        <v>0.64290000000000003</v>
      </c>
      <c r="Q33" s="50">
        <f t="shared" si="6"/>
        <v>7.7148000000000003</v>
      </c>
    </row>
    <row r="34" spans="1:17" s="2" customFormat="1" ht="12" customHeight="1">
      <c r="A34" s="4">
        <f t="shared" si="7"/>
        <v>312</v>
      </c>
      <c r="B34" s="2">
        <v>8</v>
      </c>
      <c r="C34" s="114" t="s">
        <v>844</v>
      </c>
      <c r="D34" s="268" t="str">
        <f>VLOOKUP(C34,Purchased!A:B,2,0)</f>
        <v>DORNER 300150M M6x1.0 T-Bar</v>
      </c>
      <c r="E34" s="269"/>
      <c r="F34" s="112" t="str">
        <f>VLOOKUP(C34,Purchased!A:Q,9,0)</f>
        <v>DORNER</v>
      </c>
      <c r="G34" s="112" t="str">
        <f>VLOOKUP(C34,Purchased!A:Q,10,0)</f>
        <v>AAP</v>
      </c>
      <c r="H34" s="112" t="str">
        <f>VLOOKUP(C34,Purchased!A:Q,12,0)</f>
        <v xml:space="preserve"> </v>
      </c>
      <c r="I34" s="113"/>
      <c r="J34" s="44" t="str">
        <f>VLOOKUP(C34,Purchased!A:Q,13,0)</f>
        <v>N/A</v>
      </c>
      <c r="K34" s="44">
        <f>VLOOKUP(C34,Purchased!A:Q,14,0)</f>
        <v>45162</v>
      </c>
      <c r="L34" s="44">
        <f>VLOOKUP(C34,Purchased!A:Q,15,0)</f>
        <v>45184</v>
      </c>
      <c r="M34" s="44">
        <f>VLOOKUP(C34,Purchased!A:Q,16,0)</f>
        <v>45197</v>
      </c>
      <c r="N34" s="45">
        <f>VLOOKUP(C34,Purchased!A:Q,17,0)</f>
        <v>55073</v>
      </c>
      <c r="O34" s="45" t="e">
        <f t="shared" ca="1" si="5"/>
        <v>#VALUE!</v>
      </c>
      <c r="P34" s="49">
        <f>IFERROR(VLOOKUP(C34,Purchased!A:E,3,FALSE),"")</f>
        <v>9.8908000000000005</v>
      </c>
      <c r="Q34" s="50">
        <f t="shared" si="6"/>
        <v>79.126400000000004</v>
      </c>
    </row>
    <row r="35" spans="1:17" s="2" customFormat="1" ht="12" customHeight="1">
      <c r="A35" s="4">
        <f t="shared" si="7"/>
        <v>313</v>
      </c>
      <c r="B35" s="2">
        <v>4</v>
      </c>
      <c r="C35" s="114" t="s">
        <v>1230</v>
      </c>
      <c r="D35" s="268" t="str">
        <f>VLOOKUP(C35,Purchased!A:B,2,0)</f>
        <v xml:space="preserve">ELESA ERZ.44p-M5x20-C1 Adjustable Handle for M5 Screw, 20mm Screw L </v>
      </c>
      <c r="E35" s="269"/>
      <c r="F35" s="112" t="str">
        <f>VLOOKUP(C35,Purchased!A:Q,9,0)</f>
        <v>ELESA</v>
      </c>
      <c r="G35" s="112" t="str">
        <f>VLOOKUP(C35,Purchased!A:Q,10,0)</f>
        <v>ELESA</v>
      </c>
      <c r="H35" s="112" t="str">
        <f>VLOOKUP(C35,Purchased!A:Q,12,0)</f>
        <v xml:space="preserve"> </v>
      </c>
      <c r="I35" s="113"/>
      <c r="J35" s="44" t="str">
        <f>VLOOKUP(C35,Purchased!A:Q,13,0)</f>
        <v>N/A</v>
      </c>
      <c r="K35" s="44">
        <f>VLOOKUP(C35,Purchased!A:Q,14,0)</f>
        <v>45162</v>
      </c>
      <c r="L35" s="44">
        <f>VLOOKUP(C35,Purchased!A:Q,15,0)</f>
        <v>45184</v>
      </c>
      <c r="M35" s="44">
        <f>VLOOKUP(C35,Purchased!A:Q,16,0)</f>
        <v>45184</v>
      </c>
      <c r="N35" s="45">
        <f>VLOOKUP(C35,Purchased!A:Q,17,0)</f>
        <v>55075</v>
      </c>
      <c r="O35" s="45" t="e">
        <f t="shared" ca="1" si="5"/>
        <v>#VALUE!</v>
      </c>
      <c r="P35" s="49">
        <f>IFERROR(VLOOKUP(C35,Purchased!A:E,3,FALSE),"")</f>
        <v>3.4</v>
      </c>
      <c r="Q35" s="50">
        <f t="shared" si="6"/>
        <v>13.6</v>
      </c>
    </row>
    <row r="36" spans="1:17" s="2" customFormat="1" ht="12" customHeight="1">
      <c r="A36" s="4">
        <f t="shared" si="7"/>
        <v>314</v>
      </c>
      <c r="B36" s="2">
        <v>2</v>
      </c>
      <c r="C36" s="114" t="s">
        <v>1231</v>
      </c>
      <c r="D36" s="268" t="str">
        <f>VLOOKUP(C36,Purchased!A:B,2,0)</f>
        <v xml:space="preserve">ELESA ERZ.44p-M5x32-C1 Adjustable Handle for M5 Screw, 32mm Screw L </v>
      </c>
      <c r="E36" s="269"/>
      <c r="F36" s="112" t="str">
        <f>VLOOKUP(C36,Purchased!A:Q,9,0)</f>
        <v>ELESA</v>
      </c>
      <c r="G36" s="112" t="str">
        <f>VLOOKUP(C36,Purchased!A:Q,10,0)</f>
        <v>ELESA</v>
      </c>
      <c r="H36" s="112" t="str">
        <f>VLOOKUP(C36,Purchased!A:Q,12,0)</f>
        <v xml:space="preserve"> </v>
      </c>
      <c r="I36" s="113"/>
      <c r="J36" s="44" t="str">
        <f>VLOOKUP(C36,Purchased!A:Q,13,0)</f>
        <v>N/A</v>
      </c>
      <c r="K36" s="44">
        <f>VLOOKUP(C36,Purchased!A:Q,14,0)</f>
        <v>45162</v>
      </c>
      <c r="L36" s="44">
        <f>VLOOKUP(C36,Purchased!A:Q,15,0)</f>
        <v>45184</v>
      </c>
      <c r="M36" s="44">
        <f>VLOOKUP(C36,Purchased!A:Q,16,0)</f>
        <v>45184</v>
      </c>
      <c r="N36" s="45">
        <f>VLOOKUP(C36,Purchased!A:Q,17,0)</f>
        <v>55075</v>
      </c>
      <c r="O36" s="45" t="e">
        <f t="shared" ca="1" si="5"/>
        <v>#VALUE!</v>
      </c>
      <c r="P36" s="49">
        <f>IFERROR(VLOOKUP(C36,Purchased!A:E,3,FALSE),"")</f>
        <v>3.55</v>
      </c>
      <c r="Q36" s="50">
        <f t="shared" si="6"/>
        <v>7.1</v>
      </c>
    </row>
    <row r="37" spans="1:17" s="2" customFormat="1" ht="12" customHeight="1">
      <c r="A37" s="4">
        <f>A36+1</f>
        <v>315</v>
      </c>
      <c r="B37" s="2">
        <v>2</v>
      </c>
      <c r="C37" s="114" t="s">
        <v>1232</v>
      </c>
      <c r="D37" s="268" t="str">
        <f>VLOOKUP(C37,Purchased!A:B,2,0)</f>
        <v>MISUMI Steel Spacer, 6mm ID, 13mm OD, 12.7mm L</v>
      </c>
      <c r="E37" s="269"/>
      <c r="F37" s="112" t="str">
        <f>VLOOKUP(C37,Purchased!A:Q,9,0)</f>
        <v>MISUMI</v>
      </c>
      <c r="G37" s="112" t="str">
        <f>VLOOKUP(C37,Purchased!A:Q,10,0)</f>
        <v>MISUMI</v>
      </c>
      <c r="H37" s="112" t="str">
        <f>VLOOKUP(C37,Purchased!A:Q,12,0)</f>
        <v xml:space="preserve"> </v>
      </c>
      <c r="I37" s="113"/>
      <c r="J37" s="44" t="str">
        <f>VLOOKUP(C37,Purchased!A:Q,13,0)</f>
        <v>N/A</v>
      </c>
      <c r="K37" s="44">
        <f>VLOOKUP(C37,Purchased!A:Q,14,0)</f>
        <v>45161</v>
      </c>
      <c r="L37" s="44">
        <f>VLOOKUP(C37,Purchased!A:Q,15,0)</f>
        <v>45191</v>
      </c>
      <c r="M37" s="44">
        <f>VLOOKUP(C37,Purchased!A:Q,16,0)</f>
        <v>45176</v>
      </c>
      <c r="N37" s="45">
        <f>VLOOKUP(C37,Purchased!A:Q,17,0)</f>
        <v>55078</v>
      </c>
      <c r="O37" s="45" t="e">
        <f t="shared" ca="1" si="5"/>
        <v>#VALUE!</v>
      </c>
      <c r="P37" s="49">
        <f>IFERROR(VLOOKUP(C37,Purchased!A:E,3,FALSE),"")</f>
        <v>11.35</v>
      </c>
      <c r="Q37" s="50">
        <f t="shared" si="6"/>
        <v>22.7</v>
      </c>
    </row>
    <row r="38" spans="1:17" s="2" customFormat="1" ht="12" customHeight="1">
      <c r="A38" s="4">
        <f t="shared" si="7"/>
        <v>316</v>
      </c>
      <c r="B38" s="2">
        <v>1</v>
      </c>
      <c r="C38" s="114" t="s">
        <v>850</v>
      </c>
      <c r="D38" s="268" t="str">
        <f>VLOOKUP(C38,Purchased!A:B,2,0)</f>
        <v>KEYENCE FU-E40 Digital Fiber Optic Distance Sensor</v>
      </c>
      <c r="E38" s="269"/>
      <c r="F38" s="112" t="str">
        <f>VLOOKUP(C38,Purchased!A:Q,9,0)</f>
        <v>KEYENCE</v>
      </c>
      <c r="G38" s="112" t="str">
        <f>VLOOKUP(C38,Purchased!A:Q,10,0)</f>
        <v>KEYENCE</v>
      </c>
      <c r="H38" s="112" t="str">
        <f>VLOOKUP(C38,Purchased!A:Q,12,0)</f>
        <v xml:space="preserve"> </v>
      </c>
      <c r="I38" s="113"/>
      <c r="J38" s="44">
        <f>VLOOKUP(C38,Purchased!A:Q,13,0)</f>
        <v>45154</v>
      </c>
      <c r="K38" s="44">
        <f>VLOOKUP(C38,Purchased!A:Q,14,0)</f>
        <v>45161</v>
      </c>
      <c r="L38" s="44">
        <f>VLOOKUP(C38,Purchased!A:Q,15,0)</f>
        <v>45191</v>
      </c>
      <c r="M38" s="44">
        <f>VLOOKUP(C38,Purchased!A:Q,16,0)</f>
        <v>45184</v>
      </c>
      <c r="N38" s="45">
        <f>VLOOKUP(C38,Purchased!A:Q,17,0)</f>
        <v>55077</v>
      </c>
      <c r="O38" s="45" t="e">
        <f t="shared" ca="1" si="5"/>
        <v>#VALUE!</v>
      </c>
      <c r="P38" s="49">
        <f>IFERROR(VLOOKUP(C38,Purchased!A:E,3,FALSE),"")</f>
        <v>436</v>
      </c>
      <c r="Q38" s="50">
        <f t="shared" si="6"/>
        <v>436</v>
      </c>
    </row>
    <row r="39" spans="1:17" s="2" customFormat="1" ht="12" customHeight="1">
      <c r="A39" s="4">
        <f t="shared" si="7"/>
        <v>317</v>
      </c>
      <c r="B39" s="2">
        <v>2</v>
      </c>
      <c r="C39" s="114" t="s">
        <v>851</v>
      </c>
      <c r="D39" s="268" t="str">
        <f>VLOOKUP(C39,Purchased!A:B,2,0)</f>
        <v>DORNER M6 TWIST-IN T-NUT</v>
      </c>
      <c r="E39" s="269"/>
      <c r="F39" s="112" t="str">
        <f>VLOOKUP(C39,Purchased!A:Q,9,0)</f>
        <v>DORNER</v>
      </c>
      <c r="G39" s="112" t="str">
        <f>VLOOKUP(C39,Purchased!A:Q,10,0)</f>
        <v>AAP</v>
      </c>
      <c r="H39" s="112" t="str">
        <f>VLOOKUP(C39,Purchased!A:Q,12,0)</f>
        <v>50 IN NULINE STOCK</v>
      </c>
      <c r="I39" s="113"/>
      <c r="J39" s="44" t="str">
        <f>VLOOKUP(C39,Purchased!A:Q,13,0)</f>
        <v>N/A</v>
      </c>
      <c r="K39" s="44" t="str">
        <f>VLOOKUP(C39,Purchased!A:Q,14,0)</f>
        <v>N/A</v>
      </c>
      <c r="L39" s="44" t="str">
        <f>VLOOKUP(C39,Purchased!A:Q,15,0)</f>
        <v>N/A</v>
      </c>
      <c r="M39" s="44" t="str">
        <f>VLOOKUP(C39,Purchased!A:Q,16,0)</f>
        <v>N/A</v>
      </c>
      <c r="N39" s="45" t="str">
        <f>VLOOKUP(C39,Purchased!A:Q,17,0)</f>
        <v>N/A</v>
      </c>
      <c r="O39" s="45" t="e">
        <f t="shared" ref="O39" ca="1" si="8">B39*$L$2</f>
        <v>#VALUE!</v>
      </c>
      <c r="P39" s="49">
        <f>IFERROR(VLOOKUP(C39,Purchased!A:E,3,FALSE),"")</f>
        <v>0</v>
      </c>
      <c r="Q39" s="50">
        <f t="shared" ref="Q39" si="9">IFERROR(B39*P39,"")</f>
        <v>0</v>
      </c>
    </row>
    <row r="40" spans="1:17" s="2" customFormat="1" ht="12.75" customHeight="1">
      <c r="A40" s="25"/>
      <c r="B40" s="26"/>
      <c r="C40" s="26"/>
      <c r="D40" s="272"/>
      <c r="E40" s="273"/>
      <c r="F40" s="26"/>
      <c r="G40" s="26"/>
      <c r="H40" s="274"/>
      <c r="I40" s="275"/>
      <c r="J40" s="27"/>
      <c r="K40" s="27"/>
      <c r="L40" s="27"/>
      <c r="M40" s="28"/>
      <c r="N40" s="29"/>
      <c r="O40" s="29" t="e">
        <f t="shared" ca="1" si="5"/>
        <v>#VALUE!</v>
      </c>
      <c r="P40" s="141"/>
      <c r="Q40" s="142"/>
    </row>
    <row r="41" spans="1:17" s="2" customFormat="1" ht="12.75" customHeight="1">
      <c r="A41" s="4">
        <v>501</v>
      </c>
      <c r="B41" s="2">
        <v>4</v>
      </c>
      <c r="C41" s="110" t="s">
        <v>970</v>
      </c>
      <c r="D41" s="268"/>
      <c r="E41" s="276"/>
      <c r="F41" s="112" t="str">
        <f>VLOOKUP(C41,Bolts!A:L,5,0)</f>
        <v xml:space="preserve">  </v>
      </c>
      <c r="G41" s="112" t="str">
        <f>VLOOKUP(C41,Bolts!A:L,6,0)</f>
        <v>Monroe Fasteners</v>
      </c>
      <c r="H41" s="112" t="str">
        <f>VLOOKUP(C41,Bolts!A:L,7,0)</f>
        <v xml:space="preserve">  </v>
      </c>
      <c r="I41" s="112"/>
      <c r="J41" s="44" t="str">
        <f>VLOOKUP(C41,Bolts!A:L,8,0)</f>
        <v xml:space="preserve"> </v>
      </c>
      <c r="K41" s="44" t="str">
        <f>VLOOKUP(C41,Bolts!A:L,9,0)</f>
        <v xml:space="preserve"> </v>
      </c>
      <c r="L41" s="44" t="str">
        <f>VLOOKUP(C41,Bolts!A:L,10,0)</f>
        <v xml:space="preserve"> </v>
      </c>
      <c r="M41" s="44" t="str">
        <f>VLOOKUP(C41,Bolts!A:L,11,0)</f>
        <v xml:space="preserve"> </v>
      </c>
      <c r="N41" s="45" t="str">
        <f>VLOOKUP(C41,Bolts!A:L,12,0)</f>
        <v xml:space="preserve"> </v>
      </c>
      <c r="O41" s="45" t="e">
        <f t="shared" ca="1" si="5"/>
        <v>#VALUE!</v>
      </c>
      <c r="P41" s="49" t="str">
        <f>IFERROR(VLOOKUP(C41,Bolts!A:B,2,FALSE),"")</f>
        <v xml:space="preserve"> </v>
      </c>
      <c r="Q41" s="50" t="str">
        <f t="shared" ref="Q41:Q49" si="10">IFERROR(B41*P41,"")</f>
        <v/>
      </c>
    </row>
    <row r="42" spans="1:17" s="2" customFormat="1" ht="12.75" customHeight="1">
      <c r="A42" s="4">
        <f t="shared" ref="A42:A49" si="11">A41+1</f>
        <v>502</v>
      </c>
      <c r="B42" s="2">
        <v>14</v>
      </c>
      <c r="C42" s="110" t="s">
        <v>287</v>
      </c>
      <c r="D42" s="268"/>
      <c r="E42" s="276"/>
      <c r="F42" s="112" t="str">
        <f>VLOOKUP(C42,Bolts!A:L,5,0)</f>
        <v xml:space="preserve">  </v>
      </c>
      <c r="G42" s="112" t="str">
        <f>VLOOKUP(C42,Bolts!A:L,6,0)</f>
        <v>Monroe Fasteners</v>
      </c>
      <c r="H42" s="112" t="str">
        <f>VLOOKUP(C42,Bolts!A:L,7,0)</f>
        <v xml:space="preserve">  </v>
      </c>
      <c r="I42" s="112"/>
      <c r="J42" s="44" t="str">
        <f>VLOOKUP(C42,Bolts!A:L,8,0)</f>
        <v xml:space="preserve"> </v>
      </c>
      <c r="K42" s="44" t="str">
        <f>VLOOKUP(C42,Bolts!A:L,9,0)</f>
        <v xml:space="preserve"> </v>
      </c>
      <c r="L42" s="44" t="str">
        <f>VLOOKUP(C42,Bolts!A:L,10,0)</f>
        <v xml:space="preserve"> </v>
      </c>
      <c r="M42" s="44" t="str">
        <f>VLOOKUP(C42,Bolts!A:L,11,0)</f>
        <v xml:space="preserve"> </v>
      </c>
      <c r="N42" s="45" t="str">
        <f>VLOOKUP(C42,Bolts!A:L,12,0)</f>
        <v xml:space="preserve"> </v>
      </c>
      <c r="O42" s="45" t="e">
        <f t="shared" ca="1" si="5"/>
        <v>#VALUE!</v>
      </c>
      <c r="P42" s="49" t="str">
        <f>IFERROR(VLOOKUP(C42,Bolts!A:B,2,FALSE),"")</f>
        <v xml:space="preserve"> </v>
      </c>
      <c r="Q42" s="50" t="str">
        <f t="shared" si="10"/>
        <v/>
      </c>
    </row>
    <row r="43" spans="1:17" s="2" customFormat="1" ht="12" customHeight="1">
      <c r="A43" s="4">
        <f t="shared" si="11"/>
        <v>503</v>
      </c>
      <c r="B43" s="2">
        <v>12</v>
      </c>
      <c r="C43" s="110" t="s">
        <v>699</v>
      </c>
      <c r="D43" s="268"/>
      <c r="E43" s="276"/>
      <c r="F43" s="112" t="str">
        <f>VLOOKUP(C43,Bolts!A:L,5,0)</f>
        <v xml:space="preserve">  </v>
      </c>
      <c r="G43" s="112" t="str">
        <f>VLOOKUP(C43,Bolts!A:L,6,0)</f>
        <v>Monroe Fasteners</v>
      </c>
      <c r="H43" s="112" t="str">
        <f>VLOOKUP(C43,Bolts!A:L,7,0)</f>
        <v xml:space="preserve">  </v>
      </c>
      <c r="I43" s="112"/>
      <c r="J43" s="44" t="str">
        <f>VLOOKUP(C43,Bolts!A:L,8,0)</f>
        <v xml:space="preserve"> </v>
      </c>
      <c r="K43" s="44" t="str">
        <f>VLOOKUP(C43,Bolts!A:L,9,0)</f>
        <v xml:space="preserve"> </v>
      </c>
      <c r="L43" s="44" t="str">
        <f>VLOOKUP(C43,Bolts!A:L,10,0)</f>
        <v xml:space="preserve"> </v>
      </c>
      <c r="M43" s="44" t="str">
        <f>VLOOKUP(C43,Bolts!A:L,11,0)</f>
        <v xml:space="preserve"> </v>
      </c>
      <c r="N43" s="45" t="str">
        <f>VLOOKUP(C43,Bolts!A:L,12,0)</f>
        <v xml:space="preserve"> </v>
      </c>
      <c r="O43" s="45" t="e">
        <f t="shared" ca="1" si="5"/>
        <v>#VALUE!</v>
      </c>
      <c r="P43" s="49" t="str">
        <f>IFERROR(VLOOKUP(C43,Bolts!A:B,2,FALSE),"")</f>
        <v xml:space="preserve"> </v>
      </c>
      <c r="Q43" s="50" t="str">
        <f t="shared" si="10"/>
        <v/>
      </c>
    </row>
    <row r="44" spans="1:17" s="2" customFormat="1" ht="12" customHeight="1">
      <c r="A44" s="4">
        <f t="shared" si="11"/>
        <v>504</v>
      </c>
      <c r="B44" s="2">
        <v>12</v>
      </c>
      <c r="C44" s="110" t="s">
        <v>344</v>
      </c>
      <c r="D44" s="268"/>
      <c r="E44" s="276"/>
      <c r="F44" s="112" t="str">
        <f>VLOOKUP(C44,Bolts!A:L,5,0)</f>
        <v xml:space="preserve">  </v>
      </c>
      <c r="G44" s="112" t="str">
        <f>VLOOKUP(C44,Bolts!A:L,6,0)</f>
        <v>Monroe Fasteners</v>
      </c>
      <c r="H44" s="112" t="str">
        <f>VLOOKUP(C44,Bolts!A:L,7,0)</f>
        <v xml:space="preserve">  </v>
      </c>
      <c r="I44" s="112"/>
      <c r="J44" s="44" t="str">
        <f>VLOOKUP(C44,Bolts!A:L,8,0)</f>
        <v xml:space="preserve"> </v>
      </c>
      <c r="K44" s="44" t="str">
        <f>VLOOKUP(C44,Bolts!A:L,9,0)</f>
        <v xml:space="preserve"> </v>
      </c>
      <c r="L44" s="44" t="str">
        <f>VLOOKUP(C44,Bolts!A:L,10,0)</f>
        <v xml:space="preserve"> </v>
      </c>
      <c r="M44" s="44" t="str">
        <f>VLOOKUP(C44,Bolts!A:L,11,0)</f>
        <v xml:space="preserve"> </v>
      </c>
      <c r="N44" s="45" t="str">
        <f>VLOOKUP(C44,Bolts!A:L,12,0)</f>
        <v xml:space="preserve"> </v>
      </c>
      <c r="O44" s="45" t="e">
        <f t="shared" ca="1" si="5"/>
        <v>#VALUE!</v>
      </c>
      <c r="P44" s="49" t="str">
        <f>IFERROR(VLOOKUP(C44,Bolts!A:B,2,FALSE),"")</f>
        <v xml:space="preserve"> </v>
      </c>
      <c r="Q44" s="50" t="str">
        <f t="shared" si="10"/>
        <v/>
      </c>
    </row>
    <row r="45" spans="1:17" s="2" customFormat="1" ht="12" customHeight="1">
      <c r="A45" s="4">
        <f t="shared" si="11"/>
        <v>505</v>
      </c>
      <c r="B45" s="2">
        <v>14</v>
      </c>
      <c r="C45" s="110" t="s">
        <v>278</v>
      </c>
      <c r="D45" s="268"/>
      <c r="E45" s="276"/>
      <c r="F45" s="112" t="str">
        <f>VLOOKUP(C45,Bolts!A:L,5,0)</f>
        <v xml:space="preserve">  </v>
      </c>
      <c r="G45" s="112" t="str">
        <f>VLOOKUP(C45,Bolts!A:L,6,0)</f>
        <v>Monroe Fasteners</v>
      </c>
      <c r="H45" s="112" t="str">
        <f>VLOOKUP(C45,Bolts!A:L,7,0)</f>
        <v xml:space="preserve">  </v>
      </c>
      <c r="I45" s="112"/>
      <c r="J45" s="44" t="str">
        <f>VLOOKUP(C45,Bolts!A:L,8,0)</f>
        <v xml:space="preserve"> </v>
      </c>
      <c r="K45" s="44" t="str">
        <f>VLOOKUP(C45,Bolts!A:L,9,0)</f>
        <v xml:space="preserve"> </v>
      </c>
      <c r="L45" s="44" t="str">
        <f>VLOOKUP(C45,Bolts!A:L,10,0)</f>
        <v xml:space="preserve"> </v>
      </c>
      <c r="M45" s="44" t="str">
        <f>VLOOKUP(C45,Bolts!A:L,11,0)</f>
        <v xml:space="preserve"> </v>
      </c>
      <c r="N45" s="45" t="str">
        <f>VLOOKUP(C45,Bolts!A:L,12,0)</f>
        <v xml:space="preserve"> </v>
      </c>
      <c r="O45" s="45" t="e">
        <f t="shared" ca="1" si="5"/>
        <v>#VALUE!</v>
      </c>
      <c r="P45" s="49" t="str">
        <f>IFERROR(VLOOKUP(C45,Bolts!A:B,2,FALSE),"")</f>
        <v xml:space="preserve"> </v>
      </c>
      <c r="Q45" s="50" t="str">
        <f t="shared" si="10"/>
        <v/>
      </c>
    </row>
    <row r="46" spans="1:17" s="2" customFormat="1" ht="12" customHeight="1">
      <c r="A46" s="4">
        <f t="shared" si="11"/>
        <v>506</v>
      </c>
      <c r="B46" s="2">
        <v>4</v>
      </c>
      <c r="C46" s="110" t="s">
        <v>267</v>
      </c>
      <c r="D46" s="268"/>
      <c r="E46" s="276"/>
      <c r="F46" s="112" t="str">
        <f>VLOOKUP(C46,Bolts!A:L,5,0)</f>
        <v xml:space="preserve">  </v>
      </c>
      <c r="G46" s="112" t="str">
        <f>VLOOKUP(C46,Bolts!A:L,6,0)</f>
        <v>Monroe Fasteners</v>
      </c>
      <c r="H46" s="112" t="str">
        <f>VLOOKUP(C46,Bolts!A:L,7,0)</f>
        <v xml:space="preserve">  </v>
      </c>
      <c r="I46" s="112"/>
      <c r="J46" s="44" t="str">
        <f>VLOOKUP(C46,Bolts!A:L,8,0)</f>
        <v xml:space="preserve"> </v>
      </c>
      <c r="K46" s="44" t="str">
        <f>VLOOKUP(C46,Bolts!A:L,9,0)</f>
        <v xml:space="preserve"> </v>
      </c>
      <c r="L46" s="44" t="str">
        <f>VLOOKUP(C46,Bolts!A:L,10,0)</f>
        <v xml:space="preserve"> </v>
      </c>
      <c r="M46" s="44" t="str">
        <f>VLOOKUP(C46,Bolts!A:L,11,0)</f>
        <v xml:space="preserve"> </v>
      </c>
      <c r="N46" s="45" t="str">
        <f>VLOOKUP(C46,Bolts!A:L,12,0)</f>
        <v xml:space="preserve"> </v>
      </c>
      <c r="O46" s="45" t="e">
        <f t="shared" ca="1" si="5"/>
        <v>#VALUE!</v>
      </c>
      <c r="P46" s="49" t="str">
        <f>IFERROR(VLOOKUP(C46,Bolts!A:B,2,FALSE),"")</f>
        <v xml:space="preserve"> </v>
      </c>
      <c r="Q46" s="50" t="str">
        <f t="shared" si="10"/>
        <v/>
      </c>
    </row>
    <row r="47" spans="1:17" s="2" customFormat="1" ht="12" customHeight="1">
      <c r="A47" s="4">
        <f t="shared" si="11"/>
        <v>507</v>
      </c>
      <c r="B47" s="2">
        <v>4</v>
      </c>
      <c r="C47" s="110" t="s">
        <v>479</v>
      </c>
      <c r="D47" s="268"/>
      <c r="E47" s="276"/>
      <c r="F47" s="112" t="str">
        <f>VLOOKUP(C47,Bolts!A:L,5,0)</f>
        <v xml:space="preserve">  </v>
      </c>
      <c r="G47" s="112" t="str">
        <f>VLOOKUP(C47,Bolts!A:L,6,0)</f>
        <v>Monroe Fasteners</v>
      </c>
      <c r="H47" s="112" t="str">
        <f>VLOOKUP(C47,Bolts!A:L,7,0)</f>
        <v xml:space="preserve">  </v>
      </c>
      <c r="I47" s="112"/>
      <c r="J47" s="44" t="str">
        <f>VLOOKUP(C47,Bolts!A:L,8,0)</f>
        <v xml:space="preserve"> </v>
      </c>
      <c r="K47" s="44" t="str">
        <f>VLOOKUP(C47,Bolts!A:L,9,0)</f>
        <v xml:space="preserve"> </v>
      </c>
      <c r="L47" s="44" t="str">
        <f>VLOOKUP(C47,Bolts!A:L,10,0)</f>
        <v xml:space="preserve"> </v>
      </c>
      <c r="M47" s="44" t="str">
        <f>VLOOKUP(C47,Bolts!A:L,11,0)</f>
        <v xml:space="preserve"> </v>
      </c>
      <c r="N47" s="45" t="str">
        <f>VLOOKUP(C47,Bolts!A:L,12,0)</f>
        <v xml:space="preserve"> </v>
      </c>
      <c r="O47" s="45" t="e">
        <f t="shared" ca="1" si="5"/>
        <v>#VALUE!</v>
      </c>
      <c r="P47" s="49" t="str">
        <f>IFERROR(VLOOKUP(C47,Bolts!A:B,2,FALSE),"")</f>
        <v xml:space="preserve"> </v>
      </c>
      <c r="Q47" s="50" t="str">
        <f t="shared" si="10"/>
        <v/>
      </c>
    </row>
    <row r="48" spans="1:17" s="2" customFormat="1" ht="12" customHeight="1">
      <c r="A48" s="4">
        <f t="shared" si="11"/>
        <v>508</v>
      </c>
      <c r="B48" s="2">
        <v>4</v>
      </c>
      <c r="C48" s="110" t="s">
        <v>853</v>
      </c>
      <c r="D48" s="268"/>
      <c r="E48" s="276"/>
      <c r="F48" s="112" t="str">
        <f>VLOOKUP(C48,Bolts!A:L,5,0)</f>
        <v xml:space="preserve">  </v>
      </c>
      <c r="G48" s="112" t="str">
        <f>VLOOKUP(C48,Bolts!A:L,6,0)</f>
        <v>Monroe Fasteners</v>
      </c>
      <c r="H48" s="112" t="str">
        <f>VLOOKUP(C48,Bolts!A:L,7,0)</f>
        <v xml:space="preserve">  </v>
      </c>
      <c r="I48" s="112"/>
      <c r="J48" s="44" t="str">
        <f>VLOOKUP(C48,Bolts!A:L,8,0)</f>
        <v xml:space="preserve"> </v>
      </c>
      <c r="K48" s="44" t="str">
        <f>VLOOKUP(C48,Bolts!A:L,9,0)</f>
        <v xml:space="preserve"> </v>
      </c>
      <c r="L48" s="44" t="str">
        <f>VLOOKUP(C48,Bolts!A:L,10,0)</f>
        <v xml:space="preserve"> </v>
      </c>
      <c r="M48" s="44" t="str">
        <f>VLOOKUP(C48,Bolts!A:L,11,0)</f>
        <v xml:space="preserve"> </v>
      </c>
      <c r="N48" s="45" t="str">
        <f>VLOOKUP(C48,Bolts!A:L,12,0)</f>
        <v xml:space="preserve"> </v>
      </c>
      <c r="O48" s="45" t="e">
        <f t="shared" ca="1" si="5"/>
        <v>#VALUE!</v>
      </c>
      <c r="P48" s="49" t="str">
        <f>IFERROR(VLOOKUP(C48,Bolts!A:B,2,FALSE),"")</f>
        <v xml:space="preserve"> </v>
      </c>
      <c r="Q48" s="50" t="str">
        <f t="shared" si="10"/>
        <v/>
      </c>
    </row>
    <row r="49" spans="1:17" s="2" customFormat="1" ht="12" customHeight="1" thickBot="1">
      <c r="A49" s="4">
        <f t="shared" si="11"/>
        <v>509</v>
      </c>
      <c r="B49" s="2">
        <v>30</v>
      </c>
      <c r="C49" s="110" t="s">
        <v>289</v>
      </c>
      <c r="D49" s="268"/>
      <c r="E49" s="276"/>
      <c r="F49" s="112" t="str">
        <f>VLOOKUP(C49,Bolts!A:L,5,0)</f>
        <v xml:space="preserve">  </v>
      </c>
      <c r="G49" s="112" t="str">
        <f>VLOOKUP(C49,Bolts!A:L,6,0)</f>
        <v>Monroe Fasteners</v>
      </c>
      <c r="H49" s="112" t="str">
        <f>VLOOKUP(C49,Bolts!A:L,7,0)</f>
        <v xml:space="preserve">  </v>
      </c>
      <c r="I49" s="112"/>
      <c r="J49" s="44" t="str">
        <f>VLOOKUP(C49,Bolts!A:L,8,0)</f>
        <v xml:space="preserve"> </v>
      </c>
      <c r="K49" s="44" t="str">
        <f>VLOOKUP(C49,Bolts!A:L,9,0)</f>
        <v xml:space="preserve"> </v>
      </c>
      <c r="L49" s="44" t="str">
        <f>VLOOKUP(C49,Bolts!A:L,10,0)</f>
        <v xml:space="preserve"> </v>
      </c>
      <c r="M49" s="44" t="str">
        <f>VLOOKUP(C49,Bolts!A:L,11,0)</f>
        <v xml:space="preserve"> </v>
      </c>
      <c r="N49" s="45" t="str">
        <f>VLOOKUP(C49,Bolts!A:L,12,0)</f>
        <v xml:space="preserve"> </v>
      </c>
      <c r="O49" s="45" t="e">
        <f t="shared" ca="1" si="5"/>
        <v>#VALUE!</v>
      </c>
      <c r="P49" s="49" t="str">
        <f>IFERROR(VLOOKUP(C49,Bolts!A:B,2,FALSE),"")</f>
        <v xml:space="preserve"> </v>
      </c>
      <c r="Q49" s="50" t="str">
        <f t="shared" si="10"/>
        <v/>
      </c>
    </row>
    <row r="50" spans="1:17" s="2" customFormat="1" ht="12.75" customHeight="1" thickBot="1">
      <c r="A50" s="34"/>
      <c r="B50" s="35"/>
      <c r="C50" s="35"/>
      <c r="D50" s="256"/>
      <c r="E50" s="257"/>
      <c r="F50" s="35"/>
      <c r="G50" s="35"/>
      <c r="H50" s="294"/>
      <c r="I50" s="295"/>
      <c r="J50" s="36"/>
      <c r="K50" s="36"/>
      <c r="L50" s="36"/>
      <c r="M50" s="37"/>
      <c r="N50" s="38"/>
      <c r="O50" s="38"/>
      <c r="P50" s="89" t="s">
        <v>43</v>
      </c>
      <c r="Q50" s="94">
        <f>SUM(Q5:Q49)</f>
        <v>5040.1911</v>
      </c>
    </row>
    <row r="51" spans="1:17" s="2" customFormat="1" ht="12" customHeight="1">
      <c r="D51" s="22"/>
      <c r="E51" s="22"/>
      <c r="J51" s="8"/>
      <c r="K51" s="8"/>
      <c r="L51" s="8"/>
      <c r="M51" s="8"/>
      <c r="N51" s="5"/>
      <c r="O51" s="5"/>
      <c r="P51" s="88"/>
      <c r="Q51" s="95"/>
    </row>
    <row r="52" spans="1:17" s="2" customFormat="1" ht="12" customHeight="1">
      <c r="C52" s="22"/>
      <c r="D52" s="22"/>
      <c r="I52" s="5"/>
      <c r="J52" s="5"/>
      <c r="K52" s="5"/>
      <c r="L52" s="5"/>
      <c r="M52" s="5"/>
      <c r="N52" s="5"/>
      <c r="O52" s="88"/>
      <c r="P52" s="95"/>
    </row>
    <row r="53" spans="1:17" s="2" customFormat="1" ht="12" customHeight="1">
      <c r="D53" s="22"/>
      <c r="E53" s="22"/>
      <c r="J53" s="5"/>
      <c r="K53" s="5"/>
      <c r="L53" s="5"/>
      <c r="M53" s="5"/>
      <c r="N53" s="5"/>
      <c r="O53" s="5"/>
      <c r="P53" s="88"/>
      <c r="Q53" s="95"/>
    </row>
    <row r="54" spans="1:17" s="2" customFormat="1" ht="12" customHeight="1">
      <c r="D54" s="22"/>
      <c r="E54" s="22"/>
      <c r="J54" s="5"/>
      <c r="K54" s="5"/>
      <c r="L54" s="5"/>
      <c r="M54" s="5"/>
      <c r="N54" s="5"/>
      <c r="O54" s="5"/>
      <c r="P54" s="88"/>
      <c r="Q54" s="95"/>
    </row>
    <row r="55" spans="1:17" s="2" customFormat="1" ht="12" customHeight="1">
      <c r="D55" s="22"/>
      <c r="E55" s="22"/>
      <c r="J55" s="5"/>
      <c r="K55" s="5"/>
      <c r="L55" s="5"/>
      <c r="M55" s="5"/>
      <c r="N55" s="5"/>
      <c r="O55" s="5"/>
      <c r="P55" s="88"/>
      <c r="Q55" s="95"/>
    </row>
    <row r="56" spans="1:17" s="2" customFormat="1" ht="12" customHeight="1">
      <c r="D56" s="22"/>
      <c r="E56" s="22"/>
      <c r="J56" s="5"/>
      <c r="K56" s="5"/>
      <c r="L56" s="5"/>
      <c r="M56" s="5"/>
      <c r="N56" s="5"/>
      <c r="O56" s="5"/>
      <c r="P56" s="88"/>
      <c r="Q56" s="95"/>
    </row>
    <row r="57" spans="1:17" s="2" customFormat="1" ht="12" customHeight="1">
      <c r="D57" s="22"/>
      <c r="E57" s="22"/>
      <c r="J57" s="5"/>
      <c r="K57" s="5"/>
      <c r="L57" s="5"/>
      <c r="M57" s="5"/>
      <c r="N57" s="5"/>
      <c r="O57" s="5"/>
      <c r="P57" s="88"/>
      <c r="Q57" s="95"/>
    </row>
    <row r="58" spans="1:17" s="2" customFormat="1" ht="12" customHeight="1">
      <c r="D58" s="22"/>
      <c r="E58" s="22"/>
      <c r="J58" s="5"/>
      <c r="K58" s="5"/>
      <c r="L58" s="5"/>
      <c r="M58" s="5"/>
      <c r="N58" s="5"/>
      <c r="O58" s="5"/>
      <c r="P58" s="88"/>
      <c r="Q58" s="95"/>
    </row>
    <row r="59" spans="1:17" s="2" customFormat="1" ht="12" customHeight="1">
      <c r="D59" s="22"/>
      <c r="E59" s="22"/>
      <c r="J59" s="5"/>
      <c r="K59" s="5"/>
      <c r="L59" s="5"/>
      <c r="M59" s="5"/>
      <c r="N59" s="5"/>
      <c r="O59" s="5"/>
      <c r="P59" s="88"/>
      <c r="Q59" s="95"/>
    </row>
    <row r="60" spans="1:17" s="2" customFormat="1" ht="12" customHeight="1">
      <c r="D60" s="22"/>
      <c r="E60" s="22"/>
      <c r="J60" s="5"/>
      <c r="K60" s="5"/>
      <c r="L60" s="5"/>
      <c r="M60" s="5"/>
      <c r="N60" s="5"/>
      <c r="O60" s="5"/>
      <c r="P60" s="88"/>
      <c r="Q60" s="95"/>
    </row>
    <row r="61" spans="1:17" s="2" customFormat="1" ht="12" customHeight="1">
      <c r="D61" s="22"/>
      <c r="E61" s="22"/>
      <c r="J61" s="5"/>
      <c r="K61" s="5"/>
      <c r="L61" s="5"/>
      <c r="M61" s="5"/>
      <c r="N61" s="5"/>
      <c r="O61" s="5"/>
      <c r="P61" s="88"/>
      <c r="Q61" s="95"/>
    </row>
    <row r="62" spans="1:17" s="2" customFormat="1" ht="12" customHeight="1">
      <c r="D62" s="22"/>
      <c r="E62" s="22"/>
      <c r="J62" s="5"/>
      <c r="K62" s="5"/>
      <c r="L62" s="5"/>
      <c r="M62" s="5"/>
      <c r="N62" s="5"/>
      <c r="O62" s="5"/>
      <c r="P62" s="88"/>
      <c r="Q62" s="95"/>
    </row>
    <row r="63" spans="1:17" s="2" customFormat="1" ht="12" customHeight="1">
      <c r="D63" s="22"/>
      <c r="E63" s="22"/>
      <c r="J63" s="5"/>
      <c r="K63" s="5"/>
      <c r="L63" s="5"/>
      <c r="M63" s="5"/>
      <c r="N63" s="5"/>
      <c r="O63" s="5"/>
      <c r="P63" s="88"/>
      <c r="Q63" s="95"/>
    </row>
    <row r="64" spans="1:17" s="2" customFormat="1" ht="12" customHeight="1">
      <c r="D64" s="22"/>
      <c r="E64" s="22"/>
      <c r="J64" s="5"/>
      <c r="K64" s="5"/>
      <c r="L64" s="5"/>
      <c r="M64" s="5"/>
      <c r="N64" s="5"/>
      <c r="O64" s="5"/>
      <c r="P64" s="88"/>
      <c r="Q64" s="95"/>
    </row>
    <row r="65" spans="4:17" s="2" customFormat="1" ht="12" customHeight="1">
      <c r="D65" s="22"/>
      <c r="E65" s="22"/>
      <c r="J65" s="5"/>
      <c r="K65" s="5"/>
      <c r="L65" s="5"/>
      <c r="M65" s="5"/>
      <c r="N65" s="5"/>
      <c r="O65" s="5"/>
      <c r="P65" s="88"/>
      <c r="Q65" s="95"/>
    </row>
    <row r="66" spans="4:17" s="2" customFormat="1" ht="12" customHeight="1">
      <c r="D66" s="22"/>
      <c r="E66" s="22"/>
      <c r="J66" s="5"/>
      <c r="K66" s="5"/>
      <c r="L66" s="5"/>
      <c r="M66" s="5"/>
      <c r="N66" s="5"/>
      <c r="O66" s="5"/>
      <c r="P66" s="88"/>
      <c r="Q66" s="95"/>
    </row>
    <row r="67" spans="4:17" s="2" customFormat="1" ht="12" customHeight="1">
      <c r="D67" s="22"/>
      <c r="E67" s="22"/>
      <c r="J67" s="5"/>
      <c r="K67" s="5"/>
      <c r="L67" s="5"/>
      <c r="M67" s="5"/>
      <c r="N67" s="5"/>
      <c r="O67" s="5"/>
      <c r="P67" s="88"/>
      <c r="Q67" s="95"/>
    </row>
    <row r="68" spans="4:17" s="2" customFormat="1" ht="12" customHeight="1">
      <c r="D68" s="22"/>
      <c r="E68" s="22"/>
      <c r="J68" s="5"/>
      <c r="K68" s="5"/>
      <c r="L68" s="5"/>
      <c r="M68" s="5"/>
      <c r="N68" s="5"/>
      <c r="O68" s="5"/>
      <c r="P68" s="88"/>
      <c r="Q68" s="95"/>
    </row>
    <row r="69" spans="4:17" s="2" customFormat="1" ht="12" customHeight="1">
      <c r="D69" s="22"/>
      <c r="E69" s="22"/>
      <c r="J69" s="5"/>
      <c r="K69" s="5"/>
      <c r="L69" s="5"/>
      <c r="M69" s="5"/>
      <c r="N69" s="5"/>
      <c r="O69" s="5"/>
      <c r="P69" s="88"/>
      <c r="Q69" s="95"/>
    </row>
    <row r="70" spans="4:17" s="2" customFormat="1" ht="12" customHeight="1">
      <c r="D70" s="22"/>
      <c r="E70" s="22"/>
      <c r="J70" s="5"/>
      <c r="K70" s="5"/>
      <c r="L70" s="5"/>
      <c r="M70" s="5"/>
      <c r="N70" s="5"/>
      <c r="O70" s="5"/>
      <c r="P70" s="88"/>
      <c r="Q70" s="95"/>
    </row>
    <row r="71" spans="4:17" s="2" customFormat="1" ht="12" customHeight="1">
      <c r="D71" s="22"/>
      <c r="E71" s="22"/>
      <c r="J71" s="5"/>
      <c r="K71" s="5"/>
      <c r="L71" s="5"/>
      <c r="M71" s="5"/>
      <c r="N71" s="5"/>
      <c r="O71" s="5"/>
      <c r="P71" s="88"/>
      <c r="Q71" s="95"/>
    </row>
    <row r="72" spans="4:17" s="2" customFormat="1" ht="12" customHeight="1">
      <c r="D72" s="22"/>
      <c r="E72" s="22"/>
      <c r="J72" s="5"/>
      <c r="K72" s="5"/>
      <c r="L72" s="5"/>
      <c r="M72" s="5"/>
      <c r="N72" s="5"/>
      <c r="O72" s="5"/>
      <c r="P72" s="88"/>
      <c r="Q72" s="95"/>
    </row>
    <row r="73" spans="4:17" s="2" customFormat="1" ht="12" customHeight="1">
      <c r="D73" s="22"/>
      <c r="E73" s="22"/>
      <c r="J73" s="5"/>
      <c r="K73" s="5"/>
      <c r="L73" s="5"/>
      <c r="M73" s="5"/>
      <c r="N73" s="5"/>
      <c r="O73" s="5"/>
      <c r="P73" s="88"/>
      <c r="Q73" s="95"/>
    </row>
    <row r="74" spans="4:17" s="2" customFormat="1" ht="12" customHeight="1">
      <c r="D74" s="22"/>
      <c r="E74" s="22"/>
      <c r="J74" s="5"/>
      <c r="K74" s="5"/>
      <c r="L74" s="5"/>
      <c r="M74" s="5"/>
      <c r="N74" s="5"/>
      <c r="O74" s="5"/>
      <c r="P74" s="88"/>
      <c r="Q74" s="95"/>
    </row>
    <row r="75" spans="4:17" s="2" customFormat="1" ht="12" customHeight="1">
      <c r="D75" s="22"/>
      <c r="E75" s="22"/>
      <c r="J75" s="5"/>
      <c r="K75" s="5"/>
      <c r="L75" s="5"/>
      <c r="M75" s="5"/>
      <c r="N75" s="5"/>
      <c r="O75" s="5"/>
      <c r="P75" s="88"/>
      <c r="Q75" s="95"/>
    </row>
    <row r="76" spans="4:17" s="2" customFormat="1" ht="12" customHeight="1">
      <c r="D76" s="22"/>
      <c r="E76" s="22"/>
      <c r="J76" s="5"/>
      <c r="K76" s="5"/>
      <c r="L76" s="5"/>
      <c r="M76" s="5"/>
      <c r="N76" s="5"/>
      <c r="O76" s="5"/>
      <c r="P76" s="88"/>
      <c r="Q76" s="95"/>
    </row>
    <row r="77" spans="4:17" s="2" customFormat="1" ht="12" customHeight="1">
      <c r="D77" s="22"/>
      <c r="E77" s="22"/>
      <c r="J77" s="5"/>
      <c r="K77" s="5"/>
      <c r="L77" s="5"/>
      <c r="M77" s="5"/>
      <c r="N77" s="5"/>
      <c r="O77" s="5"/>
      <c r="P77" s="88"/>
      <c r="Q77" s="95"/>
    </row>
    <row r="78" spans="4:17" s="2" customFormat="1" ht="12" customHeight="1">
      <c r="D78" s="22"/>
      <c r="E78" s="22"/>
      <c r="J78" s="5"/>
      <c r="K78" s="5"/>
      <c r="L78" s="5"/>
      <c r="M78" s="5"/>
      <c r="N78" s="5"/>
      <c r="O78" s="5"/>
      <c r="P78" s="88"/>
      <c r="Q78" s="95"/>
    </row>
    <row r="79" spans="4:17" s="2" customFormat="1" ht="12" customHeight="1">
      <c r="D79" s="22"/>
      <c r="E79" s="22"/>
      <c r="J79" s="5"/>
      <c r="K79" s="5"/>
      <c r="L79" s="5"/>
      <c r="M79" s="5"/>
      <c r="N79" s="5"/>
      <c r="O79" s="5"/>
      <c r="P79" s="88"/>
      <c r="Q79" s="95"/>
    </row>
    <row r="80" spans="4:17" s="2" customFormat="1" ht="12" customHeight="1">
      <c r="D80" s="22"/>
      <c r="E80" s="22"/>
      <c r="J80" s="5"/>
      <c r="K80" s="5"/>
      <c r="L80" s="5"/>
      <c r="M80" s="5"/>
      <c r="N80" s="5"/>
      <c r="O80" s="5"/>
      <c r="P80" s="88"/>
      <c r="Q80" s="95"/>
    </row>
    <row r="81" spans="1:17" s="2" customFormat="1" ht="12" customHeight="1">
      <c r="D81" s="22"/>
      <c r="E81" s="22"/>
      <c r="J81" s="5"/>
      <c r="K81" s="5"/>
      <c r="L81" s="5"/>
      <c r="M81" s="5"/>
      <c r="N81" s="5"/>
      <c r="O81" s="5"/>
      <c r="P81" s="88"/>
      <c r="Q81" s="95"/>
    </row>
    <row r="82" spans="1:17" s="2" customFormat="1" ht="12" customHeight="1">
      <c r="D82" s="22"/>
      <c r="E82" s="22"/>
      <c r="J82" s="5"/>
      <c r="K82" s="5"/>
      <c r="L82" s="5"/>
      <c r="M82" s="5"/>
      <c r="N82" s="5"/>
      <c r="O82" s="5"/>
      <c r="P82" s="88"/>
      <c r="Q82" s="95"/>
    </row>
    <row r="83" spans="1:17" s="2" customFormat="1" ht="12" customHeight="1">
      <c r="D83" s="22"/>
      <c r="E83" s="22"/>
      <c r="J83" s="5"/>
      <c r="K83" s="5"/>
      <c r="L83" s="5"/>
      <c r="M83" s="5"/>
      <c r="N83" s="5"/>
      <c r="O83" s="5"/>
      <c r="P83" s="88"/>
      <c r="Q83" s="95"/>
    </row>
    <row r="84" spans="1:17" s="2" customFormat="1" ht="12" customHeight="1">
      <c r="D84" s="22"/>
      <c r="E84" s="22"/>
      <c r="J84" s="5"/>
      <c r="K84" s="5"/>
      <c r="L84" s="5"/>
      <c r="M84" s="5"/>
      <c r="N84" s="5"/>
      <c r="O84" s="5"/>
      <c r="P84" s="88"/>
      <c r="Q84" s="95"/>
    </row>
    <row r="85" spans="1:17" s="2" customFormat="1" ht="12" customHeight="1">
      <c r="D85" s="22"/>
      <c r="E85" s="22"/>
      <c r="J85" s="5"/>
      <c r="K85" s="5"/>
      <c r="L85" s="5"/>
      <c r="M85" s="5"/>
      <c r="N85" s="5"/>
      <c r="O85" s="5"/>
      <c r="P85" s="88"/>
      <c r="Q85" s="95"/>
    </row>
    <row r="86" spans="1:17" s="2" customFormat="1" ht="12" customHeight="1">
      <c r="D86" s="22"/>
      <c r="E86" s="22"/>
      <c r="J86" s="5"/>
      <c r="K86" s="5"/>
      <c r="L86" s="5"/>
      <c r="M86" s="5"/>
      <c r="N86" s="5"/>
      <c r="O86" s="5"/>
      <c r="P86" s="88"/>
      <c r="Q86" s="95"/>
    </row>
    <row r="87" spans="1:17" s="2" customFormat="1" ht="12" customHeight="1">
      <c r="D87" s="22"/>
      <c r="E87" s="22"/>
      <c r="J87" s="5"/>
      <c r="K87" s="5"/>
      <c r="L87" s="5"/>
      <c r="M87" s="5"/>
      <c r="N87" s="5"/>
      <c r="O87" s="5"/>
      <c r="P87" s="88"/>
      <c r="Q87" s="95"/>
    </row>
    <row r="88" spans="1:17" s="2" customFormat="1" ht="12" customHeight="1">
      <c r="D88" s="22"/>
      <c r="E88" s="22"/>
      <c r="J88" s="5"/>
      <c r="K88" s="5"/>
      <c r="L88" s="5"/>
      <c r="M88" s="5"/>
      <c r="N88" s="5"/>
      <c r="O88" s="5"/>
      <c r="P88" s="88"/>
      <c r="Q88" s="95"/>
    </row>
    <row r="89" spans="1:17" s="2" customFormat="1" ht="12" customHeight="1">
      <c r="D89" s="22"/>
      <c r="E89" s="22"/>
      <c r="J89" s="5"/>
      <c r="K89" s="5"/>
      <c r="L89" s="5"/>
      <c r="M89" s="5"/>
      <c r="N89" s="5"/>
      <c r="O89" s="5"/>
      <c r="P89" s="88"/>
      <c r="Q89" s="96"/>
    </row>
    <row r="90" spans="1:17" s="2" customFormat="1" ht="12" customHeight="1">
      <c r="D90" s="22"/>
      <c r="E90" s="22"/>
      <c r="J90" s="5"/>
      <c r="K90" s="5"/>
      <c r="L90" s="5"/>
      <c r="M90" s="5"/>
      <c r="N90" s="5"/>
      <c r="O90" s="5"/>
      <c r="P90" s="88"/>
      <c r="Q90" s="96"/>
    </row>
    <row r="91" spans="1:17" s="2" customFormat="1" ht="12" customHeight="1">
      <c r="D91" s="22"/>
      <c r="E91" s="22"/>
      <c r="J91" s="5"/>
      <c r="K91" s="5"/>
      <c r="L91" s="5"/>
      <c r="M91" s="5"/>
      <c r="N91" s="5"/>
      <c r="O91" s="5"/>
      <c r="P91" s="88"/>
      <c r="Q91" s="96"/>
    </row>
    <row r="92" spans="1:17" s="2" customFormat="1" ht="12" customHeight="1">
      <c r="D92" s="22"/>
      <c r="E92" s="22"/>
      <c r="J92" s="5"/>
      <c r="K92" s="5"/>
      <c r="L92" s="5"/>
      <c r="M92" s="5"/>
      <c r="N92" s="5"/>
      <c r="O92" s="5"/>
      <c r="P92" s="88"/>
      <c r="Q92" s="96"/>
    </row>
    <row r="93" spans="1:17" s="2" customFormat="1" ht="12" customHeight="1">
      <c r="A93"/>
      <c r="B93"/>
      <c r="C93"/>
      <c r="D93" s="23"/>
      <c r="E93" s="23"/>
      <c r="F93"/>
      <c r="G93"/>
      <c r="H93"/>
      <c r="I93"/>
      <c r="J93" s="19"/>
      <c r="K93" s="19"/>
      <c r="L93" s="19"/>
      <c r="M93" s="19"/>
      <c r="N93" s="19"/>
      <c r="O93" s="19"/>
      <c r="P93" s="90"/>
      <c r="Q93" s="96"/>
    </row>
    <row r="94" spans="1:17" s="2" customFormat="1" ht="12" customHeight="1">
      <c r="A94"/>
      <c r="B94"/>
      <c r="C94"/>
      <c r="D94" s="23"/>
      <c r="E94" s="23"/>
      <c r="F94"/>
      <c r="G94"/>
      <c r="H94"/>
      <c r="I94"/>
      <c r="J94" s="19"/>
      <c r="K94" s="19"/>
      <c r="L94" s="19"/>
      <c r="M94" s="19"/>
      <c r="N94" s="19"/>
      <c r="O94" s="19"/>
      <c r="P94" s="90"/>
      <c r="Q94" s="96"/>
    </row>
    <row r="95" spans="1:17" s="2" customFormat="1" ht="12" customHeight="1">
      <c r="A95"/>
      <c r="B95"/>
      <c r="C95"/>
      <c r="D95" s="23"/>
      <c r="E95" s="23"/>
      <c r="F95"/>
      <c r="G95"/>
      <c r="H95"/>
      <c r="I95"/>
      <c r="J95" s="19"/>
      <c r="K95" s="19"/>
      <c r="L95" s="19"/>
      <c r="M95" s="19"/>
      <c r="N95" s="19"/>
      <c r="O95" s="19"/>
      <c r="P95" s="90"/>
      <c r="Q95" s="96"/>
    </row>
    <row r="96" spans="1:17" s="2" customFormat="1" ht="12" customHeight="1">
      <c r="A96"/>
      <c r="B96"/>
      <c r="C96"/>
      <c r="D96" s="23"/>
      <c r="E96" s="23"/>
      <c r="F96"/>
      <c r="G96"/>
      <c r="H96"/>
      <c r="I96"/>
      <c r="J96" s="19"/>
      <c r="K96" s="19"/>
      <c r="L96" s="19"/>
      <c r="M96" s="19"/>
      <c r="N96" s="19"/>
      <c r="O96" s="19"/>
      <c r="P96" s="90"/>
      <c r="Q96" s="96"/>
    </row>
    <row r="97" spans="1:17" s="2" customFormat="1" ht="12" customHeight="1">
      <c r="A97"/>
      <c r="B97"/>
      <c r="C97"/>
      <c r="D97" s="23"/>
      <c r="E97" s="23"/>
      <c r="F97"/>
      <c r="G97"/>
      <c r="H97"/>
      <c r="I97"/>
      <c r="J97" s="19"/>
      <c r="K97" s="19"/>
      <c r="L97" s="19"/>
      <c r="M97" s="19"/>
      <c r="N97" s="19"/>
      <c r="O97" s="19"/>
      <c r="P97" s="90"/>
      <c r="Q97" s="96"/>
    </row>
    <row r="98" spans="1:17">
      <c r="Q98" s="96"/>
    </row>
    <row r="99" spans="1:17">
      <c r="Q99" s="96"/>
    </row>
    <row r="100" spans="1:17">
      <c r="Q100" s="96"/>
    </row>
    <row r="101" spans="1:17">
      <c r="Q101" s="96"/>
    </row>
    <row r="102" spans="1:17">
      <c r="Q102" s="96"/>
    </row>
    <row r="103" spans="1:17">
      <c r="Q103" s="96"/>
    </row>
    <row r="104" spans="1:17">
      <c r="Q104" s="96"/>
    </row>
    <row r="105" spans="1:17">
      <c r="Q105" s="96"/>
    </row>
    <row r="106" spans="1:17">
      <c r="Q106" s="96"/>
    </row>
    <row r="107" spans="1:17">
      <c r="Q107" s="96"/>
    </row>
    <row r="108" spans="1:17">
      <c r="Q108" s="96"/>
    </row>
    <row r="109" spans="1:17">
      <c r="Q109" s="96"/>
    </row>
    <row r="110" spans="1:17">
      <c r="Q110" s="96"/>
    </row>
    <row r="111" spans="1:17">
      <c r="Q111" s="96"/>
    </row>
    <row r="112" spans="1:17">
      <c r="Q112" s="96"/>
    </row>
    <row r="113" spans="17:17">
      <c r="Q113" s="96"/>
    </row>
    <row r="114" spans="17:17">
      <c r="Q114" s="96"/>
    </row>
    <row r="115" spans="17:17">
      <c r="Q115" s="96"/>
    </row>
    <row r="116" spans="17:17">
      <c r="Q116" s="96"/>
    </row>
    <row r="117" spans="17:17">
      <c r="Q117" s="96"/>
    </row>
    <row r="154" ht="12" customHeight="1"/>
    <row r="155" ht="12" customHeight="1"/>
    <row r="156" ht="12" customHeight="1"/>
    <row r="157" ht="12" customHeight="1"/>
    <row r="158" ht="12" customHeight="1"/>
    <row r="159" ht="12" customHeight="1"/>
    <row r="160" ht="12" customHeight="1"/>
    <row r="161" ht="12" customHeight="1"/>
    <row r="162" ht="12" customHeight="1"/>
    <row r="163" ht="12" customHeight="1"/>
    <row r="164" ht="12" customHeight="1"/>
    <row r="165" ht="12" customHeight="1"/>
    <row r="166" ht="12" customHeight="1"/>
    <row r="167" ht="12" customHeight="1"/>
    <row r="168" ht="12" customHeight="1"/>
    <row r="169" ht="12" customHeight="1"/>
    <row r="170" ht="12" customHeight="1"/>
    <row r="171" ht="12" customHeight="1"/>
    <row r="172" ht="12" customHeight="1"/>
    <row r="173" ht="12" customHeight="1"/>
    <row r="174" ht="12" customHeight="1"/>
    <row r="175" ht="12" customHeight="1"/>
    <row r="176" ht="12" customHeight="1"/>
    <row r="177" ht="12" customHeight="1"/>
    <row r="178" ht="12" customHeight="1"/>
    <row r="179" ht="12" customHeight="1"/>
    <row r="180" ht="12" customHeight="1"/>
    <row r="181" ht="12" customHeight="1"/>
    <row r="182" ht="12" customHeight="1"/>
    <row r="183" ht="12" customHeight="1"/>
    <row r="184" ht="12" customHeight="1"/>
    <row r="185" ht="12" customHeight="1"/>
    <row r="186" ht="12" customHeight="1"/>
    <row r="187" ht="12" customHeight="1"/>
    <row r="188" ht="12" customHeight="1"/>
    <row r="189" ht="12" customHeight="1"/>
    <row r="190" ht="12" customHeight="1"/>
    <row r="191" ht="12" customHeight="1"/>
    <row r="192" ht="12" customHeight="1"/>
    <row r="193" ht="12" customHeight="1"/>
    <row r="194" ht="12" customHeight="1"/>
    <row r="195" ht="12" customHeight="1"/>
    <row r="196" ht="12" customHeight="1"/>
    <row r="197" ht="12" customHeight="1"/>
    <row r="198" ht="12" customHeight="1"/>
    <row r="199" ht="12" customHeight="1"/>
    <row r="200" ht="12" customHeight="1"/>
    <row r="201" ht="12" customHeight="1"/>
    <row r="202" ht="12" customHeight="1"/>
    <row r="203" ht="12" customHeight="1"/>
  </sheetData>
  <mergeCells count="52">
    <mergeCell ref="H50:I50"/>
    <mergeCell ref="D50:E50"/>
    <mergeCell ref="D44:E44"/>
    <mergeCell ref="D45:E45"/>
    <mergeCell ref="D46:E46"/>
    <mergeCell ref="D47:E47"/>
    <mergeCell ref="D48:E48"/>
    <mergeCell ref="D49:E49"/>
    <mergeCell ref="D40:E40"/>
    <mergeCell ref="H40:I40"/>
    <mergeCell ref="D41:E41"/>
    <mergeCell ref="D42:E42"/>
    <mergeCell ref="D43:E43"/>
    <mergeCell ref="D34:E34"/>
    <mergeCell ref="D35:E35"/>
    <mergeCell ref="D36:E36"/>
    <mergeCell ref="D37:E37"/>
    <mergeCell ref="D38:E38"/>
    <mergeCell ref="H22:I22"/>
    <mergeCell ref="D23:E23"/>
    <mergeCell ref="D24:E24"/>
    <mergeCell ref="D25:E25"/>
    <mergeCell ref="D26:E26"/>
    <mergeCell ref="D22:E22"/>
    <mergeCell ref="D8:E8"/>
    <mergeCell ref="D9:E9"/>
    <mergeCell ref="D10:E10"/>
    <mergeCell ref="D11:E11"/>
    <mergeCell ref="D33:E33"/>
    <mergeCell ref="D27:E27"/>
    <mergeCell ref="D28:E28"/>
    <mergeCell ref="D29:E29"/>
    <mergeCell ref="D30:E30"/>
    <mergeCell ref="D31:E31"/>
    <mergeCell ref="D32:E32"/>
    <mergeCell ref="D21:E21"/>
    <mergeCell ref="D39:E39"/>
    <mergeCell ref="D1:E1"/>
    <mergeCell ref="D4:E4"/>
    <mergeCell ref="H4:I4"/>
    <mergeCell ref="D19:E19"/>
    <mergeCell ref="D20:E20"/>
    <mergeCell ref="D5:E5"/>
    <mergeCell ref="D12:E12"/>
    <mergeCell ref="D13:E13"/>
    <mergeCell ref="D14:E14"/>
    <mergeCell ref="D18:E18"/>
    <mergeCell ref="D15:E15"/>
    <mergeCell ref="D16:E16"/>
    <mergeCell ref="D17:E17"/>
    <mergeCell ref="D6:E6"/>
    <mergeCell ref="D7:E7"/>
  </mergeCells>
  <conditionalFormatting sqref="M5:M21 M41:M49 M23:M39">
    <cfRule type="cellIs" dxfId="230" priority="1" stopIfTrue="1" operator="lessThanOrEqual">
      <formula>$L5</formula>
    </cfRule>
    <cfRule type="cellIs" dxfId="229" priority="2" operator="greaterThan">
      <formula>L5</formula>
    </cfRule>
  </conditionalFormatting>
  <pageMargins left="0.7" right="0.7" top="0.75" bottom="0.75" header="0.3" footer="0.3"/>
  <pageSetup paperSize="3" fitToHeight="0" orientation="landscape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A1D2275C-7915-48EE-ABD7-C6757E00B4E1}">
          <x14:formula1>
            <xm:f>Bolts!$A:$A</xm:f>
          </x14:formula1>
          <xm:sqref>C41:C49</xm:sqref>
        </x14:dataValidation>
        <x14:dataValidation type="list" allowBlank="1" showInputMessage="1" showErrorMessage="1" xr:uid="{72AA2199-396A-441D-85F0-39E12DD97136}">
          <x14:formula1>
            <xm:f>Purchased!$A:$A</xm:f>
          </x14:formula1>
          <xm:sqref>C23:C39</xm:sqref>
        </x14:dataValidation>
        <x14:dataValidation type="list" allowBlank="1" showInputMessage="1" showErrorMessage="1" xr:uid="{B2BCE536-F03F-4B46-AE68-4468A8D58760}">
          <x14:formula1>
            <xm:f>Machined!$C:$C</xm:f>
          </x14:formula1>
          <xm:sqref>C5:C21</xm:sqref>
        </x14:dataValidation>
      </x14:dataValidations>
    </ext>
  </extLst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B8F06-1206-4A45-A732-E2ADFA86FECD}">
  <sheetPr codeName="Sheet122">
    <tabColor theme="3" tint="0.79998168889431442"/>
    <pageSetUpPr fitToPage="1"/>
  </sheetPr>
  <dimension ref="A1:Q203"/>
  <sheetViews>
    <sheetView zoomScaleNormal="100" workbookViewId="0">
      <selection activeCell="C19" sqref="C19"/>
    </sheetView>
  </sheetViews>
  <sheetFormatPr defaultColWidth="9.140625" defaultRowHeight="15"/>
  <cols>
    <col min="1" max="1" width="5.7109375" customWidth="1"/>
    <col min="2" max="2" width="5.42578125" bestFit="1" customWidth="1"/>
    <col min="3" max="3" width="30.7109375" customWidth="1"/>
    <col min="4" max="5" width="20.7109375" style="23" customWidth="1"/>
    <col min="6" max="6" width="16.85546875" bestFit="1" customWidth="1"/>
    <col min="7" max="7" width="9.7109375" customWidth="1"/>
    <col min="8" max="8" width="8.7109375" customWidth="1"/>
    <col min="9" max="9" width="20.7109375" customWidth="1"/>
    <col min="10" max="13" width="11.7109375" style="19" customWidth="1"/>
    <col min="14" max="14" width="11.85546875" style="19" bestFit="1" customWidth="1"/>
    <col min="15" max="15" width="7.7109375" style="19" customWidth="1"/>
    <col min="16" max="16" width="10.7109375" style="90" customWidth="1"/>
    <col min="17" max="17" width="10.7109375" style="97" customWidth="1"/>
  </cols>
  <sheetData>
    <row r="1" spans="1:17" s="55" customFormat="1" ht="12" customHeight="1">
      <c r="A1" s="68" t="s">
        <v>0</v>
      </c>
      <c r="B1" s="69"/>
      <c r="C1" s="69"/>
      <c r="D1" s="262" t="s">
        <v>1</v>
      </c>
      <c r="E1" s="263"/>
      <c r="F1" s="70"/>
      <c r="G1" s="69"/>
      <c r="H1" s="70"/>
      <c r="I1" s="71"/>
      <c r="J1" s="72"/>
      <c r="K1" s="72"/>
      <c r="L1" s="72"/>
      <c r="M1" s="72"/>
      <c r="N1" s="72"/>
      <c r="O1" s="72"/>
      <c r="P1" s="85"/>
      <c r="Q1" s="91"/>
    </row>
    <row r="2" spans="1:17" s="55" customFormat="1" ht="12" customHeight="1">
      <c r="A2" s="74" t="s">
        <v>48</v>
      </c>
      <c r="B2" s="58"/>
      <c r="C2" s="57" t="e">
        <f ca="1">VLOOKUP(E3,Assemblies!B:F,4,0)</f>
        <v>#VALUE!</v>
      </c>
      <c r="D2" s="75" t="s">
        <v>3</v>
      </c>
      <c r="E2" s="76" t="e">
        <f ca="1">'GF12'!E2</f>
        <v>#VALUE!</v>
      </c>
      <c r="F2" s="77" t="s">
        <v>4</v>
      </c>
      <c r="G2" s="58" t="str">
        <f>'GF12'!G2</f>
        <v>GH</v>
      </c>
      <c r="H2" s="77" t="s">
        <v>6</v>
      </c>
      <c r="I2" s="59">
        <f>'GF12'!I2</f>
        <v>44775</v>
      </c>
      <c r="J2" s="39"/>
      <c r="K2" s="40" t="s">
        <v>49</v>
      </c>
      <c r="L2" s="41" t="e">
        <f ca="1">VLOOKUP(C2,Assemblies!E:G,3,0)</f>
        <v>#VALUE!</v>
      </c>
      <c r="M2" s="78"/>
      <c r="N2" s="78"/>
      <c r="O2" s="78"/>
      <c r="P2" s="86"/>
      <c r="Q2" s="92"/>
    </row>
    <row r="3" spans="1:17" s="55" customFormat="1" ht="12" customHeight="1" thickBot="1">
      <c r="A3" s="74" t="s">
        <v>7</v>
      </c>
      <c r="B3" s="58"/>
      <c r="C3" s="57" t="e">
        <f ca="1">VLOOKUP(E3,Assemblies!B:F,5,0)</f>
        <v>#VALUE!</v>
      </c>
      <c r="D3" s="75" t="s">
        <v>50</v>
      </c>
      <c r="E3" s="76" t="e">
        <f ca="1">MID(CELL("filename",A1),FIND("]",CELL("filename",A1))+1,256)</f>
        <v>#VALUE!</v>
      </c>
      <c r="F3" s="77" t="s">
        <v>11</v>
      </c>
      <c r="G3" s="58" t="str">
        <f>'GF12'!G3</f>
        <v>GH</v>
      </c>
      <c r="H3" s="77" t="s">
        <v>6</v>
      </c>
      <c r="I3" s="59">
        <f>'GF12'!I3</f>
        <v>44775</v>
      </c>
      <c r="J3" s="78"/>
      <c r="K3" s="78"/>
      <c r="L3" s="78"/>
      <c r="M3" s="78"/>
      <c r="N3" s="78"/>
      <c r="O3" s="78"/>
      <c r="P3" s="86"/>
      <c r="Q3" s="92"/>
    </row>
    <row r="4" spans="1:17" s="56" customFormat="1" ht="12.75" customHeight="1" thickBot="1">
      <c r="A4" s="80" t="s">
        <v>12</v>
      </c>
      <c r="B4" s="81" t="s">
        <v>13</v>
      </c>
      <c r="C4" s="81" t="s">
        <v>14</v>
      </c>
      <c r="D4" s="270" t="s">
        <v>15</v>
      </c>
      <c r="E4" s="271"/>
      <c r="F4" s="104" t="s">
        <v>16</v>
      </c>
      <c r="G4" s="81" t="s">
        <v>17</v>
      </c>
      <c r="H4" s="260" t="s">
        <v>18</v>
      </c>
      <c r="I4" s="261"/>
      <c r="J4" s="81" t="s">
        <v>51</v>
      </c>
      <c r="K4" s="81" t="s">
        <v>20</v>
      </c>
      <c r="L4" s="81" t="s">
        <v>21</v>
      </c>
      <c r="M4" s="81" t="s">
        <v>52</v>
      </c>
      <c r="N4" s="81" t="s">
        <v>22</v>
      </c>
      <c r="O4" s="81" t="s">
        <v>53</v>
      </c>
      <c r="P4" s="107" t="s">
        <v>26</v>
      </c>
      <c r="Q4" s="82" t="s">
        <v>27</v>
      </c>
    </row>
    <row r="5" spans="1:17" s="2" customFormat="1" ht="12.75" customHeight="1">
      <c r="A5" s="127">
        <v>1</v>
      </c>
      <c r="B5" s="21">
        <v>4</v>
      </c>
      <c r="C5" s="108" t="s">
        <v>1213</v>
      </c>
      <c r="D5" s="277" t="str">
        <f>VLOOKUP(C5,Machined!C:Q,2,0)</f>
        <v>Cap Rail Bracket</v>
      </c>
      <c r="E5" s="278"/>
      <c r="F5" s="131" t="str">
        <f>VLOOKUP(C5,Machined!C:R,7,0)</f>
        <v>6061-T6 Alum</v>
      </c>
      <c r="G5" s="131" t="str">
        <f>VLOOKUP(C5,Machined!C:R,10,0)</f>
        <v>XOMETRY</v>
      </c>
      <c r="H5" s="131" t="str">
        <f>VLOOKUP(C5,Machined!C:R,11,0)</f>
        <v xml:space="preserve">  </v>
      </c>
      <c r="I5" s="131"/>
      <c r="J5" s="42">
        <f>VLOOKUP(C5,Machined!C:R,12,0)</f>
        <v>45161</v>
      </c>
      <c r="K5" s="42">
        <f>VLOOKUP(C5,Machined!C:R,13,0)</f>
        <v>45161</v>
      </c>
      <c r="L5" s="42">
        <f>VLOOKUP(C5,Machined!C:R,14,0)</f>
        <v>45181</v>
      </c>
      <c r="M5" s="42">
        <f>VLOOKUP(C5,Machined!C:R,15,0)</f>
        <v>45181</v>
      </c>
      <c r="N5" s="43">
        <f>VLOOKUP(C5,Machined!C:R,16,0)</f>
        <v>55095</v>
      </c>
      <c r="O5" s="43" t="e">
        <f t="shared" ref="O5:O18" ca="1" si="0">B5*$L$2</f>
        <v>#VALUE!</v>
      </c>
      <c r="P5" s="47">
        <f>IFERROR(VLOOKUP(C5,Machined!C:F,3,0),"")</f>
        <v>35.020000000000003</v>
      </c>
      <c r="Q5" s="48">
        <f t="shared" ref="Q5:Q18" si="1">IFERROR(B5*P5,"")</f>
        <v>140.08000000000001</v>
      </c>
    </row>
    <row r="6" spans="1:17" s="2" customFormat="1" ht="12.75" customHeight="1">
      <c r="A6" s="127">
        <f t="shared" ref="A6:A18" si="2">A5+1</f>
        <v>2</v>
      </c>
      <c r="B6" s="21">
        <v>1</v>
      </c>
      <c r="C6" s="108" t="s">
        <v>1233</v>
      </c>
      <c r="D6" s="277" t="str">
        <f>VLOOKUP(C6,Machined!C:Q,2,0)</f>
        <v>Cap Rail 1-B Side</v>
      </c>
      <c r="E6" s="278"/>
      <c r="F6" s="131" t="str">
        <f>VLOOKUP(C6,Machined!C:R,7,0)</f>
        <v>AISI 304, 1/16 in</v>
      </c>
      <c r="G6" s="131" t="str">
        <f>VLOOKUP(C6,Machined!C:R,10,0)</f>
        <v>WESCO BHT</v>
      </c>
      <c r="H6" s="131" t="str">
        <f>VLOOKUP(C6,Machined!C:R,11,0)</f>
        <v xml:space="preserve">  </v>
      </c>
      <c r="I6" s="131"/>
      <c r="J6" s="42">
        <f>VLOOKUP(C6,Machined!C:R,12,0)</f>
        <v>45159</v>
      </c>
      <c r="K6" s="42">
        <f>VLOOKUP(C6,Machined!C:R,13,0)</f>
        <v>45161</v>
      </c>
      <c r="L6" s="42">
        <f>VLOOKUP(C6,Machined!C:R,14,0)</f>
        <v>45191</v>
      </c>
      <c r="M6" s="42">
        <f>VLOOKUP(C6,Machined!C:R,15,0)</f>
        <v>45191</v>
      </c>
      <c r="N6" s="43">
        <f>VLOOKUP(C6,Machined!C:R,16,0)</f>
        <v>55092</v>
      </c>
      <c r="O6" s="43" t="e">
        <f t="shared" ca="1" si="0"/>
        <v>#VALUE!</v>
      </c>
      <c r="P6" s="47">
        <f>IFERROR(VLOOKUP(C6,Machined!C:F,3,0),"")</f>
        <v>132.69999999999999</v>
      </c>
      <c r="Q6" s="48">
        <f t="shared" si="1"/>
        <v>132.69999999999999</v>
      </c>
    </row>
    <row r="7" spans="1:17" s="2" customFormat="1" ht="12.75" customHeight="1">
      <c r="A7" s="127">
        <f t="shared" si="2"/>
        <v>3</v>
      </c>
      <c r="B7" s="21">
        <v>1</v>
      </c>
      <c r="C7" s="108" t="s">
        <v>1234</v>
      </c>
      <c r="D7" s="277" t="str">
        <f>VLOOKUP(C7,Machined!C:Q,2,0)</f>
        <v>Cap Rail 2-B Side</v>
      </c>
      <c r="E7" s="278"/>
      <c r="F7" s="131" t="str">
        <f>VLOOKUP(C7,Machined!C:R,7,0)</f>
        <v>AISI 304, 1/16 in</v>
      </c>
      <c r="G7" s="131" t="str">
        <f>VLOOKUP(C7,Machined!C:R,10,0)</f>
        <v>WESCO BHT</v>
      </c>
      <c r="H7" s="131" t="str">
        <f>VLOOKUP(C7,Machined!C:R,11,0)</f>
        <v xml:space="preserve">  </v>
      </c>
      <c r="I7" s="131"/>
      <c r="J7" s="42">
        <f>VLOOKUP(C7,Machined!C:R,12,0)</f>
        <v>45159</v>
      </c>
      <c r="K7" s="42">
        <f>VLOOKUP(C7,Machined!C:R,13,0)</f>
        <v>45161</v>
      </c>
      <c r="L7" s="42">
        <f>VLOOKUP(C7,Machined!C:R,14,0)</f>
        <v>45191</v>
      </c>
      <c r="M7" s="42">
        <f>VLOOKUP(C7,Machined!C:R,15,0)</f>
        <v>45191</v>
      </c>
      <c r="N7" s="43">
        <f>VLOOKUP(C7,Machined!C:R,16,0)</f>
        <v>55092</v>
      </c>
      <c r="O7" s="43" t="e">
        <f t="shared" ca="1" si="0"/>
        <v>#VALUE!</v>
      </c>
      <c r="P7" s="47">
        <f>IFERROR(VLOOKUP(C7,Machined!C:F,3,0),"")</f>
        <v>132.69999999999999</v>
      </c>
      <c r="Q7" s="48">
        <f t="shared" si="1"/>
        <v>132.69999999999999</v>
      </c>
    </row>
    <row r="8" spans="1:17" s="2" customFormat="1" ht="12.75" customHeight="1">
      <c r="A8" s="127">
        <f t="shared" si="2"/>
        <v>4</v>
      </c>
      <c r="B8" s="21">
        <v>1</v>
      </c>
      <c r="C8" s="108" t="s">
        <v>1235</v>
      </c>
      <c r="D8" s="277" t="str">
        <f>VLOOKUP(C8,Machined!C:Q,2,0)</f>
        <v>Cap Rail 3-B Side</v>
      </c>
      <c r="E8" s="278"/>
      <c r="F8" s="131" t="str">
        <f>VLOOKUP(C8,Machined!C:R,7,0)</f>
        <v>AISI 304, 1/16 in</v>
      </c>
      <c r="G8" s="131" t="str">
        <f>VLOOKUP(C8,Machined!C:R,10,0)</f>
        <v>WESCO BHT</v>
      </c>
      <c r="H8" s="131" t="str">
        <f>VLOOKUP(C8,Machined!C:R,11,0)</f>
        <v xml:space="preserve">  </v>
      </c>
      <c r="I8" s="131"/>
      <c r="J8" s="42">
        <f>VLOOKUP(C8,Machined!C:R,12,0)</f>
        <v>45159</v>
      </c>
      <c r="K8" s="42">
        <f>VLOOKUP(C8,Machined!C:R,13,0)</f>
        <v>45161</v>
      </c>
      <c r="L8" s="42">
        <f>VLOOKUP(C8,Machined!C:R,14,0)</f>
        <v>45191</v>
      </c>
      <c r="M8" s="42">
        <f>VLOOKUP(C8,Machined!C:R,15,0)</f>
        <v>45191</v>
      </c>
      <c r="N8" s="43">
        <f>VLOOKUP(C8,Machined!C:R,16,0)</f>
        <v>55092</v>
      </c>
      <c r="O8" s="43" t="e">
        <f t="shared" ca="1" si="0"/>
        <v>#VALUE!</v>
      </c>
      <c r="P8" s="47">
        <f>IFERROR(VLOOKUP(C8,Machined!C:F,3,0),"")</f>
        <v>135.57</v>
      </c>
      <c r="Q8" s="48">
        <f t="shared" si="1"/>
        <v>135.57</v>
      </c>
    </row>
    <row r="9" spans="1:17" s="2" customFormat="1" ht="12.75" customHeight="1">
      <c r="A9" s="127">
        <f t="shared" si="2"/>
        <v>5</v>
      </c>
      <c r="B9" s="21">
        <v>1</v>
      </c>
      <c r="C9" s="108" t="s">
        <v>1236</v>
      </c>
      <c r="D9" s="277" t="str">
        <f>VLOOKUP(C9,Machined!C:Q,2,0)</f>
        <v>Cap Rail 4-B Side</v>
      </c>
      <c r="E9" s="278"/>
      <c r="F9" s="131" t="str">
        <f>VLOOKUP(C9,Machined!C:R,7,0)</f>
        <v>AISI 304, 1/16 in</v>
      </c>
      <c r="G9" s="131" t="str">
        <f>VLOOKUP(C9,Machined!C:R,10,0)</f>
        <v>WESCO BHT</v>
      </c>
      <c r="H9" s="131" t="str">
        <f>VLOOKUP(C9,Machined!C:R,11,0)</f>
        <v xml:space="preserve">  </v>
      </c>
      <c r="I9" s="131"/>
      <c r="J9" s="42">
        <f>VLOOKUP(C9,Machined!C:R,12,0)</f>
        <v>45159</v>
      </c>
      <c r="K9" s="42">
        <f>VLOOKUP(C9,Machined!C:R,13,0)</f>
        <v>45161</v>
      </c>
      <c r="L9" s="42">
        <f>VLOOKUP(C9,Machined!C:R,14,0)</f>
        <v>45191</v>
      </c>
      <c r="M9" s="42">
        <f>VLOOKUP(C9,Machined!C:R,15,0)</f>
        <v>45191</v>
      </c>
      <c r="N9" s="43">
        <f>VLOOKUP(C9,Machined!C:R,16,0)</f>
        <v>55092</v>
      </c>
      <c r="O9" s="43" t="e">
        <f t="shared" ca="1" si="0"/>
        <v>#VALUE!</v>
      </c>
      <c r="P9" s="47">
        <f>IFERROR(VLOOKUP(C9,Machined!C:F,3,0),"")</f>
        <v>132.69999999999999</v>
      </c>
      <c r="Q9" s="48">
        <f t="shared" si="1"/>
        <v>132.69999999999999</v>
      </c>
    </row>
    <row r="10" spans="1:17" s="2" customFormat="1" ht="12.75" customHeight="1">
      <c r="A10" s="127">
        <f t="shared" si="2"/>
        <v>6</v>
      </c>
      <c r="B10" s="21">
        <v>1</v>
      </c>
      <c r="C10" s="108" t="s">
        <v>1237</v>
      </c>
      <c r="D10" s="277" t="str">
        <f>VLOOKUP(C10,Machined!C:Q,2,0)</f>
        <v>Cap Rail Top 1 B-Side</v>
      </c>
      <c r="E10" s="278"/>
      <c r="F10" s="131" t="str">
        <f>VLOOKUP(C10,Machined!C:R,7,0)</f>
        <v>AISI 304, 11 Gauge</v>
      </c>
      <c r="G10" s="131" t="str">
        <f>VLOOKUP(C10,Machined!C:R,10,0)</f>
        <v>WESCO BHT</v>
      </c>
      <c r="H10" s="131" t="str">
        <f>VLOOKUP(C10,Machined!C:R,11,0)</f>
        <v xml:space="preserve">  </v>
      </c>
      <c r="I10" s="131"/>
      <c r="J10" s="42">
        <f>VLOOKUP(C10,Machined!C:R,12,0)</f>
        <v>45159</v>
      </c>
      <c r="K10" s="42">
        <f>VLOOKUP(C10,Machined!C:R,13,0)</f>
        <v>45161</v>
      </c>
      <c r="L10" s="42">
        <f>VLOOKUP(C10,Machined!C:R,14,0)</f>
        <v>45191</v>
      </c>
      <c r="M10" s="42">
        <f>VLOOKUP(C10,Machined!C:R,15,0)</f>
        <v>45191</v>
      </c>
      <c r="N10" s="43">
        <f>VLOOKUP(C10,Machined!C:R,16,0)</f>
        <v>55092</v>
      </c>
      <c r="O10" s="43" t="e">
        <f t="shared" ca="1" si="0"/>
        <v>#VALUE!</v>
      </c>
      <c r="P10" s="47">
        <f>IFERROR(VLOOKUP(C10,Machined!C:F,3,0),"")</f>
        <v>93.73</v>
      </c>
      <c r="Q10" s="48">
        <f t="shared" si="1"/>
        <v>93.73</v>
      </c>
    </row>
    <row r="11" spans="1:17" s="2" customFormat="1" ht="12.75" customHeight="1">
      <c r="A11" s="127">
        <f t="shared" si="2"/>
        <v>7</v>
      </c>
      <c r="B11" s="21">
        <v>1</v>
      </c>
      <c r="C11" s="108" t="s">
        <v>1238</v>
      </c>
      <c r="D11" s="277" t="str">
        <f>VLOOKUP(C11,Machined!C:Q,2,0)</f>
        <v>Cap Rail Top 2 B-Side</v>
      </c>
      <c r="E11" s="278"/>
      <c r="F11" s="131" t="str">
        <f>VLOOKUP(C11,Machined!C:R,7,0)</f>
        <v>AISI 304, 11 Gauge</v>
      </c>
      <c r="G11" s="131" t="str">
        <f>VLOOKUP(C11,Machined!C:R,10,0)</f>
        <v>WESCO BHT</v>
      </c>
      <c r="H11" s="131" t="str">
        <f>VLOOKUP(C11,Machined!C:R,11,0)</f>
        <v xml:space="preserve">  </v>
      </c>
      <c r="I11" s="131"/>
      <c r="J11" s="42">
        <f>VLOOKUP(C11,Machined!C:R,12,0)</f>
        <v>45159</v>
      </c>
      <c r="K11" s="42">
        <f>VLOOKUP(C11,Machined!C:R,13,0)</f>
        <v>45161</v>
      </c>
      <c r="L11" s="42">
        <f>VLOOKUP(C11,Machined!C:R,14,0)</f>
        <v>45191</v>
      </c>
      <c r="M11" s="42">
        <f>VLOOKUP(C11,Machined!C:R,15,0)</f>
        <v>45191</v>
      </c>
      <c r="N11" s="43">
        <f>VLOOKUP(C11,Machined!C:R,16,0)</f>
        <v>55092</v>
      </c>
      <c r="O11" s="43" t="e">
        <f t="shared" ca="1" si="0"/>
        <v>#VALUE!</v>
      </c>
      <c r="P11" s="47">
        <f>IFERROR(VLOOKUP(C11,Machined!C:F,3,0),"")</f>
        <v>99.52</v>
      </c>
      <c r="Q11" s="48">
        <f t="shared" si="1"/>
        <v>99.52</v>
      </c>
    </row>
    <row r="12" spans="1:17" s="2" customFormat="1" ht="12.75" customHeight="1">
      <c r="A12" s="127">
        <f t="shared" si="2"/>
        <v>8</v>
      </c>
      <c r="B12" s="21">
        <v>1</v>
      </c>
      <c r="C12" s="108" t="s">
        <v>1239</v>
      </c>
      <c r="D12" s="277" t="str">
        <f>VLOOKUP(C12,Machined!C:Q,2,0)</f>
        <v>Cap Rail Top 3 B-Side</v>
      </c>
      <c r="E12" s="278"/>
      <c r="F12" s="131" t="str">
        <f>VLOOKUP(C12,Machined!C:R,7,0)</f>
        <v>AISI 304, 11 Gauge</v>
      </c>
      <c r="G12" s="131" t="str">
        <f>VLOOKUP(C12,Machined!C:R,10,0)</f>
        <v>WESCO BHT</v>
      </c>
      <c r="H12" s="131" t="str">
        <f>VLOOKUP(C12,Machined!C:R,11,0)</f>
        <v xml:space="preserve">  </v>
      </c>
      <c r="I12" s="131"/>
      <c r="J12" s="42">
        <f>VLOOKUP(C12,Machined!C:R,12,0)</f>
        <v>45159</v>
      </c>
      <c r="K12" s="42">
        <f>VLOOKUP(C12,Machined!C:R,13,0)</f>
        <v>45161</v>
      </c>
      <c r="L12" s="42">
        <f>VLOOKUP(C12,Machined!C:R,14,0)</f>
        <v>45191</v>
      </c>
      <c r="M12" s="42">
        <f>VLOOKUP(C12,Machined!C:R,15,0)</f>
        <v>45191</v>
      </c>
      <c r="N12" s="43">
        <f>VLOOKUP(C12,Machined!C:R,16,0)</f>
        <v>55092</v>
      </c>
      <c r="O12" s="43" t="e">
        <f t="shared" ca="1" si="0"/>
        <v>#VALUE!</v>
      </c>
      <c r="P12" s="47">
        <f>IFERROR(VLOOKUP(C12,Machined!C:F,3,0),"")</f>
        <v>99.52</v>
      </c>
      <c r="Q12" s="48">
        <f t="shared" si="1"/>
        <v>99.52</v>
      </c>
    </row>
    <row r="13" spans="1:17" s="2" customFormat="1" ht="12.75" customHeight="1">
      <c r="A13" s="127">
        <f t="shared" si="2"/>
        <v>9</v>
      </c>
      <c r="B13" s="21">
        <v>1</v>
      </c>
      <c r="C13" s="108" t="s">
        <v>1240</v>
      </c>
      <c r="D13" s="277" t="str">
        <f>VLOOKUP(C13,Machined!C:Q,2,0)</f>
        <v>Cap Rail Top 4 B-Side</v>
      </c>
      <c r="E13" s="278"/>
      <c r="F13" s="131" t="str">
        <f>VLOOKUP(C13,Machined!C:R,7,0)</f>
        <v>AISI 304, 11 Gauge</v>
      </c>
      <c r="G13" s="131" t="str">
        <f>VLOOKUP(C13,Machined!C:R,10,0)</f>
        <v>WESCO BHT</v>
      </c>
      <c r="H13" s="131" t="str">
        <f>VLOOKUP(C13,Machined!C:R,11,0)</f>
        <v xml:space="preserve">  </v>
      </c>
      <c r="I13" s="131"/>
      <c r="J13" s="42">
        <f>VLOOKUP(C13,Machined!C:R,12,0)</f>
        <v>45159</v>
      </c>
      <c r="K13" s="42">
        <f>VLOOKUP(C13,Machined!C:R,13,0)</f>
        <v>45161</v>
      </c>
      <c r="L13" s="42">
        <f>VLOOKUP(C13,Machined!C:R,14,0)</f>
        <v>45191</v>
      </c>
      <c r="M13" s="42">
        <f>VLOOKUP(C13,Machined!C:R,15,0)</f>
        <v>45191</v>
      </c>
      <c r="N13" s="43">
        <f>VLOOKUP(C13,Machined!C:R,16,0)</f>
        <v>55092</v>
      </c>
      <c r="O13" s="43" t="e">
        <f t="shared" ca="1" si="0"/>
        <v>#VALUE!</v>
      </c>
      <c r="P13" s="47">
        <f>IFERROR(VLOOKUP(C13,Machined!C:F,3,0),"")</f>
        <v>99.52</v>
      </c>
      <c r="Q13" s="48">
        <f t="shared" si="1"/>
        <v>99.52</v>
      </c>
    </row>
    <row r="14" spans="1:17" s="2" customFormat="1" ht="12.75" customHeight="1">
      <c r="A14" s="127">
        <f t="shared" si="2"/>
        <v>10</v>
      </c>
      <c r="B14" s="21">
        <v>2</v>
      </c>
      <c r="C14" s="108" t="s">
        <v>1222</v>
      </c>
      <c r="D14" s="277" t="str">
        <f>VLOOKUP(C14,Machined!C:Q,2,0)</f>
        <v>Cap Rail Top 5</v>
      </c>
      <c r="E14" s="278"/>
      <c r="F14" s="131" t="str">
        <f>VLOOKUP(C14,Machined!C:R,7,0)</f>
        <v>AISI 304, 11 Gauge</v>
      </c>
      <c r="G14" s="131" t="str">
        <f>VLOOKUP(C14,Machined!C:R,10,0)</f>
        <v>WESCO BHT</v>
      </c>
      <c r="H14" s="131" t="str">
        <f>VLOOKUP(C14,Machined!C:R,11,0)</f>
        <v xml:space="preserve">  </v>
      </c>
      <c r="I14" s="131"/>
      <c r="J14" s="42">
        <f>VLOOKUP(C14,Machined!C:R,12,0)</f>
        <v>45159</v>
      </c>
      <c r="K14" s="42">
        <f>VLOOKUP(C14,Machined!C:R,13,0)</f>
        <v>45161</v>
      </c>
      <c r="L14" s="42">
        <f>VLOOKUP(C14,Machined!C:R,14,0)</f>
        <v>45191</v>
      </c>
      <c r="M14" s="42">
        <f>VLOOKUP(C14,Machined!C:R,15,0)</f>
        <v>45191</v>
      </c>
      <c r="N14" s="43">
        <f>VLOOKUP(C14,Machined!C:R,16,0)</f>
        <v>55092</v>
      </c>
      <c r="O14" s="43" t="e">
        <f t="shared" ca="1" si="0"/>
        <v>#VALUE!</v>
      </c>
      <c r="P14" s="47">
        <f>IFERROR(VLOOKUP(C14,Machined!C:F,3,0),"")</f>
        <v>34.020000000000003</v>
      </c>
      <c r="Q14" s="48">
        <f t="shared" si="1"/>
        <v>68.040000000000006</v>
      </c>
    </row>
    <row r="15" spans="1:17" s="2" customFormat="1" ht="12.75" customHeight="1">
      <c r="A15" s="127">
        <f t="shared" si="2"/>
        <v>11</v>
      </c>
      <c r="B15" s="21">
        <v>2</v>
      </c>
      <c r="C15" s="108" t="s">
        <v>1223</v>
      </c>
      <c r="D15" s="277" t="str">
        <f>VLOOKUP(C15,Machined!C:Q,2,0)</f>
        <v>Cap Rail Slide Bracket 1</v>
      </c>
      <c r="E15" s="278"/>
      <c r="F15" s="131" t="str">
        <f>VLOOKUP(C15,Machined!C:R,7,0)</f>
        <v>Delrin - White</v>
      </c>
      <c r="G15" s="131" t="str">
        <f>VLOOKUP(C15,Machined!C:R,10,0)</f>
        <v>NULINE</v>
      </c>
      <c r="H15" s="131">
        <f>VLOOKUP(C15,Machined!C:R,11,0)</f>
        <v>0</v>
      </c>
      <c r="I15" s="131"/>
      <c r="J15" s="42" t="str">
        <f>VLOOKUP(C15,Machined!C:R,12,0)</f>
        <v>N/A</v>
      </c>
      <c r="K15" s="42" t="str">
        <f>VLOOKUP(C15,Machined!C:R,13,0)</f>
        <v>N/A</v>
      </c>
      <c r="L15" s="42" t="str">
        <f>VLOOKUP(C15,Machined!C:R,14,0)</f>
        <v>N/A</v>
      </c>
      <c r="M15" s="42" t="str">
        <f>VLOOKUP(C15,Machined!C:R,15,0)</f>
        <v>N/A</v>
      </c>
      <c r="N15" s="43" t="str">
        <f>VLOOKUP(C15,Machined!C:R,16,0)</f>
        <v>N/A</v>
      </c>
      <c r="O15" s="43" t="e">
        <f t="shared" ca="1" si="0"/>
        <v>#VALUE!</v>
      </c>
      <c r="P15" s="47">
        <f>IFERROR(VLOOKUP(C15,Machined!C:F,3,0),"")</f>
        <v>0</v>
      </c>
      <c r="Q15" s="48">
        <f t="shared" si="1"/>
        <v>0</v>
      </c>
    </row>
    <row r="16" spans="1:17" s="2" customFormat="1" ht="12.75" customHeight="1">
      <c r="A16" s="127">
        <f t="shared" si="2"/>
        <v>12</v>
      </c>
      <c r="B16" s="21">
        <v>4</v>
      </c>
      <c r="C16" s="108" t="s">
        <v>1224</v>
      </c>
      <c r="D16" s="277" t="str">
        <f>VLOOKUP(C16,Machined!C:Q,2,0)</f>
        <v>Cap Rail Slide Bracket 2</v>
      </c>
      <c r="E16" s="278"/>
      <c r="F16" s="131" t="str">
        <f>VLOOKUP(C16,Machined!C:R,7,0)</f>
        <v>Delrin - White</v>
      </c>
      <c r="G16" s="131" t="str">
        <f>VLOOKUP(C16,Machined!C:R,10,0)</f>
        <v>NULINE</v>
      </c>
      <c r="H16" s="131" t="str">
        <f>VLOOKUP(C16,Machined!C:R,11,0)</f>
        <v xml:space="preserve">  </v>
      </c>
      <c r="I16" s="131"/>
      <c r="J16" s="42" t="str">
        <f>VLOOKUP(C16,Machined!C:R,12,0)</f>
        <v>N/A</v>
      </c>
      <c r="K16" s="42" t="str">
        <f>VLOOKUP(C16,Machined!C:R,13,0)</f>
        <v>N/A</v>
      </c>
      <c r="L16" s="42" t="str">
        <f>VLOOKUP(C16,Machined!C:R,14,0)</f>
        <v>N/A</v>
      </c>
      <c r="M16" s="42" t="str">
        <f>VLOOKUP(C16,Machined!C:R,15,0)</f>
        <v>N/A</v>
      </c>
      <c r="N16" s="43" t="str">
        <f>VLOOKUP(C16,Machined!C:R,16,0)</f>
        <v>N/A</v>
      </c>
      <c r="O16" s="43" t="e">
        <f t="shared" ca="1" si="0"/>
        <v>#VALUE!</v>
      </c>
      <c r="P16" s="47">
        <f>IFERROR(VLOOKUP(C16,Machined!C:F,3,0),"")</f>
        <v>0</v>
      </c>
      <c r="Q16" s="48">
        <f t="shared" si="1"/>
        <v>0</v>
      </c>
    </row>
    <row r="17" spans="1:17" s="2" customFormat="1" ht="12.75" customHeight="1">
      <c r="A17" s="127">
        <f t="shared" si="2"/>
        <v>13</v>
      </c>
      <c r="B17" s="21">
        <v>2</v>
      </c>
      <c r="C17" s="108" t="s">
        <v>1225</v>
      </c>
      <c r="D17" s="277" t="str">
        <f>VLOOKUP(C17,Machined!C:Q,2,0)</f>
        <v>Cap Rail-Center</v>
      </c>
      <c r="E17" s="278"/>
      <c r="F17" s="131" t="str">
        <f>VLOOKUP(C17,Machined!C:R,7,0)</f>
        <v>AISI 304, 1/16 in</v>
      </c>
      <c r="G17" s="131" t="str">
        <f>VLOOKUP(C17,Machined!C:R,10,0)</f>
        <v>WESCO BHT</v>
      </c>
      <c r="H17" s="131" t="str">
        <f>VLOOKUP(C17,Machined!C:R,11,0)</f>
        <v xml:space="preserve">  </v>
      </c>
      <c r="I17" s="131"/>
      <c r="J17" s="42">
        <f>VLOOKUP(C17,Machined!C:R,12,0)</f>
        <v>45159</v>
      </c>
      <c r="K17" s="42">
        <f>VLOOKUP(C17,Machined!C:R,13,0)</f>
        <v>45161</v>
      </c>
      <c r="L17" s="42">
        <f>VLOOKUP(C17,Machined!C:R,14,0)</f>
        <v>45191</v>
      </c>
      <c r="M17" s="42">
        <f>VLOOKUP(C17,Machined!C:R,15,0)</f>
        <v>45191</v>
      </c>
      <c r="N17" s="43">
        <f>VLOOKUP(C17,Machined!C:R,16,0)</f>
        <v>55092</v>
      </c>
      <c r="O17" s="43" t="e">
        <f t="shared" ca="1" si="0"/>
        <v>#VALUE!</v>
      </c>
      <c r="P17" s="47">
        <f>IFERROR(VLOOKUP(C17,Machined!C:F,3,0),"")</f>
        <v>34.020000000000003</v>
      </c>
      <c r="Q17" s="48">
        <f t="shared" si="1"/>
        <v>68.040000000000006</v>
      </c>
    </row>
    <row r="18" spans="1:17" s="2" customFormat="1" ht="12.75" customHeight="1">
      <c r="A18" s="127">
        <f t="shared" si="2"/>
        <v>14</v>
      </c>
      <c r="B18" s="21">
        <v>1</v>
      </c>
      <c r="C18" s="108" t="s">
        <v>1241</v>
      </c>
      <c r="D18" s="277" t="str">
        <f>VLOOKUP(C18,Machined!C:Q,2,0)</f>
        <v>Cap Rail Tie-Side B</v>
      </c>
      <c r="E18" s="278"/>
      <c r="F18" s="131" t="str">
        <f>VLOOKUP(C18,Machined!C:R,7,0)</f>
        <v>AISI 304, 11 Gauge</v>
      </c>
      <c r="G18" s="131" t="str">
        <f>VLOOKUP(C18,Machined!C:R,10,0)</f>
        <v>WESCO BHT</v>
      </c>
      <c r="H18" s="131" t="str">
        <f>VLOOKUP(C18,Machined!C:R,11,0)</f>
        <v xml:space="preserve">  </v>
      </c>
      <c r="I18" s="131"/>
      <c r="J18" s="42">
        <f>VLOOKUP(C18,Machined!C:R,12,0)</f>
        <v>45159</v>
      </c>
      <c r="K18" s="42">
        <f>VLOOKUP(C18,Machined!C:R,13,0)</f>
        <v>45161</v>
      </c>
      <c r="L18" s="42">
        <f>VLOOKUP(C18,Machined!C:R,14,0)</f>
        <v>45191</v>
      </c>
      <c r="M18" s="42">
        <f>VLOOKUP(C18,Machined!C:R,15,0)</f>
        <v>45191</v>
      </c>
      <c r="N18" s="43">
        <f>VLOOKUP(C18,Machined!C:R,16,0)</f>
        <v>55092</v>
      </c>
      <c r="O18" s="43" t="e">
        <f t="shared" ca="1" si="0"/>
        <v>#VALUE!</v>
      </c>
      <c r="P18" s="47">
        <f>IFERROR(VLOOKUP(C18,Machined!C:F,3,0),"")</f>
        <v>127.45</v>
      </c>
      <c r="Q18" s="48">
        <f t="shared" si="1"/>
        <v>127.45</v>
      </c>
    </row>
    <row r="19" spans="1:17" s="2" customFormat="1" ht="12.75" customHeight="1">
      <c r="A19" s="127">
        <v>15</v>
      </c>
      <c r="B19" s="21">
        <v>3</v>
      </c>
      <c r="C19" s="108" t="s">
        <v>838</v>
      </c>
      <c r="D19" s="277" t="str">
        <f>VLOOKUP(C19,Machined!C:Q,2,0)</f>
        <v>Extrusion Bracket</v>
      </c>
      <c r="E19" s="278"/>
      <c r="F19" s="131" t="str">
        <f>VLOOKUP(C19,Machined!C:R,7,0)</f>
        <v>6061-T6 Alum</v>
      </c>
      <c r="G19" s="131" t="str">
        <f>VLOOKUP(C19,Machined!C:R,10,0)</f>
        <v>XOMETRY</v>
      </c>
      <c r="H19" s="131" t="str">
        <f>VLOOKUP(C19,Machined!C:R,11,0)</f>
        <v xml:space="preserve">  </v>
      </c>
      <c r="I19" s="131"/>
      <c r="J19" s="42">
        <f>VLOOKUP(C19,Machined!C:R,12,0)</f>
        <v>45161</v>
      </c>
      <c r="K19" s="42">
        <f>VLOOKUP(C19,Machined!C:R,13,0)</f>
        <v>45161</v>
      </c>
      <c r="L19" s="42">
        <f>VLOOKUP(C19,Machined!C:R,14,0)</f>
        <v>45181</v>
      </c>
      <c r="M19" s="42">
        <f>VLOOKUP(C19,Machined!C:R,15,0)</f>
        <v>45181</v>
      </c>
      <c r="N19" s="43">
        <f>VLOOKUP(C19,Machined!C:R,16,0)</f>
        <v>55095</v>
      </c>
      <c r="O19" s="43" t="e">
        <f ca="1">B19*$L$2</f>
        <v>#VALUE!</v>
      </c>
      <c r="P19" s="47">
        <f>IFERROR(VLOOKUP(C19,Machined!C:F,3,0),"")</f>
        <v>27.97</v>
      </c>
      <c r="Q19" s="48">
        <f>IFERROR(B19*P19,"")</f>
        <v>83.91</v>
      </c>
    </row>
    <row r="20" spans="1:17" s="2" customFormat="1" ht="12.75" customHeight="1">
      <c r="A20" s="127">
        <v>16</v>
      </c>
      <c r="B20" s="21">
        <v>6</v>
      </c>
      <c r="C20" s="108" t="s">
        <v>839</v>
      </c>
      <c r="D20" s="277" t="str">
        <f>VLOOKUP(C20,Machined!C:Q,2,0)</f>
        <v>Conveyor Bracket</v>
      </c>
      <c r="E20" s="278"/>
      <c r="F20" s="131" t="str">
        <f>VLOOKUP(C20,Machined!C:R,7,0)</f>
        <v>6061-T6 Alum</v>
      </c>
      <c r="G20" s="131" t="str">
        <f>VLOOKUP(C20,Machined!C:R,10,0)</f>
        <v>XOMETRY</v>
      </c>
      <c r="H20" s="131" t="str">
        <f>VLOOKUP(C20,Machined!C:R,11,0)</f>
        <v xml:space="preserve">  </v>
      </c>
      <c r="I20" s="131"/>
      <c r="J20" s="42">
        <f>VLOOKUP(C20,Machined!C:R,12,0)</f>
        <v>45161</v>
      </c>
      <c r="K20" s="42">
        <f>VLOOKUP(C20,Machined!C:R,13,0)</f>
        <v>45161</v>
      </c>
      <c r="L20" s="42">
        <f>VLOOKUP(C20,Machined!C:R,14,0)</f>
        <v>45181</v>
      </c>
      <c r="M20" s="42">
        <f>VLOOKUP(C20,Machined!C:R,15,0)</f>
        <v>45181</v>
      </c>
      <c r="N20" s="43">
        <f>VLOOKUP(C20,Machined!C:R,16,0)</f>
        <v>55095</v>
      </c>
      <c r="O20" s="43" t="e">
        <f ca="1">B20*$L$2</f>
        <v>#VALUE!</v>
      </c>
      <c r="P20" s="47">
        <f>IFERROR(VLOOKUP(C20,Machined!C:F,3,0),"")</f>
        <v>26.98</v>
      </c>
      <c r="Q20" s="48">
        <f>IFERROR(B20*P20,"")</f>
        <v>161.88</v>
      </c>
    </row>
    <row r="21" spans="1:17" s="2" customFormat="1" ht="12.75" customHeight="1">
      <c r="A21" s="127">
        <f>A20+1</f>
        <v>17</v>
      </c>
      <c r="B21" s="21">
        <v>2</v>
      </c>
      <c r="C21" s="108" t="s">
        <v>840</v>
      </c>
      <c r="D21" s="277" t="str">
        <f>VLOOKUP(C21,Machined!C:Q,2,0)</f>
        <v>Fiber Optic Bracket</v>
      </c>
      <c r="E21" s="278"/>
      <c r="F21" s="131" t="str">
        <f>VLOOKUP(C21,Machined!C:R,7,0)</f>
        <v>6061-T6 Alum</v>
      </c>
      <c r="G21" s="131" t="str">
        <f>VLOOKUP(C21,Machined!C:R,10,0)</f>
        <v>XOMETRY</v>
      </c>
      <c r="H21" s="131" t="str">
        <f>VLOOKUP(C21,Machined!C:R,11,0)</f>
        <v xml:space="preserve">  </v>
      </c>
      <c r="I21" s="131"/>
      <c r="J21" s="42">
        <f>VLOOKUP(C21,Machined!C:R,12,0)</f>
        <v>45161</v>
      </c>
      <c r="K21" s="42">
        <f>VLOOKUP(C21,Machined!C:R,13,0)</f>
        <v>45161</v>
      </c>
      <c r="L21" s="42">
        <f>VLOOKUP(C21,Machined!C:R,14,0)</f>
        <v>45181</v>
      </c>
      <c r="M21" s="42">
        <f>VLOOKUP(C21,Machined!C:R,15,0)</f>
        <v>45181</v>
      </c>
      <c r="N21" s="43">
        <f>VLOOKUP(C21,Machined!C:R,16,0)</f>
        <v>55095</v>
      </c>
      <c r="O21" s="43" t="e">
        <f t="shared" ref="O21" ca="1" si="3">B21*$L$2</f>
        <v>#VALUE!</v>
      </c>
      <c r="P21" s="47">
        <f>IFERROR(VLOOKUP(C21,Machined!C:F,3,0),"")</f>
        <v>45.87</v>
      </c>
      <c r="Q21" s="48">
        <f t="shared" ref="Q21" si="4">IFERROR(B21*P21,"")</f>
        <v>91.74</v>
      </c>
    </row>
    <row r="22" spans="1:17" s="2" customFormat="1" ht="12.75" customHeight="1">
      <c r="A22" s="143"/>
      <c r="B22" s="26"/>
      <c r="C22" s="26"/>
      <c r="D22" s="272"/>
      <c r="E22" s="273"/>
      <c r="F22" s="26"/>
      <c r="G22" s="26"/>
      <c r="H22" s="274"/>
      <c r="I22" s="275"/>
      <c r="J22" s="27"/>
      <c r="K22" s="27"/>
      <c r="L22" s="27"/>
      <c r="M22" s="28"/>
      <c r="N22" s="29"/>
      <c r="O22" s="29"/>
      <c r="P22" s="141"/>
      <c r="Q22" s="142"/>
    </row>
    <row r="23" spans="1:17" s="2" customFormat="1" ht="12.75" customHeight="1">
      <c r="A23" s="4">
        <v>301</v>
      </c>
      <c r="B23" s="2">
        <v>1</v>
      </c>
      <c r="C23" s="114" t="s">
        <v>856</v>
      </c>
      <c r="D23" s="268" t="str">
        <f>VLOOKUP(C23,Purchased!A:B,2,0)</f>
        <v>Dorner End Drive Conveyor (B Side)
2200 Series end drive conveyor with V-guide belt
tracking, 2.75in (70mm) wide x 6.83ft (2082mm)
long, drive shaft in position C with type 01 - low
side profile on both sides and belt type 01, FDA
Accumulation with fused finger splice.</v>
      </c>
      <c r="E23" s="269"/>
      <c r="F23" s="112" t="str">
        <f>VLOOKUP(C23,Purchased!A:Q,9,0)</f>
        <v>Dorner</v>
      </c>
      <c r="G23" s="112" t="str">
        <f>VLOOKUP(C23,Purchased!A:Q,10,0)</f>
        <v>AAP</v>
      </c>
      <c r="H23" s="112" t="str">
        <f>VLOOKUP(C23,Purchased!A:Q,12,0)</f>
        <v xml:space="preserve"> </v>
      </c>
      <c r="I23" s="113"/>
      <c r="J23" s="44" t="str">
        <f>VLOOKUP(C23,Purchased!A:Q,13,0)</f>
        <v>N/A</v>
      </c>
      <c r="K23" s="44">
        <f>VLOOKUP(C23,Purchased!A:Q,14,0)</f>
        <v>45085</v>
      </c>
      <c r="L23" s="44">
        <f>VLOOKUP(C23,Purchased!A:Q,15,0)</f>
        <v>45110</v>
      </c>
      <c r="M23" s="44">
        <f>VLOOKUP(C23,Purchased!A:Q,16,0)</f>
        <v>45110</v>
      </c>
      <c r="N23" s="45">
        <f>VLOOKUP(C23,Purchased!A:Q,17,0)</f>
        <v>54924</v>
      </c>
      <c r="O23" s="45" t="e">
        <f t="shared" ref="O23:O44" ca="1" si="5">B23*$L$2</f>
        <v>#VALUE!</v>
      </c>
      <c r="P23" s="49">
        <f>IFERROR(VLOOKUP(C23,Purchased!A:E,3,FALSE),"")</f>
        <v>1347.7125000000001</v>
      </c>
      <c r="Q23" s="50">
        <f t="shared" ref="Q23:Q30" si="6">IFERROR(B23*P23,"")</f>
        <v>1347.7125000000001</v>
      </c>
    </row>
    <row r="24" spans="1:17" s="2" customFormat="1" ht="12" customHeight="1">
      <c r="A24" s="4">
        <f t="shared" ref="A24:A39" si="7">A23+1</f>
        <v>302</v>
      </c>
      <c r="B24" s="2">
        <v>1</v>
      </c>
      <c r="C24" s="114" t="s">
        <v>857</v>
      </c>
      <c r="D24" s="268" t="str">
        <f>VLOOKUP(C24,Purchased!A:B,2,0)</f>
        <v>Dorner Bottom Mount Pkg (B Side)
2200 Series Standard Load 90 Degree flush
Bottom mount package for a end drive conveyor,
mounted in the C position, 28:16 pulley ratio.
Uncrated weight = 6lb (3kg).</v>
      </c>
      <c r="E24" s="269"/>
      <c r="F24" s="112" t="str">
        <f>VLOOKUP(C24,Purchased!A:Q,9,0)</f>
        <v>Dorner</v>
      </c>
      <c r="G24" s="112" t="str">
        <f>VLOOKUP(C24,Purchased!A:Q,10,0)</f>
        <v>AAP</v>
      </c>
      <c r="H24" s="112" t="str">
        <f>VLOOKUP(C24,Purchased!A:Q,12,0)</f>
        <v xml:space="preserve"> </v>
      </c>
      <c r="I24" s="113"/>
      <c r="J24" s="44" t="str">
        <f>VLOOKUP(C24,Purchased!A:Q,13,0)</f>
        <v>N/A</v>
      </c>
      <c r="K24" s="44">
        <f>VLOOKUP(C24,Purchased!A:Q,14,0)</f>
        <v>45085</v>
      </c>
      <c r="L24" s="44">
        <f>VLOOKUP(C24,Purchased!A:Q,15,0)</f>
        <v>45110</v>
      </c>
      <c r="M24" s="44">
        <f>VLOOKUP(C24,Purchased!A:Q,16,0)</f>
        <v>45110</v>
      </c>
      <c r="N24" s="45">
        <f>VLOOKUP(C24,Purchased!A:Q,17,0)</f>
        <v>54924</v>
      </c>
      <c r="O24" s="45" t="e">
        <f t="shared" ca="1" si="5"/>
        <v>#VALUE!</v>
      </c>
      <c r="P24" s="49">
        <f>IFERROR(VLOOKUP(C24,Purchased!A:E,3,FALSE),"")</f>
        <v>409.81225000000001</v>
      </c>
      <c r="Q24" s="50">
        <f t="shared" si="6"/>
        <v>409.81225000000001</v>
      </c>
    </row>
    <row r="25" spans="1:17" s="2" customFormat="1" ht="12" customHeight="1">
      <c r="A25" s="4">
        <f t="shared" si="7"/>
        <v>303</v>
      </c>
      <c r="B25" s="2">
        <v>1</v>
      </c>
      <c r="C25" s="114" t="s">
        <v>843</v>
      </c>
      <c r="D25" s="268" t="str">
        <f>VLOOKUP(C25,Purchased!A:B,2,0)</f>
        <v>Dorner 2200 Series standard load 90 Degree (A and B Side)</v>
      </c>
      <c r="E25" s="269"/>
      <c r="F25" s="112" t="str">
        <f>VLOOKUP(C25,Purchased!A:Q,9,0)</f>
        <v>Dorner</v>
      </c>
      <c r="G25" s="112" t="str">
        <f>VLOOKUP(C25,Purchased!A:Q,10,0)</f>
        <v>AAP</v>
      </c>
      <c r="H25" s="112" t="str">
        <f>VLOOKUP(C25,Purchased!A:Q,12,0)</f>
        <v xml:space="preserve"> </v>
      </c>
      <c r="I25" s="113"/>
      <c r="J25" s="44" t="str">
        <f>VLOOKUP(C25,Purchased!A:Q,13,0)</f>
        <v>N/A</v>
      </c>
      <c r="K25" s="44">
        <f>VLOOKUP(C25,Purchased!A:Q,14,0)</f>
        <v>45085</v>
      </c>
      <c r="L25" s="44">
        <f>VLOOKUP(C25,Purchased!A:Q,15,0)</f>
        <v>45110</v>
      </c>
      <c r="M25" s="44">
        <f>VLOOKUP(C25,Purchased!A:Q,16,0)</f>
        <v>45110</v>
      </c>
      <c r="N25" s="45">
        <f>VLOOKUP(C25,Purchased!A:Q,17,0)</f>
        <v>54924</v>
      </c>
      <c r="O25" s="45" t="e">
        <f t="shared" ca="1" si="5"/>
        <v>#VALUE!</v>
      </c>
      <c r="P25" s="49">
        <f>IFERROR(VLOOKUP(C25,Purchased!A:E,3,FALSE),"")</f>
        <v>823.61540000000002</v>
      </c>
      <c r="Q25" s="50">
        <f t="shared" si="6"/>
        <v>823.61540000000002</v>
      </c>
    </row>
    <row r="26" spans="1:17" s="2" customFormat="1" ht="12" customHeight="1">
      <c r="A26" s="4">
        <f t="shared" si="7"/>
        <v>304</v>
      </c>
      <c r="B26" s="2">
        <v>6</v>
      </c>
      <c r="C26" s="114" t="s">
        <v>845</v>
      </c>
      <c r="D26" s="268" t="str">
        <f>VLOOKUP(C26,Purchased!A:B,2,0)</f>
        <v>Nylon Plastic Washer for M6 Screw Size, 6.5 mm ID, 17.8 mm OD, Off-White, 25pk</v>
      </c>
      <c r="E26" s="269"/>
      <c r="F26" s="112" t="str">
        <f>VLOOKUP(C26,Purchased!A:Q,9,0)</f>
        <v>MCM</v>
      </c>
      <c r="G26" s="112" t="str">
        <f>VLOOKUP(C26,Purchased!A:Q,10,0)</f>
        <v>MCM</v>
      </c>
      <c r="H26" s="112" t="str">
        <f>VLOOKUP(C26,Purchased!A:Q,12,0)</f>
        <v xml:space="preserve"> </v>
      </c>
      <c r="I26" s="113"/>
      <c r="J26" s="44" t="str">
        <f>VLOOKUP(C26,Purchased!A:Q,13,0)</f>
        <v>N/A</v>
      </c>
      <c r="K26" s="44">
        <f>VLOOKUP(C26,Purchased!A:Q,14,0)</f>
        <v>45162</v>
      </c>
      <c r="L26" s="44">
        <f>VLOOKUP(C26,Purchased!A:Q,15,0)</f>
        <v>45184</v>
      </c>
      <c r="M26" s="44">
        <f>VLOOKUP(C26,Purchased!A:Q,16,0)</f>
        <v>45163</v>
      </c>
      <c r="N26" s="45">
        <f>VLOOKUP(C26,Purchased!A:Q,17,0)</f>
        <v>55089</v>
      </c>
      <c r="O26" s="45" t="e">
        <f t="shared" ca="1" si="5"/>
        <v>#VALUE!</v>
      </c>
      <c r="P26" s="49">
        <f>IFERROR(VLOOKUP(C26,Purchased!A:E,3,FALSE),"")</f>
        <v>5.5</v>
      </c>
      <c r="Q26" s="50">
        <f t="shared" si="6"/>
        <v>33</v>
      </c>
    </row>
    <row r="27" spans="1:17" s="2" customFormat="1" ht="12" customHeight="1">
      <c r="A27" s="4">
        <f t="shared" si="7"/>
        <v>305</v>
      </c>
      <c r="B27" s="2">
        <v>16</v>
      </c>
      <c r="C27" s="114" t="s">
        <v>847</v>
      </c>
      <c r="D27" s="268" t="str">
        <f>VLOOKUP(C27,Purchased!A:B,2,0)</f>
        <v>Press-Fit Studs 18-8 Stainless Steel, M5 x 0.8 mm Thread, 15 mm Long, PEM Fhs-M5-15, 25pk</v>
      </c>
      <c r="E27" s="269"/>
      <c r="F27" s="112" t="str">
        <f>VLOOKUP(C27,Purchased!A:Q,9,0)</f>
        <v>MCM</v>
      </c>
      <c r="G27" s="112" t="str">
        <f>VLOOKUP(C27,Purchased!A:Q,10,0)</f>
        <v>MCM</v>
      </c>
      <c r="H27" s="112" t="str">
        <f>VLOOKUP(C27,Purchased!A:Q,12,0)</f>
        <v xml:space="preserve"> </v>
      </c>
      <c r="I27" s="113"/>
      <c r="J27" s="44" t="str">
        <f>VLOOKUP(C27,Purchased!A:Q,13,0)</f>
        <v>N/A</v>
      </c>
      <c r="K27" s="44">
        <f>VLOOKUP(C27,Purchased!A:Q,14,0)</f>
        <v>45162</v>
      </c>
      <c r="L27" s="44">
        <f>VLOOKUP(C27,Purchased!A:Q,15,0)</f>
        <v>45184</v>
      </c>
      <c r="M27" s="44">
        <f>VLOOKUP(C27,Purchased!A:Q,16,0)</f>
        <v>45163</v>
      </c>
      <c r="N27" s="45">
        <f>VLOOKUP(C27,Purchased!A:Q,17,0)</f>
        <v>55089</v>
      </c>
      <c r="O27" s="45" t="e">
        <f t="shared" ca="1" si="5"/>
        <v>#VALUE!</v>
      </c>
      <c r="P27" s="49">
        <f>IFERROR(VLOOKUP(C27,Purchased!A:E,3,FALSE),"")</f>
        <v>11.45</v>
      </c>
      <c r="Q27" s="50">
        <f t="shared" si="6"/>
        <v>183.2</v>
      </c>
    </row>
    <row r="28" spans="1:17" s="2" customFormat="1" ht="12" customHeight="1">
      <c r="A28" s="4">
        <f t="shared" si="7"/>
        <v>306</v>
      </c>
      <c r="B28" s="2">
        <v>16</v>
      </c>
      <c r="C28" s="114" t="s">
        <v>848</v>
      </c>
      <c r="D28" s="268" t="str">
        <f>VLOOKUP(C28,Purchased!A:B,2,0)</f>
        <v>Nylon Plastic Washer for M5 Screw Size, 5.3 mm ID, 11 mm OD, Off-White, 100pk</v>
      </c>
      <c r="E28" s="269"/>
      <c r="F28" s="112" t="str">
        <f>VLOOKUP(C28,Purchased!A:Q,9,0)</f>
        <v>MCM</v>
      </c>
      <c r="G28" s="112" t="str">
        <f>VLOOKUP(C28,Purchased!A:Q,10,0)</f>
        <v>MCM</v>
      </c>
      <c r="H28" s="112" t="str">
        <f>VLOOKUP(C28,Purchased!A:Q,12,0)</f>
        <v xml:space="preserve"> </v>
      </c>
      <c r="I28" s="113"/>
      <c r="J28" s="44" t="str">
        <f>VLOOKUP(C28,Purchased!A:Q,13,0)</f>
        <v>N/A</v>
      </c>
      <c r="K28" s="44">
        <f>VLOOKUP(C28,Purchased!A:Q,14,0)</f>
        <v>45162</v>
      </c>
      <c r="L28" s="44">
        <f>VLOOKUP(C28,Purchased!A:Q,15,0)</f>
        <v>45184</v>
      </c>
      <c r="M28" s="44">
        <f>VLOOKUP(C28,Purchased!A:Q,16,0)</f>
        <v>45163</v>
      </c>
      <c r="N28" s="45">
        <f>VLOOKUP(C28,Purchased!A:Q,17,0)</f>
        <v>55089</v>
      </c>
      <c r="O28" s="45" t="e">
        <f t="shared" ca="1" si="5"/>
        <v>#VALUE!</v>
      </c>
      <c r="P28" s="49">
        <f>IFERROR(VLOOKUP(C28,Purchased!A:E,3,FALSE),"")</f>
        <v>6.8</v>
      </c>
      <c r="Q28" s="50">
        <f t="shared" si="6"/>
        <v>108.8</v>
      </c>
    </row>
    <row r="29" spans="1:17" s="2" customFormat="1" ht="12" customHeight="1">
      <c r="A29" s="4">
        <f t="shared" si="7"/>
        <v>307</v>
      </c>
      <c r="B29" s="2">
        <v>16</v>
      </c>
      <c r="C29" s="114" t="s">
        <v>849</v>
      </c>
      <c r="D29" s="268" t="str">
        <f>VLOOKUP(C29,Purchased!A:B,2,0)</f>
        <v>18-8 Stainless Steel Nylon-Insert Locknut M5 x 0.8 mm Thread, 8 mm Wide, 5 mm High, 100pk</v>
      </c>
      <c r="E29" s="269"/>
      <c r="F29" s="112" t="str">
        <f>VLOOKUP(C29,Purchased!A:Q,9,0)</f>
        <v>MCM</v>
      </c>
      <c r="G29" s="112" t="str">
        <f>VLOOKUP(C29,Purchased!A:Q,10,0)</f>
        <v>MCM</v>
      </c>
      <c r="H29" s="112" t="str">
        <f>VLOOKUP(C29,Purchased!A:Q,12,0)</f>
        <v xml:space="preserve"> </v>
      </c>
      <c r="I29" s="113"/>
      <c r="J29" s="44" t="str">
        <f>VLOOKUP(C29,Purchased!A:Q,13,0)</f>
        <v>N/A</v>
      </c>
      <c r="K29" s="44">
        <f>VLOOKUP(C29,Purchased!A:Q,14,0)</f>
        <v>45162</v>
      </c>
      <c r="L29" s="44">
        <f>VLOOKUP(C29,Purchased!A:Q,15,0)</f>
        <v>45184</v>
      </c>
      <c r="M29" s="44">
        <f>VLOOKUP(C29,Purchased!A:Q,16,0)</f>
        <v>45163</v>
      </c>
      <c r="N29" s="45">
        <f>VLOOKUP(C29,Purchased!A:Q,17,0)</f>
        <v>55089</v>
      </c>
      <c r="O29" s="45" t="e">
        <f t="shared" ca="1" si="5"/>
        <v>#VALUE!</v>
      </c>
      <c r="P29" s="49">
        <f>IFERROR(VLOOKUP(C29,Purchased!A:E,3,FALSE),"")</f>
        <v>8.77</v>
      </c>
      <c r="Q29" s="50">
        <f t="shared" si="6"/>
        <v>140.32</v>
      </c>
    </row>
    <row r="30" spans="1:17" s="2" customFormat="1" ht="12" customHeight="1">
      <c r="A30" s="4">
        <f t="shared" si="7"/>
        <v>308</v>
      </c>
      <c r="B30" s="2">
        <v>8</v>
      </c>
      <c r="C30" s="114" t="s">
        <v>1227</v>
      </c>
      <c r="D30" s="268" t="str">
        <f>VLOOKUP(C30,Purchased!A:B,2,0)</f>
        <v>MCM 94669A171 Al Unthreaded Spacer, M5, 13mm OD, 8mm L</v>
      </c>
      <c r="E30" s="269"/>
      <c r="F30" s="112" t="str">
        <f>VLOOKUP(C30,Purchased!A:Q,9,0)</f>
        <v>MCM</v>
      </c>
      <c r="G30" s="112" t="str">
        <f>VLOOKUP(C30,Purchased!A:Q,10,0)</f>
        <v>MCM</v>
      </c>
      <c r="H30" s="112" t="str">
        <f>VLOOKUP(C30,Purchased!A:Q,12,0)</f>
        <v xml:space="preserve"> </v>
      </c>
      <c r="I30" s="113"/>
      <c r="J30" s="44" t="str">
        <f>VLOOKUP(C30,Purchased!A:Q,13,0)</f>
        <v>N/A</v>
      </c>
      <c r="K30" s="44">
        <f>VLOOKUP(C30,Purchased!A:Q,14,0)</f>
        <v>45162</v>
      </c>
      <c r="L30" s="44">
        <f>VLOOKUP(C30,Purchased!A:Q,15,0)</f>
        <v>45184</v>
      </c>
      <c r="M30" s="44">
        <f>VLOOKUP(C30,Purchased!A:Q,16,0)</f>
        <v>45163</v>
      </c>
      <c r="N30" s="45">
        <f>VLOOKUP(C30,Purchased!A:Q,17,0)</f>
        <v>55089</v>
      </c>
      <c r="O30" s="45" t="e">
        <f t="shared" ca="1" si="5"/>
        <v>#VALUE!</v>
      </c>
      <c r="P30" s="49">
        <f>IFERROR(VLOOKUP(C30,Purchased!A:E,3,FALSE),"")</f>
        <v>1.1100000000000001</v>
      </c>
      <c r="Q30" s="50">
        <f t="shared" si="6"/>
        <v>8.8800000000000008</v>
      </c>
    </row>
    <row r="31" spans="1:17" s="2" customFormat="1" ht="12" customHeight="1">
      <c r="A31" s="4">
        <f t="shared" si="7"/>
        <v>309</v>
      </c>
      <c r="B31" s="2">
        <v>8</v>
      </c>
      <c r="C31" s="114" t="s">
        <v>1228</v>
      </c>
      <c r="D31" s="268" t="str">
        <f>VLOOKUP(C31,Purchased!A:B,2,0)</f>
        <v>MCM 97310A113 Oversized Washer, M5, 15mm OD</v>
      </c>
      <c r="E31" s="269"/>
      <c r="F31" s="112" t="str">
        <f>VLOOKUP(C31,Purchased!A:Q,9,0)</f>
        <v>MCM</v>
      </c>
      <c r="G31" s="112" t="str">
        <f>VLOOKUP(C31,Purchased!A:Q,10,0)</f>
        <v>MCM</v>
      </c>
      <c r="H31" s="112" t="str">
        <f>VLOOKUP(C31,Purchased!A:Q,12,0)</f>
        <v xml:space="preserve"> </v>
      </c>
      <c r="I31" s="113"/>
      <c r="J31" s="44" t="str">
        <f>VLOOKUP(C31,Purchased!A:Q,13,0)</f>
        <v>N/A</v>
      </c>
      <c r="K31" s="44">
        <f>VLOOKUP(C31,Purchased!A:Q,14,0)</f>
        <v>45162</v>
      </c>
      <c r="L31" s="44">
        <f>VLOOKUP(C31,Purchased!A:Q,15,0)</f>
        <v>45184</v>
      </c>
      <c r="M31" s="44">
        <f>VLOOKUP(C31,Purchased!A:Q,16,0)</f>
        <v>45163</v>
      </c>
      <c r="N31" s="45">
        <f>VLOOKUP(C31,Purchased!A:Q,17,0)</f>
        <v>55089</v>
      </c>
      <c r="O31" s="45" t="e">
        <f t="shared" ref="O31:O35" ca="1" si="8">B31*$L$2</f>
        <v>#VALUE!</v>
      </c>
      <c r="P31" s="49">
        <f>IFERROR(VLOOKUP(C31,Purchased!A:E,3,FALSE),"")</f>
        <v>6.85</v>
      </c>
      <c r="Q31" s="50">
        <f t="shared" ref="Q31:Q35" si="9">IFERROR(B31*P31,"")</f>
        <v>54.8</v>
      </c>
    </row>
    <row r="32" spans="1:17" s="2" customFormat="1" ht="12" customHeight="1">
      <c r="A32" s="4">
        <f t="shared" si="7"/>
        <v>310</v>
      </c>
      <c r="B32" s="2">
        <v>6</v>
      </c>
      <c r="C32" s="114" t="s">
        <v>1229</v>
      </c>
      <c r="D32" s="268" t="str">
        <f>VLOOKUP(C32,Purchased!A:B,2,0)</f>
        <v>MCM 94510A250 Brass Screw to Expand Insert for Plastic, M5x0.8</v>
      </c>
      <c r="E32" s="269"/>
      <c r="F32" s="112" t="str">
        <f>VLOOKUP(C32,Purchased!A:Q,9,0)</f>
        <v>MCM</v>
      </c>
      <c r="G32" s="112" t="str">
        <f>VLOOKUP(C32,Purchased!A:Q,10,0)</f>
        <v>MCM</v>
      </c>
      <c r="H32" s="112" t="str">
        <f>VLOOKUP(C32,Purchased!A:Q,12,0)</f>
        <v xml:space="preserve"> </v>
      </c>
      <c r="I32" s="113"/>
      <c r="J32" s="44" t="str">
        <f>VLOOKUP(C32,Purchased!A:Q,13,0)</f>
        <v>N/A</v>
      </c>
      <c r="K32" s="44">
        <f>VLOOKUP(C32,Purchased!A:Q,14,0)</f>
        <v>45162</v>
      </c>
      <c r="L32" s="44">
        <f>VLOOKUP(C32,Purchased!A:Q,15,0)</f>
        <v>45184</v>
      </c>
      <c r="M32" s="44">
        <f>VLOOKUP(C32,Purchased!A:Q,16,0)</f>
        <v>45163</v>
      </c>
      <c r="N32" s="45">
        <f>VLOOKUP(C32,Purchased!A:Q,17,0)</f>
        <v>55089</v>
      </c>
      <c r="O32" s="45" t="e">
        <f t="shared" ca="1" si="8"/>
        <v>#VALUE!</v>
      </c>
      <c r="P32" s="49">
        <f>IFERROR(VLOOKUP(C32,Purchased!A:E,3,FALSE),"")</f>
        <v>5.88</v>
      </c>
      <c r="Q32" s="50">
        <f t="shared" si="9"/>
        <v>35.28</v>
      </c>
    </row>
    <row r="33" spans="1:17" s="2" customFormat="1" ht="12" customHeight="1">
      <c r="A33" s="4">
        <f t="shared" si="7"/>
        <v>311</v>
      </c>
      <c r="B33" s="2">
        <v>12</v>
      </c>
      <c r="C33" s="114" t="s">
        <v>262</v>
      </c>
      <c r="D33" s="268" t="str">
        <f>VLOOKUP(C33,Purchased!A:B,2,0)</f>
        <v>BRX GOTO T-NUT 10 M6</v>
      </c>
      <c r="E33" s="269"/>
      <c r="F33" s="112" t="str">
        <f>VLOOKUP(C33,Purchased!A:Q,9,0)</f>
        <v>BRX</v>
      </c>
      <c r="G33" s="112" t="str">
        <f>VLOOKUP(C33,Purchased!A:Q,10,0)</f>
        <v>AAP</v>
      </c>
      <c r="H33" s="112" t="str">
        <f>VLOOKUP(C33,Purchased!A:Q,12,0)</f>
        <v xml:space="preserve">  </v>
      </c>
      <c r="I33" s="113"/>
      <c r="J33" s="44">
        <f>VLOOKUP(C33,Purchased!A:Q,13,0)</f>
        <v>45104</v>
      </c>
      <c r="K33" s="44">
        <f>VLOOKUP(C33,Purchased!A:Q,14,0)</f>
        <v>45105</v>
      </c>
      <c r="L33" s="44">
        <f>VLOOKUP(C33,Purchased!A:Q,15,0)</f>
        <v>45133</v>
      </c>
      <c r="M33" s="44">
        <f>VLOOKUP(C33,Purchased!A:Q,16,0)</f>
        <v>45133</v>
      </c>
      <c r="N33" s="45" t="str">
        <f>VLOOKUP(C33,Purchased!A:Q,17,0)</f>
        <v>54968, 55147, 55270</v>
      </c>
      <c r="O33" s="45" t="e">
        <f t="shared" ca="1" si="8"/>
        <v>#VALUE!</v>
      </c>
      <c r="P33" s="49">
        <f>IFERROR(VLOOKUP(C33,Purchased!A:E,3,FALSE),"")</f>
        <v>0.64290000000000003</v>
      </c>
      <c r="Q33" s="50">
        <f t="shared" si="9"/>
        <v>7.7148000000000003</v>
      </c>
    </row>
    <row r="34" spans="1:17" s="2" customFormat="1" ht="12" customHeight="1">
      <c r="A34" s="4">
        <f t="shared" si="7"/>
        <v>312</v>
      </c>
      <c r="B34" s="2">
        <v>8</v>
      </c>
      <c r="C34" s="114" t="s">
        <v>844</v>
      </c>
      <c r="D34" s="268" t="str">
        <f>VLOOKUP(C34,Purchased!A:B,2,0)</f>
        <v>DORNER 300150M M6x1.0 T-Bar</v>
      </c>
      <c r="E34" s="269"/>
      <c r="F34" s="112" t="str">
        <f>VLOOKUP(C34,Purchased!A:Q,9,0)</f>
        <v>DORNER</v>
      </c>
      <c r="G34" s="112" t="str">
        <f>VLOOKUP(C34,Purchased!A:Q,10,0)</f>
        <v>AAP</v>
      </c>
      <c r="H34" s="112" t="str">
        <f>VLOOKUP(C34,Purchased!A:Q,12,0)</f>
        <v xml:space="preserve"> </v>
      </c>
      <c r="I34" s="113"/>
      <c r="J34" s="44" t="str">
        <f>VLOOKUP(C34,Purchased!A:Q,13,0)</f>
        <v>N/A</v>
      </c>
      <c r="K34" s="44">
        <f>VLOOKUP(C34,Purchased!A:Q,14,0)</f>
        <v>45162</v>
      </c>
      <c r="L34" s="44">
        <f>VLOOKUP(C34,Purchased!A:Q,15,0)</f>
        <v>45184</v>
      </c>
      <c r="M34" s="44">
        <f>VLOOKUP(C34,Purchased!A:Q,16,0)</f>
        <v>45197</v>
      </c>
      <c r="N34" s="45">
        <f>VLOOKUP(C34,Purchased!A:Q,17,0)</f>
        <v>55073</v>
      </c>
      <c r="O34" s="45" t="e">
        <f t="shared" ca="1" si="8"/>
        <v>#VALUE!</v>
      </c>
      <c r="P34" s="49">
        <f>IFERROR(VLOOKUP(C34,Purchased!A:E,3,FALSE),"")</f>
        <v>9.8908000000000005</v>
      </c>
      <c r="Q34" s="50">
        <f t="shared" si="9"/>
        <v>79.126400000000004</v>
      </c>
    </row>
    <row r="35" spans="1:17" s="2" customFormat="1" ht="12" customHeight="1">
      <c r="A35" s="4">
        <f t="shared" si="7"/>
        <v>313</v>
      </c>
      <c r="B35" s="2">
        <v>8</v>
      </c>
      <c r="C35" s="114" t="s">
        <v>1230</v>
      </c>
      <c r="D35" s="268" t="str">
        <f>VLOOKUP(C35,Purchased!A:B,2,0)</f>
        <v xml:space="preserve">ELESA ERZ.44p-M5x20-C1 Adjustable Handle for M5 Screw, 20mm Screw L </v>
      </c>
      <c r="E35" s="269"/>
      <c r="F35" s="112" t="str">
        <f>VLOOKUP(C35,Purchased!A:Q,9,0)</f>
        <v>ELESA</v>
      </c>
      <c r="G35" s="112" t="str">
        <f>VLOOKUP(C35,Purchased!A:Q,10,0)</f>
        <v>ELESA</v>
      </c>
      <c r="H35" s="112" t="str">
        <f>VLOOKUP(C35,Purchased!A:Q,12,0)</f>
        <v xml:space="preserve"> </v>
      </c>
      <c r="I35" s="113"/>
      <c r="J35" s="44" t="str">
        <f>VLOOKUP(C35,Purchased!A:Q,13,0)</f>
        <v>N/A</v>
      </c>
      <c r="K35" s="44">
        <f>VLOOKUP(C35,Purchased!A:Q,14,0)</f>
        <v>45162</v>
      </c>
      <c r="L35" s="44">
        <f>VLOOKUP(C35,Purchased!A:Q,15,0)</f>
        <v>45184</v>
      </c>
      <c r="M35" s="44">
        <f>VLOOKUP(C35,Purchased!A:Q,16,0)</f>
        <v>45184</v>
      </c>
      <c r="N35" s="45">
        <f>VLOOKUP(C35,Purchased!A:Q,17,0)</f>
        <v>55075</v>
      </c>
      <c r="O35" s="45" t="e">
        <f t="shared" ca="1" si="8"/>
        <v>#VALUE!</v>
      </c>
      <c r="P35" s="49">
        <f>IFERROR(VLOOKUP(C35,Purchased!A:E,3,FALSE),"")</f>
        <v>3.4</v>
      </c>
      <c r="Q35" s="50">
        <f t="shared" si="9"/>
        <v>27.2</v>
      </c>
    </row>
    <row r="36" spans="1:17" s="2" customFormat="1" ht="12" customHeight="1">
      <c r="A36" s="4">
        <f t="shared" si="7"/>
        <v>314</v>
      </c>
      <c r="B36" s="2">
        <v>2</v>
      </c>
      <c r="C36" s="114" t="s">
        <v>1231</v>
      </c>
      <c r="D36" s="268" t="str">
        <f>VLOOKUP(C36,Purchased!A:B,2,0)</f>
        <v xml:space="preserve">ELESA ERZ.44p-M5x32-C1 Adjustable Handle for M5 Screw, 32mm Screw L </v>
      </c>
      <c r="E36" s="269"/>
      <c r="F36" s="112" t="str">
        <f>VLOOKUP(C36,Purchased!A:Q,9,0)</f>
        <v>ELESA</v>
      </c>
      <c r="G36" s="112" t="str">
        <f>VLOOKUP(C36,Purchased!A:Q,10,0)</f>
        <v>ELESA</v>
      </c>
      <c r="H36" s="112" t="str">
        <f>VLOOKUP(C36,Purchased!A:Q,12,0)</f>
        <v xml:space="preserve"> </v>
      </c>
      <c r="I36" s="113"/>
      <c r="J36" s="44" t="str">
        <f>VLOOKUP(C36,Purchased!A:Q,13,0)</f>
        <v>N/A</v>
      </c>
      <c r="K36" s="44">
        <f>VLOOKUP(C36,Purchased!A:Q,14,0)</f>
        <v>45162</v>
      </c>
      <c r="L36" s="44">
        <f>VLOOKUP(C36,Purchased!A:Q,15,0)</f>
        <v>45184</v>
      </c>
      <c r="M36" s="44">
        <f>VLOOKUP(C36,Purchased!A:Q,16,0)</f>
        <v>45184</v>
      </c>
      <c r="N36" s="45">
        <f>VLOOKUP(C36,Purchased!A:Q,17,0)</f>
        <v>55075</v>
      </c>
      <c r="O36" s="45" t="e">
        <f t="shared" ref="O36:O38" ca="1" si="10">B36*$L$2</f>
        <v>#VALUE!</v>
      </c>
      <c r="P36" s="49">
        <f>IFERROR(VLOOKUP(C36,Purchased!A:E,3,FALSE),"")</f>
        <v>3.55</v>
      </c>
      <c r="Q36" s="50">
        <f t="shared" ref="Q36:Q38" si="11">IFERROR(B36*P36,"")</f>
        <v>7.1</v>
      </c>
    </row>
    <row r="37" spans="1:17" s="2" customFormat="1" ht="12" customHeight="1">
      <c r="A37" s="4">
        <f t="shared" si="7"/>
        <v>315</v>
      </c>
      <c r="B37" s="2">
        <v>2</v>
      </c>
      <c r="C37" s="114" t="s">
        <v>1232</v>
      </c>
      <c r="D37" s="268" t="str">
        <f>VLOOKUP(C37,Purchased!A:B,2,0)</f>
        <v>MISUMI Steel Spacer, 6mm ID, 13mm OD, 12.7mm L</v>
      </c>
      <c r="E37" s="269"/>
      <c r="F37" s="112" t="str">
        <f>VLOOKUP(C37,Purchased!A:Q,9,0)</f>
        <v>MISUMI</v>
      </c>
      <c r="G37" s="112" t="str">
        <f>VLOOKUP(C37,Purchased!A:Q,10,0)</f>
        <v>MISUMI</v>
      </c>
      <c r="H37" s="112" t="str">
        <f>VLOOKUP(C37,Purchased!A:Q,12,0)</f>
        <v xml:space="preserve"> </v>
      </c>
      <c r="I37" s="113"/>
      <c r="J37" s="44" t="str">
        <f>VLOOKUP(C37,Purchased!A:Q,13,0)</f>
        <v>N/A</v>
      </c>
      <c r="K37" s="44">
        <f>VLOOKUP(C37,Purchased!A:Q,14,0)</f>
        <v>45161</v>
      </c>
      <c r="L37" s="44">
        <f>VLOOKUP(C37,Purchased!A:Q,15,0)</f>
        <v>45191</v>
      </c>
      <c r="M37" s="44">
        <f>VLOOKUP(C37,Purchased!A:Q,16,0)</f>
        <v>45176</v>
      </c>
      <c r="N37" s="45">
        <f>VLOOKUP(C37,Purchased!A:Q,17,0)</f>
        <v>55078</v>
      </c>
      <c r="O37" s="45" t="e">
        <f t="shared" ca="1" si="10"/>
        <v>#VALUE!</v>
      </c>
      <c r="P37" s="49">
        <f>IFERROR(VLOOKUP(C37,Purchased!A:E,3,FALSE),"")</f>
        <v>11.35</v>
      </c>
      <c r="Q37" s="50">
        <f t="shared" si="11"/>
        <v>22.7</v>
      </c>
    </row>
    <row r="38" spans="1:17" s="2" customFormat="1" ht="12" customHeight="1">
      <c r="A38" s="4">
        <f t="shared" si="7"/>
        <v>316</v>
      </c>
      <c r="B38" s="2">
        <v>1</v>
      </c>
      <c r="C38" s="114" t="s">
        <v>850</v>
      </c>
      <c r="D38" s="268" t="str">
        <f>VLOOKUP(C38,Purchased!A:B,2,0)</f>
        <v>KEYENCE FU-E40 Digital Fiber Optic Distance Sensor</v>
      </c>
      <c r="E38" s="269"/>
      <c r="F38" s="112" t="str">
        <f>VLOOKUP(C38,Purchased!A:Q,9,0)</f>
        <v>KEYENCE</v>
      </c>
      <c r="G38" s="112" t="str">
        <f>VLOOKUP(C38,Purchased!A:Q,10,0)</f>
        <v>KEYENCE</v>
      </c>
      <c r="H38" s="112" t="str">
        <f>VLOOKUP(C38,Purchased!A:Q,12,0)</f>
        <v xml:space="preserve"> </v>
      </c>
      <c r="I38" s="113"/>
      <c r="J38" s="44">
        <f>VLOOKUP(C38,Purchased!A:Q,13,0)</f>
        <v>45154</v>
      </c>
      <c r="K38" s="44">
        <f>VLOOKUP(C38,Purchased!A:Q,14,0)</f>
        <v>45161</v>
      </c>
      <c r="L38" s="44">
        <f>VLOOKUP(C38,Purchased!A:Q,15,0)</f>
        <v>45191</v>
      </c>
      <c r="M38" s="44">
        <f>VLOOKUP(C38,Purchased!A:Q,16,0)</f>
        <v>45184</v>
      </c>
      <c r="N38" s="45">
        <f>VLOOKUP(C38,Purchased!A:Q,17,0)</f>
        <v>55077</v>
      </c>
      <c r="O38" s="45" t="e">
        <f t="shared" ca="1" si="10"/>
        <v>#VALUE!</v>
      </c>
      <c r="P38" s="49">
        <f>IFERROR(VLOOKUP(C38,Purchased!A:E,3,FALSE),"")</f>
        <v>436</v>
      </c>
      <c r="Q38" s="50">
        <f t="shared" si="11"/>
        <v>436</v>
      </c>
    </row>
    <row r="39" spans="1:17" s="2" customFormat="1" ht="12" customHeight="1">
      <c r="A39" s="4">
        <f t="shared" si="7"/>
        <v>317</v>
      </c>
      <c r="B39" s="2">
        <v>4</v>
      </c>
      <c r="C39" s="114" t="s">
        <v>851</v>
      </c>
      <c r="D39" s="268" t="str">
        <f>VLOOKUP(C39,Purchased!A:B,2,0)</f>
        <v>DORNER M6 TWIST-IN T-NUT</v>
      </c>
      <c r="E39" s="269"/>
      <c r="F39" s="112" t="str">
        <f>VLOOKUP(C39,Purchased!A:Q,9,0)</f>
        <v>DORNER</v>
      </c>
      <c r="G39" s="112" t="str">
        <f>VLOOKUP(C39,Purchased!A:Q,10,0)</f>
        <v>AAP</v>
      </c>
      <c r="H39" s="112" t="str">
        <f>VLOOKUP(C39,Purchased!A:Q,12,0)</f>
        <v>50 IN NULINE STOCK</v>
      </c>
      <c r="I39" s="113"/>
      <c r="J39" s="44" t="str">
        <f>VLOOKUP(C39,Purchased!A:Q,13,0)</f>
        <v>N/A</v>
      </c>
      <c r="K39" s="44" t="str">
        <f>VLOOKUP(C39,Purchased!A:Q,14,0)</f>
        <v>N/A</v>
      </c>
      <c r="L39" s="44" t="str">
        <f>VLOOKUP(C39,Purchased!A:Q,15,0)</f>
        <v>N/A</v>
      </c>
      <c r="M39" s="44" t="str">
        <f>VLOOKUP(C39,Purchased!A:Q,16,0)</f>
        <v>N/A</v>
      </c>
      <c r="N39" s="45" t="str">
        <f>VLOOKUP(C39,Purchased!A:Q,17,0)</f>
        <v>N/A</v>
      </c>
      <c r="O39" s="45" t="e">
        <f t="shared" ref="O39" ca="1" si="12">B39*$L$2</f>
        <v>#VALUE!</v>
      </c>
      <c r="P39" s="49">
        <f>IFERROR(VLOOKUP(C39,Purchased!A:E,3,FALSE),"")</f>
        <v>0</v>
      </c>
      <c r="Q39" s="50">
        <f t="shared" ref="Q39" si="13">IFERROR(B39*P39,"")</f>
        <v>0</v>
      </c>
    </row>
    <row r="40" spans="1:17" s="2" customFormat="1" ht="12.75" customHeight="1">
      <c r="A40" s="25"/>
      <c r="B40" s="26"/>
      <c r="C40" s="26"/>
      <c r="D40" s="272"/>
      <c r="E40" s="273"/>
      <c r="F40" s="26"/>
      <c r="G40" s="26"/>
      <c r="H40" s="274"/>
      <c r="I40" s="275"/>
      <c r="J40" s="27"/>
      <c r="K40" s="27"/>
      <c r="L40" s="27"/>
      <c r="M40" s="28"/>
      <c r="N40" s="29"/>
      <c r="O40" s="29" t="e">
        <f t="shared" ca="1" si="5"/>
        <v>#VALUE!</v>
      </c>
      <c r="P40" s="141"/>
      <c r="Q40" s="142"/>
    </row>
    <row r="41" spans="1:17" s="2" customFormat="1" ht="12.75" customHeight="1">
      <c r="A41" s="4">
        <v>501</v>
      </c>
      <c r="B41" s="2">
        <v>4</v>
      </c>
      <c r="C41" s="110" t="s">
        <v>970</v>
      </c>
      <c r="D41" s="268"/>
      <c r="E41" s="276"/>
      <c r="F41" s="112" t="str">
        <f>VLOOKUP(C41,Bolts!A:L,5,0)</f>
        <v xml:space="preserve">  </v>
      </c>
      <c r="G41" s="112" t="str">
        <f>VLOOKUP(C41,Bolts!A:L,6,0)</f>
        <v>Monroe Fasteners</v>
      </c>
      <c r="H41" s="112" t="str">
        <f>VLOOKUP(C41,Bolts!A:L,7,0)</f>
        <v xml:space="preserve">  </v>
      </c>
      <c r="I41" s="112"/>
      <c r="J41" s="44" t="str">
        <f>VLOOKUP(C41,Bolts!A:L,8,0)</f>
        <v xml:space="preserve"> </v>
      </c>
      <c r="K41" s="44" t="str">
        <f>VLOOKUP(C41,Bolts!A:L,9,0)</f>
        <v xml:space="preserve"> </v>
      </c>
      <c r="L41" s="44" t="str">
        <f>VLOOKUP(C41,Bolts!A:L,10,0)</f>
        <v xml:space="preserve"> </v>
      </c>
      <c r="M41" s="44" t="str">
        <f>VLOOKUP(C41,Bolts!A:L,11,0)</f>
        <v xml:space="preserve"> </v>
      </c>
      <c r="N41" s="45" t="str">
        <f>VLOOKUP(C41,Bolts!A:L,12,0)</f>
        <v xml:space="preserve"> </v>
      </c>
      <c r="O41" s="45" t="e">
        <f t="shared" ca="1" si="5"/>
        <v>#VALUE!</v>
      </c>
      <c r="P41" s="49" t="str">
        <f>IFERROR(VLOOKUP(C41,Bolts!A:B,2,FALSE),"")</f>
        <v xml:space="preserve"> </v>
      </c>
      <c r="Q41" s="50" t="str">
        <f t="shared" ref="Q41:Q44" si="14">IFERROR(B41*P41,"")</f>
        <v/>
      </c>
    </row>
    <row r="42" spans="1:17" s="2" customFormat="1" ht="12.75" customHeight="1">
      <c r="A42" s="4">
        <f t="shared" ref="A42:A48" si="15">A41+1</f>
        <v>502</v>
      </c>
      <c r="B42" s="2">
        <v>14</v>
      </c>
      <c r="C42" s="110" t="s">
        <v>287</v>
      </c>
      <c r="D42" s="268"/>
      <c r="E42" s="276"/>
      <c r="F42" s="112" t="str">
        <f>VLOOKUP(C42,Bolts!A:L,5,0)</f>
        <v xml:space="preserve">  </v>
      </c>
      <c r="G42" s="112" t="str">
        <f>VLOOKUP(C42,Bolts!A:L,6,0)</f>
        <v>Monroe Fasteners</v>
      </c>
      <c r="H42" s="112" t="str">
        <f>VLOOKUP(C42,Bolts!A:L,7,0)</f>
        <v xml:space="preserve">  </v>
      </c>
      <c r="I42" s="112"/>
      <c r="J42" s="44" t="str">
        <f>VLOOKUP(C42,Bolts!A:L,8,0)</f>
        <v xml:space="preserve"> </v>
      </c>
      <c r="K42" s="44" t="str">
        <f>VLOOKUP(C42,Bolts!A:L,9,0)</f>
        <v xml:space="preserve"> </v>
      </c>
      <c r="L42" s="44" t="str">
        <f>VLOOKUP(C42,Bolts!A:L,10,0)</f>
        <v xml:space="preserve"> </v>
      </c>
      <c r="M42" s="44" t="str">
        <f>VLOOKUP(C42,Bolts!A:L,11,0)</f>
        <v xml:space="preserve"> </v>
      </c>
      <c r="N42" s="45" t="str">
        <f>VLOOKUP(C42,Bolts!A:L,12,0)</f>
        <v xml:space="preserve"> </v>
      </c>
      <c r="O42" s="45" t="e">
        <f t="shared" ca="1" si="5"/>
        <v>#VALUE!</v>
      </c>
      <c r="P42" s="49" t="str">
        <f>IFERROR(VLOOKUP(C42,Bolts!A:B,2,FALSE),"")</f>
        <v xml:space="preserve"> </v>
      </c>
      <c r="Q42" s="50" t="str">
        <f t="shared" si="14"/>
        <v/>
      </c>
    </row>
    <row r="43" spans="1:17" s="2" customFormat="1" ht="12" customHeight="1">
      <c r="A43" s="4">
        <f t="shared" si="15"/>
        <v>503</v>
      </c>
      <c r="B43" s="2">
        <v>12</v>
      </c>
      <c r="C43" s="110" t="s">
        <v>699</v>
      </c>
      <c r="D43" s="268"/>
      <c r="E43" s="276"/>
      <c r="F43" s="112" t="str">
        <f>VLOOKUP(C43,Bolts!A:L,5,0)</f>
        <v xml:space="preserve">  </v>
      </c>
      <c r="G43" s="112" t="str">
        <f>VLOOKUP(C43,Bolts!A:L,6,0)</f>
        <v>Monroe Fasteners</v>
      </c>
      <c r="H43" s="112" t="str">
        <f>VLOOKUP(C43,Bolts!A:L,7,0)</f>
        <v xml:space="preserve">  </v>
      </c>
      <c r="I43" s="112"/>
      <c r="J43" s="44" t="str">
        <f>VLOOKUP(C43,Bolts!A:L,8,0)</f>
        <v xml:space="preserve"> </v>
      </c>
      <c r="K43" s="44" t="str">
        <f>VLOOKUP(C43,Bolts!A:L,9,0)</f>
        <v xml:space="preserve"> </v>
      </c>
      <c r="L43" s="44" t="str">
        <f>VLOOKUP(C43,Bolts!A:L,10,0)</f>
        <v xml:space="preserve"> </v>
      </c>
      <c r="M43" s="44" t="str">
        <f>VLOOKUP(C43,Bolts!A:L,11,0)</f>
        <v xml:space="preserve"> </v>
      </c>
      <c r="N43" s="45" t="str">
        <f>VLOOKUP(C43,Bolts!A:L,12,0)</f>
        <v xml:space="preserve"> </v>
      </c>
      <c r="O43" s="45" t="e">
        <f t="shared" ca="1" si="5"/>
        <v>#VALUE!</v>
      </c>
      <c r="P43" s="49" t="str">
        <f>IFERROR(VLOOKUP(C43,Bolts!A:B,2,FALSE),"")</f>
        <v xml:space="preserve"> </v>
      </c>
      <c r="Q43" s="50" t="str">
        <f t="shared" si="14"/>
        <v/>
      </c>
    </row>
    <row r="44" spans="1:17" s="2" customFormat="1" ht="12" customHeight="1">
      <c r="A44" s="4">
        <f t="shared" si="15"/>
        <v>504</v>
      </c>
      <c r="B44" s="2">
        <v>12</v>
      </c>
      <c r="C44" s="110" t="s">
        <v>344</v>
      </c>
      <c r="D44" s="268"/>
      <c r="E44" s="276"/>
      <c r="F44" s="112" t="str">
        <f>VLOOKUP(C44,Bolts!A:L,5,0)</f>
        <v xml:space="preserve">  </v>
      </c>
      <c r="G44" s="112" t="str">
        <f>VLOOKUP(C44,Bolts!A:L,6,0)</f>
        <v>Monroe Fasteners</v>
      </c>
      <c r="H44" s="112" t="str">
        <f>VLOOKUP(C44,Bolts!A:L,7,0)</f>
        <v xml:space="preserve">  </v>
      </c>
      <c r="I44" s="112"/>
      <c r="J44" s="44" t="str">
        <f>VLOOKUP(C44,Bolts!A:L,8,0)</f>
        <v xml:space="preserve"> </v>
      </c>
      <c r="K44" s="44" t="str">
        <f>VLOOKUP(C44,Bolts!A:L,9,0)</f>
        <v xml:space="preserve"> </v>
      </c>
      <c r="L44" s="44" t="str">
        <f>VLOOKUP(C44,Bolts!A:L,10,0)</f>
        <v xml:space="preserve"> </v>
      </c>
      <c r="M44" s="44" t="str">
        <f>VLOOKUP(C44,Bolts!A:L,11,0)</f>
        <v xml:space="preserve"> </v>
      </c>
      <c r="N44" s="45" t="str">
        <f>VLOOKUP(C44,Bolts!A:L,12,0)</f>
        <v xml:space="preserve"> </v>
      </c>
      <c r="O44" s="45" t="e">
        <f t="shared" ca="1" si="5"/>
        <v>#VALUE!</v>
      </c>
      <c r="P44" s="49" t="str">
        <f>IFERROR(VLOOKUP(C44,Bolts!A:B,2,FALSE),"")</f>
        <v xml:space="preserve"> </v>
      </c>
      <c r="Q44" s="50" t="str">
        <f t="shared" si="14"/>
        <v/>
      </c>
    </row>
    <row r="45" spans="1:17" s="2" customFormat="1" ht="12.75" customHeight="1">
      <c r="A45" s="4">
        <v>505</v>
      </c>
      <c r="B45" s="2">
        <v>16</v>
      </c>
      <c r="C45" s="110" t="s">
        <v>278</v>
      </c>
      <c r="D45" s="268"/>
      <c r="E45" s="276"/>
      <c r="F45" s="112" t="str">
        <f>VLOOKUP(C45,Bolts!A:L,5,0)</f>
        <v xml:space="preserve">  </v>
      </c>
      <c r="G45" s="112" t="str">
        <f>VLOOKUP(C45,Bolts!A:L,6,0)</f>
        <v>Monroe Fasteners</v>
      </c>
      <c r="H45" s="112" t="str">
        <f>VLOOKUP(C45,Bolts!A:L,7,0)</f>
        <v xml:space="preserve">  </v>
      </c>
      <c r="I45" s="112"/>
      <c r="J45" s="44" t="str">
        <f>VLOOKUP(C45,Bolts!A:L,8,0)</f>
        <v xml:space="preserve"> </v>
      </c>
      <c r="K45" s="44" t="str">
        <f>VLOOKUP(C45,Bolts!A:L,9,0)</f>
        <v xml:space="preserve"> </v>
      </c>
      <c r="L45" s="44" t="str">
        <f>VLOOKUP(C45,Bolts!A:L,10,0)</f>
        <v xml:space="preserve"> </v>
      </c>
      <c r="M45" s="44" t="str">
        <f>VLOOKUP(C45,Bolts!A:L,11,0)</f>
        <v xml:space="preserve"> </v>
      </c>
      <c r="N45" s="45" t="str">
        <f>VLOOKUP(C45,Bolts!A:L,12,0)</f>
        <v xml:space="preserve"> </v>
      </c>
      <c r="O45" s="45" t="e">
        <f t="shared" ref="O45:O48" ca="1" si="16">B45*$L$2</f>
        <v>#VALUE!</v>
      </c>
      <c r="P45" s="49" t="str">
        <f>IFERROR(VLOOKUP(C45,Bolts!A:B,2,FALSE),"")</f>
        <v xml:space="preserve"> </v>
      </c>
      <c r="Q45" s="50" t="str">
        <f t="shared" ref="Q45:Q48" si="17">IFERROR(B45*P45,"")</f>
        <v/>
      </c>
    </row>
    <row r="46" spans="1:17" s="2" customFormat="1" ht="12.75" customHeight="1">
      <c r="A46" s="4">
        <f t="shared" si="15"/>
        <v>506</v>
      </c>
      <c r="B46" s="2">
        <v>6</v>
      </c>
      <c r="C46" s="110" t="s">
        <v>267</v>
      </c>
      <c r="D46" s="268"/>
      <c r="E46" s="276"/>
      <c r="F46" s="112" t="str">
        <f>VLOOKUP(C46,Bolts!A:L,5,0)</f>
        <v xml:space="preserve">  </v>
      </c>
      <c r="G46" s="112" t="str">
        <f>VLOOKUP(C46,Bolts!A:L,6,0)</f>
        <v>Monroe Fasteners</v>
      </c>
      <c r="H46" s="112" t="str">
        <f>VLOOKUP(C46,Bolts!A:L,7,0)</f>
        <v xml:space="preserve">  </v>
      </c>
      <c r="I46" s="112"/>
      <c r="J46" s="44" t="str">
        <f>VLOOKUP(C46,Bolts!A:L,8,0)</f>
        <v xml:space="preserve"> </v>
      </c>
      <c r="K46" s="44" t="str">
        <f>VLOOKUP(C46,Bolts!A:L,9,0)</f>
        <v xml:space="preserve"> </v>
      </c>
      <c r="L46" s="44" t="str">
        <f>VLOOKUP(C46,Bolts!A:L,10,0)</f>
        <v xml:space="preserve"> </v>
      </c>
      <c r="M46" s="44" t="str">
        <f>VLOOKUP(C46,Bolts!A:L,11,0)</f>
        <v xml:space="preserve"> </v>
      </c>
      <c r="N46" s="45" t="str">
        <f>VLOOKUP(C46,Bolts!A:L,12,0)</f>
        <v xml:space="preserve"> </v>
      </c>
      <c r="O46" s="45" t="e">
        <f t="shared" ca="1" si="16"/>
        <v>#VALUE!</v>
      </c>
      <c r="P46" s="49" t="str">
        <f>IFERROR(VLOOKUP(C46,Bolts!A:B,2,FALSE),"")</f>
        <v xml:space="preserve"> </v>
      </c>
      <c r="Q46" s="50" t="str">
        <f t="shared" si="17"/>
        <v/>
      </c>
    </row>
    <row r="47" spans="1:17" s="2" customFormat="1" ht="12" customHeight="1">
      <c r="A47" s="4">
        <f t="shared" si="15"/>
        <v>507</v>
      </c>
      <c r="B47" s="2">
        <v>4</v>
      </c>
      <c r="C47" s="110" t="s">
        <v>479</v>
      </c>
      <c r="D47" s="268"/>
      <c r="E47" s="276"/>
      <c r="F47" s="112" t="str">
        <f>VLOOKUP(C47,Bolts!A:L,5,0)</f>
        <v xml:space="preserve">  </v>
      </c>
      <c r="G47" s="112" t="str">
        <f>VLOOKUP(C47,Bolts!A:L,6,0)</f>
        <v>Monroe Fasteners</v>
      </c>
      <c r="H47" s="112" t="str">
        <f>VLOOKUP(C47,Bolts!A:L,7,0)</f>
        <v xml:space="preserve">  </v>
      </c>
      <c r="I47" s="112"/>
      <c r="J47" s="44" t="str">
        <f>VLOOKUP(C47,Bolts!A:L,8,0)</f>
        <v xml:space="preserve"> </v>
      </c>
      <c r="K47" s="44" t="str">
        <f>VLOOKUP(C47,Bolts!A:L,9,0)</f>
        <v xml:space="preserve"> </v>
      </c>
      <c r="L47" s="44" t="str">
        <f>VLOOKUP(C47,Bolts!A:L,10,0)</f>
        <v xml:space="preserve"> </v>
      </c>
      <c r="M47" s="44" t="str">
        <f>VLOOKUP(C47,Bolts!A:L,11,0)</f>
        <v xml:space="preserve"> </v>
      </c>
      <c r="N47" s="45" t="str">
        <f>VLOOKUP(C47,Bolts!A:L,12,0)</f>
        <v xml:space="preserve"> </v>
      </c>
      <c r="O47" s="45" t="e">
        <f t="shared" ca="1" si="16"/>
        <v>#VALUE!</v>
      </c>
      <c r="P47" s="49" t="str">
        <f>IFERROR(VLOOKUP(C47,Bolts!A:B,2,FALSE),"")</f>
        <v xml:space="preserve"> </v>
      </c>
      <c r="Q47" s="50" t="str">
        <f t="shared" si="17"/>
        <v/>
      </c>
    </row>
    <row r="48" spans="1:17" s="2" customFormat="1" ht="12" customHeight="1">
      <c r="A48" s="4">
        <f t="shared" si="15"/>
        <v>508</v>
      </c>
      <c r="B48" s="2">
        <v>6</v>
      </c>
      <c r="C48" s="110" t="s">
        <v>853</v>
      </c>
      <c r="D48" s="268"/>
      <c r="E48" s="276"/>
      <c r="F48" s="112" t="str">
        <f>VLOOKUP(C48,Bolts!A:L,5,0)</f>
        <v xml:space="preserve">  </v>
      </c>
      <c r="G48" s="112" t="str">
        <f>VLOOKUP(C48,Bolts!A:L,6,0)</f>
        <v>Monroe Fasteners</v>
      </c>
      <c r="H48" s="112" t="str">
        <f>VLOOKUP(C48,Bolts!A:L,7,0)</f>
        <v xml:space="preserve">  </v>
      </c>
      <c r="I48" s="112"/>
      <c r="J48" s="44" t="str">
        <f>VLOOKUP(C48,Bolts!A:L,8,0)</f>
        <v xml:space="preserve"> </v>
      </c>
      <c r="K48" s="44" t="str">
        <f>VLOOKUP(C48,Bolts!A:L,9,0)</f>
        <v xml:space="preserve"> </v>
      </c>
      <c r="L48" s="44" t="str">
        <f>VLOOKUP(C48,Bolts!A:L,10,0)</f>
        <v xml:space="preserve"> </v>
      </c>
      <c r="M48" s="44" t="str">
        <f>VLOOKUP(C48,Bolts!A:L,11,0)</f>
        <v xml:space="preserve"> </v>
      </c>
      <c r="N48" s="45" t="str">
        <f>VLOOKUP(C48,Bolts!A:L,12,0)</f>
        <v xml:space="preserve"> </v>
      </c>
      <c r="O48" s="45" t="e">
        <f t="shared" ca="1" si="16"/>
        <v>#VALUE!</v>
      </c>
      <c r="P48" s="49" t="str">
        <f>IFERROR(VLOOKUP(C48,Bolts!A:B,2,FALSE),"")</f>
        <v xml:space="preserve"> </v>
      </c>
      <c r="Q48" s="50" t="str">
        <f t="shared" si="17"/>
        <v/>
      </c>
    </row>
    <row r="49" spans="1:17" s="2" customFormat="1" ht="12" customHeight="1" thickBot="1">
      <c r="A49" s="4">
        <f>A48+1</f>
        <v>509</v>
      </c>
      <c r="B49" s="2">
        <v>30</v>
      </c>
      <c r="C49" s="110" t="s">
        <v>289</v>
      </c>
      <c r="D49" s="268"/>
      <c r="E49" s="276"/>
      <c r="F49" s="112" t="str">
        <f>VLOOKUP(C49,Bolts!A:L,5,0)</f>
        <v xml:space="preserve">  </v>
      </c>
      <c r="G49" s="112" t="str">
        <f>VLOOKUP(C49,Bolts!A:L,6,0)</f>
        <v>Monroe Fasteners</v>
      </c>
      <c r="H49" s="112" t="str">
        <f>VLOOKUP(C49,Bolts!A:L,7,0)</f>
        <v xml:space="preserve">  </v>
      </c>
      <c r="I49" s="112"/>
      <c r="J49" s="44" t="str">
        <f>VLOOKUP(C49,Bolts!A:L,8,0)</f>
        <v xml:space="preserve"> </v>
      </c>
      <c r="K49" s="44" t="str">
        <f>VLOOKUP(C49,Bolts!A:L,9,0)</f>
        <v xml:space="preserve"> </v>
      </c>
      <c r="L49" s="44" t="str">
        <f>VLOOKUP(C49,Bolts!A:L,10,0)</f>
        <v xml:space="preserve"> </v>
      </c>
      <c r="M49" s="44" t="str">
        <f>VLOOKUP(C49,Bolts!A:L,11,0)</f>
        <v xml:space="preserve"> </v>
      </c>
      <c r="N49" s="45" t="str">
        <f>VLOOKUP(C49,Bolts!A:L,12,0)</f>
        <v xml:space="preserve"> </v>
      </c>
      <c r="O49" s="45" t="e">
        <f t="shared" ref="O49" ca="1" si="18">B49*$L$2</f>
        <v>#VALUE!</v>
      </c>
      <c r="P49" s="49" t="str">
        <f>IFERROR(VLOOKUP(C49,Bolts!A:B,2,FALSE),"")</f>
        <v xml:space="preserve"> </v>
      </c>
      <c r="Q49" s="50" t="str">
        <f t="shared" ref="Q49" si="19">IFERROR(B49*P49,"")</f>
        <v/>
      </c>
    </row>
    <row r="50" spans="1:17" s="2" customFormat="1" ht="12.75" customHeight="1" thickBot="1">
      <c r="A50" s="34"/>
      <c r="B50" s="35"/>
      <c r="C50" s="35"/>
      <c r="D50" s="256"/>
      <c r="E50" s="279"/>
      <c r="F50" s="35"/>
      <c r="G50" s="35"/>
      <c r="H50" s="294"/>
      <c r="I50" s="294"/>
      <c r="J50" s="36"/>
      <c r="K50" s="36"/>
      <c r="L50" s="36"/>
      <c r="M50" s="37"/>
      <c r="N50" s="38"/>
      <c r="O50" s="38"/>
      <c r="P50" s="89" t="s">
        <v>43</v>
      </c>
      <c r="Q50" s="94">
        <f>SUM(Q5:Q49)</f>
        <v>5392.3613499999992</v>
      </c>
    </row>
    <row r="51" spans="1:17" s="2" customFormat="1" ht="12" customHeight="1">
      <c r="D51" s="22"/>
      <c r="E51" s="22"/>
      <c r="J51" s="8"/>
      <c r="K51" s="8"/>
      <c r="L51" s="8"/>
      <c r="M51" s="8"/>
      <c r="N51" s="5"/>
      <c r="O51" s="5"/>
      <c r="P51" s="88"/>
      <c r="Q51" s="95"/>
    </row>
    <row r="52" spans="1:17" s="2" customFormat="1" ht="12" customHeight="1">
      <c r="D52" s="22"/>
      <c r="E52" s="22"/>
      <c r="J52" s="5"/>
      <c r="K52" s="5"/>
      <c r="L52" s="5"/>
      <c r="M52" s="5"/>
      <c r="N52" s="5"/>
      <c r="O52" s="5"/>
      <c r="P52" s="88"/>
      <c r="Q52" s="95"/>
    </row>
    <row r="53" spans="1:17" s="2" customFormat="1" ht="12" customHeight="1">
      <c r="D53" s="22"/>
      <c r="E53" s="22"/>
      <c r="J53" s="5"/>
      <c r="K53" s="5"/>
      <c r="L53" s="5"/>
      <c r="M53" s="5"/>
      <c r="N53" s="5"/>
      <c r="O53" s="5"/>
      <c r="P53" s="88"/>
      <c r="Q53" s="95"/>
    </row>
    <row r="54" spans="1:17" s="2" customFormat="1" ht="12" customHeight="1">
      <c r="D54" s="22"/>
      <c r="E54" s="22"/>
      <c r="J54" s="5"/>
      <c r="K54" s="5"/>
      <c r="L54" s="5"/>
      <c r="M54" s="5"/>
      <c r="N54" s="5"/>
      <c r="O54" s="5"/>
      <c r="P54" s="88"/>
      <c r="Q54" s="95"/>
    </row>
    <row r="55" spans="1:17" s="2" customFormat="1" ht="12" customHeight="1">
      <c r="D55" s="22"/>
      <c r="E55" s="22"/>
      <c r="J55" s="5"/>
      <c r="K55" s="5"/>
      <c r="L55" s="5"/>
      <c r="M55" s="5"/>
      <c r="N55" s="5"/>
      <c r="O55" s="5"/>
      <c r="P55" s="88"/>
      <c r="Q55" s="95"/>
    </row>
    <row r="56" spans="1:17" s="2" customFormat="1" ht="12" customHeight="1">
      <c r="D56" s="22"/>
      <c r="E56" s="22"/>
      <c r="J56" s="5"/>
      <c r="K56" s="5"/>
      <c r="L56" s="5"/>
      <c r="M56" s="5"/>
      <c r="N56" s="5"/>
      <c r="O56" s="5"/>
      <c r="P56" s="88"/>
      <c r="Q56" s="95"/>
    </row>
    <row r="57" spans="1:17" s="2" customFormat="1" ht="12" customHeight="1">
      <c r="D57" s="22"/>
      <c r="E57" s="22"/>
      <c r="J57" s="5"/>
      <c r="K57" s="5"/>
      <c r="L57" s="5"/>
      <c r="M57" s="5"/>
      <c r="N57" s="5"/>
      <c r="O57" s="5"/>
      <c r="P57" s="88"/>
      <c r="Q57" s="95"/>
    </row>
    <row r="58" spans="1:17" s="2" customFormat="1" ht="12" customHeight="1">
      <c r="D58" s="22"/>
      <c r="E58" s="22"/>
      <c r="J58" s="5"/>
      <c r="K58" s="5"/>
      <c r="L58" s="5"/>
      <c r="M58" s="5"/>
      <c r="N58" s="5"/>
      <c r="O58" s="5"/>
      <c r="P58" s="88"/>
      <c r="Q58" s="95"/>
    </row>
    <row r="59" spans="1:17" s="2" customFormat="1" ht="12" customHeight="1">
      <c r="D59" s="22"/>
      <c r="E59" s="22"/>
      <c r="J59" s="5"/>
      <c r="K59" s="5"/>
      <c r="L59" s="5"/>
      <c r="M59" s="5"/>
      <c r="N59" s="5"/>
      <c r="O59" s="5"/>
      <c r="P59" s="88"/>
      <c r="Q59" s="95"/>
    </row>
    <row r="60" spans="1:17" s="2" customFormat="1" ht="12" customHeight="1">
      <c r="D60" s="22"/>
      <c r="E60" s="22"/>
      <c r="J60" s="5"/>
      <c r="K60" s="5"/>
      <c r="L60" s="5"/>
      <c r="M60" s="5"/>
      <c r="N60" s="5"/>
      <c r="O60" s="5"/>
      <c r="P60" s="88"/>
      <c r="Q60" s="95"/>
    </row>
    <row r="61" spans="1:17" s="2" customFormat="1" ht="12" customHeight="1">
      <c r="D61" s="22"/>
      <c r="E61" s="22"/>
      <c r="J61" s="5"/>
      <c r="K61" s="5"/>
      <c r="L61" s="5"/>
      <c r="M61" s="5"/>
      <c r="N61" s="5"/>
      <c r="O61" s="5"/>
      <c r="P61" s="88"/>
      <c r="Q61" s="95"/>
    </row>
    <row r="62" spans="1:17" s="2" customFormat="1" ht="12" customHeight="1">
      <c r="D62" s="22"/>
      <c r="E62" s="22"/>
      <c r="J62" s="5"/>
      <c r="K62" s="5"/>
      <c r="L62" s="5"/>
      <c r="M62" s="5"/>
      <c r="N62" s="5"/>
      <c r="O62" s="5"/>
      <c r="P62" s="88"/>
      <c r="Q62" s="95"/>
    </row>
    <row r="63" spans="1:17" s="2" customFormat="1" ht="12" customHeight="1">
      <c r="D63" s="22"/>
      <c r="E63" s="22"/>
      <c r="J63" s="5"/>
      <c r="K63" s="5"/>
      <c r="L63" s="5"/>
      <c r="M63" s="5"/>
      <c r="N63" s="5"/>
      <c r="O63" s="5"/>
      <c r="P63" s="88"/>
      <c r="Q63" s="95"/>
    </row>
    <row r="64" spans="1:17" s="2" customFormat="1" ht="12" customHeight="1">
      <c r="D64" s="22"/>
      <c r="E64" s="22"/>
      <c r="J64" s="5"/>
      <c r="K64" s="5"/>
      <c r="L64" s="5"/>
      <c r="M64" s="5"/>
      <c r="N64" s="5"/>
      <c r="O64" s="5"/>
      <c r="P64" s="88"/>
      <c r="Q64" s="95"/>
    </row>
    <row r="65" spans="4:17" s="2" customFormat="1" ht="12" customHeight="1">
      <c r="D65" s="22"/>
      <c r="E65" s="22"/>
      <c r="J65" s="5"/>
      <c r="K65" s="5"/>
      <c r="L65" s="5"/>
      <c r="M65" s="5"/>
      <c r="N65" s="5"/>
      <c r="O65" s="5"/>
      <c r="P65" s="88"/>
      <c r="Q65" s="95"/>
    </row>
    <row r="66" spans="4:17" s="2" customFormat="1" ht="12" customHeight="1">
      <c r="D66" s="22"/>
      <c r="E66" s="22"/>
      <c r="J66" s="5"/>
      <c r="K66" s="5"/>
      <c r="L66" s="5"/>
      <c r="M66" s="5"/>
      <c r="N66" s="5"/>
      <c r="O66" s="5"/>
      <c r="P66" s="88"/>
      <c r="Q66" s="95"/>
    </row>
    <row r="67" spans="4:17" s="2" customFormat="1" ht="12" customHeight="1">
      <c r="D67" s="22"/>
      <c r="E67" s="22"/>
      <c r="J67" s="5"/>
      <c r="K67" s="5"/>
      <c r="L67" s="5"/>
      <c r="M67" s="5"/>
      <c r="N67" s="5"/>
      <c r="O67" s="5"/>
      <c r="P67" s="88"/>
      <c r="Q67" s="95"/>
    </row>
    <row r="68" spans="4:17" s="2" customFormat="1" ht="12" customHeight="1">
      <c r="D68" s="22"/>
      <c r="E68" s="22"/>
      <c r="J68" s="5"/>
      <c r="K68" s="5"/>
      <c r="L68" s="5"/>
      <c r="M68" s="5"/>
      <c r="N68" s="5"/>
      <c r="O68" s="5"/>
      <c r="P68" s="88"/>
      <c r="Q68" s="95"/>
    </row>
    <row r="69" spans="4:17" s="2" customFormat="1" ht="12" customHeight="1">
      <c r="D69" s="22"/>
      <c r="E69" s="22"/>
      <c r="J69" s="5"/>
      <c r="K69" s="5"/>
      <c r="L69" s="5"/>
      <c r="M69" s="5"/>
      <c r="N69" s="5"/>
      <c r="O69" s="5"/>
      <c r="P69" s="88"/>
      <c r="Q69" s="95"/>
    </row>
    <row r="70" spans="4:17" s="2" customFormat="1" ht="12" customHeight="1">
      <c r="D70" s="22"/>
      <c r="E70" s="22"/>
      <c r="J70" s="5"/>
      <c r="K70" s="5"/>
      <c r="L70" s="5"/>
      <c r="M70" s="5"/>
      <c r="N70" s="5"/>
      <c r="O70" s="5"/>
      <c r="P70" s="88"/>
      <c r="Q70" s="95"/>
    </row>
    <row r="71" spans="4:17" s="2" customFormat="1" ht="12" customHeight="1">
      <c r="D71" s="22"/>
      <c r="E71" s="22"/>
      <c r="J71" s="5"/>
      <c r="K71" s="5"/>
      <c r="L71" s="5"/>
      <c r="M71" s="5"/>
      <c r="N71" s="5"/>
      <c r="O71" s="5"/>
      <c r="P71" s="88"/>
      <c r="Q71" s="95"/>
    </row>
    <row r="72" spans="4:17" s="2" customFormat="1" ht="12" customHeight="1">
      <c r="D72" s="22"/>
      <c r="E72" s="22"/>
      <c r="J72" s="5"/>
      <c r="K72" s="5"/>
      <c r="L72" s="5"/>
      <c r="M72" s="5"/>
      <c r="N72" s="5"/>
      <c r="O72" s="5"/>
      <c r="P72" s="88"/>
      <c r="Q72" s="95"/>
    </row>
    <row r="73" spans="4:17" s="2" customFormat="1" ht="12" customHeight="1">
      <c r="D73" s="22"/>
      <c r="E73" s="22"/>
      <c r="J73" s="5"/>
      <c r="K73" s="5"/>
      <c r="L73" s="5"/>
      <c r="M73" s="5"/>
      <c r="N73" s="5"/>
      <c r="O73" s="5"/>
      <c r="P73" s="88"/>
      <c r="Q73" s="95"/>
    </row>
    <row r="74" spans="4:17" s="2" customFormat="1" ht="12" customHeight="1">
      <c r="D74" s="22"/>
      <c r="E74" s="22"/>
      <c r="J74" s="5"/>
      <c r="K74" s="5"/>
      <c r="L74" s="5"/>
      <c r="M74" s="5"/>
      <c r="N74" s="5"/>
      <c r="O74" s="5"/>
      <c r="P74" s="88"/>
      <c r="Q74" s="95"/>
    </row>
    <row r="75" spans="4:17" s="2" customFormat="1" ht="12" customHeight="1">
      <c r="D75" s="22"/>
      <c r="E75" s="22"/>
      <c r="J75" s="5"/>
      <c r="K75" s="5"/>
      <c r="L75" s="5"/>
      <c r="M75" s="5"/>
      <c r="N75" s="5"/>
      <c r="O75" s="5"/>
      <c r="P75" s="88"/>
      <c r="Q75" s="95"/>
    </row>
    <row r="76" spans="4:17" s="2" customFormat="1" ht="12" customHeight="1">
      <c r="D76" s="22"/>
      <c r="E76" s="22"/>
      <c r="J76" s="5"/>
      <c r="K76" s="5"/>
      <c r="L76" s="5"/>
      <c r="M76" s="5"/>
      <c r="N76" s="5"/>
      <c r="O76" s="5"/>
      <c r="P76" s="88"/>
      <c r="Q76" s="95"/>
    </row>
    <row r="77" spans="4:17" s="2" customFormat="1" ht="12" customHeight="1">
      <c r="D77" s="22"/>
      <c r="E77" s="22"/>
      <c r="J77" s="5"/>
      <c r="K77" s="5"/>
      <c r="L77" s="5"/>
      <c r="M77" s="5"/>
      <c r="N77" s="5"/>
      <c r="O77" s="5"/>
      <c r="P77" s="88"/>
      <c r="Q77" s="95"/>
    </row>
    <row r="78" spans="4:17" s="2" customFormat="1" ht="12" customHeight="1">
      <c r="D78" s="22"/>
      <c r="E78" s="22"/>
      <c r="J78" s="5"/>
      <c r="K78" s="5"/>
      <c r="L78" s="5"/>
      <c r="M78" s="5"/>
      <c r="N78" s="5"/>
      <c r="O78" s="5"/>
      <c r="P78" s="88"/>
      <c r="Q78" s="95"/>
    </row>
    <row r="79" spans="4:17" s="2" customFormat="1" ht="12" customHeight="1">
      <c r="D79" s="22"/>
      <c r="E79" s="22"/>
      <c r="J79" s="5"/>
      <c r="K79" s="5"/>
      <c r="L79" s="5"/>
      <c r="M79" s="5"/>
      <c r="N79" s="5"/>
      <c r="O79" s="5"/>
      <c r="P79" s="88"/>
      <c r="Q79" s="95"/>
    </row>
    <row r="80" spans="4:17" s="2" customFormat="1" ht="12" customHeight="1">
      <c r="D80" s="22"/>
      <c r="E80" s="22"/>
      <c r="J80" s="5"/>
      <c r="K80" s="5"/>
      <c r="L80" s="5"/>
      <c r="M80" s="5"/>
      <c r="N80" s="5"/>
      <c r="O80" s="5"/>
      <c r="P80" s="88"/>
      <c r="Q80" s="95"/>
    </row>
    <row r="81" spans="1:17" s="2" customFormat="1" ht="12" customHeight="1">
      <c r="D81" s="22"/>
      <c r="E81" s="22"/>
      <c r="J81" s="5"/>
      <c r="K81" s="5"/>
      <c r="L81" s="5"/>
      <c r="M81" s="5"/>
      <c r="N81" s="5"/>
      <c r="O81" s="5"/>
      <c r="P81" s="88"/>
      <c r="Q81" s="95"/>
    </row>
    <row r="82" spans="1:17" s="2" customFormat="1" ht="12" customHeight="1">
      <c r="D82" s="22"/>
      <c r="E82" s="22"/>
      <c r="J82" s="5"/>
      <c r="K82" s="5"/>
      <c r="L82" s="5"/>
      <c r="M82" s="5"/>
      <c r="N82" s="5"/>
      <c r="O82" s="5"/>
      <c r="P82" s="88"/>
      <c r="Q82" s="95"/>
    </row>
    <row r="83" spans="1:17" s="2" customFormat="1" ht="12" customHeight="1">
      <c r="D83" s="22"/>
      <c r="E83" s="22"/>
      <c r="J83" s="5"/>
      <c r="K83" s="5"/>
      <c r="L83" s="5"/>
      <c r="M83" s="5"/>
      <c r="N83" s="5"/>
      <c r="O83" s="5"/>
      <c r="P83" s="88"/>
      <c r="Q83" s="95"/>
    </row>
    <row r="84" spans="1:17" s="2" customFormat="1" ht="12" customHeight="1">
      <c r="D84" s="22"/>
      <c r="E84" s="22"/>
      <c r="J84" s="5"/>
      <c r="K84" s="5"/>
      <c r="L84" s="5"/>
      <c r="M84" s="5"/>
      <c r="N84" s="5"/>
      <c r="O84" s="5"/>
      <c r="P84" s="88"/>
      <c r="Q84" s="95"/>
    </row>
    <row r="85" spans="1:17" s="2" customFormat="1" ht="12" customHeight="1">
      <c r="D85" s="22"/>
      <c r="E85" s="22"/>
      <c r="J85" s="5"/>
      <c r="K85" s="5"/>
      <c r="L85" s="5"/>
      <c r="M85" s="5"/>
      <c r="N85" s="5"/>
      <c r="O85" s="5"/>
      <c r="P85" s="88"/>
      <c r="Q85" s="95"/>
    </row>
    <row r="86" spans="1:17" s="2" customFormat="1" ht="12" customHeight="1">
      <c r="D86" s="22"/>
      <c r="E86" s="22"/>
      <c r="J86" s="5"/>
      <c r="K86" s="5"/>
      <c r="L86" s="5"/>
      <c r="M86" s="5"/>
      <c r="N86" s="5"/>
      <c r="O86" s="5"/>
      <c r="P86" s="88"/>
      <c r="Q86" s="95"/>
    </row>
    <row r="87" spans="1:17" s="2" customFormat="1" ht="12" customHeight="1">
      <c r="D87" s="22"/>
      <c r="E87" s="22"/>
      <c r="J87" s="5"/>
      <c r="K87" s="5"/>
      <c r="L87" s="5"/>
      <c r="M87" s="5"/>
      <c r="N87" s="5"/>
      <c r="O87" s="5"/>
      <c r="P87" s="88"/>
      <c r="Q87" s="95"/>
    </row>
    <row r="88" spans="1:17" s="2" customFormat="1" ht="12" customHeight="1">
      <c r="D88" s="22"/>
      <c r="E88" s="22"/>
      <c r="J88" s="5"/>
      <c r="K88" s="5"/>
      <c r="L88" s="5"/>
      <c r="M88" s="5"/>
      <c r="N88" s="5"/>
      <c r="O88" s="5"/>
      <c r="P88" s="88"/>
      <c r="Q88" s="95"/>
    </row>
    <row r="89" spans="1:17" s="2" customFormat="1" ht="12" customHeight="1">
      <c r="D89" s="22"/>
      <c r="E89" s="22"/>
      <c r="J89" s="5"/>
      <c r="K89" s="5"/>
      <c r="L89" s="5"/>
      <c r="M89" s="5"/>
      <c r="N89" s="5"/>
      <c r="O89" s="5"/>
      <c r="P89" s="88"/>
      <c r="Q89" s="96"/>
    </row>
    <row r="90" spans="1:17" s="2" customFormat="1" ht="12" customHeight="1">
      <c r="D90" s="22"/>
      <c r="E90" s="22"/>
      <c r="J90" s="5"/>
      <c r="K90" s="5"/>
      <c r="L90" s="5"/>
      <c r="M90" s="5"/>
      <c r="N90" s="5"/>
      <c r="O90" s="5"/>
      <c r="P90" s="88"/>
      <c r="Q90" s="96"/>
    </row>
    <row r="91" spans="1:17" s="2" customFormat="1" ht="12" customHeight="1">
      <c r="D91" s="22"/>
      <c r="E91" s="22"/>
      <c r="J91" s="5"/>
      <c r="K91" s="5"/>
      <c r="L91" s="5"/>
      <c r="M91" s="5"/>
      <c r="N91" s="5"/>
      <c r="O91" s="5"/>
      <c r="P91" s="88"/>
      <c r="Q91" s="96"/>
    </row>
    <row r="92" spans="1:17" s="2" customFormat="1" ht="12" customHeight="1">
      <c r="D92" s="22"/>
      <c r="E92" s="22"/>
      <c r="J92" s="5"/>
      <c r="K92" s="5"/>
      <c r="L92" s="5"/>
      <c r="M92" s="5"/>
      <c r="N92" s="5"/>
      <c r="O92" s="5"/>
      <c r="P92" s="88"/>
      <c r="Q92" s="96"/>
    </row>
    <row r="93" spans="1:17" s="2" customFormat="1" ht="12" customHeight="1">
      <c r="A93"/>
      <c r="B93"/>
      <c r="C93"/>
      <c r="D93" s="23"/>
      <c r="E93" s="23"/>
      <c r="F93"/>
      <c r="G93"/>
      <c r="H93"/>
      <c r="I93"/>
      <c r="J93" s="19"/>
      <c r="K93" s="19"/>
      <c r="L93" s="19"/>
      <c r="M93" s="19"/>
      <c r="N93" s="19"/>
      <c r="O93" s="19"/>
      <c r="P93" s="90"/>
      <c r="Q93" s="96"/>
    </row>
    <row r="94" spans="1:17" s="2" customFormat="1" ht="12" customHeight="1">
      <c r="A94"/>
      <c r="B94"/>
      <c r="C94"/>
      <c r="D94" s="23"/>
      <c r="E94" s="23"/>
      <c r="F94"/>
      <c r="G94"/>
      <c r="H94"/>
      <c r="I94"/>
      <c r="J94" s="19"/>
      <c r="K94" s="19"/>
      <c r="L94" s="19"/>
      <c r="M94" s="19"/>
      <c r="N94" s="19"/>
      <c r="O94" s="19"/>
      <c r="P94" s="90"/>
      <c r="Q94" s="96"/>
    </row>
    <row r="95" spans="1:17" s="2" customFormat="1" ht="12" customHeight="1">
      <c r="A95"/>
      <c r="B95"/>
      <c r="C95"/>
      <c r="D95" s="23"/>
      <c r="E95" s="23"/>
      <c r="F95"/>
      <c r="G95"/>
      <c r="H95"/>
      <c r="I95"/>
      <c r="J95" s="19"/>
      <c r="K95" s="19"/>
      <c r="L95" s="19"/>
      <c r="M95" s="19"/>
      <c r="N95" s="19"/>
      <c r="O95" s="19"/>
      <c r="P95" s="90"/>
      <c r="Q95" s="96"/>
    </row>
    <row r="96" spans="1:17" s="2" customFormat="1" ht="12" customHeight="1">
      <c r="A96"/>
      <c r="B96"/>
      <c r="C96"/>
      <c r="D96" s="23"/>
      <c r="E96" s="23"/>
      <c r="F96"/>
      <c r="G96"/>
      <c r="H96"/>
      <c r="I96"/>
      <c r="J96" s="19"/>
      <c r="K96" s="19"/>
      <c r="L96" s="19"/>
      <c r="M96" s="19"/>
      <c r="N96" s="19"/>
      <c r="O96" s="19"/>
      <c r="P96" s="90"/>
      <c r="Q96" s="96"/>
    </row>
    <row r="97" spans="1:17" s="2" customFormat="1" ht="12" customHeight="1">
      <c r="A97"/>
      <c r="B97"/>
      <c r="C97"/>
      <c r="D97" s="23"/>
      <c r="E97" s="23"/>
      <c r="F97"/>
      <c r="G97"/>
      <c r="H97"/>
      <c r="I97"/>
      <c r="J97" s="19"/>
      <c r="K97" s="19"/>
      <c r="L97" s="19"/>
      <c r="M97" s="19"/>
      <c r="N97" s="19"/>
      <c r="O97" s="19"/>
      <c r="P97" s="90"/>
      <c r="Q97" s="96"/>
    </row>
    <row r="98" spans="1:17">
      <c r="Q98" s="96"/>
    </row>
    <row r="99" spans="1:17">
      <c r="Q99" s="96"/>
    </row>
    <row r="100" spans="1:17">
      <c r="Q100" s="96"/>
    </row>
    <row r="101" spans="1:17">
      <c r="Q101" s="96"/>
    </row>
    <row r="102" spans="1:17">
      <c r="Q102" s="96"/>
    </row>
    <row r="103" spans="1:17">
      <c r="Q103" s="96"/>
    </row>
    <row r="104" spans="1:17">
      <c r="Q104" s="96"/>
    </row>
    <row r="105" spans="1:17">
      <c r="Q105" s="96"/>
    </row>
    <row r="106" spans="1:17">
      <c r="Q106" s="96"/>
    </row>
    <row r="107" spans="1:17">
      <c r="Q107" s="96"/>
    </row>
    <row r="108" spans="1:17">
      <c r="Q108" s="96"/>
    </row>
    <row r="109" spans="1:17">
      <c r="Q109" s="96"/>
    </row>
    <row r="110" spans="1:17">
      <c r="Q110" s="96"/>
    </row>
    <row r="111" spans="1:17">
      <c r="Q111" s="96"/>
    </row>
    <row r="112" spans="1:17">
      <c r="Q112" s="96"/>
    </row>
    <row r="113" spans="17:17">
      <c r="Q113" s="96"/>
    </row>
    <row r="114" spans="17:17">
      <c r="Q114" s="96"/>
    </row>
    <row r="115" spans="17:17">
      <c r="Q115" s="96"/>
    </row>
    <row r="116" spans="17:17">
      <c r="Q116" s="96"/>
    </row>
    <row r="117" spans="17:17">
      <c r="Q117" s="96"/>
    </row>
    <row r="154" ht="12" customHeight="1"/>
    <row r="155" ht="12" customHeight="1"/>
    <row r="156" ht="12" customHeight="1"/>
    <row r="157" ht="12" customHeight="1"/>
    <row r="158" ht="12" customHeight="1"/>
    <row r="159" ht="12" customHeight="1"/>
    <row r="160" ht="12" customHeight="1"/>
    <row r="161" ht="12" customHeight="1"/>
    <row r="162" ht="12" customHeight="1"/>
    <row r="163" ht="12" customHeight="1"/>
    <row r="164" ht="12" customHeight="1"/>
    <row r="165" ht="12" customHeight="1"/>
    <row r="166" ht="12" customHeight="1"/>
    <row r="167" ht="12" customHeight="1"/>
    <row r="168" ht="12" customHeight="1"/>
    <row r="169" ht="12" customHeight="1"/>
    <row r="170" ht="12" customHeight="1"/>
    <row r="171" ht="12" customHeight="1"/>
    <row r="172" ht="12" customHeight="1"/>
    <row r="173" ht="12" customHeight="1"/>
    <row r="174" ht="12" customHeight="1"/>
    <row r="175" ht="12" customHeight="1"/>
    <row r="176" ht="12" customHeight="1"/>
    <row r="177" ht="12" customHeight="1"/>
    <row r="178" ht="12" customHeight="1"/>
    <row r="179" ht="12" customHeight="1"/>
    <row r="180" ht="12" customHeight="1"/>
    <row r="181" ht="12" customHeight="1"/>
    <row r="182" ht="12" customHeight="1"/>
    <row r="183" ht="12" customHeight="1"/>
    <row r="184" ht="12" customHeight="1"/>
    <row r="185" ht="12" customHeight="1"/>
    <row r="186" ht="12" customHeight="1"/>
    <row r="187" ht="12" customHeight="1"/>
    <row r="188" ht="12" customHeight="1"/>
    <row r="189" ht="12" customHeight="1"/>
    <row r="190" ht="12" customHeight="1"/>
    <row r="191" ht="12" customHeight="1"/>
    <row r="192" ht="12" customHeight="1"/>
    <row r="193" ht="12" customHeight="1"/>
    <row r="194" ht="12" customHeight="1"/>
    <row r="195" ht="12" customHeight="1"/>
    <row r="196" ht="12" customHeight="1"/>
    <row r="197" ht="12" customHeight="1"/>
    <row r="198" ht="12" customHeight="1"/>
    <row r="199" ht="12" customHeight="1"/>
    <row r="200" ht="12" customHeight="1"/>
    <row r="201" ht="12" customHeight="1"/>
    <row r="202" ht="12" customHeight="1"/>
    <row r="203" ht="12" customHeight="1"/>
  </sheetData>
  <mergeCells count="52">
    <mergeCell ref="H50:I50"/>
    <mergeCell ref="D50:E50"/>
    <mergeCell ref="D21:E21"/>
    <mergeCell ref="D45:E45"/>
    <mergeCell ref="D46:E46"/>
    <mergeCell ref="D47:E47"/>
    <mergeCell ref="D48:E48"/>
    <mergeCell ref="D49:E49"/>
    <mergeCell ref="D31:E31"/>
    <mergeCell ref="D32:E32"/>
    <mergeCell ref="D33:E33"/>
    <mergeCell ref="D34:E34"/>
    <mergeCell ref="D35:E35"/>
    <mergeCell ref="D36:E36"/>
    <mergeCell ref="D37:E37"/>
    <mergeCell ref="D38:E38"/>
    <mergeCell ref="D44:E44"/>
    <mergeCell ref="D40:E40"/>
    <mergeCell ref="H40:I40"/>
    <mergeCell ref="D41:E41"/>
    <mergeCell ref="D42:E42"/>
    <mergeCell ref="D43:E43"/>
    <mergeCell ref="D29:E29"/>
    <mergeCell ref="D30:E30"/>
    <mergeCell ref="H22:I22"/>
    <mergeCell ref="D23:E23"/>
    <mergeCell ref="D24:E24"/>
    <mergeCell ref="D25:E25"/>
    <mergeCell ref="D26:E26"/>
    <mergeCell ref="D27:E27"/>
    <mergeCell ref="D22:E22"/>
    <mergeCell ref="D8:E8"/>
    <mergeCell ref="D9:E9"/>
    <mergeCell ref="D10:E10"/>
    <mergeCell ref="D11:E11"/>
    <mergeCell ref="D28:E28"/>
    <mergeCell ref="D39:E39"/>
    <mergeCell ref="D1:E1"/>
    <mergeCell ref="D4:E4"/>
    <mergeCell ref="H4:I4"/>
    <mergeCell ref="D19:E19"/>
    <mergeCell ref="D20:E20"/>
    <mergeCell ref="D5:E5"/>
    <mergeCell ref="D12:E12"/>
    <mergeCell ref="D13:E13"/>
    <mergeCell ref="D14:E14"/>
    <mergeCell ref="D15:E15"/>
    <mergeCell ref="D18:E18"/>
    <mergeCell ref="D16:E16"/>
    <mergeCell ref="D17:E17"/>
    <mergeCell ref="D6:E6"/>
    <mergeCell ref="D7:E7"/>
  </mergeCells>
  <conditionalFormatting sqref="M5:M21 M41:M49 M23:M39">
    <cfRule type="cellIs" dxfId="228" priority="1" stopIfTrue="1" operator="lessThanOrEqual">
      <formula>$L5</formula>
    </cfRule>
    <cfRule type="cellIs" dxfId="227" priority="2" operator="greaterThan">
      <formula>L5</formula>
    </cfRule>
  </conditionalFormatting>
  <pageMargins left="0.7" right="0.7" top="0.75" bottom="0.75" header="0.3" footer="0.3"/>
  <pageSetup paperSize="3" fitToHeight="0" orientation="landscape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00A2E30-4F71-448E-A61D-3E355F9A72D2}">
          <x14:formula1>
            <xm:f>Bolts!$A:$A</xm:f>
          </x14:formula1>
          <xm:sqref>C41:C49</xm:sqref>
        </x14:dataValidation>
        <x14:dataValidation type="list" allowBlank="1" showInputMessage="1" showErrorMessage="1" xr:uid="{D733DB3A-0DA2-4502-A279-3A84E7F0F662}">
          <x14:formula1>
            <xm:f>Purchased!$A:$A</xm:f>
          </x14:formula1>
          <xm:sqref>C23:C39</xm:sqref>
        </x14:dataValidation>
        <x14:dataValidation type="list" allowBlank="1" showInputMessage="1" showErrorMessage="1" xr:uid="{460582BC-8746-4A3F-BDF6-8EF8D12C12C7}">
          <x14:formula1>
            <xm:f>Machined!$C:$C</xm:f>
          </x14:formula1>
          <xm:sqref>C5:C21</xm:sqref>
        </x14:dataValidation>
      </x14:dataValidations>
    </ext>
  </extLst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E9C380-59F2-411E-ABF6-462B20B91846}">
  <sheetPr codeName="Sheet123">
    <tabColor theme="3" tint="0.79998168889431442"/>
    <pageSetUpPr fitToPage="1"/>
  </sheetPr>
  <dimension ref="A1:Q179"/>
  <sheetViews>
    <sheetView zoomScaleNormal="100" workbookViewId="0">
      <selection activeCell="C31" sqref="C31"/>
    </sheetView>
  </sheetViews>
  <sheetFormatPr defaultColWidth="9.140625" defaultRowHeight="15"/>
  <cols>
    <col min="1" max="1" width="5.7109375" customWidth="1"/>
    <col min="2" max="2" width="5.42578125" bestFit="1" customWidth="1"/>
    <col min="3" max="3" width="30.7109375" customWidth="1"/>
    <col min="4" max="5" width="20.7109375" style="23" customWidth="1"/>
    <col min="6" max="6" width="16.85546875" bestFit="1" customWidth="1"/>
    <col min="7" max="7" width="9.7109375" customWidth="1"/>
    <col min="8" max="8" width="8.7109375" customWidth="1"/>
    <col min="9" max="9" width="20.7109375" customWidth="1"/>
    <col min="10" max="13" width="11.7109375" style="19" customWidth="1"/>
    <col min="14" max="14" width="11.85546875" style="19" bestFit="1" customWidth="1"/>
    <col min="15" max="15" width="7.7109375" style="19" customWidth="1"/>
    <col min="16" max="16" width="10.7109375" style="90" customWidth="1"/>
    <col min="17" max="17" width="10.7109375" style="97" customWidth="1"/>
  </cols>
  <sheetData>
    <row r="1" spans="1:17" s="55" customFormat="1" ht="12" customHeight="1">
      <c r="A1" s="68" t="s">
        <v>0</v>
      </c>
      <c r="B1" s="69"/>
      <c r="C1" s="69"/>
      <c r="D1" s="262" t="s">
        <v>1</v>
      </c>
      <c r="E1" s="263"/>
      <c r="F1" s="70"/>
      <c r="G1" s="69"/>
      <c r="H1" s="70"/>
      <c r="I1" s="71"/>
      <c r="J1" s="72"/>
      <c r="K1" s="72"/>
      <c r="L1" s="72"/>
      <c r="M1" s="72"/>
      <c r="N1" s="72"/>
      <c r="O1" s="72"/>
      <c r="P1" s="85"/>
      <c r="Q1" s="91"/>
    </row>
    <row r="2" spans="1:17" s="55" customFormat="1" ht="12" customHeight="1">
      <c r="A2" s="74" t="s">
        <v>48</v>
      </c>
      <c r="B2" s="58"/>
      <c r="C2" s="57" t="e">
        <f ca="1">VLOOKUP(E3,Assemblies!B:F,4,0)</f>
        <v>#VALUE!</v>
      </c>
      <c r="D2" s="75" t="s">
        <v>3</v>
      </c>
      <c r="E2" s="76" t="e">
        <f ca="1">'GF12'!E2</f>
        <v>#VALUE!</v>
      </c>
      <c r="F2" s="77" t="s">
        <v>4</v>
      </c>
      <c r="G2" s="58" t="str">
        <f>'GF12'!G2</f>
        <v>GH</v>
      </c>
      <c r="H2" s="77" t="s">
        <v>6</v>
      </c>
      <c r="I2" s="59">
        <f>'GF12'!I2</f>
        <v>44775</v>
      </c>
      <c r="J2" s="39"/>
      <c r="K2" s="40" t="s">
        <v>49</v>
      </c>
      <c r="L2" s="41" t="e">
        <f ca="1">VLOOKUP(C2,Assemblies!E:G,3,0)</f>
        <v>#VALUE!</v>
      </c>
      <c r="M2" s="78"/>
      <c r="N2" s="78"/>
      <c r="O2" s="78"/>
      <c r="P2" s="86"/>
      <c r="Q2" s="92"/>
    </row>
    <row r="3" spans="1:17" s="55" customFormat="1" ht="12" customHeight="1" thickBot="1">
      <c r="A3" s="74" t="s">
        <v>7</v>
      </c>
      <c r="B3" s="58"/>
      <c r="C3" s="57" t="e">
        <f ca="1">VLOOKUP(E3,Assemblies!B:F,5,0)</f>
        <v>#VALUE!</v>
      </c>
      <c r="D3" s="75" t="s">
        <v>50</v>
      </c>
      <c r="E3" s="76" t="e">
        <f ca="1">MID(CELL("filename",A1),FIND("]",CELL("filename",A1))+1,256)</f>
        <v>#VALUE!</v>
      </c>
      <c r="F3" s="77" t="s">
        <v>11</v>
      </c>
      <c r="G3" s="58" t="str">
        <f>'GF12'!G3</f>
        <v>GH</v>
      </c>
      <c r="H3" s="77" t="s">
        <v>6</v>
      </c>
      <c r="I3" s="59">
        <f>'GF12'!I3</f>
        <v>44775</v>
      </c>
      <c r="J3" s="78"/>
      <c r="K3" s="78"/>
      <c r="L3" s="78"/>
      <c r="M3" s="78"/>
      <c r="N3" s="78"/>
      <c r="O3" s="78"/>
      <c r="P3" s="86"/>
      <c r="Q3" s="92"/>
    </row>
    <row r="4" spans="1:17" s="56" customFormat="1" ht="12.75" customHeight="1" thickBot="1">
      <c r="A4" s="80" t="s">
        <v>12</v>
      </c>
      <c r="B4" s="81" t="s">
        <v>13</v>
      </c>
      <c r="C4" s="81" t="s">
        <v>14</v>
      </c>
      <c r="D4" s="270" t="s">
        <v>15</v>
      </c>
      <c r="E4" s="271"/>
      <c r="F4" s="104" t="s">
        <v>16</v>
      </c>
      <c r="G4" s="81" t="s">
        <v>17</v>
      </c>
      <c r="H4" s="260" t="s">
        <v>18</v>
      </c>
      <c r="I4" s="261"/>
      <c r="J4" s="81" t="s">
        <v>51</v>
      </c>
      <c r="K4" s="81" t="s">
        <v>20</v>
      </c>
      <c r="L4" s="81" t="s">
        <v>21</v>
      </c>
      <c r="M4" s="81" t="s">
        <v>52</v>
      </c>
      <c r="N4" s="81" t="s">
        <v>22</v>
      </c>
      <c r="O4" s="81" t="s">
        <v>53</v>
      </c>
      <c r="P4" s="107" t="s">
        <v>26</v>
      </c>
      <c r="Q4" s="82" t="s">
        <v>27</v>
      </c>
    </row>
    <row r="5" spans="1:17" s="2" customFormat="1" ht="12.75" customHeight="1">
      <c r="A5" s="127">
        <v>1</v>
      </c>
      <c r="B5" s="21">
        <v>2</v>
      </c>
      <c r="C5" s="108" t="s">
        <v>1242</v>
      </c>
      <c r="D5" s="277" t="str">
        <f>VLOOKUP(C5,Machined!C:Q,2,0)</f>
        <v>Cap Pre-Diverter Rail</v>
      </c>
      <c r="E5" s="278"/>
      <c r="F5" s="131" t="str">
        <f>VLOOKUP(C5,Machined!C:R,7,0)</f>
        <v>AISI 304</v>
      </c>
      <c r="G5" s="131" t="str">
        <f>VLOOKUP(C5,Machined!C:R,10,0)</f>
        <v>WESCO BHT</v>
      </c>
      <c r="H5" s="131" t="str">
        <f>VLOOKUP(C5,Machined!C:R,11,0)</f>
        <v xml:space="preserve">  </v>
      </c>
      <c r="I5" s="131"/>
      <c r="J5" s="42">
        <f>VLOOKUP(C5,Machined!C:R,12,0)</f>
        <v>45159</v>
      </c>
      <c r="K5" s="42">
        <f>VLOOKUP(C5,Machined!C:R,13,0)</f>
        <v>45161</v>
      </c>
      <c r="L5" s="42">
        <f>VLOOKUP(C5,Machined!C:R,14,0)</f>
        <v>45191</v>
      </c>
      <c r="M5" s="42">
        <f>VLOOKUP(C5,Machined!C:R,15,0)</f>
        <v>45191</v>
      </c>
      <c r="N5" s="43">
        <f>VLOOKUP(C5,Machined!C:R,16,0)</f>
        <v>55092</v>
      </c>
      <c r="O5" s="43" t="e">
        <f t="shared" ref="O5:O8" ca="1" si="0">B5*$L$2</f>
        <v>#VALUE!</v>
      </c>
      <c r="P5" s="47">
        <f>IFERROR(VLOOKUP(C5,Machined!C:F,3,0),"")</f>
        <v>74.2</v>
      </c>
      <c r="Q5" s="48">
        <f t="shared" ref="Q5:Q8" si="1">IFERROR(B5*P5,"")</f>
        <v>148.4</v>
      </c>
    </row>
    <row r="6" spans="1:17" s="2" customFormat="1" ht="12.75" customHeight="1">
      <c r="A6" s="127">
        <v>2</v>
      </c>
      <c r="B6" s="21">
        <v>2</v>
      </c>
      <c r="C6" s="108" t="s">
        <v>1243</v>
      </c>
      <c r="D6" s="277" t="str">
        <f>VLOOKUP(C6,Machined!C:Q,2,0)</f>
        <v>Cap Pre-Diverter Top Rail</v>
      </c>
      <c r="E6" s="278"/>
      <c r="F6" s="131" t="str">
        <f>VLOOKUP(C6,Machined!C:R,7,0)</f>
        <v>AISI 304</v>
      </c>
      <c r="G6" s="131" t="str">
        <f>VLOOKUP(C6,Machined!C:R,10,0)</f>
        <v>WESCO BHT</v>
      </c>
      <c r="H6" s="131" t="str">
        <f>VLOOKUP(C6,Machined!C:R,11,0)</f>
        <v xml:space="preserve">  </v>
      </c>
      <c r="I6" s="131"/>
      <c r="J6" s="42">
        <f>VLOOKUP(C6,Machined!C:R,12,0)</f>
        <v>45159</v>
      </c>
      <c r="K6" s="42">
        <f>VLOOKUP(C6,Machined!C:R,13,0)</f>
        <v>45161</v>
      </c>
      <c r="L6" s="42">
        <f>VLOOKUP(C6,Machined!C:R,14,0)</f>
        <v>45191</v>
      </c>
      <c r="M6" s="42">
        <f>VLOOKUP(C6,Machined!C:R,15,0)</f>
        <v>45191</v>
      </c>
      <c r="N6" s="43">
        <f>VLOOKUP(C6,Machined!C:R,16,0)</f>
        <v>55092</v>
      </c>
      <c r="O6" s="43" t="e">
        <f t="shared" ca="1" si="0"/>
        <v>#VALUE!</v>
      </c>
      <c r="P6" s="47">
        <f>IFERROR(VLOOKUP(C6,Machined!C:F,3,0),"")</f>
        <v>77.069999999999993</v>
      </c>
      <c r="Q6" s="48">
        <f t="shared" si="1"/>
        <v>154.13999999999999</v>
      </c>
    </row>
    <row r="7" spans="1:17" s="2" customFormat="1" ht="12.75" customHeight="1">
      <c r="A7" s="127">
        <v>3</v>
      </c>
      <c r="B7" s="21">
        <v>4</v>
      </c>
      <c r="C7" s="108" t="s">
        <v>1213</v>
      </c>
      <c r="D7" s="277" t="str">
        <f>VLOOKUP(C7,Machined!C:Q,2,0)</f>
        <v>Cap Rail Bracket</v>
      </c>
      <c r="E7" s="278"/>
      <c r="F7" s="131" t="str">
        <f>VLOOKUP(C7,Machined!C:R,7,0)</f>
        <v>6061-T6 Alum</v>
      </c>
      <c r="G7" s="131" t="str">
        <f>VLOOKUP(C7,Machined!C:R,10,0)</f>
        <v>XOMETRY</v>
      </c>
      <c r="H7" s="131" t="str">
        <f>VLOOKUP(C7,Machined!C:R,11,0)</f>
        <v xml:space="preserve">  </v>
      </c>
      <c r="I7" s="131"/>
      <c r="J7" s="42">
        <f>VLOOKUP(C7,Machined!C:R,12,0)</f>
        <v>45161</v>
      </c>
      <c r="K7" s="42">
        <f>VLOOKUP(C7,Machined!C:R,13,0)</f>
        <v>45161</v>
      </c>
      <c r="L7" s="42">
        <f>VLOOKUP(C7,Machined!C:R,14,0)</f>
        <v>45181</v>
      </c>
      <c r="M7" s="42">
        <f>VLOOKUP(C7,Machined!C:R,15,0)</f>
        <v>45181</v>
      </c>
      <c r="N7" s="43">
        <f>VLOOKUP(C7,Machined!C:R,16,0)</f>
        <v>55095</v>
      </c>
      <c r="O7" s="43" t="e">
        <f t="shared" ca="1" si="0"/>
        <v>#VALUE!</v>
      </c>
      <c r="P7" s="47">
        <f>IFERROR(VLOOKUP(C7,Machined!C:F,3,0),"")</f>
        <v>35.020000000000003</v>
      </c>
      <c r="Q7" s="48">
        <f t="shared" si="1"/>
        <v>140.08000000000001</v>
      </c>
    </row>
    <row r="8" spans="1:17" s="2" customFormat="1" ht="12.75" customHeight="1">
      <c r="A8" s="127">
        <v>4</v>
      </c>
      <c r="B8" s="21">
        <v>2</v>
      </c>
      <c r="C8" s="108" t="s">
        <v>838</v>
      </c>
      <c r="D8" s="277" t="str">
        <f>VLOOKUP(C8,Machined!C:Q,2,0)</f>
        <v>Extrusion Bracket</v>
      </c>
      <c r="E8" s="278"/>
      <c r="F8" s="131" t="str">
        <f>VLOOKUP(C8,Machined!C:R,7,0)</f>
        <v>6061-T6 Alum</v>
      </c>
      <c r="G8" s="131" t="str">
        <f>VLOOKUP(C8,Machined!C:R,10,0)</f>
        <v>XOMETRY</v>
      </c>
      <c r="H8" s="131" t="str">
        <f>VLOOKUP(C8,Machined!C:R,11,0)</f>
        <v xml:space="preserve">  </v>
      </c>
      <c r="I8" s="131"/>
      <c r="J8" s="42">
        <f>VLOOKUP(C8,Machined!C:R,12,0)</f>
        <v>45161</v>
      </c>
      <c r="K8" s="42">
        <f>VLOOKUP(C8,Machined!C:R,13,0)</f>
        <v>45161</v>
      </c>
      <c r="L8" s="42">
        <f>VLOOKUP(C8,Machined!C:R,14,0)</f>
        <v>45181</v>
      </c>
      <c r="M8" s="42">
        <f>VLOOKUP(C8,Machined!C:R,15,0)</f>
        <v>45181</v>
      </c>
      <c r="N8" s="43">
        <f>VLOOKUP(C8,Machined!C:R,16,0)</f>
        <v>55095</v>
      </c>
      <c r="O8" s="43" t="e">
        <f t="shared" ca="1" si="0"/>
        <v>#VALUE!</v>
      </c>
      <c r="P8" s="47">
        <f>IFERROR(VLOOKUP(C8,Machined!C:F,3,0),"")</f>
        <v>27.97</v>
      </c>
      <c r="Q8" s="48">
        <f t="shared" si="1"/>
        <v>55.94</v>
      </c>
    </row>
    <row r="9" spans="1:17" s="2" customFormat="1" ht="12.75" customHeight="1">
      <c r="A9" s="127">
        <v>5</v>
      </c>
      <c r="B9" s="21">
        <v>4</v>
      </c>
      <c r="C9" s="108" t="s">
        <v>839</v>
      </c>
      <c r="D9" s="277" t="str">
        <f>VLOOKUP(C9,Machined!C:Q,2,0)</f>
        <v>Conveyor Bracket</v>
      </c>
      <c r="E9" s="278"/>
      <c r="F9" s="131" t="str">
        <f>VLOOKUP(C9,Machined!C:R,7,0)</f>
        <v>6061-T6 Alum</v>
      </c>
      <c r="G9" s="131" t="str">
        <f>VLOOKUP(C9,Machined!C:R,10,0)</f>
        <v>XOMETRY</v>
      </c>
      <c r="H9" s="131" t="str">
        <f>VLOOKUP(C9,Machined!C:R,11,0)</f>
        <v xml:space="preserve">  </v>
      </c>
      <c r="I9" s="131"/>
      <c r="J9" s="42">
        <f>VLOOKUP(C9,Machined!C:R,12,0)</f>
        <v>45161</v>
      </c>
      <c r="K9" s="42">
        <f>VLOOKUP(C9,Machined!C:R,13,0)</f>
        <v>45161</v>
      </c>
      <c r="L9" s="42">
        <f>VLOOKUP(C9,Machined!C:R,14,0)</f>
        <v>45181</v>
      </c>
      <c r="M9" s="42">
        <f>VLOOKUP(C9,Machined!C:R,15,0)</f>
        <v>45181</v>
      </c>
      <c r="N9" s="43">
        <f>VLOOKUP(C9,Machined!C:R,16,0)</f>
        <v>55095</v>
      </c>
      <c r="O9" s="43" t="e">
        <f ca="1">B9*$L$2</f>
        <v>#VALUE!</v>
      </c>
      <c r="P9" s="47">
        <f>IFERROR(VLOOKUP(C9,Machined!C:F,3,0),"")</f>
        <v>26.98</v>
      </c>
      <c r="Q9" s="48">
        <f>IFERROR(B9*P9,"")</f>
        <v>107.92</v>
      </c>
    </row>
    <row r="10" spans="1:17" s="2" customFormat="1" ht="12.75" customHeight="1">
      <c r="A10" s="143"/>
      <c r="B10" s="26"/>
      <c r="C10" s="26"/>
      <c r="D10" s="272"/>
      <c r="E10" s="273"/>
      <c r="F10" s="26"/>
      <c r="G10" s="26"/>
      <c r="H10" s="274"/>
      <c r="I10" s="275"/>
      <c r="J10" s="27"/>
      <c r="K10" s="27"/>
      <c r="L10" s="27"/>
      <c r="M10" s="28"/>
      <c r="N10" s="29"/>
      <c r="O10" s="29"/>
      <c r="P10" s="141"/>
      <c r="Q10" s="142"/>
    </row>
    <row r="11" spans="1:17" s="2" customFormat="1" ht="12.75" customHeight="1">
      <c r="A11" s="4">
        <v>301</v>
      </c>
      <c r="B11" s="2">
        <v>1</v>
      </c>
      <c r="C11" s="114" t="s">
        <v>859</v>
      </c>
      <c r="D11" s="268" t="str">
        <f>VLOOKUP(C11,Purchased!A:B,2,0)</f>
        <v>2200 Series mid drive conveyor (Pre-Diverter)
V-guide belt tracking, 2.75in (70mm) wide x
2.52ft (768mm) long, drive shaft in position D
with type 01 - low side profile on both sides and
belt type 01, FDA Accumulation with fused
finger splice. Configuration includes standard
drive and idler tail.</v>
      </c>
      <c r="E11" s="269"/>
      <c r="F11" s="112" t="str">
        <f>VLOOKUP(C11,Purchased!A:Q,9,0)</f>
        <v>Dorner</v>
      </c>
      <c r="G11" s="112" t="str">
        <f>VLOOKUP(C11,Purchased!A:Q,10,0)</f>
        <v>AAP</v>
      </c>
      <c r="H11" s="112" t="str">
        <f>VLOOKUP(C11,Purchased!A:Q,12,0)</f>
        <v xml:space="preserve"> </v>
      </c>
      <c r="I11" s="113"/>
      <c r="J11" s="44" t="str">
        <f>VLOOKUP(C11,Purchased!A:Q,13,0)</f>
        <v>N/A</v>
      </c>
      <c r="K11" s="44">
        <f>VLOOKUP(C11,Purchased!A:Q,14,0)</f>
        <v>45085</v>
      </c>
      <c r="L11" s="44">
        <f>VLOOKUP(C11,Purchased!A:Q,15,0)</f>
        <v>45110</v>
      </c>
      <c r="M11" s="44">
        <f>VLOOKUP(C11,Purchased!A:Q,16,0)</f>
        <v>45110</v>
      </c>
      <c r="N11" s="45">
        <f>VLOOKUP(C11,Purchased!A:Q,17,0)</f>
        <v>54924</v>
      </c>
      <c r="O11" s="45" t="e">
        <f t="shared" ref="O11:O25" ca="1" si="2">B11*$L$2</f>
        <v>#VALUE!</v>
      </c>
      <c r="P11" s="49">
        <f>IFERROR(VLOOKUP(C11,Purchased!A:E,3,FALSE),"")</f>
        <v>1828.075</v>
      </c>
      <c r="Q11" s="50">
        <f t="shared" ref="Q11:Q19" si="3">IFERROR(B11*P11,"")</f>
        <v>1828.075</v>
      </c>
    </row>
    <row r="12" spans="1:17" s="2" customFormat="1" ht="12" customHeight="1">
      <c r="A12" s="4">
        <f t="shared" ref="A12:A19" si="4">A11+1</f>
        <v>302</v>
      </c>
      <c r="B12" s="2">
        <v>1</v>
      </c>
      <c r="C12" s="114" t="s">
        <v>860</v>
      </c>
      <c r="D12" s="268" t="str">
        <f>VLOOKUP(C12,Purchased!A:B,2,0)</f>
        <v>Dorner Bottom Mount Pkg (Pre-Diverter)
2200 Series Standard Load 90 Degree bottom
mount package for a mid drive conveyor,
mounted in the D position, 28:28 pulley ratio.
Uncrated weight = 5lb (2kg).</v>
      </c>
      <c r="E12" s="269"/>
      <c r="F12" s="112" t="str">
        <f>VLOOKUP(C12,Purchased!A:Q,9,0)</f>
        <v>Dorner</v>
      </c>
      <c r="G12" s="112" t="str">
        <f>VLOOKUP(C12,Purchased!A:Q,10,0)</f>
        <v>AAP</v>
      </c>
      <c r="H12" s="112" t="str">
        <f>VLOOKUP(C12,Purchased!A:Q,12,0)</f>
        <v xml:space="preserve"> </v>
      </c>
      <c r="I12" s="113"/>
      <c r="J12" s="44" t="str">
        <f>VLOOKUP(C12,Purchased!A:Q,13,0)</f>
        <v>N/A</v>
      </c>
      <c r="K12" s="44">
        <f>VLOOKUP(C12,Purchased!A:Q,14,0)</f>
        <v>45085</v>
      </c>
      <c r="L12" s="44">
        <f>VLOOKUP(C12,Purchased!A:Q,15,0)</f>
        <v>45110</v>
      </c>
      <c r="M12" s="44">
        <f>VLOOKUP(C12,Purchased!A:Q,16,0)</f>
        <v>45110</v>
      </c>
      <c r="N12" s="45">
        <f>VLOOKUP(C12,Purchased!A:Q,17,0)</f>
        <v>54924</v>
      </c>
      <c r="O12" s="45" t="e">
        <f t="shared" ca="1" si="2"/>
        <v>#VALUE!</v>
      </c>
      <c r="P12" s="49">
        <f>IFERROR(VLOOKUP(C12,Purchased!A:E,3,FALSE),"")</f>
        <v>379.72500000000002</v>
      </c>
      <c r="Q12" s="50">
        <f t="shared" si="3"/>
        <v>379.72500000000002</v>
      </c>
    </row>
    <row r="13" spans="1:17" s="2" customFormat="1" ht="12" customHeight="1">
      <c r="A13" s="4">
        <f t="shared" si="4"/>
        <v>303</v>
      </c>
      <c r="B13" s="2">
        <v>1</v>
      </c>
      <c r="C13" s="114" t="s">
        <v>861</v>
      </c>
      <c r="D13" s="268" t="str">
        <f>VLOOKUP(C13,Purchased!A:B,2,0)</f>
        <v>Dorner Gear Motor (Pre-Diverter)
Standard load 90 Degree VFD Variable Speed
gearmotor, .38 Hp (.28kw), 230/460 volt, 43
RPM. Order variable speed controller separately.
Uncrated weight = 15lb (7kg).</v>
      </c>
      <c r="E13" s="269"/>
      <c r="F13" s="112" t="str">
        <f>VLOOKUP(C13,Purchased!A:Q,9,0)</f>
        <v>Dorner</v>
      </c>
      <c r="G13" s="112" t="str">
        <f>VLOOKUP(C13,Purchased!A:Q,10,0)</f>
        <v>AAP</v>
      </c>
      <c r="H13" s="112" t="str">
        <f>VLOOKUP(C13,Purchased!A:Q,12,0)</f>
        <v xml:space="preserve"> </v>
      </c>
      <c r="I13" s="113"/>
      <c r="J13" s="44" t="str">
        <f>VLOOKUP(C13,Purchased!A:Q,13,0)</f>
        <v>N/A</v>
      </c>
      <c r="K13" s="44">
        <f>VLOOKUP(C13,Purchased!A:Q,14,0)</f>
        <v>45085</v>
      </c>
      <c r="L13" s="44">
        <f>VLOOKUP(C13,Purchased!A:Q,15,0)</f>
        <v>45110</v>
      </c>
      <c r="M13" s="44">
        <f>VLOOKUP(C13,Purchased!A:Q,16,0)</f>
        <v>45110</v>
      </c>
      <c r="N13" s="45">
        <f>VLOOKUP(C13,Purchased!A:Q,17,0)</f>
        <v>54924</v>
      </c>
      <c r="O13" s="45" t="e">
        <f t="shared" ca="1" si="2"/>
        <v>#VALUE!</v>
      </c>
      <c r="P13" s="49">
        <f>IFERROR(VLOOKUP(C13,Purchased!A:E,3,FALSE),"")</f>
        <v>688</v>
      </c>
      <c r="Q13" s="50">
        <f t="shared" si="3"/>
        <v>688</v>
      </c>
    </row>
    <row r="14" spans="1:17" s="2" customFormat="1" ht="12" customHeight="1">
      <c r="A14" s="4">
        <f t="shared" si="4"/>
        <v>304</v>
      </c>
      <c r="B14" s="2">
        <v>8</v>
      </c>
      <c r="C14" s="114" t="s">
        <v>262</v>
      </c>
      <c r="D14" s="268" t="str">
        <f>VLOOKUP(C14,Purchased!A:B,2,0)</f>
        <v>BRX GOTO T-NUT 10 M6</v>
      </c>
      <c r="E14" s="269"/>
      <c r="F14" s="112" t="str">
        <f>VLOOKUP(C14,Purchased!A:Q,9,0)</f>
        <v>BRX</v>
      </c>
      <c r="G14" s="112" t="str">
        <f>VLOOKUP(C14,Purchased!A:Q,10,0)</f>
        <v>AAP</v>
      </c>
      <c r="H14" s="112" t="str">
        <f>VLOOKUP(C14,Purchased!A:Q,12,0)</f>
        <v xml:space="preserve">  </v>
      </c>
      <c r="I14" s="113"/>
      <c r="J14" s="44">
        <f>VLOOKUP(C14,Purchased!A:Q,13,0)</f>
        <v>45104</v>
      </c>
      <c r="K14" s="44">
        <f>VLOOKUP(C14,Purchased!A:Q,14,0)</f>
        <v>45105</v>
      </c>
      <c r="L14" s="44">
        <f>VLOOKUP(C14,Purchased!A:Q,15,0)</f>
        <v>45133</v>
      </c>
      <c r="M14" s="44">
        <f>VLOOKUP(C14,Purchased!A:Q,16,0)</f>
        <v>45133</v>
      </c>
      <c r="N14" s="45" t="str">
        <f>VLOOKUP(C14,Purchased!A:Q,17,0)</f>
        <v>54968, 55147, 55270</v>
      </c>
      <c r="O14" s="45" t="e">
        <f t="shared" ca="1" si="2"/>
        <v>#VALUE!</v>
      </c>
      <c r="P14" s="49">
        <f>IFERROR(VLOOKUP(C14,Purchased!A:E,3,FALSE),"")</f>
        <v>0.64290000000000003</v>
      </c>
      <c r="Q14" s="50">
        <f t="shared" si="3"/>
        <v>5.1432000000000002</v>
      </c>
    </row>
    <row r="15" spans="1:17" s="2" customFormat="1" ht="12" customHeight="1">
      <c r="A15" s="4">
        <f t="shared" si="4"/>
        <v>305</v>
      </c>
      <c r="B15" s="2">
        <v>4</v>
      </c>
      <c r="C15" s="114" t="s">
        <v>1228</v>
      </c>
      <c r="D15" s="268" t="str">
        <f>VLOOKUP(C15,Purchased!A:B,2,0)</f>
        <v>MCM 97310A113 Oversized Washer, M5, 15mm OD</v>
      </c>
      <c r="E15" s="269"/>
      <c r="F15" s="112" t="str">
        <f>VLOOKUP(C15,Purchased!A:Q,9,0)</f>
        <v>MCM</v>
      </c>
      <c r="G15" s="112" t="str">
        <f>VLOOKUP(C15,Purchased!A:Q,10,0)</f>
        <v>MCM</v>
      </c>
      <c r="H15" s="112" t="str">
        <f>VLOOKUP(C15,Purchased!A:Q,12,0)</f>
        <v xml:space="preserve"> </v>
      </c>
      <c r="I15" s="113"/>
      <c r="J15" s="44" t="str">
        <f>VLOOKUP(C15,Purchased!A:Q,13,0)</f>
        <v>N/A</v>
      </c>
      <c r="K15" s="44">
        <f>VLOOKUP(C15,Purchased!A:Q,14,0)</f>
        <v>45162</v>
      </c>
      <c r="L15" s="44">
        <f>VLOOKUP(C15,Purchased!A:Q,15,0)</f>
        <v>45184</v>
      </c>
      <c r="M15" s="44">
        <f>VLOOKUP(C15,Purchased!A:Q,16,0)</f>
        <v>45163</v>
      </c>
      <c r="N15" s="45">
        <f>VLOOKUP(C15,Purchased!A:Q,17,0)</f>
        <v>55089</v>
      </c>
      <c r="O15" s="45" t="e">
        <f t="shared" ca="1" si="2"/>
        <v>#VALUE!</v>
      </c>
      <c r="P15" s="49">
        <f>IFERROR(VLOOKUP(C15,Purchased!A:E,3,FALSE),"")</f>
        <v>6.85</v>
      </c>
      <c r="Q15" s="50">
        <f t="shared" si="3"/>
        <v>27.4</v>
      </c>
    </row>
    <row r="16" spans="1:17" s="2" customFormat="1" ht="12" customHeight="1">
      <c r="A16" s="4">
        <f t="shared" si="4"/>
        <v>306</v>
      </c>
      <c r="B16" s="2">
        <v>4</v>
      </c>
      <c r="C16" s="114" t="s">
        <v>1227</v>
      </c>
      <c r="D16" s="268" t="str">
        <f>VLOOKUP(C16,Purchased!A:B,2,0)</f>
        <v>MCM 94669A171 Al Unthreaded Spacer, M5, 13mm OD, 8mm L</v>
      </c>
      <c r="E16" s="269"/>
      <c r="F16" s="112" t="str">
        <f>VLOOKUP(C16,Purchased!A:Q,9,0)</f>
        <v>MCM</v>
      </c>
      <c r="G16" s="112" t="str">
        <f>VLOOKUP(C16,Purchased!A:Q,10,0)</f>
        <v>MCM</v>
      </c>
      <c r="H16" s="112" t="str">
        <f>VLOOKUP(C16,Purchased!A:Q,12,0)</f>
        <v xml:space="preserve"> </v>
      </c>
      <c r="I16" s="113"/>
      <c r="J16" s="44" t="str">
        <f>VLOOKUP(C16,Purchased!A:Q,13,0)</f>
        <v>N/A</v>
      </c>
      <c r="K16" s="44">
        <f>VLOOKUP(C16,Purchased!A:Q,14,0)</f>
        <v>45162</v>
      </c>
      <c r="L16" s="44">
        <f>VLOOKUP(C16,Purchased!A:Q,15,0)</f>
        <v>45184</v>
      </c>
      <c r="M16" s="44">
        <f>VLOOKUP(C16,Purchased!A:Q,16,0)</f>
        <v>45163</v>
      </c>
      <c r="N16" s="45">
        <f>VLOOKUP(C16,Purchased!A:Q,17,0)</f>
        <v>55089</v>
      </c>
      <c r="O16" s="45" t="e">
        <f t="shared" ca="1" si="2"/>
        <v>#VALUE!</v>
      </c>
      <c r="P16" s="49">
        <f>IFERROR(VLOOKUP(C16,Purchased!A:E,3,FALSE),"")</f>
        <v>1.1100000000000001</v>
      </c>
      <c r="Q16" s="50">
        <f t="shared" si="3"/>
        <v>4.4400000000000004</v>
      </c>
    </row>
    <row r="17" spans="1:17" s="2" customFormat="1" ht="12" customHeight="1">
      <c r="A17" s="4">
        <f t="shared" si="4"/>
        <v>307</v>
      </c>
      <c r="B17" s="2">
        <v>4</v>
      </c>
      <c r="C17" s="114" t="s">
        <v>1244</v>
      </c>
      <c r="D17" s="268" t="str">
        <f>VLOOKUP(C17,Purchased!A:B,2,0)</f>
        <v>ELESA ERX.30 p-M5x20-C1</v>
      </c>
      <c r="E17" s="269"/>
      <c r="F17" s="112" t="str">
        <f>VLOOKUP(C17,Purchased!A:Q,9,0)</f>
        <v>ELESA</v>
      </c>
      <c r="G17" s="112" t="str">
        <f>VLOOKUP(C17,Purchased!A:Q,10,0)</f>
        <v>ELESA</v>
      </c>
      <c r="H17" s="112" t="str">
        <f>VLOOKUP(C17,Purchased!A:Q,12,0)</f>
        <v xml:space="preserve"> </v>
      </c>
      <c r="I17" s="113"/>
      <c r="J17" s="44" t="str">
        <f>VLOOKUP(C17,Purchased!A:Q,13,0)</f>
        <v>N/A</v>
      </c>
      <c r="K17" s="44">
        <f>VLOOKUP(C17,Purchased!A:Q,14,0)</f>
        <v>45162</v>
      </c>
      <c r="L17" s="44">
        <f>VLOOKUP(C17,Purchased!A:Q,15,0)</f>
        <v>45184</v>
      </c>
      <c r="M17" s="44">
        <f>VLOOKUP(C17,Purchased!A:Q,16,0)</f>
        <v>45184</v>
      </c>
      <c r="N17" s="45">
        <f>VLOOKUP(C17,Purchased!A:Q,17,0)</f>
        <v>55075</v>
      </c>
      <c r="O17" s="45" t="e">
        <f t="shared" ca="1" si="2"/>
        <v>#VALUE!</v>
      </c>
      <c r="P17" s="49">
        <f>IFERROR(VLOOKUP(C17,Purchased!A:E,3,FALSE),"")</f>
        <v>1.89</v>
      </c>
      <c r="Q17" s="50">
        <f t="shared" si="3"/>
        <v>7.56</v>
      </c>
    </row>
    <row r="18" spans="1:17" s="2" customFormat="1" ht="12" customHeight="1">
      <c r="A18" s="4">
        <f t="shared" si="4"/>
        <v>308</v>
      </c>
      <c r="B18" s="2">
        <v>4</v>
      </c>
      <c r="C18" s="114" t="s">
        <v>844</v>
      </c>
      <c r="D18" s="268" t="str">
        <f>VLOOKUP(C18,Purchased!A:B,2,0)</f>
        <v>DORNER 300150M M6x1.0 T-Bar</v>
      </c>
      <c r="E18" s="269"/>
      <c r="F18" s="112" t="str">
        <f>VLOOKUP(C18,Purchased!A:Q,9,0)</f>
        <v>DORNER</v>
      </c>
      <c r="G18" s="112" t="str">
        <f>VLOOKUP(C18,Purchased!A:Q,10,0)</f>
        <v>AAP</v>
      </c>
      <c r="H18" s="112" t="str">
        <f>VLOOKUP(C18,Purchased!A:Q,12,0)</f>
        <v xml:space="preserve"> </v>
      </c>
      <c r="I18" s="113"/>
      <c r="J18" s="44" t="str">
        <f>VLOOKUP(C18,Purchased!A:Q,13,0)</f>
        <v>N/A</v>
      </c>
      <c r="K18" s="44">
        <f>VLOOKUP(C18,Purchased!A:Q,14,0)</f>
        <v>45162</v>
      </c>
      <c r="L18" s="44">
        <f>VLOOKUP(C18,Purchased!A:Q,15,0)</f>
        <v>45184</v>
      </c>
      <c r="M18" s="44">
        <f>VLOOKUP(C18,Purchased!A:Q,16,0)</f>
        <v>45197</v>
      </c>
      <c r="N18" s="45">
        <f>VLOOKUP(C18,Purchased!A:Q,17,0)</f>
        <v>55073</v>
      </c>
      <c r="O18" s="45" t="e">
        <f t="shared" ca="1" si="2"/>
        <v>#VALUE!</v>
      </c>
      <c r="P18" s="49">
        <f>IFERROR(VLOOKUP(C18,Purchased!A:E,3,FALSE),"")</f>
        <v>9.8908000000000005</v>
      </c>
      <c r="Q18" s="50">
        <f t="shared" si="3"/>
        <v>39.563200000000002</v>
      </c>
    </row>
    <row r="19" spans="1:17" s="2" customFormat="1" ht="12" customHeight="1">
      <c r="A19" s="4">
        <f t="shared" si="4"/>
        <v>309</v>
      </c>
      <c r="B19" s="2">
        <v>4</v>
      </c>
      <c r="C19" s="114" t="s">
        <v>851</v>
      </c>
      <c r="D19" s="268" t="str">
        <f>VLOOKUP(C19,Purchased!A:B,2,0)</f>
        <v>DORNER M6 TWIST-IN T-NUT</v>
      </c>
      <c r="E19" s="269"/>
      <c r="F19" s="112" t="str">
        <f>VLOOKUP(C19,Purchased!A:Q,9,0)</f>
        <v>DORNER</v>
      </c>
      <c r="G19" s="112" t="str">
        <f>VLOOKUP(C19,Purchased!A:Q,10,0)</f>
        <v>AAP</v>
      </c>
      <c r="H19" s="112" t="str">
        <f>VLOOKUP(C19,Purchased!A:Q,12,0)</f>
        <v>50 IN NULINE STOCK</v>
      </c>
      <c r="I19" s="113"/>
      <c r="J19" s="44" t="str">
        <f>VLOOKUP(C19,Purchased!A:Q,13,0)</f>
        <v>N/A</v>
      </c>
      <c r="K19" s="44" t="str">
        <f>VLOOKUP(C19,Purchased!A:Q,14,0)</f>
        <v>N/A</v>
      </c>
      <c r="L19" s="44" t="str">
        <f>VLOOKUP(C19,Purchased!A:Q,15,0)</f>
        <v>N/A</v>
      </c>
      <c r="M19" s="44" t="str">
        <f>VLOOKUP(C19,Purchased!A:Q,16,0)</f>
        <v>N/A</v>
      </c>
      <c r="N19" s="45" t="str">
        <f>VLOOKUP(C19,Purchased!A:Q,17,0)</f>
        <v>N/A</v>
      </c>
      <c r="O19" s="45" t="e">
        <f t="shared" ca="1" si="2"/>
        <v>#VALUE!</v>
      </c>
      <c r="P19" s="49">
        <f>IFERROR(VLOOKUP(C19,Purchased!A:E,3,FALSE),"")</f>
        <v>0</v>
      </c>
      <c r="Q19" s="50">
        <f t="shared" si="3"/>
        <v>0</v>
      </c>
    </row>
    <row r="20" spans="1:17" s="2" customFormat="1" ht="12.75" customHeight="1">
      <c r="A20" s="25"/>
      <c r="B20" s="26"/>
      <c r="C20" s="26"/>
      <c r="D20" s="272"/>
      <c r="E20" s="273"/>
      <c r="F20" s="26"/>
      <c r="G20" s="26"/>
      <c r="H20" s="274"/>
      <c r="I20" s="275"/>
      <c r="J20" s="27"/>
      <c r="K20" s="27"/>
      <c r="L20" s="27"/>
      <c r="M20" s="28"/>
      <c r="N20" s="29"/>
      <c r="O20" s="29" t="e">
        <f t="shared" ca="1" si="2"/>
        <v>#VALUE!</v>
      </c>
      <c r="P20" s="141"/>
      <c r="Q20" s="142"/>
    </row>
    <row r="21" spans="1:17" s="2" customFormat="1" ht="12.75" customHeight="1">
      <c r="A21" s="4">
        <v>501</v>
      </c>
      <c r="B21" s="2">
        <v>8</v>
      </c>
      <c r="C21" s="110" t="s">
        <v>287</v>
      </c>
      <c r="D21" s="268"/>
      <c r="E21" s="276"/>
      <c r="F21" s="112" t="str">
        <f>VLOOKUP(C21,Bolts!A:L,5,0)</f>
        <v xml:space="preserve">  </v>
      </c>
      <c r="G21" s="112" t="str">
        <f>VLOOKUP(C21,Bolts!A:L,6,0)</f>
        <v>Monroe Fasteners</v>
      </c>
      <c r="H21" s="112" t="str">
        <f>VLOOKUP(C21,Bolts!A:L,7,0)</f>
        <v xml:space="preserve">  </v>
      </c>
      <c r="I21" s="112"/>
      <c r="J21" s="44" t="str">
        <f>VLOOKUP(C21,Bolts!A:L,8,0)</f>
        <v xml:space="preserve"> </v>
      </c>
      <c r="K21" s="44" t="str">
        <f>VLOOKUP(C21,Bolts!A:L,9,0)</f>
        <v xml:space="preserve"> </v>
      </c>
      <c r="L21" s="44" t="str">
        <f>VLOOKUP(C21,Bolts!A:L,10,0)</f>
        <v xml:space="preserve"> </v>
      </c>
      <c r="M21" s="44" t="str">
        <f>VLOOKUP(C21,Bolts!A:L,11,0)</f>
        <v xml:space="preserve"> </v>
      </c>
      <c r="N21" s="45" t="str">
        <f>VLOOKUP(C21,Bolts!A:L,12,0)</f>
        <v xml:space="preserve"> </v>
      </c>
      <c r="O21" s="45" t="e">
        <f t="shared" ca="1" si="2"/>
        <v>#VALUE!</v>
      </c>
      <c r="P21" s="49" t="str">
        <f>IFERROR(VLOOKUP(C21,Bolts!A:B,2,FALSE),"")</f>
        <v xml:space="preserve"> </v>
      </c>
      <c r="Q21" s="50" t="str">
        <f t="shared" ref="Q21:Q25" si="5">IFERROR(B21*P21,"")</f>
        <v/>
      </c>
    </row>
    <row r="22" spans="1:17" s="2" customFormat="1" ht="12.75" customHeight="1">
      <c r="A22" s="4">
        <f t="shared" ref="A22:A25" si="6">A21+1</f>
        <v>502</v>
      </c>
      <c r="B22" s="2">
        <v>8</v>
      </c>
      <c r="C22" s="110" t="s">
        <v>699</v>
      </c>
      <c r="D22" s="268"/>
      <c r="E22" s="276"/>
      <c r="F22" s="112" t="str">
        <f>VLOOKUP(C22,Bolts!A:L,5,0)</f>
        <v xml:space="preserve">  </v>
      </c>
      <c r="G22" s="112" t="str">
        <f>VLOOKUP(C22,Bolts!A:L,6,0)</f>
        <v>Monroe Fasteners</v>
      </c>
      <c r="H22" s="112" t="str">
        <f>VLOOKUP(C22,Bolts!A:L,7,0)</f>
        <v xml:space="preserve">  </v>
      </c>
      <c r="I22" s="112"/>
      <c r="J22" s="44" t="str">
        <f>VLOOKUP(C22,Bolts!A:L,8,0)</f>
        <v xml:space="preserve"> </v>
      </c>
      <c r="K22" s="44" t="str">
        <f>VLOOKUP(C22,Bolts!A:L,9,0)</f>
        <v xml:space="preserve"> </v>
      </c>
      <c r="L22" s="44" t="str">
        <f>VLOOKUP(C22,Bolts!A:L,10,0)</f>
        <v xml:space="preserve"> </v>
      </c>
      <c r="M22" s="44" t="str">
        <f>VLOOKUP(C22,Bolts!A:L,11,0)</f>
        <v xml:space="preserve"> </v>
      </c>
      <c r="N22" s="45" t="str">
        <f>VLOOKUP(C22,Bolts!A:L,12,0)</f>
        <v xml:space="preserve"> </v>
      </c>
      <c r="O22" s="45" t="e">
        <f t="shared" ca="1" si="2"/>
        <v>#VALUE!</v>
      </c>
      <c r="P22" s="49" t="str">
        <f>IFERROR(VLOOKUP(C22,Bolts!A:B,2,FALSE),"")</f>
        <v xml:space="preserve"> </v>
      </c>
      <c r="Q22" s="50" t="str">
        <f t="shared" si="5"/>
        <v/>
      </c>
    </row>
    <row r="23" spans="1:17" s="2" customFormat="1" ht="12" customHeight="1">
      <c r="A23" s="4">
        <f t="shared" si="6"/>
        <v>503</v>
      </c>
      <c r="B23" s="2">
        <v>8</v>
      </c>
      <c r="C23" s="110" t="s">
        <v>344</v>
      </c>
      <c r="D23" s="268"/>
      <c r="E23" s="276"/>
      <c r="F23" s="112" t="str">
        <f>VLOOKUP(C23,Bolts!A:L,5,0)</f>
        <v xml:space="preserve">  </v>
      </c>
      <c r="G23" s="112" t="str">
        <f>VLOOKUP(C23,Bolts!A:L,6,0)</f>
        <v>Monroe Fasteners</v>
      </c>
      <c r="H23" s="112" t="str">
        <f>VLOOKUP(C23,Bolts!A:L,7,0)</f>
        <v xml:space="preserve">  </v>
      </c>
      <c r="I23" s="112"/>
      <c r="J23" s="44" t="str">
        <f>VLOOKUP(C23,Bolts!A:L,8,0)</f>
        <v xml:space="preserve"> </v>
      </c>
      <c r="K23" s="44" t="str">
        <f>VLOOKUP(C23,Bolts!A:L,9,0)</f>
        <v xml:space="preserve"> </v>
      </c>
      <c r="L23" s="44" t="str">
        <f>VLOOKUP(C23,Bolts!A:L,10,0)</f>
        <v xml:space="preserve"> </v>
      </c>
      <c r="M23" s="44" t="str">
        <f>VLOOKUP(C23,Bolts!A:L,11,0)</f>
        <v xml:space="preserve"> </v>
      </c>
      <c r="N23" s="45" t="str">
        <f>VLOOKUP(C23,Bolts!A:L,12,0)</f>
        <v xml:space="preserve"> </v>
      </c>
      <c r="O23" s="45" t="e">
        <f t="shared" ca="1" si="2"/>
        <v>#VALUE!</v>
      </c>
      <c r="P23" s="49" t="str">
        <f>IFERROR(VLOOKUP(C23,Bolts!A:B,2,FALSE),"")</f>
        <v xml:space="preserve"> </v>
      </c>
      <c r="Q23" s="50" t="str">
        <f t="shared" si="5"/>
        <v/>
      </c>
    </row>
    <row r="24" spans="1:17" s="2" customFormat="1" ht="12" customHeight="1">
      <c r="A24" s="4">
        <f t="shared" si="6"/>
        <v>504</v>
      </c>
      <c r="B24" s="2">
        <v>12</v>
      </c>
      <c r="C24" s="110" t="s">
        <v>278</v>
      </c>
      <c r="D24" s="268"/>
      <c r="E24" s="276"/>
      <c r="F24" s="112" t="str">
        <f>VLOOKUP(C24,Bolts!A:L,5,0)</f>
        <v xml:space="preserve">  </v>
      </c>
      <c r="G24" s="112" t="str">
        <f>VLOOKUP(C24,Bolts!A:L,6,0)</f>
        <v>Monroe Fasteners</v>
      </c>
      <c r="H24" s="112" t="str">
        <f>VLOOKUP(C24,Bolts!A:L,7,0)</f>
        <v xml:space="preserve">  </v>
      </c>
      <c r="I24" s="112"/>
      <c r="J24" s="44" t="str">
        <f>VLOOKUP(C24,Bolts!A:L,8,0)</f>
        <v xml:space="preserve"> </v>
      </c>
      <c r="K24" s="44" t="str">
        <f>VLOOKUP(C24,Bolts!A:L,9,0)</f>
        <v xml:space="preserve"> </v>
      </c>
      <c r="L24" s="44" t="str">
        <f>VLOOKUP(C24,Bolts!A:L,10,0)</f>
        <v xml:space="preserve"> </v>
      </c>
      <c r="M24" s="44" t="str">
        <f>VLOOKUP(C24,Bolts!A:L,11,0)</f>
        <v xml:space="preserve"> </v>
      </c>
      <c r="N24" s="45" t="str">
        <f>VLOOKUP(C24,Bolts!A:L,12,0)</f>
        <v xml:space="preserve"> </v>
      </c>
      <c r="O24" s="45" t="e">
        <f t="shared" ca="1" si="2"/>
        <v>#VALUE!</v>
      </c>
      <c r="P24" s="49" t="str">
        <f>IFERROR(VLOOKUP(C24,Bolts!A:B,2,FALSE),"")</f>
        <v xml:space="preserve"> </v>
      </c>
      <c r="Q24" s="50" t="str">
        <f t="shared" si="5"/>
        <v/>
      </c>
    </row>
    <row r="25" spans="1:17" s="2" customFormat="1" ht="12" customHeight="1" thickBot="1">
      <c r="A25" s="4">
        <f t="shared" si="6"/>
        <v>505</v>
      </c>
      <c r="B25" s="2">
        <v>8</v>
      </c>
      <c r="C25" s="110" t="s">
        <v>289</v>
      </c>
      <c r="D25" s="268"/>
      <c r="E25" s="276"/>
      <c r="F25" s="112" t="str">
        <f>VLOOKUP(C25,Bolts!A:L,5,0)</f>
        <v xml:space="preserve">  </v>
      </c>
      <c r="G25" s="112" t="str">
        <f>VLOOKUP(C25,Bolts!A:L,6,0)</f>
        <v>Monroe Fasteners</v>
      </c>
      <c r="H25" s="112" t="str">
        <f>VLOOKUP(C25,Bolts!A:L,7,0)</f>
        <v xml:space="preserve">  </v>
      </c>
      <c r="I25" s="112"/>
      <c r="J25" s="44" t="str">
        <f>VLOOKUP(C25,Bolts!A:L,8,0)</f>
        <v xml:space="preserve"> </v>
      </c>
      <c r="K25" s="44" t="str">
        <f>VLOOKUP(C25,Bolts!A:L,9,0)</f>
        <v xml:space="preserve"> </v>
      </c>
      <c r="L25" s="44" t="str">
        <f>VLOOKUP(C25,Bolts!A:L,10,0)</f>
        <v xml:space="preserve"> </v>
      </c>
      <c r="M25" s="44" t="str">
        <f>VLOOKUP(C25,Bolts!A:L,11,0)</f>
        <v xml:space="preserve"> </v>
      </c>
      <c r="N25" s="45" t="str">
        <f>VLOOKUP(C25,Bolts!A:L,12,0)</f>
        <v xml:space="preserve"> </v>
      </c>
      <c r="O25" s="45" t="e">
        <f t="shared" ca="1" si="2"/>
        <v>#VALUE!</v>
      </c>
      <c r="P25" s="49" t="str">
        <f>IFERROR(VLOOKUP(C25,Bolts!A:B,2,FALSE),"")</f>
        <v xml:space="preserve"> </v>
      </c>
      <c r="Q25" s="50" t="str">
        <f t="shared" si="5"/>
        <v/>
      </c>
    </row>
    <row r="26" spans="1:17" s="2" customFormat="1" ht="12.75" customHeight="1" thickBot="1">
      <c r="A26" s="34"/>
      <c r="B26" s="35"/>
      <c r="C26" s="35"/>
      <c r="D26" s="256"/>
      <c r="E26" s="257"/>
      <c r="F26" s="35"/>
      <c r="G26" s="35"/>
      <c r="H26" s="294"/>
      <c r="I26" s="295"/>
      <c r="J26" s="36"/>
      <c r="K26" s="36"/>
      <c r="L26" s="36"/>
      <c r="M26" s="37"/>
      <c r="N26" s="38"/>
      <c r="O26" s="38"/>
      <c r="P26" s="89" t="s">
        <v>43</v>
      </c>
      <c r="Q26" s="94">
        <f>SUM(Q5:Q25)</f>
        <v>3586.3864000000003</v>
      </c>
    </row>
    <row r="27" spans="1:17" s="2" customFormat="1" ht="12" customHeight="1">
      <c r="D27" s="22"/>
      <c r="E27" s="22"/>
      <c r="J27" s="8"/>
      <c r="K27" s="8"/>
      <c r="L27" s="8"/>
      <c r="M27" s="8"/>
      <c r="N27" s="5"/>
      <c r="O27" s="5"/>
      <c r="P27" s="88"/>
      <c r="Q27" s="95"/>
    </row>
    <row r="28" spans="1:17" s="2" customFormat="1" ht="12" customHeight="1">
      <c r="D28" s="22"/>
      <c r="E28" s="22"/>
      <c r="J28" s="5"/>
      <c r="K28" s="5"/>
      <c r="L28" s="5"/>
      <c r="M28" s="5"/>
      <c r="N28" s="5"/>
      <c r="O28" s="5"/>
      <c r="P28" s="88"/>
      <c r="Q28" s="95"/>
    </row>
    <row r="29" spans="1:17" s="2" customFormat="1" ht="12" customHeight="1">
      <c r="A29" s="22"/>
      <c r="B29" s="22"/>
      <c r="G29" s="5"/>
      <c r="H29" s="5"/>
      <c r="I29" s="5"/>
      <c r="J29" s="5"/>
      <c r="K29" s="5"/>
      <c r="L29" s="5"/>
      <c r="M29" s="88"/>
      <c r="N29" s="95"/>
    </row>
    <row r="30" spans="1:17" s="2" customFormat="1" ht="12" customHeight="1">
      <c r="E30" s="5"/>
      <c r="F30" s="5"/>
      <c r="G30" s="5"/>
      <c r="H30" s="5"/>
      <c r="I30" s="5"/>
      <c r="J30" s="5"/>
      <c r="K30" s="88"/>
      <c r="L30" s="95"/>
    </row>
    <row r="31" spans="1:17" s="2" customFormat="1" ht="12" customHeight="1">
      <c r="A31" s="22"/>
      <c r="B31" s="22"/>
      <c r="G31" s="5"/>
      <c r="H31" s="5"/>
      <c r="I31" s="5"/>
      <c r="J31" s="5"/>
      <c r="K31" s="5"/>
      <c r="L31" s="5"/>
      <c r="M31" s="88"/>
      <c r="N31" s="95"/>
    </row>
    <row r="32" spans="1:17" s="2" customFormat="1" ht="12" customHeight="1">
      <c r="A32" s="22"/>
      <c r="B32" s="22"/>
      <c r="G32" s="5"/>
      <c r="H32" s="5"/>
      <c r="I32" s="5"/>
      <c r="J32" s="5"/>
      <c r="K32" s="5"/>
      <c r="L32" s="5"/>
      <c r="M32" s="88"/>
      <c r="N32" s="95"/>
    </row>
    <row r="33" spans="1:17" s="2" customFormat="1" ht="12" customHeight="1">
      <c r="A33" s="22"/>
      <c r="B33" s="22"/>
      <c r="G33" s="5"/>
      <c r="H33" s="5"/>
      <c r="I33" s="5"/>
      <c r="J33" s="5"/>
      <c r="K33" s="5"/>
      <c r="L33" s="5"/>
      <c r="M33" s="88"/>
      <c r="N33" s="95"/>
    </row>
    <row r="34" spans="1:17" s="2" customFormat="1" ht="12" customHeight="1">
      <c r="A34" s="22"/>
      <c r="B34" s="22"/>
      <c r="G34" s="5"/>
      <c r="H34" s="5"/>
      <c r="I34" s="5"/>
      <c r="J34" s="5"/>
      <c r="K34" s="5"/>
      <c r="L34" s="5"/>
      <c r="M34" s="88"/>
      <c r="N34" s="95"/>
    </row>
    <row r="35" spans="1:17" s="2" customFormat="1" ht="12" customHeight="1">
      <c r="A35" s="22"/>
      <c r="B35" s="22"/>
      <c r="G35" s="5"/>
      <c r="H35" s="5"/>
      <c r="I35" s="5"/>
      <c r="J35" s="5"/>
      <c r="K35" s="5"/>
      <c r="L35" s="5"/>
      <c r="M35" s="88"/>
      <c r="N35" s="95"/>
    </row>
    <row r="36" spans="1:17" s="2" customFormat="1" ht="12" customHeight="1">
      <c r="A36" s="22"/>
      <c r="B36" s="22"/>
      <c r="G36" s="5"/>
      <c r="H36" s="5"/>
      <c r="I36" s="5"/>
      <c r="J36" s="5"/>
      <c r="K36" s="5"/>
      <c r="L36" s="5"/>
      <c r="M36" s="88"/>
      <c r="N36" s="95"/>
    </row>
    <row r="37" spans="1:17" s="2" customFormat="1" ht="12" customHeight="1">
      <c r="A37" s="22"/>
      <c r="B37" s="22"/>
      <c r="G37" s="5"/>
      <c r="H37" s="5"/>
      <c r="I37" s="5"/>
      <c r="J37" s="5"/>
      <c r="K37" s="5"/>
      <c r="L37" s="5"/>
      <c r="M37" s="88"/>
      <c r="N37" s="95"/>
    </row>
    <row r="38" spans="1:17" s="2" customFormat="1" ht="12" customHeight="1">
      <c r="A38" s="22"/>
      <c r="B38" s="22"/>
      <c r="G38" s="5"/>
      <c r="H38" s="5"/>
      <c r="I38" s="5"/>
      <c r="J38" s="5"/>
      <c r="K38" s="5"/>
      <c r="L38" s="5"/>
      <c r="M38" s="88"/>
      <c r="N38" s="95"/>
    </row>
    <row r="39" spans="1:17" s="2" customFormat="1" ht="12" customHeight="1">
      <c r="A39" s="22"/>
      <c r="B39" s="22"/>
      <c r="G39" s="5"/>
      <c r="H39" s="5"/>
      <c r="I39" s="5"/>
      <c r="J39" s="5"/>
      <c r="K39" s="5"/>
      <c r="L39" s="5"/>
      <c r="M39" s="88"/>
      <c r="N39" s="95"/>
    </row>
    <row r="40" spans="1:17" s="2" customFormat="1" ht="12" customHeight="1">
      <c r="A40" s="22"/>
      <c r="B40" s="22"/>
      <c r="G40" s="5"/>
      <c r="H40" s="5"/>
      <c r="I40" s="5"/>
      <c r="J40" s="5"/>
      <c r="K40" s="5"/>
      <c r="L40" s="5"/>
      <c r="M40" s="88"/>
      <c r="N40" s="95"/>
    </row>
    <row r="41" spans="1:17" s="2" customFormat="1" ht="12" customHeight="1">
      <c r="A41" s="22"/>
      <c r="B41" s="22"/>
      <c r="G41" s="5"/>
      <c r="H41" s="5"/>
      <c r="I41" s="5"/>
      <c r="J41" s="5"/>
      <c r="K41" s="5"/>
      <c r="L41" s="5"/>
      <c r="M41" s="88"/>
      <c r="N41" s="95"/>
    </row>
    <row r="42" spans="1:17" s="2" customFormat="1" ht="12" customHeight="1">
      <c r="A42" s="22"/>
      <c r="B42" s="22"/>
      <c r="G42" s="5"/>
      <c r="H42" s="5"/>
      <c r="I42" s="5"/>
      <c r="J42" s="5"/>
      <c r="K42" s="5"/>
      <c r="L42" s="5"/>
      <c r="M42" s="88"/>
      <c r="N42" s="95"/>
    </row>
    <row r="43" spans="1:17" s="2" customFormat="1" ht="12" customHeight="1">
      <c r="A43" s="22"/>
      <c r="B43" s="22"/>
      <c r="G43" s="5"/>
      <c r="H43" s="5"/>
      <c r="I43" s="5"/>
      <c r="J43" s="5"/>
      <c r="K43" s="5"/>
      <c r="L43" s="5"/>
      <c r="M43" s="88"/>
      <c r="N43" s="95"/>
    </row>
    <row r="44" spans="1:17" s="2" customFormat="1" ht="12" customHeight="1">
      <c r="A44" s="22"/>
      <c r="B44" s="22"/>
      <c r="G44" s="5"/>
      <c r="H44" s="5"/>
      <c r="I44" s="5"/>
      <c r="J44" s="5"/>
      <c r="K44" s="5"/>
      <c r="L44" s="5"/>
      <c r="M44" s="88"/>
      <c r="N44" s="95"/>
    </row>
    <row r="45" spans="1:17" s="2" customFormat="1" ht="12" customHeight="1">
      <c r="A45" s="22"/>
      <c r="B45" s="22"/>
      <c r="G45" s="5"/>
      <c r="H45" s="5"/>
      <c r="I45" s="5"/>
      <c r="J45" s="5"/>
      <c r="K45" s="5"/>
      <c r="L45" s="5"/>
      <c r="M45" s="88"/>
      <c r="N45" s="95"/>
    </row>
    <row r="46" spans="1:17" s="2" customFormat="1" ht="12" customHeight="1">
      <c r="A46" s="22"/>
      <c r="B46" s="22"/>
      <c r="G46" s="5"/>
      <c r="H46" s="5"/>
      <c r="I46" s="5"/>
      <c r="J46" s="5"/>
      <c r="K46" s="5"/>
      <c r="L46" s="5"/>
      <c r="M46" s="88"/>
      <c r="N46" s="95"/>
    </row>
    <row r="47" spans="1:17" s="2" customFormat="1" ht="12" customHeight="1">
      <c r="D47" s="22"/>
      <c r="E47" s="22"/>
      <c r="J47" s="5"/>
      <c r="K47" s="5"/>
      <c r="L47" s="5"/>
      <c r="M47" s="5"/>
      <c r="N47" s="5"/>
      <c r="O47" s="5"/>
      <c r="P47" s="88"/>
      <c r="Q47" s="95"/>
    </row>
    <row r="48" spans="1:17" s="2" customFormat="1" ht="12" customHeight="1">
      <c r="D48" s="22"/>
      <c r="E48" s="22"/>
      <c r="J48" s="5"/>
      <c r="K48" s="5"/>
      <c r="L48" s="5"/>
      <c r="M48" s="5"/>
      <c r="N48" s="5"/>
      <c r="O48" s="5"/>
      <c r="P48" s="88"/>
      <c r="Q48" s="95"/>
    </row>
    <row r="49" spans="4:17" s="2" customFormat="1" ht="12" customHeight="1">
      <c r="D49" s="22"/>
      <c r="E49" s="22"/>
      <c r="J49" s="5"/>
      <c r="K49" s="5"/>
      <c r="L49" s="5"/>
      <c r="M49" s="5"/>
      <c r="N49" s="5"/>
      <c r="O49" s="5"/>
      <c r="P49" s="88"/>
      <c r="Q49" s="95"/>
    </row>
    <row r="50" spans="4:17" s="2" customFormat="1" ht="12" customHeight="1">
      <c r="D50" s="22"/>
      <c r="E50" s="22"/>
      <c r="J50" s="5"/>
      <c r="K50" s="5"/>
      <c r="L50" s="5"/>
      <c r="M50" s="5"/>
      <c r="N50" s="5"/>
      <c r="O50" s="5"/>
      <c r="P50" s="88"/>
      <c r="Q50" s="95"/>
    </row>
    <row r="51" spans="4:17" s="2" customFormat="1" ht="12" customHeight="1">
      <c r="D51" s="22"/>
      <c r="E51" s="22"/>
      <c r="J51" s="5"/>
      <c r="K51" s="5"/>
      <c r="L51" s="5"/>
      <c r="M51" s="5"/>
      <c r="N51" s="5"/>
      <c r="O51" s="5"/>
      <c r="P51" s="88"/>
      <c r="Q51" s="95"/>
    </row>
    <row r="52" spans="4:17" s="2" customFormat="1" ht="12" customHeight="1">
      <c r="D52" s="22"/>
      <c r="E52" s="22"/>
      <c r="J52" s="5"/>
      <c r="K52" s="5"/>
      <c r="L52" s="5"/>
      <c r="M52" s="5"/>
      <c r="N52" s="5"/>
      <c r="O52" s="5"/>
      <c r="P52" s="88"/>
      <c r="Q52" s="95"/>
    </row>
    <row r="53" spans="4:17" s="2" customFormat="1" ht="12" customHeight="1">
      <c r="D53" s="22"/>
      <c r="E53" s="22"/>
      <c r="J53" s="5"/>
      <c r="K53" s="5"/>
      <c r="L53" s="5"/>
      <c r="M53" s="5"/>
      <c r="N53" s="5"/>
      <c r="O53" s="5"/>
      <c r="P53" s="88"/>
      <c r="Q53" s="95"/>
    </row>
    <row r="54" spans="4:17" s="2" customFormat="1" ht="12" customHeight="1">
      <c r="D54" s="22"/>
      <c r="E54" s="22"/>
      <c r="J54" s="5"/>
      <c r="K54" s="5"/>
      <c r="L54" s="5"/>
      <c r="M54" s="5"/>
      <c r="N54" s="5"/>
      <c r="O54" s="5"/>
      <c r="P54" s="88"/>
      <c r="Q54" s="95"/>
    </row>
    <row r="55" spans="4:17" s="2" customFormat="1" ht="12" customHeight="1">
      <c r="D55" s="22"/>
      <c r="E55" s="22"/>
      <c r="J55" s="5"/>
      <c r="K55" s="5"/>
      <c r="L55" s="5"/>
      <c r="M55" s="5"/>
      <c r="N55" s="5"/>
      <c r="O55" s="5"/>
      <c r="P55" s="88"/>
      <c r="Q55" s="95"/>
    </row>
    <row r="56" spans="4:17" s="2" customFormat="1" ht="12" customHeight="1">
      <c r="D56" s="22"/>
      <c r="E56" s="22"/>
      <c r="J56" s="5"/>
      <c r="K56" s="5"/>
      <c r="L56" s="5"/>
      <c r="M56" s="5"/>
      <c r="N56" s="5"/>
      <c r="O56" s="5"/>
      <c r="P56" s="88"/>
      <c r="Q56" s="95"/>
    </row>
    <row r="57" spans="4:17" s="2" customFormat="1" ht="12" customHeight="1">
      <c r="D57" s="22"/>
      <c r="E57" s="22"/>
      <c r="J57" s="5"/>
      <c r="K57" s="5"/>
      <c r="L57" s="5"/>
      <c r="M57" s="5"/>
      <c r="N57" s="5"/>
      <c r="O57" s="5"/>
      <c r="P57" s="88"/>
      <c r="Q57" s="95"/>
    </row>
    <row r="58" spans="4:17" s="2" customFormat="1" ht="12" customHeight="1">
      <c r="D58" s="22"/>
      <c r="E58" s="22"/>
      <c r="J58" s="5"/>
      <c r="K58" s="5"/>
      <c r="L58" s="5"/>
      <c r="M58" s="5"/>
      <c r="N58" s="5"/>
      <c r="O58" s="5"/>
      <c r="P58" s="88"/>
      <c r="Q58" s="95"/>
    </row>
    <row r="59" spans="4:17" s="2" customFormat="1" ht="12" customHeight="1">
      <c r="D59" s="22"/>
      <c r="E59" s="22"/>
      <c r="J59" s="5"/>
      <c r="K59" s="5"/>
      <c r="L59" s="5"/>
      <c r="M59" s="5"/>
      <c r="N59" s="5"/>
      <c r="O59" s="5"/>
      <c r="P59" s="88"/>
      <c r="Q59" s="95"/>
    </row>
    <row r="60" spans="4:17" s="2" customFormat="1" ht="12" customHeight="1">
      <c r="D60" s="22"/>
      <c r="E60" s="22"/>
      <c r="J60" s="5"/>
      <c r="K60" s="5"/>
      <c r="L60" s="5"/>
      <c r="M60" s="5"/>
      <c r="N60" s="5"/>
      <c r="O60" s="5"/>
      <c r="P60" s="88"/>
      <c r="Q60" s="95"/>
    </row>
    <row r="61" spans="4:17" s="2" customFormat="1" ht="12" customHeight="1">
      <c r="D61" s="22"/>
      <c r="E61" s="22"/>
      <c r="J61" s="5"/>
      <c r="K61" s="5"/>
      <c r="L61" s="5"/>
      <c r="M61" s="5"/>
      <c r="N61" s="5"/>
      <c r="O61" s="5"/>
      <c r="P61" s="88"/>
      <c r="Q61" s="95"/>
    </row>
    <row r="62" spans="4:17" s="2" customFormat="1" ht="12" customHeight="1">
      <c r="D62" s="22"/>
      <c r="E62" s="22"/>
      <c r="J62" s="5"/>
      <c r="K62" s="5"/>
      <c r="L62" s="5"/>
      <c r="M62" s="5"/>
      <c r="N62" s="5"/>
      <c r="O62" s="5"/>
      <c r="P62" s="88"/>
      <c r="Q62" s="95"/>
    </row>
    <row r="63" spans="4:17" s="2" customFormat="1" ht="12" customHeight="1">
      <c r="D63" s="22"/>
      <c r="E63" s="22"/>
      <c r="J63" s="5"/>
      <c r="K63" s="5"/>
      <c r="L63" s="5"/>
      <c r="M63" s="5"/>
      <c r="N63" s="5"/>
      <c r="O63" s="5"/>
      <c r="P63" s="88"/>
      <c r="Q63" s="95"/>
    </row>
    <row r="64" spans="4:17" s="2" customFormat="1" ht="12" customHeight="1">
      <c r="D64" s="22"/>
      <c r="E64" s="22"/>
      <c r="J64" s="5"/>
      <c r="K64" s="5"/>
      <c r="L64" s="5"/>
      <c r="M64" s="5"/>
      <c r="N64" s="5"/>
      <c r="O64" s="5"/>
      <c r="P64" s="88"/>
      <c r="Q64" s="95"/>
    </row>
    <row r="65" spans="1:17" s="2" customFormat="1" ht="12" customHeight="1">
      <c r="D65" s="22"/>
      <c r="E65" s="22"/>
      <c r="J65" s="5"/>
      <c r="K65" s="5"/>
      <c r="L65" s="5"/>
      <c r="M65" s="5"/>
      <c r="N65" s="5"/>
      <c r="O65" s="5"/>
      <c r="P65" s="88"/>
      <c r="Q65" s="96"/>
    </row>
    <row r="66" spans="1:17" s="2" customFormat="1" ht="12" customHeight="1">
      <c r="D66" s="22"/>
      <c r="E66" s="22"/>
      <c r="J66" s="5"/>
      <c r="K66" s="5"/>
      <c r="L66" s="5"/>
      <c r="M66" s="5"/>
      <c r="N66" s="5"/>
      <c r="O66" s="5"/>
      <c r="P66" s="88"/>
      <c r="Q66" s="96"/>
    </row>
    <row r="67" spans="1:17" s="2" customFormat="1" ht="12" customHeight="1">
      <c r="D67" s="22"/>
      <c r="E67" s="22"/>
      <c r="J67" s="5"/>
      <c r="K67" s="5"/>
      <c r="L67" s="5"/>
      <c r="M67" s="5"/>
      <c r="N67" s="5"/>
      <c r="O67" s="5"/>
      <c r="P67" s="88"/>
      <c r="Q67" s="96"/>
    </row>
    <row r="68" spans="1:17" s="2" customFormat="1" ht="12" customHeight="1">
      <c r="D68" s="22"/>
      <c r="E68" s="22"/>
      <c r="J68" s="5"/>
      <c r="K68" s="5"/>
      <c r="L68" s="5"/>
      <c r="M68" s="5"/>
      <c r="N68" s="5"/>
      <c r="O68" s="5"/>
      <c r="P68" s="88"/>
      <c r="Q68" s="96"/>
    </row>
    <row r="69" spans="1:17" s="2" customFormat="1" ht="12" customHeight="1">
      <c r="A69"/>
      <c r="B69"/>
      <c r="C69"/>
      <c r="D69" s="23"/>
      <c r="E69" s="23"/>
      <c r="F69"/>
      <c r="G69"/>
      <c r="H69"/>
      <c r="I69"/>
      <c r="J69" s="19"/>
      <c r="K69" s="19"/>
      <c r="L69" s="19"/>
      <c r="M69" s="19"/>
      <c r="N69" s="19"/>
      <c r="O69" s="19"/>
      <c r="P69" s="90"/>
      <c r="Q69" s="96"/>
    </row>
    <row r="70" spans="1:17" s="2" customFormat="1" ht="12" customHeight="1">
      <c r="A70"/>
      <c r="B70"/>
      <c r="C70"/>
      <c r="D70" s="23"/>
      <c r="E70" s="23"/>
      <c r="F70"/>
      <c r="G70"/>
      <c r="H70"/>
      <c r="I70"/>
      <c r="J70" s="19"/>
      <c r="K70" s="19"/>
      <c r="L70" s="19"/>
      <c r="M70" s="19"/>
      <c r="N70" s="19"/>
      <c r="O70" s="19"/>
      <c r="P70" s="90"/>
      <c r="Q70" s="96"/>
    </row>
    <row r="71" spans="1:17" s="2" customFormat="1" ht="12" customHeight="1">
      <c r="A71"/>
      <c r="B71"/>
      <c r="C71"/>
      <c r="D71" s="23"/>
      <c r="E71" s="23"/>
      <c r="F71"/>
      <c r="G71"/>
      <c r="H71"/>
      <c r="I71"/>
      <c r="J71" s="19"/>
      <c r="K71" s="19"/>
      <c r="L71" s="19"/>
      <c r="M71" s="19"/>
      <c r="N71" s="19"/>
      <c r="O71" s="19"/>
      <c r="P71" s="90"/>
      <c r="Q71" s="96"/>
    </row>
    <row r="72" spans="1:17" s="2" customFormat="1" ht="12" customHeight="1">
      <c r="A72"/>
      <c r="B72"/>
      <c r="C72"/>
      <c r="D72" s="23"/>
      <c r="E72" s="23"/>
      <c r="F72"/>
      <c r="G72"/>
      <c r="H72"/>
      <c r="I72"/>
      <c r="J72" s="19"/>
      <c r="K72" s="19"/>
      <c r="L72" s="19"/>
      <c r="M72" s="19"/>
      <c r="N72" s="19"/>
      <c r="O72" s="19"/>
      <c r="P72" s="90"/>
      <c r="Q72" s="96"/>
    </row>
    <row r="73" spans="1:17" s="2" customFormat="1" ht="12" customHeight="1">
      <c r="A73"/>
      <c r="B73"/>
      <c r="C73"/>
      <c r="D73" s="23"/>
      <c r="E73" s="23"/>
      <c r="F73"/>
      <c r="G73"/>
      <c r="H73"/>
      <c r="I73"/>
      <c r="J73" s="19"/>
      <c r="K73" s="19"/>
      <c r="L73" s="19"/>
      <c r="M73" s="19"/>
      <c r="N73" s="19"/>
      <c r="O73" s="19"/>
      <c r="P73" s="90"/>
      <c r="Q73" s="96"/>
    </row>
    <row r="74" spans="1:17">
      <c r="Q74" s="96"/>
    </row>
    <row r="75" spans="1:17">
      <c r="Q75" s="96"/>
    </row>
    <row r="76" spans="1:17">
      <c r="Q76" s="96"/>
    </row>
    <row r="77" spans="1:17">
      <c r="Q77" s="96"/>
    </row>
    <row r="78" spans="1:17">
      <c r="Q78" s="96"/>
    </row>
    <row r="79" spans="1:17">
      <c r="Q79" s="96"/>
    </row>
    <row r="80" spans="1:17">
      <c r="Q80" s="96"/>
    </row>
    <row r="81" spans="17:17">
      <c r="Q81" s="96"/>
    </row>
    <row r="82" spans="17:17">
      <c r="Q82" s="96"/>
    </row>
    <row r="83" spans="17:17">
      <c r="Q83" s="96"/>
    </row>
    <row r="84" spans="17:17">
      <c r="Q84" s="96"/>
    </row>
    <row r="85" spans="17:17">
      <c r="Q85" s="96"/>
    </row>
    <row r="86" spans="17:17">
      <c r="Q86" s="96"/>
    </row>
    <row r="87" spans="17:17">
      <c r="Q87" s="96"/>
    </row>
    <row r="88" spans="17:17">
      <c r="Q88" s="96"/>
    </row>
    <row r="89" spans="17:17">
      <c r="Q89" s="96"/>
    </row>
    <row r="90" spans="17:17">
      <c r="Q90" s="96"/>
    </row>
    <row r="91" spans="17:17">
      <c r="Q91" s="96"/>
    </row>
    <row r="92" spans="17:17">
      <c r="Q92" s="96"/>
    </row>
    <row r="93" spans="17:17">
      <c r="Q93" s="96"/>
    </row>
    <row r="130" ht="12" customHeight="1"/>
    <row r="131" ht="12" customHeight="1"/>
    <row r="132" ht="12" customHeight="1"/>
    <row r="133" ht="12" customHeight="1"/>
    <row r="134" ht="12" customHeight="1"/>
    <row r="135" ht="12" customHeight="1"/>
    <row r="136" ht="12" customHeight="1"/>
    <row r="137" ht="12" customHeight="1"/>
    <row r="138" ht="12" customHeight="1"/>
    <row r="139" ht="12" customHeight="1"/>
    <row r="140" ht="12" customHeight="1"/>
    <row r="141" ht="12" customHeight="1"/>
    <row r="142" ht="12" customHeight="1"/>
    <row r="143" ht="12" customHeight="1"/>
    <row r="144" ht="12" customHeight="1"/>
    <row r="145" ht="12" customHeight="1"/>
    <row r="146" ht="12" customHeight="1"/>
    <row r="147" ht="12" customHeight="1"/>
    <row r="148" ht="12" customHeight="1"/>
    <row r="149" ht="12" customHeight="1"/>
    <row r="150" ht="12" customHeight="1"/>
    <row r="151" ht="12" customHeight="1"/>
    <row r="152" ht="12" customHeight="1"/>
    <row r="153" ht="12" customHeight="1"/>
    <row r="154" ht="12" customHeight="1"/>
    <row r="155" ht="12" customHeight="1"/>
    <row r="156" ht="12" customHeight="1"/>
    <row r="157" ht="12" customHeight="1"/>
    <row r="158" ht="12" customHeight="1"/>
    <row r="159" ht="12" customHeight="1"/>
    <row r="160" ht="12" customHeight="1"/>
    <row r="161" ht="12" customHeight="1"/>
    <row r="162" ht="12" customHeight="1"/>
    <row r="163" ht="12" customHeight="1"/>
    <row r="164" ht="12" customHeight="1"/>
    <row r="165" ht="12" customHeight="1"/>
    <row r="166" ht="12" customHeight="1"/>
    <row r="167" ht="12" customHeight="1"/>
    <row r="168" ht="12" customHeight="1"/>
    <row r="169" ht="12" customHeight="1"/>
    <row r="170" ht="12" customHeight="1"/>
    <row r="171" ht="12" customHeight="1"/>
    <row r="172" ht="12" customHeight="1"/>
    <row r="173" ht="12" customHeight="1"/>
    <row r="174" ht="12" customHeight="1"/>
    <row r="175" ht="12" customHeight="1"/>
    <row r="176" ht="12" customHeight="1"/>
    <row r="177" ht="12" customHeight="1"/>
    <row r="178" ht="12" customHeight="1"/>
    <row r="179" ht="12" customHeight="1"/>
  </sheetData>
  <mergeCells count="28">
    <mergeCell ref="H26:I26"/>
    <mergeCell ref="D26:E26"/>
    <mergeCell ref="D25:E25"/>
    <mergeCell ref="D20:E20"/>
    <mergeCell ref="H20:I20"/>
    <mergeCell ref="D21:E21"/>
    <mergeCell ref="D22:E22"/>
    <mergeCell ref="D23:E23"/>
    <mergeCell ref="D16:E16"/>
    <mergeCell ref="D17:E17"/>
    <mergeCell ref="D18:E18"/>
    <mergeCell ref="D19:E19"/>
    <mergeCell ref="D24:E24"/>
    <mergeCell ref="D15:E15"/>
    <mergeCell ref="D10:E10"/>
    <mergeCell ref="D7:E7"/>
    <mergeCell ref="D8:E8"/>
    <mergeCell ref="H10:I10"/>
    <mergeCell ref="D11:E11"/>
    <mergeCell ref="D12:E12"/>
    <mergeCell ref="D13:E13"/>
    <mergeCell ref="D14:E14"/>
    <mergeCell ref="D6:E6"/>
    <mergeCell ref="D1:E1"/>
    <mergeCell ref="D4:E4"/>
    <mergeCell ref="H4:I4"/>
    <mergeCell ref="D9:E9"/>
    <mergeCell ref="D5:E5"/>
  </mergeCells>
  <conditionalFormatting sqref="M5:M9 M21:M25 M11:M19">
    <cfRule type="cellIs" dxfId="226" priority="1" stopIfTrue="1" operator="lessThanOrEqual">
      <formula>$L5</formula>
    </cfRule>
    <cfRule type="cellIs" dxfId="225" priority="2" operator="greaterThan">
      <formula>L5</formula>
    </cfRule>
  </conditionalFormatting>
  <pageMargins left="0.7" right="0.7" top="0.75" bottom="0.75" header="0.3" footer="0.3"/>
  <pageSetup paperSize="3" fitToHeight="0" orientation="landscape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999B097-0E01-447E-B906-70F53570E02F}">
          <x14:formula1>
            <xm:f>Bolts!$A:$A</xm:f>
          </x14:formula1>
          <xm:sqref>C21:C25</xm:sqref>
        </x14:dataValidation>
        <x14:dataValidation type="list" allowBlank="1" showInputMessage="1" showErrorMessage="1" xr:uid="{D4D447F8-2799-403C-A7D8-F62DD7E38A99}">
          <x14:formula1>
            <xm:f>Purchased!$A:$A</xm:f>
          </x14:formula1>
          <xm:sqref>C11:C19</xm:sqref>
        </x14:dataValidation>
        <x14:dataValidation type="list" allowBlank="1" showInputMessage="1" showErrorMessage="1" xr:uid="{8ACAB084-DCFD-48C7-B4BF-EB0A28519DD2}">
          <x14:formula1>
            <xm:f>Machined!$C:$C</xm:f>
          </x14:formula1>
          <xm:sqref>C5:C9</xm:sqref>
        </x14:dataValidation>
      </x14:dataValidations>
    </ext>
  </extLst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E7A5E1-0A00-4B0A-8583-DCB882983FAC}">
  <sheetPr codeName="Sheet124">
    <tabColor theme="3" tint="0.59999389629810485"/>
    <pageSetUpPr fitToPage="1"/>
  </sheetPr>
  <dimension ref="A1:R226"/>
  <sheetViews>
    <sheetView zoomScale="90" zoomScaleNormal="90" workbookViewId="0">
      <selection activeCell="D56" sqref="D56"/>
    </sheetView>
  </sheetViews>
  <sheetFormatPr defaultColWidth="9.140625" defaultRowHeight="15"/>
  <cols>
    <col min="1" max="1" width="5.7109375" customWidth="1"/>
    <col min="2" max="2" width="5.42578125" bestFit="1" customWidth="1"/>
    <col min="3" max="3" width="30.7109375" customWidth="1"/>
    <col min="4" max="4" width="20.7109375" style="23" customWidth="1"/>
    <col min="5" max="5" width="28.28515625" style="23" customWidth="1"/>
    <col min="6" max="6" width="16.85546875" bestFit="1" customWidth="1"/>
    <col min="7" max="7" width="9.7109375" customWidth="1"/>
    <col min="8" max="8" width="8.7109375" customWidth="1"/>
    <col min="9" max="9" width="20.7109375" customWidth="1"/>
    <col min="10" max="13" width="11.7109375" style="19" customWidth="1"/>
    <col min="14" max="14" width="11.85546875" style="19" bestFit="1" customWidth="1"/>
    <col min="15" max="15" width="7.7109375" style="19" customWidth="1"/>
    <col min="16" max="16" width="10.7109375" style="90" customWidth="1"/>
    <col min="17" max="17" width="10.7109375" style="97" customWidth="1"/>
  </cols>
  <sheetData>
    <row r="1" spans="1:18" s="55" customFormat="1" ht="12" customHeight="1">
      <c r="A1" s="68" t="s">
        <v>0</v>
      </c>
      <c r="B1" s="69"/>
      <c r="C1" s="69"/>
      <c r="D1" s="262" t="s">
        <v>1</v>
      </c>
      <c r="E1" s="263"/>
      <c r="F1" s="70"/>
      <c r="G1" s="69"/>
      <c r="H1" s="70"/>
      <c r="I1" s="71"/>
      <c r="J1" s="72"/>
      <c r="K1" s="72"/>
      <c r="L1" s="72"/>
      <c r="M1" s="72"/>
      <c r="N1" s="72"/>
      <c r="O1" s="72"/>
      <c r="P1" s="85"/>
      <c r="Q1" s="91"/>
    </row>
    <row r="2" spans="1:18" s="55" customFormat="1" ht="12" customHeight="1">
      <c r="A2" s="74" t="s">
        <v>48</v>
      </c>
      <c r="B2" s="58"/>
      <c r="C2" s="57" t="e">
        <f ca="1">VLOOKUP(E3,Assemblies!B:F,4,0)</f>
        <v>#VALUE!</v>
      </c>
      <c r="D2" s="75" t="s">
        <v>3</v>
      </c>
      <c r="E2" s="76" t="e">
        <f ca="1">'GF12'!E2</f>
        <v>#VALUE!</v>
      </c>
      <c r="F2" s="77" t="s">
        <v>4</v>
      </c>
      <c r="G2" s="58" t="str">
        <f>'GF12'!G2</f>
        <v>GH</v>
      </c>
      <c r="H2" s="77" t="s">
        <v>6</v>
      </c>
      <c r="I2" s="59">
        <f>'GF12'!I2</f>
        <v>44775</v>
      </c>
      <c r="J2" s="39"/>
      <c r="K2" s="40" t="s">
        <v>49</v>
      </c>
      <c r="L2" s="41" t="e">
        <f ca="1">VLOOKUP(C2,Assemblies!E:G,3,0)</f>
        <v>#VALUE!</v>
      </c>
      <c r="M2" s="78"/>
      <c r="N2" s="78"/>
      <c r="O2" s="78"/>
      <c r="P2" s="86"/>
      <c r="Q2" s="92"/>
    </row>
    <row r="3" spans="1:18" s="55" customFormat="1" ht="12" customHeight="1" thickBot="1">
      <c r="A3" s="74" t="s">
        <v>7</v>
      </c>
      <c r="B3" s="58"/>
      <c r="C3" s="57" t="e">
        <f ca="1">VLOOKUP(E3,Assemblies!B:F,5,0)</f>
        <v>#VALUE!</v>
      </c>
      <c r="D3" s="75" t="s">
        <v>50</v>
      </c>
      <c r="E3" s="76" t="e">
        <f ca="1">MID(CELL("filename",A1),FIND("]",CELL("filename",A1))+1,256)</f>
        <v>#VALUE!</v>
      </c>
      <c r="F3" s="77" t="s">
        <v>11</v>
      </c>
      <c r="G3" s="58" t="str">
        <f>'GF12'!G3</f>
        <v>GH</v>
      </c>
      <c r="H3" s="77" t="s">
        <v>6</v>
      </c>
      <c r="I3" s="59">
        <f>'GF12'!I3</f>
        <v>44775</v>
      </c>
      <c r="J3" s="78"/>
      <c r="K3" s="78"/>
      <c r="L3" s="78"/>
      <c r="M3" s="78"/>
      <c r="N3" s="78"/>
      <c r="O3" s="78"/>
      <c r="P3" s="86"/>
      <c r="Q3" s="92"/>
    </row>
    <row r="4" spans="1:18" s="56" customFormat="1" ht="12.75" customHeight="1" thickBot="1">
      <c r="A4" s="80" t="s">
        <v>12</v>
      </c>
      <c r="B4" s="81" t="s">
        <v>13</v>
      </c>
      <c r="C4" s="81" t="s">
        <v>14</v>
      </c>
      <c r="D4" s="270" t="s">
        <v>15</v>
      </c>
      <c r="E4" s="271"/>
      <c r="F4" s="104" t="s">
        <v>16</v>
      </c>
      <c r="G4" s="81" t="s">
        <v>17</v>
      </c>
      <c r="H4" s="260" t="s">
        <v>18</v>
      </c>
      <c r="I4" s="261"/>
      <c r="J4" s="81" t="s">
        <v>51</v>
      </c>
      <c r="K4" s="81" t="s">
        <v>20</v>
      </c>
      <c r="L4" s="81" t="s">
        <v>21</v>
      </c>
      <c r="M4" s="81" t="s">
        <v>52</v>
      </c>
      <c r="N4" s="81" t="s">
        <v>22</v>
      </c>
      <c r="O4" s="81" t="s">
        <v>53</v>
      </c>
      <c r="P4" s="107" t="s">
        <v>26</v>
      </c>
      <c r="Q4" s="82" t="s">
        <v>27</v>
      </c>
    </row>
    <row r="5" spans="1:18" s="21" customFormat="1" ht="12.75" customHeight="1">
      <c r="A5" s="66" t="s">
        <v>54</v>
      </c>
      <c r="B5" s="1">
        <v>1</v>
      </c>
      <c r="C5" s="67" t="s">
        <v>866</v>
      </c>
      <c r="D5" s="277" t="e">
        <f ca="1">VLOOKUP(C5,Assemblies!E:S,2,0)</f>
        <v>#N/A</v>
      </c>
      <c r="E5" s="278"/>
      <c r="F5" s="32"/>
      <c r="G5" s="32"/>
      <c r="H5" s="292"/>
      <c r="I5" s="293"/>
      <c r="J5" s="28"/>
      <c r="K5" s="28"/>
      <c r="L5" s="28"/>
      <c r="M5" s="28"/>
      <c r="N5" s="33"/>
      <c r="O5" s="46" t="e">
        <f t="shared" ref="O5:O6" ca="1" si="0">B5*$L$2</f>
        <v>#VALUE!</v>
      </c>
      <c r="P5" s="87">
        <f>'345'!Q20</f>
        <v>309.78000000000003</v>
      </c>
      <c r="Q5" s="93">
        <f t="shared" ref="Q5:Q6" si="1">B5*P5</f>
        <v>309.78000000000003</v>
      </c>
    </row>
    <row r="6" spans="1:18" s="21" customFormat="1" ht="12.75" customHeight="1">
      <c r="A6" s="66" t="s">
        <v>56</v>
      </c>
      <c r="B6" s="1">
        <v>1</v>
      </c>
      <c r="C6" s="67" t="s">
        <v>867</v>
      </c>
      <c r="D6" s="277" t="e">
        <f ca="1">VLOOKUP(C6,Assemblies!E:S,2,0)</f>
        <v>#N/A</v>
      </c>
      <c r="E6" s="278"/>
      <c r="F6" s="32"/>
      <c r="G6" s="32"/>
      <c r="H6" s="292"/>
      <c r="I6" s="293"/>
      <c r="J6" s="28"/>
      <c r="K6" s="28"/>
      <c r="L6" s="28"/>
      <c r="M6" s="28"/>
      <c r="N6" s="33"/>
      <c r="O6" s="46" t="e">
        <f t="shared" ca="1" si="0"/>
        <v>#VALUE!</v>
      </c>
      <c r="P6" s="87">
        <f>'346'!Q34</f>
        <v>722.97159999999997</v>
      </c>
      <c r="Q6" s="93">
        <f t="shared" si="1"/>
        <v>722.97159999999997</v>
      </c>
    </row>
    <row r="7" spans="1:18" s="21" customFormat="1" ht="12.75" customHeight="1">
      <c r="A7" s="66" t="s">
        <v>58</v>
      </c>
      <c r="B7" s="1">
        <v>1</v>
      </c>
      <c r="C7" s="67" t="s">
        <v>868</v>
      </c>
      <c r="D7" s="277" t="e">
        <f ca="1">VLOOKUP(C7,Assemblies!E:S,2,0)</f>
        <v>#N/A</v>
      </c>
      <c r="E7" s="278"/>
      <c r="F7" s="32"/>
      <c r="G7" s="32"/>
      <c r="H7" s="292"/>
      <c r="I7" s="293"/>
      <c r="J7" s="28"/>
      <c r="K7" s="28"/>
      <c r="L7" s="28"/>
      <c r="M7" s="28"/>
      <c r="N7" s="33"/>
      <c r="O7" s="46" t="e">
        <f t="shared" ref="O7" ca="1" si="2">B7*$L$2</f>
        <v>#VALUE!</v>
      </c>
      <c r="P7" s="87">
        <f>'540'!Q23</f>
        <v>565.46280000000002</v>
      </c>
      <c r="Q7" s="93">
        <f t="shared" ref="Q7" si="3">B7*P7</f>
        <v>565.46280000000002</v>
      </c>
    </row>
    <row r="8" spans="1:18" s="21" customFormat="1" ht="12.75" customHeight="1">
      <c r="A8" s="25"/>
      <c r="B8" s="26"/>
      <c r="C8" s="26"/>
      <c r="D8" s="272"/>
      <c r="E8" s="273"/>
      <c r="F8" s="26"/>
      <c r="G8" s="26"/>
      <c r="H8" s="274"/>
      <c r="I8" s="275"/>
      <c r="J8" s="27"/>
      <c r="K8" s="27"/>
      <c r="L8" s="27"/>
      <c r="M8" s="28"/>
      <c r="N8" s="29"/>
      <c r="O8" s="29"/>
      <c r="P8" s="141"/>
      <c r="Q8" s="142"/>
      <c r="R8" s="20"/>
    </row>
    <row r="9" spans="1:18" s="2" customFormat="1" ht="12.75" customHeight="1">
      <c r="A9" s="127">
        <v>1</v>
      </c>
      <c r="B9" s="21">
        <v>2</v>
      </c>
      <c r="C9" s="108" t="s">
        <v>1245</v>
      </c>
      <c r="D9" s="277" t="str">
        <f>VLOOKUP(C9,Machined!C:Q,2,0)</f>
        <v>CAP STATION SIDE PLATE</v>
      </c>
      <c r="E9" s="278"/>
      <c r="F9" s="131" t="str">
        <f>VLOOKUP(C9,Machined!C:Q,7,0)</f>
        <v>MIC 6</v>
      </c>
      <c r="G9" s="131" t="str">
        <f>VLOOKUP(C9,Machined!C:Q,10,0)</f>
        <v>DETAILED MACH</v>
      </c>
      <c r="H9" s="131" t="str">
        <f>VLOOKUP(C9,Machined!C:Q,10,0)</f>
        <v>DETAILED MACH</v>
      </c>
      <c r="I9" s="131"/>
      <c r="J9" s="42" t="str">
        <f>VLOOKUP(C9,Machined!C:Q,10,0)</f>
        <v>DETAILED MACH</v>
      </c>
      <c r="K9" s="42" t="str">
        <f>VLOOKUP(C9,Machined!C:Q,11,0)</f>
        <v>shipped 9/28/23</v>
      </c>
      <c r="L9" s="42">
        <f>VLOOKUP(C9,Machined!C:Q,12,0)</f>
        <v>45156</v>
      </c>
      <c r="M9" s="42">
        <f>VLOOKUP(C9,Machined!C:Q,13,0)</f>
        <v>45162</v>
      </c>
      <c r="N9" s="43">
        <f>VLOOKUP(C9,Machined!C:R,16,0)</f>
        <v>55101</v>
      </c>
      <c r="O9" s="43" t="e">
        <f t="shared" ref="O9:O14" ca="1" si="4">B9*$L$2</f>
        <v>#VALUE!</v>
      </c>
      <c r="P9" s="47">
        <f>IFERROR(VLOOKUP(C9,Machined!C:F,3,0),"")</f>
        <v>0</v>
      </c>
      <c r="Q9" s="48">
        <f t="shared" ref="Q9:Q14" si="5">IFERROR(B9*P9,"")</f>
        <v>0</v>
      </c>
    </row>
    <row r="10" spans="1:18" s="2" customFormat="1" ht="12.75" customHeight="1">
      <c r="A10" s="127">
        <v>2</v>
      </c>
      <c r="B10" s="21">
        <v>1</v>
      </c>
      <c r="C10" s="108" t="s">
        <v>1246</v>
      </c>
      <c r="D10" s="277" t="str">
        <f>VLOOKUP(C10,Machined!C:Q,2,0)</f>
        <v>WEB ANVIL</v>
      </c>
      <c r="E10" s="278"/>
      <c r="F10" s="131" t="str">
        <f>VLOOKUP(C10,Machined!C:Q,7,0)</f>
        <v>AISI 304</v>
      </c>
      <c r="G10" s="131" t="str">
        <f>VLOOKUP(C10,Machined!C:Q,10,0)</f>
        <v>WESCO BHT</v>
      </c>
      <c r="H10" s="131" t="str">
        <f>VLOOKUP(C10,Machined!C:Q,10,0)</f>
        <v>WESCO BHT</v>
      </c>
      <c r="I10" s="131"/>
      <c r="J10" s="42" t="str">
        <f>VLOOKUP(C10,Machined!C:Q,10,0)</f>
        <v>WESCO BHT</v>
      </c>
      <c r="K10" s="42" t="str">
        <f>VLOOKUP(C10,Machined!C:Q,11,0)</f>
        <v xml:space="preserve">  </v>
      </c>
      <c r="L10" s="42">
        <f>VLOOKUP(C10,Machined!C:Q,12,0)</f>
        <v>45159</v>
      </c>
      <c r="M10" s="42">
        <f>VLOOKUP(C10,Machined!C:Q,13,0)</f>
        <v>45161</v>
      </c>
      <c r="N10" s="43">
        <f>VLOOKUP(C10,Machined!C:R,16,0)</f>
        <v>55092</v>
      </c>
      <c r="O10" s="43" t="e">
        <f t="shared" ca="1" si="4"/>
        <v>#VALUE!</v>
      </c>
      <c r="P10" s="47">
        <f>IFERROR(VLOOKUP(C10,Machined!C:F,3,0),"")</f>
        <v>211.6</v>
      </c>
      <c r="Q10" s="48">
        <f t="shared" si="5"/>
        <v>211.6</v>
      </c>
    </row>
    <row r="11" spans="1:18" s="2" customFormat="1" ht="12.75" customHeight="1">
      <c r="A11" s="127">
        <v>3</v>
      </c>
      <c r="B11" s="21">
        <v>8</v>
      </c>
      <c r="C11" s="108" t="s">
        <v>1247</v>
      </c>
      <c r="D11" s="277" t="str">
        <f>VLOOKUP(C11,Machined!C:Q,2,0)</f>
        <v>LINEAR SHAFT MOUNT</v>
      </c>
      <c r="E11" s="278"/>
      <c r="F11" s="131" t="str">
        <f>VLOOKUP(C11,Machined!C:Q,7,0)</f>
        <v>6061-T6 Alum</v>
      </c>
      <c r="G11" s="131" t="str">
        <f>VLOOKUP(C11,Machined!C:Q,10,0)</f>
        <v>DETAILED MACH</v>
      </c>
      <c r="H11" s="131" t="str">
        <f>VLOOKUP(C11,Machined!C:Q,10,0)</f>
        <v>DETAILED MACH</v>
      </c>
      <c r="I11" s="131"/>
      <c r="J11" s="42" t="str">
        <f>VLOOKUP(C11,Machined!C:Q,10,0)</f>
        <v>DETAILED MACH</v>
      </c>
      <c r="K11" s="42" t="str">
        <f>VLOOKUP(C11,Machined!C:Q,11,0)</f>
        <v>shipped 9/29/23</v>
      </c>
      <c r="L11" s="42">
        <f>VLOOKUP(C11,Machined!C:Q,12,0)</f>
        <v>45156</v>
      </c>
      <c r="M11" s="42">
        <f>VLOOKUP(C11,Machined!C:Q,13,0)</f>
        <v>45162</v>
      </c>
      <c r="N11" s="43">
        <f>VLOOKUP(C11,Machined!C:R,16,0)</f>
        <v>55101</v>
      </c>
      <c r="O11" s="43" t="e">
        <f t="shared" ca="1" si="4"/>
        <v>#VALUE!</v>
      </c>
      <c r="P11" s="47">
        <f>IFERROR(VLOOKUP(C11,Machined!C:F,3,0),"")</f>
        <v>0</v>
      </c>
      <c r="Q11" s="48">
        <f t="shared" si="5"/>
        <v>0</v>
      </c>
    </row>
    <row r="12" spans="1:18" s="2" customFormat="1" ht="12.75" customHeight="1">
      <c r="A12" s="127">
        <v>4</v>
      </c>
      <c r="B12" s="21">
        <v>8</v>
      </c>
      <c r="C12" s="108" t="s">
        <v>1248</v>
      </c>
      <c r="D12" s="277" t="str">
        <f>VLOOKUP(C12,Machined!C:Q,2,0)</f>
        <v>LINEAR SHAFT CAP</v>
      </c>
      <c r="E12" s="278"/>
      <c r="F12" s="131" t="str">
        <f>VLOOKUP(C12,Machined!C:Q,7,0)</f>
        <v>1018 COLD ROLLED STEEL</v>
      </c>
      <c r="G12" s="131" t="str">
        <f>VLOOKUP(C12,Machined!C:Q,10,0)</f>
        <v>DETAILED MACH</v>
      </c>
      <c r="H12" s="131" t="str">
        <f>VLOOKUP(C12,Machined!C:Q,10,0)</f>
        <v>DETAILED MACH</v>
      </c>
      <c r="I12" s="131"/>
      <c r="J12" s="42" t="str">
        <f>VLOOKUP(C12,Machined!C:Q,10,0)</f>
        <v>DETAILED MACH</v>
      </c>
      <c r="K12" s="42" t="str">
        <f>VLOOKUP(C12,Machined!C:Q,11,0)</f>
        <v>shipped 9/25/23</v>
      </c>
      <c r="L12" s="42">
        <f>VLOOKUP(C12,Machined!C:Q,12,0)</f>
        <v>45156</v>
      </c>
      <c r="M12" s="42">
        <f>VLOOKUP(C12,Machined!C:Q,13,0)</f>
        <v>45162</v>
      </c>
      <c r="N12" s="43">
        <f>VLOOKUP(C12,Machined!C:R,16,0)</f>
        <v>55101</v>
      </c>
      <c r="O12" s="43" t="e">
        <f t="shared" ca="1" si="4"/>
        <v>#VALUE!</v>
      </c>
      <c r="P12" s="47">
        <f>IFERROR(VLOOKUP(C12,Machined!C:F,3,0),"")</f>
        <v>0</v>
      </c>
      <c r="Q12" s="48">
        <f t="shared" si="5"/>
        <v>0</v>
      </c>
    </row>
    <row r="13" spans="1:18" s="2" customFormat="1" ht="12.75" customHeight="1">
      <c r="A13" s="127">
        <v>5</v>
      </c>
      <c r="B13" s="21">
        <v>2</v>
      </c>
      <c r="C13" s="108" t="s">
        <v>1249</v>
      </c>
      <c r="D13" s="277" t="str">
        <f>VLOOKUP(C13,Machined!C:Q,2,0)</f>
        <v>LINEAR SHAFT SUPPORT</v>
      </c>
      <c r="E13" s="278"/>
      <c r="F13" s="131" t="str">
        <f>VLOOKUP(C13,Machined!C:Q,7,0)</f>
        <v>6061-T6 Alum</v>
      </c>
      <c r="G13" s="131" t="str">
        <f>VLOOKUP(C13,Machined!C:Q,10,0)</f>
        <v>DETAILED MACH</v>
      </c>
      <c r="H13" s="131" t="str">
        <f>VLOOKUP(C13,Machined!C:Q,10,0)</f>
        <v>DETAILED MACH</v>
      </c>
      <c r="I13" s="131"/>
      <c r="J13" s="42" t="str">
        <f>VLOOKUP(C13,Machined!C:Q,10,0)</f>
        <v>DETAILED MACH</v>
      </c>
      <c r="K13" s="42" t="str">
        <f>VLOOKUP(C13,Machined!C:Q,11,0)</f>
        <v>shipped 9/28/23</v>
      </c>
      <c r="L13" s="42">
        <f>VLOOKUP(C13,Machined!C:Q,12,0)</f>
        <v>45156</v>
      </c>
      <c r="M13" s="42">
        <f>VLOOKUP(C13,Machined!C:Q,13,0)</f>
        <v>45162</v>
      </c>
      <c r="N13" s="43">
        <f>VLOOKUP(C13,Machined!C:R,16,0)</f>
        <v>55101</v>
      </c>
      <c r="O13" s="43" t="e">
        <f t="shared" ca="1" si="4"/>
        <v>#VALUE!</v>
      </c>
      <c r="P13" s="47">
        <f>IFERROR(VLOOKUP(C13,Machined!C:F,3,0),"")</f>
        <v>0</v>
      </c>
      <c r="Q13" s="48">
        <f t="shared" si="5"/>
        <v>0</v>
      </c>
    </row>
    <row r="14" spans="1:18" s="2" customFormat="1" ht="12.75" customHeight="1">
      <c r="A14" s="127">
        <v>6</v>
      </c>
      <c r="B14" s="21">
        <v>2</v>
      </c>
      <c r="C14" s="108" t="s">
        <v>1250</v>
      </c>
      <c r="D14" s="277" t="str">
        <f>VLOOKUP(C14,Machined!C:Q,2,0)</f>
        <v>LINEAR SHAFT BRACKET</v>
      </c>
      <c r="E14" s="278"/>
      <c r="F14" s="131" t="str">
        <f>VLOOKUP(C14,Machined!C:Q,7,0)</f>
        <v>6061-T6 Alum</v>
      </c>
      <c r="G14" s="131" t="str">
        <f>VLOOKUP(C14,Machined!C:Q,10,0)</f>
        <v>DETAILED MACH</v>
      </c>
      <c r="H14" s="131" t="str">
        <f>VLOOKUP(C14,Machined!C:Q,10,0)</f>
        <v>DETAILED MACH</v>
      </c>
      <c r="I14" s="131"/>
      <c r="J14" s="42" t="str">
        <f>VLOOKUP(C14,Machined!C:Q,10,0)</f>
        <v>DETAILED MACH</v>
      </c>
      <c r="K14" s="42" t="str">
        <f>VLOOKUP(C14,Machined!C:Q,11,0)</f>
        <v>shipped 9/25/23</v>
      </c>
      <c r="L14" s="42">
        <f>VLOOKUP(C14,Machined!C:Q,12,0)</f>
        <v>45156</v>
      </c>
      <c r="M14" s="42">
        <f>VLOOKUP(C14,Machined!C:Q,13,0)</f>
        <v>45162</v>
      </c>
      <c r="N14" s="43">
        <f>VLOOKUP(C14,Machined!C:R,16,0)</f>
        <v>55101</v>
      </c>
      <c r="O14" s="43" t="e">
        <f t="shared" ca="1" si="4"/>
        <v>#VALUE!</v>
      </c>
      <c r="P14" s="47">
        <f>IFERROR(VLOOKUP(C14,Machined!C:F,3,0),"")</f>
        <v>0</v>
      </c>
      <c r="Q14" s="48">
        <f t="shared" si="5"/>
        <v>0</v>
      </c>
    </row>
    <row r="15" spans="1:18" s="2" customFormat="1" ht="12.75" customHeight="1">
      <c r="A15" s="127">
        <v>7</v>
      </c>
      <c r="B15" s="21">
        <v>1</v>
      </c>
      <c r="C15" s="108" t="s">
        <v>870</v>
      </c>
      <c r="D15" s="277" t="str">
        <f>VLOOKUP(C15,Machined!C:Q,2,0)</f>
        <v>CAP, SPOUT LEAD SCREW PLATE</v>
      </c>
      <c r="E15" s="278"/>
      <c r="F15" s="131" t="str">
        <f>VLOOKUP(C15,Machined!C:Q,7,0)</f>
        <v xml:space="preserve">MIC 6 </v>
      </c>
      <c r="G15" s="131" t="str">
        <f>VLOOKUP(C15,Machined!C:Q,10,0)</f>
        <v>DETAILED MACH</v>
      </c>
      <c r="H15" s="131" t="str">
        <f>VLOOKUP(C15,Machined!C:Q,10,0)</f>
        <v>DETAILED MACH</v>
      </c>
      <c r="I15" s="131"/>
      <c r="J15" s="42" t="str">
        <f>VLOOKUP(C15,Machined!C:Q,10,0)</f>
        <v>DETAILED MACH</v>
      </c>
      <c r="K15" s="42" t="str">
        <f>VLOOKUP(C15,Machined!C:Q,11,0)</f>
        <v xml:space="preserve">  </v>
      </c>
      <c r="L15" s="42">
        <f>VLOOKUP(C15,Machined!C:Q,12,0)</f>
        <v>45156</v>
      </c>
      <c r="M15" s="42">
        <f>VLOOKUP(C15,Machined!C:Q,13,0)</f>
        <v>45162</v>
      </c>
      <c r="N15" s="43">
        <f>VLOOKUP(C15,Machined!C:R,16,0)</f>
        <v>55101</v>
      </c>
      <c r="O15" s="43" t="e">
        <f ca="1">B15*$L$2</f>
        <v>#VALUE!</v>
      </c>
      <c r="P15" s="47">
        <f>IFERROR(VLOOKUP(C15,Machined!C:F,3,0),"")</f>
        <v>0</v>
      </c>
      <c r="Q15" s="48">
        <f>IFERROR(B15*P15,"")</f>
        <v>0</v>
      </c>
    </row>
    <row r="16" spans="1:18" s="2" customFormat="1" ht="12.75" customHeight="1">
      <c r="A16" s="127">
        <v>8</v>
      </c>
      <c r="B16" s="21">
        <v>1</v>
      </c>
      <c r="C16" s="108" t="s">
        <v>871</v>
      </c>
      <c r="D16" s="277" t="str">
        <f>VLOOKUP(C16,Machined!C:Q,2,0)</f>
        <v>CAP, SPOUT LEAD SCREW END PLATE</v>
      </c>
      <c r="E16" s="278"/>
      <c r="F16" s="131" t="str">
        <f>VLOOKUP(C16,Machined!C:Q,7,0)</f>
        <v>MIC 6</v>
      </c>
      <c r="G16" s="131" t="str">
        <f>VLOOKUP(C16,Machined!C:Q,10,0)</f>
        <v>DETAILED MACH</v>
      </c>
      <c r="H16" s="131" t="str">
        <f>VLOOKUP(C16,Machined!C:Q,10,0)</f>
        <v>DETAILED MACH</v>
      </c>
      <c r="I16" s="131"/>
      <c r="J16" s="42" t="str">
        <f>VLOOKUP(C16,Machined!C:Q,10,0)</f>
        <v>DETAILED MACH</v>
      </c>
      <c r="K16" s="42" t="str">
        <f>VLOOKUP(C16,Machined!C:Q,11,0)</f>
        <v xml:space="preserve">  </v>
      </c>
      <c r="L16" s="42">
        <f>VLOOKUP(C16,Machined!C:Q,12,0)</f>
        <v>45156</v>
      </c>
      <c r="M16" s="42">
        <f>VLOOKUP(C16,Machined!C:Q,13,0)</f>
        <v>45162</v>
      </c>
      <c r="N16" s="43">
        <f>VLOOKUP(C16,Machined!C:R,16,0)</f>
        <v>55101</v>
      </c>
      <c r="O16" s="43" t="e">
        <f ca="1">B16*$L$2</f>
        <v>#VALUE!</v>
      </c>
      <c r="P16" s="47">
        <f>IFERROR(VLOOKUP(C16,Machined!C:F,3,0),"")</f>
        <v>0</v>
      </c>
      <c r="Q16" s="48">
        <f>IFERROR(B16*P16,"")</f>
        <v>0</v>
      </c>
    </row>
    <row r="17" spans="1:17" s="2" customFormat="1" ht="12.75" customHeight="1">
      <c r="A17" s="127">
        <v>9</v>
      </c>
      <c r="B17" s="21">
        <v>1</v>
      </c>
      <c r="C17" s="108" t="s">
        <v>872</v>
      </c>
      <c r="D17" s="277" t="str">
        <f>VLOOKUP(C17,Machined!C:Q,2,0)</f>
        <v>GEARSHAFT SUPPORT 
BLOCK</v>
      </c>
      <c r="E17" s="278"/>
      <c r="F17" s="131" t="str">
        <f>VLOOKUP(C17,Machined!C:Q,7,0)</f>
        <v>6061-T6 Alum</v>
      </c>
      <c r="G17" s="131" t="str">
        <f>VLOOKUP(C17,Machined!C:Q,10,0)</f>
        <v>DETAILED MACH</v>
      </c>
      <c r="H17" s="131" t="str">
        <f>VLOOKUP(C17,Machined!C:Q,10,0)</f>
        <v>DETAILED MACH</v>
      </c>
      <c r="I17" s="131"/>
      <c r="J17" s="42" t="str">
        <f>VLOOKUP(C17,Machined!C:Q,10,0)</f>
        <v>DETAILED MACH</v>
      </c>
      <c r="K17" s="42" t="str">
        <f>VLOOKUP(C17,Machined!C:Q,11,0)</f>
        <v>shipped 9/29/23</v>
      </c>
      <c r="L17" s="42">
        <f>VLOOKUP(C17,Machined!C:Q,12,0)</f>
        <v>45156</v>
      </c>
      <c r="M17" s="42">
        <f>VLOOKUP(C17,Machined!C:Q,13,0)</f>
        <v>45162</v>
      </c>
      <c r="N17" s="43">
        <f>VLOOKUP(C17,Machined!C:R,16,0)</f>
        <v>55101</v>
      </c>
      <c r="O17" s="43" t="e">
        <f t="shared" ref="O17:O18" ca="1" si="6">B17*$L$2</f>
        <v>#VALUE!</v>
      </c>
      <c r="P17" s="47">
        <f>IFERROR(VLOOKUP(C17,Machined!C:F,3,0),"")</f>
        <v>0</v>
      </c>
      <c r="Q17" s="48">
        <f t="shared" ref="Q17:Q18" si="7">IFERROR(B17*P17,"")</f>
        <v>0</v>
      </c>
    </row>
    <row r="18" spans="1:17" s="2" customFormat="1" ht="12.75" customHeight="1">
      <c r="A18" s="127">
        <v>10</v>
      </c>
      <c r="B18" s="21">
        <v>1</v>
      </c>
      <c r="C18" s="108" t="s">
        <v>874</v>
      </c>
      <c r="D18" s="277" t="str">
        <f>VLOOKUP(C18,Machined!C:Q,2,0)</f>
        <v>JOINING GEARSHAFT, 12MM</v>
      </c>
      <c r="E18" s="278"/>
      <c r="F18" s="131" t="str">
        <f>VLOOKUP(C18,Machined!C:Q,7,0)</f>
        <v>303 SS - TG&amp;P</v>
      </c>
      <c r="G18" s="131" t="str">
        <f>VLOOKUP(C18,Machined!C:Q,10,0)</f>
        <v>ALEXANDRIA, Nuline</v>
      </c>
      <c r="H18" s="131" t="str">
        <f>VLOOKUP(C18,Machined!C:Q,10,0)</f>
        <v>ALEXANDRIA, Nuline</v>
      </c>
      <c r="I18" s="131"/>
      <c r="J18" s="42" t="str">
        <f>VLOOKUP(C18,Machined!C:Q,10,0)</f>
        <v>ALEXANDRIA, Nuline</v>
      </c>
      <c r="K18" s="42" t="str">
        <f>VLOOKUP(C18,Machined!C:Q,11,0)</f>
        <v xml:space="preserve"> </v>
      </c>
      <c r="L18" s="42" t="str">
        <f>VLOOKUP(C18,Machined!C:Q,12,0)</f>
        <v>N/A</v>
      </c>
      <c r="M18" s="42" t="str">
        <f>VLOOKUP(C18,Machined!C:Q,13,0)</f>
        <v>N/A</v>
      </c>
      <c r="N18" s="43">
        <f>VLOOKUP(C18,Machined!C:R,16,0)</f>
        <v>55018</v>
      </c>
      <c r="O18" s="43" t="e">
        <f t="shared" ca="1" si="6"/>
        <v>#VALUE!</v>
      </c>
      <c r="P18" s="47">
        <f>IFERROR(VLOOKUP(C18,Machined!C:F,3,0),"")</f>
        <v>48.52</v>
      </c>
      <c r="Q18" s="48">
        <f t="shared" si="7"/>
        <v>48.52</v>
      </c>
    </row>
    <row r="19" spans="1:17" s="2" customFormat="1" ht="12.75" customHeight="1">
      <c r="A19" s="127">
        <v>11</v>
      </c>
      <c r="B19" s="21">
        <v>1</v>
      </c>
      <c r="C19" s="108" t="s">
        <v>875</v>
      </c>
      <c r="D19" s="277" t="str">
        <f>VLOOKUP(C19,Machined!C:Q,2,0)</f>
        <v>IDLER GEARSHAFT, CROSS SEAL</v>
      </c>
      <c r="E19" s="278"/>
      <c r="F19" s="131" t="str">
        <f>VLOOKUP(C19,Machined!C:Q,7,0)</f>
        <v>303 SS - TG&amp;P</v>
      </c>
      <c r="G19" s="131" t="str">
        <f>VLOOKUP(C19,Machined!C:Q,10,0)</f>
        <v>ALEXANDRIA, Big Sky</v>
      </c>
      <c r="H19" s="131" t="str">
        <f>VLOOKUP(C19,Machined!C:Q,10,0)</f>
        <v>ALEXANDRIA, Big Sky</v>
      </c>
      <c r="I19" s="131"/>
      <c r="J19" s="42" t="str">
        <f>VLOOKUP(C19,Machined!C:Q,10,0)</f>
        <v>ALEXANDRIA, Big Sky</v>
      </c>
      <c r="K19" s="42" t="str">
        <f>VLOOKUP(C19,Machined!C:Q,11,0)</f>
        <v xml:space="preserve">  </v>
      </c>
      <c r="L19" s="42" t="str">
        <f>VLOOKUP(C19,Machined!C:Q,12,0)</f>
        <v>N/A</v>
      </c>
      <c r="M19" s="42">
        <f>VLOOKUP(C19,Machined!C:Q,13,0)</f>
        <v>45161</v>
      </c>
      <c r="N19" s="43" t="str">
        <f>VLOOKUP(C19,Machined!C:R,16,0)</f>
        <v>55018, 55091</v>
      </c>
      <c r="O19" s="43" t="e">
        <f ca="1">B19*$L$2</f>
        <v>#VALUE!</v>
      </c>
      <c r="P19" s="47">
        <f>IFERROR(VLOOKUP(C19,Machined!C:F,3,0),"")</f>
        <v>35.86</v>
      </c>
      <c r="Q19" s="48">
        <f>IFERROR(B19*P19,"")</f>
        <v>35.86</v>
      </c>
    </row>
    <row r="20" spans="1:17" s="2" customFormat="1" ht="12.75" customHeight="1">
      <c r="A20" s="127">
        <v>12</v>
      </c>
      <c r="B20" s="21">
        <v>4</v>
      </c>
      <c r="C20" s="108" t="s">
        <v>876</v>
      </c>
      <c r="D20" s="277" t="str">
        <f>VLOOKUP(C20,Machined!C:Q,2,0)</f>
        <v>BRL 15mm RUNNER BLOCK SPACER</v>
      </c>
      <c r="E20" s="278"/>
      <c r="F20" s="131" t="str">
        <f>VLOOKUP(C20,Machined!C:Q,7,0)</f>
        <v>6061-T6 Alum</v>
      </c>
      <c r="G20" s="131" t="str">
        <f>VLOOKUP(C20,Machined!C:Q,10,0)</f>
        <v>FRONTIER</v>
      </c>
      <c r="H20" s="131" t="str">
        <f>VLOOKUP(C20,Machined!C:Q,10,0)</f>
        <v>FRONTIER</v>
      </c>
      <c r="I20" s="131"/>
      <c r="J20" s="42" t="str">
        <f>VLOOKUP(C20,Machined!C:Q,10,0)</f>
        <v>FRONTIER</v>
      </c>
      <c r="K20" s="42" t="str">
        <f>VLOOKUP(C20,Machined!C:Q,11,0)</f>
        <v xml:space="preserve">  </v>
      </c>
      <c r="L20" s="42">
        <f>VLOOKUP(C20,Machined!C:Q,12,0)</f>
        <v>45139</v>
      </c>
      <c r="M20" s="42">
        <f>VLOOKUP(C20,Machined!C:Q,13,0)</f>
        <v>45140</v>
      </c>
      <c r="N20" s="43">
        <f>VLOOKUP(C20,Machined!C:R,16,0)</f>
        <v>55025</v>
      </c>
      <c r="O20" s="43" t="e">
        <f ca="1">B20*$L$2</f>
        <v>#VALUE!</v>
      </c>
      <c r="P20" s="47">
        <f>IFERROR(VLOOKUP(C20,Machined!C:F,3,0),"")</f>
        <v>0</v>
      </c>
      <c r="Q20" s="48">
        <f>IFERROR(B20*P20,"")</f>
        <v>0</v>
      </c>
    </row>
    <row r="21" spans="1:17" s="2" customFormat="1" ht="12.75" customHeight="1">
      <c r="A21" s="127">
        <v>13</v>
      </c>
      <c r="B21" s="21">
        <v>2</v>
      </c>
      <c r="C21" s="108" t="s">
        <v>877</v>
      </c>
      <c r="D21" s="277" t="str">
        <f>VLOOKUP(C21,Machined!C:Q,2,0)</f>
        <v>ZIMMER 15mm BRAKE SPACER</v>
      </c>
      <c r="E21" s="278"/>
      <c r="F21" s="131" t="str">
        <f>VLOOKUP(C21,Machined!C:Q,7,0)</f>
        <v>6061-T6 Alum</v>
      </c>
      <c r="G21" s="131" t="str">
        <f>VLOOKUP(C21,Machined!C:Q,10,0)</f>
        <v>FRONTIER</v>
      </c>
      <c r="H21" s="131" t="str">
        <f>VLOOKUP(C21,Machined!C:Q,10,0)</f>
        <v>FRONTIER</v>
      </c>
      <c r="I21" s="131"/>
      <c r="J21" s="42" t="str">
        <f>VLOOKUP(C21,Machined!C:Q,10,0)</f>
        <v>FRONTIER</v>
      </c>
      <c r="K21" s="42" t="str">
        <f>VLOOKUP(C21,Machined!C:Q,11,0)</f>
        <v xml:space="preserve">  </v>
      </c>
      <c r="L21" s="42">
        <f>VLOOKUP(C21,Machined!C:Q,12,0)</f>
        <v>45139</v>
      </c>
      <c r="M21" s="42">
        <f>VLOOKUP(C21,Machined!C:Q,13,0)</f>
        <v>45140</v>
      </c>
      <c r="N21" s="43">
        <f>VLOOKUP(C21,Machined!C:R,16,0)</f>
        <v>55025</v>
      </c>
      <c r="O21" s="43" t="e">
        <f t="shared" ref="O21" ca="1" si="8">B21*$L$2</f>
        <v>#VALUE!</v>
      </c>
      <c r="P21" s="47">
        <f>IFERROR(VLOOKUP(C21,Machined!C:F,3,0),"")</f>
        <v>0</v>
      </c>
      <c r="Q21" s="48">
        <f t="shared" ref="Q21" si="9">IFERROR(B21*P21,"")</f>
        <v>0</v>
      </c>
    </row>
    <row r="22" spans="1:17" s="2" customFormat="1" ht="12.75" customHeight="1">
      <c r="A22" s="242">
        <v>14</v>
      </c>
      <c r="B22" s="243">
        <v>4</v>
      </c>
      <c r="C22" s="108" t="s">
        <v>879</v>
      </c>
      <c r="D22" s="277" t="str">
        <f>VLOOKUP(C22,Machined!C:Q,2,0)</f>
        <v>TENSIONER CAP WASHER</v>
      </c>
      <c r="E22" s="278"/>
      <c r="F22" s="131" t="str">
        <f>VLOOKUP(C22,Machined!C:Q,7,0)</f>
        <v>303 SS - TG&amp;P</v>
      </c>
      <c r="G22" s="131" t="str">
        <f>VLOOKUP(C22,Machined!C:Q,10,0)</f>
        <v>XOMETRY</v>
      </c>
      <c r="H22" s="131" t="str">
        <f>VLOOKUP(C22,Machined!C:Q,10,0)</f>
        <v>XOMETRY</v>
      </c>
      <c r="I22" s="131"/>
      <c r="J22" s="42" t="str">
        <f>VLOOKUP(C22,Machined!C:Q,10,0)</f>
        <v>XOMETRY</v>
      </c>
      <c r="K22" s="42">
        <f>VLOOKUP(C22,Machined!C:Q,11,0)</f>
        <v>0</v>
      </c>
      <c r="L22" s="42">
        <f>VLOOKUP(C22,Machined!C:Q,12,0)</f>
        <v>45228</v>
      </c>
      <c r="M22" s="42">
        <f>VLOOKUP(C22,Machined!C:Q,13,0)</f>
        <v>45228</v>
      </c>
      <c r="N22" s="43">
        <f>VLOOKUP(C22,Machined!C:R,16,0)</f>
        <v>55254</v>
      </c>
      <c r="O22" s="43" t="e">
        <f t="shared" ref="O22:O23" ca="1" si="10">B22*$L$2</f>
        <v>#VALUE!</v>
      </c>
      <c r="P22" s="47">
        <f>IFERROR(VLOOKUP(C22,Machined!C:F,3,0),"")</f>
        <v>1.98</v>
      </c>
      <c r="Q22" s="48">
        <f t="shared" ref="Q22:Q23" si="11">IFERROR(B22*P22,"")</f>
        <v>7.92</v>
      </c>
    </row>
    <row r="23" spans="1:17" s="2" customFormat="1" ht="12.75" customHeight="1">
      <c r="A23" s="242">
        <v>15</v>
      </c>
      <c r="B23" s="243">
        <v>4</v>
      </c>
      <c r="C23" s="108" t="s">
        <v>880</v>
      </c>
      <c r="D23" s="277" t="str">
        <f>VLOOKUP(C23,Machined!C:Q,2,0)</f>
        <v>TENSIONER CAP BRACKET</v>
      </c>
      <c r="E23" s="278"/>
      <c r="F23" s="131" t="str">
        <f>VLOOKUP(C23,Machined!C:Q,7,0)</f>
        <v>303 SS - TG&amp;P</v>
      </c>
      <c r="G23" s="131" t="str">
        <f>VLOOKUP(C23,Machined!C:Q,10,0)</f>
        <v>XOMETRY</v>
      </c>
      <c r="H23" s="131" t="str">
        <f>VLOOKUP(C23,Machined!C:Q,10,0)</f>
        <v>XOMETRY</v>
      </c>
      <c r="I23" s="131"/>
      <c r="J23" s="42" t="str">
        <f>VLOOKUP(C23,Machined!C:Q,10,0)</f>
        <v>XOMETRY</v>
      </c>
      <c r="K23" s="42">
        <f>VLOOKUP(C23,Machined!C:Q,11,0)</f>
        <v>0</v>
      </c>
      <c r="L23" s="42">
        <f>VLOOKUP(C23,Machined!C:Q,12,0)</f>
        <v>45228</v>
      </c>
      <c r="M23" s="42">
        <f>VLOOKUP(C23,Machined!C:Q,13,0)</f>
        <v>45228</v>
      </c>
      <c r="N23" s="43">
        <f>VLOOKUP(C23,Machined!C:R,16,0)</f>
        <v>55254</v>
      </c>
      <c r="O23" s="43" t="e">
        <f t="shared" ca="1" si="10"/>
        <v>#VALUE!</v>
      </c>
      <c r="P23" s="47">
        <f>IFERROR(VLOOKUP(C23,Machined!C:F,3,0),"")</f>
        <v>2.38</v>
      </c>
      <c r="Q23" s="48">
        <f t="shared" si="11"/>
        <v>9.52</v>
      </c>
    </row>
    <row r="24" spans="1:17" s="2" customFormat="1" ht="12.75" customHeight="1">
      <c r="A24" s="143"/>
      <c r="B24" s="26"/>
      <c r="C24" s="26"/>
      <c r="D24" s="272"/>
      <c r="E24" s="273"/>
      <c r="F24" s="26"/>
      <c r="G24" s="26"/>
      <c r="H24" s="274"/>
      <c r="I24" s="275"/>
      <c r="J24" s="27"/>
      <c r="K24" s="27"/>
      <c r="L24" s="27"/>
      <c r="M24" s="28"/>
      <c r="N24" s="29"/>
      <c r="O24" s="29"/>
      <c r="P24" s="141"/>
      <c r="Q24" s="142"/>
    </row>
    <row r="25" spans="1:17" s="2" customFormat="1" ht="12" customHeight="1">
      <c r="A25" s="4">
        <v>301</v>
      </c>
      <c r="B25" s="2">
        <v>4</v>
      </c>
      <c r="C25" s="114" t="s">
        <v>887</v>
      </c>
      <c r="D25" s="268" t="str">
        <f>VLOOKUP(C25,Purchased!A:B,2,0)</f>
        <v>BRL 15mm runner block</v>
      </c>
      <c r="E25" s="269"/>
      <c r="F25" s="112" t="str">
        <f>VLOOKUP(C25,Purchased!A:Q,9,0)</f>
        <v>BRL</v>
      </c>
      <c r="G25" s="112" t="str">
        <f>VLOOKUP(C25,Purchased!A:Q,10,0)</f>
        <v>AAP</v>
      </c>
      <c r="H25" s="112" t="str">
        <f>VLOOKUP(C25,Purchased!A:Q,12,0)</f>
        <v xml:space="preserve"> </v>
      </c>
      <c r="I25" s="113"/>
      <c r="J25" s="44">
        <f>VLOOKUP(C25,Purchased!A:Q,13,0)</f>
        <v>45093</v>
      </c>
      <c r="K25" s="44">
        <f>VLOOKUP(C25,Purchased!A:Q,16,0)</f>
        <v>45184</v>
      </c>
      <c r="L25" s="44">
        <f>VLOOKUP(C25,Purchased!A:Q,15,0)</f>
        <v>45184</v>
      </c>
      <c r="M25" s="44">
        <f>VLOOKUP(C25,Purchased!A:Q,16,0)</f>
        <v>45184</v>
      </c>
      <c r="N25" s="45">
        <f>VLOOKUP(C25,Purchased!A:Q,17,0)</f>
        <v>54942</v>
      </c>
      <c r="O25" s="45" t="e">
        <f t="shared" ref="O25:O61" ca="1" si="12">B25*$L$2</f>
        <v>#VALUE!</v>
      </c>
      <c r="P25" s="49">
        <f>IFERROR(VLOOKUP(C25,Purchased!A:E,3,FALSE),"")</f>
        <v>103.7362</v>
      </c>
      <c r="Q25" s="50">
        <f t="shared" ref="Q25:Q32" si="13">IFERROR(B25*P25,"")</f>
        <v>414.94479999999999</v>
      </c>
    </row>
    <row r="26" spans="1:17" s="2" customFormat="1" ht="12" customHeight="1">
      <c r="A26" s="4">
        <f t="shared" ref="A26:A32" si="14">A25+1</f>
        <v>302</v>
      </c>
      <c r="B26" s="2">
        <v>2</v>
      </c>
      <c r="C26" s="114" t="s">
        <v>900</v>
      </c>
      <c r="D26" s="268" t="str">
        <f>VLOOKUP(C26,Purchased!A:B,2,0)</f>
        <v>MKS Series Pneumatic clamp for 25mm bosch profile rail</v>
      </c>
      <c r="E26" s="269"/>
      <c r="F26" s="112" t="str">
        <f>VLOOKUP(C26,Purchased!A:Q,9,0)</f>
        <v>ZIMMER</v>
      </c>
      <c r="G26" s="112" t="str">
        <f>VLOOKUP(C26,Purchased!A:Q,10,0)</f>
        <v>ZIMMER</v>
      </c>
      <c r="H26" s="112" t="str">
        <f>VLOOKUP(C26,Purchased!A:Q,12,0)</f>
        <v xml:space="preserve"> </v>
      </c>
      <c r="I26" s="113"/>
      <c r="J26" s="44" t="str">
        <f>VLOOKUP(C26,Purchased!A:Q,13,0)</f>
        <v>N/A</v>
      </c>
      <c r="K26" s="44">
        <f>VLOOKUP(C26,Purchased!A:Q,16,0)</f>
        <v>45180</v>
      </c>
      <c r="L26" s="44">
        <f>VLOOKUP(C26,Purchased!A:Q,15,0)</f>
        <v>45147</v>
      </c>
      <c r="M26" s="44">
        <f>VLOOKUP(C26,Purchased!A:Q,16,0)</f>
        <v>45180</v>
      </c>
      <c r="N26" s="45">
        <f>VLOOKUP(C26,Purchased!A:Q,17,0)</f>
        <v>54979</v>
      </c>
      <c r="O26" s="45" t="e">
        <f t="shared" ca="1" si="12"/>
        <v>#VALUE!</v>
      </c>
      <c r="P26" s="49">
        <f>IFERROR(VLOOKUP(C26,Purchased!A:E,3,FALSE),"")</f>
        <v>428.1</v>
      </c>
      <c r="Q26" s="50">
        <f t="shared" si="13"/>
        <v>856.2</v>
      </c>
    </row>
    <row r="27" spans="1:17" s="2" customFormat="1" ht="12" customHeight="1">
      <c r="A27" s="4">
        <f t="shared" si="14"/>
        <v>303</v>
      </c>
      <c r="B27" s="2">
        <v>2</v>
      </c>
      <c r="C27" s="114" t="s">
        <v>1251</v>
      </c>
      <c r="D27" s="268" t="str">
        <f>VLOOKUP(C27,Purchased!A:B,2,0)</f>
        <v>IGUS Iglide Metric Bushing</v>
      </c>
      <c r="E27" s="269"/>
      <c r="F27" s="112" t="str">
        <f>VLOOKUP(C27,Purchased!A:Q,9,0)</f>
        <v>IGUS</v>
      </c>
      <c r="G27" s="112" t="str">
        <f>VLOOKUP(C27,Purchased!A:Q,10,0)</f>
        <v>IGUS</v>
      </c>
      <c r="H27" s="112" t="str">
        <f>VLOOKUP(C27,Purchased!A:Q,12,0)</f>
        <v xml:space="preserve"> </v>
      </c>
      <c r="I27" s="113"/>
      <c r="J27" s="44">
        <f>VLOOKUP(C27,Purchased!A:Q,13,0)</f>
        <v>45125</v>
      </c>
      <c r="K27" s="44">
        <f>VLOOKUP(C27,Purchased!A:Q,16,0)</f>
        <v>45208</v>
      </c>
      <c r="L27" s="44">
        <f>VLOOKUP(C27,Purchased!A:Q,15,0)</f>
        <v>45191</v>
      </c>
      <c r="M27" s="44">
        <f>VLOOKUP(C27,Purchased!A:Q,16,0)</f>
        <v>45208</v>
      </c>
      <c r="N27" s="45">
        <f>VLOOKUP(C27,Purchased!A:Q,17,0)</f>
        <v>55076</v>
      </c>
      <c r="O27" s="45" t="e">
        <f t="shared" ca="1" si="12"/>
        <v>#VALUE!</v>
      </c>
      <c r="P27" s="49">
        <f>IFERROR(VLOOKUP(C27,Purchased!A:E,3,FALSE),"")</f>
        <v>3.23</v>
      </c>
      <c r="Q27" s="50">
        <f t="shared" si="13"/>
        <v>6.46</v>
      </c>
    </row>
    <row r="28" spans="1:17" s="2" customFormat="1" ht="12" customHeight="1">
      <c r="A28" s="4">
        <f t="shared" si="14"/>
        <v>304</v>
      </c>
      <c r="B28" s="2">
        <v>2</v>
      </c>
      <c r="C28" s="114" t="s">
        <v>886</v>
      </c>
      <c r="D28" s="268" t="str">
        <f>VLOOKUP(C28,Purchased!A:B,2,0)</f>
        <v>IGUS Custom Machined Lead Screw</v>
      </c>
      <c r="E28" s="269"/>
      <c r="F28" s="112" t="str">
        <f>VLOOKUP(C28,Purchased!A:Q,9,0)</f>
        <v>IGUS</v>
      </c>
      <c r="G28" s="112" t="str">
        <f>VLOOKUP(C28,Purchased!A:Q,10,0)</f>
        <v>IGUS</v>
      </c>
      <c r="H28" s="112" t="str">
        <f>VLOOKUP(C28,Purchased!A:Q,12,0)</f>
        <v xml:space="preserve"> </v>
      </c>
      <c r="I28" s="113"/>
      <c r="J28" s="44">
        <f>VLOOKUP(C28,Purchased!A:Q,13,0)</f>
        <v>45154</v>
      </c>
      <c r="K28" s="44">
        <f>VLOOKUP(C28,Purchased!A:Q,16,0)</f>
        <v>45208</v>
      </c>
      <c r="L28" s="44">
        <f>VLOOKUP(C28,Purchased!A:Q,15,0)</f>
        <v>45191</v>
      </c>
      <c r="M28" s="44">
        <f>VLOOKUP(C28,Purchased!A:Q,16,0)</f>
        <v>45208</v>
      </c>
      <c r="N28" s="45">
        <f>VLOOKUP(C28,Purchased!A:Q,17,0)</f>
        <v>55076</v>
      </c>
      <c r="O28" s="45" t="e">
        <f t="shared" ca="1" si="12"/>
        <v>#VALUE!</v>
      </c>
      <c r="P28" s="49">
        <f>IFERROR(VLOOKUP(C28,Purchased!A:E,3,FALSE),"")</f>
        <v>174.39</v>
      </c>
      <c r="Q28" s="50">
        <f t="shared" si="13"/>
        <v>348.78</v>
      </c>
    </row>
    <row r="29" spans="1:17" s="2" customFormat="1" ht="12" customHeight="1">
      <c r="A29" s="4">
        <f t="shared" si="14"/>
        <v>305</v>
      </c>
      <c r="B29" s="2">
        <v>10</v>
      </c>
      <c r="C29" s="114" t="s">
        <v>286</v>
      </c>
      <c r="D29" s="268" t="str">
        <f>VLOOKUP(C29,Purchased!A:B,2,0)</f>
        <v>BRX GOTO T-NUT 10 M5</v>
      </c>
      <c r="E29" s="269"/>
      <c r="F29" s="112" t="str">
        <f>VLOOKUP(C29,Purchased!A:Q,9,0)</f>
        <v>BRX</v>
      </c>
      <c r="G29" s="112" t="str">
        <f>VLOOKUP(C29,Purchased!A:Q,10,0)</f>
        <v>AAP</v>
      </c>
      <c r="H29" s="112">
        <f>VLOOKUP(C29,Purchased!A:Q,12,0)</f>
        <v>0</v>
      </c>
      <c r="I29" s="113"/>
      <c r="J29" s="44">
        <f>VLOOKUP(C29,Purchased!A:Q,13,0)</f>
        <v>45104</v>
      </c>
      <c r="K29" s="44">
        <f>VLOOKUP(C29,Purchased!A:Q,16,0)</f>
        <v>45133</v>
      </c>
      <c r="L29" s="44">
        <f>VLOOKUP(C29,Purchased!A:Q,15,0)</f>
        <v>45133</v>
      </c>
      <c r="M29" s="44">
        <f>VLOOKUP(C29,Purchased!A:Q,16,0)</f>
        <v>45133</v>
      </c>
      <c r="N29" s="45" t="str">
        <f>VLOOKUP(C29,Purchased!A:Q,17,0)</f>
        <v>50x54968, 200x55147, 150x55169</v>
      </c>
      <c r="O29" s="45" t="e">
        <f t="shared" ca="1" si="12"/>
        <v>#VALUE!</v>
      </c>
      <c r="P29" s="49">
        <f>IFERROR(VLOOKUP(C29,Purchased!A:E,3,FALSE),"")</f>
        <v>0.64290000000000003</v>
      </c>
      <c r="Q29" s="50">
        <f t="shared" si="13"/>
        <v>6.4290000000000003</v>
      </c>
    </row>
    <row r="30" spans="1:17" s="2" customFormat="1" ht="12" customHeight="1">
      <c r="A30" s="4">
        <f t="shared" si="14"/>
        <v>306</v>
      </c>
      <c r="B30" s="2">
        <v>56</v>
      </c>
      <c r="C30" s="114" t="s">
        <v>262</v>
      </c>
      <c r="D30" s="268" t="str">
        <f>VLOOKUP(C30,Purchased!A:B,2,0)</f>
        <v>BRX GOTO T-NUT 10 M6</v>
      </c>
      <c r="E30" s="269"/>
      <c r="F30" s="112" t="str">
        <f>VLOOKUP(C30,Purchased!A:Q,9,0)</f>
        <v>BRX</v>
      </c>
      <c r="G30" s="112" t="str">
        <f>VLOOKUP(C30,Purchased!A:Q,10,0)</f>
        <v>AAP</v>
      </c>
      <c r="H30" s="112" t="str">
        <f>VLOOKUP(C30,Purchased!A:Q,12,0)</f>
        <v xml:space="preserve">  </v>
      </c>
      <c r="I30" s="113"/>
      <c r="J30" s="44">
        <f>VLOOKUP(C30,Purchased!A:Q,13,0)</f>
        <v>45104</v>
      </c>
      <c r="K30" s="44">
        <f>VLOOKUP(C30,Purchased!A:Q,16,0)</f>
        <v>45133</v>
      </c>
      <c r="L30" s="44">
        <f>VLOOKUP(C30,Purchased!A:Q,15,0)</f>
        <v>45133</v>
      </c>
      <c r="M30" s="44">
        <f>VLOOKUP(C30,Purchased!A:Q,16,0)</f>
        <v>45133</v>
      </c>
      <c r="N30" s="45" t="str">
        <f>VLOOKUP(C30,Purchased!A:Q,17,0)</f>
        <v>54968, 55147, 55270</v>
      </c>
      <c r="O30" s="45" t="e">
        <f t="shared" ca="1" si="12"/>
        <v>#VALUE!</v>
      </c>
      <c r="P30" s="49">
        <f>IFERROR(VLOOKUP(C30,Purchased!A:E,3,FALSE),"")</f>
        <v>0.64290000000000003</v>
      </c>
      <c r="Q30" s="50">
        <f t="shared" si="13"/>
        <v>36.002400000000002</v>
      </c>
    </row>
    <row r="31" spans="1:17" s="2" customFormat="1" ht="12" customHeight="1">
      <c r="A31" s="4">
        <f t="shared" si="14"/>
        <v>307</v>
      </c>
      <c r="B31" s="2">
        <v>48</v>
      </c>
      <c r="C31" s="114" t="s">
        <v>244</v>
      </c>
      <c r="D31" s="268" t="str">
        <f>VLOOKUP(C31,Purchased!A:B,2,0)</f>
        <v>BRX GOTO QUICK CONNECTOR N10 0°</v>
      </c>
      <c r="E31" s="269"/>
      <c r="F31" s="112" t="str">
        <f>VLOOKUP(C31,Purchased!A:Q,9,0)</f>
        <v>BRX</v>
      </c>
      <c r="G31" s="112" t="str">
        <f>VLOOKUP(C31,Purchased!A:Q,10,0)</f>
        <v>AAP</v>
      </c>
      <c r="H31" s="112" t="str">
        <f>VLOOKUP(C31,Purchased!A:Q,12,0)</f>
        <v>17 in stock</v>
      </c>
      <c r="I31" s="113"/>
      <c r="J31" s="44" t="str">
        <f>VLOOKUP(C31,Purchased!A:Q,13,0)</f>
        <v>N/A</v>
      </c>
      <c r="K31" s="44">
        <f>VLOOKUP(C31,Purchased!A:Q,16,0)</f>
        <v>45124</v>
      </c>
      <c r="L31" s="44">
        <f>VLOOKUP(C31,Purchased!A:Q,15,0)</f>
        <v>45124</v>
      </c>
      <c r="M31" s="44">
        <f>VLOOKUP(C31,Purchased!A:Q,16,0)</f>
        <v>45124</v>
      </c>
      <c r="N31" s="45" t="str">
        <f>VLOOKUP(C31,Purchased!A:Q,17,0)</f>
        <v>500x54927, 500x55060</v>
      </c>
      <c r="O31" s="45" t="e">
        <f t="shared" ca="1" si="12"/>
        <v>#VALUE!</v>
      </c>
      <c r="P31" s="49">
        <f>IFERROR(VLOOKUP(C31,Purchased!A:E,3,FALSE),"")</f>
        <v>5.2857000000000003</v>
      </c>
      <c r="Q31" s="50">
        <f t="shared" si="13"/>
        <v>253.71360000000001</v>
      </c>
    </row>
    <row r="32" spans="1:17" s="2" customFormat="1" ht="12" customHeight="1">
      <c r="A32" s="4">
        <f t="shared" si="14"/>
        <v>308</v>
      </c>
      <c r="B32" s="2">
        <v>4</v>
      </c>
      <c r="C32" s="114" t="s">
        <v>1252</v>
      </c>
      <c r="D32" s="268" t="str">
        <f>VLOOKUP(C32,Purchased!A:B,2,0)</f>
        <v>MISUMI Hardened Steel Linear Shaft, 20mm OD 1270mm L</v>
      </c>
      <c r="E32" s="269"/>
      <c r="F32" s="112" t="str">
        <f>VLOOKUP(C32,Purchased!A:Q,9,0)</f>
        <v>MISUMI</v>
      </c>
      <c r="G32" s="112" t="str">
        <f>VLOOKUP(C32,Purchased!A:Q,10,0)</f>
        <v>MISUMI</v>
      </c>
      <c r="H32" s="112" t="str">
        <f>VLOOKUP(C32,Purchased!A:Q,12,0)</f>
        <v xml:space="preserve"> </v>
      </c>
      <c r="I32" s="113"/>
      <c r="J32" s="44" t="str">
        <f>VLOOKUP(C32,Purchased!A:Q,13,0)</f>
        <v>N/A</v>
      </c>
      <c r="K32" s="44">
        <f>VLOOKUP(C32,Purchased!A:Q,16,0)</f>
        <v>45176</v>
      </c>
      <c r="L32" s="44">
        <f>VLOOKUP(C32,Purchased!A:Q,15,0)</f>
        <v>45191</v>
      </c>
      <c r="M32" s="44">
        <f>VLOOKUP(C32,Purchased!A:Q,16,0)</f>
        <v>45176</v>
      </c>
      <c r="N32" s="45">
        <f>VLOOKUP(C32,Purchased!A:Q,17,0)</f>
        <v>55078</v>
      </c>
      <c r="O32" s="45" t="e">
        <f t="shared" ca="1" si="12"/>
        <v>#VALUE!</v>
      </c>
      <c r="P32" s="49">
        <f>IFERROR(VLOOKUP(C32,Purchased!A:E,3,FALSE),"")</f>
        <v>92.55</v>
      </c>
      <c r="Q32" s="50">
        <f t="shared" si="13"/>
        <v>370.2</v>
      </c>
    </row>
    <row r="33" spans="1:17" s="2" customFormat="1" ht="12" customHeight="1">
      <c r="A33" s="4">
        <f t="shared" ref="A33:A56" si="15">A32+1</f>
        <v>309</v>
      </c>
      <c r="B33" s="2">
        <v>4</v>
      </c>
      <c r="C33" s="114" t="s">
        <v>896</v>
      </c>
      <c r="D33" s="268" t="str">
        <f>VLOOKUP(C33,Purchased!A:B,2,0)</f>
        <v>MISUMI Flat Spacers - NICKEL PLATED STEEL, 20MM OD, 10MM ID, 4.5MM THICK</v>
      </c>
      <c r="E33" s="269"/>
      <c r="F33" s="112" t="str">
        <f>VLOOKUP(C33,Purchased!A:Q,9,0)</f>
        <v>MISUMI</v>
      </c>
      <c r="G33" s="112" t="str">
        <f>VLOOKUP(C33,Purchased!A:Q,10,0)</f>
        <v>MISUMI</v>
      </c>
      <c r="H33" s="112" t="str">
        <f>VLOOKUP(C33,Purchased!A:Q,12,0)</f>
        <v xml:space="preserve"> </v>
      </c>
      <c r="I33" s="113"/>
      <c r="J33" s="44" t="str">
        <f>VLOOKUP(C33,Purchased!A:Q,13,0)</f>
        <v>N/A</v>
      </c>
      <c r="K33" s="44">
        <f>VLOOKUP(C33,Purchased!A:Q,16,0)</f>
        <v>45176</v>
      </c>
      <c r="L33" s="44">
        <f>VLOOKUP(C33,Purchased!A:Q,15,0)</f>
        <v>45191</v>
      </c>
      <c r="M33" s="44">
        <f>VLOOKUP(C33,Purchased!A:Q,16,0)</f>
        <v>45176</v>
      </c>
      <c r="N33" s="45" t="str">
        <f>VLOOKUP(C33,Purchased!A:Q,17,0)</f>
        <v>7x55078, 2x55168</v>
      </c>
      <c r="O33" s="45" t="e">
        <f t="shared" ref="O33:O52" ca="1" si="16">B33*$L$2</f>
        <v>#VALUE!</v>
      </c>
      <c r="P33" s="49">
        <f>IFERROR(VLOOKUP(C33,Purchased!A:E,3,FALSE),"")</f>
        <v>15.49</v>
      </c>
      <c r="Q33" s="50">
        <f t="shared" ref="Q33:Q52" si="17">IFERROR(B33*P33,"")</f>
        <v>61.96</v>
      </c>
    </row>
    <row r="34" spans="1:17" s="2" customFormat="1" ht="12" customHeight="1">
      <c r="A34" s="4">
        <f t="shared" si="15"/>
        <v>310</v>
      </c>
      <c r="B34" s="2">
        <v>2</v>
      </c>
      <c r="C34" s="114" t="s">
        <v>897</v>
      </c>
      <c r="D34" s="268" t="str">
        <f>VLOOKUP(C34,Purchased!A:B,2,0)</f>
        <v>Flat Spacers - Configurable Length</v>
      </c>
      <c r="E34" s="269"/>
      <c r="F34" s="112" t="str">
        <f>VLOOKUP(C34,Purchased!A:Q,9,0)</f>
        <v>MISUMI</v>
      </c>
      <c r="G34" s="112" t="str">
        <f>VLOOKUP(C34,Purchased!A:Q,10,0)</f>
        <v>MISUMI</v>
      </c>
      <c r="H34" s="112" t="str">
        <f>VLOOKUP(C34,Purchased!A:Q,12,0)</f>
        <v xml:space="preserve"> </v>
      </c>
      <c r="I34" s="113"/>
      <c r="J34" s="44" t="str">
        <f>VLOOKUP(C34,Purchased!A:Q,13,0)</f>
        <v>N/A</v>
      </c>
      <c r="K34" s="44">
        <f>VLOOKUP(C34,Purchased!A:Q,16,0)</f>
        <v>45205</v>
      </c>
      <c r="L34" s="44">
        <f>VLOOKUP(C34,Purchased!A:Q,15,0)</f>
        <v>45203</v>
      </c>
      <c r="M34" s="44">
        <f>VLOOKUP(C34,Purchased!A:Q,16,0)</f>
        <v>45205</v>
      </c>
      <c r="N34" s="45">
        <f>VLOOKUP(C34,Purchased!A:Q,17,0)</f>
        <v>55168</v>
      </c>
      <c r="O34" s="45" t="e">
        <f t="shared" ca="1" si="16"/>
        <v>#VALUE!</v>
      </c>
      <c r="P34" s="49">
        <f>IFERROR(VLOOKUP(C34,Purchased!A:E,3,FALSE),"")</f>
        <v>15.49</v>
      </c>
      <c r="Q34" s="50">
        <f t="shared" si="17"/>
        <v>30.98</v>
      </c>
    </row>
    <row r="35" spans="1:17" s="2" customFormat="1" ht="12" customHeight="1">
      <c r="A35" s="4">
        <f t="shared" si="15"/>
        <v>311</v>
      </c>
      <c r="B35" s="2">
        <v>2</v>
      </c>
      <c r="C35" s="114" t="s">
        <v>899</v>
      </c>
      <c r="D35" s="268" t="str">
        <f>VLOOKUP(C35,Purchased!A:B,2,0)</f>
        <v>MISUMI Spur Gear Pressure Angle 20, Module 2.0, 20mm Shaft</v>
      </c>
      <c r="E35" s="269"/>
      <c r="F35" s="112" t="str">
        <f>VLOOKUP(C35,Purchased!A:Q,9,0)</f>
        <v>MISUMI</v>
      </c>
      <c r="G35" s="112" t="str">
        <f>VLOOKUP(C35,Purchased!A:Q,10,0)</f>
        <v>MISUMI</v>
      </c>
      <c r="H35" s="112" t="str">
        <f>VLOOKUP(C35,Purchased!A:Q,12,0)</f>
        <v xml:space="preserve"> </v>
      </c>
      <c r="I35" s="113"/>
      <c r="J35" s="44" t="str">
        <f>VLOOKUP(C35,Purchased!A:Q,13,0)</f>
        <v>N/A</v>
      </c>
      <c r="K35" s="44">
        <f>VLOOKUP(C35,Purchased!A:Q,16,0)</f>
        <v>45156</v>
      </c>
      <c r="L35" s="44">
        <f>VLOOKUP(C35,Purchased!A:Q,15,0)</f>
        <v>45153</v>
      </c>
      <c r="M35" s="44">
        <f>VLOOKUP(C35,Purchased!A:Q,16,0)</f>
        <v>45156</v>
      </c>
      <c r="N35" s="45">
        <f>VLOOKUP(C35,Purchased!A:Q,17,0)</f>
        <v>55026</v>
      </c>
      <c r="O35" s="45" t="e">
        <f t="shared" ca="1" si="16"/>
        <v>#VALUE!</v>
      </c>
      <c r="P35" s="49">
        <f>IFERROR(VLOOKUP(C35,Purchased!A:E,3,FALSE),"")</f>
        <v>46.29</v>
      </c>
      <c r="Q35" s="50">
        <f t="shared" si="17"/>
        <v>92.58</v>
      </c>
    </row>
    <row r="36" spans="1:17" s="2" customFormat="1" ht="12" customHeight="1">
      <c r="A36" s="4">
        <f t="shared" si="15"/>
        <v>312</v>
      </c>
      <c r="B36" s="2">
        <v>8</v>
      </c>
      <c r="C36" s="114" t="s">
        <v>889</v>
      </c>
      <c r="D36" s="268" t="str">
        <f>VLOOKUP(C36,Purchased!A:B,2,0)</f>
        <v>Dowel Pin 52100 Alloy Steel, 8 mm Diameter, 50 mm Long, 10pk</v>
      </c>
      <c r="E36" s="269"/>
      <c r="F36" s="112" t="str">
        <f>VLOOKUP(C36,Purchased!A:Q,9,0)</f>
        <v>MCM</v>
      </c>
      <c r="G36" s="112" t="str">
        <f>VLOOKUP(C36,Purchased!A:Q,10,0)</f>
        <v>MCM</v>
      </c>
      <c r="H36" s="112" t="str">
        <f>VLOOKUP(C36,Purchased!A:Q,12,0)</f>
        <v xml:space="preserve"> </v>
      </c>
      <c r="I36" s="113"/>
      <c r="J36" s="44" t="str">
        <f>VLOOKUP(C36,Purchased!A:Q,13,0)</f>
        <v>N/A</v>
      </c>
      <c r="K36" s="44">
        <f>VLOOKUP(C36,Purchased!A:Q,16,0)</f>
        <v>45189</v>
      </c>
      <c r="L36" s="44">
        <f>VLOOKUP(C36,Purchased!A:Q,15,0)</f>
        <v>45189</v>
      </c>
      <c r="M36" s="44">
        <f>VLOOKUP(C36,Purchased!A:Q,16,0)</f>
        <v>45189</v>
      </c>
      <c r="N36" s="45" t="str">
        <f>VLOOKUP(C36,Purchased!A:Q,17,0)</f>
        <v>55088, 55152</v>
      </c>
      <c r="O36" s="45" t="e">
        <f t="shared" ca="1" si="16"/>
        <v>#VALUE!</v>
      </c>
      <c r="P36" s="49">
        <f>IFERROR(VLOOKUP(C36,Purchased!A:E,3,FALSE),"")</f>
        <v>13.02</v>
      </c>
      <c r="Q36" s="50">
        <f t="shared" si="17"/>
        <v>104.16</v>
      </c>
    </row>
    <row r="37" spans="1:17" s="2" customFormat="1" ht="12" customHeight="1">
      <c r="A37" s="4">
        <f t="shared" si="15"/>
        <v>313</v>
      </c>
      <c r="B37" s="2">
        <v>4</v>
      </c>
      <c r="C37" s="114" t="s">
        <v>697</v>
      </c>
      <c r="D37" s="268" t="str">
        <f>VLOOKUP(C37,Purchased!A:B,2,0)</f>
        <v>Threaded Steel Track Roller, Flat without Seal, 26mm Roller Diameter, 12mm Roller Width</v>
      </c>
      <c r="E37" s="269"/>
      <c r="F37" s="112" t="str">
        <f>VLOOKUP(C37,Purchased!A:Q,9,0)</f>
        <v>MOTION</v>
      </c>
      <c r="G37" s="112" t="str">
        <f>VLOOKUP(C37,Purchased!A:Q,10,0)</f>
        <v>MOTION</v>
      </c>
      <c r="H37" s="112" t="str">
        <f>VLOOKUP(C37,Purchased!A:Q,12,0)</f>
        <v>MCM=6314K320</v>
      </c>
      <c r="I37" s="113"/>
      <c r="J37" s="44" t="str">
        <f>VLOOKUP(C37,Purchased!A:Q,13,0)</f>
        <v>N/A</v>
      </c>
      <c r="K37" s="44">
        <f>VLOOKUP(C37,Purchased!A:Q,16,0)</f>
        <v>45169</v>
      </c>
      <c r="L37" s="44">
        <f>VLOOKUP(C37,Purchased!A:Q,15,0)</f>
        <v>45184</v>
      </c>
      <c r="M37" s="44">
        <f>VLOOKUP(C37,Purchased!A:Q,16,0)</f>
        <v>45169</v>
      </c>
      <c r="N37" s="45">
        <f>VLOOKUP(C37,Purchased!A:Q,17,0)</f>
        <v>55097</v>
      </c>
      <c r="O37" s="45" t="e">
        <f t="shared" ca="1" si="16"/>
        <v>#VALUE!</v>
      </c>
      <c r="P37" s="49">
        <f>IFERROR(VLOOKUP(C37,Purchased!A:E,3,FALSE),"")</f>
        <v>26.09</v>
      </c>
      <c r="Q37" s="50">
        <f t="shared" si="17"/>
        <v>104.36</v>
      </c>
    </row>
    <row r="38" spans="1:17" s="2" customFormat="1" ht="12" customHeight="1">
      <c r="A38" s="4">
        <f t="shared" si="15"/>
        <v>314</v>
      </c>
      <c r="B38" s="2">
        <v>4</v>
      </c>
      <c r="C38" s="114" t="s">
        <v>890</v>
      </c>
      <c r="D38" s="268" t="str">
        <f>VLOOKUP(C38,Purchased!A:B,2,0)</f>
        <v>Medium-Strength Steel Thin Hex Nut, Fine-Thread, Zinc-Plated, M10 x 1.25 mm Thread, 100pk</v>
      </c>
      <c r="E38" s="269"/>
      <c r="F38" s="112" t="str">
        <f>VLOOKUP(C38,Purchased!A:Q,9,0)</f>
        <v>MCM</v>
      </c>
      <c r="G38" s="112" t="str">
        <f>VLOOKUP(C38,Purchased!A:Q,10,0)</f>
        <v>MCM</v>
      </c>
      <c r="H38" s="112" t="str">
        <f>VLOOKUP(C38,Purchased!A:Q,12,0)</f>
        <v xml:space="preserve"> </v>
      </c>
      <c r="I38" s="113"/>
      <c r="J38" s="44" t="str">
        <f>VLOOKUP(C38,Purchased!A:Q,13,0)</f>
        <v>N/A</v>
      </c>
      <c r="K38" s="44">
        <f>VLOOKUP(C38,Purchased!A:Q,16,0)</f>
        <v>45163</v>
      </c>
      <c r="L38" s="44">
        <f>VLOOKUP(C38,Purchased!A:Q,15,0)</f>
        <v>45184</v>
      </c>
      <c r="M38" s="44">
        <f>VLOOKUP(C38,Purchased!A:Q,16,0)</f>
        <v>45163</v>
      </c>
      <c r="N38" s="45">
        <f>VLOOKUP(C38,Purchased!A:Q,17,0)</f>
        <v>55088</v>
      </c>
      <c r="O38" s="45" t="e">
        <f t="shared" ca="1" si="16"/>
        <v>#VALUE!</v>
      </c>
      <c r="P38" s="49">
        <f>IFERROR(VLOOKUP(C38,Purchased!A:E,3,FALSE),"")</f>
        <v>15.75</v>
      </c>
      <c r="Q38" s="50">
        <f t="shared" si="17"/>
        <v>63</v>
      </c>
    </row>
    <row r="39" spans="1:17" s="2" customFormat="1" ht="12" customHeight="1">
      <c r="A39" s="4">
        <f t="shared" si="15"/>
        <v>315</v>
      </c>
      <c r="B39" s="240">
        <v>20</v>
      </c>
      <c r="C39" s="114" t="s">
        <v>698</v>
      </c>
      <c r="D39" s="268" t="str">
        <f>VLOOKUP(C39,Purchased!A:B,2,0)</f>
        <v>Zinc-Plated Class 10.9 Steel Washer, M10 Screw Size, 50pk</v>
      </c>
      <c r="E39" s="269"/>
      <c r="F39" s="112" t="str">
        <f>VLOOKUP(C39,Purchased!A:Q,9,0)</f>
        <v>MCM</v>
      </c>
      <c r="G39" s="112" t="str">
        <f>VLOOKUP(C39,Purchased!A:Q,10,0)</f>
        <v>MCM</v>
      </c>
      <c r="H39" s="112" t="str">
        <f>VLOOKUP(C39,Purchased!A:Q,12,0)</f>
        <v xml:space="preserve"> </v>
      </c>
      <c r="I39" s="113"/>
      <c r="J39" s="44" t="str">
        <f>VLOOKUP(C39,Purchased!A:Q,13,0)</f>
        <v>N/A</v>
      </c>
      <c r="K39" s="44">
        <f>VLOOKUP(C39,Purchased!A:Q,16,0)</f>
        <v>45163</v>
      </c>
      <c r="L39" s="44">
        <f>VLOOKUP(C39,Purchased!A:Q,15,0)</f>
        <v>45184</v>
      </c>
      <c r="M39" s="44">
        <f>VLOOKUP(C39,Purchased!A:Q,16,0)</f>
        <v>45163</v>
      </c>
      <c r="N39" s="45">
        <f>VLOOKUP(C39,Purchased!A:Q,17,0)</f>
        <v>55088</v>
      </c>
      <c r="O39" s="45" t="e">
        <f t="shared" ca="1" si="16"/>
        <v>#VALUE!</v>
      </c>
      <c r="P39" s="49">
        <f>IFERROR(VLOOKUP(C39,Purchased!A:E,3,FALSE),"")</f>
        <v>12.41</v>
      </c>
      <c r="Q39" s="50">
        <f t="shared" si="17"/>
        <v>248.2</v>
      </c>
    </row>
    <row r="40" spans="1:17" s="2" customFormat="1" ht="12" customHeight="1">
      <c r="A40" s="4">
        <f t="shared" si="15"/>
        <v>316</v>
      </c>
      <c r="B40" s="2">
        <v>6</v>
      </c>
      <c r="C40" s="114" t="s">
        <v>474</v>
      </c>
      <c r="D40" s="268" t="str">
        <f>VLOOKUP(C40,Purchased!A:B,2,0)</f>
        <v>Ball Bearing Open, Trade Number 608, for 8 mm Shaft Diameter</v>
      </c>
      <c r="E40" s="269"/>
      <c r="F40" s="112" t="str">
        <f>VLOOKUP(C40,Purchased!A:Q,9,0)</f>
        <v>MCM</v>
      </c>
      <c r="G40" s="112" t="str">
        <f>VLOOKUP(C40,Purchased!A:Q,10,0)</f>
        <v>MCM</v>
      </c>
      <c r="H40" s="112" t="str">
        <f>VLOOKUP(C40,Purchased!A:Q,12,0)</f>
        <v xml:space="preserve"> </v>
      </c>
      <c r="I40" s="113"/>
      <c r="J40" s="44" t="str">
        <f>VLOOKUP(C40,Purchased!A:Q,13,0)</f>
        <v>N/A</v>
      </c>
      <c r="K40" s="44">
        <f>VLOOKUP(C40,Purchased!A:Q,16,0)</f>
        <v>45189</v>
      </c>
      <c r="L40" s="44">
        <f>VLOOKUP(C40,Purchased!A:Q,15,0)</f>
        <v>45189</v>
      </c>
      <c r="M40" s="44">
        <f>VLOOKUP(C40,Purchased!A:Q,16,0)</f>
        <v>45189</v>
      </c>
      <c r="N40" s="45" t="str">
        <f>VLOOKUP(C40,Purchased!A:Q,17,0)</f>
        <v>55087, 55152</v>
      </c>
      <c r="O40" s="45" t="e">
        <f t="shared" ca="1" si="16"/>
        <v>#VALUE!</v>
      </c>
      <c r="P40" s="49">
        <f>IFERROR(VLOOKUP(C40,Purchased!A:E,3,FALSE),"")</f>
        <v>4.82</v>
      </c>
      <c r="Q40" s="50">
        <f t="shared" si="17"/>
        <v>28.92</v>
      </c>
    </row>
    <row r="41" spans="1:17" s="2" customFormat="1" ht="12" customHeight="1">
      <c r="A41" s="4">
        <f t="shared" si="15"/>
        <v>317</v>
      </c>
      <c r="B41" s="2">
        <v>4</v>
      </c>
      <c r="C41" s="114" t="s">
        <v>893</v>
      </c>
      <c r="D41" s="268" t="str">
        <f>VLOOKUP(C41,Purchased!A:B,2,0)</f>
        <v>Ball Bearing, Shielded, Trade No. 16004-2Z, for 20 mm Shaft Diameter</v>
      </c>
      <c r="E41" s="269"/>
      <c r="F41" s="112" t="str">
        <f>VLOOKUP(C41,Purchased!A:Q,9,0)</f>
        <v>MOTION</v>
      </c>
      <c r="G41" s="112" t="str">
        <f>VLOOKUP(C41,Purchased!A:Q,10,0)</f>
        <v>MOTION</v>
      </c>
      <c r="H41" s="112" t="str">
        <f>VLOOKUP(C41,Purchased!A:Q,12,0)</f>
        <v>MCM=5972K266</v>
      </c>
      <c r="I41" s="113"/>
      <c r="J41" s="44" t="str">
        <f>VLOOKUP(C41,Purchased!A:Q,13,0)</f>
        <v>N/A</v>
      </c>
      <c r="K41" s="44">
        <f>VLOOKUP(C41,Purchased!A:Q,16,0)</f>
        <v>45191</v>
      </c>
      <c r="L41" s="44">
        <f>VLOOKUP(C41,Purchased!A:Q,15,0)</f>
        <v>45191</v>
      </c>
      <c r="M41" s="44">
        <f>VLOOKUP(C41,Purchased!A:Q,16,0)</f>
        <v>45191</v>
      </c>
      <c r="N41" s="45">
        <f>VLOOKUP(C41,Purchased!A:Q,17,0)</f>
        <v>55079</v>
      </c>
      <c r="O41" s="45" t="e">
        <f t="shared" ca="1" si="16"/>
        <v>#VALUE!</v>
      </c>
      <c r="P41" s="49">
        <f>IFERROR(VLOOKUP(C41,Purchased!A:E,3,FALSE),"")</f>
        <v>27.09</v>
      </c>
      <c r="Q41" s="50">
        <f t="shared" si="17"/>
        <v>108.36</v>
      </c>
    </row>
    <row r="42" spans="1:17" s="2" customFormat="1" ht="12" customHeight="1">
      <c r="A42" s="4">
        <f t="shared" si="15"/>
        <v>318</v>
      </c>
      <c r="B42" s="2">
        <v>2</v>
      </c>
      <c r="C42" s="114" t="s">
        <v>469</v>
      </c>
      <c r="D42" s="268" t="str">
        <f>VLOOKUP(C42,Purchased!A:B,2,0)</f>
        <v>316 Stainless Steel Ring Shim 0.5mm Thick, 8mm ID, 10pk</v>
      </c>
      <c r="E42" s="269"/>
      <c r="F42" s="112" t="str">
        <f>VLOOKUP(C42,Purchased!A:Q,9,0)</f>
        <v>MCM</v>
      </c>
      <c r="G42" s="112" t="str">
        <f>VLOOKUP(C42,Purchased!A:Q,10,0)</f>
        <v>MCM</v>
      </c>
      <c r="H42" s="112" t="str">
        <f>VLOOKUP(C42,Purchased!A:Q,12,0)</f>
        <v>Pack of 10</v>
      </c>
      <c r="I42" s="113"/>
      <c r="J42" s="44" t="str">
        <f>VLOOKUP(C42,Purchased!A:Q,13,0)</f>
        <v>N/A</v>
      </c>
      <c r="K42" s="44">
        <f>VLOOKUP(C42,Purchased!A:Q,16,0)</f>
        <v>45163</v>
      </c>
      <c r="L42" s="44">
        <f>VLOOKUP(C42,Purchased!A:Q,15,0)</f>
        <v>45184</v>
      </c>
      <c r="M42" s="44">
        <f>VLOOKUP(C42,Purchased!A:Q,16,0)</f>
        <v>45163</v>
      </c>
      <c r="N42" s="45">
        <f>VLOOKUP(C42,Purchased!A:Q,17,0)</f>
        <v>55088</v>
      </c>
      <c r="O42" s="45" t="e">
        <f t="shared" ref="O42" ca="1" si="18">B42*$L$2</f>
        <v>#VALUE!</v>
      </c>
      <c r="P42" s="49">
        <f>IFERROR(VLOOKUP(C42,Purchased!A:E,3,FALSE),"")</f>
        <v>12.48</v>
      </c>
      <c r="Q42" s="50">
        <f t="shared" ref="Q42" si="19">IFERROR(B42*P42,"")</f>
        <v>24.96</v>
      </c>
    </row>
    <row r="43" spans="1:17" s="2" customFormat="1" ht="12" customHeight="1">
      <c r="A43" s="4">
        <f t="shared" si="15"/>
        <v>319</v>
      </c>
      <c r="B43" s="2">
        <v>2</v>
      </c>
      <c r="C43" s="114" t="s">
        <v>891</v>
      </c>
      <c r="D43" s="268" t="str">
        <f>VLOOKUP(C43,Purchased!A:B,2,0)</f>
        <v>Clamping Shaft Collar for 20 mm Diameter, Black-Oxide 1215 Carbon Steel</v>
      </c>
      <c r="E43" s="269"/>
      <c r="F43" s="112" t="str">
        <f>VLOOKUP(C43,Purchased!A:Q,9,0)</f>
        <v>MOTION</v>
      </c>
      <c r="G43" s="112" t="str">
        <f>VLOOKUP(C43,Purchased!A:Q,10,0)</f>
        <v>MOTION</v>
      </c>
      <c r="H43" s="112" t="str">
        <f>VLOOKUP(C43,Purchased!A:Q,12,0)</f>
        <v>MCM=57445K73</v>
      </c>
      <c r="I43" s="113"/>
      <c r="J43" s="44" t="str">
        <f>VLOOKUP(C43,Purchased!A:Q,13,0)</f>
        <v>N/A</v>
      </c>
      <c r="K43" s="44">
        <f>VLOOKUP(C43,Purchased!A:Q,16,0)</f>
        <v>45191</v>
      </c>
      <c r="L43" s="44">
        <f>VLOOKUP(C43,Purchased!A:Q,15,0)</f>
        <v>45191</v>
      </c>
      <c r="M43" s="44">
        <f>VLOOKUP(C43,Purchased!A:Q,16,0)</f>
        <v>45191</v>
      </c>
      <c r="N43" s="45">
        <f>VLOOKUP(C43,Purchased!A:Q,17,0)</f>
        <v>55079</v>
      </c>
      <c r="O43" s="45" t="e">
        <f t="shared" ca="1" si="16"/>
        <v>#VALUE!</v>
      </c>
      <c r="P43" s="49">
        <f>IFERROR(VLOOKUP(C43,Purchased!A:E,3,FALSE),"")</f>
        <v>6.24</v>
      </c>
      <c r="Q43" s="50">
        <f t="shared" si="17"/>
        <v>12.48</v>
      </c>
    </row>
    <row r="44" spans="1:17" s="2" customFormat="1" ht="12" customHeight="1">
      <c r="A44" s="4">
        <f t="shared" si="15"/>
        <v>320</v>
      </c>
      <c r="B44" s="2">
        <v>2</v>
      </c>
      <c r="C44" s="114" t="s">
        <v>755</v>
      </c>
      <c r="D44" s="268" t="str">
        <f>VLOOKUP(C44,Purchased!A:B,2,0)</f>
        <v>Two-Piece Shaft Coupling Steel, for 12 mm x 12 mm Diameter Round Shaft</v>
      </c>
      <c r="E44" s="269"/>
      <c r="F44" s="112" t="str">
        <f>VLOOKUP(C44,Purchased!A:Q,9,0)</f>
        <v>MOTION</v>
      </c>
      <c r="G44" s="112" t="str">
        <f>VLOOKUP(C44,Purchased!A:Q,10,0)</f>
        <v>MOTION</v>
      </c>
      <c r="H44" s="112" t="str">
        <f>VLOOKUP(C44,Purchased!A:Q,12,0)</f>
        <v>MCM=6508T54</v>
      </c>
      <c r="I44" s="113"/>
      <c r="J44" s="44" t="str">
        <f>VLOOKUP(C44,Purchased!A:Q,13,0)</f>
        <v>N/A</v>
      </c>
      <c r="K44" s="44">
        <f>VLOOKUP(C44,Purchased!A:Q,16,0)</f>
        <v>45191</v>
      </c>
      <c r="L44" s="44">
        <f>VLOOKUP(C44,Purchased!A:Q,15,0)</f>
        <v>45191</v>
      </c>
      <c r="M44" s="44">
        <f>VLOOKUP(C44,Purchased!A:Q,16,0)</f>
        <v>45191</v>
      </c>
      <c r="N44" s="45" t="str">
        <f>VLOOKUP(C44,Purchased!A:Q,17,0)</f>
        <v>7x55079</v>
      </c>
      <c r="O44" s="45" t="e">
        <f t="shared" ca="1" si="16"/>
        <v>#VALUE!</v>
      </c>
      <c r="P44" s="49">
        <f>IFERROR(VLOOKUP(C44,Purchased!A:E,3,FALSE),"")</f>
        <v>44.78</v>
      </c>
      <c r="Q44" s="50">
        <f t="shared" si="17"/>
        <v>89.56</v>
      </c>
    </row>
    <row r="45" spans="1:17" s="2" customFormat="1" ht="12" customHeight="1">
      <c r="A45" s="4">
        <f t="shared" si="15"/>
        <v>321</v>
      </c>
      <c r="B45" s="2">
        <v>4</v>
      </c>
      <c r="C45" s="114" t="s">
        <v>1176</v>
      </c>
      <c r="D45" s="268" t="str">
        <f>VLOOKUP(C45,Purchased!A:B,2,0)</f>
        <v>18-8 Stainless Steel Round Shim, 0.5mm Thick, 20mm ID, 25pk</v>
      </c>
      <c r="E45" s="269"/>
      <c r="F45" s="112" t="str">
        <f>VLOOKUP(C45,Purchased!A:Q,9,0)</f>
        <v>MCM</v>
      </c>
      <c r="G45" s="112" t="str">
        <f>VLOOKUP(C45,Purchased!A:Q,10,0)</f>
        <v>MCM</v>
      </c>
      <c r="H45" s="112" t="str">
        <f>VLOOKUP(C45,Purchased!A:Q,12,0)</f>
        <v xml:space="preserve"> </v>
      </c>
      <c r="I45" s="113"/>
      <c r="J45" s="44" t="str">
        <f>VLOOKUP(C45,Purchased!A:Q,13,0)</f>
        <v>N/A</v>
      </c>
      <c r="K45" s="44">
        <f>VLOOKUP(C45,Purchased!A:Q,16,0)</f>
        <v>45163</v>
      </c>
      <c r="L45" s="44">
        <f>VLOOKUP(C45,Purchased!A:Q,15,0)</f>
        <v>45184</v>
      </c>
      <c r="M45" s="44">
        <f>VLOOKUP(C45,Purchased!A:Q,16,0)</f>
        <v>45163</v>
      </c>
      <c r="N45" s="45">
        <f>VLOOKUP(C45,Purchased!A:Q,17,0)</f>
        <v>55089</v>
      </c>
      <c r="O45" s="45" t="e">
        <f t="shared" ca="1" si="16"/>
        <v>#VALUE!</v>
      </c>
      <c r="P45" s="49">
        <f>IFERROR(VLOOKUP(C45,Purchased!A:E,3,FALSE),"")</f>
        <v>13.95</v>
      </c>
      <c r="Q45" s="50">
        <f t="shared" si="17"/>
        <v>55.8</v>
      </c>
    </row>
    <row r="46" spans="1:17" s="2" customFormat="1" ht="12" customHeight="1">
      <c r="A46" s="4">
        <f t="shared" si="15"/>
        <v>322</v>
      </c>
      <c r="B46" s="2">
        <v>1</v>
      </c>
      <c r="C46" s="114" t="s">
        <v>895</v>
      </c>
      <c r="D46" s="268" t="str">
        <f>VLOOKUP(C46,Purchased!A:B,2,0)</f>
        <v>Ball Bearing Shielded, Trade No. 6001-2Z, for 12 mm Shaft Diameter</v>
      </c>
      <c r="E46" s="269"/>
      <c r="F46" s="112" t="str">
        <f>VLOOKUP(C46,Purchased!A:Q,9,0)</f>
        <v>MCM</v>
      </c>
      <c r="G46" s="112" t="str">
        <f>VLOOKUP(C46,Purchased!A:Q,10,0)</f>
        <v>MCM</v>
      </c>
      <c r="H46" s="112" t="str">
        <f>VLOOKUP(C46,Purchased!A:Q,12,0)</f>
        <v xml:space="preserve"> </v>
      </c>
      <c r="I46" s="113"/>
      <c r="J46" s="44" t="str">
        <f>VLOOKUP(C46,Purchased!A:Q,13,0)</f>
        <v>N/A</v>
      </c>
      <c r="K46" s="44">
        <f>VLOOKUP(C46,Purchased!A:Q,16,0)</f>
        <v>45166</v>
      </c>
      <c r="L46" s="44">
        <f>VLOOKUP(C46,Purchased!A:Q,15,0)</f>
        <v>45184</v>
      </c>
      <c r="M46" s="44">
        <f>VLOOKUP(C46,Purchased!A:Q,16,0)</f>
        <v>45166</v>
      </c>
      <c r="N46" s="45">
        <f>VLOOKUP(C46,Purchased!A:Q,17,0)</f>
        <v>55087</v>
      </c>
      <c r="O46" s="45" t="e">
        <f t="shared" ca="1" si="16"/>
        <v>#VALUE!</v>
      </c>
      <c r="P46" s="49">
        <f>IFERROR(VLOOKUP(C46,Purchased!A:E,3,FALSE),"")</f>
        <v>8.42</v>
      </c>
      <c r="Q46" s="50">
        <f t="shared" si="17"/>
        <v>8.42</v>
      </c>
    </row>
    <row r="47" spans="1:17" s="2" customFormat="1" ht="12" customHeight="1">
      <c r="A47" s="4">
        <f t="shared" si="15"/>
        <v>323</v>
      </c>
      <c r="B47" s="2">
        <v>1</v>
      </c>
      <c r="C47" s="114" t="s">
        <v>903</v>
      </c>
      <c r="D47" s="268" t="str">
        <f>VLOOKUP(C47,Purchased!A:B,2,0)</f>
        <v>316 Stainless Steel Ring Shim 0.5mm Thick, 12mm ID, 10pk</v>
      </c>
      <c r="E47" s="269"/>
      <c r="F47" s="112" t="str">
        <f>VLOOKUP(C47,Purchased!A:Q,9,0)</f>
        <v>MCM</v>
      </c>
      <c r="G47" s="112" t="str">
        <f>VLOOKUP(C47,Purchased!A:Q,10,0)</f>
        <v>MCM</v>
      </c>
      <c r="H47" s="112" t="str">
        <f>VLOOKUP(C47,Purchased!A:Q,12,0)</f>
        <v>Pack of 10</v>
      </c>
      <c r="I47" s="113"/>
      <c r="J47" s="44" t="str">
        <f>VLOOKUP(C47,Purchased!A:Q,13,0)</f>
        <v>N/A</v>
      </c>
      <c r="K47" s="44">
        <f>VLOOKUP(C47,Purchased!A:Q,16,0)</f>
        <v>45163</v>
      </c>
      <c r="L47" s="44">
        <f>VLOOKUP(C47,Purchased!A:Q,15,0)</f>
        <v>45184</v>
      </c>
      <c r="M47" s="44">
        <f>VLOOKUP(C47,Purchased!A:Q,16,0)</f>
        <v>45163</v>
      </c>
      <c r="N47" s="45">
        <f>VLOOKUP(C47,Purchased!A:Q,17,0)</f>
        <v>55088</v>
      </c>
      <c r="O47" s="45" t="e">
        <f t="shared" ca="1" si="16"/>
        <v>#VALUE!</v>
      </c>
      <c r="P47" s="49">
        <f>IFERROR(VLOOKUP(C47,Purchased!A:E,3,FALSE),"")</f>
        <v>12.97</v>
      </c>
      <c r="Q47" s="50">
        <f t="shared" si="17"/>
        <v>12.97</v>
      </c>
    </row>
    <row r="48" spans="1:17" s="2" customFormat="1" ht="12" customHeight="1">
      <c r="A48" s="4">
        <f t="shared" si="15"/>
        <v>324</v>
      </c>
      <c r="B48" s="2">
        <v>1</v>
      </c>
      <c r="C48" s="114" t="s">
        <v>1110</v>
      </c>
      <c r="D48" s="268" t="str">
        <f>VLOOKUP(C48,Purchased!A:B,2,0)</f>
        <v>Clamping Shaft Collarfor 12 mm Diameter, Black-Oxide 1215 Carbon Steel</v>
      </c>
      <c r="E48" s="269"/>
      <c r="F48" s="112" t="str">
        <f>VLOOKUP(C48,Purchased!A:Q,9,0)</f>
        <v>MOTION</v>
      </c>
      <c r="G48" s="112" t="str">
        <f>VLOOKUP(C48,Purchased!A:Q,10,0)</f>
        <v>MOTION</v>
      </c>
      <c r="H48" s="112" t="str">
        <f>VLOOKUP(C48,Purchased!A:Q,12,0)</f>
        <v>MCM=57445K26</v>
      </c>
      <c r="I48" s="113"/>
      <c r="J48" s="44" t="str">
        <f>VLOOKUP(C48,Purchased!A:Q,13,0)</f>
        <v>N/A</v>
      </c>
      <c r="K48" s="44">
        <f>VLOOKUP(C48,Purchased!A:Q,16,0)</f>
        <v>45191</v>
      </c>
      <c r="L48" s="44">
        <f>VLOOKUP(C48,Purchased!A:Q,15,0)</f>
        <v>45191</v>
      </c>
      <c r="M48" s="44">
        <f>VLOOKUP(C48,Purchased!A:Q,16,0)</f>
        <v>45191</v>
      </c>
      <c r="N48" s="45" t="str">
        <f>VLOOKUP(C48,Purchased!A:Q,17,0)</f>
        <v>11x55079</v>
      </c>
      <c r="O48" s="45" t="e">
        <f t="shared" ca="1" si="16"/>
        <v>#VALUE!</v>
      </c>
      <c r="P48" s="49">
        <f>IFERROR(VLOOKUP(C48,Purchased!A:E,3,FALSE),"")</f>
        <v>1.73</v>
      </c>
      <c r="Q48" s="50">
        <f t="shared" si="17"/>
        <v>1.73</v>
      </c>
    </row>
    <row r="49" spans="1:17" s="2" customFormat="1" ht="12" customHeight="1">
      <c r="A49" s="4">
        <f t="shared" si="15"/>
        <v>325</v>
      </c>
      <c r="B49" s="2">
        <v>2</v>
      </c>
      <c r="C49" s="114" t="s">
        <v>888</v>
      </c>
      <c r="D49" s="268" t="str">
        <f>VLOOKUP(C49,Purchased!A:B,2,0)</f>
        <v>Clamping Shaft Collar for 8 mm Shaft Diameter, Zinc Plated 1215 Carbon Steel</v>
      </c>
      <c r="E49" s="269"/>
      <c r="F49" s="112" t="str">
        <f>VLOOKUP(C49,Purchased!A:Q,9,0)</f>
        <v>MCM</v>
      </c>
      <c r="G49" s="112" t="str">
        <f>VLOOKUP(C49,Purchased!A:Q,10,0)</f>
        <v>MCM</v>
      </c>
      <c r="H49" s="112" t="str">
        <f>VLOOKUP(C49,Purchased!A:Q,12,0)</f>
        <v xml:space="preserve"> </v>
      </c>
      <c r="I49" s="113"/>
      <c r="J49" s="44" t="str">
        <f>VLOOKUP(C49,Purchased!A:Q,13,0)</f>
        <v>N/A</v>
      </c>
      <c r="K49" s="44">
        <f>VLOOKUP(C49,Purchased!A:Q,16,0)</f>
        <v>45166</v>
      </c>
      <c r="L49" s="44">
        <f>VLOOKUP(C49,Purchased!A:Q,15,0)</f>
        <v>45184</v>
      </c>
      <c r="M49" s="44">
        <f>VLOOKUP(C49,Purchased!A:Q,16,0)</f>
        <v>45166</v>
      </c>
      <c r="N49" s="45" t="str">
        <f>VLOOKUP(C49,Purchased!A:Q,17,0)</f>
        <v>5x55087, 1x55167</v>
      </c>
      <c r="O49" s="45" t="e">
        <f t="shared" ca="1" si="16"/>
        <v>#VALUE!</v>
      </c>
      <c r="P49" s="49">
        <f>IFERROR(VLOOKUP(C49,Purchased!A:E,3,FALSE),"")</f>
        <v>10.36</v>
      </c>
      <c r="Q49" s="50">
        <f t="shared" si="17"/>
        <v>20.72</v>
      </c>
    </row>
    <row r="50" spans="1:17" s="2" customFormat="1" ht="12" customHeight="1">
      <c r="A50" s="4">
        <f t="shared" si="15"/>
        <v>326</v>
      </c>
      <c r="B50" s="2">
        <v>2</v>
      </c>
      <c r="C50" s="114" t="s">
        <v>1253</v>
      </c>
      <c r="D50" s="268" t="str">
        <f>VLOOKUP(C50,Purchased!A:B,2,0)</f>
        <v>XL Series Timing Belt Trade No. 570xL037</v>
      </c>
      <c r="E50" s="269"/>
      <c r="F50" s="112" t="str">
        <f>VLOOKUP(C50,Purchased!A:Q,9,0)</f>
        <v>MCM</v>
      </c>
      <c r="G50" s="112" t="str">
        <f>VLOOKUP(C50,Purchased!A:Q,10,0)</f>
        <v>MCM</v>
      </c>
      <c r="H50" s="112" t="str">
        <f>VLOOKUP(C50,Purchased!A:Q,12,0)</f>
        <v xml:space="preserve"> </v>
      </c>
      <c r="I50" s="113"/>
      <c r="J50" s="44" t="str">
        <f>VLOOKUP(C50,Purchased!A:Q,13,0)</f>
        <v>N/A</v>
      </c>
      <c r="K50" s="44">
        <f>VLOOKUP(C50,Purchased!A:Q,16,0)</f>
        <v>45197</v>
      </c>
      <c r="L50" s="44">
        <f>VLOOKUP(C50,Purchased!A:Q,15,0)</f>
        <v>45197</v>
      </c>
      <c r="M50" s="44">
        <f>VLOOKUP(C50,Purchased!A:Q,16,0)</f>
        <v>45197</v>
      </c>
      <c r="N50" s="45">
        <f>VLOOKUP(C50,Purchased!A:Q,17,0)</f>
        <v>55167</v>
      </c>
      <c r="O50" s="45" t="e">
        <f t="shared" ca="1" si="16"/>
        <v>#VALUE!</v>
      </c>
      <c r="P50" s="49">
        <f>IFERROR(VLOOKUP(C50,Purchased!A:E,3,FALSE),"")</f>
        <v>20.04</v>
      </c>
      <c r="Q50" s="50">
        <f t="shared" si="17"/>
        <v>40.08</v>
      </c>
    </row>
    <row r="51" spans="1:17" s="2" customFormat="1" ht="12" customHeight="1">
      <c r="A51" s="4">
        <f t="shared" si="15"/>
        <v>327</v>
      </c>
      <c r="B51" s="2">
        <v>2</v>
      </c>
      <c r="C51" s="114" t="s">
        <v>885</v>
      </c>
      <c r="D51" s="268" t="str">
        <f>VLOOKUP(C51,Purchased!A:B,2,0)</f>
        <v>Corrosion-Resistant Timing Belt Pulley XL Series, Hub, 2 Flanges, 9.5mm Maximum Belt Width, 35mm OD</v>
      </c>
      <c r="E51" s="269"/>
      <c r="F51" s="112" t="str">
        <f>VLOOKUP(C51,Purchased!A:Q,9,0)</f>
        <v>MCM</v>
      </c>
      <c r="G51" s="112" t="str">
        <f>VLOOKUP(C51,Purchased!A:Q,10,0)</f>
        <v>MCM</v>
      </c>
      <c r="H51" s="112" t="str">
        <f>VLOOKUP(C51,Purchased!A:Q,12,0)</f>
        <v xml:space="preserve"> </v>
      </c>
      <c r="I51" s="113"/>
      <c r="J51" s="44" t="str">
        <f>VLOOKUP(C51,Purchased!A:Q,13,0)</f>
        <v>N/A</v>
      </c>
      <c r="K51" s="44">
        <f>VLOOKUP(C51,Purchased!A:Q,16,0)</f>
        <v>45197</v>
      </c>
      <c r="L51" s="44">
        <f>VLOOKUP(C51,Purchased!A:Q,15,0)</f>
        <v>45197</v>
      </c>
      <c r="M51" s="44">
        <f>VLOOKUP(C51,Purchased!A:Q,16,0)</f>
        <v>45197</v>
      </c>
      <c r="N51" s="45">
        <f>VLOOKUP(C51,Purchased!A:Q,17,0)</f>
        <v>55167</v>
      </c>
      <c r="O51" s="45" t="e">
        <f t="shared" ca="1" si="16"/>
        <v>#VALUE!</v>
      </c>
      <c r="P51" s="49">
        <f>IFERROR(VLOOKUP(C51,Purchased!A:E,3,FALSE),"")</f>
        <v>14.84</v>
      </c>
      <c r="Q51" s="50">
        <f t="shared" si="17"/>
        <v>29.68</v>
      </c>
    </row>
    <row r="52" spans="1:17" s="2" customFormat="1" ht="12" customHeight="1">
      <c r="A52" s="4">
        <f t="shared" si="15"/>
        <v>328</v>
      </c>
      <c r="B52" s="2">
        <v>2</v>
      </c>
      <c r="C52" s="114" t="s">
        <v>793</v>
      </c>
      <c r="D52" s="268" t="str">
        <f>VLOOKUP(C52,Purchased!A:B,2,0)</f>
        <v>SMC FITTING, MALE CONNECTOR</v>
      </c>
      <c r="E52" s="269"/>
      <c r="F52" s="112" t="str">
        <f>VLOOKUP(C52,Purchased!A:Q,9,0)</f>
        <v>SMC</v>
      </c>
      <c r="G52" s="112" t="str">
        <f>VLOOKUP(C52,Purchased!A:Q,10,0)</f>
        <v>AAP</v>
      </c>
      <c r="H52" s="112" t="str">
        <f>VLOOKUP(C52,Purchased!A:Q,12,0)</f>
        <v xml:space="preserve">  </v>
      </c>
      <c r="I52" s="113"/>
      <c r="J52" s="44" t="str">
        <f>VLOOKUP(C52,Purchased!A:Q,13,0)</f>
        <v>N/A</v>
      </c>
      <c r="K52" s="44">
        <f>VLOOKUP(C52,Purchased!A:Q,16,0)</f>
        <v>45180</v>
      </c>
      <c r="L52" s="44">
        <f>VLOOKUP(C52,Purchased!A:Q,15,0)</f>
        <v>45184</v>
      </c>
      <c r="M52" s="44">
        <f>VLOOKUP(C52,Purchased!A:Q,16,0)</f>
        <v>45180</v>
      </c>
      <c r="N52" s="45">
        <f>VLOOKUP(C52,Purchased!A:Q,17,0)</f>
        <v>55037</v>
      </c>
      <c r="O52" s="45" t="e">
        <f t="shared" ca="1" si="16"/>
        <v>#VALUE!</v>
      </c>
      <c r="P52" s="49">
        <f>IFERROR(VLOOKUP(C52,Purchased!A:E,3,FALSE),"")</f>
        <v>0.84379999999999999</v>
      </c>
      <c r="Q52" s="50">
        <f t="shared" si="17"/>
        <v>1.6876</v>
      </c>
    </row>
    <row r="53" spans="1:17" s="2" customFormat="1" ht="12" customHeight="1">
      <c r="A53" s="4">
        <f t="shared" si="15"/>
        <v>329</v>
      </c>
      <c r="B53" s="2">
        <v>4</v>
      </c>
      <c r="C53" s="114" t="s">
        <v>245</v>
      </c>
      <c r="D53" s="268" t="str">
        <f>VLOOKUP(C53,Purchased!A:B,2,0)</f>
        <v>BRX 3842548758 Cover Cap 90x90 Grey</v>
      </c>
      <c r="E53" s="269"/>
      <c r="F53" s="112" t="str">
        <f>VLOOKUP(C53,Purchased!A:Q,9,0)</f>
        <v>BRX</v>
      </c>
      <c r="G53" s="112" t="str">
        <f>VLOOKUP(C53,Purchased!A:Q,10,0)</f>
        <v>AAP</v>
      </c>
      <c r="H53" s="112" t="str">
        <f>VLOOKUP(C53,Purchased!A:Q,12,0)</f>
        <v xml:space="preserve"> </v>
      </c>
      <c r="I53" s="113"/>
      <c r="J53" s="44" t="str">
        <f>VLOOKUP(C53,Purchased!A:Q,13,0)</f>
        <v>N/A</v>
      </c>
      <c r="K53" s="44">
        <f>VLOOKUP(C53,Purchased!A:Q,16,0)</f>
        <v>45197</v>
      </c>
      <c r="L53" s="44">
        <f>VLOOKUP(C53,Purchased!A:Q,15,0)</f>
        <v>45184</v>
      </c>
      <c r="M53" s="44">
        <f>VLOOKUP(C53,Purchased!A:Q,16,0)</f>
        <v>45197</v>
      </c>
      <c r="N53" s="45">
        <f>VLOOKUP(C53,Purchased!A:Q,17,0)</f>
        <v>55073</v>
      </c>
      <c r="O53" s="45" t="e">
        <f t="shared" ref="O53" ca="1" si="20">B53*$L$2</f>
        <v>#VALUE!</v>
      </c>
      <c r="P53" s="49">
        <f>IFERROR(VLOOKUP(C53,Purchased!A:E,3,FALSE),"")</f>
        <v>3.2429000000000001</v>
      </c>
      <c r="Q53" s="50">
        <f t="shared" ref="Q53" si="21">IFERROR(B53*P53,"")</f>
        <v>12.9716</v>
      </c>
    </row>
    <row r="54" spans="1:17" s="2" customFormat="1" ht="12" customHeight="1">
      <c r="A54" s="241">
        <f t="shared" si="15"/>
        <v>330</v>
      </c>
      <c r="B54" s="240">
        <v>12</v>
      </c>
      <c r="C54" s="114" t="s">
        <v>894</v>
      </c>
      <c r="D54" s="268" t="str">
        <f>VLOOKUP(C54,Purchased!A:B,2,0)</f>
        <v>Medium-Strength Zinc-Plated Steel Thin Hex Nut, Class 04, M10 x 1.5 mm Thread</v>
      </c>
      <c r="E54" s="269"/>
      <c r="F54" s="112" t="str">
        <f>VLOOKUP(C54,Purchased!A:Q,9,0)</f>
        <v>MCM</v>
      </c>
      <c r="G54" s="112" t="str">
        <f>VLOOKUP(C54,Purchased!A:Q,10,0)</f>
        <v>MCM</v>
      </c>
      <c r="H54" s="112" t="str">
        <f>VLOOKUP(C54,Purchased!A:Q,12,0)</f>
        <v>100+ in NuLine Stock</v>
      </c>
      <c r="I54" s="113"/>
      <c r="J54" s="44" t="str">
        <f>VLOOKUP(C54,Purchased!A:Q,13,0)</f>
        <v>N/A</v>
      </c>
      <c r="K54" s="44" t="str">
        <f>VLOOKUP(C54,Purchased!A:Q,16,0)</f>
        <v>N/A</v>
      </c>
      <c r="L54" s="44" t="str">
        <f>VLOOKUP(C54,Purchased!A:Q,15,0)</f>
        <v>N/A</v>
      </c>
      <c r="M54" s="44" t="str">
        <f>VLOOKUP(C54,Purchased!A:Q,16,0)</f>
        <v>N/A</v>
      </c>
      <c r="N54" s="45" t="str">
        <f>VLOOKUP(C54,Purchased!A:Q,17,0)</f>
        <v>N/A</v>
      </c>
      <c r="O54" s="45" t="e">
        <f t="shared" ref="O54:O55" ca="1" si="22">B54*$L$2</f>
        <v>#VALUE!</v>
      </c>
      <c r="P54" s="49">
        <f>IFERROR(VLOOKUP(C54,Purchased!A:E,3,FALSE),"")</f>
        <v>12.85</v>
      </c>
      <c r="Q54" s="50">
        <f t="shared" ref="Q54:Q55" si="23">IFERROR(B54*P54,"")</f>
        <v>154.19999999999999</v>
      </c>
    </row>
    <row r="55" spans="1:17" s="2" customFormat="1" ht="12" customHeight="1">
      <c r="A55" s="241">
        <f t="shared" si="15"/>
        <v>331</v>
      </c>
      <c r="B55" s="240">
        <v>4</v>
      </c>
      <c r="C55" s="114" t="s">
        <v>904</v>
      </c>
      <c r="D55" s="268" t="str">
        <f>VLOOKUP(C55,Purchased!A:B,2,0)</f>
        <v>Button Head Hex Drive Screws, Zinc-Plated Alloy Steel, M10 x 1.5 mm Thread, 40 mm Long</v>
      </c>
      <c r="E55" s="269"/>
      <c r="F55" s="112" t="str">
        <f>VLOOKUP(C55,Purchased!A:Q,9,0)</f>
        <v>MCM</v>
      </c>
      <c r="G55" s="112" t="str">
        <f>VLOOKUP(C55,Purchased!A:Q,10,0)</f>
        <v>MCM</v>
      </c>
      <c r="H55" s="112">
        <f>VLOOKUP(C55,Purchased!A:Q,12,0)</f>
        <v>0</v>
      </c>
      <c r="I55" s="113"/>
      <c r="J55" s="44" t="str">
        <f>VLOOKUP(C55,Purchased!A:Q,13,0)</f>
        <v>N/A</v>
      </c>
      <c r="K55" s="44">
        <f>VLOOKUP(C55,Purchased!A:Q,16,0)</f>
        <v>45230</v>
      </c>
      <c r="L55" s="44">
        <f>VLOOKUP(C55,Purchased!A:Q,15,0)</f>
        <v>45230</v>
      </c>
      <c r="M55" s="44">
        <f>VLOOKUP(C55,Purchased!A:Q,16,0)</f>
        <v>45230</v>
      </c>
      <c r="N55" s="45">
        <f>VLOOKUP(C55,Purchased!A:Q,17,0)</f>
        <v>55262</v>
      </c>
      <c r="O55" s="45" t="e">
        <f t="shared" ca="1" si="22"/>
        <v>#VALUE!</v>
      </c>
      <c r="P55" s="49">
        <f>IFERROR(VLOOKUP(C55,Purchased!A:E,3,FALSE),"")</f>
        <v>12.35</v>
      </c>
      <c r="Q55" s="50">
        <f t="shared" si="23"/>
        <v>49.4</v>
      </c>
    </row>
    <row r="56" spans="1:17" s="2" customFormat="1" ht="12" customHeight="1">
      <c r="A56" s="241">
        <f t="shared" si="15"/>
        <v>332</v>
      </c>
      <c r="B56" s="240">
        <v>4</v>
      </c>
      <c r="C56" s="114" t="s">
        <v>905</v>
      </c>
      <c r="D56" s="268" t="str">
        <f>VLOOKUP(C56,Purchased!A:B,2,0)</f>
        <v>Clamping Two-Piece Shaft Collar for 12mm Diameter, Chrome Plated 1215 Carbon Steel</v>
      </c>
      <c r="E56" s="269"/>
      <c r="F56" s="112" t="str">
        <f>VLOOKUP(C56,Purchased!A:Q,9,0)</f>
        <v>MCM</v>
      </c>
      <c r="G56" s="112" t="str">
        <f>VLOOKUP(C56,Purchased!A:Q,10,0)</f>
        <v>MCM</v>
      </c>
      <c r="H56" s="112">
        <f>VLOOKUP(C56,Purchased!A:Q,12,0)</f>
        <v>0</v>
      </c>
      <c r="I56" s="113"/>
      <c r="J56" s="44" t="str">
        <f>VLOOKUP(C56,Purchased!A:Q,13,0)</f>
        <v>N/A</v>
      </c>
      <c r="K56" s="44">
        <f>VLOOKUP(C56,Purchased!A:Q,16,0)</f>
        <v>45230</v>
      </c>
      <c r="L56" s="44">
        <f>VLOOKUP(C56,Purchased!A:Q,15,0)</f>
        <v>45230</v>
      </c>
      <c r="M56" s="44">
        <f>VLOOKUP(C56,Purchased!A:Q,16,0)</f>
        <v>45230</v>
      </c>
      <c r="N56" s="45">
        <f>VLOOKUP(C56,Purchased!A:Q,17,0)</f>
        <v>55262</v>
      </c>
      <c r="O56" s="45" t="e">
        <f t="shared" ref="O56" ca="1" si="24">B56*$L$2</f>
        <v>#VALUE!</v>
      </c>
      <c r="P56" s="49">
        <f>IFERROR(VLOOKUP(C56,Purchased!A:E,3,FALSE),"")</f>
        <v>16.03</v>
      </c>
      <c r="Q56" s="50">
        <f t="shared" ref="Q56" si="25">IFERROR(B56*P56,"")</f>
        <v>64.12</v>
      </c>
    </row>
    <row r="57" spans="1:17" s="2" customFormat="1" ht="12.75" customHeight="1">
      <c r="A57" s="25"/>
      <c r="B57" s="26"/>
      <c r="C57" s="26"/>
      <c r="D57" s="272"/>
      <c r="E57" s="273"/>
      <c r="F57" s="26"/>
      <c r="G57" s="26"/>
      <c r="H57" s="274"/>
      <c r="I57" s="275"/>
      <c r="J57" s="27"/>
      <c r="K57" s="27"/>
      <c r="L57" s="27"/>
      <c r="M57" s="28"/>
      <c r="N57" s="29"/>
      <c r="O57" s="29" t="e">
        <f t="shared" ca="1" si="12"/>
        <v>#VALUE!</v>
      </c>
      <c r="P57" s="141"/>
      <c r="Q57" s="142"/>
    </row>
    <row r="58" spans="1:17" s="2" customFormat="1" ht="12.75" customHeight="1">
      <c r="A58" s="4">
        <v>501</v>
      </c>
      <c r="B58" s="2">
        <v>8</v>
      </c>
      <c r="C58" s="110" t="s">
        <v>906</v>
      </c>
      <c r="D58" s="268"/>
      <c r="E58" s="276"/>
      <c r="F58" s="112" t="str">
        <f>VLOOKUP(C58,Bolts!A:L,5,0)</f>
        <v xml:space="preserve">  </v>
      </c>
      <c r="G58" s="112" t="str">
        <f>VLOOKUP(C58,Bolts!A:L,6,0)</f>
        <v>Monroe Fasteners</v>
      </c>
      <c r="H58" s="112" t="str">
        <f>VLOOKUP(C58,Bolts!A:L,7,0)</f>
        <v xml:space="preserve">  </v>
      </c>
      <c r="I58" s="112"/>
      <c r="J58" s="44" t="str">
        <f>VLOOKUP(C58,Bolts!A:L,8,0)</f>
        <v xml:space="preserve"> </v>
      </c>
      <c r="K58" s="44" t="str">
        <f>VLOOKUP(C58,Bolts!A:L,9,0)</f>
        <v xml:space="preserve"> </v>
      </c>
      <c r="L58" s="44" t="str">
        <f>VLOOKUP(C58,Bolts!A:L,10,0)</f>
        <v xml:space="preserve"> </v>
      </c>
      <c r="M58" s="44" t="str">
        <f>VLOOKUP(C58,Bolts!A:L,11,0)</f>
        <v xml:space="preserve"> </v>
      </c>
      <c r="N58" s="45" t="str">
        <f>VLOOKUP(C58,Bolts!A:L,12,0)</f>
        <v xml:space="preserve"> </v>
      </c>
      <c r="O58" s="45" t="e">
        <f t="shared" ca="1" si="12"/>
        <v>#VALUE!</v>
      </c>
      <c r="P58" s="49" t="str">
        <f>IFERROR(VLOOKUP(C58,Bolts!A:B,2,FALSE),"")</f>
        <v xml:space="preserve"> </v>
      </c>
      <c r="Q58" s="50" t="str">
        <f t="shared" ref="Q58:Q61" si="26">IFERROR(B58*P58,"")</f>
        <v/>
      </c>
    </row>
    <row r="59" spans="1:17" s="2" customFormat="1" ht="12.75" customHeight="1">
      <c r="A59" s="4">
        <f>A58+1</f>
        <v>502</v>
      </c>
      <c r="B59" s="2">
        <v>16</v>
      </c>
      <c r="C59" s="110" t="s">
        <v>668</v>
      </c>
      <c r="D59" s="164"/>
      <c r="E59" s="165"/>
      <c r="F59" s="112"/>
      <c r="G59" s="112"/>
      <c r="H59" s="112"/>
      <c r="I59" s="112"/>
      <c r="J59" s="44"/>
      <c r="K59" s="44"/>
      <c r="L59" s="44"/>
      <c r="M59" s="44"/>
      <c r="N59" s="45"/>
      <c r="O59" s="45" t="e">
        <f t="shared" ca="1" si="12"/>
        <v>#VALUE!</v>
      </c>
      <c r="P59" s="49"/>
      <c r="Q59" s="50"/>
    </row>
    <row r="60" spans="1:17" s="2" customFormat="1" ht="12" customHeight="1">
      <c r="A60" s="4">
        <f t="shared" ref="A60:A67" si="27">A59+1</f>
        <v>503</v>
      </c>
      <c r="B60" s="2">
        <v>2</v>
      </c>
      <c r="C60" s="110" t="s">
        <v>638</v>
      </c>
      <c r="D60" s="268"/>
      <c r="E60" s="276"/>
      <c r="F60" s="112" t="str">
        <f>VLOOKUP(C60,Bolts!A:L,5,0)</f>
        <v xml:space="preserve">  </v>
      </c>
      <c r="G60" s="112" t="str">
        <f>VLOOKUP(C60,Bolts!A:L,6,0)</f>
        <v>Monroe Fasteners</v>
      </c>
      <c r="H60" s="112" t="str">
        <f>VLOOKUP(C60,Bolts!A:L,7,0)</f>
        <v xml:space="preserve">  </v>
      </c>
      <c r="I60" s="112"/>
      <c r="J60" s="44" t="str">
        <f>VLOOKUP(C60,Bolts!A:L,8,0)</f>
        <v xml:space="preserve"> </v>
      </c>
      <c r="K60" s="44" t="str">
        <f>VLOOKUP(C60,Bolts!A:L,9,0)</f>
        <v xml:space="preserve"> </v>
      </c>
      <c r="L60" s="44" t="str">
        <f>VLOOKUP(C60,Bolts!A:L,10,0)</f>
        <v xml:space="preserve"> </v>
      </c>
      <c r="M60" s="44" t="str">
        <f>VLOOKUP(C60,Bolts!A:L,11,0)</f>
        <v xml:space="preserve"> </v>
      </c>
      <c r="N60" s="45" t="str">
        <f>VLOOKUP(C60,Bolts!A:L,12,0)</f>
        <v xml:space="preserve"> </v>
      </c>
      <c r="O60" s="45" t="e">
        <f t="shared" ca="1" si="12"/>
        <v>#VALUE!</v>
      </c>
      <c r="P60" s="49" t="str">
        <f>IFERROR(VLOOKUP(C60,Bolts!A:B,2,FALSE),"")</f>
        <v xml:space="preserve"> </v>
      </c>
      <c r="Q60" s="50" t="str">
        <f t="shared" si="26"/>
        <v/>
      </c>
    </row>
    <row r="61" spans="1:17" s="2" customFormat="1" ht="12" customHeight="1">
      <c r="A61" s="4">
        <f t="shared" si="27"/>
        <v>504</v>
      </c>
      <c r="B61" s="2">
        <v>8</v>
      </c>
      <c r="C61" s="110" t="s">
        <v>540</v>
      </c>
      <c r="D61" s="268"/>
      <c r="E61" s="276"/>
      <c r="F61" s="112" t="str">
        <f>VLOOKUP(C61,Bolts!A:L,5,0)</f>
        <v xml:space="preserve">  </v>
      </c>
      <c r="G61" s="112" t="str">
        <f>VLOOKUP(C61,Bolts!A:L,6,0)</f>
        <v>Monroe Fasteners</v>
      </c>
      <c r="H61" s="112" t="str">
        <f>VLOOKUP(C61,Bolts!A:L,7,0)</f>
        <v xml:space="preserve">  </v>
      </c>
      <c r="I61" s="112"/>
      <c r="J61" s="44" t="str">
        <f>VLOOKUP(C61,Bolts!A:L,8,0)</f>
        <v xml:space="preserve"> </v>
      </c>
      <c r="K61" s="44" t="str">
        <f>VLOOKUP(C61,Bolts!A:L,9,0)</f>
        <v xml:space="preserve"> </v>
      </c>
      <c r="L61" s="44" t="str">
        <f>VLOOKUP(C61,Bolts!A:L,10,0)</f>
        <v xml:space="preserve"> </v>
      </c>
      <c r="M61" s="44" t="str">
        <f>VLOOKUP(C61,Bolts!A:L,11,0)</f>
        <v xml:space="preserve"> </v>
      </c>
      <c r="N61" s="45" t="str">
        <f>VLOOKUP(C61,Bolts!A:L,12,0)</f>
        <v xml:space="preserve"> </v>
      </c>
      <c r="O61" s="45" t="e">
        <f t="shared" ca="1" si="12"/>
        <v>#VALUE!</v>
      </c>
      <c r="P61" s="49" t="str">
        <f>IFERROR(VLOOKUP(C61,Bolts!A:B,2,FALSE),"")</f>
        <v xml:space="preserve"> </v>
      </c>
      <c r="Q61" s="50" t="str">
        <f t="shared" si="26"/>
        <v/>
      </c>
    </row>
    <row r="62" spans="1:17" s="2" customFormat="1" ht="12" customHeight="1">
      <c r="A62" s="4">
        <f t="shared" si="27"/>
        <v>505</v>
      </c>
      <c r="B62" s="2">
        <v>2</v>
      </c>
      <c r="C62" s="110" t="s">
        <v>1254</v>
      </c>
      <c r="D62" s="268"/>
      <c r="E62" s="276"/>
      <c r="F62" s="112" t="str">
        <f>VLOOKUP(C62,Bolts!A:L,5,0)</f>
        <v xml:space="preserve">  </v>
      </c>
      <c r="G62" s="112" t="str">
        <f>VLOOKUP(C62,Bolts!A:L,6,0)</f>
        <v>Monroe Fasteners</v>
      </c>
      <c r="H62" s="112" t="str">
        <f>VLOOKUP(C62,Bolts!A:L,7,0)</f>
        <v xml:space="preserve">  </v>
      </c>
      <c r="I62" s="112"/>
      <c r="J62" s="44" t="str">
        <f>VLOOKUP(C62,Bolts!A:L,8,0)</f>
        <v xml:space="preserve"> </v>
      </c>
      <c r="K62" s="44" t="str">
        <f>VLOOKUP(C62,Bolts!A:L,9,0)</f>
        <v xml:space="preserve"> </v>
      </c>
      <c r="L62" s="44" t="str">
        <f>VLOOKUP(C62,Bolts!A:L,10,0)</f>
        <v xml:space="preserve"> </v>
      </c>
      <c r="M62" s="44" t="str">
        <f>VLOOKUP(C62,Bolts!A:L,11,0)</f>
        <v xml:space="preserve"> </v>
      </c>
      <c r="N62" s="45" t="str">
        <f>VLOOKUP(C62,Bolts!A:L,12,0)</f>
        <v xml:space="preserve"> </v>
      </c>
      <c r="O62" s="45" t="e">
        <f t="shared" ref="O62:O67" ca="1" si="28">B62*$L$2</f>
        <v>#VALUE!</v>
      </c>
      <c r="P62" s="49" t="str">
        <f>IFERROR(VLOOKUP(C62,Bolts!A:B,2,FALSE),"")</f>
        <v xml:space="preserve"> </v>
      </c>
      <c r="Q62" s="50" t="str">
        <f>IFERROR(B62*P62,"")</f>
        <v/>
      </c>
    </row>
    <row r="63" spans="1:17" s="2" customFormat="1" ht="12" customHeight="1">
      <c r="A63" s="4">
        <f t="shared" si="27"/>
        <v>506</v>
      </c>
      <c r="B63" s="2">
        <v>16</v>
      </c>
      <c r="C63" s="110" t="s">
        <v>699</v>
      </c>
      <c r="D63" s="268"/>
      <c r="E63" s="276"/>
      <c r="F63" s="112" t="str">
        <f>VLOOKUP(C63,Bolts!A:L,5,0)</f>
        <v xml:space="preserve">  </v>
      </c>
      <c r="G63" s="112" t="str">
        <f>VLOOKUP(C63,Bolts!A:L,6,0)</f>
        <v>Monroe Fasteners</v>
      </c>
      <c r="H63" s="112" t="str">
        <f>VLOOKUP(C63,Bolts!A:L,7,0)</f>
        <v xml:space="preserve">  </v>
      </c>
      <c r="I63" s="112"/>
      <c r="J63" s="44" t="str">
        <f>VLOOKUP(C63,Bolts!A:L,8,0)</f>
        <v xml:space="preserve"> </v>
      </c>
      <c r="K63" s="44" t="str">
        <f>VLOOKUP(C63,Bolts!A:L,9,0)</f>
        <v xml:space="preserve"> </v>
      </c>
      <c r="L63" s="44" t="str">
        <f>VLOOKUP(C63,Bolts!A:L,10,0)</f>
        <v xml:space="preserve"> </v>
      </c>
      <c r="M63" s="44" t="str">
        <f>VLOOKUP(C63,Bolts!A:L,11,0)</f>
        <v xml:space="preserve"> </v>
      </c>
      <c r="N63" s="45" t="str">
        <f>VLOOKUP(C63,Bolts!A:L,12,0)</f>
        <v xml:space="preserve"> </v>
      </c>
      <c r="O63" s="45" t="e">
        <f t="shared" ca="1" si="28"/>
        <v>#VALUE!</v>
      </c>
      <c r="P63" s="49" t="str">
        <f>IFERROR(VLOOKUP(C63,Bolts!A:B,2,FALSE),"")</f>
        <v xml:space="preserve"> </v>
      </c>
      <c r="Q63" s="50" t="str">
        <f>IFERROR(B63*P63,"")</f>
        <v/>
      </c>
    </row>
    <row r="64" spans="1:17" s="2" customFormat="1" ht="12" customHeight="1">
      <c r="A64" s="4">
        <f t="shared" si="27"/>
        <v>507</v>
      </c>
      <c r="B64" s="2">
        <v>8</v>
      </c>
      <c r="C64" s="110" t="s">
        <v>828</v>
      </c>
      <c r="D64" s="268"/>
      <c r="E64" s="276"/>
      <c r="F64" s="112" t="str">
        <f>VLOOKUP(C64,Bolts!A:L,5,0)</f>
        <v xml:space="preserve">  </v>
      </c>
      <c r="G64" s="112" t="str">
        <f>VLOOKUP(C64,Bolts!A:L,6,0)</f>
        <v>Monroe Fasteners</v>
      </c>
      <c r="H64" s="112" t="str">
        <f>VLOOKUP(C64,Bolts!A:L,7,0)</f>
        <v xml:space="preserve">  </v>
      </c>
      <c r="I64" s="112"/>
      <c r="J64" s="44" t="str">
        <f>VLOOKUP(C64,Bolts!A:L,8,0)</f>
        <v xml:space="preserve"> </v>
      </c>
      <c r="K64" s="44" t="str">
        <f>VLOOKUP(C64,Bolts!A:L,9,0)</f>
        <v xml:space="preserve"> </v>
      </c>
      <c r="L64" s="44" t="str">
        <f>VLOOKUP(C64,Bolts!A:L,10,0)</f>
        <v xml:space="preserve"> </v>
      </c>
      <c r="M64" s="44" t="str">
        <f>VLOOKUP(C64,Bolts!A:L,11,0)</f>
        <v xml:space="preserve"> </v>
      </c>
      <c r="N64" s="45" t="str">
        <f>VLOOKUP(C64,Bolts!A:L,12,0)</f>
        <v xml:space="preserve"> </v>
      </c>
      <c r="O64" s="45" t="e">
        <f t="shared" ca="1" si="28"/>
        <v>#VALUE!</v>
      </c>
      <c r="P64" s="49" t="str">
        <f>IFERROR(VLOOKUP(C64,Bolts!A:B,2,FALSE),"")</f>
        <v xml:space="preserve"> </v>
      </c>
      <c r="Q64" s="50" t="str">
        <f>IFERROR(B64*P64,"")</f>
        <v/>
      </c>
    </row>
    <row r="65" spans="1:17" s="2" customFormat="1" ht="12" customHeight="1">
      <c r="A65" s="4">
        <f t="shared" si="27"/>
        <v>508</v>
      </c>
      <c r="B65" s="2">
        <v>44</v>
      </c>
      <c r="C65" s="110" t="s">
        <v>278</v>
      </c>
      <c r="D65" s="268"/>
      <c r="E65" s="276"/>
      <c r="F65" s="112" t="str">
        <f>VLOOKUP(C65,Bolts!A:L,5,0)</f>
        <v xml:space="preserve">  </v>
      </c>
      <c r="G65" s="112" t="str">
        <f>VLOOKUP(C65,Bolts!A:L,6,0)</f>
        <v>Monroe Fasteners</v>
      </c>
      <c r="H65" s="112" t="str">
        <f>VLOOKUP(C65,Bolts!A:L,7,0)</f>
        <v xml:space="preserve">  </v>
      </c>
      <c r="I65" s="112"/>
      <c r="J65" s="44" t="str">
        <f>VLOOKUP(C65,Bolts!A:L,8,0)</f>
        <v xml:space="preserve"> </v>
      </c>
      <c r="K65" s="44" t="str">
        <f>VLOOKUP(C65,Bolts!A:L,9,0)</f>
        <v xml:space="preserve"> </v>
      </c>
      <c r="L65" s="44" t="str">
        <f>VLOOKUP(C65,Bolts!A:L,10,0)</f>
        <v xml:space="preserve"> </v>
      </c>
      <c r="M65" s="44" t="str">
        <f>VLOOKUP(C65,Bolts!A:L,11,0)</f>
        <v xml:space="preserve"> </v>
      </c>
      <c r="N65" s="45" t="str">
        <f>VLOOKUP(C65,Bolts!A:L,12,0)</f>
        <v xml:space="preserve"> </v>
      </c>
      <c r="O65" s="45" t="e">
        <f t="shared" ca="1" si="28"/>
        <v>#VALUE!</v>
      </c>
      <c r="P65" s="49" t="str">
        <f>IFERROR(VLOOKUP(C65,Bolts!A:B,2,FALSE),"")</f>
        <v xml:space="preserve"> </v>
      </c>
      <c r="Q65" s="50" t="str">
        <f>IFERROR(B65*P65,"")</f>
        <v/>
      </c>
    </row>
    <row r="66" spans="1:17" s="2" customFormat="1" ht="12" customHeight="1">
      <c r="A66" s="4">
        <f t="shared" si="27"/>
        <v>509</v>
      </c>
      <c r="B66" s="2">
        <v>8</v>
      </c>
      <c r="C66" s="110" t="s">
        <v>479</v>
      </c>
      <c r="D66" s="164"/>
      <c r="E66" s="165"/>
      <c r="F66" s="112"/>
      <c r="G66" s="112"/>
      <c r="H66" s="112"/>
      <c r="I66" s="112"/>
      <c r="J66" s="44"/>
      <c r="K66" s="44"/>
      <c r="L66" s="44"/>
      <c r="M66" s="44"/>
      <c r="N66" s="45"/>
      <c r="O66" s="45" t="e">
        <f t="shared" ca="1" si="28"/>
        <v>#VALUE!</v>
      </c>
      <c r="P66" s="49"/>
      <c r="Q66" s="50"/>
    </row>
    <row r="67" spans="1:17" s="2" customFormat="1" ht="12" customHeight="1">
      <c r="A67" s="4">
        <f t="shared" si="27"/>
        <v>510</v>
      </c>
      <c r="B67" s="2">
        <v>20</v>
      </c>
      <c r="C67" s="110" t="s">
        <v>801</v>
      </c>
      <c r="D67" s="268"/>
      <c r="E67" s="276"/>
      <c r="F67" s="112" t="str">
        <f>VLOOKUP(C67,Bolts!A:L,5,0)</f>
        <v xml:space="preserve">  </v>
      </c>
      <c r="G67" s="112" t="str">
        <f>VLOOKUP(C67,Bolts!A:L,6,0)</f>
        <v>Monroe Fasteners</v>
      </c>
      <c r="H67" s="112" t="str">
        <f>VLOOKUP(C67,Bolts!A:L,7,0)</f>
        <v xml:space="preserve">  </v>
      </c>
      <c r="I67" s="112"/>
      <c r="J67" s="44" t="str">
        <f>VLOOKUP(C67,Bolts!A:L,8,0)</f>
        <v xml:space="preserve"> </v>
      </c>
      <c r="K67" s="44" t="str">
        <f>VLOOKUP(C67,Bolts!A:L,9,0)</f>
        <v xml:space="preserve"> </v>
      </c>
      <c r="L67" s="44" t="str">
        <f>VLOOKUP(C67,Bolts!A:L,10,0)</f>
        <v xml:space="preserve"> </v>
      </c>
      <c r="M67" s="44" t="str">
        <f>VLOOKUP(C67,Bolts!A:L,11,0)</f>
        <v xml:space="preserve"> </v>
      </c>
      <c r="N67" s="45" t="str">
        <f>VLOOKUP(C67,Bolts!A:L,12,0)</f>
        <v xml:space="preserve"> </v>
      </c>
      <c r="O67" s="45" t="e">
        <f t="shared" ca="1" si="28"/>
        <v>#VALUE!</v>
      </c>
      <c r="P67" s="49" t="str">
        <f>IFERROR(VLOOKUP(C67,Bolts!A:B,2,FALSE),"")</f>
        <v xml:space="preserve"> </v>
      </c>
      <c r="Q67" s="50" t="str">
        <f>IFERROR(B67*P67,"")</f>
        <v/>
      </c>
    </row>
    <row r="68" spans="1:17" s="2" customFormat="1" ht="12.75" customHeight="1">
      <c r="A68" s="25"/>
      <c r="B68" s="26"/>
      <c r="C68" s="26"/>
      <c r="D68" s="272"/>
      <c r="E68" s="273"/>
      <c r="F68" s="26"/>
      <c r="G68" s="26"/>
      <c r="H68" s="274"/>
      <c r="I68" s="275"/>
      <c r="J68" s="27"/>
      <c r="K68" s="27"/>
      <c r="L68" s="27"/>
      <c r="M68" s="28"/>
      <c r="N68" s="29"/>
      <c r="O68" s="29"/>
      <c r="P68" s="141"/>
      <c r="Q68" s="142"/>
    </row>
    <row r="69" spans="1:17" s="2" customFormat="1" ht="12" customHeight="1">
      <c r="A69" s="4">
        <v>701</v>
      </c>
      <c r="B69" s="2">
        <v>4</v>
      </c>
      <c r="C69" s="111" t="s">
        <v>1255</v>
      </c>
      <c r="D69" s="268" t="str">
        <f>VLOOKUP(C69,Extrusion!B:C,2,0)</f>
        <v>Assy .640</v>
      </c>
      <c r="E69" s="269"/>
      <c r="F69" s="112" t="str">
        <f>VLOOKUP(C69,Extrusion!B:M,6,0)</f>
        <v>BOSCH</v>
      </c>
      <c r="G69" s="112" t="str">
        <f>VLOOKUP(C69,Extrusion!B:M,7,0)</f>
        <v>NULINE</v>
      </c>
      <c r="H69" s="112" t="str">
        <f>VLOOKUP(C69,Extrusion!B:M,8,0)</f>
        <v xml:space="preserve"> </v>
      </c>
      <c r="I69" s="113"/>
      <c r="J69" s="44" t="str">
        <f>VLOOKUP(C69,Extrusion!B:M,9,0)</f>
        <v>N/A</v>
      </c>
      <c r="K69" s="44">
        <f>VLOOKUP(C69,Extrusion!B:M,10,0)</f>
        <v>44894</v>
      </c>
      <c r="L69" s="44">
        <f>VLOOKUP(C69,Extrusion!B:M,11,0)</f>
        <v>44970</v>
      </c>
      <c r="M69" s="44">
        <f>VLOOKUP(C69,Extrusion!B:M,12,0)</f>
        <v>44970</v>
      </c>
      <c r="N69" s="45">
        <f>VLOOKUP(C69,Extrusion!B:N,13,0)</f>
        <v>54598</v>
      </c>
      <c r="O69" s="45" t="e">
        <f t="shared" ref="O69" ca="1" si="29">B69*$L$2</f>
        <v>#VALUE!</v>
      </c>
      <c r="P69" s="49">
        <f>IFERROR(VLOOKUP(C69,Extrusion!B:F,5,0),"")</f>
        <v>71.049079766666665</v>
      </c>
      <c r="Q69" s="50">
        <f t="shared" ref="Q69" si="30">IFERROR(B69*P69,"")</f>
        <v>284.19631906666666</v>
      </c>
    </row>
    <row r="70" spans="1:17" s="2" customFormat="1" ht="12" customHeight="1">
      <c r="A70" s="4">
        <f>A69+1</f>
        <v>702</v>
      </c>
      <c r="B70" s="2">
        <v>2</v>
      </c>
      <c r="C70" s="111" t="s">
        <v>914</v>
      </c>
      <c r="D70" s="268" t="str">
        <f>VLOOKUP(C70,Extrusion!B:C,2,0)</f>
        <v>Assy. 341</v>
      </c>
      <c r="E70" s="269"/>
      <c r="F70" s="112" t="str">
        <f>VLOOKUP(C70,Extrusion!B:M,6,0)</f>
        <v>BOSCH</v>
      </c>
      <c r="G70" s="112" t="str">
        <f>VLOOKUP(C70,Extrusion!B:M,7,0)</f>
        <v>NULINE</v>
      </c>
      <c r="H70" s="112" t="str">
        <f>VLOOKUP(C70,Extrusion!B:M,8,0)</f>
        <v xml:space="preserve"> </v>
      </c>
      <c r="I70" s="113"/>
      <c r="J70" s="44" t="str">
        <f>VLOOKUP(C70,Extrusion!B:M,9,0)</f>
        <v>N/A</v>
      </c>
      <c r="K70" s="44">
        <f>VLOOKUP(C70,Extrusion!B:M,10,0)</f>
        <v>44894</v>
      </c>
      <c r="L70" s="44">
        <f>VLOOKUP(C70,Extrusion!B:M,11,0)</f>
        <v>44970</v>
      </c>
      <c r="M70" s="44">
        <f>VLOOKUP(C70,Extrusion!B:M,12,0)</f>
        <v>44970</v>
      </c>
      <c r="N70" s="45">
        <f>VLOOKUP(C70,Extrusion!B:N,13,0)</f>
        <v>54598</v>
      </c>
      <c r="O70" s="45" t="e">
        <f ca="1">B70*$L$2</f>
        <v>#VALUE!</v>
      </c>
      <c r="P70" s="49">
        <f>IFERROR(VLOOKUP(C70,Extrusion!B:F,5,0),"")</f>
        <v>133.54747059333334</v>
      </c>
      <c r="Q70" s="50">
        <f>IFERROR(B70*P70,"")</f>
        <v>267.09494118666669</v>
      </c>
    </row>
    <row r="71" spans="1:17" s="2" customFormat="1" ht="12" customHeight="1">
      <c r="A71" s="4">
        <f>A70+1</f>
        <v>703</v>
      </c>
      <c r="B71" s="2">
        <v>3</v>
      </c>
      <c r="C71" s="111" t="s">
        <v>913</v>
      </c>
      <c r="D71" s="268" t="str">
        <f>VLOOKUP(C71,Extrusion!B:C,2,0)</f>
        <v>Assy. 341</v>
      </c>
      <c r="E71" s="269"/>
      <c r="F71" s="112" t="str">
        <f>VLOOKUP(C71,Extrusion!B:M,6,0)</f>
        <v>BOSCH</v>
      </c>
      <c r="G71" s="112" t="str">
        <f>VLOOKUP(C71,Extrusion!B:M,7,0)</f>
        <v>NULINE</v>
      </c>
      <c r="H71" s="112" t="str">
        <f>VLOOKUP(C71,Extrusion!B:M,8,0)</f>
        <v xml:space="preserve"> </v>
      </c>
      <c r="I71" s="113"/>
      <c r="J71" s="44" t="str">
        <f>VLOOKUP(C71,Extrusion!B:M,9,0)</f>
        <v>N/A</v>
      </c>
      <c r="K71" s="44">
        <f>VLOOKUP(C71,Extrusion!B:M,10,0)</f>
        <v>44894</v>
      </c>
      <c r="L71" s="44">
        <f>VLOOKUP(C71,Extrusion!B:M,11,0)</f>
        <v>44970</v>
      </c>
      <c r="M71" s="44">
        <f>VLOOKUP(C71,Extrusion!B:M,12,0)</f>
        <v>44970</v>
      </c>
      <c r="N71" s="45">
        <f>VLOOKUP(C71,Extrusion!B:N,13,0)</f>
        <v>54598</v>
      </c>
      <c r="O71" s="45" t="e">
        <f ca="1">B71*$L$2</f>
        <v>#VALUE!</v>
      </c>
      <c r="P71" s="49">
        <f>IFERROR(VLOOKUP(C71,Extrusion!B:F,5,0),"")</f>
        <v>85.520175474499993</v>
      </c>
      <c r="Q71" s="50">
        <f>IFERROR(B71*P71,"")</f>
        <v>256.56052642349999</v>
      </c>
    </row>
    <row r="72" spans="1:17" s="2" customFormat="1" ht="12" customHeight="1">
      <c r="A72" s="4">
        <f>A71+1</f>
        <v>704</v>
      </c>
      <c r="B72" s="2">
        <v>2</v>
      </c>
      <c r="C72" s="111" t="s">
        <v>912</v>
      </c>
      <c r="D72" s="268" t="str">
        <f>VLOOKUP(C72,Extrusion!B:C,2,0)</f>
        <v>Assy. 341</v>
      </c>
      <c r="E72" s="269"/>
      <c r="F72" s="112" t="str">
        <f>VLOOKUP(C72,Extrusion!B:M,6,0)</f>
        <v>BOSCH</v>
      </c>
      <c r="G72" s="112" t="str">
        <f>VLOOKUP(C72,Extrusion!B:M,7,0)</f>
        <v>NULINE</v>
      </c>
      <c r="H72" s="112" t="str">
        <f>VLOOKUP(C72,Extrusion!B:M,8,0)</f>
        <v xml:space="preserve"> </v>
      </c>
      <c r="I72" s="113"/>
      <c r="J72" s="44" t="str">
        <f>VLOOKUP(C72,Extrusion!B:M,9,0)</f>
        <v>N/A</v>
      </c>
      <c r="K72" s="44">
        <f>VLOOKUP(C72,Extrusion!B:M,10,0)</f>
        <v>44894</v>
      </c>
      <c r="L72" s="44">
        <f>VLOOKUP(C72,Extrusion!B:M,11,0)</f>
        <v>44970</v>
      </c>
      <c r="M72" s="44">
        <f>VLOOKUP(C72,Extrusion!B:M,12,0)</f>
        <v>44970</v>
      </c>
      <c r="N72" s="45">
        <f>VLOOKUP(C72,Extrusion!B:N,13,0)</f>
        <v>54598</v>
      </c>
      <c r="O72" s="45" t="e">
        <f ca="1">B72*$L$2</f>
        <v>#VALUE!</v>
      </c>
      <c r="P72" s="49">
        <f>IFERROR(VLOOKUP(C72,Extrusion!B:F,5,0),"")</f>
        <v>63.86628433333334</v>
      </c>
      <c r="Q72" s="50">
        <f>IFERROR(B72*P72,"")</f>
        <v>127.73256866666668</v>
      </c>
    </row>
    <row r="73" spans="1:17" s="2" customFormat="1" ht="12" customHeight="1" thickBot="1">
      <c r="A73" s="4">
        <f>A72+1</f>
        <v>705</v>
      </c>
      <c r="B73" s="2">
        <v>1</v>
      </c>
      <c r="C73" s="111" t="s">
        <v>1256</v>
      </c>
      <c r="D73" s="268" t="str">
        <f>VLOOKUP(C73,Extrusion!B:C,2,0)</f>
        <v>Assy .640</v>
      </c>
      <c r="E73" s="269"/>
      <c r="F73" s="112" t="str">
        <f>VLOOKUP(C73,Extrusion!B:M,6,0)</f>
        <v>BOSCH</v>
      </c>
      <c r="G73" s="112" t="str">
        <f>VLOOKUP(C73,Extrusion!B:M,7,0)</f>
        <v>NULINE</v>
      </c>
      <c r="H73" s="112" t="str">
        <f>VLOOKUP(C73,Extrusion!B:M,8,0)</f>
        <v xml:space="preserve"> </v>
      </c>
      <c r="I73" s="113"/>
      <c r="J73" s="44" t="str">
        <f>VLOOKUP(C73,Extrusion!B:M,9,0)</f>
        <v>N/A</v>
      </c>
      <c r="K73" s="44">
        <f>VLOOKUP(C73,Extrusion!B:M,10,0)</f>
        <v>44894</v>
      </c>
      <c r="L73" s="44">
        <f>VLOOKUP(C73,Extrusion!B:M,11,0)</f>
        <v>44970</v>
      </c>
      <c r="M73" s="44">
        <f>VLOOKUP(C73,Extrusion!B:M,12,0)</f>
        <v>44970</v>
      </c>
      <c r="N73" s="45">
        <f>VLOOKUP(C73,Extrusion!B:N,13,0)</f>
        <v>54598</v>
      </c>
      <c r="O73" s="45" t="e">
        <f ca="1">B73*$L$2</f>
        <v>#VALUE!</v>
      </c>
      <c r="P73" s="49">
        <f>IFERROR(VLOOKUP(C73,Extrusion!B:F,5,0),"")</f>
        <v>140.49702693900002</v>
      </c>
      <c r="Q73" s="50">
        <f>IFERROR(B73*P73,"")</f>
        <v>140.49702693900002</v>
      </c>
    </row>
    <row r="74" spans="1:17" s="2" customFormat="1" ht="12" customHeight="1" thickBot="1">
      <c r="A74" s="34"/>
      <c r="B74" s="35"/>
      <c r="C74" s="35"/>
      <c r="D74" s="256"/>
      <c r="E74" s="257"/>
      <c r="F74" s="35"/>
      <c r="G74" s="35"/>
      <c r="H74" s="294"/>
      <c r="I74" s="295"/>
      <c r="J74" s="36"/>
      <c r="K74" s="36"/>
      <c r="L74" s="36"/>
      <c r="M74" s="37"/>
      <c r="N74" s="38"/>
      <c r="O74" s="38"/>
      <c r="P74" s="89" t="s">
        <v>43</v>
      </c>
      <c r="Q74" s="94">
        <f>SUM(Q5:Q69)</f>
        <v>5909.8597190666651</v>
      </c>
    </row>
    <row r="75" spans="1:17" s="2" customFormat="1" ht="12" customHeight="1">
      <c r="D75" s="22"/>
      <c r="E75" s="22"/>
      <c r="J75" s="8"/>
      <c r="K75" s="8"/>
      <c r="L75" s="8"/>
      <c r="M75" s="8"/>
      <c r="N75" s="5"/>
      <c r="O75" s="5"/>
      <c r="P75" s="88"/>
      <c r="Q75" s="95"/>
    </row>
    <row r="76" spans="1:17" s="2" customFormat="1" ht="12" customHeight="1">
      <c r="D76" s="22"/>
      <c r="E76" s="22"/>
      <c r="J76" s="5"/>
      <c r="K76" s="5"/>
      <c r="L76" s="5"/>
      <c r="M76" s="5"/>
      <c r="N76" s="5"/>
      <c r="O76" s="5"/>
      <c r="P76" s="88"/>
      <c r="Q76" s="95"/>
    </row>
    <row r="77" spans="1:17" s="2" customFormat="1" ht="12" customHeight="1">
      <c r="D77" s="22"/>
      <c r="E77" s="22"/>
      <c r="J77" s="5"/>
      <c r="K77" s="5"/>
      <c r="L77" s="5"/>
      <c r="M77" s="5"/>
      <c r="N77" s="5"/>
      <c r="O77" s="5"/>
      <c r="P77" s="88"/>
      <c r="Q77" s="95"/>
    </row>
    <row r="78" spans="1:17" s="2" customFormat="1" ht="12" customHeight="1">
      <c r="D78" s="22"/>
      <c r="E78" s="22"/>
      <c r="J78" s="5"/>
      <c r="K78" s="5"/>
      <c r="L78" s="5"/>
      <c r="M78" s="5"/>
      <c r="N78" s="5"/>
      <c r="O78" s="5"/>
      <c r="P78" s="88"/>
      <c r="Q78" s="95"/>
    </row>
    <row r="79" spans="1:17" s="2" customFormat="1" ht="12" customHeight="1">
      <c r="D79" s="22"/>
      <c r="E79" s="22"/>
      <c r="J79" s="5"/>
      <c r="K79" s="5"/>
      <c r="L79" s="5"/>
      <c r="M79" s="5"/>
      <c r="N79" s="5"/>
      <c r="O79" s="5"/>
      <c r="P79" s="88"/>
      <c r="Q79" s="95"/>
    </row>
    <row r="80" spans="1:17" s="2" customFormat="1" ht="12" customHeight="1">
      <c r="D80" s="22"/>
      <c r="E80" s="22"/>
      <c r="J80" s="5"/>
      <c r="K80" s="5"/>
      <c r="L80" s="5"/>
      <c r="M80" s="5"/>
      <c r="N80" s="5"/>
      <c r="O80" s="5"/>
      <c r="P80" s="88"/>
      <c r="Q80" s="95"/>
    </row>
    <row r="81" spans="4:17" s="2" customFormat="1" ht="12" customHeight="1">
      <c r="D81" s="22"/>
      <c r="E81" s="22"/>
      <c r="J81" s="5"/>
      <c r="K81" s="5"/>
      <c r="L81" s="5"/>
      <c r="M81" s="5"/>
      <c r="N81" s="5"/>
      <c r="O81" s="5"/>
      <c r="P81" s="88"/>
      <c r="Q81" s="95"/>
    </row>
    <row r="82" spans="4:17" s="2" customFormat="1" ht="12" customHeight="1">
      <c r="D82" s="22"/>
      <c r="E82" s="22"/>
      <c r="J82" s="5"/>
      <c r="K82" s="5"/>
      <c r="L82" s="5"/>
      <c r="M82" s="5"/>
      <c r="N82" s="5"/>
      <c r="O82" s="5"/>
      <c r="P82" s="88"/>
      <c r="Q82" s="95"/>
    </row>
    <row r="83" spans="4:17" s="2" customFormat="1" ht="12" customHeight="1">
      <c r="D83" s="22"/>
      <c r="E83" s="22"/>
      <c r="J83" s="5"/>
      <c r="K83" s="5"/>
      <c r="L83" s="5"/>
      <c r="M83" s="5"/>
      <c r="N83" s="5"/>
      <c r="O83" s="5"/>
      <c r="P83" s="88"/>
      <c r="Q83" s="95"/>
    </row>
    <row r="84" spans="4:17" s="2" customFormat="1" ht="12" customHeight="1">
      <c r="D84" s="22"/>
      <c r="E84" s="22"/>
      <c r="J84" s="5"/>
      <c r="K84" s="5"/>
      <c r="L84" s="5"/>
      <c r="M84" s="5"/>
      <c r="N84" s="5"/>
      <c r="O84" s="5"/>
      <c r="P84" s="88"/>
      <c r="Q84" s="95"/>
    </row>
    <row r="85" spans="4:17" s="2" customFormat="1" ht="12" customHeight="1">
      <c r="D85" s="22"/>
      <c r="E85" s="22"/>
      <c r="J85" s="5"/>
      <c r="K85" s="5"/>
      <c r="L85" s="5"/>
      <c r="M85" s="5"/>
      <c r="N85" s="5"/>
      <c r="O85" s="5"/>
      <c r="P85" s="88"/>
      <c r="Q85" s="95"/>
    </row>
    <row r="86" spans="4:17" s="2" customFormat="1" ht="12" customHeight="1">
      <c r="D86" s="22"/>
      <c r="E86" s="22"/>
      <c r="J86" s="5"/>
      <c r="K86" s="5"/>
      <c r="L86" s="5"/>
      <c r="M86" s="5"/>
      <c r="N86" s="5"/>
      <c r="O86" s="5"/>
      <c r="P86" s="88"/>
      <c r="Q86" s="95"/>
    </row>
    <row r="87" spans="4:17" s="2" customFormat="1" ht="12" customHeight="1">
      <c r="D87" s="22"/>
      <c r="E87" s="22"/>
      <c r="J87" s="5"/>
      <c r="K87" s="5"/>
      <c r="L87" s="5"/>
      <c r="M87" s="5"/>
      <c r="N87" s="5"/>
      <c r="O87" s="5"/>
      <c r="P87" s="88"/>
      <c r="Q87" s="95"/>
    </row>
    <row r="88" spans="4:17" s="2" customFormat="1" ht="12" customHeight="1">
      <c r="D88" s="22"/>
      <c r="E88" s="22"/>
      <c r="J88" s="5"/>
      <c r="K88" s="5"/>
      <c r="L88" s="5"/>
      <c r="M88" s="5"/>
      <c r="N88" s="5"/>
      <c r="O88" s="5"/>
      <c r="P88" s="88"/>
      <c r="Q88" s="95"/>
    </row>
    <row r="89" spans="4:17" s="2" customFormat="1" ht="12" customHeight="1">
      <c r="D89" s="22"/>
      <c r="E89" s="22"/>
      <c r="J89" s="5"/>
      <c r="K89" s="5"/>
      <c r="L89" s="5"/>
      <c r="M89" s="5"/>
      <c r="N89" s="5"/>
      <c r="O89" s="5"/>
      <c r="P89" s="88"/>
      <c r="Q89" s="95"/>
    </row>
    <row r="90" spans="4:17" s="2" customFormat="1" ht="12" customHeight="1">
      <c r="D90" s="22"/>
      <c r="E90" s="22"/>
      <c r="J90" s="5"/>
      <c r="K90" s="5"/>
      <c r="L90" s="5"/>
      <c r="M90" s="5"/>
      <c r="N90" s="5"/>
      <c r="O90" s="5"/>
      <c r="P90" s="88"/>
      <c r="Q90" s="95"/>
    </row>
    <row r="91" spans="4:17" s="2" customFormat="1" ht="12" customHeight="1">
      <c r="D91" s="22"/>
      <c r="E91" s="22"/>
      <c r="J91" s="5"/>
      <c r="K91" s="5"/>
      <c r="L91" s="5"/>
      <c r="M91" s="5"/>
      <c r="N91" s="5"/>
      <c r="O91" s="5"/>
      <c r="P91" s="88"/>
      <c r="Q91" s="95"/>
    </row>
    <row r="92" spans="4:17" s="2" customFormat="1" ht="12" customHeight="1">
      <c r="D92" s="22"/>
      <c r="E92" s="22"/>
      <c r="J92" s="5"/>
      <c r="K92" s="5"/>
      <c r="L92" s="5"/>
      <c r="M92" s="5"/>
      <c r="N92" s="5"/>
      <c r="O92" s="5"/>
      <c r="P92" s="88"/>
      <c r="Q92" s="95"/>
    </row>
    <row r="93" spans="4:17" s="2" customFormat="1" ht="12" customHeight="1">
      <c r="D93" s="22"/>
      <c r="E93" s="22"/>
      <c r="J93" s="5"/>
      <c r="K93" s="5"/>
      <c r="L93" s="5"/>
      <c r="M93" s="5"/>
      <c r="N93" s="5"/>
      <c r="O93" s="5"/>
      <c r="P93" s="88"/>
      <c r="Q93" s="95"/>
    </row>
    <row r="94" spans="4:17" s="2" customFormat="1" ht="12" customHeight="1">
      <c r="D94" s="22"/>
      <c r="E94" s="22"/>
      <c r="J94" s="5"/>
      <c r="K94" s="5"/>
      <c r="L94" s="5"/>
      <c r="M94" s="5"/>
      <c r="N94" s="5"/>
      <c r="O94" s="5"/>
      <c r="P94" s="88"/>
      <c r="Q94" s="95"/>
    </row>
    <row r="95" spans="4:17" s="2" customFormat="1" ht="12" customHeight="1">
      <c r="D95" s="22"/>
      <c r="E95" s="22"/>
      <c r="J95" s="5"/>
      <c r="K95" s="5"/>
      <c r="L95" s="5"/>
      <c r="M95" s="5"/>
      <c r="N95" s="5"/>
      <c r="O95" s="5"/>
      <c r="P95" s="88"/>
      <c r="Q95" s="95"/>
    </row>
    <row r="96" spans="4:17" s="2" customFormat="1" ht="12" customHeight="1">
      <c r="D96" s="22"/>
      <c r="E96" s="22"/>
      <c r="J96" s="5"/>
      <c r="K96" s="5"/>
      <c r="L96" s="5"/>
      <c r="M96" s="5"/>
      <c r="N96" s="5"/>
      <c r="O96" s="5"/>
      <c r="P96" s="88"/>
      <c r="Q96" s="95"/>
    </row>
    <row r="97" spans="4:17" s="2" customFormat="1" ht="12" customHeight="1">
      <c r="D97" s="22"/>
      <c r="E97" s="22"/>
      <c r="J97" s="5"/>
      <c r="K97" s="5"/>
      <c r="L97" s="5"/>
      <c r="M97" s="5"/>
      <c r="N97" s="5"/>
      <c r="O97" s="5"/>
      <c r="P97" s="88"/>
      <c r="Q97" s="95"/>
    </row>
    <row r="98" spans="4:17" s="2" customFormat="1" ht="12" customHeight="1">
      <c r="D98" s="22"/>
      <c r="E98" s="22"/>
      <c r="J98" s="5"/>
      <c r="K98" s="5"/>
      <c r="L98" s="5"/>
      <c r="M98" s="5"/>
      <c r="N98" s="5"/>
      <c r="O98" s="5"/>
      <c r="P98" s="88"/>
      <c r="Q98" s="95"/>
    </row>
    <row r="99" spans="4:17" s="2" customFormat="1" ht="12" customHeight="1">
      <c r="D99" s="22"/>
      <c r="E99" s="22"/>
      <c r="J99" s="5"/>
      <c r="K99" s="5"/>
      <c r="L99" s="5"/>
      <c r="M99" s="5"/>
      <c r="N99" s="5"/>
      <c r="O99" s="5"/>
      <c r="P99" s="88"/>
      <c r="Q99" s="95"/>
    </row>
    <row r="100" spans="4:17" s="2" customFormat="1" ht="12" customHeight="1">
      <c r="D100" s="22"/>
      <c r="E100" s="22"/>
      <c r="J100" s="5"/>
      <c r="K100" s="5"/>
      <c r="L100" s="5"/>
      <c r="M100" s="5"/>
      <c r="N100" s="5"/>
      <c r="O100" s="5"/>
      <c r="P100" s="88"/>
      <c r="Q100" s="95"/>
    </row>
    <row r="101" spans="4:17" s="2" customFormat="1" ht="12" customHeight="1">
      <c r="D101" s="22"/>
      <c r="E101" s="22"/>
      <c r="J101" s="5"/>
      <c r="K101" s="5"/>
      <c r="L101" s="5"/>
      <c r="M101" s="5"/>
      <c r="N101" s="5"/>
      <c r="O101" s="5"/>
      <c r="P101" s="88"/>
      <c r="Q101" s="95"/>
    </row>
    <row r="102" spans="4:17" s="2" customFormat="1" ht="12" customHeight="1">
      <c r="D102" s="22"/>
      <c r="E102" s="22"/>
      <c r="J102" s="5"/>
      <c r="K102" s="5"/>
      <c r="L102" s="5"/>
      <c r="M102" s="5"/>
      <c r="N102" s="5"/>
      <c r="O102" s="5"/>
      <c r="P102" s="88"/>
      <c r="Q102" s="95"/>
    </row>
    <row r="103" spans="4:17" s="2" customFormat="1" ht="12" customHeight="1">
      <c r="D103" s="22"/>
      <c r="E103" s="22"/>
      <c r="J103" s="5"/>
      <c r="K103" s="5"/>
      <c r="L103" s="5"/>
      <c r="M103" s="5"/>
      <c r="N103" s="5"/>
      <c r="O103" s="5"/>
      <c r="P103" s="88"/>
      <c r="Q103" s="95"/>
    </row>
    <row r="104" spans="4:17" s="2" customFormat="1" ht="12" customHeight="1">
      <c r="D104" s="22"/>
      <c r="E104" s="22"/>
      <c r="J104" s="5"/>
      <c r="K104" s="5"/>
      <c r="L104" s="5"/>
      <c r="M104" s="5"/>
      <c r="N104" s="5"/>
      <c r="O104" s="5"/>
      <c r="P104" s="88"/>
      <c r="Q104" s="95"/>
    </row>
    <row r="105" spans="4:17" s="2" customFormat="1" ht="12" customHeight="1">
      <c r="D105" s="22"/>
      <c r="E105" s="22"/>
      <c r="J105" s="5"/>
      <c r="K105" s="5"/>
      <c r="L105" s="5"/>
      <c r="M105" s="5"/>
      <c r="N105" s="5"/>
      <c r="O105" s="5"/>
      <c r="P105" s="88"/>
      <c r="Q105" s="95"/>
    </row>
    <row r="106" spans="4:17" s="2" customFormat="1" ht="12" customHeight="1">
      <c r="D106" s="22"/>
      <c r="E106" s="22"/>
      <c r="J106" s="5"/>
      <c r="K106" s="5"/>
      <c r="L106" s="5"/>
      <c r="M106" s="5"/>
      <c r="N106" s="5"/>
      <c r="O106" s="5"/>
      <c r="P106" s="88"/>
      <c r="Q106" s="95"/>
    </row>
    <row r="107" spans="4:17" s="2" customFormat="1" ht="12" customHeight="1">
      <c r="D107" s="22"/>
      <c r="E107" s="22"/>
      <c r="J107" s="5"/>
      <c r="K107" s="5"/>
      <c r="L107" s="5"/>
      <c r="M107" s="5"/>
      <c r="N107" s="5"/>
      <c r="O107" s="5"/>
      <c r="P107" s="88"/>
      <c r="Q107" s="95"/>
    </row>
    <row r="108" spans="4:17" s="2" customFormat="1" ht="12" customHeight="1">
      <c r="D108" s="22"/>
      <c r="E108" s="22"/>
      <c r="J108" s="5"/>
      <c r="K108" s="5"/>
      <c r="L108" s="5"/>
      <c r="M108" s="5"/>
      <c r="N108" s="5"/>
      <c r="O108" s="5"/>
      <c r="P108" s="88"/>
      <c r="Q108" s="95"/>
    </row>
    <row r="109" spans="4:17" s="2" customFormat="1" ht="12" customHeight="1">
      <c r="D109" s="22"/>
      <c r="E109" s="22"/>
      <c r="J109" s="5"/>
      <c r="K109" s="5"/>
      <c r="L109" s="5"/>
      <c r="M109" s="5"/>
      <c r="N109" s="5"/>
      <c r="O109" s="5"/>
      <c r="P109" s="88"/>
      <c r="Q109" s="95"/>
    </row>
    <row r="110" spans="4:17" s="2" customFormat="1" ht="12" customHeight="1">
      <c r="D110" s="22"/>
      <c r="E110" s="22"/>
      <c r="J110" s="5"/>
      <c r="K110" s="5"/>
      <c r="L110" s="5"/>
      <c r="M110" s="5"/>
      <c r="N110" s="5"/>
      <c r="O110" s="5"/>
      <c r="P110" s="88"/>
      <c r="Q110" s="95"/>
    </row>
    <row r="111" spans="4:17" s="2" customFormat="1" ht="12" customHeight="1">
      <c r="D111" s="22"/>
      <c r="E111" s="22"/>
      <c r="J111" s="5"/>
      <c r="K111" s="5"/>
      <c r="L111" s="5"/>
      <c r="M111" s="5"/>
      <c r="N111" s="5"/>
      <c r="O111" s="5"/>
      <c r="P111" s="88"/>
      <c r="Q111" s="95"/>
    </row>
    <row r="112" spans="4:17" s="2" customFormat="1" ht="12" customHeight="1">
      <c r="D112" s="22"/>
      <c r="E112" s="22"/>
      <c r="J112" s="5"/>
      <c r="K112" s="5"/>
      <c r="L112" s="5"/>
      <c r="M112" s="5"/>
      <c r="N112" s="5"/>
      <c r="O112" s="5"/>
      <c r="P112" s="88"/>
      <c r="Q112" s="95"/>
    </row>
    <row r="113" spans="1:17" s="2" customFormat="1" ht="12" customHeight="1">
      <c r="D113" s="22"/>
      <c r="E113" s="22"/>
      <c r="J113" s="5"/>
      <c r="K113" s="5"/>
      <c r="L113" s="5"/>
      <c r="M113" s="5"/>
      <c r="N113" s="5"/>
      <c r="O113" s="5"/>
      <c r="P113" s="88"/>
      <c r="Q113" s="96"/>
    </row>
    <row r="114" spans="1:17" s="2" customFormat="1" ht="12" customHeight="1">
      <c r="D114" s="22"/>
      <c r="E114" s="22"/>
      <c r="J114" s="5"/>
      <c r="K114" s="5"/>
      <c r="L114" s="5"/>
      <c r="M114" s="5"/>
      <c r="N114" s="5"/>
      <c r="O114" s="5"/>
      <c r="P114" s="88"/>
      <c r="Q114" s="96"/>
    </row>
    <row r="115" spans="1:17" s="2" customFormat="1" ht="12" customHeight="1">
      <c r="D115" s="22"/>
      <c r="E115" s="22"/>
      <c r="J115" s="5"/>
      <c r="K115" s="5"/>
      <c r="L115" s="5"/>
      <c r="M115" s="5"/>
      <c r="N115" s="5"/>
      <c r="O115" s="5"/>
      <c r="P115" s="88"/>
      <c r="Q115" s="96"/>
    </row>
    <row r="116" spans="1:17" s="2" customFormat="1" ht="12" customHeight="1">
      <c r="D116" s="22"/>
      <c r="E116" s="22"/>
      <c r="J116" s="5"/>
      <c r="K116" s="5"/>
      <c r="L116" s="5"/>
      <c r="M116" s="5"/>
      <c r="N116" s="5"/>
      <c r="O116" s="5"/>
      <c r="P116" s="88"/>
      <c r="Q116" s="96"/>
    </row>
    <row r="117" spans="1:17" s="2" customFormat="1" ht="12" customHeight="1">
      <c r="A117"/>
      <c r="B117"/>
      <c r="C117"/>
      <c r="D117" s="23"/>
      <c r="E117" s="23"/>
      <c r="F117"/>
      <c r="G117"/>
      <c r="H117"/>
      <c r="I117"/>
      <c r="J117" s="19"/>
      <c r="K117" s="19"/>
      <c r="L117" s="19"/>
      <c r="M117" s="19"/>
      <c r="N117" s="19"/>
      <c r="O117" s="19"/>
      <c r="P117" s="90"/>
      <c r="Q117" s="96"/>
    </row>
    <row r="118" spans="1:17" s="2" customFormat="1" ht="12" customHeight="1">
      <c r="A118"/>
      <c r="B118"/>
      <c r="C118"/>
      <c r="D118" s="23"/>
      <c r="E118" s="23"/>
      <c r="F118"/>
      <c r="G118"/>
      <c r="H118"/>
      <c r="I118"/>
      <c r="J118" s="19"/>
      <c r="K118" s="19"/>
      <c r="L118" s="19"/>
      <c r="M118" s="19"/>
      <c r="N118" s="19"/>
      <c r="O118" s="19"/>
      <c r="P118" s="90"/>
      <c r="Q118" s="96"/>
    </row>
    <row r="119" spans="1:17" s="2" customFormat="1" ht="12" customHeight="1">
      <c r="A119"/>
      <c r="B119"/>
      <c r="C119"/>
      <c r="D119" s="23"/>
      <c r="E119" s="23"/>
      <c r="F119"/>
      <c r="G119"/>
      <c r="H119"/>
      <c r="I119"/>
      <c r="J119" s="19"/>
      <c r="K119" s="19"/>
      <c r="L119" s="19"/>
      <c r="M119" s="19"/>
      <c r="N119" s="19"/>
      <c r="O119" s="19"/>
      <c r="P119" s="90"/>
      <c r="Q119" s="96"/>
    </row>
    <row r="120" spans="1:17" s="2" customFormat="1" ht="12" customHeight="1">
      <c r="A120"/>
      <c r="B120"/>
      <c r="C120"/>
      <c r="D120" s="23"/>
      <c r="E120" s="23"/>
      <c r="F120"/>
      <c r="G120"/>
      <c r="H120"/>
      <c r="I120"/>
      <c r="J120" s="19"/>
      <c r="K120" s="19"/>
      <c r="L120" s="19"/>
      <c r="M120" s="19"/>
      <c r="N120" s="19"/>
      <c r="O120" s="19"/>
      <c r="P120" s="90"/>
      <c r="Q120" s="96"/>
    </row>
    <row r="121" spans="1:17">
      <c r="Q121" s="96"/>
    </row>
    <row r="122" spans="1:17">
      <c r="Q122" s="96"/>
    </row>
    <row r="123" spans="1:17">
      <c r="Q123" s="96"/>
    </row>
    <row r="124" spans="1:17">
      <c r="Q124" s="96"/>
    </row>
    <row r="125" spans="1:17">
      <c r="Q125" s="96"/>
    </row>
    <row r="126" spans="1:17">
      <c r="Q126" s="96"/>
    </row>
    <row r="127" spans="1:17">
      <c r="Q127" s="96"/>
    </row>
    <row r="128" spans="1:17">
      <c r="Q128" s="96"/>
    </row>
    <row r="129" spans="17:17">
      <c r="Q129" s="96"/>
    </row>
    <row r="130" spans="17:17">
      <c r="Q130" s="96"/>
    </row>
    <row r="131" spans="17:17">
      <c r="Q131" s="96"/>
    </row>
    <row r="132" spans="17:17">
      <c r="Q132" s="96"/>
    </row>
    <row r="133" spans="17:17">
      <c r="Q133" s="96"/>
    </row>
    <row r="134" spans="17:17">
      <c r="Q134" s="96"/>
    </row>
    <row r="135" spans="17:17">
      <c r="Q135" s="96"/>
    </row>
    <row r="136" spans="17:17">
      <c r="Q136" s="96"/>
    </row>
    <row r="137" spans="17:17">
      <c r="Q137" s="96"/>
    </row>
    <row r="138" spans="17:17">
      <c r="Q138" s="96"/>
    </row>
    <row r="139" spans="17:17">
      <c r="Q139" s="96"/>
    </row>
    <row r="140" spans="17:17">
      <c r="Q140" s="96"/>
    </row>
    <row r="141" spans="17:17">
      <c r="Q141" s="96"/>
    </row>
    <row r="177" ht="12" customHeight="1"/>
    <row r="178" ht="12" customHeight="1"/>
    <row r="179" ht="12" customHeight="1"/>
    <row r="180" ht="12" customHeight="1"/>
    <row r="181" ht="12" customHeight="1"/>
    <row r="182" ht="12" customHeight="1"/>
    <row r="183" ht="12" customHeight="1"/>
    <row r="184" ht="12" customHeight="1"/>
    <row r="185" ht="12" customHeight="1"/>
    <row r="186" ht="12" customHeight="1"/>
    <row r="187" ht="12" customHeight="1"/>
    <row r="188" ht="12" customHeight="1"/>
    <row r="189" ht="12" customHeight="1"/>
    <row r="190" ht="12" customHeight="1"/>
    <row r="191" ht="12" customHeight="1"/>
    <row r="192" ht="12" customHeight="1"/>
    <row r="193" ht="12" customHeight="1"/>
    <row r="194" ht="12" customHeight="1"/>
    <row r="195" ht="12" customHeight="1"/>
    <row r="196" ht="12" customHeight="1"/>
    <row r="197" ht="12" customHeight="1"/>
    <row r="198" ht="12" customHeight="1"/>
    <row r="199" ht="12" customHeight="1"/>
    <row r="200" ht="12" customHeight="1"/>
    <row r="201" ht="12" customHeight="1"/>
    <row r="202" ht="12" customHeight="1"/>
    <row r="203" ht="12" customHeight="1"/>
    <row r="204" ht="12" customHeight="1"/>
    <row r="205" ht="12" customHeight="1"/>
    <row r="206" ht="12" customHeight="1"/>
    <row r="207" ht="12" customHeight="1"/>
    <row r="208" ht="12" customHeight="1"/>
    <row r="209" ht="12" customHeight="1"/>
    <row r="210" ht="12" customHeight="1"/>
    <row r="211" ht="12" customHeight="1"/>
    <row r="212" ht="12" customHeight="1"/>
    <row r="213" ht="12" customHeight="1"/>
    <row r="214" ht="12" customHeight="1"/>
    <row r="215" ht="12" customHeight="1"/>
    <row r="216" ht="12" customHeight="1"/>
    <row r="217" ht="12" customHeight="1"/>
    <row r="218" ht="12" customHeight="1"/>
    <row r="219" ht="12" customHeight="1"/>
    <row r="220" ht="12" customHeight="1"/>
    <row r="221" ht="12" customHeight="1"/>
    <row r="222" ht="12" customHeight="1"/>
    <row r="223" ht="12" customHeight="1"/>
    <row r="224" ht="12" customHeight="1"/>
    <row r="225" ht="12" customHeight="1"/>
    <row r="226" ht="12" customHeight="1"/>
  </sheetData>
  <mergeCells count="79">
    <mergeCell ref="D7:E7"/>
    <mergeCell ref="H7:I7"/>
    <mergeCell ref="D6:E6"/>
    <mergeCell ref="H6:I6"/>
    <mergeCell ref="D1:E1"/>
    <mergeCell ref="D4:E4"/>
    <mergeCell ref="H4:I4"/>
    <mergeCell ref="D5:E5"/>
    <mergeCell ref="H5:I5"/>
    <mergeCell ref="D14:E14"/>
    <mergeCell ref="D21:E21"/>
    <mergeCell ref="D8:E8"/>
    <mergeCell ref="H8:I8"/>
    <mergeCell ref="D17:E17"/>
    <mergeCell ref="D15:E15"/>
    <mergeCell ref="D16:E16"/>
    <mergeCell ref="D18:E18"/>
    <mergeCell ref="D19:E19"/>
    <mergeCell ref="D20:E20"/>
    <mergeCell ref="D9:E9"/>
    <mergeCell ref="D10:E10"/>
    <mergeCell ref="D11:E11"/>
    <mergeCell ref="D12:E12"/>
    <mergeCell ref="D13:E13"/>
    <mergeCell ref="D24:E24"/>
    <mergeCell ref="H24:I24"/>
    <mergeCell ref="D25:E25"/>
    <mergeCell ref="D26:E26"/>
    <mergeCell ref="D27:E27"/>
    <mergeCell ref="D28:E28"/>
    <mergeCell ref="D29:E29"/>
    <mergeCell ref="D30:E30"/>
    <mergeCell ref="D31:E31"/>
    <mergeCell ref="D32:E32"/>
    <mergeCell ref="D69:E69"/>
    <mergeCell ref="D74:E74"/>
    <mergeCell ref="H74:I74"/>
    <mergeCell ref="D72:E72"/>
    <mergeCell ref="D73:E73"/>
    <mergeCell ref="D71:E71"/>
    <mergeCell ref="D70:E70"/>
    <mergeCell ref="D34:E34"/>
    <mergeCell ref="D35:E35"/>
    <mergeCell ref="D36:E36"/>
    <mergeCell ref="D37:E37"/>
    <mergeCell ref="H68:I68"/>
    <mergeCell ref="H57:I57"/>
    <mergeCell ref="D58:E58"/>
    <mergeCell ref="D60:E60"/>
    <mergeCell ref="D61:E61"/>
    <mergeCell ref="D57:E57"/>
    <mergeCell ref="D68:E68"/>
    <mergeCell ref="D67:E67"/>
    <mergeCell ref="D48:E48"/>
    <mergeCell ref="D49:E49"/>
    <mergeCell ref="D50:E50"/>
    <mergeCell ref="D62:E62"/>
    <mergeCell ref="D63:E63"/>
    <mergeCell ref="D64:E64"/>
    <mergeCell ref="D51:E51"/>
    <mergeCell ref="D52:E52"/>
    <mergeCell ref="D53:E53"/>
    <mergeCell ref="D56:E56"/>
    <mergeCell ref="D22:E22"/>
    <mergeCell ref="D23:E23"/>
    <mergeCell ref="D54:E54"/>
    <mergeCell ref="D55:E55"/>
    <mergeCell ref="D65:E65"/>
    <mergeCell ref="D43:E43"/>
    <mergeCell ref="D44:E44"/>
    <mergeCell ref="D45:E45"/>
    <mergeCell ref="D46:E46"/>
    <mergeCell ref="D47:E47"/>
    <mergeCell ref="D38:E38"/>
    <mergeCell ref="D39:E39"/>
    <mergeCell ref="D40:E40"/>
    <mergeCell ref="D41:E41"/>
    <mergeCell ref="D42:E42"/>
    <mergeCell ref="D33:E33"/>
  </mergeCells>
  <conditionalFormatting sqref="M58:M67 M9:M23 M25:M56">
    <cfRule type="cellIs" dxfId="224" priority="3" stopIfTrue="1" operator="lessThanOrEqual">
      <formula>$L9</formula>
    </cfRule>
    <cfRule type="cellIs" dxfId="223" priority="4" operator="greaterThan">
      <formula>L9</formula>
    </cfRule>
  </conditionalFormatting>
  <conditionalFormatting sqref="M69:M73">
    <cfRule type="cellIs" dxfId="222" priority="1" stopIfTrue="1" operator="lessThanOrEqual">
      <formula>$L69</formula>
    </cfRule>
    <cfRule type="cellIs" dxfId="221" priority="2" operator="greaterThan">
      <formula>L69</formula>
    </cfRule>
  </conditionalFormatting>
  <pageMargins left="0.7" right="0.7" top="0.75" bottom="0.75" header="0.3" footer="0.3"/>
  <pageSetup paperSize="3" fitToHeight="0" orientation="landscape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5B3CF608-EFC7-422D-9609-71E9AE61AAB5}">
          <x14:formula1>
            <xm:f>Bolts!$A:$A</xm:f>
          </x14:formula1>
          <xm:sqref>C58:C67</xm:sqref>
        </x14:dataValidation>
        <x14:dataValidation type="list" allowBlank="1" showInputMessage="1" showErrorMessage="1" xr:uid="{A0D08AB6-223B-4514-AE6B-47B52DC69C80}">
          <x14:formula1>
            <xm:f>Assemblies!$E:$E</xm:f>
          </x14:formula1>
          <xm:sqref>C5:C7</xm:sqref>
        </x14:dataValidation>
        <x14:dataValidation type="list" allowBlank="1" showInputMessage="1" showErrorMessage="1" xr:uid="{1D60EA6F-6CA8-4E43-A4D0-735BF8086019}">
          <x14:formula1>
            <xm:f>Purchased!$A:$A</xm:f>
          </x14:formula1>
          <xm:sqref>C25:C56</xm:sqref>
        </x14:dataValidation>
        <x14:dataValidation type="list" allowBlank="1" showInputMessage="1" showErrorMessage="1" xr:uid="{49EF0D8C-7710-4E41-BDFF-40809F389EAD}">
          <x14:formula1>
            <xm:f>Extrusion!$B:$B</xm:f>
          </x14:formula1>
          <xm:sqref>C69:C73</xm:sqref>
        </x14:dataValidation>
        <x14:dataValidation type="list" allowBlank="1" showInputMessage="1" showErrorMessage="1" xr:uid="{D0643F15-3779-45B6-8886-4428EBDC785A}">
          <x14:formula1>
            <xm:f>Machined!$C:$C</xm:f>
          </x14:formula1>
          <xm:sqref>C9:C23</xm:sqref>
        </x14:dataValidation>
      </x14:dataValidations>
    </ext>
  </extLst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CDDB0C-FF6B-4251-8674-03DB362BAFC2}">
  <sheetPr codeName="Sheet125">
    <tabColor theme="3" tint="0.59999389629810485"/>
    <pageSetUpPr fitToPage="1"/>
  </sheetPr>
  <dimension ref="A1:R195"/>
  <sheetViews>
    <sheetView zoomScale="90" zoomScaleNormal="90" workbookViewId="0">
      <selection activeCell="C18" sqref="C18"/>
    </sheetView>
  </sheetViews>
  <sheetFormatPr defaultColWidth="9.140625" defaultRowHeight="15"/>
  <cols>
    <col min="1" max="1" width="5.7109375" customWidth="1"/>
    <col min="2" max="2" width="5.42578125" bestFit="1" customWidth="1"/>
    <col min="3" max="3" width="30.7109375" customWidth="1"/>
    <col min="4" max="5" width="20.7109375" style="23" customWidth="1"/>
    <col min="6" max="6" width="16.85546875" bestFit="1" customWidth="1"/>
    <col min="7" max="7" width="9.7109375" customWidth="1"/>
    <col min="8" max="8" width="8.7109375" customWidth="1"/>
    <col min="9" max="9" width="20.7109375" customWidth="1"/>
    <col min="10" max="13" width="11.7109375" style="19" customWidth="1"/>
    <col min="14" max="14" width="11.85546875" style="19" bestFit="1" customWidth="1"/>
    <col min="15" max="15" width="7.7109375" style="19" customWidth="1"/>
    <col min="16" max="16" width="10.7109375" style="90" customWidth="1"/>
    <col min="17" max="17" width="10.7109375" style="97" customWidth="1"/>
  </cols>
  <sheetData>
    <row r="1" spans="1:18" s="55" customFormat="1" ht="12" customHeight="1">
      <c r="A1" s="68" t="s">
        <v>0</v>
      </c>
      <c r="B1" s="69"/>
      <c r="C1" s="69"/>
      <c r="D1" s="262" t="s">
        <v>1</v>
      </c>
      <c r="E1" s="263"/>
      <c r="F1" s="70"/>
      <c r="G1" s="69"/>
      <c r="H1" s="70"/>
      <c r="I1" s="71"/>
      <c r="J1" s="72"/>
      <c r="K1" s="72"/>
      <c r="L1" s="72"/>
      <c r="M1" s="72"/>
      <c r="N1" s="72"/>
      <c r="O1" s="72"/>
      <c r="P1" s="85"/>
      <c r="Q1" s="91"/>
    </row>
    <row r="2" spans="1:18" s="55" customFormat="1" ht="12" customHeight="1">
      <c r="A2" s="74" t="s">
        <v>48</v>
      </c>
      <c r="B2" s="58"/>
      <c r="C2" s="57" t="e">
        <f ca="1">VLOOKUP(E3,Assemblies!B:F,4,0)</f>
        <v>#VALUE!</v>
      </c>
      <c r="D2" s="75" t="s">
        <v>3</v>
      </c>
      <c r="E2" s="76" t="e">
        <f ca="1">'GF12'!E2</f>
        <v>#VALUE!</v>
      </c>
      <c r="F2" s="77" t="s">
        <v>4</v>
      </c>
      <c r="G2" s="58" t="str">
        <f>'GF12'!G2</f>
        <v>GH</v>
      </c>
      <c r="H2" s="77" t="s">
        <v>6</v>
      </c>
      <c r="I2" s="59">
        <f>'GF12'!I2</f>
        <v>44775</v>
      </c>
      <c r="J2" s="39"/>
      <c r="K2" s="40" t="s">
        <v>49</v>
      </c>
      <c r="L2" s="41" t="e">
        <f ca="1">VLOOKUP(C2,Assemblies!E:G,3,0)</f>
        <v>#VALUE!</v>
      </c>
      <c r="M2" s="78"/>
      <c r="N2" s="78"/>
      <c r="O2" s="78"/>
      <c r="P2" s="86"/>
      <c r="Q2" s="92"/>
    </row>
    <row r="3" spans="1:18" s="55" customFormat="1" ht="12" customHeight="1" thickBot="1">
      <c r="A3" s="74" t="s">
        <v>7</v>
      </c>
      <c r="B3" s="58"/>
      <c r="C3" s="57" t="e">
        <f ca="1">VLOOKUP(E3,Assemblies!B:F,5,0)</f>
        <v>#VALUE!</v>
      </c>
      <c r="D3" s="75" t="s">
        <v>50</v>
      </c>
      <c r="E3" s="76" t="e">
        <f ca="1">MID(CELL("filename",A1),FIND("]",CELL("filename",A1))+1,256)</f>
        <v>#VALUE!</v>
      </c>
      <c r="F3" s="77" t="s">
        <v>11</v>
      </c>
      <c r="G3" s="58" t="str">
        <f>'GF12'!G3</f>
        <v>GH</v>
      </c>
      <c r="H3" s="77" t="s">
        <v>6</v>
      </c>
      <c r="I3" s="59">
        <f>'GF12'!I3</f>
        <v>44775</v>
      </c>
      <c r="J3" s="78"/>
      <c r="K3" s="78"/>
      <c r="L3" s="78"/>
      <c r="M3" s="78"/>
      <c r="N3" s="78"/>
      <c r="O3" s="78"/>
      <c r="P3" s="86"/>
      <c r="Q3" s="92"/>
    </row>
    <row r="4" spans="1:18" s="56" customFormat="1" ht="12.75" customHeight="1" thickBot="1">
      <c r="A4" s="80" t="s">
        <v>12</v>
      </c>
      <c r="B4" s="81" t="s">
        <v>13</v>
      </c>
      <c r="C4" s="81" t="s">
        <v>14</v>
      </c>
      <c r="D4" s="270" t="s">
        <v>15</v>
      </c>
      <c r="E4" s="271"/>
      <c r="F4" s="104" t="s">
        <v>16</v>
      </c>
      <c r="G4" s="81" t="s">
        <v>17</v>
      </c>
      <c r="H4" s="260" t="s">
        <v>18</v>
      </c>
      <c r="I4" s="261"/>
      <c r="J4" s="81" t="s">
        <v>51</v>
      </c>
      <c r="K4" s="81" t="s">
        <v>20</v>
      </c>
      <c r="L4" s="81" t="s">
        <v>21</v>
      </c>
      <c r="M4" s="81" t="s">
        <v>52</v>
      </c>
      <c r="N4" s="81" t="s">
        <v>22</v>
      </c>
      <c r="O4" s="81" t="s">
        <v>53</v>
      </c>
      <c r="P4" s="107" t="s">
        <v>26</v>
      </c>
      <c r="Q4" s="82" t="s">
        <v>27</v>
      </c>
    </row>
    <row r="5" spans="1:18" s="21" customFormat="1" ht="12.75" customHeight="1">
      <c r="A5" s="66" t="s">
        <v>54</v>
      </c>
      <c r="B5" s="1">
        <v>1</v>
      </c>
      <c r="C5" s="67" t="s">
        <v>1257</v>
      </c>
      <c r="D5" s="277" t="e">
        <f ca="1">VLOOKUP(C5,Assemblies!E:S,2,0)</f>
        <v>#N/A</v>
      </c>
      <c r="E5" s="278"/>
      <c r="F5" s="32"/>
      <c r="G5" s="32"/>
      <c r="H5" s="292"/>
      <c r="I5" s="293"/>
      <c r="J5" s="28"/>
      <c r="K5" s="28"/>
      <c r="L5" s="28"/>
      <c r="M5" s="28"/>
      <c r="N5" s="33"/>
      <c r="O5" s="46" t="e">
        <f t="shared" ref="O5:O10" ca="1" si="0">B5*$L$2</f>
        <v>#VALUE!</v>
      </c>
      <c r="P5" s="87">
        <f>'651'!Q19</f>
        <v>222.46</v>
      </c>
      <c r="Q5" s="93">
        <f t="shared" ref="Q5:Q9" si="1">B5*P5</f>
        <v>222.46</v>
      </c>
    </row>
    <row r="6" spans="1:18" s="21" customFormat="1" ht="12.75" customHeight="1">
      <c r="A6" s="66" t="s">
        <v>56</v>
      </c>
      <c r="B6" s="1">
        <v>1</v>
      </c>
      <c r="C6" s="67" t="s">
        <v>1258</v>
      </c>
      <c r="D6" s="277" t="e">
        <f ca="1">VLOOKUP(C6,Assemblies!E:S,2,0)</f>
        <v>#N/A</v>
      </c>
      <c r="E6" s="278"/>
      <c r="F6" s="32"/>
      <c r="G6" s="32"/>
      <c r="H6" s="292"/>
      <c r="I6" s="293"/>
      <c r="J6" s="28"/>
      <c r="K6" s="28"/>
      <c r="L6" s="28"/>
      <c r="M6" s="28"/>
      <c r="N6" s="33"/>
      <c r="O6" s="46" t="e">
        <f t="shared" ca="1" si="0"/>
        <v>#VALUE!</v>
      </c>
      <c r="P6" s="87">
        <f>'652'!Q19</f>
        <v>222.46</v>
      </c>
      <c r="Q6" s="93">
        <f t="shared" si="1"/>
        <v>222.46</v>
      </c>
    </row>
    <row r="7" spans="1:18" s="21" customFormat="1" ht="12.75" customHeight="1">
      <c r="A7" s="66" t="s">
        <v>58</v>
      </c>
      <c r="B7" s="1">
        <v>1</v>
      </c>
      <c r="C7" s="67" t="s">
        <v>1259</v>
      </c>
      <c r="D7" s="277" t="e">
        <f ca="1">VLOOKUP(C7,Assemblies!E:S,2,0)</f>
        <v>#N/A</v>
      </c>
      <c r="E7" s="278"/>
      <c r="F7" s="32"/>
      <c r="G7" s="32"/>
      <c r="H7" s="292"/>
      <c r="I7" s="293"/>
      <c r="J7" s="28"/>
      <c r="K7" s="28"/>
      <c r="L7" s="28"/>
      <c r="M7" s="28"/>
      <c r="N7" s="33"/>
      <c r="O7" s="46" t="e">
        <f t="shared" ca="1" si="0"/>
        <v>#VALUE!</v>
      </c>
      <c r="P7" s="87">
        <f>'653'!Q25</f>
        <v>821.4994999999999</v>
      </c>
      <c r="Q7" s="93">
        <f t="shared" si="1"/>
        <v>821.4994999999999</v>
      </c>
    </row>
    <row r="8" spans="1:18" s="21" customFormat="1" ht="12.75" customHeight="1">
      <c r="A8" s="66" t="s">
        <v>60</v>
      </c>
      <c r="B8" s="1">
        <v>1</v>
      </c>
      <c r="C8" s="67" t="s">
        <v>1260</v>
      </c>
      <c r="D8" s="277" t="e">
        <f ca="1">VLOOKUP(C8,Assemblies!E:S,2,0)</f>
        <v>#N/A</v>
      </c>
      <c r="E8" s="278"/>
      <c r="F8" s="32"/>
      <c r="G8" s="32"/>
      <c r="H8" s="292"/>
      <c r="I8" s="293"/>
      <c r="J8" s="28"/>
      <c r="K8" s="28"/>
      <c r="L8" s="28"/>
      <c r="M8" s="28"/>
      <c r="N8" s="33"/>
      <c r="O8" s="46" t="e">
        <f t="shared" ca="1" si="0"/>
        <v>#VALUE!</v>
      </c>
      <c r="P8" s="87">
        <f>'654'!Q30</f>
        <v>1686.1114</v>
      </c>
      <c r="Q8" s="93">
        <f t="shared" si="1"/>
        <v>1686.1114</v>
      </c>
    </row>
    <row r="9" spans="1:18" s="21" customFormat="1" ht="12.75" customHeight="1">
      <c r="A9" s="66" t="s">
        <v>62</v>
      </c>
      <c r="B9" s="1">
        <v>1</v>
      </c>
      <c r="C9" s="67" t="s">
        <v>1261</v>
      </c>
      <c r="D9" s="277" t="e">
        <f ca="1">VLOOKUP(C9,Assemblies!E:S,2,0)</f>
        <v>#N/A</v>
      </c>
      <c r="E9" s="278"/>
      <c r="F9" s="32"/>
      <c r="G9" s="32"/>
      <c r="H9" s="292"/>
      <c r="I9" s="293"/>
      <c r="J9" s="28"/>
      <c r="K9" s="28"/>
      <c r="L9" s="28"/>
      <c r="M9" s="28"/>
      <c r="N9" s="33"/>
      <c r="O9" s="46" t="e">
        <f t="shared" ca="1" si="0"/>
        <v>#VALUE!</v>
      </c>
      <c r="P9" s="87">
        <f>'655'!Q28</f>
        <v>315.58000000000004</v>
      </c>
      <c r="Q9" s="93">
        <f t="shared" si="1"/>
        <v>315.58000000000004</v>
      </c>
    </row>
    <row r="10" spans="1:18" s="21" customFormat="1" ht="12.75" customHeight="1">
      <c r="A10" s="66" t="s">
        <v>64</v>
      </c>
      <c r="B10" s="1">
        <v>1</v>
      </c>
      <c r="C10" s="67" t="s">
        <v>1262</v>
      </c>
      <c r="D10" s="277" t="e">
        <f ca="1">VLOOKUP(C10,Assemblies!E:S,2,0)</f>
        <v>#N/A</v>
      </c>
      <c r="E10" s="278"/>
      <c r="F10" s="32"/>
      <c r="G10" s="32"/>
      <c r="H10" s="32"/>
      <c r="I10" s="179"/>
      <c r="J10" s="28"/>
      <c r="K10" s="28"/>
      <c r="L10" s="28"/>
      <c r="M10" s="28"/>
      <c r="N10" s="33"/>
      <c r="O10" s="46" t="e">
        <f t="shared" ca="1" si="0"/>
        <v>#VALUE!</v>
      </c>
      <c r="P10" s="87">
        <f>'656'!Q24</f>
        <v>263.0489</v>
      </c>
      <c r="Q10" s="93">
        <f t="shared" ref="Q10" si="2">B10*P10</f>
        <v>263.0489</v>
      </c>
    </row>
    <row r="11" spans="1:18" s="21" customFormat="1" ht="12.75" customHeight="1">
      <c r="A11" s="25"/>
      <c r="B11" s="26"/>
      <c r="C11" s="26"/>
      <c r="D11" s="272"/>
      <c r="E11" s="273"/>
      <c r="F11" s="26"/>
      <c r="G11" s="26"/>
      <c r="H11" s="274"/>
      <c r="I11" s="275"/>
      <c r="J11" s="27"/>
      <c r="K11" s="27"/>
      <c r="L11" s="27"/>
      <c r="M11" s="28"/>
      <c r="N11" s="29"/>
      <c r="O11" s="29"/>
      <c r="P11" s="141"/>
      <c r="Q11" s="142"/>
      <c r="R11" s="20"/>
    </row>
    <row r="12" spans="1:18" s="2" customFormat="1" ht="12.75" customHeight="1">
      <c r="A12" s="127">
        <v>1</v>
      </c>
      <c r="B12" s="21">
        <v>1</v>
      </c>
      <c r="C12" s="108" t="s">
        <v>1263</v>
      </c>
      <c r="D12" s="277" t="str">
        <f>VLOOKUP(C12,Machined!C:Q,2,0)</f>
        <v>PnP Plate</v>
      </c>
      <c r="E12" s="278"/>
      <c r="F12" s="131" t="str">
        <f>VLOOKUP(C12,Machined!C:R,7,0)</f>
        <v>MIC 6</v>
      </c>
      <c r="G12" s="131" t="str">
        <f>VLOOKUP(C12,Machined!C:R,10,0)</f>
        <v>DETAILED MACH</v>
      </c>
      <c r="H12" s="131" t="str">
        <f>VLOOKUP(C12,Machined!C:R,11,0)</f>
        <v xml:space="preserve">  </v>
      </c>
      <c r="I12" s="131"/>
      <c r="J12" s="42">
        <f>VLOOKUP(C12,Machined!C:R,12,0)</f>
        <v>45156</v>
      </c>
      <c r="K12" s="42">
        <f>VLOOKUP(C12,Machined!C:R,13,0)</f>
        <v>45162</v>
      </c>
      <c r="L12" s="42">
        <f>VLOOKUP(C12,Machined!C:R,14,0)</f>
        <v>45190</v>
      </c>
      <c r="M12" s="42">
        <f>VLOOKUP(C12,Machined!C:R,15,0)</f>
        <v>45190</v>
      </c>
      <c r="N12" s="43">
        <f>VLOOKUP(C12,Machined!C:R,16,0)</f>
        <v>55101</v>
      </c>
      <c r="O12" s="43" t="e">
        <f t="shared" ref="O12:O14" ca="1" si="3">B12*$L$2</f>
        <v>#VALUE!</v>
      </c>
      <c r="P12" s="47">
        <f>IFERROR(VLOOKUP(C12,Machined!C:F,3,0),"")</f>
        <v>0</v>
      </c>
      <c r="Q12" s="48">
        <f t="shared" ref="Q12:Q14" si="4">IFERROR(B12*P12,"")</f>
        <v>0</v>
      </c>
    </row>
    <row r="13" spans="1:18" s="2" customFormat="1" ht="12.75" customHeight="1">
      <c r="A13" s="127">
        <f>A12+1</f>
        <v>2</v>
      </c>
      <c r="B13" s="21">
        <v>4</v>
      </c>
      <c r="C13" s="108" t="s">
        <v>1264</v>
      </c>
      <c r="D13" s="277" t="str">
        <f>VLOOKUP(C13,Machined!C:Q,2,0)</f>
        <v>Misumi Bearing Spacer</v>
      </c>
      <c r="E13" s="278"/>
      <c r="F13" s="131" t="str">
        <f>VLOOKUP(C13,Machined!C:R,7,0)</f>
        <v>6061-T6 Alum</v>
      </c>
      <c r="G13" s="131" t="str">
        <f>VLOOKUP(C13,Machined!C:R,10,0)</f>
        <v>DETAILED MACH</v>
      </c>
      <c r="H13" s="131" t="str">
        <f>VLOOKUP(C13,Machined!C:R,11,0)</f>
        <v>shipped 9/29/23</v>
      </c>
      <c r="I13" s="131"/>
      <c r="J13" s="42">
        <f>VLOOKUP(C13,Machined!C:R,12,0)</f>
        <v>45156</v>
      </c>
      <c r="K13" s="42">
        <f>VLOOKUP(C13,Machined!C:R,13,0)</f>
        <v>45162</v>
      </c>
      <c r="L13" s="42">
        <f>VLOOKUP(C13,Machined!C:R,14,0)</f>
        <v>45190</v>
      </c>
      <c r="M13" s="42">
        <f>VLOOKUP(C13,Machined!C:R,15,0)</f>
        <v>45190</v>
      </c>
      <c r="N13" s="43">
        <f>VLOOKUP(C13,Machined!C:R,16,0)</f>
        <v>55101</v>
      </c>
      <c r="O13" s="43" t="e">
        <f t="shared" ca="1" si="3"/>
        <v>#VALUE!</v>
      </c>
      <c r="P13" s="47">
        <f>IFERROR(VLOOKUP(C13,Machined!C:F,3,0),"")</f>
        <v>0</v>
      </c>
      <c r="Q13" s="48">
        <f t="shared" si="4"/>
        <v>0</v>
      </c>
    </row>
    <row r="14" spans="1:18" s="2" customFormat="1" ht="12.75" customHeight="1">
      <c r="A14" s="127">
        <f>A13+1</f>
        <v>3</v>
      </c>
      <c r="B14" s="21">
        <v>1</v>
      </c>
      <c r="C14" s="108" t="s">
        <v>932</v>
      </c>
      <c r="D14" s="277" t="str">
        <f>VLOOKUP(C14,Machined!C:Q,2,0)</f>
        <v>MODIFIED IGUS JFRM-282835TR12X3 TRAP LEAD NUT</v>
      </c>
      <c r="E14" s="278"/>
      <c r="F14" s="131" t="str">
        <f>VLOOKUP(C14,Machined!C:R,7,0)</f>
        <v>PURCHASED</v>
      </c>
      <c r="G14" s="131" t="str">
        <f>VLOOKUP(C14,Machined!C:R,10,0)</f>
        <v>IGUS, NULINE</v>
      </c>
      <c r="H14" s="131" t="str">
        <f>VLOOKUP(C14,Machined!C:R,11,0)</f>
        <v xml:space="preserve">  </v>
      </c>
      <c r="I14" s="131"/>
      <c r="J14" s="42">
        <f>VLOOKUP(C14,Machined!C:R,12,0)</f>
        <v>45160</v>
      </c>
      <c r="K14" s="42">
        <f>VLOOKUP(C14,Machined!C:R,13,0)</f>
        <v>45160</v>
      </c>
      <c r="L14" s="42">
        <f>VLOOKUP(C14,Machined!C:R,14,0)</f>
        <v>45166</v>
      </c>
      <c r="M14" s="42">
        <f>VLOOKUP(C14,Machined!C:R,15,0)</f>
        <v>45166</v>
      </c>
      <c r="N14" s="43">
        <f>VLOOKUP(C14,Machined!C:R,16,0)</f>
        <v>55085</v>
      </c>
      <c r="O14" s="43" t="e">
        <f t="shared" ca="1" si="3"/>
        <v>#VALUE!</v>
      </c>
      <c r="P14" s="47">
        <f>IFERROR(VLOOKUP(C14,Machined!C:F,3,0),"")</f>
        <v>23.47</v>
      </c>
      <c r="Q14" s="48">
        <f t="shared" si="4"/>
        <v>23.47</v>
      </c>
    </row>
    <row r="15" spans="1:18" s="2" customFormat="1" ht="12.75" customHeight="1">
      <c r="A15" s="143"/>
      <c r="B15" s="26"/>
      <c r="C15" s="26"/>
      <c r="D15" s="272"/>
      <c r="E15" s="273"/>
      <c r="F15" s="26"/>
      <c r="G15" s="26"/>
      <c r="H15" s="274"/>
      <c r="I15" s="275"/>
      <c r="J15" s="27"/>
      <c r="K15" s="27"/>
      <c r="L15" s="27"/>
      <c r="M15" s="28"/>
      <c r="N15" s="29"/>
      <c r="O15" s="29"/>
      <c r="P15" s="141"/>
      <c r="Q15" s="142"/>
    </row>
    <row r="16" spans="1:18" s="2" customFormat="1" ht="12" customHeight="1">
      <c r="A16" s="4">
        <v>301</v>
      </c>
      <c r="B16" s="2">
        <v>2</v>
      </c>
      <c r="C16" s="114" t="s">
        <v>1265</v>
      </c>
      <c r="D16" s="268" t="str">
        <f>VLOOKUP(C16,Purchased!A:B,2,0)</f>
        <v>BRL 15mm Ball Rail, assy 640, pick n place</v>
      </c>
      <c r="E16" s="269"/>
      <c r="F16" s="112" t="str">
        <f>VLOOKUP(C16,Purchased!A:Q,9,0)</f>
        <v>BRL</v>
      </c>
      <c r="G16" s="112" t="str">
        <f>VLOOKUP(C16,Purchased!A:Q,10,0)</f>
        <v>AAP</v>
      </c>
      <c r="H16" s="112" t="str">
        <f>VLOOKUP(C16,Purchased!A:Q,12,0)</f>
        <v xml:space="preserve"> </v>
      </c>
      <c r="I16" s="113"/>
      <c r="J16" s="44">
        <f>VLOOKUP(C16,Purchased!A:Q,13,0)</f>
        <v>45093</v>
      </c>
      <c r="K16" s="44">
        <f>VLOOKUP(C16,Purchased!A:Q,14,0)</f>
        <v>45093</v>
      </c>
      <c r="L16" s="44">
        <f>VLOOKUP(C16,Purchased!A:Q,15,0)</f>
        <v>45184</v>
      </c>
      <c r="M16" s="44">
        <f>VLOOKUP(C16,Purchased!A:Q,16,0)</f>
        <v>45184</v>
      </c>
      <c r="N16" s="45">
        <f>VLOOKUP(C16,Purchased!A:Q,17,0)</f>
        <v>54942</v>
      </c>
      <c r="O16" s="45" t="e">
        <f t="shared" ref="O16:O39" ca="1" si="5">B16*$L$2</f>
        <v>#VALUE!</v>
      </c>
      <c r="P16" s="49">
        <f>IFERROR(VLOOKUP(C16,Purchased!A:E,3,FALSE),"")</f>
        <v>148.238</v>
      </c>
      <c r="Q16" s="50">
        <f t="shared" ref="Q16:Q26" si="6">IFERROR(B16*P16,"")</f>
        <v>296.476</v>
      </c>
    </row>
    <row r="17" spans="1:17" s="2" customFormat="1" ht="12" customHeight="1">
      <c r="A17" s="4">
        <f>A16+1</f>
        <v>302</v>
      </c>
      <c r="B17" s="2">
        <v>4</v>
      </c>
      <c r="C17" s="114" t="s">
        <v>421</v>
      </c>
      <c r="D17" s="268" t="str">
        <f>VLOOKUP(C17,Purchased!A:B,2,0)</f>
        <v>SMC KIT, L-BRACKET, AS2052F</v>
      </c>
      <c r="E17" s="269"/>
      <c r="F17" s="112" t="str">
        <f>VLOOKUP(C17,Purchased!A:Q,9,0)</f>
        <v>SMC</v>
      </c>
      <c r="G17" s="112" t="str">
        <f>VLOOKUP(C17,Purchased!A:Q,10,0)</f>
        <v>AAP</v>
      </c>
      <c r="H17" s="112" t="str">
        <f>VLOOKUP(C17,Purchased!A:Q,12,0)</f>
        <v xml:space="preserve"> </v>
      </c>
      <c r="I17" s="113"/>
      <c r="J17" s="44" t="str">
        <f>VLOOKUP(C17,Purchased!A:Q,13,0)</f>
        <v>N/A</v>
      </c>
      <c r="K17" s="44">
        <f>VLOOKUP(C17,Purchased!A:Q,14,0)</f>
        <v>45162</v>
      </c>
      <c r="L17" s="44">
        <f>VLOOKUP(C17,Purchased!A:Q,15,0)</f>
        <v>45184</v>
      </c>
      <c r="M17" s="44">
        <f>VLOOKUP(C17,Purchased!A:Q,16,0)</f>
        <v>45180</v>
      </c>
      <c r="N17" s="45">
        <f>VLOOKUP(C17,Purchased!A:Q,17,0)</f>
        <v>55037</v>
      </c>
      <c r="O17" s="45" t="e">
        <f ca="1">B17*$L$2</f>
        <v>#VALUE!</v>
      </c>
      <c r="P17" s="49">
        <f>IFERROR(VLOOKUP(C17,Purchased!A:E,3,FALSE),"")</f>
        <v>2.2410000000000001</v>
      </c>
      <c r="Q17" s="50">
        <f>IFERROR(B17*P17,"")</f>
        <v>8.9640000000000004</v>
      </c>
    </row>
    <row r="18" spans="1:17" s="2" customFormat="1" ht="12" customHeight="1">
      <c r="A18" s="4">
        <f t="shared" ref="A18:A30" si="7">A17+1</f>
        <v>303</v>
      </c>
      <c r="B18" s="2">
        <v>4</v>
      </c>
      <c r="C18" s="114" t="s">
        <v>1266</v>
      </c>
      <c r="D18" s="268" t="str">
        <f>VLOOKUP(C18,Purchased!A:B,2,0)</f>
        <v>SMC AS2052F-06A speed control w/fitting, FLOW CONTROL W/FITTING 6mm tubing</v>
      </c>
      <c r="E18" s="269"/>
      <c r="F18" s="112" t="str">
        <f>VLOOKUP(C18,Purchased!A:Q,9,0)</f>
        <v>SMC</v>
      </c>
      <c r="G18" s="112" t="str">
        <f>VLOOKUP(C18,Purchased!A:Q,10,0)</f>
        <v>AAP</v>
      </c>
      <c r="H18" s="112" t="str">
        <f>VLOOKUP(C18,Purchased!A:Q,12,0)</f>
        <v xml:space="preserve"> </v>
      </c>
      <c r="I18" s="113"/>
      <c r="J18" s="44" t="str">
        <f>VLOOKUP(C18,Purchased!A:Q,13,0)</f>
        <v>N/A</v>
      </c>
      <c r="K18" s="44">
        <f>VLOOKUP(C18,Purchased!A:Q,14,0)</f>
        <v>45162</v>
      </c>
      <c r="L18" s="44">
        <f>VLOOKUP(C18,Purchased!A:Q,15,0)</f>
        <v>45184</v>
      </c>
      <c r="M18" s="44">
        <f>VLOOKUP(C18,Purchased!A:Q,16,0)</f>
        <v>45197</v>
      </c>
      <c r="N18" s="45">
        <f>VLOOKUP(C18,Purchased!A:Q,17,0)</f>
        <v>55073</v>
      </c>
      <c r="O18" s="45" t="e">
        <f ca="1">B18*$L$2</f>
        <v>#VALUE!</v>
      </c>
      <c r="P18" s="49">
        <f>IFERROR(VLOOKUP(C18,Purchased!A:E,3,FALSE),"")</f>
        <v>14.773999999999999</v>
      </c>
      <c r="Q18" s="50">
        <f>IFERROR(B18*P18,"")</f>
        <v>59.095999999999997</v>
      </c>
    </row>
    <row r="19" spans="1:17" s="2" customFormat="1" ht="12" customHeight="1">
      <c r="A19" s="4">
        <f t="shared" si="7"/>
        <v>304</v>
      </c>
      <c r="B19" s="2">
        <v>2</v>
      </c>
      <c r="C19" s="114" t="s">
        <v>720</v>
      </c>
      <c r="D19" s="268" t="str">
        <f>VLOOKUP(C19,Purchased!A:B,2,0)</f>
        <v>SMC FITTING, MALE ELBOW</v>
      </c>
      <c r="E19" s="269"/>
      <c r="F19" s="112" t="str">
        <f>VLOOKUP(C19,Purchased!A:Q,9,0)</f>
        <v>SMC</v>
      </c>
      <c r="G19" s="112" t="str">
        <f>VLOOKUP(C19,Purchased!A:Q,10,0)</f>
        <v>AAP</v>
      </c>
      <c r="H19" s="112" t="str">
        <f>VLOOKUP(C19,Purchased!A:Q,12,0)</f>
        <v xml:space="preserve"> </v>
      </c>
      <c r="I19" s="113"/>
      <c r="J19" s="44" t="str">
        <f>VLOOKUP(C19,Purchased!A:Q,13,0)</f>
        <v>N/A</v>
      </c>
      <c r="K19" s="44">
        <f>VLOOKUP(C19,Purchased!A:Q,14,0)</f>
        <v>45162</v>
      </c>
      <c r="L19" s="44">
        <f>VLOOKUP(C19,Purchased!A:Q,15,0)</f>
        <v>45184</v>
      </c>
      <c r="M19" s="44">
        <f>VLOOKUP(C19,Purchased!A:Q,16,0)</f>
        <v>45180</v>
      </c>
      <c r="N19" s="45">
        <f>VLOOKUP(C19,Purchased!A:Q,17,0)</f>
        <v>55037</v>
      </c>
      <c r="O19" s="45" t="e">
        <f ca="1">B19*$L$2</f>
        <v>#VALUE!</v>
      </c>
      <c r="P19" s="49">
        <f>IFERROR(VLOOKUP(C19,Purchased!A:E,3,FALSE),"")</f>
        <v>2.1857000000000002</v>
      </c>
      <c r="Q19" s="50">
        <f>IFERROR(B19*P19,"")</f>
        <v>4.3714000000000004</v>
      </c>
    </row>
    <row r="20" spans="1:17" s="2" customFormat="1" ht="12" customHeight="1">
      <c r="A20" s="4">
        <f t="shared" si="7"/>
        <v>305</v>
      </c>
      <c r="B20" s="2">
        <v>2</v>
      </c>
      <c r="C20" s="114" t="s">
        <v>476</v>
      </c>
      <c r="D20" s="268" t="str">
        <f>VLOOKUP(C20,Purchased!A:B,2,0)</f>
        <v>SMC Inline Solid PNP Direct</v>
      </c>
      <c r="E20" s="269"/>
      <c r="F20" s="112" t="str">
        <f>VLOOKUP(C20,Purchased!A:Q,9,0)</f>
        <v>SMC</v>
      </c>
      <c r="G20" s="112" t="str">
        <f>VLOOKUP(C20,Purchased!A:Q,10,0)</f>
        <v>AAP</v>
      </c>
      <c r="H20" s="112" t="str">
        <f>VLOOKUP(C20,Purchased!A:Q,12,0)</f>
        <v xml:space="preserve"> </v>
      </c>
      <c r="I20" s="113"/>
      <c r="J20" s="44" t="str">
        <f>VLOOKUP(C20,Purchased!A:Q,13,0)</f>
        <v>N/A</v>
      </c>
      <c r="K20" s="44">
        <f>VLOOKUP(C20,Purchased!A:Q,14,0)</f>
        <v>45162</v>
      </c>
      <c r="L20" s="44">
        <f>VLOOKUP(C20,Purchased!A:Q,15,0)</f>
        <v>45184</v>
      </c>
      <c r="M20" s="44">
        <f>VLOOKUP(C20,Purchased!A:Q,16,0)</f>
        <v>45180</v>
      </c>
      <c r="N20" s="45">
        <f>VLOOKUP(C20,Purchased!A:Q,17,0)</f>
        <v>55037</v>
      </c>
      <c r="O20" s="45" t="e">
        <f ca="1">B20*$L$2</f>
        <v>#VALUE!</v>
      </c>
      <c r="P20" s="49">
        <f>IFERROR(VLOOKUP(C20,Purchased!A:E,3,FALSE),"")</f>
        <v>37.226700000000001</v>
      </c>
      <c r="Q20" s="50">
        <f>IFERROR(B20*P20,"")</f>
        <v>74.453400000000002</v>
      </c>
    </row>
    <row r="21" spans="1:17" s="2" customFormat="1" ht="12" customHeight="1">
      <c r="A21" s="4">
        <f t="shared" si="7"/>
        <v>306</v>
      </c>
      <c r="B21" s="2">
        <v>2</v>
      </c>
      <c r="C21" s="114" t="s">
        <v>1267</v>
      </c>
      <c r="D21" s="268" t="str">
        <f>VLOOKUP(C21,Purchased!A:B,2,0)</f>
        <v>SMC SWITCH BRACKET</v>
      </c>
      <c r="E21" s="269"/>
      <c r="F21" s="112" t="str">
        <f>VLOOKUP(C21,Purchased!A:Q,9,0)</f>
        <v>SMC</v>
      </c>
      <c r="G21" s="112" t="str">
        <f>VLOOKUP(C21,Purchased!A:Q,10,0)</f>
        <v>AAP</v>
      </c>
      <c r="H21" s="112" t="str">
        <f>VLOOKUP(C21,Purchased!A:Q,12,0)</f>
        <v xml:space="preserve"> </v>
      </c>
      <c r="I21" s="113"/>
      <c r="J21" s="44" t="str">
        <f>VLOOKUP(C21,Purchased!A:Q,13,0)</f>
        <v>N/A</v>
      </c>
      <c r="K21" s="44">
        <f>VLOOKUP(C21,Purchased!A:Q,14,0)</f>
        <v>45162</v>
      </c>
      <c r="L21" s="44">
        <f>VLOOKUP(C21,Purchased!A:Q,15,0)</f>
        <v>45184</v>
      </c>
      <c r="M21" s="44">
        <f>VLOOKUP(C21,Purchased!A:Q,16,0)</f>
        <v>45197</v>
      </c>
      <c r="N21" s="45">
        <f>VLOOKUP(C21,Purchased!A:Q,17,0)</f>
        <v>55073</v>
      </c>
      <c r="O21" s="45" t="e">
        <f t="shared" ca="1" si="5"/>
        <v>#VALUE!</v>
      </c>
      <c r="P21" s="49">
        <f>IFERROR(VLOOKUP(C21,Purchased!A:E,3,FALSE),"")</f>
        <v>2.2686999999999999</v>
      </c>
      <c r="Q21" s="50">
        <f t="shared" si="6"/>
        <v>4.5373999999999999</v>
      </c>
    </row>
    <row r="22" spans="1:17" s="2" customFormat="1" ht="12" customHeight="1">
      <c r="A22" s="4">
        <f t="shared" si="7"/>
        <v>307</v>
      </c>
      <c r="B22" s="2">
        <v>1</v>
      </c>
      <c r="C22" s="114" t="s">
        <v>1268</v>
      </c>
      <c r="D22" s="268" t="str">
        <f>VLOOKUP(C22,Purchased!A:B,2,0)</f>
        <v>SMC Cyl, Rodless, Mechanicaly Jointed</v>
      </c>
      <c r="E22" s="269"/>
      <c r="F22" s="112" t="str">
        <f>VLOOKUP(C22,Purchased!A:Q,9,0)</f>
        <v>SMC</v>
      </c>
      <c r="G22" s="112" t="str">
        <f>VLOOKUP(C22,Purchased!A:Q,10,0)</f>
        <v>AAP</v>
      </c>
      <c r="H22" s="112" t="str">
        <f>VLOOKUP(C22,Purchased!A:Q,12,0)</f>
        <v xml:space="preserve"> </v>
      </c>
      <c r="I22" s="113"/>
      <c r="J22" s="44" t="str">
        <f>VLOOKUP(C22,Purchased!A:Q,13,0)</f>
        <v>N/A</v>
      </c>
      <c r="K22" s="44">
        <f>VLOOKUP(C22,Purchased!A:Q,14,0)</f>
        <v>45042</v>
      </c>
      <c r="L22" s="44">
        <f>VLOOKUP(C22,Purchased!A:Q,15,0)</f>
        <v>45098</v>
      </c>
      <c r="M22" s="44">
        <f>VLOOKUP(C22,Purchased!A:Q,16,0)</f>
        <v>45143</v>
      </c>
      <c r="N22" s="45">
        <f>VLOOKUP(C22,Purchased!A:Q,17,0)</f>
        <v>54862</v>
      </c>
      <c r="O22" s="45" t="e">
        <f t="shared" ca="1" si="5"/>
        <v>#VALUE!</v>
      </c>
      <c r="P22" s="49">
        <f>IFERROR(VLOOKUP(C22,Purchased!A:E,3,FALSE),"")</f>
        <v>320.61520000000002</v>
      </c>
      <c r="Q22" s="50">
        <f t="shared" si="6"/>
        <v>320.61520000000002</v>
      </c>
    </row>
    <row r="23" spans="1:17" s="2" customFormat="1" ht="12" customHeight="1">
      <c r="A23" s="4">
        <f t="shared" si="7"/>
        <v>308</v>
      </c>
      <c r="B23" s="2">
        <v>1</v>
      </c>
      <c r="C23" s="114" t="s">
        <v>1269</v>
      </c>
      <c r="D23" s="268" t="str">
        <f>VLOOKUP(C23,Purchased!A:B,2,0)</f>
        <v>ZH, Vacuum Generator, Body Ported Sup-6mm, Vac-6mm, Exh-8mm</v>
      </c>
      <c r="E23" s="269"/>
      <c r="F23" s="112" t="str">
        <f>VLOOKUP(C23,Purchased!A:Q,9,0)</f>
        <v>SMC</v>
      </c>
      <c r="G23" s="112" t="str">
        <f>VLOOKUP(C23,Purchased!A:Q,10,0)</f>
        <v>AAP</v>
      </c>
      <c r="H23" s="112" t="str">
        <f>VLOOKUP(C23,Purchased!A:Q,12,0)</f>
        <v xml:space="preserve"> </v>
      </c>
      <c r="I23" s="113"/>
      <c r="J23" s="44" t="str">
        <f>VLOOKUP(C23,Purchased!A:Q,13,0)</f>
        <v>N/A</v>
      </c>
      <c r="K23" s="44">
        <f>VLOOKUP(C23,Purchased!A:Q,14,0)</f>
        <v>45162</v>
      </c>
      <c r="L23" s="44">
        <f>VLOOKUP(C23,Purchased!A:Q,15,0)</f>
        <v>45184</v>
      </c>
      <c r="M23" s="44">
        <f>VLOOKUP(C23,Purchased!A:Q,16,0)</f>
        <v>45197</v>
      </c>
      <c r="N23" s="45">
        <f>VLOOKUP(C23,Purchased!A:Q,17,0)</f>
        <v>55073</v>
      </c>
      <c r="O23" s="45" t="e">
        <f t="shared" ca="1" si="5"/>
        <v>#VALUE!</v>
      </c>
      <c r="P23" s="49">
        <f>IFERROR(VLOOKUP(C23,Purchased!A:E,3,FALSE),"")</f>
        <v>15.7423</v>
      </c>
      <c r="Q23" s="50">
        <f t="shared" si="6"/>
        <v>15.7423</v>
      </c>
    </row>
    <row r="24" spans="1:17" s="2" customFormat="1" ht="12" customHeight="1">
      <c r="A24" s="4">
        <f t="shared" si="7"/>
        <v>309</v>
      </c>
      <c r="B24" s="2">
        <v>1</v>
      </c>
      <c r="C24" s="114" t="s">
        <v>963</v>
      </c>
      <c r="D24" s="268" t="str">
        <f>VLOOKUP(C24,Purchased!A:B,2,0)</f>
        <v>IGUS  Trap Lead Nut</v>
      </c>
      <c r="E24" s="269"/>
      <c r="F24" s="112" t="str">
        <f>VLOOKUP(C24,Purchased!A:Q,9,0)</f>
        <v>IGUS</v>
      </c>
      <c r="G24" s="112" t="str">
        <f>VLOOKUP(C24,Purchased!A:Q,10,0)</f>
        <v>IGUS</v>
      </c>
      <c r="H24" s="112" t="str">
        <f>VLOOKUP(C24,Purchased!A:Q,12,0)</f>
        <v xml:space="preserve"> </v>
      </c>
      <c r="I24" s="113"/>
      <c r="J24" s="44">
        <f>VLOOKUP(C24,Purchased!A:Q,13,0)</f>
        <v>45154</v>
      </c>
      <c r="K24" s="44">
        <f>VLOOKUP(C24,Purchased!A:Q,14,0)</f>
        <v>45161</v>
      </c>
      <c r="L24" s="44">
        <f>VLOOKUP(C24,Purchased!A:Q,15,0)</f>
        <v>45191</v>
      </c>
      <c r="M24" s="44">
        <f>VLOOKUP(C24,Purchased!A:Q,16,0)</f>
        <v>45208</v>
      </c>
      <c r="N24" s="45">
        <f>VLOOKUP(C24,Purchased!A:Q,17,0)</f>
        <v>55076</v>
      </c>
      <c r="O24" s="45" t="e">
        <f t="shared" ca="1" si="5"/>
        <v>#VALUE!</v>
      </c>
      <c r="P24" s="49">
        <f>IFERROR(VLOOKUP(C24,Purchased!A:E,3,FALSE),"")</f>
        <v>23.47</v>
      </c>
      <c r="Q24" s="50">
        <f t="shared" si="6"/>
        <v>23.47</v>
      </c>
    </row>
    <row r="25" spans="1:17" s="2" customFormat="1" ht="12" customHeight="1">
      <c r="A25" s="4">
        <f t="shared" si="7"/>
        <v>310</v>
      </c>
      <c r="B25" s="2">
        <v>2</v>
      </c>
      <c r="C25" s="114" t="s">
        <v>477</v>
      </c>
      <c r="D25" s="268" t="str">
        <f>VLOOKUP(C25,Purchased!A:B,2,0)</f>
        <v>MURR M8 Female, 0deg A-Coded, 3-Pin, w/ Cable</v>
      </c>
      <c r="E25" s="269"/>
      <c r="F25" s="112" t="str">
        <f>VLOOKUP(C25,Purchased!A:Q,9,0)</f>
        <v>MURR</v>
      </c>
      <c r="G25" s="112" t="str">
        <f>VLOOKUP(C25,Purchased!A:Q,10,0)</f>
        <v>MURR</v>
      </c>
      <c r="H25" s="112" t="str">
        <f>VLOOKUP(C25,Purchased!A:Q,12,0)</f>
        <v xml:space="preserve">  </v>
      </c>
      <c r="I25" s="113"/>
      <c r="J25" s="44">
        <f>VLOOKUP(C25,Purchased!A:Q,13,0)</f>
        <v>45161</v>
      </c>
      <c r="K25" s="44">
        <f>VLOOKUP(C25,Purchased!A:Q,14,0)</f>
        <v>45162</v>
      </c>
      <c r="L25" s="44">
        <f>VLOOKUP(C25,Purchased!A:Q,15,0)</f>
        <v>45184</v>
      </c>
      <c r="M25" s="44">
        <f>VLOOKUP(C25,Purchased!A:Q,16,0)</f>
        <v>45184</v>
      </c>
      <c r="N25" s="45">
        <f>VLOOKUP(C25,Purchased!A:Q,17,0)</f>
        <v>55080</v>
      </c>
      <c r="O25" s="45" t="e">
        <f t="shared" ca="1" si="5"/>
        <v>#VALUE!</v>
      </c>
      <c r="P25" s="49">
        <f>IFERROR(VLOOKUP(C25,Purchased!A:E,3,FALSE),"")</f>
        <v>21.52</v>
      </c>
      <c r="Q25" s="50">
        <f t="shared" si="6"/>
        <v>43.04</v>
      </c>
    </row>
    <row r="26" spans="1:17" s="2" customFormat="1" ht="12" customHeight="1">
      <c r="A26" s="4">
        <f t="shared" si="7"/>
        <v>311</v>
      </c>
      <c r="B26" s="2">
        <v>1</v>
      </c>
      <c r="C26" s="114" t="s">
        <v>1003</v>
      </c>
      <c r="D26" s="268" t="str">
        <f>VLOOKUP(C26,Purchased!A:B,2,0)</f>
        <v>MURR M8 Female, 0deg A-Coded, 4-Pin, w/ Cable, 7.5m, black</v>
      </c>
      <c r="E26" s="269"/>
      <c r="F26" s="112" t="str">
        <f>VLOOKUP(C26,Purchased!A:Q,9,0)</f>
        <v>MURR</v>
      </c>
      <c r="G26" s="112" t="str">
        <f>VLOOKUP(C26,Purchased!A:Q,10,0)</f>
        <v>MURR</v>
      </c>
      <c r="H26" s="112" t="str">
        <f>VLOOKUP(C26,Purchased!A:Q,12,0)</f>
        <v xml:space="preserve"> </v>
      </c>
      <c r="I26" s="113"/>
      <c r="J26" s="44">
        <f>VLOOKUP(C26,Purchased!A:Q,13,0)</f>
        <v>45161</v>
      </c>
      <c r="K26" s="44">
        <f>VLOOKUP(C26,Purchased!A:Q,14,0)</f>
        <v>45162</v>
      </c>
      <c r="L26" s="44">
        <f>VLOOKUP(C26,Purchased!A:Q,15,0)</f>
        <v>45184</v>
      </c>
      <c r="M26" s="44">
        <f>VLOOKUP(C26,Purchased!A:Q,16,0)</f>
        <v>45184</v>
      </c>
      <c r="N26" s="45">
        <f>VLOOKUP(C26,Purchased!A:Q,17,0)</f>
        <v>55080</v>
      </c>
      <c r="O26" s="45" t="e">
        <f t="shared" ca="1" si="5"/>
        <v>#VALUE!</v>
      </c>
      <c r="P26" s="49">
        <f>IFERROR(VLOOKUP(C26,Purchased!A:E,3,FALSE),"")</f>
        <v>21.04</v>
      </c>
      <c r="Q26" s="50">
        <f t="shared" si="6"/>
        <v>21.04</v>
      </c>
    </row>
    <row r="27" spans="1:17" s="2" customFormat="1" ht="12" customHeight="1">
      <c r="A27" s="4">
        <f t="shared" si="7"/>
        <v>312</v>
      </c>
      <c r="B27" s="2">
        <v>4</v>
      </c>
      <c r="C27" s="109" t="s">
        <v>1270</v>
      </c>
      <c r="D27" s="268" t="str">
        <f>VLOOKUP(C27,Purchased!A:B,2,0)</f>
        <v>MISUMI 20mm Flanged Linear Bearing</v>
      </c>
      <c r="E27" s="269"/>
      <c r="F27" s="112" t="str">
        <f>VLOOKUP(C27,Purchased!A:Q,9,0)</f>
        <v>MISUMI</v>
      </c>
      <c r="G27" s="112" t="str">
        <f>VLOOKUP(C27,Purchased!A:Q,10,0)</f>
        <v>MISUMI</v>
      </c>
      <c r="H27" s="112" t="str">
        <f>VLOOKUP(C27,Purchased!A:Q,12,0)</f>
        <v xml:space="preserve"> </v>
      </c>
      <c r="I27" s="113"/>
      <c r="J27" s="44" t="str">
        <f>VLOOKUP(C27,Purchased!A:Q,13,0)</f>
        <v>N/A</v>
      </c>
      <c r="K27" s="44">
        <f>VLOOKUP(C27,Purchased!A:Q,14,0)</f>
        <v>45161</v>
      </c>
      <c r="L27" s="44">
        <f>VLOOKUP(C27,Purchased!A:Q,15,0)</f>
        <v>45191</v>
      </c>
      <c r="M27" s="44">
        <f>VLOOKUP(C27,Purchased!A:Q,16,0)</f>
        <v>45176</v>
      </c>
      <c r="N27" s="45">
        <f>VLOOKUP(C27,Purchased!A:Q,17,0)</f>
        <v>55078</v>
      </c>
      <c r="O27" s="45" t="e">
        <f t="shared" ref="O27:O30" ca="1" si="8">B27*$L$2</f>
        <v>#VALUE!</v>
      </c>
      <c r="P27" s="49">
        <f>IFERROR(VLOOKUP(C27,Purchased!A:E,3,FALSE),"")</f>
        <v>32.79</v>
      </c>
      <c r="Q27" s="50">
        <f t="shared" ref="Q27:Q30" si="9">IFERROR(B27*P27,"")</f>
        <v>131.16</v>
      </c>
    </row>
    <row r="28" spans="1:17" s="2" customFormat="1" ht="12" customHeight="1">
      <c r="A28" s="4">
        <f t="shared" si="7"/>
        <v>313</v>
      </c>
      <c r="B28" s="2">
        <v>1</v>
      </c>
      <c r="C28" s="109" t="s">
        <v>1002</v>
      </c>
      <c r="D28" s="268" t="str">
        <f>VLOOKUP(C28,Purchased!A:B,2,0)</f>
        <v>KEYENCE FS-41NC Main Unit M8 Connector Type</v>
      </c>
      <c r="E28" s="269"/>
      <c r="F28" s="112" t="str">
        <f>VLOOKUP(C28,Purchased!A:Q,9,0)</f>
        <v>KEYENCE</v>
      </c>
      <c r="G28" s="112" t="str">
        <f>VLOOKUP(C28,Purchased!A:Q,10,0)</f>
        <v>KEYENCE</v>
      </c>
      <c r="H28" s="112" t="str">
        <f>VLOOKUP(C28,Purchased!A:Q,12,0)</f>
        <v xml:space="preserve"> </v>
      </c>
      <c r="I28" s="113"/>
      <c r="J28" s="44">
        <f>VLOOKUP(C28,Purchased!A:Q,13,0)</f>
        <v>45154</v>
      </c>
      <c r="K28" s="44">
        <f>VLOOKUP(C28,Purchased!A:Q,14,0)</f>
        <v>45161</v>
      </c>
      <c r="L28" s="44">
        <f>VLOOKUP(C28,Purchased!A:Q,15,0)</f>
        <v>45191</v>
      </c>
      <c r="M28" s="44">
        <f>VLOOKUP(C28,Purchased!A:Q,16,0)</f>
        <v>45184</v>
      </c>
      <c r="N28" s="45">
        <f>VLOOKUP(C28,Purchased!A:Q,17,0)</f>
        <v>55077</v>
      </c>
      <c r="O28" s="45" t="e">
        <f t="shared" ca="1" si="8"/>
        <v>#VALUE!</v>
      </c>
      <c r="P28" s="49">
        <f>IFERROR(VLOOKUP(C28,Purchased!A:E,3,FALSE),"")</f>
        <v>235</v>
      </c>
      <c r="Q28" s="50">
        <f t="shared" si="9"/>
        <v>235</v>
      </c>
    </row>
    <row r="29" spans="1:17" s="2" customFormat="1" ht="12" customHeight="1">
      <c r="A29" s="4">
        <f t="shared" si="7"/>
        <v>314</v>
      </c>
      <c r="B29" s="2">
        <v>1</v>
      </c>
      <c r="C29" s="109" t="s">
        <v>1001</v>
      </c>
      <c r="D29" s="268" t="str">
        <f>VLOOKUP(C29,Purchased!A:B,2,0)</f>
        <v>KEYENCE OP-88245 Amplifier Securing Bracket</v>
      </c>
      <c r="E29" s="269"/>
      <c r="F29" s="112" t="str">
        <f>VLOOKUP(C29,Purchased!A:Q,9,0)</f>
        <v>KEYENCE</v>
      </c>
      <c r="G29" s="112" t="str">
        <f>VLOOKUP(C29,Purchased!A:Q,10,0)</f>
        <v>KEYENCE</v>
      </c>
      <c r="H29" s="112" t="str">
        <f>VLOOKUP(C29,Purchased!A:Q,12,0)</f>
        <v xml:space="preserve"> </v>
      </c>
      <c r="I29" s="113"/>
      <c r="J29" s="44">
        <f>VLOOKUP(C29,Purchased!A:Q,13,0)</f>
        <v>45154</v>
      </c>
      <c r="K29" s="44">
        <f>VLOOKUP(C29,Purchased!A:Q,14,0)</f>
        <v>45161</v>
      </c>
      <c r="L29" s="44">
        <f>VLOOKUP(C29,Purchased!A:Q,15,0)</f>
        <v>45191</v>
      </c>
      <c r="M29" s="44">
        <f>VLOOKUP(C29,Purchased!A:Q,16,0)</f>
        <v>45184</v>
      </c>
      <c r="N29" s="45">
        <f>VLOOKUP(C29,Purchased!A:Q,17,0)</f>
        <v>55077</v>
      </c>
      <c r="O29" s="45" t="e">
        <f t="shared" ca="1" si="8"/>
        <v>#VALUE!</v>
      </c>
      <c r="P29" s="49">
        <f>IFERROR(VLOOKUP(C29,Purchased!A:E,3,FALSE),"")</f>
        <v>3</v>
      </c>
      <c r="Q29" s="50">
        <f t="shared" si="9"/>
        <v>3</v>
      </c>
    </row>
    <row r="30" spans="1:17" s="2" customFormat="1" ht="12" customHeight="1">
      <c r="A30" s="4">
        <f t="shared" si="7"/>
        <v>315</v>
      </c>
      <c r="B30" s="2">
        <v>2</v>
      </c>
      <c r="C30" s="114" t="s">
        <v>715</v>
      </c>
      <c r="D30" s="268" t="str">
        <f>VLOOKUP(C30,Purchased!A:B,2,0)</f>
        <v>BRL 15mm runner block, short</v>
      </c>
      <c r="E30" s="269"/>
      <c r="F30" s="112" t="str">
        <f>VLOOKUP(C30,Purchased!A:Q,9,0)</f>
        <v>BRL</v>
      </c>
      <c r="G30" s="112" t="str">
        <f>VLOOKUP(C30,Purchased!A:Q,10,0)</f>
        <v>AAP</v>
      </c>
      <c r="H30" s="112" t="str">
        <f>VLOOKUP(C30,Purchased!A:Q,12,0)</f>
        <v xml:space="preserve"> </v>
      </c>
      <c r="I30" s="113"/>
      <c r="J30" s="44">
        <f>VLOOKUP(C30,Purchased!A:Q,13,0)</f>
        <v>45093</v>
      </c>
      <c r="K30" s="44">
        <f>VLOOKUP(C30,Purchased!A:Q,14,0)</f>
        <v>45093</v>
      </c>
      <c r="L30" s="44">
        <f>VLOOKUP(C30,Purchased!A:Q,15,0)</f>
        <v>45184</v>
      </c>
      <c r="M30" s="44">
        <f>VLOOKUP(C30,Purchased!A:Q,16,0)</f>
        <v>45184</v>
      </c>
      <c r="N30" s="45">
        <f>VLOOKUP(C30,Purchased!A:Q,17,0)</f>
        <v>54942</v>
      </c>
      <c r="O30" s="45" t="e">
        <f t="shared" ca="1" si="8"/>
        <v>#VALUE!</v>
      </c>
      <c r="P30" s="49">
        <f>IFERROR(VLOOKUP(C30,Purchased!A:E,3,FALSE),"")</f>
        <v>79.043700000000001</v>
      </c>
      <c r="Q30" s="50">
        <f t="shared" si="9"/>
        <v>158.0874</v>
      </c>
    </row>
    <row r="31" spans="1:17" s="2" customFormat="1" ht="12.75" customHeight="1">
      <c r="A31" s="25"/>
      <c r="B31" s="26"/>
      <c r="C31" s="26"/>
      <c r="D31" s="272"/>
      <c r="E31" s="273"/>
      <c r="F31" s="26"/>
      <c r="G31" s="26"/>
      <c r="H31" s="274"/>
      <c r="I31" s="275"/>
      <c r="J31" s="27"/>
      <c r="K31" s="27"/>
      <c r="L31" s="27"/>
      <c r="M31" s="28"/>
      <c r="N31" s="29"/>
      <c r="O31" s="29" t="e">
        <f t="shared" ca="1" si="5"/>
        <v>#VALUE!</v>
      </c>
      <c r="P31" s="141"/>
      <c r="Q31" s="142"/>
    </row>
    <row r="32" spans="1:17" s="2" customFormat="1" ht="12.75" customHeight="1">
      <c r="A32" s="4">
        <v>501</v>
      </c>
      <c r="B32" s="2">
        <v>2</v>
      </c>
      <c r="C32" s="110" t="s">
        <v>1271</v>
      </c>
      <c r="D32" s="268"/>
      <c r="E32" s="276"/>
      <c r="F32" s="112" t="str">
        <f>VLOOKUP(C32,Bolts!A:L,5,0)</f>
        <v xml:space="preserve">  </v>
      </c>
      <c r="G32" s="112" t="str">
        <f>VLOOKUP(C32,Bolts!A:L,6,0)</f>
        <v>Monroe Fasteners</v>
      </c>
      <c r="H32" s="112" t="str">
        <f>VLOOKUP(C32,Bolts!A:L,7,0)</f>
        <v xml:space="preserve">  </v>
      </c>
      <c r="I32" s="112"/>
      <c r="J32" s="44" t="str">
        <f>VLOOKUP(C32,Bolts!A:L,8,0)</f>
        <v xml:space="preserve"> </v>
      </c>
      <c r="K32" s="44" t="str">
        <f>VLOOKUP(C32,Bolts!A:L,9,0)</f>
        <v xml:space="preserve"> </v>
      </c>
      <c r="L32" s="44" t="str">
        <f>VLOOKUP(C32,Bolts!A:L,10,0)</f>
        <v xml:space="preserve"> </v>
      </c>
      <c r="M32" s="44" t="str">
        <f>VLOOKUP(C32,Bolts!A:L,11,0)</f>
        <v xml:space="preserve"> </v>
      </c>
      <c r="N32" s="45" t="str">
        <f>VLOOKUP(C32,Bolts!A:L,12,0)</f>
        <v xml:space="preserve"> </v>
      </c>
      <c r="O32" s="45" t="e">
        <f t="shared" ref="O32:O34" ca="1" si="10">B32*$L$2</f>
        <v>#VALUE!</v>
      </c>
      <c r="P32" s="49" t="str">
        <f>IFERROR(VLOOKUP(C32,Bolts!A:B,2,FALSE),"")</f>
        <v xml:space="preserve"> </v>
      </c>
      <c r="Q32" s="50" t="str">
        <f t="shared" ref="Q32:Q34" si="11">IFERROR(B32*P32,"")</f>
        <v/>
      </c>
    </row>
    <row r="33" spans="1:17" s="2" customFormat="1" ht="12" customHeight="1">
      <c r="A33" s="4">
        <f>A32+1</f>
        <v>502</v>
      </c>
      <c r="B33" s="2">
        <v>10</v>
      </c>
      <c r="C33" s="110" t="s">
        <v>454</v>
      </c>
      <c r="D33" s="268"/>
      <c r="E33" s="276"/>
      <c r="F33" s="112" t="str">
        <f>VLOOKUP(C33,Bolts!A:L,5,0)</f>
        <v xml:space="preserve">  </v>
      </c>
      <c r="G33" s="112" t="str">
        <f>VLOOKUP(C33,Bolts!A:L,6,0)</f>
        <v>Monroe Fasteners</v>
      </c>
      <c r="H33" s="112" t="str">
        <f>VLOOKUP(C33,Bolts!A:L,7,0)</f>
        <v xml:space="preserve">  </v>
      </c>
      <c r="I33" s="112"/>
      <c r="J33" s="44" t="str">
        <f>VLOOKUP(C33,Bolts!A:L,8,0)</f>
        <v xml:space="preserve"> </v>
      </c>
      <c r="K33" s="44" t="str">
        <f>VLOOKUP(C33,Bolts!A:L,9,0)</f>
        <v xml:space="preserve"> </v>
      </c>
      <c r="L33" s="44" t="str">
        <f>VLOOKUP(C33,Bolts!A:L,10,0)</f>
        <v xml:space="preserve"> </v>
      </c>
      <c r="M33" s="44" t="str">
        <f>VLOOKUP(C33,Bolts!A:L,11,0)</f>
        <v xml:space="preserve"> </v>
      </c>
      <c r="N33" s="45" t="str">
        <f>VLOOKUP(C33,Bolts!A:L,12,0)</f>
        <v xml:space="preserve"> </v>
      </c>
      <c r="O33" s="45" t="e">
        <f t="shared" ca="1" si="10"/>
        <v>#VALUE!</v>
      </c>
      <c r="P33" s="49" t="str">
        <f>IFERROR(VLOOKUP(C33,Bolts!A:B,2,FALSE),"")</f>
        <v xml:space="preserve"> </v>
      </c>
      <c r="Q33" s="50" t="str">
        <f t="shared" si="11"/>
        <v/>
      </c>
    </row>
    <row r="34" spans="1:17" s="2" customFormat="1" ht="12" customHeight="1">
      <c r="A34" s="4">
        <f t="shared" ref="A34:A41" si="12">A33+1</f>
        <v>503</v>
      </c>
      <c r="B34" s="2">
        <v>12</v>
      </c>
      <c r="C34" s="110" t="s">
        <v>493</v>
      </c>
      <c r="D34" s="268"/>
      <c r="E34" s="276"/>
      <c r="F34" s="112" t="str">
        <f>VLOOKUP(C34,Bolts!A:L,5,0)</f>
        <v xml:space="preserve">  </v>
      </c>
      <c r="G34" s="112" t="str">
        <f>VLOOKUP(C34,Bolts!A:L,6,0)</f>
        <v>Monroe Fasteners</v>
      </c>
      <c r="H34" s="112" t="str">
        <f>VLOOKUP(C34,Bolts!A:L,7,0)</f>
        <v xml:space="preserve">  </v>
      </c>
      <c r="I34" s="112"/>
      <c r="J34" s="44" t="str">
        <f>VLOOKUP(C34,Bolts!A:L,8,0)</f>
        <v xml:space="preserve"> </v>
      </c>
      <c r="K34" s="44" t="str">
        <f>VLOOKUP(C34,Bolts!A:L,9,0)</f>
        <v xml:space="preserve"> </v>
      </c>
      <c r="L34" s="44" t="str">
        <f>VLOOKUP(C34,Bolts!A:L,10,0)</f>
        <v xml:space="preserve"> </v>
      </c>
      <c r="M34" s="44" t="str">
        <f>VLOOKUP(C34,Bolts!A:L,11,0)</f>
        <v xml:space="preserve"> </v>
      </c>
      <c r="N34" s="45" t="str">
        <f>VLOOKUP(C34,Bolts!A:L,12,0)</f>
        <v xml:space="preserve"> </v>
      </c>
      <c r="O34" s="45" t="e">
        <f t="shared" ca="1" si="10"/>
        <v>#VALUE!</v>
      </c>
      <c r="P34" s="49" t="str">
        <f>IFERROR(VLOOKUP(C34,Bolts!A:B,2,FALSE),"")</f>
        <v xml:space="preserve"> </v>
      </c>
      <c r="Q34" s="50" t="str">
        <f t="shared" si="11"/>
        <v/>
      </c>
    </row>
    <row r="35" spans="1:17" s="2" customFormat="1" ht="12" customHeight="1">
      <c r="A35" s="4">
        <f t="shared" si="12"/>
        <v>504</v>
      </c>
      <c r="B35" s="2">
        <v>4</v>
      </c>
      <c r="C35" s="110" t="s">
        <v>668</v>
      </c>
      <c r="D35" s="268"/>
      <c r="E35" s="276"/>
      <c r="F35" s="112" t="str">
        <f>VLOOKUP(C35,Bolts!A:L,5,0)</f>
        <v xml:space="preserve">  </v>
      </c>
      <c r="G35" s="112" t="str">
        <f>VLOOKUP(C35,Bolts!A:L,6,0)</f>
        <v>Monroe Fasteners</v>
      </c>
      <c r="H35" s="112" t="str">
        <f>VLOOKUP(C35,Bolts!A:L,7,0)</f>
        <v xml:space="preserve">  </v>
      </c>
      <c r="I35" s="112"/>
      <c r="J35" s="44" t="str">
        <f>VLOOKUP(C35,Bolts!A:L,8,0)</f>
        <v xml:space="preserve"> </v>
      </c>
      <c r="K35" s="44" t="str">
        <f>VLOOKUP(C35,Bolts!A:L,9,0)</f>
        <v xml:space="preserve"> </v>
      </c>
      <c r="L35" s="44" t="str">
        <f>VLOOKUP(C35,Bolts!A:L,10,0)</f>
        <v xml:space="preserve"> </v>
      </c>
      <c r="M35" s="44" t="str">
        <f>VLOOKUP(C35,Bolts!A:L,11,0)</f>
        <v xml:space="preserve"> </v>
      </c>
      <c r="N35" s="45" t="str">
        <f>VLOOKUP(C35,Bolts!A:L,12,0)</f>
        <v xml:space="preserve"> </v>
      </c>
      <c r="O35" s="45" t="e">
        <f t="shared" ref="O35" ca="1" si="13">B35*$L$2</f>
        <v>#VALUE!</v>
      </c>
      <c r="P35" s="49" t="str">
        <f>IFERROR(VLOOKUP(C35,Bolts!A:B,2,FALSE),"")</f>
        <v xml:space="preserve"> </v>
      </c>
      <c r="Q35" s="50" t="str">
        <f t="shared" ref="Q35" si="14">IFERROR(B35*P35,"")</f>
        <v/>
      </c>
    </row>
    <row r="36" spans="1:17" s="2" customFormat="1" ht="12.75" customHeight="1">
      <c r="A36" s="4">
        <f t="shared" si="12"/>
        <v>505</v>
      </c>
      <c r="B36" s="2">
        <v>16</v>
      </c>
      <c r="C36" s="110" t="s">
        <v>968</v>
      </c>
      <c r="D36" s="268"/>
      <c r="E36" s="276"/>
      <c r="F36" s="112">
        <f>VLOOKUP(C36,Bolts!A:L,5,0)</f>
        <v>0</v>
      </c>
      <c r="G36" s="112">
        <f>VLOOKUP(C36,Bolts!A:L,6,0)</f>
        <v>0</v>
      </c>
      <c r="H36" s="112">
        <f>VLOOKUP(C36,Bolts!A:L,7,0)</f>
        <v>0</v>
      </c>
      <c r="I36" s="112"/>
      <c r="J36" s="44">
        <f>VLOOKUP(C36,Bolts!A:L,8,0)</f>
        <v>0</v>
      </c>
      <c r="K36" s="44">
        <f>VLOOKUP(C36,Bolts!A:L,9,0)</f>
        <v>0</v>
      </c>
      <c r="L36" s="44">
        <f>VLOOKUP(C36,Bolts!A:L,10,0)</f>
        <v>0</v>
      </c>
      <c r="M36" s="44">
        <f>VLOOKUP(C36,Bolts!A:L,11,0)</f>
        <v>0</v>
      </c>
      <c r="N36" s="45">
        <f>VLOOKUP(C36,Bolts!A:L,12,0)</f>
        <v>0</v>
      </c>
      <c r="O36" s="45" t="e">
        <f t="shared" ca="1" si="5"/>
        <v>#VALUE!</v>
      </c>
      <c r="P36" s="49">
        <f>IFERROR(VLOOKUP(C36,Bolts!A:B,2,FALSE),"")</f>
        <v>0</v>
      </c>
      <c r="Q36" s="50">
        <f t="shared" ref="Q36:Q39" si="15">IFERROR(B36*P36,"")</f>
        <v>0</v>
      </c>
    </row>
    <row r="37" spans="1:17" s="2" customFormat="1" ht="12.75" customHeight="1">
      <c r="A37" s="4">
        <f t="shared" si="12"/>
        <v>506</v>
      </c>
      <c r="B37" s="2">
        <v>4</v>
      </c>
      <c r="C37" s="110" t="s">
        <v>288</v>
      </c>
      <c r="D37" s="268"/>
      <c r="E37" s="276"/>
      <c r="F37" s="112" t="str">
        <f>VLOOKUP(C37,Bolts!A:L,5,0)</f>
        <v xml:space="preserve">  </v>
      </c>
      <c r="G37" s="112" t="str">
        <f>VLOOKUP(C37,Bolts!A:L,6,0)</f>
        <v>Monroe Fasteners</v>
      </c>
      <c r="H37" s="112" t="str">
        <f>VLOOKUP(C37,Bolts!A:L,7,0)</f>
        <v xml:space="preserve">  </v>
      </c>
      <c r="I37" s="112"/>
      <c r="J37" s="44" t="str">
        <f>VLOOKUP(C37,Bolts!A:L,8,0)</f>
        <v xml:space="preserve"> </v>
      </c>
      <c r="K37" s="44" t="str">
        <f>VLOOKUP(C37,Bolts!A:L,9,0)</f>
        <v xml:space="preserve"> </v>
      </c>
      <c r="L37" s="44" t="str">
        <f>VLOOKUP(C37,Bolts!A:L,10,0)</f>
        <v xml:space="preserve"> </v>
      </c>
      <c r="M37" s="44" t="str">
        <f>VLOOKUP(C37,Bolts!A:L,11,0)</f>
        <v xml:space="preserve"> </v>
      </c>
      <c r="N37" s="45" t="str">
        <f>VLOOKUP(C37,Bolts!A:L,12,0)</f>
        <v xml:space="preserve"> </v>
      </c>
      <c r="O37" s="45" t="e">
        <f t="shared" ca="1" si="5"/>
        <v>#VALUE!</v>
      </c>
      <c r="P37" s="49" t="str">
        <f>IFERROR(VLOOKUP(C37,Bolts!A:B,2,FALSE),"")</f>
        <v xml:space="preserve"> </v>
      </c>
      <c r="Q37" s="50" t="str">
        <f t="shared" si="15"/>
        <v/>
      </c>
    </row>
    <row r="38" spans="1:17" s="2" customFormat="1" ht="12" customHeight="1">
      <c r="A38" s="4">
        <f t="shared" si="12"/>
        <v>507</v>
      </c>
      <c r="B38" s="2">
        <v>4</v>
      </c>
      <c r="C38" s="110" t="s">
        <v>1272</v>
      </c>
      <c r="D38" s="268"/>
      <c r="E38" s="276"/>
      <c r="F38" s="112" t="str">
        <f>VLOOKUP(C38,Bolts!A:L,5,0)</f>
        <v xml:space="preserve">  </v>
      </c>
      <c r="G38" s="112" t="str">
        <f>VLOOKUP(C38,Bolts!A:L,6,0)</f>
        <v>Monroe Fasteners</v>
      </c>
      <c r="H38" s="112" t="str">
        <f>VLOOKUP(C38,Bolts!A:L,7,0)</f>
        <v xml:space="preserve">  </v>
      </c>
      <c r="I38" s="112"/>
      <c r="J38" s="44" t="str">
        <f>VLOOKUP(C38,Bolts!A:L,8,0)</f>
        <v xml:space="preserve"> </v>
      </c>
      <c r="K38" s="44" t="str">
        <f>VLOOKUP(C38,Bolts!A:L,9,0)</f>
        <v xml:space="preserve"> </v>
      </c>
      <c r="L38" s="44" t="str">
        <f>VLOOKUP(C38,Bolts!A:L,10,0)</f>
        <v xml:space="preserve"> </v>
      </c>
      <c r="M38" s="44" t="str">
        <f>VLOOKUP(C38,Bolts!A:L,11,0)</f>
        <v xml:space="preserve"> </v>
      </c>
      <c r="N38" s="45" t="str">
        <f>VLOOKUP(C38,Bolts!A:L,12,0)</f>
        <v xml:space="preserve"> </v>
      </c>
      <c r="O38" s="45" t="e">
        <f t="shared" ca="1" si="5"/>
        <v>#VALUE!</v>
      </c>
      <c r="P38" s="49" t="str">
        <f>IFERROR(VLOOKUP(C38,Bolts!A:B,2,FALSE),"")</f>
        <v xml:space="preserve"> </v>
      </c>
      <c r="Q38" s="50" t="str">
        <f t="shared" si="15"/>
        <v/>
      </c>
    </row>
    <row r="39" spans="1:17" s="2" customFormat="1" ht="12" customHeight="1">
      <c r="A39" s="4">
        <f t="shared" si="12"/>
        <v>508</v>
      </c>
      <c r="B39" s="2">
        <v>16</v>
      </c>
      <c r="C39" s="110" t="s">
        <v>337</v>
      </c>
      <c r="D39" s="268"/>
      <c r="E39" s="276"/>
      <c r="F39" s="112" t="str">
        <f>VLOOKUP(C39,Bolts!A:L,5,0)</f>
        <v xml:space="preserve">  </v>
      </c>
      <c r="G39" s="112" t="str">
        <f>VLOOKUP(C39,Bolts!A:L,6,0)</f>
        <v>Monroe Fasteners</v>
      </c>
      <c r="H39" s="112" t="str">
        <f>VLOOKUP(C39,Bolts!A:L,7,0)</f>
        <v xml:space="preserve">  </v>
      </c>
      <c r="I39" s="112"/>
      <c r="J39" s="44" t="str">
        <f>VLOOKUP(C39,Bolts!A:L,8,0)</f>
        <v xml:space="preserve"> </v>
      </c>
      <c r="K39" s="44" t="str">
        <f>VLOOKUP(C39,Bolts!A:L,9,0)</f>
        <v xml:space="preserve"> </v>
      </c>
      <c r="L39" s="44" t="str">
        <f>VLOOKUP(C39,Bolts!A:L,10,0)</f>
        <v xml:space="preserve"> </v>
      </c>
      <c r="M39" s="44" t="str">
        <f>VLOOKUP(C39,Bolts!A:L,11,0)</f>
        <v xml:space="preserve"> </v>
      </c>
      <c r="N39" s="45" t="str">
        <f>VLOOKUP(C39,Bolts!A:L,12,0)</f>
        <v xml:space="preserve"> </v>
      </c>
      <c r="O39" s="45" t="e">
        <f t="shared" ca="1" si="5"/>
        <v>#VALUE!</v>
      </c>
      <c r="P39" s="49" t="str">
        <f>IFERROR(VLOOKUP(C39,Bolts!A:B,2,FALSE),"")</f>
        <v xml:space="preserve"> </v>
      </c>
      <c r="Q39" s="50" t="str">
        <f t="shared" si="15"/>
        <v/>
      </c>
    </row>
    <row r="40" spans="1:17" s="2" customFormat="1" ht="12" customHeight="1">
      <c r="A40" s="4">
        <f t="shared" si="12"/>
        <v>509</v>
      </c>
      <c r="B40" s="2">
        <v>4</v>
      </c>
      <c r="C40" s="110" t="s">
        <v>595</v>
      </c>
      <c r="D40" s="268"/>
      <c r="E40" s="276"/>
      <c r="F40" s="112" t="str">
        <f>VLOOKUP(C40,Bolts!A:L,5,0)</f>
        <v xml:space="preserve">  </v>
      </c>
      <c r="G40" s="112" t="str">
        <f>VLOOKUP(C40,Bolts!A:L,6,0)</f>
        <v>Monroe Fasteners</v>
      </c>
      <c r="H40" s="112" t="str">
        <f>VLOOKUP(C40,Bolts!A:L,7,0)</f>
        <v xml:space="preserve">  </v>
      </c>
      <c r="I40" s="112"/>
      <c r="J40" s="44" t="str">
        <f>VLOOKUP(C40,Bolts!A:L,8,0)</f>
        <v xml:space="preserve"> </v>
      </c>
      <c r="K40" s="44" t="str">
        <f>VLOOKUP(C40,Bolts!A:L,9,0)</f>
        <v xml:space="preserve"> </v>
      </c>
      <c r="L40" s="44" t="str">
        <f>VLOOKUP(C40,Bolts!A:L,10,0)</f>
        <v xml:space="preserve"> </v>
      </c>
      <c r="M40" s="44" t="str">
        <f>VLOOKUP(C40,Bolts!A:L,11,0)</f>
        <v xml:space="preserve"> </v>
      </c>
      <c r="N40" s="45" t="str">
        <f>VLOOKUP(C40,Bolts!A:L,12,0)</f>
        <v xml:space="preserve"> </v>
      </c>
      <c r="O40" s="45" t="e">
        <f t="shared" ref="O40:O41" ca="1" si="16">B40*$L$2</f>
        <v>#VALUE!</v>
      </c>
      <c r="P40" s="49" t="str">
        <f>IFERROR(VLOOKUP(C40,Bolts!A:B,2,FALSE),"")</f>
        <v xml:space="preserve"> </v>
      </c>
      <c r="Q40" s="50" t="str">
        <f t="shared" ref="Q40:Q41" si="17">IFERROR(B40*P40,"")</f>
        <v/>
      </c>
    </row>
    <row r="41" spans="1:17" s="2" customFormat="1" ht="12" customHeight="1" thickBot="1">
      <c r="A41" s="4">
        <f t="shared" si="12"/>
        <v>510</v>
      </c>
      <c r="B41" s="2">
        <v>4</v>
      </c>
      <c r="C41" s="110" t="s">
        <v>452</v>
      </c>
      <c r="D41" s="268"/>
      <c r="E41" s="276"/>
      <c r="F41" s="112" t="str">
        <f>VLOOKUP(C41,Bolts!A:L,5,0)</f>
        <v xml:space="preserve">  </v>
      </c>
      <c r="G41" s="112" t="str">
        <f>VLOOKUP(C41,Bolts!A:L,6,0)</f>
        <v>Monroe Fasteners</v>
      </c>
      <c r="H41" s="112" t="str">
        <f>VLOOKUP(C41,Bolts!A:L,7,0)</f>
        <v xml:space="preserve">  </v>
      </c>
      <c r="I41" s="112"/>
      <c r="J41" s="44" t="str">
        <f>VLOOKUP(C41,Bolts!A:L,8,0)</f>
        <v xml:space="preserve"> </v>
      </c>
      <c r="K41" s="44" t="str">
        <f>VLOOKUP(C41,Bolts!A:L,9,0)</f>
        <v xml:space="preserve"> </v>
      </c>
      <c r="L41" s="44" t="str">
        <f>VLOOKUP(C41,Bolts!A:L,10,0)</f>
        <v xml:space="preserve"> </v>
      </c>
      <c r="M41" s="44" t="str">
        <f>VLOOKUP(C41,Bolts!A:L,11,0)</f>
        <v xml:space="preserve"> </v>
      </c>
      <c r="N41" s="45" t="str">
        <f>VLOOKUP(C41,Bolts!A:L,12,0)</f>
        <v xml:space="preserve"> </v>
      </c>
      <c r="O41" s="45" t="e">
        <f t="shared" ca="1" si="16"/>
        <v>#VALUE!</v>
      </c>
      <c r="P41" s="49" t="str">
        <f>IFERROR(VLOOKUP(C41,Bolts!A:B,2,FALSE),"")</f>
        <v xml:space="preserve"> </v>
      </c>
      <c r="Q41" s="50" t="str">
        <f t="shared" si="17"/>
        <v/>
      </c>
    </row>
    <row r="42" spans="1:17" s="2" customFormat="1" ht="12.75" customHeight="1" thickBot="1">
      <c r="A42" s="34"/>
      <c r="B42" s="35"/>
      <c r="C42" s="35"/>
      <c r="D42" s="256"/>
      <c r="E42" s="257"/>
      <c r="F42" s="35"/>
      <c r="G42" s="35"/>
      <c r="H42" s="294"/>
      <c r="I42" s="295"/>
      <c r="J42" s="36"/>
      <c r="K42" s="36"/>
      <c r="L42" s="36"/>
      <c r="M42" s="37"/>
      <c r="N42" s="38"/>
      <c r="O42" s="38"/>
      <c r="P42" s="89" t="s">
        <v>43</v>
      </c>
      <c r="Q42" s="94">
        <f>SUM(Q5:Q39)</f>
        <v>4953.6828999999998</v>
      </c>
    </row>
    <row r="43" spans="1:17" s="2" customFormat="1" ht="12" customHeight="1">
      <c r="D43" s="22"/>
      <c r="E43" s="22"/>
      <c r="J43" s="8"/>
      <c r="K43" s="8"/>
      <c r="L43" s="8"/>
      <c r="M43" s="8"/>
      <c r="N43" s="5"/>
      <c r="O43" s="5"/>
      <c r="P43" s="88"/>
      <c r="Q43" s="95"/>
    </row>
    <row r="44" spans="1:17" s="2" customFormat="1" ht="12" customHeight="1">
      <c r="D44" s="22"/>
      <c r="E44" s="22"/>
      <c r="J44" s="5"/>
      <c r="K44" s="5"/>
      <c r="L44" s="5"/>
      <c r="M44" s="5"/>
      <c r="N44" s="5"/>
      <c r="O44" s="5"/>
      <c r="P44" s="88"/>
      <c r="Q44" s="95"/>
    </row>
    <row r="45" spans="1:17" s="2" customFormat="1" ht="12" customHeight="1">
      <c r="D45" s="22"/>
      <c r="E45" s="22"/>
      <c r="J45" s="5"/>
      <c r="K45" s="5"/>
      <c r="L45" s="5"/>
      <c r="M45" s="5"/>
      <c r="N45" s="5"/>
      <c r="O45" s="5"/>
      <c r="P45" s="88"/>
      <c r="Q45" s="95"/>
    </row>
    <row r="46" spans="1:17" s="2" customFormat="1" ht="12" customHeight="1">
      <c r="D46" s="22"/>
      <c r="E46" s="22"/>
      <c r="J46" s="5"/>
      <c r="K46" s="5"/>
      <c r="L46" s="5"/>
      <c r="M46" s="5"/>
      <c r="N46" s="5"/>
      <c r="O46" s="5"/>
      <c r="P46" s="88"/>
      <c r="Q46" s="95"/>
    </row>
    <row r="47" spans="1:17" s="2" customFormat="1" ht="12" customHeight="1">
      <c r="D47" s="22"/>
      <c r="E47" s="22"/>
      <c r="J47" s="5"/>
      <c r="K47" s="5"/>
      <c r="L47" s="5"/>
      <c r="M47" s="5"/>
      <c r="N47" s="5"/>
      <c r="O47" s="5"/>
      <c r="P47" s="88"/>
      <c r="Q47" s="95"/>
    </row>
    <row r="48" spans="1:17" s="2" customFormat="1" ht="12" customHeight="1">
      <c r="D48" s="22"/>
      <c r="E48" s="22"/>
      <c r="J48" s="5"/>
      <c r="K48" s="5"/>
      <c r="L48" s="5"/>
      <c r="M48" s="5"/>
      <c r="N48" s="5"/>
      <c r="O48" s="5"/>
      <c r="P48" s="88"/>
      <c r="Q48" s="95"/>
    </row>
    <row r="49" spans="4:17" s="2" customFormat="1" ht="12" customHeight="1">
      <c r="D49" s="22"/>
      <c r="E49" s="22"/>
      <c r="J49" s="5"/>
      <c r="K49" s="5"/>
      <c r="L49" s="5"/>
      <c r="M49" s="5"/>
      <c r="N49" s="5"/>
      <c r="O49" s="5"/>
      <c r="P49" s="88"/>
      <c r="Q49" s="95"/>
    </row>
    <row r="50" spans="4:17" s="2" customFormat="1" ht="12" customHeight="1">
      <c r="D50" s="22"/>
      <c r="E50" s="22"/>
      <c r="J50" s="5"/>
      <c r="K50" s="5"/>
      <c r="L50" s="5"/>
      <c r="M50" s="5"/>
      <c r="N50" s="5"/>
      <c r="O50" s="5"/>
      <c r="P50" s="88"/>
      <c r="Q50" s="95"/>
    </row>
    <row r="51" spans="4:17" s="2" customFormat="1" ht="12" customHeight="1">
      <c r="D51" s="22"/>
      <c r="E51" s="22"/>
      <c r="J51" s="5"/>
      <c r="K51" s="5"/>
      <c r="L51" s="5"/>
      <c r="M51" s="5"/>
      <c r="N51" s="5"/>
      <c r="O51" s="5"/>
      <c r="P51" s="88"/>
      <c r="Q51" s="95"/>
    </row>
    <row r="52" spans="4:17" s="2" customFormat="1" ht="12" customHeight="1">
      <c r="D52" s="22"/>
      <c r="E52" s="22"/>
      <c r="J52" s="5"/>
      <c r="K52" s="5"/>
      <c r="L52" s="5"/>
      <c r="M52" s="5"/>
      <c r="N52" s="5"/>
      <c r="O52" s="5"/>
      <c r="P52" s="88"/>
      <c r="Q52" s="95"/>
    </row>
    <row r="53" spans="4:17" s="2" customFormat="1" ht="12" customHeight="1">
      <c r="D53" s="22"/>
      <c r="E53" s="22"/>
      <c r="J53" s="5"/>
      <c r="K53" s="5"/>
      <c r="L53" s="5"/>
      <c r="M53" s="5"/>
      <c r="N53" s="5"/>
      <c r="O53" s="5"/>
      <c r="P53" s="88"/>
      <c r="Q53" s="95"/>
    </row>
    <row r="54" spans="4:17" s="2" customFormat="1" ht="12" customHeight="1">
      <c r="D54" s="22"/>
      <c r="E54" s="22"/>
      <c r="J54" s="5"/>
      <c r="K54" s="5"/>
      <c r="L54" s="5"/>
      <c r="M54" s="5"/>
      <c r="N54" s="5"/>
      <c r="O54" s="5"/>
      <c r="P54" s="88"/>
      <c r="Q54" s="95"/>
    </row>
    <row r="55" spans="4:17" s="2" customFormat="1" ht="12" customHeight="1">
      <c r="D55" s="22"/>
      <c r="E55" s="22"/>
      <c r="J55" s="5"/>
      <c r="K55" s="5"/>
      <c r="L55" s="5"/>
      <c r="M55" s="5"/>
      <c r="N55" s="5"/>
      <c r="O55" s="5"/>
      <c r="P55" s="88"/>
      <c r="Q55" s="95"/>
    </row>
    <row r="56" spans="4:17" s="2" customFormat="1" ht="12" customHeight="1">
      <c r="D56" s="22"/>
      <c r="E56" s="22"/>
      <c r="J56" s="5"/>
      <c r="K56" s="5"/>
      <c r="L56" s="5"/>
      <c r="M56" s="5"/>
      <c r="N56" s="5"/>
      <c r="O56" s="5"/>
      <c r="P56" s="88"/>
      <c r="Q56" s="95"/>
    </row>
    <row r="57" spans="4:17" s="2" customFormat="1" ht="12" customHeight="1">
      <c r="D57" s="22"/>
      <c r="E57" s="22"/>
      <c r="J57" s="5"/>
      <c r="K57" s="5"/>
      <c r="L57" s="5"/>
      <c r="M57" s="5"/>
      <c r="N57" s="5"/>
      <c r="O57" s="5"/>
      <c r="P57" s="88"/>
      <c r="Q57" s="95"/>
    </row>
    <row r="58" spans="4:17" s="2" customFormat="1" ht="12" customHeight="1">
      <c r="D58" s="22"/>
      <c r="E58" s="22"/>
      <c r="J58" s="5"/>
      <c r="K58" s="5"/>
      <c r="L58" s="5"/>
      <c r="M58" s="5"/>
      <c r="N58" s="5"/>
      <c r="O58" s="5"/>
      <c r="P58" s="88"/>
      <c r="Q58" s="95"/>
    </row>
    <row r="59" spans="4:17" s="2" customFormat="1" ht="12" customHeight="1">
      <c r="D59" s="22"/>
      <c r="E59" s="22"/>
      <c r="J59" s="5"/>
      <c r="K59" s="5"/>
      <c r="L59" s="5"/>
      <c r="M59" s="5"/>
      <c r="N59" s="5"/>
      <c r="O59" s="5"/>
      <c r="P59" s="88"/>
      <c r="Q59" s="95"/>
    </row>
    <row r="60" spans="4:17" s="2" customFormat="1" ht="12" customHeight="1">
      <c r="D60" s="22"/>
      <c r="E60" s="22"/>
      <c r="J60" s="5"/>
      <c r="K60" s="5"/>
      <c r="L60" s="5"/>
      <c r="M60" s="5"/>
      <c r="N60" s="5"/>
      <c r="O60" s="5"/>
      <c r="P60" s="88"/>
      <c r="Q60" s="95"/>
    </row>
    <row r="61" spans="4:17" s="2" customFormat="1" ht="12" customHeight="1">
      <c r="D61" s="22"/>
      <c r="E61" s="22"/>
      <c r="J61" s="5"/>
      <c r="K61" s="5"/>
      <c r="L61" s="5"/>
      <c r="M61" s="5"/>
      <c r="N61" s="5"/>
      <c r="O61" s="5"/>
      <c r="P61" s="88"/>
      <c r="Q61" s="95"/>
    </row>
    <row r="62" spans="4:17" s="2" customFormat="1" ht="12" customHeight="1">
      <c r="D62" s="22"/>
      <c r="E62" s="22"/>
      <c r="J62" s="5"/>
      <c r="K62" s="5"/>
      <c r="L62" s="5"/>
      <c r="M62" s="5"/>
      <c r="N62" s="5"/>
      <c r="O62" s="5"/>
      <c r="P62" s="88"/>
      <c r="Q62" s="95"/>
    </row>
    <row r="63" spans="4:17" s="2" customFormat="1" ht="12" customHeight="1">
      <c r="D63" s="22"/>
      <c r="E63" s="22"/>
      <c r="J63" s="5"/>
      <c r="K63" s="5"/>
      <c r="L63" s="5"/>
      <c r="M63" s="5"/>
      <c r="N63" s="5"/>
      <c r="O63" s="5"/>
      <c r="P63" s="88"/>
      <c r="Q63" s="95"/>
    </row>
    <row r="64" spans="4:17" s="2" customFormat="1" ht="12" customHeight="1">
      <c r="D64" s="22"/>
      <c r="E64" s="22"/>
      <c r="J64" s="5"/>
      <c r="K64" s="5"/>
      <c r="L64" s="5"/>
      <c r="M64" s="5"/>
      <c r="N64" s="5"/>
      <c r="O64" s="5"/>
      <c r="P64" s="88"/>
      <c r="Q64" s="95"/>
    </row>
    <row r="65" spans="4:17" s="2" customFormat="1" ht="12" customHeight="1">
      <c r="D65" s="22"/>
      <c r="E65" s="22"/>
      <c r="J65" s="5"/>
      <c r="K65" s="5"/>
      <c r="L65" s="5"/>
      <c r="M65" s="5"/>
      <c r="N65" s="5"/>
      <c r="O65" s="5"/>
      <c r="P65" s="88"/>
      <c r="Q65" s="95"/>
    </row>
    <row r="66" spans="4:17" s="2" customFormat="1" ht="12" customHeight="1">
      <c r="D66" s="22"/>
      <c r="E66" s="22"/>
      <c r="J66" s="5"/>
      <c r="K66" s="5"/>
      <c r="L66" s="5"/>
      <c r="M66" s="5"/>
      <c r="N66" s="5"/>
      <c r="O66" s="5"/>
      <c r="P66" s="88"/>
      <c r="Q66" s="95"/>
    </row>
    <row r="67" spans="4:17" s="2" customFormat="1" ht="12" customHeight="1">
      <c r="D67" s="22"/>
      <c r="E67" s="22"/>
      <c r="J67" s="5"/>
      <c r="K67" s="5"/>
      <c r="L67" s="5"/>
      <c r="M67" s="5"/>
      <c r="N67" s="5"/>
      <c r="O67" s="5"/>
      <c r="P67" s="88"/>
      <c r="Q67" s="95"/>
    </row>
    <row r="68" spans="4:17" s="2" customFormat="1" ht="12" customHeight="1">
      <c r="D68" s="22"/>
      <c r="E68" s="22"/>
      <c r="J68" s="5"/>
      <c r="K68" s="5"/>
      <c r="L68" s="5"/>
      <c r="M68" s="5"/>
      <c r="N68" s="5"/>
      <c r="O68" s="5"/>
      <c r="P68" s="88"/>
      <c r="Q68" s="95"/>
    </row>
    <row r="69" spans="4:17" s="2" customFormat="1" ht="12" customHeight="1">
      <c r="D69" s="22"/>
      <c r="E69" s="22"/>
      <c r="J69" s="5"/>
      <c r="K69" s="5"/>
      <c r="L69" s="5"/>
      <c r="M69" s="5"/>
      <c r="N69" s="5"/>
      <c r="O69" s="5"/>
      <c r="P69" s="88"/>
      <c r="Q69" s="95"/>
    </row>
    <row r="70" spans="4:17" s="2" customFormat="1" ht="12" customHeight="1">
      <c r="D70" s="22"/>
      <c r="E70" s="22"/>
      <c r="J70" s="5"/>
      <c r="K70" s="5"/>
      <c r="L70" s="5"/>
      <c r="M70" s="5"/>
      <c r="N70" s="5"/>
      <c r="O70" s="5"/>
      <c r="P70" s="88"/>
      <c r="Q70" s="95"/>
    </row>
    <row r="71" spans="4:17" s="2" customFormat="1" ht="12" customHeight="1">
      <c r="D71" s="22"/>
      <c r="E71" s="22"/>
      <c r="J71" s="5"/>
      <c r="K71" s="5"/>
      <c r="L71" s="5"/>
      <c r="M71" s="5"/>
      <c r="N71" s="5"/>
      <c r="O71" s="5"/>
      <c r="P71" s="88"/>
      <c r="Q71" s="95"/>
    </row>
    <row r="72" spans="4:17" s="2" customFormat="1" ht="12" customHeight="1">
      <c r="D72" s="22"/>
      <c r="E72" s="22"/>
      <c r="J72" s="5"/>
      <c r="K72" s="5"/>
      <c r="L72" s="5"/>
      <c r="M72" s="5"/>
      <c r="N72" s="5"/>
      <c r="O72" s="5"/>
      <c r="P72" s="88"/>
      <c r="Q72" s="95"/>
    </row>
    <row r="73" spans="4:17" s="2" customFormat="1" ht="12" customHeight="1">
      <c r="D73" s="22"/>
      <c r="E73" s="22"/>
      <c r="J73" s="5"/>
      <c r="K73" s="5"/>
      <c r="L73" s="5"/>
      <c r="M73" s="5"/>
      <c r="N73" s="5"/>
      <c r="O73" s="5"/>
      <c r="P73" s="88"/>
      <c r="Q73" s="95"/>
    </row>
    <row r="74" spans="4:17" s="2" customFormat="1" ht="12" customHeight="1">
      <c r="D74" s="22"/>
      <c r="E74" s="22"/>
      <c r="J74" s="5"/>
      <c r="K74" s="5"/>
      <c r="L74" s="5"/>
      <c r="M74" s="5"/>
      <c r="N74" s="5"/>
      <c r="O74" s="5"/>
      <c r="P74" s="88"/>
      <c r="Q74" s="95"/>
    </row>
    <row r="75" spans="4:17" s="2" customFormat="1" ht="12" customHeight="1">
      <c r="D75" s="22"/>
      <c r="E75" s="22"/>
      <c r="J75" s="5"/>
      <c r="K75" s="5"/>
      <c r="L75" s="5"/>
      <c r="M75" s="5"/>
      <c r="N75" s="5"/>
      <c r="O75" s="5"/>
      <c r="P75" s="88"/>
      <c r="Q75" s="95"/>
    </row>
    <row r="76" spans="4:17" s="2" customFormat="1" ht="12" customHeight="1">
      <c r="D76" s="22"/>
      <c r="E76" s="22"/>
      <c r="J76" s="5"/>
      <c r="K76" s="5"/>
      <c r="L76" s="5"/>
      <c r="M76" s="5"/>
      <c r="N76" s="5"/>
      <c r="O76" s="5"/>
      <c r="P76" s="88"/>
      <c r="Q76" s="95"/>
    </row>
    <row r="77" spans="4:17" s="2" customFormat="1" ht="12" customHeight="1">
      <c r="D77" s="22"/>
      <c r="E77" s="22"/>
      <c r="J77" s="5"/>
      <c r="K77" s="5"/>
      <c r="L77" s="5"/>
      <c r="M77" s="5"/>
      <c r="N77" s="5"/>
      <c r="O77" s="5"/>
      <c r="P77" s="88"/>
      <c r="Q77" s="95"/>
    </row>
    <row r="78" spans="4:17" s="2" customFormat="1" ht="12" customHeight="1">
      <c r="D78" s="22"/>
      <c r="E78" s="22"/>
      <c r="J78" s="5"/>
      <c r="K78" s="5"/>
      <c r="L78" s="5"/>
      <c r="M78" s="5"/>
      <c r="N78" s="5"/>
      <c r="O78" s="5"/>
      <c r="P78" s="88"/>
      <c r="Q78" s="95"/>
    </row>
    <row r="79" spans="4:17" s="2" customFormat="1" ht="12" customHeight="1">
      <c r="D79" s="22"/>
      <c r="E79" s="22"/>
      <c r="J79" s="5"/>
      <c r="K79" s="5"/>
      <c r="L79" s="5"/>
      <c r="M79" s="5"/>
      <c r="N79" s="5"/>
      <c r="O79" s="5"/>
      <c r="P79" s="88"/>
      <c r="Q79" s="95"/>
    </row>
    <row r="80" spans="4:17" s="2" customFormat="1" ht="12" customHeight="1">
      <c r="D80" s="22"/>
      <c r="E80" s="22"/>
      <c r="J80" s="5"/>
      <c r="K80" s="5"/>
      <c r="L80" s="5"/>
      <c r="M80" s="5"/>
      <c r="N80" s="5"/>
      <c r="O80" s="5"/>
      <c r="P80" s="88"/>
      <c r="Q80" s="95"/>
    </row>
    <row r="81" spans="1:17" s="2" customFormat="1" ht="12" customHeight="1">
      <c r="D81" s="22"/>
      <c r="E81" s="22"/>
      <c r="J81" s="5"/>
      <c r="K81" s="5"/>
      <c r="L81" s="5"/>
      <c r="M81" s="5"/>
      <c r="N81" s="5"/>
      <c r="O81" s="5"/>
      <c r="P81" s="88"/>
      <c r="Q81" s="96"/>
    </row>
    <row r="82" spans="1:17" s="2" customFormat="1" ht="12" customHeight="1">
      <c r="D82" s="22"/>
      <c r="E82" s="22"/>
      <c r="J82" s="5"/>
      <c r="K82" s="5"/>
      <c r="L82" s="5"/>
      <c r="M82" s="5"/>
      <c r="N82" s="5"/>
      <c r="O82" s="5"/>
      <c r="P82" s="88"/>
      <c r="Q82" s="96"/>
    </row>
    <row r="83" spans="1:17" s="2" customFormat="1" ht="12" customHeight="1">
      <c r="D83" s="22"/>
      <c r="E83" s="22"/>
      <c r="J83" s="5"/>
      <c r="K83" s="5"/>
      <c r="L83" s="5"/>
      <c r="M83" s="5"/>
      <c r="N83" s="5"/>
      <c r="O83" s="5"/>
      <c r="P83" s="88"/>
      <c r="Q83" s="96"/>
    </row>
    <row r="84" spans="1:17" s="2" customFormat="1" ht="12" customHeight="1">
      <c r="D84" s="22"/>
      <c r="E84" s="22"/>
      <c r="J84" s="5"/>
      <c r="K84" s="5"/>
      <c r="L84" s="5"/>
      <c r="M84" s="5"/>
      <c r="N84" s="5"/>
      <c r="O84" s="5"/>
      <c r="P84" s="88"/>
      <c r="Q84" s="96"/>
    </row>
    <row r="85" spans="1:17" s="2" customFormat="1" ht="12" customHeight="1">
      <c r="A85"/>
      <c r="B85"/>
      <c r="C85"/>
      <c r="D85" s="23"/>
      <c r="E85" s="23"/>
      <c r="F85"/>
      <c r="G85"/>
      <c r="H85"/>
      <c r="I85"/>
      <c r="J85" s="19"/>
      <c r="K85" s="19"/>
      <c r="L85" s="19"/>
      <c r="M85" s="19"/>
      <c r="N85" s="19"/>
      <c r="O85" s="19"/>
      <c r="P85" s="90"/>
      <c r="Q85" s="96"/>
    </row>
    <row r="86" spans="1:17" s="2" customFormat="1" ht="12" customHeight="1">
      <c r="A86"/>
      <c r="B86"/>
      <c r="C86"/>
      <c r="D86" s="23"/>
      <c r="E86" s="23"/>
      <c r="F86"/>
      <c r="G86"/>
      <c r="H86"/>
      <c r="I86"/>
      <c r="J86" s="19"/>
      <c r="K86" s="19"/>
      <c r="L86" s="19"/>
      <c r="M86" s="19"/>
      <c r="N86" s="19"/>
      <c r="O86" s="19"/>
      <c r="P86" s="90"/>
      <c r="Q86" s="96"/>
    </row>
    <row r="87" spans="1:17" s="2" customFormat="1" ht="12" customHeight="1">
      <c r="A87"/>
      <c r="B87"/>
      <c r="C87"/>
      <c r="D87" s="23"/>
      <c r="E87" s="23"/>
      <c r="F87"/>
      <c r="G87"/>
      <c r="H87"/>
      <c r="I87"/>
      <c r="J87" s="19"/>
      <c r="K87" s="19"/>
      <c r="L87" s="19"/>
      <c r="M87" s="19"/>
      <c r="N87" s="19"/>
      <c r="O87" s="19"/>
      <c r="P87" s="90"/>
      <c r="Q87" s="96"/>
    </row>
    <row r="88" spans="1:17" s="2" customFormat="1" ht="12" customHeight="1">
      <c r="A88"/>
      <c r="B88"/>
      <c r="C88"/>
      <c r="D88" s="23"/>
      <c r="E88" s="23"/>
      <c r="F88"/>
      <c r="G88"/>
      <c r="H88"/>
      <c r="I88"/>
      <c r="J88" s="19"/>
      <c r="K88" s="19"/>
      <c r="L88" s="19"/>
      <c r="M88" s="19"/>
      <c r="N88" s="19"/>
      <c r="O88" s="19"/>
      <c r="P88" s="90"/>
      <c r="Q88" s="96"/>
    </row>
    <row r="89" spans="1:17" s="2" customFormat="1" ht="12" customHeight="1">
      <c r="A89"/>
      <c r="B89"/>
      <c r="C89"/>
      <c r="D89" s="23"/>
      <c r="E89" s="23"/>
      <c r="F89"/>
      <c r="G89"/>
      <c r="H89"/>
      <c r="I89"/>
      <c r="J89" s="19"/>
      <c r="K89" s="19"/>
      <c r="L89" s="19"/>
      <c r="M89" s="19"/>
      <c r="N89" s="19"/>
      <c r="O89" s="19"/>
      <c r="P89" s="90"/>
      <c r="Q89" s="96"/>
    </row>
    <row r="90" spans="1:17">
      <c r="Q90" s="96"/>
    </row>
    <row r="91" spans="1:17">
      <c r="Q91" s="96"/>
    </row>
    <row r="92" spans="1:17">
      <c r="Q92" s="96"/>
    </row>
    <row r="93" spans="1:17">
      <c r="Q93" s="96"/>
    </row>
    <row r="94" spans="1:17">
      <c r="Q94" s="96"/>
    </row>
    <row r="95" spans="1:17">
      <c r="Q95" s="96"/>
    </row>
    <row r="96" spans="1:17">
      <c r="Q96" s="96"/>
    </row>
    <row r="97" spans="17:17">
      <c r="Q97" s="96"/>
    </row>
    <row r="98" spans="17:17">
      <c r="Q98" s="96"/>
    </row>
    <row r="99" spans="17:17">
      <c r="Q99" s="96"/>
    </row>
    <row r="100" spans="17:17">
      <c r="Q100" s="96"/>
    </row>
    <row r="101" spans="17:17">
      <c r="Q101" s="96"/>
    </row>
    <row r="102" spans="17:17">
      <c r="Q102" s="96"/>
    </row>
    <row r="103" spans="17:17">
      <c r="Q103" s="96"/>
    </row>
    <row r="104" spans="17:17">
      <c r="Q104" s="96"/>
    </row>
    <row r="105" spans="17:17">
      <c r="Q105" s="96"/>
    </row>
    <row r="106" spans="17:17">
      <c r="Q106" s="96"/>
    </row>
    <row r="107" spans="17:17">
      <c r="Q107" s="96"/>
    </row>
    <row r="108" spans="17:17">
      <c r="Q108" s="96"/>
    </row>
    <row r="109" spans="17:17">
      <c r="Q109" s="96"/>
    </row>
    <row r="146" ht="12" customHeight="1"/>
    <row r="147" ht="12" customHeight="1"/>
    <row r="148" ht="12" customHeight="1"/>
    <row r="149" ht="12" customHeight="1"/>
    <row r="150" ht="12" customHeight="1"/>
    <row r="151" ht="12" customHeight="1"/>
    <row r="152" ht="12" customHeight="1"/>
    <row r="153" ht="12" customHeight="1"/>
    <row r="154" ht="12" customHeight="1"/>
    <row r="155" ht="12" customHeight="1"/>
    <row r="156" ht="12" customHeight="1"/>
    <row r="157" ht="12" customHeight="1"/>
    <row r="158" ht="12" customHeight="1"/>
    <row r="159" ht="12" customHeight="1"/>
    <row r="160" ht="12" customHeight="1"/>
    <row r="161" ht="12" customHeight="1"/>
    <row r="162" ht="12" customHeight="1"/>
    <row r="163" ht="12" customHeight="1"/>
    <row r="164" ht="12" customHeight="1"/>
    <row r="165" ht="12" customHeight="1"/>
    <row r="166" ht="12" customHeight="1"/>
    <row r="167" ht="12" customHeight="1"/>
    <row r="168" ht="12" customHeight="1"/>
    <row r="169" ht="12" customHeight="1"/>
    <row r="170" ht="12" customHeight="1"/>
    <row r="171" ht="12" customHeight="1"/>
    <row r="172" ht="12" customHeight="1"/>
    <row r="173" ht="12" customHeight="1"/>
    <row r="174" ht="12" customHeight="1"/>
    <row r="175" ht="12" customHeight="1"/>
    <row r="176" ht="12" customHeight="1"/>
    <row r="177" ht="12" customHeight="1"/>
    <row r="178" ht="12" customHeight="1"/>
    <row r="179" ht="12" customHeight="1"/>
    <row r="180" ht="12" customHeight="1"/>
    <row r="181" ht="12" customHeight="1"/>
    <row r="182" ht="12" customHeight="1"/>
    <row r="183" ht="12" customHeight="1"/>
    <row r="184" ht="12" customHeight="1"/>
    <row r="185" ht="12" customHeight="1"/>
    <row r="186" ht="12" customHeight="1"/>
    <row r="187" ht="12" customHeight="1"/>
    <row r="188" ht="12" customHeight="1"/>
    <row r="189" ht="12" customHeight="1"/>
    <row r="190" ht="12" customHeight="1"/>
    <row r="191" ht="12" customHeight="1"/>
    <row r="192" ht="12" customHeight="1"/>
    <row r="193" ht="12" customHeight="1"/>
    <row r="194" ht="12" customHeight="1"/>
    <row r="195" ht="12" customHeight="1"/>
  </sheetData>
  <mergeCells count="50">
    <mergeCell ref="D33:E33"/>
    <mergeCell ref="D34:E34"/>
    <mergeCell ref="D1:E1"/>
    <mergeCell ref="D4:E4"/>
    <mergeCell ref="D12:E12"/>
    <mergeCell ref="D13:E13"/>
    <mergeCell ref="D7:E7"/>
    <mergeCell ref="D11:E11"/>
    <mergeCell ref="D22:E22"/>
    <mergeCell ref="D23:E23"/>
    <mergeCell ref="D24:E24"/>
    <mergeCell ref="D25:E25"/>
    <mergeCell ref="D26:E26"/>
    <mergeCell ref="H4:I4"/>
    <mergeCell ref="D5:E5"/>
    <mergeCell ref="H5:I5"/>
    <mergeCell ref="D6:E6"/>
    <mergeCell ref="H6:I6"/>
    <mergeCell ref="H7:I7"/>
    <mergeCell ref="D8:E8"/>
    <mergeCell ref="H8:I8"/>
    <mergeCell ref="D9:E9"/>
    <mergeCell ref="H9:I9"/>
    <mergeCell ref="H11:I11"/>
    <mergeCell ref="D10:E10"/>
    <mergeCell ref="H15:I15"/>
    <mergeCell ref="D16:E16"/>
    <mergeCell ref="D21:E21"/>
    <mergeCell ref="D20:E20"/>
    <mergeCell ref="D19:E19"/>
    <mergeCell ref="D17:E17"/>
    <mergeCell ref="D18:E18"/>
    <mergeCell ref="D14:E14"/>
    <mergeCell ref="D15:E15"/>
    <mergeCell ref="D42:E42"/>
    <mergeCell ref="H42:I42"/>
    <mergeCell ref="D27:E27"/>
    <mergeCell ref="D28:E28"/>
    <mergeCell ref="D29:E29"/>
    <mergeCell ref="D30:E30"/>
    <mergeCell ref="D39:E39"/>
    <mergeCell ref="D31:E31"/>
    <mergeCell ref="H31:I31"/>
    <mergeCell ref="D36:E36"/>
    <mergeCell ref="D37:E37"/>
    <mergeCell ref="D38:E38"/>
    <mergeCell ref="D32:E32"/>
    <mergeCell ref="D35:E35"/>
    <mergeCell ref="D40:E40"/>
    <mergeCell ref="D41:E41"/>
  </mergeCells>
  <conditionalFormatting sqref="M16:M30 M12:M14 M32:M41">
    <cfRule type="cellIs" dxfId="220" priority="1" stopIfTrue="1" operator="lessThanOrEqual">
      <formula>$L12</formula>
    </cfRule>
    <cfRule type="cellIs" dxfId="219" priority="2" operator="greaterThan">
      <formula>L12</formula>
    </cfRule>
  </conditionalFormatting>
  <pageMargins left="0.7" right="0.7" top="0.75" bottom="0.75" header="0.3" footer="0.3"/>
  <pageSetup paperSize="3" fitToHeight="0" orientation="landscape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27E5FFF7-884D-41D2-A44E-E9A76EDC14BA}">
          <x14:formula1>
            <xm:f>Bolts!$A:$A</xm:f>
          </x14:formula1>
          <xm:sqref>C32:C41</xm:sqref>
        </x14:dataValidation>
        <x14:dataValidation type="list" allowBlank="1" showInputMessage="1" showErrorMessage="1" xr:uid="{465F6944-A191-4506-A282-9DB93F86866F}">
          <x14:formula1>
            <xm:f>Assemblies!$E:$E</xm:f>
          </x14:formula1>
          <xm:sqref>C5:C10</xm:sqref>
        </x14:dataValidation>
        <x14:dataValidation type="list" allowBlank="1" showInputMessage="1" showErrorMessage="1" xr:uid="{949BFA0B-F75B-4CCC-849E-0AEDA46983D6}">
          <x14:formula1>
            <xm:f>Purchased!$A:$A</xm:f>
          </x14:formula1>
          <xm:sqref>C16:C30</xm:sqref>
        </x14:dataValidation>
        <x14:dataValidation type="list" allowBlank="1" showInputMessage="1" showErrorMessage="1" xr:uid="{2AE0CBB8-F88C-4D8C-A637-76FD6C214E29}">
          <x14:formula1>
            <xm:f>Machined!$C:$C</xm:f>
          </x14:formula1>
          <xm:sqref>C12:C14</xm:sqref>
        </x14:dataValidation>
      </x14:dataValidations>
    </ext>
  </extLst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A4605-6428-450C-9371-E37F559BE5FE}">
  <sheetPr codeName="Sheet126">
    <tabColor theme="3" tint="0.79998168889431442"/>
    <pageSetUpPr fitToPage="1"/>
  </sheetPr>
  <dimension ref="A1:Q172"/>
  <sheetViews>
    <sheetView zoomScaleNormal="100" workbookViewId="0">
      <selection activeCell="D14" sqref="D14:E14"/>
    </sheetView>
  </sheetViews>
  <sheetFormatPr defaultColWidth="9.140625" defaultRowHeight="15"/>
  <cols>
    <col min="1" max="1" width="5.7109375" customWidth="1"/>
    <col min="2" max="2" width="5.42578125" bestFit="1" customWidth="1"/>
    <col min="3" max="3" width="30.7109375" customWidth="1"/>
    <col min="4" max="5" width="20.7109375" style="23" customWidth="1"/>
    <col min="6" max="6" width="16.85546875" bestFit="1" customWidth="1"/>
    <col min="7" max="7" width="9.7109375" customWidth="1"/>
    <col min="8" max="8" width="8.7109375" customWidth="1"/>
    <col min="9" max="9" width="20.7109375" customWidth="1"/>
    <col min="10" max="13" width="11.7109375" style="19" customWidth="1"/>
    <col min="14" max="14" width="11.85546875" style="19" bestFit="1" customWidth="1"/>
    <col min="15" max="15" width="7.7109375" style="19" customWidth="1"/>
    <col min="16" max="16" width="10.7109375" style="90" customWidth="1"/>
    <col min="17" max="17" width="10.7109375" style="97" customWidth="1"/>
  </cols>
  <sheetData>
    <row r="1" spans="1:17" s="55" customFormat="1" ht="12" customHeight="1">
      <c r="A1" s="68" t="s">
        <v>0</v>
      </c>
      <c r="B1" s="69"/>
      <c r="C1" s="69"/>
      <c r="D1" s="262" t="s">
        <v>1</v>
      </c>
      <c r="E1" s="263"/>
      <c r="F1" s="70"/>
      <c r="G1" s="69"/>
      <c r="H1" s="70"/>
      <c r="I1" s="71"/>
      <c r="J1" s="72"/>
      <c r="K1" s="72"/>
      <c r="L1" s="72"/>
      <c r="M1" s="72"/>
      <c r="N1" s="72"/>
      <c r="O1" s="72"/>
      <c r="P1" s="85"/>
      <c r="Q1" s="91"/>
    </row>
    <row r="2" spans="1:17" s="55" customFormat="1" ht="12" customHeight="1">
      <c r="A2" s="74" t="s">
        <v>48</v>
      </c>
      <c r="B2" s="58"/>
      <c r="C2" s="57" t="e">
        <f ca="1">VLOOKUP(E3,Assemblies!B:F,4,0)</f>
        <v>#VALUE!</v>
      </c>
      <c r="D2" s="75" t="s">
        <v>3</v>
      </c>
      <c r="E2" s="76" t="e">
        <f ca="1">'GF12'!E2</f>
        <v>#VALUE!</v>
      </c>
      <c r="F2" s="77" t="s">
        <v>4</v>
      </c>
      <c r="G2" s="58" t="str">
        <f>'GF12'!G2</f>
        <v>GH</v>
      </c>
      <c r="H2" s="77" t="s">
        <v>6</v>
      </c>
      <c r="I2" s="59">
        <f>'GF12'!I2</f>
        <v>44775</v>
      </c>
      <c r="J2" s="39"/>
      <c r="K2" s="40" t="s">
        <v>49</v>
      </c>
      <c r="L2" s="41" t="e">
        <f ca="1">VLOOKUP(C2,Assemblies!E:G,3,0)</f>
        <v>#VALUE!</v>
      </c>
      <c r="M2" s="78"/>
      <c r="N2" s="78"/>
      <c r="O2" s="78"/>
      <c r="P2" s="86"/>
      <c r="Q2" s="92"/>
    </row>
    <row r="3" spans="1:17" s="55" customFormat="1" ht="12" customHeight="1" thickBot="1">
      <c r="A3" s="74" t="s">
        <v>7</v>
      </c>
      <c r="B3" s="58"/>
      <c r="C3" s="57" t="e">
        <f ca="1">VLOOKUP(E3,Assemblies!B:F,5,0)</f>
        <v>#VALUE!</v>
      </c>
      <c r="D3" s="75" t="s">
        <v>50</v>
      </c>
      <c r="E3" s="76" t="e">
        <f ca="1">MID(CELL("filename",A1),FIND("]",CELL("filename",A1))+1,256)</f>
        <v>#VALUE!</v>
      </c>
      <c r="F3" s="77" t="s">
        <v>11</v>
      </c>
      <c r="G3" s="58" t="str">
        <f>'GF12'!G3</f>
        <v>GH</v>
      </c>
      <c r="H3" s="77" t="s">
        <v>6</v>
      </c>
      <c r="I3" s="59">
        <f>'GF12'!I3</f>
        <v>44775</v>
      </c>
      <c r="J3" s="78"/>
      <c r="K3" s="78"/>
      <c r="L3" s="78"/>
      <c r="M3" s="78"/>
      <c r="N3" s="78"/>
      <c r="O3" s="78"/>
      <c r="P3" s="86"/>
      <c r="Q3" s="92"/>
    </row>
    <row r="4" spans="1:17" s="56" customFormat="1" ht="12.75" customHeight="1" thickBot="1">
      <c r="A4" s="80" t="s">
        <v>12</v>
      </c>
      <c r="B4" s="81" t="s">
        <v>13</v>
      </c>
      <c r="C4" s="81" t="s">
        <v>14</v>
      </c>
      <c r="D4" s="270" t="s">
        <v>15</v>
      </c>
      <c r="E4" s="271"/>
      <c r="F4" s="104" t="s">
        <v>16</v>
      </c>
      <c r="G4" s="81" t="s">
        <v>17</v>
      </c>
      <c r="H4" s="260" t="s">
        <v>18</v>
      </c>
      <c r="I4" s="261"/>
      <c r="J4" s="81" t="s">
        <v>51</v>
      </c>
      <c r="K4" s="81" t="s">
        <v>20</v>
      </c>
      <c r="L4" s="81" t="s">
        <v>21</v>
      </c>
      <c r="M4" s="81" t="s">
        <v>52</v>
      </c>
      <c r="N4" s="81" t="s">
        <v>22</v>
      </c>
      <c r="O4" s="81" t="s">
        <v>53</v>
      </c>
      <c r="P4" s="107" t="s">
        <v>26</v>
      </c>
      <c r="Q4" s="82" t="s">
        <v>27</v>
      </c>
    </row>
    <row r="5" spans="1:17" s="2" customFormat="1" ht="12.75" customHeight="1">
      <c r="A5" s="127">
        <v>1</v>
      </c>
      <c r="B5" s="21">
        <v>1</v>
      </c>
      <c r="C5" s="108" t="s">
        <v>1273</v>
      </c>
      <c r="D5" s="277" t="str">
        <f>VLOOKUP(C5,Machined!C:Q,2,0)</f>
        <v>Cylinder Stop Base</v>
      </c>
      <c r="E5" s="278"/>
      <c r="F5" s="131" t="str">
        <f>VLOOKUP(C5,Machined!C:R,7,0)</f>
        <v>1018 COLD ROLLED STEEL</v>
      </c>
      <c r="G5" s="131" t="str">
        <f>VLOOKUP(C5,Machined!C:R,10,0)</f>
        <v>DETAILED MACH</v>
      </c>
      <c r="H5" s="131" t="str">
        <f>VLOOKUP(C5,Machined!C:R,11,0)</f>
        <v>shipped 9/25/23</v>
      </c>
      <c r="I5" s="131"/>
      <c r="J5" s="42">
        <f>VLOOKUP(C5,Machined!C:R,12,0)</f>
        <v>45156</v>
      </c>
      <c r="K5" s="42">
        <f>VLOOKUP(C5,Machined!C:R,13,0)</f>
        <v>45162</v>
      </c>
      <c r="L5" s="42">
        <f>VLOOKUP(C5,Machined!C:R,14,0)</f>
        <v>45190</v>
      </c>
      <c r="M5" s="42">
        <f>VLOOKUP(C5,Machined!C:R,15,0)</f>
        <v>45190</v>
      </c>
      <c r="N5" s="43">
        <f>VLOOKUP(C5,Machined!C:R,16,0)</f>
        <v>55101</v>
      </c>
      <c r="O5" s="43" t="e">
        <f t="shared" ref="O5:O8" ca="1" si="0">B5*$L$2</f>
        <v>#VALUE!</v>
      </c>
      <c r="P5" s="47">
        <f>IFERROR(VLOOKUP(C5,Machined!C:F,3,0),"")</f>
        <v>0</v>
      </c>
      <c r="Q5" s="48">
        <f t="shared" ref="Q5:Q8" si="1">IFERROR(B5*P5,"")</f>
        <v>0</v>
      </c>
    </row>
    <row r="6" spans="1:17" s="2" customFormat="1" ht="12.75" customHeight="1">
      <c r="A6" s="127">
        <v>2</v>
      </c>
      <c r="B6" s="21">
        <v>1</v>
      </c>
      <c r="C6" s="108" t="s">
        <v>1274</v>
      </c>
      <c r="D6" s="277" t="str">
        <f>VLOOKUP(C6,Machined!C:Q,2,0)</f>
        <v>Stop Adjustment Block</v>
      </c>
      <c r="E6" s="278"/>
      <c r="F6" s="131" t="str">
        <f>VLOOKUP(C6,Machined!C:R,7,0)</f>
        <v>1018 COLD ROLLED STEEL</v>
      </c>
      <c r="G6" s="131" t="str">
        <f>VLOOKUP(C6,Machined!C:R,10,0)</f>
        <v>DETAILED MACH</v>
      </c>
      <c r="H6" s="131" t="str">
        <f>VLOOKUP(C6,Machined!C:R,11,0)</f>
        <v>shipped 9/29/23</v>
      </c>
      <c r="I6" s="131"/>
      <c r="J6" s="42">
        <f>VLOOKUP(C6,Machined!C:R,12,0)</f>
        <v>45156</v>
      </c>
      <c r="K6" s="42">
        <f>VLOOKUP(C6,Machined!C:R,13,0)</f>
        <v>45162</v>
      </c>
      <c r="L6" s="42">
        <f>VLOOKUP(C6,Machined!C:R,14,0)</f>
        <v>45190</v>
      </c>
      <c r="M6" s="42">
        <f>VLOOKUP(C6,Machined!C:R,15,0)</f>
        <v>45190</v>
      </c>
      <c r="N6" s="43">
        <f>VLOOKUP(C6,Machined!C:R,16,0)</f>
        <v>55101</v>
      </c>
      <c r="O6" s="43" t="e">
        <f t="shared" ca="1" si="0"/>
        <v>#VALUE!</v>
      </c>
      <c r="P6" s="47">
        <f>IFERROR(VLOOKUP(C6,Machined!C:F,3,0),"")</f>
        <v>0</v>
      </c>
      <c r="Q6" s="48">
        <f t="shared" si="1"/>
        <v>0</v>
      </c>
    </row>
    <row r="7" spans="1:17" s="2" customFormat="1" ht="12.75" customHeight="1">
      <c r="A7" s="127">
        <v>3</v>
      </c>
      <c r="B7" s="21">
        <v>1</v>
      </c>
      <c r="C7" s="108" t="s">
        <v>1275</v>
      </c>
      <c r="D7" s="277" t="str">
        <f>VLOOKUP(C7,Machined!C:Q,2,0)</f>
        <v>Cylinder Stop</v>
      </c>
      <c r="E7" s="278"/>
      <c r="F7" s="131" t="str">
        <f>VLOOKUP(C7,Machined!C:R,7,0)</f>
        <v>1018 COLD ROLLED STEEL</v>
      </c>
      <c r="G7" s="131" t="str">
        <f>VLOOKUP(C7,Machined!C:R,10,0)</f>
        <v>DETAILED MACH</v>
      </c>
      <c r="H7" s="131" t="str">
        <f>VLOOKUP(C7,Machined!C:R,11,0)</f>
        <v>shipped 9/29/23</v>
      </c>
      <c r="I7" s="131"/>
      <c r="J7" s="42">
        <f>VLOOKUP(C7,Machined!C:R,12,0)</f>
        <v>45156</v>
      </c>
      <c r="K7" s="42">
        <f>VLOOKUP(C7,Machined!C:R,13,0)</f>
        <v>45162</v>
      </c>
      <c r="L7" s="42">
        <f>VLOOKUP(C7,Machined!C:R,14,0)</f>
        <v>45190</v>
      </c>
      <c r="M7" s="42">
        <f>VLOOKUP(C7,Machined!C:R,15,0)</f>
        <v>45190</v>
      </c>
      <c r="N7" s="43">
        <f>VLOOKUP(C7,Machined!C:R,16,0)</f>
        <v>55101</v>
      </c>
      <c r="O7" s="43" t="e">
        <f t="shared" ca="1" si="0"/>
        <v>#VALUE!</v>
      </c>
      <c r="P7" s="47">
        <f>IFERROR(VLOOKUP(C7,Machined!C:F,3,0),"")</f>
        <v>0</v>
      </c>
      <c r="Q7" s="48">
        <f t="shared" si="1"/>
        <v>0</v>
      </c>
    </row>
    <row r="8" spans="1:17" s="2" customFormat="1" ht="12.75" customHeight="1">
      <c r="A8" s="127">
        <v>4</v>
      </c>
      <c r="B8" s="21">
        <v>2</v>
      </c>
      <c r="C8" s="108" t="s">
        <v>1276</v>
      </c>
      <c r="D8" s="277" t="str">
        <f>VLOOKUP(C8,Machined!C:Q,2,0)</f>
        <v>Cylinder Stop Clamp</v>
      </c>
      <c r="E8" s="278"/>
      <c r="F8" s="131" t="str">
        <f>VLOOKUP(C8,Machined!C:R,7,0)</f>
        <v>1018 COLD ROLLED STEEL</v>
      </c>
      <c r="G8" s="131" t="str">
        <f>VLOOKUP(C8,Machined!C:R,10,0)</f>
        <v>DETAILED MACH</v>
      </c>
      <c r="H8" s="131" t="str">
        <f>VLOOKUP(C8,Machined!C:R,11,0)</f>
        <v>shipped 9/25/23</v>
      </c>
      <c r="I8" s="131"/>
      <c r="J8" s="42">
        <f>VLOOKUP(C8,Machined!C:R,12,0)</f>
        <v>45156</v>
      </c>
      <c r="K8" s="42">
        <f>VLOOKUP(C8,Machined!C:R,13,0)</f>
        <v>45162</v>
      </c>
      <c r="L8" s="42">
        <f>VLOOKUP(C8,Machined!C:R,14,0)</f>
        <v>45190</v>
      </c>
      <c r="M8" s="42">
        <f>VLOOKUP(C8,Machined!C:R,15,0)</f>
        <v>45190</v>
      </c>
      <c r="N8" s="43">
        <f>VLOOKUP(C8,Machined!C:R,16,0)</f>
        <v>55101</v>
      </c>
      <c r="O8" s="43" t="e">
        <f t="shared" ca="1" si="0"/>
        <v>#VALUE!</v>
      </c>
      <c r="P8" s="47">
        <f>IFERROR(VLOOKUP(C8,Machined!C:F,3,0),"")</f>
        <v>0</v>
      </c>
      <c r="Q8" s="48">
        <f t="shared" si="1"/>
        <v>0</v>
      </c>
    </row>
    <row r="9" spans="1:17" s="2" customFormat="1" ht="12.75" customHeight="1">
      <c r="A9" s="143"/>
      <c r="B9" s="26"/>
      <c r="C9" s="26"/>
      <c r="D9" s="272"/>
      <c r="E9" s="273"/>
      <c r="F9" s="26"/>
      <c r="G9" s="26"/>
      <c r="H9" s="274"/>
      <c r="I9" s="275"/>
      <c r="J9" s="27"/>
      <c r="K9" s="27"/>
      <c r="L9" s="27"/>
      <c r="M9" s="28"/>
      <c r="N9" s="29"/>
      <c r="O9" s="29"/>
      <c r="P9" s="141"/>
      <c r="Q9" s="142"/>
    </row>
    <row r="10" spans="1:17" s="2" customFormat="1" ht="12.75" customHeight="1">
      <c r="A10" s="4">
        <v>301</v>
      </c>
      <c r="B10" s="2">
        <v>1</v>
      </c>
      <c r="C10" s="114" t="s">
        <v>818</v>
      </c>
      <c r="D10" s="268" t="str">
        <f>VLOOKUP(C10,Purchased!A:B,2,0)</f>
        <v xml:space="preserve">KEYENCE PR-G4ACP Diffuse reflective long distance </v>
      </c>
      <c r="E10" s="269"/>
      <c r="F10" s="112" t="str">
        <f>VLOOKUP(C10,Purchased!A:Q,9,0)</f>
        <v>KEYENCE</v>
      </c>
      <c r="G10" s="112" t="str">
        <f>VLOOKUP(C10,Purchased!A:Q,10,0)</f>
        <v>KEYENCE</v>
      </c>
      <c r="H10" s="112" t="str">
        <f>VLOOKUP(C10,Purchased!A:Q,12,0)</f>
        <v xml:space="preserve"> </v>
      </c>
      <c r="I10" s="113"/>
      <c r="J10" s="44">
        <f>VLOOKUP(C10,Purchased!A:Q,13,0)</f>
        <v>45154</v>
      </c>
      <c r="K10" s="44">
        <f>VLOOKUP(C10,Purchased!A:Q,16,0)</f>
        <v>45184</v>
      </c>
      <c r="L10" s="44">
        <f>VLOOKUP(C10,Purchased!A:Q,15,0)</f>
        <v>45191</v>
      </c>
      <c r="M10" s="44">
        <f>VLOOKUP(C10,Purchased!A:Q,16,0)</f>
        <v>45184</v>
      </c>
      <c r="N10" s="45">
        <f>VLOOKUP(C10,Purchased!A:Q,17,0)</f>
        <v>55077</v>
      </c>
      <c r="O10" s="45" t="e">
        <f t="shared" ref="O10:O18" ca="1" si="2">B10*$L$2</f>
        <v>#VALUE!</v>
      </c>
      <c r="P10" s="49">
        <f>IFERROR(VLOOKUP(C10,Purchased!A:E,3,FALSE),"")</f>
        <v>168</v>
      </c>
      <c r="Q10" s="50">
        <f t="shared" ref="Q10:Q14" si="3">IFERROR(B10*P10,"")</f>
        <v>168</v>
      </c>
    </row>
    <row r="11" spans="1:17" s="2" customFormat="1" ht="12" customHeight="1">
      <c r="A11" s="4">
        <f t="shared" ref="A11:A14" si="4">A10+1</f>
        <v>302</v>
      </c>
      <c r="B11" s="2">
        <v>1</v>
      </c>
      <c r="C11" s="114" t="s">
        <v>625</v>
      </c>
      <c r="D11" s="268" t="str">
        <f>VLOOKUP(C11,Purchased!A:B,2,0)</f>
        <v>MURR M8 Female, 0deg A-Coded, 4-Pin, w/ Cable, 10m, black</v>
      </c>
      <c r="E11" s="269"/>
      <c r="F11" s="112" t="str">
        <f>VLOOKUP(C11,Purchased!A:Q,9,0)</f>
        <v>MURR</v>
      </c>
      <c r="G11" s="112" t="str">
        <f>VLOOKUP(C11,Purchased!A:Q,10,0)</f>
        <v>MURR</v>
      </c>
      <c r="H11" s="112">
        <f>VLOOKUP(C11,Purchased!A:Q,12,0)</f>
        <v>0</v>
      </c>
      <c r="I11" s="113"/>
      <c r="J11" s="44">
        <f>VLOOKUP(C11,Purchased!A:Q,13,0)</f>
        <v>45216</v>
      </c>
      <c r="K11" s="44">
        <f>VLOOKUP(C11,Purchased!A:Q,16,0)</f>
        <v>45226</v>
      </c>
      <c r="L11" s="44">
        <f>VLOOKUP(C11,Purchased!A:Q,15,0)</f>
        <v>45226</v>
      </c>
      <c r="M11" s="44">
        <f>VLOOKUP(C11,Purchased!A:Q,16,0)</f>
        <v>45226</v>
      </c>
      <c r="N11" s="45">
        <f>VLOOKUP(C11,Purchased!A:Q,17,0)</f>
        <v>55194</v>
      </c>
      <c r="O11" s="45" t="e">
        <f t="shared" ca="1" si="2"/>
        <v>#VALUE!</v>
      </c>
      <c r="P11" s="49">
        <f>IFERROR(VLOOKUP(C11,Purchased!A:E,3,FALSE),"")</f>
        <v>25</v>
      </c>
      <c r="Q11" s="50">
        <f t="shared" si="3"/>
        <v>25</v>
      </c>
    </row>
    <row r="12" spans="1:17" s="2" customFormat="1" ht="12" customHeight="1">
      <c r="A12" s="4">
        <f t="shared" si="4"/>
        <v>303</v>
      </c>
      <c r="B12" s="2">
        <v>1</v>
      </c>
      <c r="C12" s="114" t="s">
        <v>1277</v>
      </c>
      <c r="D12" s="268" t="str">
        <f>VLOOKUP(C12,Purchased!A:B,2,0)</f>
        <v>MISUMI Adjusting Bolts - Knurled Head, Hex Socket</v>
      </c>
      <c r="E12" s="269"/>
      <c r="F12" s="112" t="str">
        <f>VLOOKUP(C12,Purchased!A:Q,9,0)</f>
        <v>MISUMI</v>
      </c>
      <c r="G12" s="112" t="str">
        <f>VLOOKUP(C12,Purchased!A:Q,10,0)</f>
        <v>MISUMI</v>
      </c>
      <c r="H12" s="112" t="str">
        <f>VLOOKUP(C12,Purchased!A:Q,12,0)</f>
        <v xml:space="preserve"> </v>
      </c>
      <c r="I12" s="113"/>
      <c r="J12" s="44" t="str">
        <f>VLOOKUP(C12,Purchased!A:Q,13,0)</f>
        <v>N/A</v>
      </c>
      <c r="K12" s="44">
        <f>VLOOKUP(C12,Purchased!A:Q,16,0)</f>
        <v>45176</v>
      </c>
      <c r="L12" s="44">
        <f>VLOOKUP(C12,Purchased!A:Q,15,0)</f>
        <v>45191</v>
      </c>
      <c r="M12" s="44">
        <f>VLOOKUP(C12,Purchased!A:Q,16,0)</f>
        <v>45176</v>
      </c>
      <c r="N12" s="45">
        <f>VLOOKUP(C12,Purchased!A:Q,17,0)</f>
        <v>55078</v>
      </c>
      <c r="O12" s="45" t="e">
        <f t="shared" ca="1" si="2"/>
        <v>#VALUE!</v>
      </c>
      <c r="P12" s="49">
        <f>IFERROR(VLOOKUP(C12,Purchased!A:E,3,FALSE),"")</f>
        <v>11.77</v>
      </c>
      <c r="Q12" s="50">
        <f t="shared" si="3"/>
        <v>11.77</v>
      </c>
    </row>
    <row r="13" spans="1:17" s="2" customFormat="1" ht="12" customHeight="1">
      <c r="A13" s="4">
        <f t="shared" si="4"/>
        <v>304</v>
      </c>
      <c r="B13" s="2">
        <v>4</v>
      </c>
      <c r="C13" s="114" t="s">
        <v>1278</v>
      </c>
      <c r="D13" s="268" t="str">
        <f>VLOOKUP(C13,Purchased!A:B,2,0)</f>
        <v>ELESA GN.67101 GN 927.2-63-M6-16-A-Z - Clamping Levers with Eccentrical Cam</v>
      </c>
      <c r="E13" s="269"/>
      <c r="F13" s="112" t="str">
        <f>VLOOKUP(C13,Purchased!A:Q,9,0)</f>
        <v>ELESA</v>
      </c>
      <c r="G13" s="112" t="str">
        <f>VLOOKUP(C13,Purchased!A:Q,10,0)</f>
        <v>ELESA</v>
      </c>
      <c r="H13" s="112" t="str">
        <f>VLOOKUP(C13,Purchased!A:Q,12,0)</f>
        <v xml:space="preserve"> </v>
      </c>
      <c r="I13" s="113"/>
      <c r="J13" s="44" t="str">
        <f>VLOOKUP(C13,Purchased!A:Q,13,0)</f>
        <v>N/A</v>
      </c>
      <c r="K13" s="44">
        <f>VLOOKUP(C13,Purchased!A:Q,16,0)</f>
        <v>45184</v>
      </c>
      <c r="L13" s="44">
        <f>VLOOKUP(C13,Purchased!A:Q,15,0)</f>
        <v>45184</v>
      </c>
      <c r="M13" s="44">
        <f>VLOOKUP(C13,Purchased!A:Q,16,0)</f>
        <v>45184</v>
      </c>
      <c r="N13" s="45">
        <f>VLOOKUP(C13,Purchased!A:Q,17,0)</f>
        <v>55075</v>
      </c>
      <c r="O13" s="45" t="e">
        <f t="shared" ca="1" si="2"/>
        <v>#VALUE!</v>
      </c>
      <c r="P13" s="49">
        <f>IFERROR(VLOOKUP(C13,Purchased!A:E,3,FALSE),"")</f>
        <v>1.06</v>
      </c>
      <c r="Q13" s="50">
        <f t="shared" si="3"/>
        <v>4.24</v>
      </c>
    </row>
    <row r="14" spans="1:17" s="2" customFormat="1" ht="12" customHeight="1">
      <c r="A14" s="4">
        <f t="shared" si="4"/>
        <v>305</v>
      </c>
      <c r="B14" s="2">
        <v>1</v>
      </c>
      <c r="C14" s="114" t="s">
        <v>1279</v>
      </c>
      <c r="D14" s="268" t="str">
        <f>VLOOKUP(C14,Purchased!A:B,2,0)</f>
        <v>Adhesive-Back Ruler Reads Left to Right, Yellow Steel, 3 M Length, 1/4" Width</v>
      </c>
      <c r="E14" s="269"/>
      <c r="F14" s="112" t="str">
        <f>VLOOKUP(C14,Purchased!A:Q,9,0)</f>
        <v>MCM</v>
      </c>
      <c r="G14" s="112" t="str">
        <f>VLOOKUP(C14,Purchased!A:Q,10,0)</f>
        <v>MCM</v>
      </c>
      <c r="H14" s="112" t="str">
        <f>VLOOKUP(C14,Purchased!A:Q,12,0)</f>
        <v xml:space="preserve"> </v>
      </c>
      <c r="I14" s="113"/>
      <c r="J14" s="44" t="str">
        <f>VLOOKUP(C14,Purchased!A:Q,13,0)</f>
        <v>N/A</v>
      </c>
      <c r="K14" s="44">
        <f>VLOOKUP(C14,Purchased!A:Q,16,0)</f>
        <v>45166</v>
      </c>
      <c r="L14" s="44">
        <f>VLOOKUP(C14,Purchased!A:Q,15,0)</f>
        <v>45184</v>
      </c>
      <c r="M14" s="44">
        <f>VLOOKUP(C14,Purchased!A:Q,16,0)</f>
        <v>45166</v>
      </c>
      <c r="N14" s="45">
        <f>VLOOKUP(C14,Purchased!A:Q,17,0)</f>
        <v>55087</v>
      </c>
      <c r="O14" s="45" t="e">
        <f t="shared" ca="1" si="2"/>
        <v>#VALUE!</v>
      </c>
      <c r="P14" s="49">
        <f>IFERROR(VLOOKUP(C14,Purchased!A:E,3,FALSE),"")</f>
        <v>13.45</v>
      </c>
      <c r="Q14" s="50">
        <f t="shared" si="3"/>
        <v>13.45</v>
      </c>
    </row>
    <row r="15" spans="1:17" s="2" customFormat="1" ht="12.75" customHeight="1">
      <c r="A15" s="25"/>
      <c r="B15" s="26"/>
      <c r="C15" s="26"/>
      <c r="D15" s="272"/>
      <c r="E15" s="273"/>
      <c r="F15" s="26"/>
      <c r="G15" s="26"/>
      <c r="H15" s="274"/>
      <c r="I15" s="275"/>
      <c r="J15" s="27"/>
      <c r="K15" s="27"/>
      <c r="L15" s="27"/>
      <c r="M15" s="28"/>
      <c r="N15" s="29"/>
      <c r="O15" s="29" t="e">
        <f t="shared" ca="1" si="2"/>
        <v>#VALUE!</v>
      </c>
      <c r="P15" s="141"/>
      <c r="Q15" s="142"/>
    </row>
    <row r="16" spans="1:17" s="2" customFormat="1" ht="12.75" customHeight="1">
      <c r="A16" s="4">
        <v>501</v>
      </c>
      <c r="B16" s="2">
        <v>2</v>
      </c>
      <c r="C16" s="110" t="s">
        <v>966</v>
      </c>
      <c r="D16" s="268"/>
      <c r="E16" s="276"/>
      <c r="F16" s="112" t="str">
        <f>VLOOKUP(C16,Bolts!A:L,5,0)</f>
        <v xml:space="preserve">  </v>
      </c>
      <c r="G16" s="112" t="str">
        <f>VLOOKUP(C16,Bolts!A:L,6,0)</f>
        <v>Monroe Fasteners</v>
      </c>
      <c r="H16" s="112" t="str">
        <f>VLOOKUP(C16,Bolts!A:L,7,0)</f>
        <v xml:space="preserve">  </v>
      </c>
      <c r="I16" s="112"/>
      <c r="J16" s="44" t="str">
        <f>VLOOKUP(C16,Bolts!A:L,8,0)</f>
        <v xml:space="preserve"> </v>
      </c>
      <c r="K16" s="44" t="str">
        <f>VLOOKUP(C16,Bolts!A:L,9,0)</f>
        <v xml:space="preserve"> </v>
      </c>
      <c r="L16" s="44" t="str">
        <f>VLOOKUP(C16,Bolts!A:L,10,0)</f>
        <v xml:space="preserve"> </v>
      </c>
      <c r="M16" s="44" t="str">
        <f>VLOOKUP(C16,Bolts!A:L,11,0)</f>
        <v xml:space="preserve"> </v>
      </c>
      <c r="N16" s="45" t="str">
        <f>VLOOKUP(C16,Bolts!A:L,12,0)</f>
        <v xml:space="preserve"> </v>
      </c>
      <c r="O16" s="45" t="e">
        <f t="shared" ca="1" si="2"/>
        <v>#VALUE!</v>
      </c>
      <c r="P16" s="49" t="str">
        <f>IFERROR(VLOOKUP(C16,Bolts!A:B,2,FALSE),"")</f>
        <v xml:space="preserve"> </v>
      </c>
      <c r="Q16" s="50" t="str">
        <f t="shared" ref="Q16:Q18" si="5">IFERROR(B16*P16,"")</f>
        <v/>
      </c>
    </row>
    <row r="17" spans="1:17" s="2" customFormat="1" ht="12.75" customHeight="1">
      <c r="A17" s="4">
        <f t="shared" ref="A17:A18" si="6">A16+1</f>
        <v>502</v>
      </c>
      <c r="B17" s="2">
        <v>2</v>
      </c>
      <c r="C17" s="110" t="s">
        <v>1280</v>
      </c>
      <c r="D17" s="268"/>
      <c r="E17" s="276"/>
      <c r="F17" s="112" t="str">
        <f>VLOOKUP(C17,Bolts!A:L,5,0)</f>
        <v xml:space="preserve">  </v>
      </c>
      <c r="G17" s="112" t="str">
        <f>VLOOKUP(C17,Bolts!A:L,6,0)</f>
        <v>Monroe Fasteners</v>
      </c>
      <c r="H17" s="112" t="str">
        <f>VLOOKUP(C17,Bolts!A:L,7,0)</f>
        <v xml:space="preserve">  </v>
      </c>
      <c r="I17" s="112"/>
      <c r="J17" s="44" t="str">
        <f>VLOOKUP(C17,Bolts!A:L,8,0)</f>
        <v xml:space="preserve"> </v>
      </c>
      <c r="K17" s="44" t="str">
        <f>VLOOKUP(C17,Bolts!A:L,9,0)</f>
        <v xml:space="preserve"> </v>
      </c>
      <c r="L17" s="44" t="str">
        <f>VLOOKUP(C17,Bolts!A:L,10,0)</f>
        <v xml:space="preserve"> </v>
      </c>
      <c r="M17" s="44" t="str">
        <f>VLOOKUP(C17,Bolts!A:L,11,0)</f>
        <v xml:space="preserve"> </v>
      </c>
      <c r="N17" s="45" t="str">
        <f>VLOOKUP(C17,Bolts!A:L,12,0)</f>
        <v xml:space="preserve"> </v>
      </c>
      <c r="O17" s="45" t="e">
        <f t="shared" ca="1" si="2"/>
        <v>#VALUE!</v>
      </c>
      <c r="P17" s="49" t="str">
        <f>IFERROR(VLOOKUP(C17,Bolts!A:B,2,FALSE),"")</f>
        <v xml:space="preserve"> </v>
      </c>
      <c r="Q17" s="50" t="str">
        <f t="shared" si="5"/>
        <v/>
      </c>
    </row>
    <row r="18" spans="1:17" s="2" customFormat="1" ht="12" customHeight="1" thickBot="1">
      <c r="A18" s="4">
        <f t="shared" si="6"/>
        <v>503</v>
      </c>
      <c r="B18" s="2">
        <v>4</v>
      </c>
      <c r="C18" s="110" t="s">
        <v>278</v>
      </c>
      <c r="D18" s="268"/>
      <c r="E18" s="276"/>
      <c r="F18" s="112" t="str">
        <f>VLOOKUP(C18,Bolts!A:L,5,0)</f>
        <v xml:space="preserve">  </v>
      </c>
      <c r="G18" s="112" t="str">
        <f>VLOOKUP(C18,Bolts!A:L,6,0)</f>
        <v>Monroe Fasteners</v>
      </c>
      <c r="H18" s="112" t="str">
        <f>VLOOKUP(C18,Bolts!A:L,7,0)</f>
        <v xml:space="preserve">  </v>
      </c>
      <c r="I18" s="112"/>
      <c r="J18" s="44" t="str">
        <f>VLOOKUP(C18,Bolts!A:L,8,0)</f>
        <v xml:space="preserve"> </v>
      </c>
      <c r="K18" s="44" t="str">
        <f>VLOOKUP(C18,Bolts!A:L,9,0)</f>
        <v xml:space="preserve"> </v>
      </c>
      <c r="L18" s="44" t="str">
        <f>VLOOKUP(C18,Bolts!A:L,10,0)</f>
        <v xml:space="preserve"> </v>
      </c>
      <c r="M18" s="44" t="str">
        <f>VLOOKUP(C18,Bolts!A:L,11,0)</f>
        <v xml:space="preserve"> </v>
      </c>
      <c r="N18" s="45" t="str">
        <f>VLOOKUP(C18,Bolts!A:L,12,0)</f>
        <v xml:space="preserve"> </v>
      </c>
      <c r="O18" s="45" t="e">
        <f t="shared" ca="1" si="2"/>
        <v>#VALUE!</v>
      </c>
      <c r="P18" s="49" t="str">
        <f>IFERROR(VLOOKUP(C18,Bolts!A:B,2,FALSE),"")</f>
        <v xml:space="preserve"> </v>
      </c>
      <c r="Q18" s="50" t="str">
        <f t="shared" si="5"/>
        <v/>
      </c>
    </row>
    <row r="19" spans="1:17" s="2" customFormat="1" ht="12.75" customHeight="1" thickBot="1">
      <c r="A19" s="34"/>
      <c r="B19" s="35"/>
      <c r="C19" s="35"/>
      <c r="D19" s="256"/>
      <c r="E19" s="257"/>
      <c r="F19" s="35"/>
      <c r="G19" s="35"/>
      <c r="H19" s="294"/>
      <c r="I19" s="295"/>
      <c r="J19" s="36"/>
      <c r="K19" s="36"/>
      <c r="L19" s="36"/>
      <c r="M19" s="37"/>
      <c r="N19" s="38"/>
      <c r="O19" s="38"/>
      <c r="P19" s="89" t="s">
        <v>43</v>
      </c>
      <c r="Q19" s="94">
        <f>SUM(Q5:Q18)</f>
        <v>222.46</v>
      </c>
    </row>
    <row r="20" spans="1:17" s="2" customFormat="1" ht="12" customHeight="1">
      <c r="D20" s="22"/>
      <c r="E20" s="22"/>
      <c r="J20" s="8"/>
      <c r="K20" s="8"/>
      <c r="L20" s="8"/>
      <c r="M20" s="8"/>
      <c r="N20" s="5"/>
      <c r="O20" s="5"/>
      <c r="P20" s="88"/>
      <c r="Q20" s="95"/>
    </row>
    <row r="21" spans="1:17" s="2" customFormat="1" ht="12" customHeight="1">
      <c r="D21" s="22"/>
      <c r="E21" s="22"/>
      <c r="J21" s="5"/>
      <c r="K21" s="5"/>
      <c r="L21" s="5"/>
      <c r="M21" s="5"/>
      <c r="N21" s="5"/>
      <c r="O21" s="5"/>
      <c r="P21" s="88"/>
      <c r="Q21" s="95"/>
    </row>
    <row r="22" spans="1:17" s="2" customFormat="1" ht="12" customHeight="1">
      <c r="D22" s="22"/>
      <c r="E22" s="22"/>
      <c r="J22" s="5"/>
      <c r="K22" s="5"/>
      <c r="L22" s="5"/>
      <c r="M22" s="5"/>
      <c r="N22" s="5"/>
      <c r="O22" s="5"/>
      <c r="P22" s="88"/>
      <c r="Q22" s="95"/>
    </row>
    <row r="23" spans="1:17" s="2" customFormat="1" ht="12" customHeight="1">
      <c r="D23" s="22"/>
      <c r="E23" s="22"/>
      <c r="J23" s="5"/>
      <c r="K23" s="5"/>
      <c r="L23" s="5"/>
      <c r="M23" s="5"/>
      <c r="N23" s="5"/>
      <c r="O23" s="5"/>
      <c r="P23" s="88"/>
      <c r="Q23" s="95"/>
    </row>
    <row r="24" spans="1:17" s="2" customFormat="1" ht="12" customHeight="1">
      <c r="D24" s="22"/>
      <c r="E24" s="22"/>
      <c r="J24" s="5"/>
      <c r="K24" s="5"/>
      <c r="L24" s="5"/>
      <c r="M24" s="5"/>
      <c r="N24" s="5"/>
      <c r="O24" s="5"/>
      <c r="P24" s="88"/>
      <c r="Q24" s="95"/>
    </row>
    <row r="25" spans="1:17" s="2" customFormat="1" ht="12" customHeight="1">
      <c r="D25" s="22"/>
      <c r="E25" s="22"/>
      <c r="J25" s="5"/>
      <c r="K25" s="5"/>
      <c r="L25" s="5"/>
      <c r="M25" s="5"/>
      <c r="N25" s="5"/>
      <c r="O25" s="5"/>
      <c r="P25" s="88"/>
      <c r="Q25" s="95"/>
    </row>
    <row r="26" spans="1:17" s="2" customFormat="1" ht="12" customHeight="1">
      <c r="D26" s="22"/>
      <c r="E26" s="22"/>
      <c r="J26" s="5"/>
      <c r="K26" s="5"/>
      <c r="L26" s="5"/>
      <c r="M26" s="5"/>
      <c r="N26" s="5"/>
      <c r="O26" s="5"/>
      <c r="P26" s="88"/>
      <c r="Q26" s="95"/>
    </row>
    <row r="27" spans="1:17" s="2" customFormat="1" ht="12" customHeight="1">
      <c r="D27" s="22"/>
      <c r="E27" s="22"/>
      <c r="J27" s="5"/>
      <c r="K27" s="5"/>
      <c r="L27" s="5"/>
      <c r="M27" s="5"/>
      <c r="N27" s="5"/>
      <c r="O27" s="5"/>
      <c r="P27" s="88"/>
      <c r="Q27" s="95"/>
    </row>
    <row r="28" spans="1:17" s="2" customFormat="1" ht="12" customHeight="1">
      <c r="D28" s="22"/>
      <c r="E28" s="22"/>
      <c r="J28" s="5"/>
      <c r="K28" s="5"/>
      <c r="L28" s="5"/>
      <c r="M28" s="5"/>
      <c r="N28" s="5"/>
      <c r="O28" s="5"/>
      <c r="P28" s="88"/>
      <c r="Q28" s="95"/>
    </row>
    <row r="29" spans="1:17" s="2" customFormat="1" ht="12" customHeight="1">
      <c r="D29" s="22"/>
      <c r="E29" s="22"/>
      <c r="J29" s="5"/>
      <c r="K29" s="5"/>
      <c r="L29" s="5"/>
      <c r="M29" s="5"/>
      <c r="N29" s="5"/>
      <c r="O29" s="5"/>
      <c r="P29" s="88"/>
      <c r="Q29" s="95"/>
    </row>
    <row r="30" spans="1:17" s="2" customFormat="1" ht="12" customHeight="1">
      <c r="D30" s="22"/>
      <c r="E30" s="22"/>
      <c r="J30" s="5"/>
      <c r="K30" s="5"/>
      <c r="L30" s="5"/>
      <c r="M30" s="5"/>
      <c r="N30" s="5"/>
      <c r="O30" s="5"/>
      <c r="P30" s="88"/>
      <c r="Q30" s="95"/>
    </row>
    <row r="31" spans="1:17" s="2" customFormat="1" ht="12" customHeight="1">
      <c r="D31" s="22"/>
      <c r="E31" s="22"/>
      <c r="J31" s="5"/>
      <c r="K31" s="5"/>
      <c r="L31" s="5"/>
      <c r="M31" s="5"/>
      <c r="N31" s="5"/>
      <c r="O31" s="5"/>
      <c r="P31" s="88"/>
      <c r="Q31" s="95"/>
    </row>
    <row r="32" spans="1:17" s="2" customFormat="1" ht="12" customHeight="1">
      <c r="D32" s="22"/>
      <c r="E32" s="22"/>
      <c r="J32" s="5"/>
      <c r="K32" s="5"/>
      <c r="L32" s="5"/>
      <c r="M32" s="5"/>
      <c r="N32" s="5"/>
      <c r="O32" s="5"/>
      <c r="P32" s="88"/>
      <c r="Q32" s="95"/>
    </row>
    <row r="33" spans="4:17" s="2" customFormat="1" ht="12" customHeight="1">
      <c r="D33" s="22"/>
      <c r="E33" s="22"/>
      <c r="J33" s="5"/>
      <c r="K33" s="5"/>
      <c r="L33" s="5"/>
      <c r="M33" s="5"/>
      <c r="N33" s="5"/>
      <c r="O33" s="5"/>
      <c r="P33" s="88"/>
      <c r="Q33" s="95"/>
    </row>
    <row r="34" spans="4:17" s="2" customFormat="1" ht="12" customHeight="1">
      <c r="D34" s="22"/>
      <c r="E34" s="22"/>
      <c r="J34" s="5"/>
      <c r="K34" s="5"/>
      <c r="L34" s="5"/>
      <c r="M34" s="5"/>
      <c r="N34" s="5"/>
      <c r="O34" s="5"/>
      <c r="P34" s="88"/>
      <c r="Q34" s="95"/>
    </row>
    <row r="35" spans="4:17" s="2" customFormat="1" ht="12" customHeight="1">
      <c r="D35" s="22"/>
      <c r="E35" s="22"/>
      <c r="J35" s="5"/>
      <c r="K35" s="5"/>
      <c r="L35" s="5"/>
      <c r="M35" s="5"/>
      <c r="N35" s="5"/>
      <c r="O35" s="5"/>
      <c r="P35" s="88"/>
      <c r="Q35" s="95"/>
    </row>
    <row r="36" spans="4:17" s="2" customFormat="1" ht="12" customHeight="1">
      <c r="D36" s="22"/>
      <c r="E36" s="22"/>
      <c r="J36" s="5"/>
      <c r="K36" s="5"/>
      <c r="L36" s="5"/>
      <c r="M36" s="5"/>
      <c r="N36" s="5"/>
      <c r="O36" s="5"/>
      <c r="P36" s="88"/>
      <c r="Q36" s="95"/>
    </row>
    <row r="37" spans="4:17" s="2" customFormat="1" ht="12" customHeight="1">
      <c r="D37" s="22"/>
      <c r="E37" s="22"/>
      <c r="J37" s="5"/>
      <c r="K37" s="5"/>
      <c r="L37" s="5"/>
      <c r="M37" s="5"/>
      <c r="N37" s="5"/>
      <c r="O37" s="5"/>
      <c r="P37" s="88"/>
      <c r="Q37" s="95"/>
    </row>
    <row r="38" spans="4:17" s="2" customFormat="1" ht="12" customHeight="1">
      <c r="D38" s="22"/>
      <c r="E38" s="22"/>
      <c r="J38" s="5"/>
      <c r="K38" s="5"/>
      <c r="L38" s="5"/>
      <c r="M38" s="5"/>
      <c r="N38" s="5"/>
      <c r="O38" s="5"/>
      <c r="P38" s="88"/>
      <c r="Q38" s="95"/>
    </row>
    <row r="39" spans="4:17" s="2" customFormat="1" ht="12" customHeight="1">
      <c r="D39" s="22"/>
      <c r="E39" s="22"/>
      <c r="J39" s="5"/>
      <c r="K39" s="5"/>
      <c r="L39" s="5"/>
      <c r="M39" s="5"/>
      <c r="N39" s="5"/>
      <c r="O39" s="5"/>
      <c r="P39" s="88"/>
      <c r="Q39" s="95"/>
    </row>
    <row r="40" spans="4:17" s="2" customFormat="1" ht="12" customHeight="1">
      <c r="D40" s="22"/>
      <c r="E40" s="22"/>
      <c r="J40" s="5"/>
      <c r="K40" s="5"/>
      <c r="L40" s="5"/>
      <c r="M40" s="5"/>
      <c r="N40" s="5"/>
      <c r="O40" s="5"/>
      <c r="P40" s="88"/>
      <c r="Q40" s="95"/>
    </row>
    <row r="41" spans="4:17" s="2" customFormat="1" ht="12" customHeight="1">
      <c r="D41" s="22"/>
      <c r="E41" s="22"/>
      <c r="J41" s="5"/>
      <c r="K41" s="5"/>
      <c r="L41" s="5"/>
      <c r="M41" s="5"/>
      <c r="N41" s="5"/>
      <c r="O41" s="5"/>
      <c r="P41" s="88"/>
      <c r="Q41" s="95"/>
    </row>
    <row r="42" spans="4:17" s="2" customFormat="1" ht="12" customHeight="1">
      <c r="D42" s="22"/>
      <c r="E42" s="22"/>
      <c r="J42" s="5"/>
      <c r="K42" s="5"/>
      <c r="L42" s="5"/>
      <c r="M42" s="5"/>
      <c r="N42" s="5"/>
      <c r="O42" s="5"/>
      <c r="P42" s="88"/>
      <c r="Q42" s="95"/>
    </row>
    <row r="43" spans="4:17" s="2" customFormat="1" ht="12" customHeight="1">
      <c r="D43" s="22"/>
      <c r="E43" s="22"/>
      <c r="J43" s="5"/>
      <c r="K43" s="5"/>
      <c r="L43" s="5"/>
      <c r="M43" s="5"/>
      <c r="N43" s="5"/>
      <c r="O43" s="5"/>
      <c r="P43" s="88"/>
      <c r="Q43" s="95"/>
    </row>
    <row r="44" spans="4:17" s="2" customFormat="1" ht="12" customHeight="1">
      <c r="D44" s="22"/>
      <c r="E44" s="22"/>
      <c r="J44" s="5"/>
      <c r="K44" s="5"/>
      <c r="L44" s="5"/>
      <c r="M44" s="5"/>
      <c r="N44" s="5"/>
      <c r="O44" s="5"/>
      <c r="P44" s="88"/>
      <c r="Q44" s="95"/>
    </row>
    <row r="45" spans="4:17" s="2" customFormat="1" ht="12" customHeight="1">
      <c r="D45" s="22"/>
      <c r="E45" s="22"/>
      <c r="J45" s="5"/>
      <c r="K45" s="5"/>
      <c r="L45" s="5"/>
      <c r="M45" s="5"/>
      <c r="N45" s="5"/>
      <c r="O45" s="5"/>
      <c r="P45" s="88"/>
      <c r="Q45" s="95"/>
    </row>
    <row r="46" spans="4:17" s="2" customFormat="1" ht="12" customHeight="1">
      <c r="D46" s="22"/>
      <c r="E46" s="22"/>
      <c r="J46" s="5"/>
      <c r="K46" s="5"/>
      <c r="L46" s="5"/>
      <c r="M46" s="5"/>
      <c r="N46" s="5"/>
      <c r="O46" s="5"/>
      <c r="P46" s="88"/>
      <c r="Q46" s="95"/>
    </row>
    <row r="47" spans="4:17" s="2" customFormat="1" ht="12" customHeight="1">
      <c r="D47" s="22"/>
      <c r="E47" s="22"/>
      <c r="J47" s="5"/>
      <c r="K47" s="5"/>
      <c r="L47" s="5"/>
      <c r="M47" s="5"/>
      <c r="N47" s="5"/>
      <c r="O47" s="5"/>
      <c r="P47" s="88"/>
      <c r="Q47" s="95"/>
    </row>
    <row r="48" spans="4:17" s="2" customFormat="1" ht="12" customHeight="1">
      <c r="D48" s="22"/>
      <c r="E48" s="22"/>
      <c r="J48" s="5"/>
      <c r="K48" s="5"/>
      <c r="L48" s="5"/>
      <c r="M48" s="5"/>
      <c r="N48" s="5"/>
      <c r="O48" s="5"/>
      <c r="P48" s="88"/>
      <c r="Q48" s="95"/>
    </row>
    <row r="49" spans="1:17" s="2" customFormat="1" ht="12" customHeight="1">
      <c r="D49" s="22"/>
      <c r="E49" s="22"/>
      <c r="J49" s="5"/>
      <c r="K49" s="5"/>
      <c r="L49" s="5"/>
      <c r="M49" s="5"/>
      <c r="N49" s="5"/>
      <c r="O49" s="5"/>
      <c r="P49" s="88"/>
      <c r="Q49" s="95"/>
    </row>
    <row r="50" spans="1:17" s="2" customFormat="1" ht="12" customHeight="1">
      <c r="D50" s="22"/>
      <c r="E50" s="22"/>
      <c r="J50" s="5"/>
      <c r="K50" s="5"/>
      <c r="L50" s="5"/>
      <c r="M50" s="5"/>
      <c r="N50" s="5"/>
      <c r="O50" s="5"/>
      <c r="P50" s="88"/>
      <c r="Q50" s="95"/>
    </row>
    <row r="51" spans="1:17" s="2" customFormat="1" ht="12" customHeight="1">
      <c r="D51" s="22"/>
      <c r="E51" s="22"/>
      <c r="J51" s="5"/>
      <c r="K51" s="5"/>
      <c r="L51" s="5"/>
      <c r="M51" s="5"/>
      <c r="N51" s="5"/>
      <c r="O51" s="5"/>
      <c r="P51" s="88"/>
      <c r="Q51" s="95"/>
    </row>
    <row r="52" spans="1:17" s="2" customFormat="1" ht="12" customHeight="1">
      <c r="D52" s="22"/>
      <c r="E52" s="22"/>
      <c r="J52" s="5"/>
      <c r="K52" s="5"/>
      <c r="L52" s="5"/>
      <c r="M52" s="5"/>
      <c r="N52" s="5"/>
      <c r="O52" s="5"/>
      <c r="P52" s="88"/>
      <c r="Q52" s="95"/>
    </row>
    <row r="53" spans="1:17" s="2" customFormat="1" ht="12" customHeight="1">
      <c r="D53" s="22"/>
      <c r="E53" s="22"/>
      <c r="J53" s="5"/>
      <c r="K53" s="5"/>
      <c r="L53" s="5"/>
      <c r="M53" s="5"/>
      <c r="N53" s="5"/>
      <c r="O53" s="5"/>
      <c r="P53" s="88"/>
      <c r="Q53" s="95"/>
    </row>
    <row r="54" spans="1:17" s="2" customFormat="1" ht="12" customHeight="1">
      <c r="D54" s="22"/>
      <c r="E54" s="22"/>
      <c r="J54" s="5"/>
      <c r="K54" s="5"/>
      <c r="L54" s="5"/>
      <c r="M54" s="5"/>
      <c r="N54" s="5"/>
      <c r="O54" s="5"/>
      <c r="P54" s="88"/>
      <c r="Q54" s="95"/>
    </row>
    <row r="55" spans="1:17" s="2" customFormat="1" ht="12" customHeight="1">
      <c r="D55" s="22"/>
      <c r="E55" s="22"/>
      <c r="J55" s="5"/>
      <c r="K55" s="5"/>
      <c r="L55" s="5"/>
      <c r="M55" s="5"/>
      <c r="N55" s="5"/>
      <c r="O55" s="5"/>
      <c r="P55" s="88"/>
      <c r="Q55" s="95"/>
    </row>
    <row r="56" spans="1:17" s="2" customFormat="1" ht="12" customHeight="1">
      <c r="D56" s="22"/>
      <c r="E56" s="22"/>
      <c r="J56" s="5"/>
      <c r="K56" s="5"/>
      <c r="L56" s="5"/>
      <c r="M56" s="5"/>
      <c r="N56" s="5"/>
      <c r="O56" s="5"/>
      <c r="P56" s="88"/>
      <c r="Q56" s="95"/>
    </row>
    <row r="57" spans="1:17" s="2" customFormat="1" ht="12" customHeight="1">
      <c r="D57" s="22"/>
      <c r="E57" s="22"/>
      <c r="J57" s="5"/>
      <c r="K57" s="5"/>
      <c r="L57" s="5"/>
      <c r="M57" s="5"/>
      <c r="N57" s="5"/>
      <c r="O57" s="5"/>
      <c r="P57" s="88"/>
      <c r="Q57" s="95"/>
    </row>
    <row r="58" spans="1:17" s="2" customFormat="1" ht="12" customHeight="1">
      <c r="D58" s="22"/>
      <c r="E58" s="22"/>
      <c r="J58" s="5"/>
      <c r="K58" s="5"/>
      <c r="L58" s="5"/>
      <c r="M58" s="5"/>
      <c r="N58" s="5"/>
      <c r="O58" s="5"/>
      <c r="P58" s="88"/>
      <c r="Q58" s="96"/>
    </row>
    <row r="59" spans="1:17" s="2" customFormat="1" ht="12" customHeight="1">
      <c r="D59" s="22"/>
      <c r="E59" s="22"/>
      <c r="J59" s="5"/>
      <c r="K59" s="5"/>
      <c r="L59" s="5"/>
      <c r="M59" s="5"/>
      <c r="N59" s="5"/>
      <c r="O59" s="5"/>
      <c r="P59" s="88"/>
      <c r="Q59" s="96"/>
    </row>
    <row r="60" spans="1:17" s="2" customFormat="1" ht="12" customHeight="1">
      <c r="D60" s="22"/>
      <c r="E60" s="22"/>
      <c r="J60" s="5"/>
      <c r="K60" s="5"/>
      <c r="L60" s="5"/>
      <c r="M60" s="5"/>
      <c r="N60" s="5"/>
      <c r="O60" s="5"/>
      <c r="P60" s="88"/>
      <c r="Q60" s="96"/>
    </row>
    <row r="61" spans="1:17" s="2" customFormat="1" ht="12" customHeight="1">
      <c r="D61" s="22"/>
      <c r="E61" s="22"/>
      <c r="J61" s="5"/>
      <c r="K61" s="5"/>
      <c r="L61" s="5"/>
      <c r="M61" s="5"/>
      <c r="N61" s="5"/>
      <c r="O61" s="5"/>
      <c r="P61" s="88"/>
      <c r="Q61" s="96"/>
    </row>
    <row r="62" spans="1:17" s="2" customFormat="1" ht="12" customHeight="1">
      <c r="A62"/>
      <c r="B62"/>
      <c r="C62"/>
      <c r="D62" s="23"/>
      <c r="E62" s="23"/>
      <c r="F62"/>
      <c r="G62"/>
      <c r="H62"/>
      <c r="I62"/>
      <c r="J62" s="19"/>
      <c r="K62" s="19"/>
      <c r="L62" s="19"/>
      <c r="M62" s="19"/>
      <c r="N62" s="19"/>
      <c r="O62" s="19"/>
      <c r="P62" s="90"/>
      <c r="Q62" s="96"/>
    </row>
    <row r="63" spans="1:17" s="2" customFormat="1" ht="12" customHeight="1">
      <c r="A63"/>
      <c r="B63"/>
      <c r="C63"/>
      <c r="D63" s="23"/>
      <c r="E63" s="23"/>
      <c r="F63"/>
      <c r="G63"/>
      <c r="H63"/>
      <c r="I63"/>
      <c r="J63" s="19"/>
      <c r="K63" s="19"/>
      <c r="L63" s="19"/>
      <c r="M63" s="19"/>
      <c r="N63" s="19"/>
      <c r="O63" s="19"/>
      <c r="P63" s="90"/>
      <c r="Q63" s="96"/>
    </row>
    <row r="64" spans="1:17" s="2" customFormat="1" ht="12" customHeight="1">
      <c r="A64"/>
      <c r="B64"/>
      <c r="C64"/>
      <c r="D64" s="23"/>
      <c r="E64" s="23"/>
      <c r="F64"/>
      <c r="G64"/>
      <c r="H64"/>
      <c r="I64"/>
      <c r="J64" s="19"/>
      <c r="K64" s="19"/>
      <c r="L64" s="19"/>
      <c r="M64" s="19"/>
      <c r="N64" s="19"/>
      <c r="O64" s="19"/>
      <c r="P64" s="90"/>
      <c r="Q64" s="96"/>
    </row>
    <row r="65" spans="1:17" s="2" customFormat="1" ht="12" customHeight="1">
      <c r="A65"/>
      <c r="B65"/>
      <c r="C65"/>
      <c r="D65" s="23"/>
      <c r="E65" s="23"/>
      <c r="F65"/>
      <c r="G65"/>
      <c r="H65"/>
      <c r="I65"/>
      <c r="J65" s="19"/>
      <c r="K65" s="19"/>
      <c r="L65" s="19"/>
      <c r="M65" s="19"/>
      <c r="N65" s="19"/>
      <c r="O65" s="19"/>
      <c r="P65" s="90"/>
      <c r="Q65" s="96"/>
    </row>
    <row r="66" spans="1:17" s="2" customFormat="1" ht="12" customHeight="1">
      <c r="A66"/>
      <c r="B66"/>
      <c r="C66"/>
      <c r="D66" s="23"/>
      <c r="E66" s="23"/>
      <c r="F66"/>
      <c r="G66"/>
      <c r="H66"/>
      <c r="I66"/>
      <c r="J66" s="19"/>
      <c r="K66" s="19"/>
      <c r="L66" s="19"/>
      <c r="M66" s="19"/>
      <c r="N66" s="19"/>
      <c r="O66" s="19"/>
      <c r="P66" s="90"/>
      <c r="Q66" s="96"/>
    </row>
    <row r="67" spans="1:17">
      <c r="Q67" s="96"/>
    </row>
    <row r="68" spans="1:17">
      <c r="Q68" s="96"/>
    </row>
    <row r="69" spans="1:17">
      <c r="Q69" s="96"/>
    </row>
    <row r="70" spans="1:17">
      <c r="Q70" s="96"/>
    </row>
    <row r="71" spans="1:17">
      <c r="Q71" s="96"/>
    </row>
    <row r="72" spans="1:17">
      <c r="Q72" s="96"/>
    </row>
    <row r="73" spans="1:17">
      <c r="Q73" s="96"/>
    </row>
    <row r="74" spans="1:17">
      <c r="Q74" s="96"/>
    </row>
    <row r="75" spans="1:17">
      <c r="Q75" s="96"/>
    </row>
    <row r="76" spans="1:17">
      <c r="Q76" s="96"/>
    </row>
    <row r="77" spans="1:17">
      <c r="Q77" s="96"/>
    </row>
    <row r="78" spans="1:17">
      <c r="Q78" s="96"/>
    </row>
    <row r="79" spans="1:17">
      <c r="Q79" s="96"/>
    </row>
    <row r="80" spans="1:17">
      <c r="Q80" s="96"/>
    </row>
    <row r="81" spans="17:17">
      <c r="Q81" s="96"/>
    </row>
    <row r="82" spans="17:17">
      <c r="Q82" s="96"/>
    </row>
    <row r="83" spans="17:17">
      <c r="Q83" s="96"/>
    </row>
    <row r="84" spans="17:17">
      <c r="Q84" s="96"/>
    </row>
    <row r="85" spans="17:17">
      <c r="Q85" s="96"/>
    </row>
    <row r="86" spans="17:17">
      <c r="Q86" s="96"/>
    </row>
    <row r="123" ht="12" customHeight="1"/>
    <row r="124" ht="12" customHeight="1"/>
    <row r="125" ht="12" customHeight="1"/>
    <row r="126" ht="12" customHeight="1"/>
    <row r="127" ht="12" customHeight="1"/>
    <row r="128" ht="12" customHeight="1"/>
    <row r="129" ht="12" customHeight="1"/>
    <row r="130" ht="12" customHeight="1"/>
    <row r="131" ht="12" customHeight="1"/>
    <row r="132" ht="12" customHeight="1"/>
    <row r="133" ht="12" customHeight="1"/>
    <row r="134" ht="12" customHeight="1"/>
    <row r="135" ht="12" customHeight="1"/>
    <row r="136" ht="12" customHeight="1"/>
    <row r="137" ht="12" customHeight="1"/>
    <row r="138" ht="12" customHeight="1"/>
    <row r="139" ht="12" customHeight="1"/>
    <row r="140" ht="12" customHeight="1"/>
    <row r="141" ht="12" customHeight="1"/>
    <row r="142" ht="12" customHeight="1"/>
    <row r="143" ht="12" customHeight="1"/>
    <row r="144" ht="12" customHeight="1"/>
    <row r="145" ht="12" customHeight="1"/>
    <row r="146" ht="12" customHeight="1"/>
    <row r="147" ht="12" customHeight="1"/>
    <row r="148" ht="12" customHeight="1"/>
    <row r="149" ht="12" customHeight="1"/>
    <row r="150" ht="12" customHeight="1"/>
    <row r="151" ht="12" customHeight="1"/>
    <row r="152" ht="12" customHeight="1"/>
    <row r="153" ht="12" customHeight="1"/>
    <row r="154" ht="12" customHeight="1"/>
    <row r="155" ht="12" customHeight="1"/>
    <row r="156" ht="12" customHeight="1"/>
    <row r="157" ht="12" customHeight="1"/>
    <row r="158" ht="12" customHeight="1"/>
    <row r="159" ht="12" customHeight="1"/>
    <row r="160" ht="12" customHeight="1"/>
    <row r="161" ht="12" customHeight="1"/>
    <row r="162" ht="12" customHeight="1"/>
    <row r="163" ht="12" customHeight="1"/>
    <row r="164" ht="12" customHeight="1"/>
    <row r="165" ht="12" customHeight="1"/>
    <row r="166" ht="12" customHeight="1"/>
    <row r="167" ht="12" customHeight="1"/>
    <row r="168" ht="12" customHeight="1"/>
    <row r="169" ht="12" customHeight="1"/>
    <row r="170" ht="12" customHeight="1"/>
    <row r="171" ht="12" customHeight="1"/>
    <row r="172" ht="12" customHeight="1"/>
  </sheetData>
  <mergeCells count="21">
    <mergeCell ref="D7:E7"/>
    <mergeCell ref="D8:E8"/>
    <mergeCell ref="D1:E1"/>
    <mergeCell ref="D4:E4"/>
    <mergeCell ref="H4:I4"/>
    <mergeCell ref="D5:E5"/>
    <mergeCell ref="D6:E6"/>
    <mergeCell ref="D13:E13"/>
    <mergeCell ref="D14:E14"/>
    <mergeCell ref="D15:E15"/>
    <mergeCell ref="H15:I15"/>
    <mergeCell ref="D9:E9"/>
    <mergeCell ref="H9:I9"/>
    <mergeCell ref="D10:E10"/>
    <mergeCell ref="D11:E11"/>
    <mergeCell ref="D12:E12"/>
    <mergeCell ref="D16:E16"/>
    <mergeCell ref="D17:E17"/>
    <mergeCell ref="D18:E18"/>
    <mergeCell ref="D19:E19"/>
    <mergeCell ref="H19:I19"/>
  </mergeCells>
  <conditionalFormatting sqref="M5:M8 M10:M14 M16:M18">
    <cfRule type="cellIs" dxfId="218" priority="5" stopIfTrue="1" operator="lessThanOrEqual">
      <formula>$L5</formula>
    </cfRule>
    <cfRule type="cellIs" dxfId="217" priority="6" operator="greaterThan">
      <formula>L5</formula>
    </cfRule>
  </conditionalFormatting>
  <pageMargins left="0.7" right="0.7" top="0.75" bottom="0.75" header="0.3" footer="0.3"/>
  <pageSetup paperSize="3" fitToHeight="0" orientation="landscape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A45F2E86-14CA-4C0F-AF03-A28A54442ECF}">
          <x14:formula1>
            <xm:f>Bolts!$A:$A</xm:f>
          </x14:formula1>
          <xm:sqref>C16:C18</xm:sqref>
        </x14:dataValidation>
        <x14:dataValidation type="list" allowBlank="1" showInputMessage="1" showErrorMessage="1" xr:uid="{6E3B60E4-7D25-4453-9453-7E2A61E2D0CE}">
          <x14:formula1>
            <xm:f>Purchased!$A:$A</xm:f>
          </x14:formula1>
          <xm:sqref>C10:C14</xm:sqref>
        </x14:dataValidation>
        <x14:dataValidation type="list" allowBlank="1" showInputMessage="1" showErrorMessage="1" xr:uid="{8945EDF0-1F6F-4F8B-8CBB-19BCE8504A51}">
          <x14:formula1>
            <xm:f>Machined!$C:$C</xm:f>
          </x14:formula1>
          <xm:sqref>C5:C8</xm:sqref>
        </x14:dataValidation>
      </x14:dataValidations>
    </ext>
  </extLst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09BA03-8072-4518-91FC-ADF7F7C35063}">
  <sheetPr codeName="Sheet127">
    <tabColor theme="3" tint="0.79998168889431442"/>
    <pageSetUpPr fitToPage="1"/>
  </sheetPr>
  <dimension ref="A1:Q172"/>
  <sheetViews>
    <sheetView zoomScaleNormal="100" workbookViewId="0">
      <selection activeCell="D23" sqref="D23"/>
    </sheetView>
  </sheetViews>
  <sheetFormatPr defaultColWidth="9.140625" defaultRowHeight="15"/>
  <cols>
    <col min="1" max="1" width="5.7109375" customWidth="1"/>
    <col min="2" max="2" width="5.42578125" bestFit="1" customWidth="1"/>
    <col min="3" max="3" width="30.7109375" customWidth="1"/>
    <col min="4" max="5" width="20.7109375" style="23" customWidth="1"/>
    <col min="6" max="6" width="16.85546875" bestFit="1" customWidth="1"/>
    <col min="7" max="7" width="9.7109375" customWidth="1"/>
    <col min="8" max="8" width="8.7109375" customWidth="1"/>
    <col min="9" max="9" width="20.7109375" customWidth="1"/>
    <col min="10" max="13" width="11.7109375" style="19" customWidth="1"/>
    <col min="14" max="14" width="11.85546875" style="19" bestFit="1" customWidth="1"/>
    <col min="15" max="15" width="7.7109375" style="19" customWidth="1"/>
    <col min="16" max="16" width="10.7109375" style="90" customWidth="1"/>
    <col min="17" max="17" width="10.7109375" style="97" customWidth="1"/>
  </cols>
  <sheetData>
    <row r="1" spans="1:17" s="55" customFormat="1" ht="12" customHeight="1">
      <c r="A1" s="68" t="s">
        <v>0</v>
      </c>
      <c r="B1" s="69"/>
      <c r="C1" s="69"/>
      <c r="D1" s="262" t="s">
        <v>1</v>
      </c>
      <c r="E1" s="263"/>
      <c r="F1" s="70"/>
      <c r="G1" s="69"/>
      <c r="H1" s="70"/>
      <c r="I1" s="71"/>
      <c r="J1" s="72"/>
      <c r="K1" s="72"/>
      <c r="L1" s="72"/>
      <c r="M1" s="72"/>
      <c r="N1" s="72"/>
      <c r="O1" s="72"/>
      <c r="P1" s="85"/>
      <c r="Q1" s="91"/>
    </row>
    <row r="2" spans="1:17" s="55" customFormat="1" ht="12" customHeight="1">
      <c r="A2" s="74" t="s">
        <v>48</v>
      </c>
      <c r="B2" s="58"/>
      <c r="C2" s="57" t="e">
        <f ca="1">VLOOKUP(E3,Assemblies!B:F,4,0)</f>
        <v>#VALUE!</v>
      </c>
      <c r="D2" s="75" t="s">
        <v>3</v>
      </c>
      <c r="E2" s="76" t="e">
        <f ca="1">'GF12'!E2</f>
        <v>#VALUE!</v>
      </c>
      <c r="F2" s="77" t="s">
        <v>4</v>
      </c>
      <c r="G2" s="58" t="str">
        <f>'GF12'!G2</f>
        <v>GH</v>
      </c>
      <c r="H2" s="77" t="s">
        <v>6</v>
      </c>
      <c r="I2" s="59">
        <f>'GF12'!I2</f>
        <v>44775</v>
      </c>
      <c r="J2" s="39"/>
      <c r="K2" s="40" t="s">
        <v>49</v>
      </c>
      <c r="L2" s="41" t="e">
        <f ca="1">VLOOKUP(C2,Assemblies!E:G,3,0)</f>
        <v>#VALUE!</v>
      </c>
      <c r="M2" s="78"/>
      <c r="N2" s="78"/>
      <c r="O2" s="78"/>
      <c r="P2" s="86"/>
      <c r="Q2" s="92"/>
    </row>
    <row r="3" spans="1:17" s="55" customFormat="1" ht="12" customHeight="1" thickBot="1">
      <c r="A3" s="74" t="s">
        <v>7</v>
      </c>
      <c r="B3" s="58"/>
      <c r="C3" s="57" t="e">
        <f ca="1">VLOOKUP(E3,Assemblies!B:F,5,0)</f>
        <v>#VALUE!</v>
      </c>
      <c r="D3" s="75" t="s">
        <v>50</v>
      </c>
      <c r="E3" s="76" t="e">
        <f ca="1">MID(CELL("filename",A1),FIND("]",CELL("filename",A1))+1,256)</f>
        <v>#VALUE!</v>
      </c>
      <c r="F3" s="77" t="s">
        <v>11</v>
      </c>
      <c r="G3" s="58" t="str">
        <f>'GF12'!G3</f>
        <v>GH</v>
      </c>
      <c r="H3" s="77" t="s">
        <v>6</v>
      </c>
      <c r="I3" s="59">
        <f>'GF12'!I3</f>
        <v>44775</v>
      </c>
      <c r="J3" s="78"/>
      <c r="K3" s="78"/>
      <c r="L3" s="78"/>
      <c r="M3" s="78"/>
      <c r="N3" s="78"/>
      <c r="O3" s="78"/>
      <c r="P3" s="86"/>
      <c r="Q3" s="92"/>
    </row>
    <row r="4" spans="1:17" s="56" customFormat="1" ht="12.75" customHeight="1" thickBot="1">
      <c r="A4" s="80" t="s">
        <v>12</v>
      </c>
      <c r="B4" s="81" t="s">
        <v>13</v>
      </c>
      <c r="C4" s="81" t="s">
        <v>14</v>
      </c>
      <c r="D4" s="270" t="s">
        <v>15</v>
      </c>
      <c r="E4" s="271"/>
      <c r="F4" s="104" t="s">
        <v>16</v>
      </c>
      <c r="G4" s="81" t="s">
        <v>17</v>
      </c>
      <c r="H4" s="260" t="s">
        <v>18</v>
      </c>
      <c r="I4" s="261"/>
      <c r="J4" s="81" t="s">
        <v>51</v>
      </c>
      <c r="K4" s="81" t="s">
        <v>20</v>
      </c>
      <c r="L4" s="81" t="s">
        <v>21</v>
      </c>
      <c r="M4" s="81" t="s">
        <v>52</v>
      </c>
      <c r="N4" s="81" t="s">
        <v>22</v>
      </c>
      <c r="O4" s="81" t="s">
        <v>53</v>
      </c>
      <c r="P4" s="107" t="s">
        <v>26</v>
      </c>
      <c r="Q4" s="82" t="s">
        <v>27</v>
      </c>
    </row>
    <row r="5" spans="1:17" s="2" customFormat="1" ht="12.75" customHeight="1">
      <c r="A5" s="127">
        <v>1</v>
      </c>
      <c r="B5" s="21">
        <v>1</v>
      </c>
      <c r="C5" s="108" t="s">
        <v>1273</v>
      </c>
      <c r="D5" s="277" t="str">
        <f>VLOOKUP(C5,Machined!C:Q,2,0)</f>
        <v>Cylinder Stop Base</v>
      </c>
      <c r="E5" s="278"/>
      <c r="F5" s="131" t="str">
        <f>VLOOKUP(C5,Machined!C:R,7,0)</f>
        <v>1018 COLD ROLLED STEEL</v>
      </c>
      <c r="G5" s="131" t="str">
        <f>VLOOKUP(C5,Machined!C:R,10,0)</f>
        <v>DETAILED MACH</v>
      </c>
      <c r="H5" s="131" t="str">
        <f>VLOOKUP(C5,Machined!C:R,11,0)</f>
        <v>shipped 9/25/23</v>
      </c>
      <c r="I5" s="131"/>
      <c r="J5" s="42">
        <f>VLOOKUP(C5,Machined!C:R,12,0)</f>
        <v>45156</v>
      </c>
      <c r="K5" s="42">
        <f>VLOOKUP(C5,Machined!C:R,13,0)</f>
        <v>45162</v>
      </c>
      <c r="L5" s="42">
        <f>VLOOKUP(C5,Machined!C:R,14,0)</f>
        <v>45190</v>
      </c>
      <c r="M5" s="42">
        <f>VLOOKUP(C5,Machined!C:R,15,0)</f>
        <v>45190</v>
      </c>
      <c r="N5" s="43">
        <f>VLOOKUP(C5,Machined!C:R,16,0)</f>
        <v>55101</v>
      </c>
      <c r="O5" s="43" t="e">
        <f t="shared" ref="O5:O8" ca="1" si="0">B5*$L$2</f>
        <v>#VALUE!</v>
      </c>
      <c r="P5" s="47">
        <f>IFERROR(VLOOKUP(C5,Machined!C:F,3,0),"")</f>
        <v>0</v>
      </c>
      <c r="Q5" s="48">
        <f t="shared" ref="Q5:Q8" si="1">IFERROR(B5*P5,"")</f>
        <v>0</v>
      </c>
    </row>
    <row r="6" spans="1:17" s="2" customFormat="1" ht="12.75" customHeight="1">
      <c r="A6" s="127">
        <v>2</v>
      </c>
      <c r="B6" s="21">
        <v>1</v>
      </c>
      <c r="C6" s="108" t="s">
        <v>1274</v>
      </c>
      <c r="D6" s="277" t="str">
        <f>VLOOKUP(C6,Machined!C:Q,2,0)</f>
        <v>Stop Adjustment Block</v>
      </c>
      <c r="E6" s="278"/>
      <c r="F6" s="131" t="str">
        <f>VLOOKUP(C6,Machined!C:R,7,0)</f>
        <v>1018 COLD ROLLED STEEL</v>
      </c>
      <c r="G6" s="131" t="str">
        <f>VLOOKUP(C6,Machined!C:R,10,0)</f>
        <v>DETAILED MACH</v>
      </c>
      <c r="H6" s="131" t="str">
        <f>VLOOKUP(C6,Machined!C:R,11,0)</f>
        <v>shipped 9/29/23</v>
      </c>
      <c r="I6" s="131"/>
      <c r="J6" s="42">
        <f>VLOOKUP(C6,Machined!C:R,12,0)</f>
        <v>45156</v>
      </c>
      <c r="K6" s="42">
        <f>VLOOKUP(C6,Machined!C:R,13,0)</f>
        <v>45162</v>
      </c>
      <c r="L6" s="42">
        <f>VLOOKUP(C6,Machined!C:R,14,0)</f>
        <v>45190</v>
      </c>
      <c r="M6" s="42">
        <f>VLOOKUP(C6,Machined!C:R,15,0)</f>
        <v>45190</v>
      </c>
      <c r="N6" s="43">
        <f>VLOOKUP(C6,Machined!C:R,16,0)</f>
        <v>55101</v>
      </c>
      <c r="O6" s="43" t="e">
        <f t="shared" ca="1" si="0"/>
        <v>#VALUE!</v>
      </c>
      <c r="P6" s="47">
        <f>IFERROR(VLOOKUP(C6,Machined!C:F,3,0),"")</f>
        <v>0</v>
      </c>
      <c r="Q6" s="48">
        <f t="shared" si="1"/>
        <v>0</v>
      </c>
    </row>
    <row r="7" spans="1:17" s="2" customFormat="1" ht="12.75" customHeight="1">
      <c r="A7" s="127">
        <v>3</v>
      </c>
      <c r="B7" s="21">
        <v>1</v>
      </c>
      <c r="C7" s="108" t="s">
        <v>1275</v>
      </c>
      <c r="D7" s="277" t="str">
        <f>VLOOKUP(C7,Machined!C:Q,2,0)</f>
        <v>Cylinder Stop</v>
      </c>
      <c r="E7" s="278"/>
      <c r="F7" s="131" t="str">
        <f>VLOOKUP(C7,Machined!C:R,7,0)</f>
        <v>1018 COLD ROLLED STEEL</v>
      </c>
      <c r="G7" s="131" t="str">
        <f>VLOOKUP(C7,Machined!C:R,10,0)</f>
        <v>DETAILED MACH</v>
      </c>
      <c r="H7" s="131" t="str">
        <f>VLOOKUP(C7,Machined!C:R,11,0)</f>
        <v>shipped 9/29/23</v>
      </c>
      <c r="I7" s="131"/>
      <c r="J7" s="42">
        <f>VLOOKUP(C7,Machined!C:R,12,0)</f>
        <v>45156</v>
      </c>
      <c r="K7" s="42">
        <f>VLOOKUP(C7,Machined!C:R,13,0)</f>
        <v>45162</v>
      </c>
      <c r="L7" s="42">
        <f>VLOOKUP(C7,Machined!C:R,14,0)</f>
        <v>45190</v>
      </c>
      <c r="M7" s="42">
        <f>VLOOKUP(C7,Machined!C:R,15,0)</f>
        <v>45190</v>
      </c>
      <c r="N7" s="43">
        <f>VLOOKUP(C7,Machined!C:R,16,0)</f>
        <v>55101</v>
      </c>
      <c r="O7" s="43" t="e">
        <f t="shared" ca="1" si="0"/>
        <v>#VALUE!</v>
      </c>
      <c r="P7" s="47">
        <f>IFERROR(VLOOKUP(C7,Machined!C:F,3,0),"")</f>
        <v>0</v>
      </c>
      <c r="Q7" s="48">
        <f t="shared" si="1"/>
        <v>0</v>
      </c>
    </row>
    <row r="8" spans="1:17" s="2" customFormat="1" ht="12.75" customHeight="1">
      <c r="A8" s="127">
        <v>4</v>
      </c>
      <c r="B8" s="21">
        <v>2</v>
      </c>
      <c r="C8" s="108" t="s">
        <v>1276</v>
      </c>
      <c r="D8" s="277" t="str">
        <f>VLOOKUP(C8,Machined!C:Q,2,0)</f>
        <v>Cylinder Stop Clamp</v>
      </c>
      <c r="E8" s="278"/>
      <c r="F8" s="131" t="str">
        <f>VLOOKUP(C8,Machined!C:R,7,0)</f>
        <v>1018 COLD ROLLED STEEL</v>
      </c>
      <c r="G8" s="131" t="str">
        <f>VLOOKUP(C8,Machined!C:R,10,0)</f>
        <v>DETAILED MACH</v>
      </c>
      <c r="H8" s="131" t="str">
        <f>VLOOKUP(C8,Machined!C:R,11,0)</f>
        <v>shipped 9/25/23</v>
      </c>
      <c r="I8" s="131"/>
      <c r="J8" s="42">
        <f>VLOOKUP(C8,Machined!C:R,12,0)</f>
        <v>45156</v>
      </c>
      <c r="K8" s="42">
        <f>VLOOKUP(C8,Machined!C:R,13,0)</f>
        <v>45162</v>
      </c>
      <c r="L8" s="42">
        <f>VLOOKUP(C8,Machined!C:R,14,0)</f>
        <v>45190</v>
      </c>
      <c r="M8" s="42">
        <f>VLOOKUP(C8,Machined!C:R,15,0)</f>
        <v>45190</v>
      </c>
      <c r="N8" s="43">
        <f>VLOOKUP(C8,Machined!C:R,16,0)</f>
        <v>55101</v>
      </c>
      <c r="O8" s="43" t="e">
        <f t="shared" ca="1" si="0"/>
        <v>#VALUE!</v>
      </c>
      <c r="P8" s="47">
        <f>IFERROR(VLOOKUP(C8,Machined!C:F,3,0),"")</f>
        <v>0</v>
      </c>
      <c r="Q8" s="48">
        <f t="shared" si="1"/>
        <v>0</v>
      </c>
    </row>
    <row r="9" spans="1:17" s="2" customFormat="1" ht="12.75" customHeight="1">
      <c r="A9" s="143"/>
      <c r="B9" s="26"/>
      <c r="C9" s="26"/>
      <c r="D9" s="272"/>
      <c r="E9" s="273"/>
      <c r="F9" s="26"/>
      <c r="G9" s="26"/>
      <c r="H9" s="274"/>
      <c r="I9" s="275"/>
      <c r="J9" s="27"/>
      <c r="K9" s="27"/>
      <c r="L9" s="27"/>
      <c r="M9" s="28"/>
      <c r="N9" s="29"/>
      <c r="O9" s="29"/>
      <c r="P9" s="141"/>
      <c r="Q9" s="142"/>
    </row>
    <row r="10" spans="1:17" s="2" customFormat="1" ht="12.75" customHeight="1">
      <c r="A10" s="4">
        <v>301</v>
      </c>
      <c r="B10" s="2">
        <v>1</v>
      </c>
      <c r="C10" s="114" t="s">
        <v>818</v>
      </c>
      <c r="D10" s="268" t="str">
        <f>VLOOKUP(C10,Purchased!A:B,2,0)</f>
        <v xml:space="preserve">KEYENCE PR-G4ACP Diffuse reflective long distance </v>
      </c>
      <c r="E10" s="269"/>
      <c r="F10" s="112" t="str">
        <f>VLOOKUP(C10,Purchased!A:Q,9,0)</f>
        <v>KEYENCE</v>
      </c>
      <c r="G10" s="112" t="str">
        <f>VLOOKUP(C10,Purchased!A:Q,10,0)</f>
        <v>KEYENCE</v>
      </c>
      <c r="H10" s="112" t="str">
        <f>VLOOKUP(C10,Purchased!A:Q,12,0)</f>
        <v xml:space="preserve"> </v>
      </c>
      <c r="I10" s="113"/>
      <c r="J10" s="44">
        <f>VLOOKUP(C10,Purchased!A:Q,13,0)</f>
        <v>45154</v>
      </c>
      <c r="K10" s="44">
        <f>VLOOKUP(C10,Purchased!A:Q,16,0)</f>
        <v>45184</v>
      </c>
      <c r="L10" s="44">
        <f>VLOOKUP(C10,Purchased!A:Q,15,0)</f>
        <v>45191</v>
      </c>
      <c r="M10" s="44">
        <f>VLOOKUP(C10,Purchased!A:Q,16,0)</f>
        <v>45184</v>
      </c>
      <c r="N10" s="45">
        <f>VLOOKUP(C10,Purchased!A:Q,17,0)</f>
        <v>55077</v>
      </c>
      <c r="O10" s="45" t="e">
        <f ca="1">B10*$L$2</f>
        <v>#VALUE!</v>
      </c>
      <c r="P10" s="49">
        <f>IFERROR(VLOOKUP(C10,Purchased!A:E,3,FALSE),"")</f>
        <v>168</v>
      </c>
      <c r="Q10" s="50">
        <f>IFERROR(B10*P10,"")</f>
        <v>168</v>
      </c>
    </row>
    <row r="11" spans="1:17" s="2" customFormat="1" ht="12" customHeight="1">
      <c r="A11" s="4">
        <f>A10+1</f>
        <v>302</v>
      </c>
      <c r="B11" s="2">
        <v>1</v>
      </c>
      <c r="C11" s="114" t="s">
        <v>625</v>
      </c>
      <c r="D11" s="268" t="str">
        <f>VLOOKUP(C11,Purchased!A:B,2,0)</f>
        <v>MURR M8 Female, 0deg A-Coded, 4-Pin, w/ Cable, 10m, black</v>
      </c>
      <c r="E11" s="269"/>
      <c r="F11" s="112" t="str">
        <f>VLOOKUP(C11,Purchased!A:Q,9,0)</f>
        <v>MURR</v>
      </c>
      <c r="G11" s="112" t="str">
        <f>VLOOKUP(C11,Purchased!A:Q,10,0)</f>
        <v>MURR</v>
      </c>
      <c r="H11" s="112">
        <f>VLOOKUP(C11,Purchased!A:Q,12,0)</f>
        <v>0</v>
      </c>
      <c r="I11" s="113"/>
      <c r="J11" s="44">
        <f>VLOOKUP(C11,Purchased!A:Q,13,0)</f>
        <v>45216</v>
      </c>
      <c r="K11" s="44">
        <f>VLOOKUP(C11,Purchased!A:Q,16,0)</f>
        <v>45226</v>
      </c>
      <c r="L11" s="44">
        <f>VLOOKUP(C11,Purchased!A:Q,15,0)</f>
        <v>45226</v>
      </c>
      <c r="M11" s="44">
        <f>VLOOKUP(C11,Purchased!A:Q,16,0)</f>
        <v>45226</v>
      </c>
      <c r="N11" s="45">
        <f>VLOOKUP(C11,Purchased!A:Q,17,0)</f>
        <v>55194</v>
      </c>
      <c r="O11" s="45" t="e">
        <f ca="1">B11*$L$2</f>
        <v>#VALUE!</v>
      </c>
      <c r="P11" s="49">
        <f>IFERROR(VLOOKUP(C11,Purchased!A:E,3,FALSE),"")</f>
        <v>25</v>
      </c>
      <c r="Q11" s="50">
        <f>IFERROR(B11*P11,"")</f>
        <v>25</v>
      </c>
    </row>
    <row r="12" spans="1:17" s="2" customFormat="1" ht="12" customHeight="1">
      <c r="A12" s="4">
        <f>A11+1</f>
        <v>303</v>
      </c>
      <c r="B12" s="2">
        <v>1</v>
      </c>
      <c r="C12" s="114" t="s">
        <v>1277</v>
      </c>
      <c r="D12" s="268" t="str">
        <f>VLOOKUP(C12,Purchased!A:B,2,0)</f>
        <v>MISUMI Adjusting Bolts - Knurled Head, Hex Socket</v>
      </c>
      <c r="E12" s="269"/>
      <c r="F12" s="112" t="str">
        <f>VLOOKUP(C12,Purchased!A:Q,9,0)</f>
        <v>MISUMI</v>
      </c>
      <c r="G12" s="112" t="str">
        <f>VLOOKUP(C12,Purchased!A:Q,10,0)</f>
        <v>MISUMI</v>
      </c>
      <c r="H12" s="112" t="str">
        <f>VLOOKUP(C12,Purchased!A:Q,12,0)</f>
        <v xml:space="preserve"> </v>
      </c>
      <c r="I12" s="113"/>
      <c r="J12" s="44" t="str">
        <f>VLOOKUP(C12,Purchased!A:Q,13,0)</f>
        <v>N/A</v>
      </c>
      <c r="K12" s="44">
        <f>VLOOKUP(C12,Purchased!A:Q,16,0)</f>
        <v>45176</v>
      </c>
      <c r="L12" s="44">
        <f>VLOOKUP(C12,Purchased!A:Q,15,0)</f>
        <v>45191</v>
      </c>
      <c r="M12" s="44">
        <f>VLOOKUP(C12,Purchased!A:Q,16,0)</f>
        <v>45176</v>
      </c>
      <c r="N12" s="45">
        <f>VLOOKUP(C12,Purchased!A:Q,17,0)</f>
        <v>55078</v>
      </c>
      <c r="O12" s="45" t="e">
        <f ca="1">B12*$L$2</f>
        <v>#VALUE!</v>
      </c>
      <c r="P12" s="49">
        <f>IFERROR(VLOOKUP(C12,Purchased!A:E,3,FALSE),"")</f>
        <v>11.77</v>
      </c>
      <c r="Q12" s="50">
        <f>IFERROR(B12*P12,"")</f>
        <v>11.77</v>
      </c>
    </row>
    <row r="13" spans="1:17" s="2" customFormat="1" ht="12" customHeight="1">
      <c r="A13" s="4">
        <f>A12+1</f>
        <v>304</v>
      </c>
      <c r="B13" s="2">
        <v>4</v>
      </c>
      <c r="C13" s="114" t="s">
        <v>1278</v>
      </c>
      <c r="D13" s="268" t="str">
        <f>VLOOKUP(C13,Purchased!A:B,2,0)</f>
        <v>ELESA GN.67101 GN 927.2-63-M6-16-A-Z - Clamping Levers with Eccentrical Cam</v>
      </c>
      <c r="E13" s="269"/>
      <c r="F13" s="112" t="str">
        <f>VLOOKUP(C13,Purchased!A:Q,9,0)</f>
        <v>ELESA</v>
      </c>
      <c r="G13" s="112" t="str">
        <f>VLOOKUP(C13,Purchased!A:Q,10,0)</f>
        <v>ELESA</v>
      </c>
      <c r="H13" s="112" t="str">
        <f>VLOOKUP(C13,Purchased!A:Q,12,0)</f>
        <v xml:space="preserve"> </v>
      </c>
      <c r="I13" s="113"/>
      <c r="J13" s="44" t="str">
        <f>VLOOKUP(C13,Purchased!A:Q,13,0)</f>
        <v>N/A</v>
      </c>
      <c r="K13" s="44">
        <f>VLOOKUP(C13,Purchased!A:Q,16,0)</f>
        <v>45184</v>
      </c>
      <c r="L13" s="44">
        <f>VLOOKUP(C13,Purchased!A:Q,15,0)</f>
        <v>45184</v>
      </c>
      <c r="M13" s="44">
        <f>VLOOKUP(C13,Purchased!A:Q,16,0)</f>
        <v>45184</v>
      </c>
      <c r="N13" s="45">
        <f>VLOOKUP(C13,Purchased!A:Q,17,0)</f>
        <v>55075</v>
      </c>
      <c r="O13" s="45" t="e">
        <f ca="1">B13*$L$2</f>
        <v>#VALUE!</v>
      </c>
      <c r="P13" s="49">
        <f>IFERROR(VLOOKUP(C13,Purchased!A:E,3,FALSE),"")</f>
        <v>1.06</v>
      </c>
      <c r="Q13" s="50">
        <f>IFERROR(B13*P13,"")</f>
        <v>4.24</v>
      </c>
    </row>
    <row r="14" spans="1:17" s="2" customFormat="1" ht="12" customHeight="1">
      <c r="A14" s="4">
        <f>A13+1</f>
        <v>305</v>
      </c>
      <c r="B14" s="2">
        <v>1</v>
      </c>
      <c r="C14" s="114" t="s">
        <v>1279</v>
      </c>
      <c r="D14" s="268" t="str">
        <f>VLOOKUP(C14,Purchased!A:B,2,0)</f>
        <v>Adhesive-Back Ruler Reads Left to Right, Yellow Steel, 3 M Length, 1/4" Width</v>
      </c>
      <c r="E14" s="269"/>
      <c r="F14" s="112" t="str">
        <f>VLOOKUP(C14,Purchased!A:Q,9,0)</f>
        <v>MCM</v>
      </c>
      <c r="G14" s="112" t="str">
        <f>VLOOKUP(C14,Purchased!A:Q,10,0)</f>
        <v>MCM</v>
      </c>
      <c r="H14" s="112" t="str">
        <f>VLOOKUP(C14,Purchased!A:Q,12,0)</f>
        <v xml:space="preserve"> </v>
      </c>
      <c r="I14" s="113"/>
      <c r="J14" s="44" t="str">
        <f>VLOOKUP(C14,Purchased!A:Q,13,0)</f>
        <v>N/A</v>
      </c>
      <c r="K14" s="44">
        <f>VLOOKUP(C14,Purchased!A:Q,16,0)</f>
        <v>45166</v>
      </c>
      <c r="L14" s="44">
        <f>VLOOKUP(C14,Purchased!A:Q,15,0)</f>
        <v>45184</v>
      </c>
      <c r="M14" s="44">
        <f>VLOOKUP(C14,Purchased!A:Q,16,0)</f>
        <v>45166</v>
      </c>
      <c r="N14" s="45">
        <f>VLOOKUP(C14,Purchased!A:Q,17,0)</f>
        <v>55087</v>
      </c>
      <c r="O14" s="45" t="e">
        <f ca="1">B14*$L$2</f>
        <v>#VALUE!</v>
      </c>
      <c r="P14" s="49">
        <f>IFERROR(VLOOKUP(C14,Purchased!A:E,3,FALSE),"")</f>
        <v>13.45</v>
      </c>
      <c r="Q14" s="50">
        <f>IFERROR(B14*P14,"")</f>
        <v>13.45</v>
      </c>
    </row>
    <row r="15" spans="1:17" s="2" customFormat="1" ht="12.75" customHeight="1">
      <c r="A15" s="25"/>
      <c r="B15" s="26"/>
      <c r="C15" s="26"/>
      <c r="D15" s="272"/>
      <c r="E15" s="273"/>
      <c r="F15" s="26"/>
      <c r="G15" s="26"/>
      <c r="H15" s="274"/>
      <c r="I15" s="275"/>
      <c r="J15" s="27"/>
      <c r="K15" s="27"/>
      <c r="L15" s="27"/>
      <c r="M15" s="28"/>
      <c r="N15" s="29"/>
      <c r="O15" s="29" t="e">
        <f t="shared" ref="O15" ca="1" si="2">B15*$L$2</f>
        <v>#VALUE!</v>
      </c>
      <c r="P15" s="141"/>
      <c r="Q15" s="142"/>
    </row>
    <row r="16" spans="1:17" s="2" customFormat="1" ht="12.75" customHeight="1">
      <c r="A16" s="4">
        <v>501</v>
      </c>
      <c r="B16" s="2">
        <v>2</v>
      </c>
      <c r="C16" s="110" t="s">
        <v>966</v>
      </c>
      <c r="D16" s="268"/>
      <c r="E16" s="276"/>
      <c r="F16" s="112" t="str">
        <f>VLOOKUP(C16,Bolts!A:L,5,0)</f>
        <v xml:space="preserve">  </v>
      </c>
      <c r="G16" s="112" t="str">
        <f>VLOOKUP(C16,Bolts!A:L,6,0)</f>
        <v>Monroe Fasteners</v>
      </c>
      <c r="H16" s="112" t="str">
        <f>VLOOKUP(C16,Bolts!A:L,7,0)</f>
        <v xml:space="preserve">  </v>
      </c>
      <c r="I16" s="112"/>
      <c r="J16" s="44" t="str">
        <f>VLOOKUP(C16,Bolts!A:L,8,0)</f>
        <v xml:space="preserve"> </v>
      </c>
      <c r="K16" s="44" t="str">
        <f>VLOOKUP(C16,Bolts!A:L,9,0)</f>
        <v xml:space="preserve"> </v>
      </c>
      <c r="L16" s="44" t="str">
        <f>VLOOKUP(C16,Bolts!A:L,10,0)</f>
        <v xml:space="preserve"> </v>
      </c>
      <c r="M16" s="44" t="str">
        <f>VLOOKUP(C16,Bolts!A:L,11,0)</f>
        <v xml:space="preserve"> </v>
      </c>
      <c r="N16" s="45" t="str">
        <f>VLOOKUP(C16,Bolts!A:L,12,0)</f>
        <v xml:space="preserve"> </v>
      </c>
      <c r="O16" s="45" t="e">
        <f ca="1">B16*$L$2</f>
        <v>#VALUE!</v>
      </c>
      <c r="P16" s="49" t="str">
        <f>IFERROR(VLOOKUP(C16,Bolts!A:B,2,FALSE),"")</f>
        <v xml:space="preserve"> </v>
      </c>
      <c r="Q16" s="50" t="str">
        <f>IFERROR(B16*P16,"")</f>
        <v/>
      </c>
    </row>
    <row r="17" spans="1:17" s="2" customFormat="1" ht="12.75" customHeight="1">
      <c r="A17" s="4">
        <f>A16+1</f>
        <v>502</v>
      </c>
      <c r="B17" s="2">
        <v>2</v>
      </c>
      <c r="C17" s="110" t="s">
        <v>1280</v>
      </c>
      <c r="D17" s="268"/>
      <c r="E17" s="276"/>
      <c r="F17" s="112" t="str">
        <f>VLOOKUP(C17,Bolts!A:L,5,0)</f>
        <v xml:space="preserve">  </v>
      </c>
      <c r="G17" s="112" t="str">
        <f>VLOOKUP(C17,Bolts!A:L,6,0)</f>
        <v>Monroe Fasteners</v>
      </c>
      <c r="H17" s="112" t="str">
        <f>VLOOKUP(C17,Bolts!A:L,7,0)</f>
        <v xml:space="preserve">  </v>
      </c>
      <c r="I17" s="112"/>
      <c r="J17" s="44" t="str">
        <f>VLOOKUP(C17,Bolts!A:L,8,0)</f>
        <v xml:space="preserve"> </v>
      </c>
      <c r="K17" s="44" t="str">
        <f>VLOOKUP(C17,Bolts!A:L,9,0)</f>
        <v xml:space="preserve"> </v>
      </c>
      <c r="L17" s="44" t="str">
        <f>VLOOKUP(C17,Bolts!A:L,10,0)</f>
        <v xml:space="preserve"> </v>
      </c>
      <c r="M17" s="44" t="str">
        <f>VLOOKUP(C17,Bolts!A:L,11,0)</f>
        <v xml:space="preserve"> </v>
      </c>
      <c r="N17" s="45" t="str">
        <f>VLOOKUP(C17,Bolts!A:L,12,0)</f>
        <v xml:space="preserve"> </v>
      </c>
      <c r="O17" s="45" t="e">
        <f ca="1">B17*$L$2</f>
        <v>#VALUE!</v>
      </c>
      <c r="P17" s="49" t="str">
        <f>IFERROR(VLOOKUP(C17,Bolts!A:B,2,FALSE),"")</f>
        <v xml:space="preserve"> </v>
      </c>
      <c r="Q17" s="50" t="str">
        <f>IFERROR(B17*P17,"")</f>
        <v/>
      </c>
    </row>
    <row r="18" spans="1:17" s="2" customFormat="1" ht="12" customHeight="1" thickBot="1">
      <c r="A18" s="4">
        <f>A17+1</f>
        <v>503</v>
      </c>
      <c r="B18" s="2">
        <v>4</v>
      </c>
      <c r="C18" s="110" t="s">
        <v>278</v>
      </c>
      <c r="D18" s="268"/>
      <c r="E18" s="276"/>
      <c r="F18" s="112" t="str">
        <f>VLOOKUP(C18,Bolts!A:L,5,0)</f>
        <v xml:space="preserve">  </v>
      </c>
      <c r="G18" s="112" t="str">
        <f>VLOOKUP(C18,Bolts!A:L,6,0)</f>
        <v>Monroe Fasteners</v>
      </c>
      <c r="H18" s="112" t="str">
        <f>VLOOKUP(C18,Bolts!A:L,7,0)</f>
        <v xml:space="preserve">  </v>
      </c>
      <c r="I18" s="112"/>
      <c r="J18" s="44" t="str">
        <f>VLOOKUP(C18,Bolts!A:L,8,0)</f>
        <v xml:space="preserve"> </v>
      </c>
      <c r="K18" s="44" t="str">
        <f>VLOOKUP(C18,Bolts!A:L,9,0)</f>
        <v xml:space="preserve"> </v>
      </c>
      <c r="L18" s="44" t="str">
        <f>VLOOKUP(C18,Bolts!A:L,10,0)</f>
        <v xml:space="preserve"> </v>
      </c>
      <c r="M18" s="44" t="str">
        <f>VLOOKUP(C18,Bolts!A:L,11,0)</f>
        <v xml:space="preserve"> </v>
      </c>
      <c r="N18" s="45" t="str">
        <f>VLOOKUP(C18,Bolts!A:L,12,0)</f>
        <v xml:space="preserve"> </v>
      </c>
      <c r="O18" s="45" t="e">
        <f ca="1">B18*$L$2</f>
        <v>#VALUE!</v>
      </c>
      <c r="P18" s="49" t="str">
        <f>IFERROR(VLOOKUP(C18,Bolts!A:B,2,FALSE),"")</f>
        <v xml:space="preserve"> </v>
      </c>
      <c r="Q18" s="50" t="str">
        <f>IFERROR(B18*P18,"")</f>
        <v/>
      </c>
    </row>
    <row r="19" spans="1:17" s="2" customFormat="1" ht="12.75" customHeight="1" thickBot="1">
      <c r="A19" s="34"/>
      <c r="B19" s="35"/>
      <c r="C19" s="35"/>
      <c r="D19" s="256"/>
      <c r="E19" s="257"/>
      <c r="F19" s="35"/>
      <c r="G19" s="35"/>
      <c r="H19" s="294"/>
      <c r="I19" s="295"/>
      <c r="J19" s="36"/>
      <c r="K19" s="36"/>
      <c r="L19" s="36"/>
      <c r="M19" s="37"/>
      <c r="N19" s="38"/>
      <c r="O19" s="38"/>
      <c r="P19" s="89" t="s">
        <v>43</v>
      </c>
      <c r="Q19" s="94">
        <f>SUM(Q5:Q18)</f>
        <v>222.46</v>
      </c>
    </row>
    <row r="20" spans="1:17" s="2" customFormat="1" ht="12" customHeight="1">
      <c r="D20" s="22"/>
      <c r="E20" s="22"/>
      <c r="J20" s="8"/>
      <c r="K20" s="8"/>
      <c r="L20" s="8"/>
      <c r="M20" s="8"/>
      <c r="N20" s="5"/>
      <c r="O20" s="5"/>
      <c r="P20" s="88"/>
      <c r="Q20" s="95"/>
    </row>
    <row r="21" spans="1:17" s="2" customFormat="1" ht="12" customHeight="1">
      <c r="D21" s="22"/>
      <c r="E21" s="22"/>
      <c r="J21" s="5"/>
      <c r="K21" s="5"/>
      <c r="L21" s="5"/>
      <c r="M21" s="5"/>
      <c r="N21" s="5"/>
      <c r="O21" s="5"/>
      <c r="P21" s="88"/>
      <c r="Q21" s="95"/>
    </row>
    <row r="22" spans="1:17" s="2" customFormat="1" ht="12" customHeight="1">
      <c r="D22" s="22"/>
      <c r="E22" s="22"/>
      <c r="J22" s="5"/>
      <c r="K22" s="5"/>
      <c r="L22" s="5"/>
      <c r="M22" s="5"/>
      <c r="N22" s="5"/>
      <c r="O22" s="5"/>
      <c r="P22" s="88"/>
      <c r="Q22" s="95"/>
    </row>
    <row r="23" spans="1:17" s="2" customFormat="1" ht="12" customHeight="1">
      <c r="D23" s="22"/>
      <c r="E23" s="22"/>
      <c r="J23" s="5"/>
      <c r="K23" s="5"/>
      <c r="L23" s="5"/>
      <c r="M23" s="5"/>
      <c r="N23" s="5"/>
      <c r="O23" s="5"/>
      <c r="P23" s="88"/>
      <c r="Q23" s="95"/>
    </row>
    <row r="24" spans="1:17" s="2" customFormat="1" ht="12" customHeight="1">
      <c r="D24" s="22"/>
      <c r="E24" s="22"/>
      <c r="J24" s="5"/>
      <c r="K24" s="5"/>
      <c r="L24" s="5"/>
      <c r="M24" s="5"/>
      <c r="N24" s="5"/>
      <c r="O24" s="5"/>
      <c r="P24" s="88"/>
      <c r="Q24" s="95"/>
    </row>
    <row r="25" spans="1:17" s="2" customFormat="1" ht="12" customHeight="1">
      <c r="D25" s="22"/>
      <c r="E25" s="22"/>
      <c r="J25" s="5"/>
      <c r="K25" s="5"/>
      <c r="L25" s="5"/>
      <c r="M25" s="5"/>
      <c r="N25" s="5"/>
      <c r="O25" s="5"/>
      <c r="P25" s="88"/>
      <c r="Q25" s="95"/>
    </row>
    <row r="26" spans="1:17" s="2" customFormat="1" ht="12" customHeight="1">
      <c r="D26" s="22"/>
      <c r="E26" s="22"/>
      <c r="J26" s="5"/>
      <c r="K26" s="5"/>
      <c r="L26" s="5"/>
      <c r="M26" s="5"/>
      <c r="N26" s="5"/>
      <c r="O26" s="5"/>
      <c r="P26" s="88"/>
      <c r="Q26" s="95"/>
    </row>
    <row r="27" spans="1:17" s="2" customFormat="1" ht="12" customHeight="1">
      <c r="D27" s="22"/>
      <c r="E27" s="22"/>
      <c r="J27" s="5"/>
      <c r="K27" s="5"/>
      <c r="L27" s="5"/>
      <c r="M27" s="5"/>
      <c r="N27" s="5"/>
      <c r="O27" s="5"/>
      <c r="P27" s="88"/>
      <c r="Q27" s="95"/>
    </row>
    <row r="28" spans="1:17" s="2" customFormat="1" ht="12" customHeight="1">
      <c r="D28" s="22"/>
      <c r="E28" s="22"/>
      <c r="J28" s="5"/>
      <c r="K28" s="5"/>
      <c r="L28" s="5"/>
      <c r="M28" s="5"/>
      <c r="N28" s="5"/>
      <c r="O28" s="5"/>
      <c r="P28" s="88"/>
      <c r="Q28" s="95"/>
    </row>
    <row r="29" spans="1:17" s="2" customFormat="1" ht="12" customHeight="1">
      <c r="D29" s="22"/>
      <c r="E29" s="22"/>
      <c r="J29" s="5"/>
      <c r="K29" s="5"/>
      <c r="L29" s="5"/>
      <c r="M29" s="5"/>
      <c r="N29" s="5"/>
      <c r="O29" s="5"/>
      <c r="P29" s="88"/>
      <c r="Q29" s="95"/>
    </row>
    <row r="30" spans="1:17" s="2" customFormat="1" ht="12" customHeight="1">
      <c r="D30" s="22"/>
      <c r="E30" s="22"/>
      <c r="J30" s="5"/>
      <c r="K30" s="5"/>
      <c r="L30" s="5"/>
      <c r="M30" s="5"/>
      <c r="N30" s="5"/>
      <c r="O30" s="5"/>
      <c r="P30" s="88"/>
      <c r="Q30" s="95"/>
    </row>
    <row r="31" spans="1:17" s="2" customFormat="1" ht="12" customHeight="1">
      <c r="D31" s="22"/>
      <c r="E31" s="22"/>
      <c r="J31" s="5"/>
      <c r="K31" s="5"/>
      <c r="L31" s="5"/>
      <c r="M31" s="5"/>
      <c r="N31" s="5"/>
      <c r="O31" s="5"/>
      <c r="P31" s="88"/>
      <c r="Q31" s="95"/>
    </row>
    <row r="32" spans="1:17" s="2" customFormat="1" ht="12" customHeight="1">
      <c r="D32" s="22"/>
      <c r="E32" s="22"/>
      <c r="J32" s="5"/>
      <c r="K32" s="5"/>
      <c r="L32" s="5"/>
      <c r="M32" s="5"/>
      <c r="N32" s="5"/>
      <c r="O32" s="5"/>
      <c r="P32" s="88"/>
      <c r="Q32" s="95"/>
    </row>
    <row r="33" spans="4:17" s="2" customFormat="1" ht="12" customHeight="1">
      <c r="D33" s="22"/>
      <c r="E33" s="22"/>
      <c r="J33" s="5"/>
      <c r="K33" s="5"/>
      <c r="L33" s="5"/>
      <c r="M33" s="5"/>
      <c r="N33" s="5"/>
      <c r="O33" s="5"/>
      <c r="P33" s="88"/>
      <c r="Q33" s="95"/>
    </row>
    <row r="34" spans="4:17" s="2" customFormat="1" ht="12" customHeight="1">
      <c r="D34" s="22"/>
      <c r="E34" s="22"/>
      <c r="J34" s="5"/>
      <c r="K34" s="5"/>
      <c r="L34" s="5"/>
      <c r="M34" s="5"/>
      <c r="N34" s="5"/>
      <c r="O34" s="5"/>
      <c r="P34" s="88"/>
      <c r="Q34" s="95"/>
    </row>
    <row r="35" spans="4:17" s="2" customFormat="1" ht="12" customHeight="1">
      <c r="D35" s="22"/>
      <c r="E35" s="22"/>
      <c r="J35" s="5"/>
      <c r="K35" s="5"/>
      <c r="L35" s="5"/>
      <c r="M35" s="5"/>
      <c r="N35" s="5"/>
      <c r="O35" s="5"/>
      <c r="P35" s="88"/>
      <c r="Q35" s="95"/>
    </row>
    <row r="36" spans="4:17" s="2" customFormat="1" ht="12" customHeight="1">
      <c r="D36" s="22"/>
      <c r="E36" s="22"/>
      <c r="J36" s="5"/>
      <c r="K36" s="5"/>
      <c r="L36" s="5"/>
      <c r="M36" s="5"/>
      <c r="N36" s="5"/>
      <c r="O36" s="5"/>
      <c r="P36" s="88"/>
      <c r="Q36" s="95"/>
    </row>
    <row r="37" spans="4:17" s="2" customFormat="1" ht="12" customHeight="1">
      <c r="D37" s="22"/>
      <c r="E37" s="22"/>
      <c r="J37" s="5"/>
      <c r="K37" s="5"/>
      <c r="L37" s="5"/>
      <c r="M37" s="5"/>
      <c r="N37" s="5"/>
      <c r="O37" s="5"/>
      <c r="P37" s="88"/>
      <c r="Q37" s="95"/>
    </row>
    <row r="38" spans="4:17" s="2" customFormat="1" ht="12" customHeight="1">
      <c r="D38" s="22"/>
      <c r="E38" s="22"/>
      <c r="J38" s="5"/>
      <c r="K38" s="5"/>
      <c r="L38" s="5"/>
      <c r="M38" s="5"/>
      <c r="N38" s="5"/>
      <c r="O38" s="5"/>
      <c r="P38" s="88"/>
      <c r="Q38" s="95"/>
    </row>
    <row r="39" spans="4:17" s="2" customFormat="1" ht="12" customHeight="1">
      <c r="D39" s="22"/>
      <c r="E39" s="22"/>
      <c r="J39" s="5"/>
      <c r="K39" s="5"/>
      <c r="L39" s="5"/>
      <c r="M39" s="5"/>
      <c r="N39" s="5"/>
      <c r="O39" s="5"/>
      <c r="P39" s="88"/>
      <c r="Q39" s="95"/>
    </row>
    <row r="40" spans="4:17" s="2" customFormat="1" ht="12" customHeight="1">
      <c r="D40" s="22"/>
      <c r="E40" s="22"/>
      <c r="J40" s="5"/>
      <c r="K40" s="5"/>
      <c r="L40" s="5"/>
      <c r="M40" s="5"/>
      <c r="N40" s="5"/>
      <c r="O40" s="5"/>
      <c r="P40" s="88"/>
      <c r="Q40" s="95"/>
    </row>
    <row r="41" spans="4:17" s="2" customFormat="1" ht="12" customHeight="1">
      <c r="D41" s="22"/>
      <c r="E41" s="22"/>
      <c r="J41" s="5"/>
      <c r="K41" s="5"/>
      <c r="L41" s="5"/>
      <c r="M41" s="5"/>
      <c r="N41" s="5"/>
      <c r="O41" s="5"/>
      <c r="P41" s="88"/>
      <c r="Q41" s="95"/>
    </row>
    <row r="42" spans="4:17" s="2" customFormat="1" ht="12" customHeight="1">
      <c r="D42" s="22"/>
      <c r="E42" s="22"/>
      <c r="J42" s="5"/>
      <c r="K42" s="5"/>
      <c r="L42" s="5"/>
      <c r="M42" s="5"/>
      <c r="N42" s="5"/>
      <c r="O42" s="5"/>
      <c r="P42" s="88"/>
      <c r="Q42" s="95"/>
    </row>
    <row r="43" spans="4:17" s="2" customFormat="1" ht="12" customHeight="1">
      <c r="D43" s="22"/>
      <c r="E43" s="22"/>
      <c r="J43" s="5"/>
      <c r="K43" s="5"/>
      <c r="L43" s="5"/>
      <c r="M43" s="5"/>
      <c r="N43" s="5"/>
      <c r="O43" s="5"/>
      <c r="P43" s="88"/>
      <c r="Q43" s="95"/>
    </row>
    <row r="44" spans="4:17" s="2" customFormat="1" ht="12" customHeight="1">
      <c r="D44" s="22"/>
      <c r="E44" s="22"/>
      <c r="J44" s="5"/>
      <c r="K44" s="5"/>
      <c r="L44" s="5"/>
      <c r="M44" s="5"/>
      <c r="N44" s="5"/>
      <c r="O44" s="5"/>
      <c r="P44" s="88"/>
      <c r="Q44" s="95"/>
    </row>
    <row r="45" spans="4:17" s="2" customFormat="1" ht="12" customHeight="1">
      <c r="D45" s="22"/>
      <c r="E45" s="22"/>
      <c r="J45" s="5"/>
      <c r="K45" s="5"/>
      <c r="L45" s="5"/>
      <c r="M45" s="5"/>
      <c r="N45" s="5"/>
      <c r="O45" s="5"/>
      <c r="P45" s="88"/>
      <c r="Q45" s="95"/>
    </row>
    <row r="46" spans="4:17" s="2" customFormat="1" ht="12" customHeight="1">
      <c r="D46" s="22"/>
      <c r="E46" s="22"/>
      <c r="J46" s="5"/>
      <c r="K46" s="5"/>
      <c r="L46" s="5"/>
      <c r="M46" s="5"/>
      <c r="N46" s="5"/>
      <c r="O46" s="5"/>
      <c r="P46" s="88"/>
      <c r="Q46" s="95"/>
    </row>
    <row r="47" spans="4:17" s="2" customFormat="1" ht="12" customHeight="1">
      <c r="D47" s="22"/>
      <c r="E47" s="22"/>
      <c r="J47" s="5"/>
      <c r="K47" s="5"/>
      <c r="L47" s="5"/>
      <c r="M47" s="5"/>
      <c r="N47" s="5"/>
      <c r="O47" s="5"/>
      <c r="P47" s="88"/>
      <c r="Q47" s="95"/>
    </row>
    <row r="48" spans="4:17" s="2" customFormat="1" ht="12" customHeight="1">
      <c r="D48" s="22"/>
      <c r="E48" s="22"/>
      <c r="J48" s="5"/>
      <c r="K48" s="5"/>
      <c r="L48" s="5"/>
      <c r="M48" s="5"/>
      <c r="N48" s="5"/>
      <c r="O48" s="5"/>
      <c r="P48" s="88"/>
      <c r="Q48" s="95"/>
    </row>
    <row r="49" spans="1:17" s="2" customFormat="1" ht="12" customHeight="1">
      <c r="D49" s="22"/>
      <c r="E49" s="22"/>
      <c r="J49" s="5"/>
      <c r="K49" s="5"/>
      <c r="L49" s="5"/>
      <c r="M49" s="5"/>
      <c r="N49" s="5"/>
      <c r="O49" s="5"/>
      <c r="P49" s="88"/>
      <c r="Q49" s="95"/>
    </row>
    <row r="50" spans="1:17" s="2" customFormat="1" ht="12" customHeight="1">
      <c r="D50" s="22"/>
      <c r="E50" s="22"/>
      <c r="J50" s="5"/>
      <c r="K50" s="5"/>
      <c r="L50" s="5"/>
      <c r="M50" s="5"/>
      <c r="N50" s="5"/>
      <c r="O50" s="5"/>
      <c r="P50" s="88"/>
      <c r="Q50" s="95"/>
    </row>
    <row r="51" spans="1:17" s="2" customFormat="1" ht="12" customHeight="1">
      <c r="D51" s="22"/>
      <c r="E51" s="22"/>
      <c r="J51" s="5"/>
      <c r="K51" s="5"/>
      <c r="L51" s="5"/>
      <c r="M51" s="5"/>
      <c r="N51" s="5"/>
      <c r="O51" s="5"/>
      <c r="P51" s="88"/>
      <c r="Q51" s="95"/>
    </row>
    <row r="52" spans="1:17" s="2" customFormat="1" ht="12" customHeight="1">
      <c r="D52" s="22"/>
      <c r="E52" s="22"/>
      <c r="J52" s="5"/>
      <c r="K52" s="5"/>
      <c r="L52" s="5"/>
      <c r="M52" s="5"/>
      <c r="N52" s="5"/>
      <c r="O52" s="5"/>
      <c r="P52" s="88"/>
      <c r="Q52" s="95"/>
    </row>
    <row r="53" spans="1:17" s="2" customFormat="1" ht="12" customHeight="1">
      <c r="D53" s="22"/>
      <c r="E53" s="22"/>
      <c r="J53" s="5"/>
      <c r="K53" s="5"/>
      <c r="L53" s="5"/>
      <c r="M53" s="5"/>
      <c r="N53" s="5"/>
      <c r="O53" s="5"/>
      <c r="P53" s="88"/>
      <c r="Q53" s="95"/>
    </row>
    <row r="54" spans="1:17" s="2" customFormat="1" ht="12" customHeight="1">
      <c r="D54" s="22"/>
      <c r="E54" s="22"/>
      <c r="J54" s="5"/>
      <c r="K54" s="5"/>
      <c r="L54" s="5"/>
      <c r="M54" s="5"/>
      <c r="N54" s="5"/>
      <c r="O54" s="5"/>
      <c r="P54" s="88"/>
      <c r="Q54" s="95"/>
    </row>
    <row r="55" spans="1:17" s="2" customFormat="1" ht="12" customHeight="1">
      <c r="D55" s="22"/>
      <c r="E55" s="22"/>
      <c r="J55" s="5"/>
      <c r="K55" s="5"/>
      <c r="L55" s="5"/>
      <c r="M55" s="5"/>
      <c r="N55" s="5"/>
      <c r="O55" s="5"/>
      <c r="P55" s="88"/>
      <c r="Q55" s="95"/>
    </row>
    <row r="56" spans="1:17" s="2" customFormat="1" ht="12" customHeight="1">
      <c r="D56" s="22"/>
      <c r="E56" s="22"/>
      <c r="J56" s="5"/>
      <c r="K56" s="5"/>
      <c r="L56" s="5"/>
      <c r="M56" s="5"/>
      <c r="N56" s="5"/>
      <c r="O56" s="5"/>
      <c r="P56" s="88"/>
      <c r="Q56" s="95"/>
    </row>
    <row r="57" spans="1:17" s="2" customFormat="1" ht="12" customHeight="1">
      <c r="D57" s="22"/>
      <c r="E57" s="22"/>
      <c r="J57" s="5"/>
      <c r="K57" s="5"/>
      <c r="L57" s="5"/>
      <c r="M57" s="5"/>
      <c r="N57" s="5"/>
      <c r="O57" s="5"/>
      <c r="P57" s="88"/>
      <c r="Q57" s="95"/>
    </row>
    <row r="58" spans="1:17" s="2" customFormat="1" ht="12" customHeight="1">
      <c r="D58" s="22"/>
      <c r="E58" s="22"/>
      <c r="J58" s="5"/>
      <c r="K58" s="5"/>
      <c r="L58" s="5"/>
      <c r="M58" s="5"/>
      <c r="N58" s="5"/>
      <c r="O58" s="5"/>
      <c r="P58" s="88"/>
      <c r="Q58" s="96"/>
    </row>
    <row r="59" spans="1:17" s="2" customFormat="1" ht="12" customHeight="1">
      <c r="D59" s="22"/>
      <c r="E59" s="22"/>
      <c r="J59" s="5"/>
      <c r="K59" s="5"/>
      <c r="L59" s="5"/>
      <c r="M59" s="5"/>
      <c r="N59" s="5"/>
      <c r="O59" s="5"/>
      <c r="P59" s="88"/>
      <c r="Q59" s="96"/>
    </row>
    <row r="60" spans="1:17" s="2" customFormat="1" ht="12" customHeight="1">
      <c r="D60" s="22"/>
      <c r="E60" s="22"/>
      <c r="J60" s="5"/>
      <c r="K60" s="5"/>
      <c r="L60" s="5"/>
      <c r="M60" s="5"/>
      <c r="N60" s="5"/>
      <c r="O60" s="5"/>
      <c r="P60" s="88"/>
      <c r="Q60" s="96"/>
    </row>
    <row r="61" spans="1:17" s="2" customFormat="1" ht="12" customHeight="1">
      <c r="D61" s="22"/>
      <c r="E61" s="22"/>
      <c r="J61" s="5"/>
      <c r="K61" s="5"/>
      <c r="L61" s="5"/>
      <c r="M61" s="5"/>
      <c r="N61" s="5"/>
      <c r="O61" s="5"/>
      <c r="P61" s="88"/>
      <c r="Q61" s="96"/>
    </row>
    <row r="62" spans="1:17" s="2" customFormat="1" ht="12" customHeight="1">
      <c r="A62"/>
      <c r="B62"/>
      <c r="C62"/>
      <c r="D62" s="23"/>
      <c r="E62" s="23"/>
      <c r="F62"/>
      <c r="G62"/>
      <c r="H62"/>
      <c r="I62"/>
      <c r="J62" s="19"/>
      <c r="K62" s="19"/>
      <c r="L62" s="19"/>
      <c r="M62" s="19"/>
      <c r="N62" s="19"/>
      <c r="O62" s="19"/>
      <c r="P62" s="90"/>
      <c r="Q62" s="96"/>
    </row>
    <row r="63" spans="1:17" s="2" customFormat="1" ht="12" customHeight="1">
      <c r="A63"/>
      <c r="B63"/>
      <c r="C63"/>
      <c r="D63" s="23"/>
      <c r="E63" s="23"/>
      <c r="F63"/>
      <c r="G63"/>
      <c r="H63"/>
      <c r="I63"/>
      <c r="J63" s="19"/>
      <c r="K63" s="19"/>
      <c r="L63" s="19"/>
      <c r="M63" s="19"/>
      <c r="N63" s="19"/>
      <c r="O63" s="19"/>
      <c r="P63" s="90"/>
      <c r="Q63" s="96"/>
    </row>
    <row r="64" spans="1:17" s="2" customFormat="1" ht="12" customHeight="1">
      <c r="A64"/>
      <c r="B64"/>
      <c r="C64"/>
      <c r="D64" s="23"/>
      <c r="E64" s="23"/>
      <c r="F64"/>
      <c r="G64"/>
      <c r="H64"/>
      <c r="I64"/>
      <c r="J64" s="19"/>
      <c r="K64" s="19"/>
      <c r="L64" s="19"/>
      <c r="M64" s="19"/>
      <c r="N64" s="19"/>
      <c r="O64" s="19"/>
      <c r="P64" s="90"/>
      <c r="Q64" s="96"/>
    </row>
    <row r="65" spans="1:17" s="2" customFormat="1" ht="12" customHeight="1">
      <c r="A65"/>
      <c r="B65"/>
      <c r="C65"/>
      <c r="D65" s="23"/>
      <c r="E65" s="23"/>
      <c r="F65"/>
      <c r="G65"/>
      <c r="H65"/>
      <c r="I65"/>
      <c r="J65" s="19"/>
      <c r="K65" s="19"/>
      <c r="L65" s="19"/>
      <c r="M65" s="19"/>
      <c r="N65" s="19"/>
      <c r="O65" s="19"/>
      <c r="P65" s="90"/>
      <c r="Q65" s="96"/>
    </row>
    <row r="66" spans="1:17" s="2" customFormat="1" ht="12" customHeight="1">
      <c r="A66"/>
      <c r="B66"/>
      <c r="C66"/>
      <c r="D66" s="23"/>
      <c r="E66" s="23"/>
      <c r="F66"/>
      <c r="G66"/>
      <c r="H66"/>
      <c r="I66"/>
      <c r="J66" s="19"/>
      <c r="K66" s="19"/>
      <c r="L66" s="19"/>
      <c r="M66" s="19"/>
      <c r="N66" s="19"/>
      <c r="O66" s="19"/>
      <c r="P66" s="90"/>
      <c r="Q66" s="96"/>
    </row>
    <row r="67" spans="1:17">
      <c r="Q67" s="96"/>
    </row>
    <row r="68" spans="1:17">
      <c r="Q68" s="96"/>
    </row>
    <row r="69" spans="1:17">
      <c r="Q69" s="96"/>
    </row>
    <row r="70" spans="1:17">
      <c r="Q70" s="96"/>
    </row>
    <row r="71" spans="1:17">
      <c r="Q71" s="96"/>
    </row>
    <row r="72" spans="1:17">
      <c r="Q72" s="96"/>
    </row>
    <row r="73" spans="1:17">
      <c r="Q73" s="96"/>
    </row>
    <row r="74" spans="1:17">
      <c r="Q74" s="96"/>
    </row>
    <row r="75" spans="1:17">
      <c r="Q75" s="96"/>
    </row>
    <row r="76" spans="1:17">
      <c r="Q76" s="96"/>
    </row>
    <row r="77" spans="1:17">
      <c r="Q77" s="96"/>
    </row>
    <row r="78" spans="1:17">
      <c r="Q78" s="96"/>
    </row>
    <row r="79" spans="1:17">
      <c r="Q79" s="96"/>
    </row>
    <row r="80" spans="1:17">
      <c r="Q80" s="96"/>
    </row>
    <row r="81" spans="17:17">
      <c r="Q81" s="96"/>
    </row>
    <row r="82" spans="17:17">
      <c r="Q82" s="96"/>
    </row>
    <row r="83" spans="17:17">
      <c r="Q83" s="96"/>
    </row>
    <row r="84" spans="17:17">
      <c r="Q84" s="96"/>
    </row>
    <row r="85" spans="17:17">
      <c r="Q85" s="96"/>
    </row>
    <row r="86" spans="17:17">
      <c r="Q86" s="96"/>
    </row>
    <row r="123" ht="12" customHeight="1"/>
    <row r="124" ht="12" customHeight="1"/>
    <row r="125" ht="12" customHeight="1"/>
    <row r="126" ht="12" customHeight="1"/>
    <row r="127" ht="12" customHeight="1"/>
    <row r="128" ht="12" customHeight="1"/>
    <row r="129" ht="12" customHeight="1"/>
    <row r="130" ht="12" customHeight="1"/>
    <row r="131" ht="12" customHeight="1"/>
    <row r="132" ht="12" customHeight="1"/>
    <row r="133" ht="12" customHeight="1"/>
    <row r="134" ht="12" customHeight="1"/>
    <row r="135" ht="12" customHeight="1"/>
    <row r="136" ht="12" customHeight="1"/>
    <row r="137" ht="12" customHeight="1"/>
    <row r="138" ht="12" customHeight="1"/>
    <row r="139" ht="12" customHeight="1"/>
    <row r="140" ht="12" customHeight="1"/>
    <row r="141" ht="12" customHeight="1"/>
    <row r="142" ht="12" customHeight="1"/>
    <row r="143" ht="12" customHeight="1"/>
    <row r="144" ht="12" customHeight="1"/>
    <row r="145" ht="12" customHeight="1"/>
    <row r="146" ht="12" customHeight="1"/>
    <row r="147" ht="12" customHeight="1"/>
    <row r="148" ht="12" customHeight="1"/>
    <row r="149" ht="12" customHeight="1"/>
    <row r="150" ht="12" customHeight="1"/>
    <row r="151" ht="12" customHeight="1"/>
    <row r="152" ht="12" customHeight="1"/>
    <row r="153" ht="12" customHeight="1"/>
    <row r="154" ht="12" customHeight="1"/>
    <row r="155" ht="12" customHeight="1"/>
    <row r="156" ht="12" customHeight="1"/>
    <row r="157" ht="12" customHeight="1"/>
    <row r="158" ht="12" customHeight="1"/>
    <row r="159" ht="12" customHeight="1"/>
    <row r="160" ht="12" customHeight="1"/>
    <row r="161" ht="12" customHeight="1"/>
    <row r="162" ht="12" customHeight="1"/>
    <row r="163" ht="12" customHeight="1"/>
    <row r="164" ht="12" customHeight="1"/>
    <row r="165" ht="12" customHeight="1"/>
    <row r="166" ht="12" customHeight="1"/>
    <row r="167" ht="12" customHeight="1"/>
    <row r="168" ht="12" customHeight="1"/>
    <row r="169" ht="12" customHeight="1"/>
    <row r="170" ht="12" customHeight="1"/>
    <row r="171" ht="12" customHeight="1"/>
    <row r="172" ht="12" customHeight="1"/>
  </sheetData>
  <mergeCells count="21">
    <mergeCell ref="H9:I9"/>
    <mergeCell ref="D10:E10"/>
    <mergeCell ref="D1:E1"/>
    <mergeCell ref="D4:E4"/>
    <mergeCell ref="H4:I4"/>
    <mergeCell ref="D5:E5"/>
    <mergeCell ref="D6:E6"/>
    <mergeCell ref="D11:E11"/>
    <mergeCell ref="D12:E12"/>
    <mergeCell ref="D13:E13"/>
    <mergeCell ref="D14:E14"/>
    <mergeCell ref="D7:E7"/>
    <mergeCell ref="D8:E8"/>
    <mergeCell ref="D9:E9"/>
    <mergeCell ref="D19:E19"/>
    <mergeCell ref="H19:I19"/>
    <mergeCell ref="D15:E15"/>
    <mergeCell ref="H15:I15"/>
    <mergeCell ref="D16:E16"/>
    <mergeCell ref="D17:E17"/>
    <mergeCell ref="D18:E18"/>
  </mergeCells>
  <conditionalFormatting sqref="M5:M8 M10:M14">
    <cfRule type="cellIs" dxfId="216" priority="9" stopIfTrue="1" operator="lessThanOrEqual">
      <formula>$L5</formula>
    </cfRule>
    <cfRule type="cellIs" dxfId="215" priority="10" operator="greaterThan">
      <formula>L5</formula>
    </cfRule>
  </conditionalFormatting>
  <conditionalFormatting sqref="M16:M18">
    <cfRule type="cellIs" dxfId="214" priority="3" stopIfTrue="1" operator="lessThanOrEqual">
      <formula>$L16</formula>
    </cfRule>
    <cfRule type="cellIs" dxfId="213" priority="4" operator="greaterThan">
      <formula>L16</formula>
    </cfRule>
  </conditionalFormatting>
  <pageMargins left="0.7" right="0.7" top="0.75" bottom="0.75" header="0.3" footer="0.3"/>
  <pageSetup paperSize="3" fitToHeight="0" orientation="landscape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AC59AD2-0BC9-4DE5-8BA5-DF7FC6528E13}">
          <x14:formula1>
            <xm:f>Bolts!$A:$A</xm:f>
          </x14:formula1>
          <xm:sqref>C16:C18</xm:sqref>
        </x14:dataValidation>
        <x14:dataValidation type="list" allowBlank="1" showInputMessage="1" showErrorMessage="1" xr:uid="{736F915D-000A-4370-A333-F67CA34EB94D}">
          <x14:formula1>
            <xm:f>Purchased!$A:$A</xm:f>
          </x14:formula1>
          <xm:sqref>C10:C14</xm:sqref>
        </x14:dataValidation>
        <x14:dataValidation type="list" allowBlank="1" showInputMessage="1" showErrorMessage="1" xr:uid="{CA162A3B-A213-4FC7-9BF3-B0770BA268A4}">
          <x14:formula1>
            <xm:f>Machined!$C:$C</xm:f>
          </x14:formula1>
          <xm:sqref>C5:C8</xm:sqref>
        </x14:dataValidation>
      </x14:dataValidations>
    </ext>
  </extLst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3F89B1-C7FD-43AB-A2F0-F0233DE5AF16}">
  <sheetPr codeName="Sheet128">
    <tabColor theme="3" tint="0.79998168889431442"/>
    <pageSetUpPr fitToPage="1"/>
  </sheetPr>
  <dimension ref="A1:Q178"/>
  <sheetViews>
    <sheetView zoomScaleNormal="100" workbookViewId="0">
      <selection activeCell="C28" sqref="C28"/>
    </sheetView>
  </sheetViews>
  <sheetFormatPr defaultColWidth="9.140625" defaultRowHeight="15"/>
  <cols>
    <col min="1" max="1" width="5.7109375" customWidth="1"/>
    <col min="2" max="2" width="5.42578125" bestFit="1" customWidth="1"/>
    <col min="3" max="3" width="30.7109375" customWidth="1"/>
    <col min="4" max="5" width="20.7109375" style="23" customWidth="1"/>
    <col min="6" max="6" width="16.85546875" bestFit="1" customWidth="1"/>
    <col min="7" max="7" width="9.7109375" customWidth="1"/>
    <col min="8" max="8" width="8.7109375" customWidth="1"/>
    <col min="9" max="9" width="20.7109375" customWidth="1"/>
    <col min="10" max="13" width="11.7109375" style="19" customWidth="1"/>
    <col min="14" max="14" width="11.85546875" style="19" bestFit="1" customWidth="1"/>
    <col min="15" max="15" width="7.7109375" style="19" customWidth="1"/>
    <col min="16" max="16" width="10.7109375" style="90" customWidth="1"/>
    <col min="17" max="17" width="10.7109375" style="97" customWidth="1"/>
  </cols>
  <sheetData>
    <row r="1" spans="1:17" s="55" customFormat="1" ht="12" customHeight="1">
      <c r="A1" s="68" t="s">
        <v>0</v>
      </c>
      <c r="B1" s="69"/>
      <c r="C1" s="69"/>
      <c r="D1" s="262" t="s">
        <v>1</v>
      </c>
      <c r="E1" s="263"/>
      <c r="F1" s="70"/>
      <c r="G1" s="69"/>
      <c r="H1" s="70"/>
      <c r="I1" s="71"/>
      <c r="J1" s="72"/>
      <c r="K1" s="72"/>
      <c r="L1" s="72"/>
      <c r="M1" s="72"/>
      <c r="N1" s="72"/>
      <c r="O1" s="72"/>
      <c r="P1" s="85"/>
      <c r="Q1" s="91"/>
    </row>
    <row r="2" spans="1:17" s="55" customFormat="1" ht="12" customHeight="1">
      <c r="A2" s="74" t="s">
        <v>48</v>
      </c>
      <c r="B2" s="58"/>
      <c r="C2" s="57" t="e">
        <f ca="1">VLOOKUP(E3,Assemblies!B:F,4,0)</f>
        <v>#VALUE!</v>
      </c>
      <c r="D2" s="75" t="s">
        <v>3</v>
      </c>
      <c r="E2" s="76" t="e">
        <f ca="1">'GF12'!E2</f>
        <v>#VALUE!</v>
      </c>
      <c r="F2" s="77" t="s">
        <v>4</v>
      </c>
      <c r="G2" s="58" t="str">
        <f>'GF12'!G2</f>
        <v>GH</v>
      </c>
      <c r="H2" s="77" t="s">
        <v>6</v>
      </c>
      <c r="I2" s="59">
        <f>'GF12'!I2</f>
        <v>44775</v>
      </c>
      <c r="J2" s="39"/>
      <c r="K2" s="40" t="s">
        <v>49</v>
      </c>
      <c r="L2" s="41" t="e">
        <f ca="1">VLOOKUP(C2,Assemblies!E:G,3,0)</f>
        <v>#VALUE!</v>
      </c>
      <c r="M2" s="78"/>
      <c r="N2" s="78"/>
      <c r="O2" s="78"/>
      <c r="P2" s="86"/>
      <c r="Q2" s="92"/>
    </row>
    <row r="3" spans="1:17" s="55" customFormat="1" ht="12" customHeight="1" thickBot="1">
      <c r="A3" s="74" t="s">
        <v>7</v>
      </c>
      <c r="B3" s="58"/>
      <c r="C3" s="57" t="e">
        <f ca="1">VLOOKUP(E3,Assemblies!B:F,5,0)</f>
        <v>#VALUE!</v>
      </c>
      <c r="D3" s="75" t="s">
        <v>50</v>
      </c>
      <c r="E3" s="76" t="e">
        <f ca="1">MID(CELL("filename",A1),FIND("]",CELL("filename",A1))+1,256)</f>
        <v>#VALUE!</v>
      </c>
      <c r="F3" s="77" t="s">
        <v>11</v>
      </c>
      <c r="G3" s="58" t="str">
        <f>'GF12'!G3</f>
        <v>GH</v>
      </c>
      <c r="H3" s="77" t="s">
        <v>6</v>
      </c>
      <c r="I3" s="59">
        <f>'GF12'!I3</f>
        <v>44775</v>
      </c>
      <c r="J3" s="78"/>
      <c r="K3" s="78"/>
      <c r="L3" s="78"/>
      <c r="M3" s="78"/>
      <c r="N3" s="78"/>
      <c r="O3" s="78"/>
      <c r="P3" s="86"/>
      <c r="Q3" s="92"/>
    </row>
    <row r="4" spans="1:17" s="56" customFormat="1" ht="12.75" customHeight="1" thickBot="1">
      <c r="A4" s="80" t="s">
        <v>12</v>
      </c>
      <c r="B4" s="81" t="s">
        <v>13</v>
      </c>
      <c r="C4" s="81" t="s">
        <v>14</v>
      </c>
      <c r="D4" s="270" t="s">
        <v>15</v>
      </c>
      <c r="E4" s="271"/>
      <c r="F4" s="104" t="s">
        <v>16</v>
      </c>
      <c r="G4" s="81" t="s">
        <v>17</v>
      </c>
      <c r="H4" s="260" t="s">
        <v>18</v>
      </c>
      <c r="I4" s="261"/>
      <c r="J4" s="81" t="s">
        <v>51</v>
      </c>
      <c r="K4" s="81" t="s">
        <v>20</v>
      </c>
      <c r="L4" s="81" t="s">
        <v>21</v>
      </c>
      <c r="M4" s="81" t="s">
        <v>52</v>
      </c>
      <c r="N4" s="81" t="s">
        <v>22</v>
      </c>
      <c r="O4" s="81" t="s">
        <v>53</v>
      </c>
      <c r="P4" s="107" t="s">
        <v>26</v>
      </c>
      <c r="Q4" s="82" t="s">
        <v>27</v>
      </c>
    </row>
    <row r="5" spans="1:17" s="2" customFormat="1" ht="12.75" customHeight="1">
      <c r="A5" s="127">
        <v>1</v>
      </c>
      <c r="B5" s="21">
        <v>1</v>
      </c>
      <c r="C5" s="108" t="s">
        <v>1281</v>
      </c>
      <c r="D5" s="277" t="str">
        <f>VLOOKUP(C5,Machined!C:Q,2,0)</f>
        <v>ESCAPEMENT OFFSET PLATE A SIDE</v>
      </c>
      <c r="E5" s="278"/>
      <c r="F5" s="131" t="str">
        <f>VLOOKUP(C5,Machined!C:R,7,0)</f>
        <v>6061-T6 Alum</v>
      </c>
      <c r="G5" s="131" t="str">
        <f>VLOOKUP(C5,Machined!C:R,10,0)</f>
        <v>DETAILED MACH</v>
      </c>
      <c r="H5" s="131" t="str">
        <f>VLOOKUP(C5,Machined!C:R,11,0)</f>
        <v>shipped 9/25/23</v>
      </c>
      <c r="I5" s="131"/>
      <c r="J5" s="42">
        <f>VLOOKUP(C5,Machined!C:R,12,0)</f>
        <v>45156</v>
      </c>
      <c r="K5" s="42">
        <f>VLOOKUP(C5,Machined!C:R,13,0)</f>
        <v>45162</v>
      </c>
      <c r="L5" s="42">
        <f>VLOOKUP(C5,Machined!C:R,14,0)</f>
        <v>45190</v>
      </c>
      <c r="M5" s="42">
        <f>VLOOKUP(C5,Machined!C:R,15,0)</f>
        <v>45190</v>
      </c>
      <c r="N5" s="43">
        <f>VLOOKUP(C5,Machined!C:R,16,0)</f>
        <v>55101</v>
      </c>
      <c r="O5" s="43" t="e">
        <f t="shared" ref="O5:O9" ca="1" si="0">B5*$L$2</f>
        <v>#VALUE!</v>
      </c>
      <c r="P5" s="47">
        <f>IFERROR(VLOOKUP(C5,Machined!C:F,3,0),"")</f>
        <v>0</v>
      </c>
      <c r="Q5" s="48">
        <f t="shared" ref="Q5:Q9" si="1">IFERROR(B5*P5,"")</f>
        <v>0</v>
      </c>
    </row>
    <row r="6" spans="1:17" s="2" customFormat="1" ht="12.75" customHeight="1">
      <c r="A6" s="127">
        <v>2</v>
      </c>
      <c r="B6" s="21">
        <v>1</v>
      </c>
      <c r="C6" s="108" t="s">
        <v>1282</v>
      </c>
      <c r="D6" s="277" t="str">
        <f>VLOOKUP(C6,Machined!C:Q,2,0)</f>
        <v>ESCAPEMENT ADJUSTMENT PLATE</v>
      </c>
      <c r="E6" s="278"/>
      <c r="F6" s="131" t="str">
        <f>VLOOKUP(C6,Machined!C:R,7,0)</f>
        <v>6061-T6 Alum</v>
      </c>
      <c r="G6" s="131" t="str">
        <f>VLOOKUP(C6,Machined!C:R,10,0)</f>
        <v>DETAILED MACH</v>
      </c>
      <c r="H6" s="131" t="str">
        <f>VLOOKUP(C6,Machined!C:R,11,0)</f>
        <v>shipped 9/25/23</v>
      </c>
      <c r="I6" s="131"/>
      <c r="J6" s="42">
        <f>VLOOKUP(C6,Machined!C:R,12,0)</f>
        <v>45156</v>
      </c>
      <c r="K6" s="42">
        <f>VLOOKUP(C6,Machined!C:R,13,0)</f>
        <v>45162</v>
      </c>
      <c r="L6" s="42">
        <f>VLOOKUP(C6,Machined!C:R,14,0)</f>
        <v>45190</v>
      </c>
      <c r="M6" s="42">
        <f>VLOOKUP(C6,Machined!C:R,15,0)</f>
        <v>45190</v>
      </c>
      <c r="N6" s="43">
        <f>VLOOKUP(C6,Machined!C:R,16,0)</f>
        <v>55101</v>
      </c>
      <c r="O6" s="43" t="e">
        <f t="shared" ca="1" si="0"/>
        <v>#VALUE!</v>
      </c>
      <c r="P6" s="47">
        <f>IFERROR(VLOOKUP(C6,Machined!C:F,3,0),"")</f>
        <v>0</v>
      </c>
      <c r="Q6" s="48">
        <f t="shared" si="1"/>
        <v>0</v>
      </c>
    </row>
    <row r="7" spans="1:17" s="2" customFormat="1" ht="12.75" customHeight="1">
      <c r="A7" s="127">
        <v>3</v>
      </c>
      <c r="B7" s="21">
        <v>1</v>
      </c>
      <c r="C7" s="108" t="s">
        <v>1283</v>
      </c>
      <c r="D7" s="277" t="str">
        <f>VLOOKUP(C7,Machined!C:Q,2,0)</f>
        <v>Cap Escapement Finger-1</v>
      </c>
      <c r="E7" s="278"/>
      <c r="F7" s="131" t="str">
        <f>VLOOKUP(C7,Machined!C:R,7,0)</f>
        <v>AISI 304</v>
      </c>
      <c r="G7" s="131" t="str">
        <f>VLOOKUP(C7,Machined!C:R,10,0)</f>
        <v>WESCO BHT</v>
      </c>
      <c r="H7" s="131" t="str">
        <f>VLOOKUP(C7,Machined!C:R,11,0)</f>
        <v xml:space="preserve">  </v>
      </c>
      <c r="I7" s="131"/>
      <c r="J7" s="42">
        <f>VLOOKUP(C7,Machined!C:R,12,0)</f>
        <v>45159</v>
      </c>
      <c r="K7" s="42">
        <f>VLOOKUP(C7,Machined!C:R,13,0)</f>
        <v>45161</v>
      </c>
      <c r="L7" s="42">
        <f>VLOOKUP(C7,Machined!C:R,14,0)</f>
        <v>45191</v>
      </c>
      <c r="M7" s="42">
        <f>VLOOKUP(C7,Machined!C:R,15,0)</f>
        <v>45191</v>
      </c>
      <c r="N7" s="43">
        <f>VLOOKUP(C7,Machined!C:R,16,0)</f>
        <v>55092</v>
      </c>
      <c r="O7" s="43" t="e">
        <f t="shared" ca="1" si="0"/>
        <v>#VALUE!</v>
      </c>
      <c r="P7" s="47">
        <f>IFERROR(VLOOKUP(C7,Machined!C:F,3,0),"")</f>
        <v>45.33</v>
      </c>
      <c r="Q7" s="48">
        <f t="shared" si="1"/>
        <v>45.33</v>
      </c>
    </row>
    <row r="8" spans="1:17" s="2" customFormat="1" ht="12.75" customHeight="1">
      <c r="A8" s="127">
        <v>4</v>
      </c>
      <c r="B8" s="21">
        <v>1</v>
      </c>
      <c r="C8" s="108" t="s">
        <v>1284</v>
      </c>
      <c r="D8" s="277" t="str">
        <f>VLOOKUP(C8,Machined!C:Q,2,0)</f>
        <v>P2L Escapement Finger-2 A-Side</v>
      </c>
      <c r="E8" s="278"/>
      <c r="F8" s="131" t="str">
        <f>VLOOKUP(C8,Machined!C:R,7,0)</f>
        <v>AISI 304</v>
      </c>
      <c r="G8" s="131" t="str">
        <f>VLOOKUP(C8,Machined!C:R,10,0)</f>
        <v>WESCO BHT</v>
      </c>
      <c r="H8" s="131" t="str">
        <f>VLOOKUP(C8,Machined!C:R,11,0)</f>
        <v xml:space="preserve">  </v>
      </c>
      <c r="I8" s="131"/>
      <c r="J8" s="42">
        <f>VLOOKUP(C8,Machined!C:R,12,0)</f>
        <v>45159</v>
      </c>
      <c r="K8" s="42">
        <f>VLOOKUP(C8,Machined!C:R,13,0)</f>
        <v>45161</v>
      </c>
      <c r="L8" s="42">
        <f>VLOOKUP(C8,Machined!C:R,14,0)</f>
        <v>45191</v>
      </c>
      <c r="M8" s="42">
        <f>VLOOKUP(C8,Machined!C:R,15,0)</f>
        <v>45191</v>
      </c>
      <c r="N8" s="43">
        <f>VLOOKUP(C8,Machined!C:R,16,0)</f>
        <v>55092</v>
      </c>
      <c r="O8" s="43" t="e">
        <f t="shared" ca="1" si="0"/>
        <v>#VALUE!</v>
      </c>
      <c r="P8" s="47">
        <f>IFERROR(VLOOKUP(C8,Machined!C:F,3,0),"")</f>
        <v>123.63</v>
      </c>
      <c r="Q8" s="48">
        <f t="shared" si="1"/>
        <v>123.63</v>
      </c>
    </row>
    <row r="9" spans="1:17" s="2" customFormat="1" ht="12.75" customHeight="1">
      <c r="A9" s="127">
        <v>5</v>
      </c>
      <c r="B9" s="21">
        <v>1</v>
      </c>
      <c r="C9" s="108" t="s">
        <v>1285</v>
      </c>
      <c r="D9" s="277" t="str">
        <f>VLOOKUP(C9,Machined!C:Q,2,0)</f>
        <v>P2B Escapement Finger-2 A Side</v>
      </c>
      <c r="E9" s="278"/>
      <c r="F9" s="131" t="str">
        <f>VLOOKUP(C9,Machined!C:R,7,0)</f>
        <v>AISI 304</v>
      </c>
      <c r="G9" s="131" t="str">
        <f>VLOOKUP(C9,Machined!C:R,10,0)</f>
        <v>WESCO BHT</v>
      </c>
      <c r="H9" s="131" t="str">
        <f>VLOOKUP(C9,Machined!C:R,11,0)</f>
        <v xml:space="preserve">  </v>
      </c>
      <c r="I9" s="131"/>
      <c r="J9" s="42">
        <f>VLOOKUP(C9,Machined!C:R,12,0)</f>
        <v>45159</v>
      </c>
      <c r="K9" s="42">
        <f>VLOOKUP(C9,Machined!C:R,13,0)</f>
        <v>45161</v>
      </c>
      <c r="L9" s="42">
        <f>VLOOKUP(C9,Machined!C:R,14,0)</f>
        <v>45191</v>
      </c>
      <c r="M9" s="42">
        <f>VLOOKUP(C9,Machined!C:R,15,0)</f>
        <v>45191</v>
      </c>
      <c r="N9" s="43">
        <f>VLOOKUP(C9,Machined!C:R,16,0)</f>
        <v>55092</v>
      </c>
      <c r="O9" s="43" t="e">
        <f t="shared" ca="1" si="0"/>
        <v>#VALUE!</v>
      </c>
      <c r="P9" s="47">
        <f>IFERROR(VLOOKUP(C9,Machined!C:F,3,0),"")</f>
        <v>123.63</v>
      </c>
      <c r="Q9" s="48">
        <f t="shared" si="1"/>
        <v>123.63</v>
      </c>
    </row>
    <row r="10" spans="1:17" s="2" customFormat="1" ht="12.75" customHeight="1">
      <c r="A10" s="143"/>
      <c r="B10" s="26"/>
      <c r="C10" s="26"/>
      <c r="D10" s="272"/>
      <c r="E10" s="273"/>
      <c r="F10" s="26"/>
      <c r="G10" s="26"/>
      <c r="H10" s="274"/>
      <c r="I10" s="275"/>
      <c r="J10" s="27"/>
      <c r="K10" s="27"/>
      <c r="L10" s="27"/>
      <c r="M10" s="28"/>
      <c r="N10" s="29"/>
      <c r="O10" s="29"/>
      <c r="P10" s="141"/>
      <c r="Q10" s="142"/>
    </row>
    <row r="11" spans="1:17" s="2" customFormat="1" ht="12.75" customHeight="1">
      <c r="A11" s="4">
        <v>301</v>
      </c>
      <c r="B11" s="2">
        <v>2</v>
      </c>
      <c r="C11" s="114" t="s">
        <v>476</v>
      </c>
      <c r="D11" s="268" t="str">
        <f>VLOOKUP(C11,Purchased!A:B,2,0)</f>
        <v>SMC Inline Solid PNP Direct</v>
      </c>
      <c r="E11" s="269"/>
      <c r="F11" s="112" t="str">
        <f>VLOOKUP(C11,Purchased!A:Q,9,0)</f>
        <v>SMC</v>
      </c>
      <c r="G11" s="112" t="str">
        <f>VLOOKUP(C11,Purchased!A:Q,10,0)</f>
        <v>AAP</v>
      </c>
      <c r="H11" s="112" t="str">
        <f>VLOOKUP(C11,Purchased!A:Q,12,0)</f>
        <v xml:space="preserve"> </v>
      </c>
      <c r="I11" s="113"/>
      <c r="J11" s="44" t="str">
        <f>VLOOKUP(C11,Purchased!A:Q,13,0)</f>
        <v>N/A</v>
      </c>
      <c r="K11" s="44">
        <f>VLOOKUP(C11,Purchased!A:Q,16,0)</f>
        <v>45180</v>
      </c>
      <c r="L11" s="44">
        <f>VLOOKUP(C11,Purchased!A:Q,15,0)</f>
        <v>45184</v>
      </c>
      <c r="M11" s="44">
        <f>VLOOKUP(C11,Purchased!A:Q,16,0)</f>
        <v>45180</v>
      </c>
      <c r="N11" s="45">
        <f>VLOOKUP(C11,Purchased!A:Q,17,0)</f>
        <v>55037</v>
      </c>
      <c r="O11" s="45" t="e">
        <f t="shared" ref="O11:O21" ca="1" si="2">B11*$L$2</f>
        <v>#VALUE!</v>
      </c>
      <c r="P11" s="49">
        <f>IFERROR(VLOOKUP(C11,Purchased!A:E,3,FALSE),"")</f>
        <v>37.226700000000001</v>
      </c>
      <c r="Q11" s="50">
        <f t="shared" ref="Q11:Q17" si="3">IFERROR(B11*P11,"")</f>
        <v>74.453400000000002</v>
      </c>
    </row>
    <row r="12" spans="1:17" s="2" customFormat="1" ht="12" customHeight="1">
      <c r="A12" s="4">
        <f t="shared" ref="A12:A17" si="4">A11+1</f>
        <v>302</v>
      </c>
      <c r="B12" s="2">
        <v>2</v>
      </c>
      <c r="C12" s="114" t="s">
        <v>477</v>
      </c>
      <c r="D12" s="268" t="str">
        <f>VLOOKUP(C12,Purchased!A:B,2,0)</f>
        <v>MURR M8 Female, 0deg A-Coded, 3-Pin, w/ Cable</v>
      </c>
      <c r="E12" s="269"/>
      <c r="F12" s="112" t="str">
        <f>VLOOKUP(C12,Purchased!A:Q,9,0)</f>
        <v>MURR</v>
      </c>
      <c r="G12" s="112" t="str">
        <f>VLOOKUP(C12,Purchased!A:Q,10,0)</f>
        <v>MURR</v>
      </c>
      <c r="H12" s="112" t="str">
        <f>VLOOKUP(C12,Purchased!A:Q,12,0)</f>
        <v xml:space="preserve">  </v>
      </c>
      <c r="I12" s="113"/>
      <c r="J12" s="44">
        <f>VLOOKUP(C12,Purchased!A:Q,13,0)</f>
        <v>45161</v>
      </c>
      <c r="K12" s="44">
        <f>VLOOKUP(C12,Purchased!A:Q,16,0)</f>
        <v>45184</v>
      </c>
      <c r="L12" s="44">
        <f>VLOOKUP(C12,Purchased!A:Q,15,0)</f>
        <v>45184</v>
      </c>
      <c r="M12" s="44">
        <f>VLOOKUP(C12,Purchased!A:Q,16,0)</f>
        <v>45184</v>
      </c>
      <c r="N12" s="45">
        <f>VLOOKUP(C12,Purchased!A:Q,17,0)</f>
        <v>55080</v>
      </c>
      <c r="O12" s="45" t="e">
        <f t="shared" ca="1" si="2"/>
        <v>#VALUE!</v>
      </c>
      <c r="P12" s="49">
        <f>IFERROR(VLOOKUP(C12,Purchased!A:E,3,FALSE),"")</f>
        <v>21.52</v>
      </c>
      <c r="Q12" s="50">
        <f t="shared" si="3"/>
        <v>43.04</v>
      </c>
    </row>
    <row r="13" spans="1:17" s="2" customFormat="1" ht="12" customHeight="1">
      <c r="A13" s="4">
        <f t="shared" si="4"/>
        <v>303</v>
      </c>
      <c r="B13" s="2">
        <v>1</v>
      </c>
      <c r="C13" s="114" t="s">
        <v>988</v>
      </c>
      <c r="D13" s="268" t="str">
        <f>VLOOKUP(C13,Purchased!A:B,2,0)</f>
        <v>SMC ESCAPEMENT, DBL FINGER</v>
      </c>
      <c r="E13" s="269"/>
      <c r="F13" s="112" t="str">
        <f>VLOOKUP(C13,Purchased!A:Q,9,0)</f>
        <v>SMC</v>
      </c>
      <c r="G13" s="112" t="str">
        <f>VLOOKUP(C13,Purchased!A:Q,10,0)</f>
        <v>AAP</v>
      </c>
      <c r="H13" s="112" t="str">
        <f>VLOOKUP(C13,Purchased!A:Q,12,0)</f>
        <v xml:space="preserve"> </v>
      </c>
      <c r="I13" s="113"/>
      <c r="J13" s="44" t="str">
        <f>VLOOKUP(C13,Purchased!A:Q,13,0)</f>
        <v>N/A</v>
      </c>
      <c r="K13" s="44">
        <f>VLOOKUP(C13,Purchased!A:Q,16,0)</f>
        <v>45141</v>
      </c>
      <c r="L13" s="44">
        <f>VLOOKUP(C13,Purchased!A:Q,15,0)</f>
        <v>45098</v>
      </c>
      <c r="M13" s="44">
        <f>VLOOKUP(C13,Purchased!A:Q,16,0)</f>
        <v>45141</v>
      </c>
      <c r="N13" s="45">
        <f>VLOOKUP(C13,Purchased!A:Q,17,0)</f>
        <v>54862</v>
      </c>
      <c r="O13" s="45" t="e">
        <f t="shared" ca="1" si="2"/>
        <v>#VALUE!</v>
      </c>
      <c r="P13" s="49">
        <f>IFERROR(VLOOKUP(C13,Purchased!A:E,3,FALSE),"")</f>
        <v>353.10969999999998</v>
      </c>
      <c r="Q13" s="50">
        <f t="shared" si="3"/>
        <v>353.10969999999998</v>
      </c>
    </row>
    <row r="14" spans="1:17" s="2" customFormat="1" ht="12" customHeight="1">
      <c r="A14" s="4">
        <f t="shared" si="4"/>
        <v>304</v>
      </c>
      <c r="B14" s="2">
        <v>2</v>
      </c>
      <c r="C14" s="114" t="s">
        <v>1266</v>
      </c>
      <c r="D14" s="268" t="str">
        <f>VLOOKUP(C14,Purchased!A:B,2,0)</f>
        <v>SMC AS2052F-06A speed control w/fitting, FLOW CONTROL W/FITTING 6mm tubing</v>
      </c>
      <c r="E14" s="269"/>
      <c r="F14" s="112" t="str">
        <f>VLOOKUP(C14,Purchased!A:Q,9,0)</f>
        <v>SMC</v>
      </c>
      <c r="G14" s="112" t="str">
        <f>VLOOKUP(C14,Purchased!A:Q,10,0)</f>
        <v>AAP</v>
      </c>
      <c r="H14" s="112" t="str">
        <f>VLOOKUP(C14,Purchased!A:Q,12,0)</f>
        <v xml:space="preserve"> </v>
      </c>
      <c r="I14" s="113"/>
      <c r="J14" s="44" t="str">
        <f>VLOOKUP(C14,Purchased!A:Q,13,0)</f>
        <v>N/A</v>
      </c>
      <c r="K14" s="44">
        <f>VLOOKUP(C14,Purchased!A:Q,16,0)</f>
        <v>45197</v>
      </c>
      <c r="L14" s="44">
        <f>VLOOKUP(C14,Purchased!A:Q,15,0)</f>
        <v>45184</v>
      </c>
      <c r="M14" s="44">
        <f>VLOOKUP(C14,Purchased!A:Q,16,0)</f>
        <v>45197</v>
      </c>
      <c r="N14" s="45">
        <f>VLOOKUP(C14,Purchased!A:Q,17,0)</f>
        <v>55073</v>
      </c>
      <c r="O14" s="45" t="e">
        <f t="shared" ca="1" si="2"/>
        <v>#VALUE!</v>
      </c>
      <c r="P14" s="49">
        <f>IFERROR(VLOOKUP(C14,Purchased!A:E,3,FALSE),"")</f>
        <v>14.773999999999999</v>
      </c>
      <c r="Q14" s="50">
        <f t="shared" si="3"/>
        <v>29.547999999999998</v>
      </c>
    </row>
    <row r="15" spans="1:17" s="2" customFormat="1" ht="12" customHeight="1">
      <c r="A15" s="4">
        <f t="shared" si="4"/>
        <v>305</v>
      </c>
      <c r="B15" s="2">
        <v>2</v>
      </c>
      <c r="C15" s="114" t="s">
        <v>722</v>
      </c>
      <c r="D15" s="268" t="str">
        <f>VLOOKUP(C15,Purchased!A:B,2,0)</f>
        <v>SMC FITTING, MALE ELBOW</v>
      </c>
      <c r="E15" s="269"/>
      <c r="F15" s="112" t="str">
        <f>VLOOKUP(C15,Purchased!A:Q,9,0)</f>
        <v>SMC</v>
      </c>
      <c r="G15" s="112" t="str">
        <f>VLOOKUP(C15,Purchased!A:Q,10,0)</f>
        <v>AAP</v>
      </c>
      <c r="H15" s="112" t="str">
        <f>VLOOKUP(C15,Purchased!A:Q,12,0)</f>
        <v xml:space="preserve"> </v>
      </c>
      <c r="I15" s="113"/>
      <c r="J15" s="44" t="str">
        <f>VLOOKUP(C15,Purchased!A:Q,13,0)</f>
        <v>N/A</v>
      </c>
      <c r="K15" s="44">
        <f>VLOOKUP(C15,Purchased!A:Q,16,0)</f>
        <v>45180</v>
      </c>
      <c r="L15" s="44">
        <f>VLOOKUP(C15,Purchased!A:Q,15,0)</f>
        <v>45184</v>
      </c>
      <c r="M15" s="44">
        <f>VLOOKUP(C15,Purchased!A:Q,16,0)</f>
        <v>45180</v>
      </c>
      <c r="N15" s="45">
        <f>VLOOKUP(C15,Purchased!A:Q,17,0)</f>
        <v>55037</v>
      </c>
      <c r="O15" s="45" t="e">
        <f t="shared" ca="1" si="2"/>
        <v>#VALUE!</v>
      </c>
      <c r="P15" s="49">
        <f>IFERROR(VLOOKUP(C15,Purchased!A:E,3,FALSE),"")</f>
        <v>1.7292000000000001</v>
      </c>
      <c r="Q15" s="50">
        <f t="shared" si="3"/>
        <v>3.4584000000000001</v>
      </c>
    </row>
    <row r="16" spans="1:17" s="2" customFormat="1" ht="12" customHeight="1">
      <c r="A16" s="4">
        <f t="shared" si="4"/>
        <v>306</v>
      </c>
      <c r="B16" s="2">
        <v>2</v>
      </c>
      <c r="C16" s="114" t="s">
        <v>1286</v>
      </c>
      <c r="D16" s="268" t="str">
        <f>VLOOKUP(C16,Purchased!A:B,2,0)</f>
        <v>91455A612_Zinc-Plated Class 10.9 Steel Washer for M8</v>
      </c>
      <c r="E16" s="269"/>
      <c r="F16" s="112" t="str">
        <f>VLOOKUP(C16,Purchased!A:Q,9,0)</f>
        <v>MCM</v>
      </c>
      <c r="G16" s="112" t="str">
        <f>VLOOKUP(C16,Purchased!A:Q,10,0)</f>
        <v>MCM</v>
      </c>
      <c r="H16" s="112" t="str">
        <f>VLOOKUP(C16,Purchased!A:Q,12,0)</f>
        <v xml:space="preserve"> </v>
      </c>
      <c r="I16" s="113"/>
      <c r="J16" s="44" t="str">
        <f>VLOOKUP(C16,Purchased!A:Q,13,0)</f>
        <v>N/A</v>
      </c>
      <c r="K16" s="44">
        <f>VLOOKUP(C16,Purchased!A:Q,16,0)</f>
        <v>45163</v>
      </c>
      <c r="L16" s="44">
        <f>VLOOKUP(C16,Purchased!A:Q,15,0)</f>
        <v>45184</v>
      </c>
      <c r="M16" s="44">
        <f>VLOOKUP(C16,Purchased!A:Q,16,0)</f>
        <v>45163</v>
      </c>
      <c r="N16" s="45">
        <f>VLOOKUP(C16,Purchased!A:Q,17,0)</f>
        <v>55088</v>
      </c>
      <c r="O16" s="45" t="e">
        <f t="shared" ca="1" si="2"/>
        <v>#VALUE!</v>
      </c>
      <c r="P16" s="49">
        <f>IFERROR(VLOOKUP(C16,Purchased!A:E,3,FALSE),"")</f>
        <v>7.07</v>
      </c>
      <c r="Q16" s="50">
        <f t="shared" si="3"/>
        <v>14.14</v>
      </c>
    </row>
    <row r="17" spans="1:17" s="2" customFormat="1" ht="12" customHeight="1">
      <c r="A17" s="4">
        <f t="shared" si="4"/>
        <v>307</v>
      </c>
      <c r="B17" s="2">
        <v>4</v>
      </c>
      <c r="C17" s="114" t="s">
        <v>1287</v>
      </c>
      <c r="D17" s="268" t="str">
        <f>VLOOKUP(C17,Purchased!A:B,2,0)</f>
        <v>Aluminum Unthreaded Spacer, 13 mm OD, 30 mm Long, for M6 Screw Size</v>
      </c>
      <c r="E17" s="269"/>
      <c r="F17" s="112" t="str">
        <f>VLOOKUP(C17,Purchased!A:Q,9,0)</f>
        <v>MCM</v>
      </c>
      <c r="G17" s="112" t="str">
        <f>VLOOKUP(C17,Purchased!A:Q,10,0)</f>
        <v>MCM</v>
      </c>
      <c r="H17" s="112" t="str">
        <f>VLOOKUP(C17,Purchased!A:Q,12,0)</f>
        <v xml:space="preserve"> </v>
      </c>
      <c r="I17" s="113"/>
      <c r="J17" s="44" t="str">
        <f>VLOOKUP(C17,Purchased!A:Q,13,0)</f>
        <v>N/A</v>
      </c>
      <c r="K17" s="44">
        <f>VLOOKUP(C17,Purchased!A:Q,16,0)</f>
        <v>45163</v>
      </c>
      <c r="L17" s="44">
        <f>VLOOKUP(C17,Purchased!A:Q,15,0)</f>
        <v>45184</v>
      </c>
      <c r="M17" s="44">
        <f>VLOOKUP(C17,Purchased!A:Q,16,0)</f>
        <v>45163</v>
      </c>
      <c r="N17" s="45">
        <f>VLOOKUP(C17,Purchased!A:Q,17,0)</f>
        <v>55089</v>
      </c>
      <c r="O17" s="45" t="e">
        <f t="shared" ca="1" si="2"/>
        <v>#VALUE!</v>
      </c>
      <c r="P17" s="49">
        <f>IFERROR(VLOOKUP(C17,Purchased!A:E,3,FALSE),"")</f>
        <v>2.79</v>
      </c>
      <c r="Q17" s="50">
        <f t="shared" si="3"/>
        <v>11.16</v>
      </c>
    </row>
    <row r="18" spans="1:17" s="2" customFormat="1" ht="12.75" customHeight="1">
      <c r="A18" s="25"/>
      <c r="B18" s="26"/>
      <c r="C18" s="26"/>
      <c r="D18" s="272"/>
      <c r="E18" s="273"/>
      <c r="F18" s="26"/>
      <c r="G18" s="26"/>
      <c r="H18" s="274"/>
      <c r="I18" s="275"/>
      <c r="J18" s="27"/>
      <c r="K18" s="27"/>
      <c r="L18" s="27"/>
      <c r="M18" s="28"/>
      <c r="N18" s="29"/>
      <c r="O18" s="29" t="e">
        <f t="shared" ca="1" si="2"/>
        <v>#VALUE!</v>
      </c>
      <c r="P18" s="141"/>
      <c r="Q18" s="142"/>
    </row>
    <row r="19" spans="1:17" s="2" customFormat="1" ht="12.75" customHeight="1">
      <c r="A19" s="4">
        <v>501</v>
      </c>
      <c r="B19" s="2">
        <v>4</v>
      </c>
      <c r="C19" s="110" t="s">
        <v>342</v>
      </c>
      <c r="D19" s="268"/>
      <c r="E19" s="276"/>
      <c r="F19" s="112" t="str">
        <f>VLOOKUP(C19,Bolts!A:L,5,0)</f>
        <v xml:space="preserve">  </v>
      </c>
      <c r="G19" s="112" t="str">
        <f>VLOOKUP(C19,Bolts!A:L,6,0)</f>
        <v>Monroe Fasteners</v>
      </c>
      <c r="H19" s="112" t="str">
        <f>VLOOKUP(C19,Bolts!A:L,7,0)</f>
        <v xml:space="preserve">  </v>
      </c>
      <c r="I19" s="112"/>
      <c r="J19" s="44" t="str">
        <f>VLOOKUP(C19,Bolts!A:L,8,0)</f>
        <v xml:space="preserve"> </v>
      </c>
      <c r="K19" s="44" t="str">
        <f>VLOOKUP(C19,Bolts!A:L,9,0)</f>
        <v xml:space="preserve"> </v>
      </c>
      <c r="L19" s="44" t="str">
        <f>VLOOKUP(C19,Bolts!A:L,10,0)</f>
        <v xml:space="preserve"> </v>
      </c>
      <c r="M19" s="44" t="str">
        <f>VLOOKUP(C19,Bolts!A:L,11,0)</f>
        <v xml:space="preserve"> </v>
      </c>
      <c r="N19" s="45" t="str">
        <f>VLOOKUP(C19,Bolts!A:L,12,0)</f>
        <v xml:space="preserve"> </v>
      </c>
      <c r="O19" s="45" t="e">
        <f ca="1">B19*$L$2</f>
        <v>#VALUE!</v>
      </c>
      <c r="P19" s="49" t="str">
        <f>IFERROR(VLOOKUP(C19,Bolts!A:B,2,FALSE),"")</f>
        <v xml:space="preserve"> </v>
      </c>
      <c r="Q19" s="50" t="str">
        <f t="shared" ref="Q19:Q21" si="5">IFERROR(B19*P19,"")</f>
        <v/>
      </c>
    </row>
    <row r="20" spans="1:17" s="2" customFormat="1" ht="12.75" customHeight="1">
      <c r="A20" s="4">
        <f t="shared" ref="A20:A24" si="6">A19+1</f>
        <v>502</v>
      </c>
      <c r="B20" s="2">
        <v>4</v>
      </c>
      <c r="C20" s="110" t="s">
        <v>1288</v>
      </c>
      <c r="D20" s="268"/>
      <c r="E20" s="276"/>
      <c r="F20" s="112" t="str">
        <f>VLOOKUP(C20,Bolts!A:L,5,0)</f>
        <v xml:space="preserve">  </v>
      </c>
      <c r="G20" s="112" t="str">
        <f>VLOOKUP(C20,Bolts!A:L,6,0)</f>
        <v>Monroe Fasteners</v>
      </c>
      <c r="H20" s="112" t="str">
        <f>VLOOKUP(C20,Bolts!A:L,7,0)</f>
        <v xml:space="preserve">  </v>
      </c>
      <c r="I20" s="112"/>
      <c r="J20" s="44" t="str">
        <f>VLOOKUP(C20,Bolts!A:L,8,0)</f>
        <v xml:space="preserve"> </v>
      </c>
      <c r="K20" s="44" t="str">
        <f>VLOOKUP(C20,Bolts!A:L,9,0)</f>
        <v xml:space="preserve"> </v>
      </c>
      <c r="L20" s="44" t="str">
        <f>VLOOKUP(C20,Bolts!A:L,10,0)</f>
        <v xml:space="preserve"> </v>
      </c>
      <c r="M20" s="44" t="str">
        <f>VLOOKUP(C20,Bolts!A:L,11,0)</f>
        <v xml:space="preserve"> </v>
      </c>
      <c r="N20" s="45" t="str">
        <f>VLOOKUP(C20,Bolts!A:L,12,0)</f>
        <v xml:space="preserve"> </v>
      </c>
      <c r="O20" s="45" t="e">
        <f t="shared" ca="1" si="2"/>
        <v>#VALUE!</v>
      </c>
      <c r="P20" s="49" t="str">
        <f>IFERROR(VLOOKUP(C20,Bolts!A:B,2,FALSE),"")</f>
        <v xml:space="preserve"> </v>
      </c>
      <c r="Q20" s="50" t="str">
        <f t="shared" si="5"/>
        <v/>
      </c>
    </row>
    <row r="21" spans="1:17" s="2" customFormat="1" ht="12" customHeight="1">
      <c r="A21" s="4">
        <f t="shared" si="6"/>
        <v>503</v>
      </c>
      <c r="B21" s="2">
        <v>5</v>
      </c>
      <c r="C21" s="110" t="s">
        <v>606</v>
      </c>
      <c r="D21" s="268"/>
      <c r="E21" s="276"/>
      <c r="F21" s="112" t="str">
        <f>VLOOKUP(C21,Bolts!A:L,5,0)</f>
        <v xml:space="preserve">  </v>
      </c>
      <c r="G21" s="112" t="str">
        <f>VLOOKUP(C21,Bolts!A:L,6,0)</f>
        <v>Monroe Fasteners</v>
      </c>
      <c r="H21" s="112" t="str">
        <f>VLOOKUP(C21,Bolts!A:L,7,0)</f>
        <v xml:space="preserve">  </v>
      </c>
      <c r="I21" s="112"/>
      <c r="J21" s="44" t="str">
        <f>VLOOKUP(C21,Bolts!A:L,8,0)</f>
        <v xml:space="preserve"> </v>
      </c>
      <c r="K21" s="44" t="str">
        <f>VLOOKUP(C21,Bolts!A:L,9,0)</f>
        <v xml:space="preserve"> </v>
      </c>
      <c r="L21" s="44" t="str">
        <f>VLOOKUP(C21,Bolts!A:L,10,0)</f>
        <v xml:space="preserve"> </v>
      </c>
      <c r="M21" s="44" t="str">
        <f>VLOOKUP(C21,Bolts!A:L,11,0)</f>
        <v xml:space="preserve"> </v>
      </c>
      <c r="N21" s="45" t="str">
        <f>VLOOKUP(C21,Bolts!A:L,12,0)</f>
        <v xml:space="preserve"> </v>
      </c>
      <c r="O21" s="45" t="e">
        <f t="shared" ca="1" si="2"/>
        <v>#VALUE!</v>
      </c>
      <c r="P21" s="49" t="str">
        <f>IFERROR(VLOOKUP(C21,Bolts!A:B,2,FALSE),"")</f>
        <v xml:space="preserve"> </v>
      </c>
      <c r="Q21" s="50" t="str">
        <f t="shared" si="5"/>
        <v/>
      </c>
    </row>
    <row r="22" spans="1:17" s="2" customFormat="1" ht="12" customHeight="1">
      <c r="A22" s="4">
        <f t="shared" si="6"/>
        <v>504</v>
      </c>
      <c r="B22" s="2">
        <v>2</v>
      </c>
      <c r="C22" s="110" t="s">
        <v>451</v>
      </c>
      <c r="D22" s="268"/>
      <c r="E22" s="276"/>
      <c r="F22" s="112" t="str">
        <f>VLOOKUP(C22,Bolts!A:L,5,0)</f>
        <v xml:space="preserve">  </v>
      </c>
      <c r="G22" s="112" t="str">
        <f>VLOOKUP(C22,Bolts!A:L,6,0)</f>
        <v>Monroe Fasteners</v>
      </c>
      <c r="H22" s="112" t="str">
        <f>VLOOKUP(C22,Bolts!A:L,7,0)</f>
        <v xml:space="preserve">  </v>
      </c>
      <c r="I22" s="112"/>
      <c r="J22" s="44" t="str">
        <f>VLOOKUP(C22,Bolts!A:L,8,0)</f>
        <v xml:space="preserve"> </v>
      </c>
      <c r="K22" s="44" t="str">
        <f>VLOOKUP(C22,Bolts!A:L,9,0)</f>
        <v xml:space="preserve"> </v>
      </c>
      <c r="L22" s="44" t="str">
        <f>VLOOKUP(C22,Bolts!A:L,10,0)</f>
        <v xml:space="preserve"> </v>
      </c>
      <c r="M22" s="44" t="str">
        <f>VLOOKUP(C22,Bolts!A:L,11,0)</f>
        <v xml:space="preserve"> </v>
      </c>
      <c r="N22" s="45" t="str">
        <f>VLOOKUP(C22,Bolts!A:L,12,0)</f>
        <v xml:space="preserve"> </v>
      </c>
      <c r="O22" s="45" t="e">
        <f t="shared" ref="O22:O24" ca="1" si="7">B22*$L$2</f>
        <v>#VALUE!</v>
      </c>
      <c r="P22" s="49" t="str">
        <f>IFERROR(VLOOKUP(C22,Bolts!A:B,2,FALSE),"")</f>
        <v xml:space="preserve"> </v>
      </c>
      <c r="Q22" s="50" t="str">
        <f t="shared" ref="Q22:Q24" si="8">IFERROR(B22*P22,"")</f>
        <v/>
      </c>
    </row>
    <row r="23" spans="1:17" s="2" customFormat="1" ht="12" customHeight="1">
      <c r="A23" s="4">
        <f t="shared" si="6"/>
        <v>505</v>
      </c>
      <c r="B23" s="2">
        <v>8</v>
      </c>
      <c r="C23" s="110" t="s">
        <v>595</v>
      </c>
      <c r="D23" s="268"/>
      <c r="E23" s="276"/>
      <c r="F23" s="112" t="str">
        <f>VLOOKUP(C23,Bolts!A:L,5,0)</f>
        <v xml:space="preserve">  </v>
      </c>
      <c r="G23" s="112" t="str">
        <f>VLOOKUP(C23,Bolts!A:L,6,0)</f>
        <v>Monroe Fasteners</v>
      </c>
      <c r="H23" s="112" t="str">
        <f>VLOOKUP(C23,Bolts!A:L,7,0)</f>
        <v xml:space="preserve">  </v>
      </c>
      <c r="I23" s="112"/>
      <c r="J23" s="44" t="str">
        <f>VLOOKUP(C23,Bolts!A:L,8,0)</f>
        <v xml:space="preserve"> </v>
      </c>
      <c r="K23" s="44" t="str">
        <f>VLOOKUP(C23,Bolts!A:L,9,0)</f>
        <v xml:space="preserve"> </v>
      </c>
      <c r="L23" s="44" t="str">
        <f>VLOOKUP(C23,Bolts!A:L,10,0)</f>
        <v xml:space="preserve"> </v>
      </c>
      <c r="M23" s="44" t="str">
        <f>VLOOKUP(C23,Bolts!A:L,11,0)</f>
        <v xml:space="preserve"> </v>
      </c>
      <c r="N23" s="45" t="str">
        <f>VLOOKUP(C23,Bolts!A:L,12,0)</f>
        <v xml:space="preserve"> </v>
      </c>
      <c r="O23" s="45" t="e">
        <f t="shared" ca="1" si="7"/>
        <v>#VALUE!</v>
      </c>
      <c r="P23" s="49" t="str">
        <f>IFERROR(VLOOKUP(C23,Bolts!A:B,2,FALSE),"")</f>
        <v xml:space="preserve"> </v>
      </c>
      <c r="Q23" s="50" t="str">
        <f t="shared" si="8"/>
        <v/>
      </c>
    </row>
    <row r="24" spans="1:17" s="2" customFormat="1" ht="12" customHeight="1" thickBot="1">
      <c r="A24" s="4">
        <f t="shared" si="6"/>
        <v>506</v>
      </c>
      <c r="B24" s="2">
        <v>3</v>
      </c>
      <c r="C24" s="110" t="s">
        <v>515</v>
      </c>
      <c r="D24" s="268"/>
      <c r="E24" s="276"/>
      <c r="F24" s="112" t="str">
        <f>VLOOKUP(C24,Bolts!A:L,5,0)</f>
        <v xml:space="preserve">  </v>
      </c>
      <c r="G24" s="112" t="str">
        <f>VLOOKUP(C24,Bolts!A:L,6,0)</f>
        <v>Monroe Fasteners</v>
      </c>
      <c r="H24" s="112" t="str">
        <f>VLOOKUP(C24,Bolts!A:L,7,0)</f>
        <v xml:space="preserve">  </v>
      </c>
      <c r="I24" s="112"/>
      <c r="J24" s="44" t="str">
        <f>VLOOKUP(C24,Bolts!A:L,8,0)</f>
        <v xml:space="preserve"> </v>
      </c>
      <c r="K24" s="44" t="str">
        <f>VLOOKUP(C24,Bolts!A:L,9,0)</f>
        <v xml:space="preserve"> </v>
      </c>
      <c r="L24" s="44" t="str">
        <f>VLOOKUP(C24,Bolts!A:L,10,0)</f>
        <v xml:space="preserve"> </v>
      </c>
      <c r="M24" s="44" t="str">
        <f>VLOOKUP(C24,Bolts!A:L,11,0)</f>
        <v xml:space="preserve"> </v>
      </c>
      <c r="N24" s="45" t="str">
        <f>VLOOKUP(C24,Bolts!A:L,12,0)</f>
        <v xml:space="preserve"> </v>
      </c>
      <c r="O24" s="45" t="e">
        <f t="shared" ca="1" si="7"/>
        <v>#VALUE!</v>
      </c>
      <c r="P24" s="49" t="str">
        <f>IFERROR(VLOOKUP(C24,Bolts!A:B,2,FALSE),"")</f>
        <v xml:space="preserve"> </v>
      </c>
      <c r="Q24" s="50" t="str">
        <f t="shared" si="8"/>
        <v/>
      </c>
    </row>
    <row r="25" spans="1:17" s="2" customFormat="1" ht="12.75" customHeight="1" thickBot="1">
      <c r="A25" s="34"/>
      <c r="B25" s="35"/>
      <c r="C25" s="35"/>
      <c r="D25" s="256"/>
      <c r="E25" s="257"/>
      <c r="F25" s="35"/>
      <c r="G25" s="35"/>
      <c r="H25" s="294"/>
      <c r="I25" s="295"/>
      <c r="J25" s="36"/>
      <c r="K25" s="36"/>
      <c r="L25" s="36"/>
      <c r="M25" s="37"/>
      <c r="N25" s="38"/>
      <c r="O25" s="38"/>
      <c r="P25" s="89" t="s">
        <v>43</v>
      </c>
      <c r="Q25" s="94">
        <f>SUM(Q5:Q21)</f>
        <v>821.4994999999999</v>
      </c>
    </row>
    <row r="26" spans="1:17" s="2" customFormat="1" ht="12" customHeight="1">
      <c r="D26" s="22"/>
      <c r="E26" s="22"/>
      <c r="J26" s="8"/>
      <c r="K26" s="8"/>
      <c r="L26" s="8"/>
      <c r="M26" s="8"/>
      <c r="N26" s="5"/>
      <c r="O26" s="5"/>
      <c r="P26" s="88"/>
      <c r="Q26" s="95"/>
    </row>
    <row r="27" spans="1:17" s="2" customFormat="1" ht="12" customHeight="1">
      <c r="D27" s="22"/>
      <c r="E27" s="22"/>
      <c r="J27" s="5"/>
      <c r="K27" s="5"/>
      <c r="L27" s="5"/>
      <c r="M27" s="5"/>
      <c r="N27" s="5"/>
      <c r="O27" s="5"/>
      <c r="P27" s="88"/>
      <c r="Q27" s="95"/>
    </row>
    <row r="28" spans="1:17" s="2" customFormat="1" ht="12" customHeight="1">
      <c r="D28" s="22"/>
      <c r="E28" s="22"/>
      <c r="J28" s="5"/>
      <c r="K28" s="5"/>
      <c r="L28" s="5"/>
      <c r="M28" s="5"/>
      <c r="N28" s="5"/>
      <c r="O28" s="5"/>
      <c r="P28" s="88"/>
      <c r="Q28" s="95"/>
    </row>
    <row r="29" spans="1:17" s="2" customFormat="1" ht="12" customHeight="1">
      <c r="D29" s="22"/>
      <c r="E29" s="22"/>
      <c r="J29" s="5"/>
      <c r="K29" s="5"/>
      <c r="L29" s="5"/>
      <c r="M29" s="5"/>
      <c r="N29" s="5"/>
      <c r="O29" s="5"/>
      <c r="P29" s="88"/>
      <c r="Q29" s="95"/>
    </row>
    <row r="30" spans="1:17" s="2" customFormat="1" ht="12" customHeight="1">
      <c r="D30" s="22"/>
      <c r="E30" s="22"/>
      <c r="J30" s="5"/>
      <c r="K30" s="5"/>
      <c r="L30" s="5"/>
      <c r="M30" s="5"/>
      <c r="N30" s="5"/>
      <c r="O30" s="5"/>
      <c r="P30" s="88"/>
      <c r="Q30" s="95"/>
    </row>
    <row r="31" spans="1:17" s="2" customFormat="1" ht="12" customHeight="1">
      <c r="D31" s="22"/>
      <c r="E31" s="22"/>
      <c r="J31" s="5"/>
      <c r="K31" s="5"/>
      <c r="L31" s="5"/>
      <c r="M31" s="5"/>
      <c r="N31" s="5"/>
      <c r="O31" s="5"/>
      <c r="P31" s="88"/>
      <c r="Q31" s="95"/>
    </row>
    <row r="32" spans="1:17" s="2" customFormat="1" ht="12" customHeight="1">
      <c r="D32" s="22"/>
      <c r="E32" s="22"/>
      <c r="J32" s="5"/>
      <c r="K32" s="5"/>
      <c r="L32" s="5"/>
      <c r="M32" s="5"/>
      <c r="N32" s="5"/>
      <c r="O32" s="5"/>
      <c r="P32" s="88"/>
      <c r="Q32" s="95"/>
    </row>
    <row r="33" spans="4:17" s="2" customFormat="1" ht="12" customHeight="1">
      <c r="D33" s="22"/>
      <c r="E33" s="22"/>
      <c r="J33" s="5"/>
      <c r="K33" s="5"/>
      <c r="L33" s="5"/>
      <c r="M33" s="5"/>
      <c r="N33" s="5"/>
      <c r="O33" s="5"/>
      <c r="P33" s="88"/>
      <c r="Q33" s="95"/>
    </row>
    <row r="34" spans="4:17" s="2" customFormat="1" ht="12" customHeight="1">
      <c r="D34" s="22"/>
      <c r="E34" s="22"/>
      <c r="J34" s="5"/>
      <c r="K34" s="5"/>
      <c r="L34" s="5"/>
      <c r="M34" s="5"/>
      <c r="N34" s="5"/>
      <c r="O34" s="5"/>
      <c r="P34" s="88"/>
      <c r="Q34" s="95"/>
    </row>
    <row r="35" spans="4:17" s="2" customFormat="1" ht="12" customHeight="1">
      <c r="D35" s="22"/>
      <c r="E35" s="22"/>
      <c r="J35" s="5"/>
      <c r="K35" s="5"/>
      <c r="L35" s="5"/>
      <c r="M35" s="5"/>
      <c r="N35" s="5"/>
      <c r="O35" s="5"/>
      <c r="P35" s="88"/>
      <c r="Q35" s="95"/>
    </row>
    <row r="36" spans="4:17" s="2" customFormat="1" ht="12" customHeight="1">
      <c r="D36" s="22"/>
      <c r="E36" s="22"/>
      <c r="J36" s="5"/>
      <c r="K36" s="5"/>
      <c r="L36" s="5"/>
      <c r="M36" s="5"/>
      <c r="N36" s="5"/>
      <c r="O36" s="5"/>
      <c r="P36" s="88"/>
      <c r="Q36" s="95"/>
    </row>
    <row r="37" spans="4:17" s="2" customFormat="1" ht="12" customHeight="1">
      <c r="D37" s="22"/>
      <c r="E37" s="22"/>
      <c r="J37" s="5"/>
      <c r="K37" s="5"/>
      <c r="L37" s="5"/>
      <c r="M37" s="5"/>
      <c r="N37" s="5"/>
      <c r="O37" s="5"/>
      <c r="P37" s="88"/>
      <c r="Q37" s="95"/>
    </row>
    <row r="38" spans="4:17" s="2" customFormat="1" ht="12" customHeight="1">
      <c r="D38" s="22"/>
      <c r="E38" s="22"/>
      <c r="J38" s="5"/>
      <c r="K38" s="5"/>
      <c r="L38" s="5"/>
      <c r="M38" s="5"/>
      <c r="N38" s="5"/>
      <c r="O38" s="5"/>
      <c r="P38" s="88"/>
      <c r="Q38" s="95"/>
    </row>
    <row r="39" spans="4:17" s="2" customFormat="1" ht="12" customHeight="1">
      <c r="D39" s="22"/>
      <c r="E39" s="22"/>
      <c r="J39" s="5"/>
      <c r="K39" s="5"/>
      <c r="L39" s="5"/>
      <c r="M39" s="5"/>
      <c r="N39" s="5"/>
      <c r="O39" s="5"/>
      <c r="P39" s="88"/>
      <c r="Q39" s="95"/>
    </row>
    <row r="40" spans="4:17" s="2" customFormat="1" ht="12" customHeight="1">
      <c r="D40" s="22"/>
      <c r="E40" s="22"/>
      <c r="J40" s="5"/>
      <c r="K40" s="5"/>
      <c r="L40" s="5"/>
      <c r="M40" s="5"/>
      <c r="N40" s="5"/>
      <c r="O40" s="5"/>
      <c r="P40" s="88"/>
      <c r="Q40" s="95"/>
    </row>
    <row r="41" spans="4:17" s="2" customFormat="1" ht="12" customHeight="1">
      <c r="D41" s="22"/>
      <c r="E41" s="22"/>
      <c r="J41" s="5"/>
      <c r="K41" s="5"/>
      <c r="L41" s="5"/>
      <c r="M41" s="5"/>
      <c r="N41" s="5"/>
      <c r="O41" s="5"/>
      <c r="P41" s="88"/>
      <c r="Q41" s="95"/>
    </row>
    <row r="42" spans="4:17" s="2" customFormat="1" ht="12" customHeight="1">
      <c r="D42" s="22"/>
      <c r="E42" s="22"/>
      <c r="J42" s="5"/>
      <c r="K42" s="5"/>
      <c r="L42" s="5"/>
      <c r="M42" s="5"/>
      <c r="N42" s="5"/>
      <c r="O42" s="5"/>
      <c r="P42" s="88"/>
      <c r="Q42" s="95"/>
    </row>
    <row r="43" spans="4:17" s="2" customFormat="1" ht="12" customHeight="1">
      <c r="D43" s="22"/>
      <c r="E43" s="22"/>
      <c r="J43" s="5"/>
      <c r="K43" s="5"/>
      <c r="L43" s="5"/>
      <c r="M43" s="5"/>
      <c r="N43" s="5"/>
      <c r="O43" s="5"/>
      <c r="P43" s="88"/>
      <c r="Q43" s="95"/>
    </row>
    <row r="44" spans="4:17" s="2" customFormat="1" ht="12" customHeight="1">
      <c r="D44" s="22"/>
      <c r="E44" s="22"/>
      <c r="J44" s="5"/>
      <c r="K44" s="5"/>
      <c r="L44" s="5"/>
      <c r="M44" s="5"/>
      <c r="N44" s="5"/>
      <c r="O44" s="5"/>
      <c r="P44" s="88"/>
      <c r="Q44" s="95"/>
    </row>
    <row r="45" spans="4:17" s="2" customFormat="1" ht="12" customHeight="1">
      <c r="D45" s="22"/>
      <c r="E45" s="22"/>
      <c r="J45" s="5"/>
      <c r="K45" s="5"/>
      <c r="L45" s="5"/>
      <c r="M45" s="5"/>
      <c r="N45" s="5"/>
      <c r="O45" s="5"/>
      <c r="P45" s="88"/>
      <c r="Q45" s="95"/>
    </row>
    <row r="46" spans="4:17" s="2" customFormat="1" ht="12" customHeight="1">
      <c r="D46" s="22"/>
      <c r="E46" s="22"/>
      <c r="J46" s="5"/>
      <c r="K46" s="5"/>
      <c r="L46" s="5"/>
      <c r="M46" s="5"/>
      <c r="N46" s="5"/>
      <c r="O46" s="5"/>
      <c r="P46" s="88"/>
      <c r="Q46" s="95"/>
    </row>
    <row r="47" spans="4:17" s="2" customFormat="1" ht="12" customHeight="1">
      <c r="D47" s="22"/>
      <c r="E47" s="22"/>
      <c r="J47" s="5"/>
      <c r="K47" s="5"/>
      <c r="L47" s="5"/>
      <c r="M47" s="5"/>
      <c r="N47" s="5"/>
      <c r="O47" s="5"/>
      <c r="P47" s="88"/>
      <c r="Q47" s="95"/>
    </row>
    <row r="48" spans="4:17" s="2" customFormat="1" ht="12" customHeight="1">
      <c r="D48" s="22"/>
      <c r="E48" s="22"/>
      <c r="J48" s="5"/>
      <c r="K48" s="5"/>
      <c r="L48" s="5"/>
      <c r="M48" s="5"/>
      <c r="N48" s="5"/>
      <c r="O48" s="5"/>
      <c r="P48" s="88"/>
      <c r="Q48" s="95"/>
    </row>
    <row r="49" spans="4:17" s="2" customFormat="1" ht="12" customHeight="1">
      <c r="D49" s="22"/>
      <c r="E49" s="22"/>
      <c r="J49" s="5"/>
      <c r="K49" s="5"/>
      <c r="L49" s="5"/>
      <c r="M49" s="5"/>
      <c r="N49" s="5"/>
      <c r="O49" s="5"/>
      <c r="P49" s="88"/>
      <c r="Q49" s="95"/>
    </row>
    <row r="50" spans="4:17" s="2" customFormat="1" ht="12" customHeight="1">
      <c r="D50" s="22"/>
      <c r="E50" s="22"/>
      <c r="J50" s="5"/>
      <c r="K50" s="5"/>
      <c r="L50" s="5"/>
      <c r="M50" s="5"/>
      <c r="N50" s="5"/>
      <c r="O50" s="5"/>
      <c r="P50" s="88"/>
      <c r="Q50" s="95"/>
    </row>
    <row r="51" spans="4:17" s="2" customFormat="1" ht="12" customHeight="1">
      <c r="D51" s="22"/>
      <c r="E51" s="22"/>
      <c r="J51" s="5"/>
      <c r="K51" s="5"/>
      <c r="L51" s="5"/>
      <c r="M51" s="5"/>
      <c r="N51" s="5"/>
      <c r="O51" s="5"/>
      <c r="P51" s="88"/>
      <c r="Q51" s="95"/>
    </row>
    <row r="52" spans="4:17" s="2" customFormat="1" ht="12" customHeight="1">
      <c r="D52" s="22"/>
      <c r="E52" s="22"/>
      <c r="J52" s="5"/>
      <c r="K52" s="5"/>
      <c r="L52" s="5"/>
      <c r="M52" s="5"/>
      <c r="N52" s="5"/>
      <c r="O52" s="5"/>
      <c r="P52" s="88"/>
      <c r="Q52" s="95"/>
    </row>
    <row r="53" spans="4:17" s="2" customFormat="1" ht="12" customHeight="1">
      <c r="D53" s="22"/>
      <c r="E53" s="22"/>
      <c r="J53" s="5"/>
      <c r="K53" s="5"/>
      <c r="L53" s="5"/>
      <c r="M53" s="5"/>
      <c r="N53" s="5"/>
      <c r="O53" s="5"/>
      <c r="P53" s="88"/>
      <c r="Q53" s="95"/>
    </row>
    <row r="54" spans="4:17" s="2" customFormat="1" ht="12" customHeight="1">
      <c r="D54" s="22"/>
      <c r="E54" s="22"/>
      <c r="J54" s="5"/>
      <c r="K54" s="5"/>
      <c r="L54" s="5"/>
      <c r="M54" s="5"/>
      <c r="N54" s="5"/>
      <c r="O54" s="5"/>
      <c r="P54" s="88"/>
      <c r="Q54" s="95"/>
    </row>
    <row r="55" spans="4:17" s="2" customFormat="1" ht="12" customHeight="1">
      <c r="D55" s="22"/>
      <c r="E55" s="22"/>
      <c r="J55" s="5"/>
      <c r="K55" s="5"/>
      <c r="L55" s="5"/>
      <c r="M55" s="5"/>
      <c r="N55" s="5"/>
      <c r="O55" s="5"/>
      <c r="P55" s="88"/>
      <c r="Q55" s="95"/>
    </row>
    <row r="56" spans="4:17" s="2" customFormat="1" ht="12" customHeight="1">
      <c r="D56" s="22"/>
      <c r="E56" s="22"/>
      <c r="J56" s="5"/>
      <c r="K56" s="5"/>
      <c r="L56" s="5"/>
      <c r="M56" s="5"/>
      <c r="N56" s="5"/>
      <c r="O56" s="5"/>
      <c r="P56" s="88"/>
      <c r="Q56" s="95"/>
    </row>
    <row r="57" spans="4:17" s="2" customFormat="1" ht="12" customHeight="1">
      <c r="D57" s="22"/>
      <c r="E57" s="22"/>
      <c r="J57" s="5"/>
      <c r="K57" s="5"/>
      <c r="L57" s="5"/>
      <c r="M57" s="5"/>
      <c r="N57" s="5"/>
      <c r="O57" s="5"/>
      <c r="P57" s="88"/>
      <c r="Q57" s="95"/>
    </row>
    <row r="58" spans="4:17" s="2" customFormat="1" ht="12" customHeight="1">
      <c r="D58" s="22"/>
      <c r="E58" s="22"/>
      <c r="J58" s="5"/>
      <c r="K58" s="5"/>
      <c r="L58" s="5"/>
      <c r="M58" s="5"/>
      <c r="N58" s="5"/>
      <c r="O58" s="5"/>
      <c r="P58" s="88"/>
      <c r="Q58" s="95"/>
    </row>
    <row r="59" spans="4:17" s="2" customFormat="1" ht="12" customHeight="1">
      <c r="D59" s="22"/>
      <c r="E59" s="22"/>
      <c r="J59" s="5"/>
      <c r="K59" s="5"/>
      <c r="L59" s="5"/>
      <c r="M59" s="5"/>
      <c r="N59" s="5"/>
      <c r="O59" s="5"/>
      <c r="P59" s="88"/>
      <c r="Q59" s="95"/>
    </row>
    <row r="60" spans="4:17" s="2" customFormat="1" ht="12" customHeight="1">
      <c r="D60" s="22"/>
      <c r="E60" s="22"/>
      <c r="J60" s="5"/>
      <c r="K60" s="5"/>
      <c r="L60" s="5"/>
      <c r="M60" s="5"/>
      <c r="N60" s="5"/>
      <c r="O60" s="5"/>
      <c r="P60" s="88"/>
      <c r="Q60" s="95"/>
    </row>
    <row r="61" spans="4:17" s="2" customFormat="1" ht="12" customHeight="1">
      <c r="D61" s="22"/>
      <c r="E61" s="22"/>
      <c r="J61" s="5"/>
      <c r="K61" s="5"/>
      <c r="L61" s="5"/>
      <c r="M61" s="5"/>
      <c r="N61" s="5"/>
      <c r="O61" s="5"/>
      <c r="P61" s="88"/>
      <c r="Q61" s="95"/>
    </row>
    <row r="62" spans="4:17" s="2" customFormat="1" ht="12" customHeight="1">
      <c r="D62" s="22"/>
      <c r="E62" s="22"/>
      <c r="J62" s="5"/>
      <c r="K62" s="5"/>
      <c r="L62" s="5"/>
      <c r="M62" s="5"/>
      <c r="N62" s="5"/>
      <c r="O62" s="5"/>
      <c r="P62" s="88"/>
      <c r="Q62" s="95"/>
    </row>
    <row r="63" spans="4:17" s="2" customFormat="1" ht="12" customHeight="1">
      <c r="D63" s="22"/>
      <c r="E63" s="22"/>
      <c r="J63" s="5"/>
      <c r="K63" s="5"/>
      <c r="L63" s="5"/>
      <c r="M63" s="5"/>
      <c r="N63" s="5"/>
      <c r="O63" s="5"/>
      <c r="P63" s="88"/>
      <c r="Q63" s="95"/>
    </row>
    <row r="64" spans="4:17" s="2" customFormat="1" ht="12" customHeight="1">
      <c r="D64" s="22"/>
      <c r="E64" s="22"/>
      <c r="J64" s="5"/>
      <c r="K64" s="5"/>
      <c r="L64" s="5"/>
      <c r="M64" s="5"/>
      <c r="N64" s="5"/>
      <c r="O64" s="5"/>
      <c r="P64" s="88"/>
      <c r="Q64" s="96"/>
    </row>
    <row r="65" spans="1:17" s="2" customFormat="1" ht="12" customHeight="1">
      <c r="D65" s="22"/>
      <c r="E65" s="22"/>
      <c r="J65" s="5"/>
      <c r="K65" s="5"/>
      <c r="L65" s="5"/>
      <c r="M65" s="5"/>
      <c r="N65" s="5"/>
      <c r="O65" s="5"/>
      <c r="P65" s="88"/>
      <c r="Q65" s="96"/>
    </row>
    <row r="66" spans="1:17" s="2" customFormat="1" ht="12" customHeight="1">
      <c r="D66" s="22"/>
      <c r="E66" s="22"/>
      <c r="J66" s="5"/>
      <c r="K66" s="5"/>
      <c r="L66" s="5"/>
      <c r="M66" s="5"/>
      <c r="N66" s="5"/>
      <c r="O66" s="5"/>
      <c r="P66" s="88"/>
      <c r="Q66" s="96"/>
    </row>
    <row r="67" spans="1:17" s="2" customFormat="1" ht="12" customHeight="1">
      <c r="D67" s="22"/>
      <c r="E67" s="22"/>
      <c r="J67" s="5"/>
      <c r="K67" s="5"/>
      <c r="L67" s="5"/>
      <c r="M67" s="5"/>
      <c r="N67" s="5"/>
      <c r="O67" s="5"/>
      <c r="P67" s="88"/>
      <c r="Q67" s="96"/>
    </row>
    <row r="68" spans="1:17" s="2" customFormat="1" ht="12" customHeight="1">
      <c r="A68"/>
      <c r="B68"/>
      <c r="C68"/>
      <c r="D68" s="23"/>
      <c r="E68" s="23"/>
      <c r="F68"/>
      <c r="G68"/>
      <c r="H68"/>
      <c r="I68"/>
      <c r="J68" s="19"/>
      <c r="K68" s="19"/>
      <c r="L68" s="19"/>
      <c r="M68" s="19"/>
      <c r="N68" s="19"/>
      <c r="O68" s="19"/>
      <c r="P68" s="90"/>
      <c r="Q68" s="96"/>
    </row>
    <row r="69" spans="1:17" s="2" customFormat="1" ht="12" customHeight="1">
      <c r="A69"/>
      <c r="B69"/>
      <c r="C69"/>
      <c r="D69" s="23"/>
      <c r="E69" s="23"/>
      <c r="F69"/>
      <c r="G69"/>
      <c r="H69"/>
      <c r="I69"/>
      <c r="J69" s="19"/>
      <c r="K69" s="19"/>
      <c r="L69" s="19"/>
      <c r="M69" s="19"/>
      <c r="N69" s="19"/>
      <c r="O69" s="19"/>
      <c r="P69" s="90"/>
      <c r="Q69" s="96"/>
    </row>
    <row r="70" spans="1:17" s="2" customFormat="1" ht="12" customHeight="1">
      <c r="A70"/>
      <c r="B70"/>
      <c r="C70"/>
      <c r="D70" s="23"/>
      <c r="E70" s="23"/>
      <c r="F70"/>
      <c r="G70"/>
      <c r="H70"/>
      <c r="I70"/>
      <c r="J70" s="19"/>
      <c r="K70" s="19"/>
      <c r="L70" s="19"/>
      <c r="M70" s="19"/>
      <c r="N70" s="19"/>
      <c r="O70" s="19"/>
      <c r="P70" s="90"/>
      <c r="Q70" s="96"/>
    </row>
    <row r="71" spans="1:17" s="2" customFormat="1" ht="12" customHeight="1">
      <c r="A71"/>
      <c r="B71"/>
      <c r="C71"/>
      <c r="D71" s="23"/>
      <c r="E71" s="23"/>
      <c r="F71"/>
      <c r="G71"/>
      <c r="H71"/>
      <c r="I71"/>
      <c r="J71" s="19"/>
      <c r="K71" s="19"/>
      <c r="L71" s="19"/>
      <c r="M71" s="19"/>
      <c r="N71" s="19"/>
      <c r="O71" s="19"/>
      <c r="P71" s="90"/>
      <c r="Q71" s="96"/>
    </row>
    <row r="72" spans="1:17" s="2" customFormat="1" ht="12" customHeight="1">
      <c r="A72"/>
      <c r="B72"/>
      <c r="C72"/>
      <c r="D72" s="23"/>
      <c r="E72" s="23"/>
      <c r="F72"/>
      <c r="G72"/>
      <c r="H72"/>
      <c r="I72"/>
      <c r="J72" s="19"/>
      <c r="K72" s="19"/>
      <c r="L72" s="19"/>
      <c r="M72" s="19"/>
      <c r="N72" s="19"/>
      <c r="O72" s="19"/>
      <c r="P72" s="90"/>
      <c r="Q72" s="96"/>
    </row>
    <row r="73" spans="1:17">
      <c r="Q73" s="96"/>
    </row>
    <row r="74" spans="1:17">
      <c r="Q74" s="96"/>
    </row>
    <row r="75" spans="1:17">
      <c r="Q75" s="96"/>
    </row>
    <row r="76" spans="1:17">
      <c r="Q76" s="96"/>
    </row>
    <row r="77" spans="1:17">
      <c r="Q77" s="96"/>
    </row>
    <row r="78" spans="1:17">
      <c r="Q78" s="96"/>
    </row>
    <row r="79" spans="1:17">
      <c r="Q79" s="96"/>
    </row>
    <row r="80" spans="1:17">
      <c r="Q80" s="96"/>
    </row>
    <row r="81" spans="17:17">
      <c r="Q81" s="96"/>
    </row>
    <row r="82" spans="17:17">
      <c r="Q82" s="96"/>
    </row>
    <row r="83" spans="17:17">
      <c r="Q83" s="96"/>
    </row>
    <row r="84" spans="17:17">
      <c r="Q84" s="96"/>
    </row>
    <row r="85" spans="17:17">
      <c r="Q85" s="96"/>
    </row>
    <row r="86" spans="17:17">
      <c r="Q86" s="96"/>
    </row>
    <row r="87" spans="17:17">
      <c r="Q87" s="96"/>
    </row>
    <row r="88" spans="17:17">
      <c r="Q88" s="96"/>
    </row>
    <row r="89" spans="17:17">
      <c r="Q89" s="96"/>
    </row>
    <row r="90" spans="17:17">
      <c r="Q90" s="96"/>
    </row>
    <row r="91" spans="17:17">
      <c r="Q91" s="96"/>
    </row>
    <row r="92" spans="17:17">
      <c r="Q92" s="96"/>
    </row>
    <row r="129" ht="12" customHeight="1"/>
    <row r="130" ht="12" customHeight="1"/>
    <row r="131" ht="12" customHeight="1"/>
    <row r="132" ht="12" customHeight="1"/>
    <row r="133" ht="12" customHeight="1"/>
    <row r="134" ht="12" customHeight="1"/>
    <row r="135" ht="12" customHeight="1"/>
    <row r="136" ht="12" customHeight="1"/>
    <row r="137" ht="12" customHeight="1"/>
    <row r="138" ht="12" customHeight="1"/>
    <row r="139" ht="12" customHeight="1"/>
    <row r="140" ht="12" customHeight="1"/>
    <row r="141" ht="12" customHeight="1"/>
    <row r="142" ht="12" customHeight="1"/>
    <row r="143" ht="12" customHeight="1"/>
    <row r="144" ht="12" customHeight="1"/>
    <row r="145" ht="12" customHeight="1"/>
    <row r="146" ht="12" customHeight="1"/>
    <row r="147" ht="12" customHeight="1"/>
    <row r="148" ht="12" customHeight="1"/>
    <row r="149" ht="12" customHeight="1"/>
    <row r="150" ht="12" customHeight="1"/>
    <row r="151" ht="12" customHeight="1"/>
    <row r="152" ht="12" customHeight="1"/>
    <row r="153" ht="12" customHeight="1"/>
    <row r="154" ht="12" customHeight="1"/>
    <row r="155" ht="12" customHeight="1"/>
    <row r="156" ht="12" customHeight="1"/>
    <row r="157" ht="12" customHeight="1"/>
    <row r="158" ht="12" customHeight="1"/>
    <row r="159" ht="12" customHeight="1"/>
    <row r="160" ht="12" customHeight="1"/>
    <row r="161" ht="12" customHeight="1"/>
    <row r="162" ht="12" customHeight="1"/>
    <row r="163" ht="12" customHeight="1"/>
    <row r="164" ht="12" customHeight="1"/>
    <row r="165" ht="12" customHeight="1"/>
    <row r="166" ht="12" customHeight="1"/>
    <row r="167" ht="12" customHeight="1"/>
    <row r="168" ht="12" customHeight="1"/>
    <row r="169" ht="12" customHeight="1"/>
    <row r="170" ht="12" customHeight="1"/>
    <row r="171" ht="12" customHeight="1"/>
    <row r="172" ht="12" customHeight="1"/>
    <row r="173" ht="12" customHeight="1"/>
    <row r="174" ht="12" customHeight="1"/>
    <row r="175" ht="12" customHeight="1"/>
    <row r="176" ht="12" customHeight="1"/>
    <row r="177" ht="12" customHeight="1"/>
    <row r="178" ht="12" customHeight="1"/>
  </sheetData>
  <mergeCells count="27">
    <mergeCell ref="D1:E1"/>
    <mergeCell ref="D4:E4"/>
    <mergeCell ref="H4:I4"/>
    <mergeCell ref="D5:E5"/>
    <mergeCell ref="D6:E6"/>
    <mergeCell ref="D7:E7"/>
    <mergeCell ref="D8:E8"/>
    <mergeCell ref="D9:E9"/>
    <mergeCell ref="D10:E10"/>
    <mergeCell ref="H10:I10"/>
    <mergeCell ref="D11:E11"/>
    <mergeCell ref="D12:E12"/>
    <mergeCell ref="D13:E13"/>
    <mergeCell ref="D14:E14"/>
    <mergeCell ref="D15:E15"/>
    <mergeCell ref="D20:E20"/>
    <mergeCell ref="D21:E21"/>
    <mergeCell ref="D25:E25"/>
    <mergeCell ref="H25:I25"/>
    <mergeCell ref="D16:E16"/>
    <mergeCell ref="D17:E17"/>
    <mergeCell ref="D18:E18"/>
    <mergeCell ref="H18:I18"/>
    <mergeCell ref="D19:E19"/>
    <mergeCell ref="D22:E22"/>
    <mergeCell ref="D23:E23"/>
    <mergeCell ref="D24:E24"/>
  </mergeCells>
  <conditionalFormatting sqref="M5:M9 M11:M17 M19:M24">
    <cfRule type="cellIs" dxfId="212" priority="5" stopIfTrue="1" operator="lessThanOrEqual">
      <formula>$L5</formula>
    </cfRule>
    <cfRule type="cellIs" dxfId="211" priority="6" operator="greaterThan">
      <formula>L5</formula>
    </cfRule>
  </conditionalFormatting>
  <pageMargins left="0.7" right="0.7" top="0.75" bottom="0.75" header="0.3" footer="0.3"/>
  <pageSetup paperSize="3" fitToHeight="0" orientation="landscape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FEDEFD2B-C51D-485A-99A1-429CA5B9FD29}">
          <x14:formula1>
            <xm:f>Bolts!$A:$A</xm:f>
          </x14:formula1>
          <xm:sqref>C19:C24</xm:sqref>
        </x14:dataValidation>
        <x14:dataValidation type="list" allowBlank="1" showInputMessage="1" showErrorMessage="1" xr:uid="{62B8DBDD-23C2-4CF4-9D54-63391876513D}">
          <x14:formula1>
            <xm:f>Purchased!$A:$A</xm:f>
          </x14:formula1>
          <xm:sqref>C11:C17</xm:sqref>
        </x14:dataValidation>
        <x14:dataValidation type="list" allowBlank="1" showInputMessage="1" showErrorMessage="1" xr:uid="{6A3D3157-7526-4D45-8B83-E40A87F72421}">
          <x14:formula1>
            <xm:f>Machined!$C:$C</xm:f>
          </x14:formula1>
          <xm:sqref>C5:C9</xm:sqref>
        </x14:dataValidation>
      </x14:dataValidations>
    </ext>
  </extLst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8892E-BF48-46F5-9C30-8422FAF87604}">
  <sheetPr codeName="Sheet129">
    <tabColor theme="3" tint="0.79998168889431442"/>
    <pageSetUpPr fitToPage="1"/>
  </sheetPr>
  <dimension ref="A1:Q183"/>
  <sheetViews>
    <sheetView zoomScaleNormal="100" workbookViewId="0">
      <selection activeCell="C12" sqref="C12"/>
    </sheetView>
  </sheetViews>
  <sheetFormatPr defaultColWidth="9.140625" defaultRowHeight="15"/>
  <cols>
    <col min="1" max="1" width="5.7109375" customWidth="1"/>
    <col min="2" max="2" width="5.42578125" bestFit="1" customWidth="1"/>
    <col min="3" max="3" width="30.7109375" customWidth="1"/>
    <col min="4" max="5" width="20.7109375" style="23" customWidth="1"/>
    <col min="6" max="6" width="16.85546875" bestFit="1" customWidth="1"/>
    <col min="7" max="7" width="9.7109375" customWidth="1"/>
    <col min="8" max="8" width="8.7109375" customWidth="1"/>
    <col min="9" max="9" width="20.7109375" customWidth="1"/>
    <col min="10" max="13" width="11.7109375" style="19" customWidth="1"/>
    <col min="14" max="14" width="11.85546875" style="19" bestFit="1" customWidth="1"/>
    <col min="15" max="15" width="7.7109375" style="19" customWidth="1"/>
    <col min="16" max="16" width="10.7109375" style="90" customWidth="1"/>
    <col min="17" max="17" width="10.7109375" style="97" customWidth="1"/>
  </cols>
  <sheetData>
    <row r="1" spans="1:17" s="55" customFormat="1" ht="12" customHeight="1">
      <c r="A1" s="68" t="s">
        <v>0</v>
      </c>
      <c r="B1" s="69"/>
      <c r="C1" s="69"/>
      <c r="D1" s="262" t="s">
        <v>1</v>
      </c>
      <c r="E1" s="263"/>
      <c r="F1" s="70"/>
      <c r="G1" s="69"/>
      <c r="H1" s="70"/>
      <c r="I1" s="71"/>
      <c r="J1" s="72"/>
      <c r="K1" s="72"/>
      <c r="L1" s="72"/>
      <c r="M1" s="72"/>
      <c r="N1" s="72"/>
      <c r="O1" s="72"/>
      <c r="P1" s="85"/>
      <c r="Q1" s="91"/>
    </row>
    <row r="2" spans="1:17" s="55" customFormat="1" ht="12" customHeight="1">
      <c r="A2" s="74" t="s">
        <v>48</v>
      </c>
      <c r="B2" s="58"/>
      <c r="C2" s="57" t="e">
        <f ca="1">VLOOKUP(E3,Assemblies!B:F,4,0)</f>
        <v>#VALUE!</v>
      </c>
      <c r="D2" s="75" t="s">
        <v>3</v>
      </c>
      <c r="E2" s="76" t="e">
        <f ca="1">'GF12'!E2</f>
        <v>#VALUE!</v>
      </c>
      <c r="F2" s="77" t="s">
        <v>4</v>
      </c>
      <c r="G2" s="58" t="str">
        <f>'GF12'!G2</f>
        <v>GH</v>
      </c>
      <c r="H2" s="77" t="s">
        <v>6</v>
      </c>
      <c r="I2" s="59">
        <f>'GF12'!I2</f>
        <v>44775</v>
      </c>
      <c r="J2" s="39"/>
      <c r="K2" s="40" t="s">
        <v>49</v>
      </c>
      <c r="L2" s="41" t="e">
        <f ca="1">VLOOKUP(C2,Assemblies!E:G,3,0)</f>
        <v>#VALUE!</v>
      </c>
      <c r="M2" s="78"/>
      <c r="N2" s="78"/>
      <c r="O2" s="78"/>
      <c r="P2" s="86"/>
      <c r="Q2" s="92"/>
    </row>
    <row r="3" spans="1:17" s="55" customFormat="1" ht="12" customHeight="1" thickBot="1">
      <c r="A3" s="74" t="s">
        <v>7</v>
      </c>
      <c r="B3" s="58"/>
      <c r="C3" s="57" t="e">
        <f ca="1">VLOOKUP(E3,Assemblies!B:F,5,0)</f>
        <v>#VALUE!</v>
      </c>
      <c r="D3" s="75" t="s">
        <v>50</v>
      </c>
      <c r="E3" s="76" t="e">
        <f ca="1">MID(CELL("filename",A1),FIND("]",CELL("filename",A1))+1,256)</f>
        <v>#VALUE!</v>
      </c>
      <c r="F3" s="77" t="s">
        <v>11</v>
      </c>
      <c r="G3" s="58" t="str">
        <f>'GF12'!G3</f>
        <v>GH</v>
      </c>
      <c r="H3" s="77" t="s">
        <v>6</v>
      </c>
      <c r="I3" s="59">
        <f>'GF12'!I3</f>
        <v>44775</v>
      </c>
      <c r="J3" s="78"/>
      <c r="K3" s="78"/>
      <c r="L3" s="78"/>
      <c r="M3" s="78"/>
      <c r="N3" s="78"/>
      <c r="O3" s="78"/>
      <c r="P3" s="86"/>
      <c r="Q3" s="92"/>
    </row>
    <row r="4" spans="1:17" s="56" customFormat="1" ht="12.75" customHeight="1" thickBot="1">
      <c r="A4" s="80" t="s">
        <v>12</v>
      </c>
      <c r="B4" s="81" t="s">
        <v>13</v>
      </c>
      <c r="C4" s="81" t="s">
        <v>14</v>
      </c>
      <c r="D4" s="270" t="s">
        <v>15</v>
      </c>
      <c r="E4" s="271"/>
      <c r="F4" s="104" t="s">
        <v>16</v>
      </c>
      <c r="G4" s="81" t="s">
        <v>17</v>
      </c>
      <c r="H4" s="260" t="s">
        <v>18</v>
      </c>
      <c r="I4" s="261"/>
      <c r="J4" s="81" t="s">
        <v>51</v>
      </c>
      <c r="K4" s="81" t="s">
        <v>20</v>
      </c>
      <c r="L4" s="81" t="s">
        <v>21</v>
      </c>
      <c r="M4" s="81" t="s">
        <v>52</v>
      </c>
      <c r="N4" s="81" t="s">
        <v>22</v>
      </c>
      <c r="O4" s="81" t="s">
        <v>53</v>
      </c>
      <c r="P4" s="107" t="s">
        <v>26</v>
      </c>
      <c r="Q4" s="82" t="s">
        <v>27</v>
      </c>
    </row>
    <row r="5" spans="1:17" s="2" customFormat="1" ht="12.75" customHeight="1">
      <c r="A5" s="127">
        <v>1</v>
      </c>
      <c r="B5" s="21">
        <v>1</v>
      </c>
      <c r="C5" s="108" t="s">
        <v>1289</v>
      </c>
      <c r="D5" s="277" t="str">
        <f>VLOOKUP(C5,Machined!C:Q,2,0)</f>
        <v>Gripper Mount Block</v>
      </c>
      <c r="E5" s="278"/>
      <c r="F5" s="131" t="str">
        <f>VLOOKUP(C5,Machined!C:R,7,0)</f>
        <v>6061-T6 Alum</v>
      </c>
      <c r="G5" s="131" t="str">
        <f>VLOOKUP(C5,Machined!C:R,10,0)</f>
        <v>DETAILED MACH</v>
      </c>
      <c r="H5" s="131" t="str">
        <f>VLOOKUP(C5,Machined!C:R,11,0)</f>
        <v>shipped 9/29/23</v>
      </c>
      <c r="I5" s="131"/>
      <c r="J5" s="42">
        <f>VLOOKUP(C5,Machined!C:R,12,0)</f>
        <v>45156</v>
      </c>
      <c r="K5" s="42">
        <f>VLOOKUP(C5,Machined!C:R,13,0)</f>
        <v>45162</v>
      </c>
      <c r="L5" s="42">
        <f>VLOOKUP(C5,Machined!C:R,14,0)</f>
        <v>45190</v>
      </c>
      <c r="M5" s="42">
        <f>VLOOKUP(C5,Machined!C:R,15,0)</f>
        <v>45190</v>
      </c>
      <c r="N5" s="43">
        <f>VLOOKUP(C5,Machined!C:R,16,0)</f>
        <v>55101</v>
      </c>
      <c r="O5" s="43" t="e">
        <f t="shared" ref="O5:O10" ca="1" si="0">B5*$L$2</f>
        <v>#VALUE!</v>
      </c>
      <c r="P5" s="47">
        <f>IFERROR(VLOOKUP(C5,Machined!C:F,3,0),"")</f>
        <v>0</v>
      </c>
      <c r="Q5" s="48">
        <f t="shared" ref="Q5:Q10" si="1">IFERROR(B5*P5,"")</f>
        <v>0</v>
      </c>
    </row>
    <row r="6" spans="1:17" s="2" customFormat="1" ht="12.75" customHeight="1">
      <c r="A6" s="127">
        <v>2</v>
      </c>
      <c r="B6" s="21">
        <v>1</v>
      </c>
      <c r="C6" s="108" t="s">
        <v>1290</v>
      </c>
      <c r="D6" s="277" t="str">
        <f>VLOOKUP(C6,Machined!C:Q,2,0)</f>
        <v>Gripper Adjustment Plate</v>
      </c>
      <c r="E6" s="278"/>
      <c r="F6" s="131" t="str">
        <f>VLOOKUP(C6,Machined!C:R,7,0)</f>
        <v>6061-T6 Alum</v>
      </c>
      <c r="G6" s="131" t="str">
        <f>VLOOKUP(C6,Machined!C:R,10,0)</f>
        <v>DETAILED MACH</v>
      </c>
      <c r="H6" s="131" t="str">
        <f>VLOOKUP(C6,Machined!C:R,11,0)</f>
        <v>shipped 9/25/23</v>
      </c>
      <c r="I6" s="131"/>
      <c r="J6" s="42">
        <f>VLOOKUP(C6,Machined!C:R,12,0)</f>
        <v>45156</v>
      </c>
      <c r="K6" s="42">
        <f>VLOOKUP(C6,Machined!C:R,13,0)</f>
        <v>45162</v>
      </c>
      <c r="L6" s="42">
        <f>VLOOKUP(C6,Machined!C:R,14,0)</f>
        <v>45190</v>
      </c>
      <c r="M6" s="42">
        <f>VLOOKUP(C6,Machined!C:R,15,0)</f>
        <v>45190</v>
      </c>
      <c r="N6" s="43">
        <f>VLOOKUP(C6,Machined!C:R,16,0)</f>
        <v>55101</v>
      </c>
      <c r="O6" s="43" t="e">
        <f t="shared" ca="1" si="0"/>
        <v>#VALUE!</v>
      </c>
      <c r="P6" s="47">
        <f>IFERROR(VLOOKUP(C6,Machined!C:F,3,0),"")</f>
        <v>0</v>
      </c>
      <c r="Q6" s="48">
        <f t="shared" si="1"/>
        <v>0</v>
      </c>
    </row>
    <row r="7" spans="1:17" s="2" customFormat="1" ht="12.75" customHeight="1">
      <c r="A7" s="127">
        <v>3</v>
      </c>
      <c r="B7" s="21">
        <v>1</v>
      </c>
      <c r="C7" s="108" t="s">
        <v>1291</v>
      </c>
      <c r="D7" s="277" t="str">
        <f>VLOOKUP(C7,Machined!C:Q,2,0)</f>
        <v>P1B Spout Gripper LH</v>
      </c>
      <c r="E7" s="278"/>
      <c r="F7" s="131" t="str">
        <f>VLOOKUP(C7,Machined!C:R,7,0)</f>
        <v>6061-T6 Alum</v>
      </c>
      <c r="G7" s="131" t="str">
        <f>VLOOKUP(C7,Machined!C:R,10,0)</f>
        <v>XOMETRY</v>
      </c>
      <c r="H7" s="131" t="str">
        <f>VLOOKUP(C7,Machined!C:R,11,0)</f>
        <v xml:space="preserve">  </v>
      </c>
      <c r="I7" s="131"/>
      <c r="J7" s="42">
        <f>VLOOKUP(C7,Machined!C:R,12,0)</f>
        <v>45188</v>
      </c>
      <c r="K7" s="42">
        <f>VLOOKUP(C7,Machined!C:R,13,0)</f>
        <v>45188</v>
      </c>
      <c r="L7" s="42">
        <f>VLOOKUP(C7,Machined!C:R,14,0)</f>
        <v>45204</v>
      </c>
      <c r="M7" s="42">
        <f>VLOOKUP(C7,Machined!C:R,15,0)</f>
        <v>45204</v>
      </c>
      <c r="N7" s="43">
        <f>VLOOKUP(C7,Machined!C:R,16,0)</f>
        <v>55159</v>
      </c>
      <c r="O7" s="43" t="e">
        <f t="shared" ca="1" si="0"/>
        <v>#VALUE!</v>
      </c>
      <c r="P7" s="47">
        <f>IFERROR(VLOOKUP(C7,Machined!C:F,3,0),"")</f>
        <v>153.05000000000001</v>
      </c>
      <c r="Q7" s="48">
        <f t="shared" si="1"/>
        <v>153.05000000000001</v>
      </c>
    </row>
    <row r="8" spans="1:17" s="2" customFormat="1" ht="12.75" customHeight="1">
      <c r="A8" s="127">
        <v>4</v>
      </c>
      <c r="B8" s="21">
        <v>1</v>
      </c>
      <c r="C8" s="108" t="s">
        <v>1292</v>
      </c>
      <c r="D8" s="277" t="str">
        <f>VLOOKUP(C8,Machined!C:Q,2,0)</f>
        <v>P1B Spout Gripper RH</v>
      </c>
      <c r="E8" s="278"/>
      <c r="F8" s="131" t="str">
        <f>VLOOKUP(C8,Machined!C:R,7,0)</f>
        <v>6061-T6 Alum</v>
      </c>
      <c r="G8" s="131" t="str">
        <f>VLOOKUP(C8,Machined!C:R,10,0)</f>
        <v>XOMETRY</v>
      </c>
      <c r="H8" s="131" t="str">
        <f>VLOOKUP(C8,Machined!C:R,11,0)</f>
        <v xml:space="preserve">  </v>
      </c>
      <c r="I8" s="131"/>
      <c r="J8" s="42">
        <f>VLOOKUP(C8,Machined!C:R,12,0)</f>
        <v>45188</v>
      </c>
      <c r="K8" s="42">
        <f>VLOOKUP(C8,Machined!C:R,13,0)</f>
        <v>45188</v>
      </c>
      <c r="L8" s="42">
        <f>VLOOKUP(C8,Machined!C:R,14,0)</f>
        <v>45204</v>
      </c>
      <c r="M8" s="42">
        <f>VLOOKUP(C8,Machined!C:R,15,0)</f>
        <v>45204</v>
      </c>
      <c r="N8" s="43">
        <f>VLOOKUP(C8,Machined!C:R,16,0)</f>
        <v>55159</v>
      </c>
      <c r="O8" s="43" t="e">
        <f t="shared" ca="1" si="0"/>
        <v>#VALUE!</v>
      </c>
      <c r="P8" s="47">
        <f>IFERROR(VLOOKUP(C8,Machined!C:F,3,0),"")</f>
        <v>153.97</v>
      </c>
      <c r="Q8" s="48">
        <f t="shared" si="1"/>
        <v>153.97</v>
      </c>
    </row>
    <row r="9" spans="1:17" s="2" customFormat="1" ht="12.75" customHeight="1">
      <c r="A9" s="127">
        <v>5</v>
      </c>
      <c r="B9" s="21">
        <v>1</v>
      </c>
      <c r="C9" s="108" t="s">
        <v>1293</v>
      </c>
      <c r="D9" s="277" t="str">
        <f>VLOOKUP(C9,Machined!C:Q,2,0)</f>
        <v>P1L Spout Gripper LH</v>
      </c>
      <c r="E9" s="278"/>
      <c r="F9" s="131" t="str">
        <f>VLOOKUP(C9,Machined!C:R,7,0)</f>
        <v>6061-T6 Alum</v>
      </c>
      <c r="G9" s="131" t="str">
        <f>VLOOKUP(C9,Machined!C:R,10,0)</f>
        <v>XOMETRY</v>
      </c>
      <c r="H9" s="131" t="str">
        <f>VLOOKUP(C9,Machined!C:R,11,0)</f>
        <v xml:space="preserve">  </v>
      </c>
      <c r="I9" s="131"/>
      <c r="J9" s="42">
        <f>VLOOKUP(C9,Machined!C:R,12,0)</f>
        <v>45188</v>
      </c>
      <c r="K9" s="42">
        <f>VLOOKUP(C9,Machined!C:R,13,0)</f>
        <v>45188</v>
      </c>
      <c r="L9" s="42">
        <f>VLOOKUP(C9,Machined!C:R,14,0)</f>
        <v>45204</v>
      </c>
      <c r="M9" s="42">
        <f>VLOOKUP(C9,Machined!C:R,15,0)</f>
        <v>45204</v>
      </c>
      <c r="N9" s="43">
        <f>VLOOKUP(C9,Machined!C:R,16,0)</f>
        <v>55159</v>
      </c>
      <c r="O9" s="43" t="e">
        <f t="shared" ca="1" si="0"/>
        <v>#VALUE!</v>
      </c>
      <c r="P9" s="47">
        <f>IFERROR(VLOOKUP(C9,Machined!C:F,3,0),"")</f>
        <v>155.03</v>
      </c>
      <c r="Q9" s="48">
        <f t="shared" si="1"/>
        <v>155.03</v>
      </c>
    </row>
    <row r="10" spans="1:17" s="2" customFormat="1" ht="12.75" customHeight="1">
      <c r="A10" s="127">
        <v>6</v>
      </c>
      <c r="B10" s="21">
        <v>1</v>
      </c>
      <c r="C10" s="108" t="s">
        <v>1294</v>
      </c>
      <c r="D10" s="277" t="str">
        <f>VLOOKUP(C10,Machined!C:Q,2,0)</f>
        <v>P1L Spout Gripper RH</v>
      </c>
      <c r="E10" s="278"/>
      <c r="F10" s="131" t="str">
        <f>VLOOKUP(C10,Machined!C:R,7,0)</f>
        <v>6061-T6 Alum</v>
      </c>
      <c r="G10" s="131" t="str">
        <f>VLOOKUP(C10,Machined!C:R,10,0)</f>
        <v>XOMETRY</v>
      </c>
      <c r="H10" s="131" t="str">
        <f>VLOOKUP(C10,Machined!C:R,11,0)</f>
        <v xml:space="preserve">  </v>
      </c>
      <c r="I10" s="131"/>
      <c r="J10" s="42">
        <f>VLOOKUP(C10,Machined!C:R,12,0)</f>
        <v>45188</v>
      </c>
      <c r="K10" s="42">
        <f>VLOOKUP(C10,Machined!C:R,13,0)</f>
        <v>45188</v>
      </c>
      <c r="L10" s="42">
        <f>VLOOKUP(C10,Machined!C:R,14,0)</f>
        <v>45204</v>
      </c>
      <c r="M10" s="42">
        <f>VLOOKUP(C10,Machined!C:R,15,0)</f>
        <v>45204</v>
      </c>
      <c r="N10" s="43">
        <f>VLOOKUP(C10,Machined!C:R,16,0)</f>
        <v>55159</v>
      </c>
      <c r="O10" s="43" t="e">
        <f t="shared" ca="1" si="0"/>
        <v>#VALUE!</v>
      </c>
      <c r="P10" s="47">
        <f>IFERROR(VLOOKUP(C10,Machined!C:F,3,0),"")</f>
        <v>156.34</v>
      </c>
      <c r="Q10" s="48">
        <f t="shared" si="1"/>
        <v>156.34</v>
      </c>
    </row>
    <row r="11" spans="1:17" s="2" customFormat="1" ht="12.75" customHeight="1">
      <c r="A11" s="143"/>
      <c r="B11" s="26"/>
      <c r="C11" s="26"/>
      <c r="D11" s="272"/>
      <c r="E11" s="273"/>
      <c r="F11" s="26"/>
      <c r="G11" s="26"/>
      <c r="H11" s="274"/>
      <c r="I11" s="275"/>
      <c r="J11" s="27"/>
      <c r="K11" s="27"/>
      <c r="L11" s="27"/>
      <c r="M11" s="28"/>
      <c r="N11" s="29"/>
      <c r="O11" s="29"/>
      <c r="P11" s="141"/>
      <c r="Q11" s="142"/>
    </row>
    <row r="12" spans="1:17" s="2" customFormat="1" ht="12.75" customHeight="1">
      <c r="A12" s="4">
        <v>301</v>
      </c>
      <c r="B12" s="2">
        <v>2</v>
      </c>
      <c r="C12" s="114" t="s">
        <v>1295</v>
      </c>
      <c r="D12" s="268" t="str">
        <f>VLOOKUP(C12,Purchased!A:B,2,0)</f>
        <v>MAGNETIC FIELD SENSORS, SERIES MFS, FOR ZIMMER GRIPPERS, M8 3 PIN CONNECTOR</v>
      </c>
      <c r="E12" s="269"/>
      <c r="F12" s="112" t="str">
        <f>VLOOKUP(C12,Purchased!A:Q,9,0)</f>
        <v>ZIMMER</v>
      </c>
      <c r="G12" s="112" t="str">
        <f>VLOOKUP(C12,Purchased!A:Q,10,0)</f>
        <v>ZIMMER</v>
      </c>
      <c r="H12" s="112">
        <f>VLOOKUP(C12,Purchased!A:Q,12,0)</f>
        <v>0</v>
      </c>
      <c r="I12" s="113"/>
      <c r="J12" s="44">
        <f>VLOOKUP(C12,Purchased!A:Q,13,0)</f>
        <v>45216</v>
      </c>
      <c r="K12" s="44">
        <f>VLOOKUP(C12,Purchased!A:Q,16,0)</f>
        <v>45225</v>
      </c>
      <c r="L12" s="44">
        <f>VLOOKUP(C12,Purchased!A:Q,15,0)</f>
        <v>45225</v>
      </c>
      <c r="M12" s="44">
        <f>VLOOKUP(C12,Purchased!A:Q,16,0)</f>
        <v>45225</v>
      </c>
      <c r="N12" s="45">
        <f>VLOOKUP(C12,Purchased!A:Q,17,0)</f>
        <v>55222</v>
      </c>
      <c r="O12" s="45" t="e">
        <f t="shared" ref="O12:O26" ca="1" si="2">B12*$L$2</f>
        <v>#VALUE!</v>
      </c>
      <c r="P12" s="49">
        <f>IFERROR(VLOOKUP(C12,Purchased!A:E,3,FALSE),"")</f>
        <v>95.3</v>
      </c>
      <c r="Q12" s="50">
        <f t="shared" ref="Q12:Q21" si="3">IFERROR(B12*P12,"")</f>
        <v>190.6</v>
      </c>
    </row>
    <row r="13" spans="1:17" s="2" customFormat="1" ht="12" customHeight="1">
      <c r="A13" s="4">
        <f t="shared" ref="A13:A21" si="4">A12+1</f>
        <v>302</v>
      </c>
      <c r="B13" s="2">
        <v>2</v>
      </c>
      <c r="C13" s="114" t="s">
        <v>623</v>
      </c>
      <c r="D13" s="268" t="str">
        <f>VLOOKUP(C13,Purchased!A:B,2,0)</f>
        <v>SMC FITTING, MALE ELBOW</v>
      </c>
      <c r="E13" s="269"/>
      <c r="F13" s="112" t="str">
        <f>VLOOKUP(C13,Purchased!A:Q,9,0)</f>
        <v>SMC</v>
      </c>
      <c r="G13" s="112" t="str">
        <f>VLOOKUP(C13,Purchased!A:Q,10,0)</f>
        <v xml:space="preserve">AAP </v>
      </c>
      <c r="H13" s="112" t="str">
        <f>VLOOKUP(C13,Purchased!A:Q,12,0)</f>
        <v xml:space="preserve"> </v>
      </c>
      <c r="I13" s="113"/>
      <c r="J13" s="44" t="str">
        <f>VLOOKUP(C13,Purchased!A:Q,13,0)</f>
        <v>N/A</v>
      </c>
      <c r="K13" s="44">
        <f>VLOOKUP(C13,Purchased!A:Q,16,0)</f>
        <v>45180</v>
      </c>
      <c r="L13" s="44">
        <f>VLOOKUP(C13,Purchased!A:Q,15,0)</f>
        <v>45184</v>
      </c>
      <c r="M13" s="44">
        <f>VLOOKUP(C13,Purchased!A:Q,16,0)</f>
        <v>45180</v>
      </c>
      <c r="N13" s="45">
        <f>VLOOKUP(C13,Purchased!A:Q,17,0)</f>
        <v>55037</v>
      </c>
      <c r="O13" s="45" t="e">
        <f t="shared" ca="1" si="2"/>
        <v>#VALUE!</v>
      </c>
      <c r="P13" s="49">
        <f>IFERROR(VLOOKUP(C13,Purchased!A:E,3,FALSE),"")</f>
        <v>1.5467</v>
      </c>
      <c r="Q13" s="50">
        <f t="shared" si="3"/>
        <v>3.0933999999999999</v>
      </c>
    </row>
    <row r="14" spans="1:17" s="2" customFormat="1" ht="12" customHeight="1">
      <c r="A14" s="4">
        <f t="shared" si="4"/>
        <v>303</v>
      </c>
      <c r="B14" s="2">
        <v>2</v>
      </c>
      <c r="C14" s="114" t="s">
        <v>1266</v>
      </c>
      <c r="D14" s="268" t="str">
        <f>VLOOKUP(C14,Purchased!A:B,2,0)</f>
        <v>SMC AS2052F-06A speed control w/fitting, FLOW CONTROL W/FITTING 6mm tubing</v>
      </c>
      <c r="E14" s="269"/>
      <c r="F14" s="112" t="str">
        <f>VLOOKUP(C14,Purchased!A:Q,9,0)</f>
        <v>SMC</v>
      </c>
      <c r="G14" s="112" t="str">
        <f>VLOOKUP(C14,Purchased!A:Q,10,0)</f>
        <v>AAP</v>
      </c>
      <c r="H14" s="112" t="str">
        <f>VLOOKUP(C14,Purchased!A:Q,12,0)</f>
        <v xml:space="preserve"> </v>
      </c>
      <c r="I14" s="113"/>
      <c r="J14" s="44" t="str">
        <f>VLOOKUP(C14,Purchased!A:Q,13,0)</f>
        <v>N/A</v>
      </c>
      <c r="K14" s="44">
        <f>VLOOKUP(C14,Purchased!A:Q,16,0)</f>
        <v>45197</v>
      </c>
      <c r="L14" s="44">
        <f>VLOOKUP(C14,Purchased!A:Q,15,0)</f>
        <v>45184</v>
      </c>
      <c r="M14" s="44">
        <f>VLOOKUP(C14,Purchased!A:Q,16,0)</f>
        <v>45197</v>
      </c>
      <c r="N14" s="45">
        <f>VLOOKUP(C14,Purchased!A:Q,17,0)</f>
        <v>55073</v>
      </c>
      <c r="O14" s="45" t="e">
        <f t="shared" ca="1" si="2"/>
        <v>#VALUE!</v>
      </c>
      <c r="P14" s="49">
        <f>IFERROR(VLOOKUP(C14,Purchased!A:E,3,FALSE),"")</f>
        <v>14.773999999999999</v>
      </c>
      <c r="Q14" s="50">
        <f t="shared" si="3"/>
        <v>29.547999999999998</v>
      </c>
    </row>
    <row r="15" spans="1:17" s="2" customFormat="1" ht="12" customHeight="1">
      <c r="A15" s="4">
        <f t="shared" si="4"/>
        <v>304</v>
      </c>
      <c r="B15" s="2">
        <v>2</v>
      </c>
      <c r="C15" s="114" t="s">
        <v>477</v>
      </c>
      <c r="D15" s="268" t="str">
        <f>VLOOKUP(C15,Purchased!A:B,2,0)</f>
        <v>MURR M8 Female, 0deg A-Coded, 3-Pin, w/ Cable</v>
      </c>
      <c r="E15" s="269"/>
      <c r="F15" s="112" t="str">
        <f>VLOOKUP(C15,Purchased!A:Q,9,0)</f>
        <v>MURR</v>
      </c>
      <c r="G15" s="112" t="str">
        <f>VLOOKUP(C15,Purchased!A:Q,10,0)</f>
        <v>MURR</v>
      </c>
      <c r="H15" s="112" t="str">
        <f>VLOOKUP(C15,Purchased!A:Q,12,0)</f>
        <v xml:space="preserve">  </v>
      </c>
      <c r="I15" s="113"/>
      <c r="J15" s="44">
        <f>VLOOKUP(C15,Purchased!A:Q,13,0)</f>
        <v>45161</v>
      </c>
      <c r="K15" s="44">
        <f>VLOOKUP(C15,Purchased!A:Q,16,0)</f>
        <v>45184</v>
      </c>
      <c r="L15" s="44">
        <f>VLOOKUP(C15,Purchased!A:Q,15,0)</f>
        <v>45184</v>
      </c>
      <c r="M15" s="44">
        <f>VLOOKUP(C15,Purchased!A:Q,16,0)</f>
        <v>45184</v>
      </c>
      <c r="N15" s="45">
        <f>VLOOKUP(C15,Purchased!A:Q,17,0)</f>
        <v>55080</v>
      </c>
      <c r="O15" s="45" t="e">
        <f t="shared" ca="1" si="2"/>
        <v>#VALUE!</v>
      </c>
      <c r="P15" s="49">
        <f>IFERROR(VLOOKUP(C15,Purchased!A:E,3,FALSE),"")</f>
        <v>21.52</v>
      </c>
      <c r="Q15" s="50">
        <f t="shared" si="3"/>
        <v>43.04</v>
      </c>
    </row>
    <row r="16" spans="1:17" s="2" customFormat="1" ht="12" customHeight="1">
      <c r="A16" s="4">
        <f t="shared" si="4"/>
        <v>305</v>
      </c>
      <c r="B16" s="2">
        <v>2</v>
      </c>
      <c r="C16" s="114" t="s">
        <v>1296</v>
      </c>
      <c r="D16" s="268" t="str">
        <f>VLOOKUP(C16,Purchased!A:B,2,0)</f>
        <v>Zinc-Plated Class 10.9 Steel Washer, M6 Screw Size</v>
      </c>
      <c r="E16" s="269"/>
      <c r="F16" s="112" t="str">
        <f>VLOOKUP(C16,Purchased!A:Q,9,0)</f>
        <v>MCM</v>
      </c>
      <c r="G16" s="112" t="str">
        <f>VLOOKUP(C16,Purchased!A:Q,10,0)</f>
        <v>MCM</v>
      </c>
      <c r="H16" s="112" t="str">
        <f>VLOOKUP(C16,Purchased!A:Q,12,0)</f>
        <v xml:space="preserve"> </v>
      </c>
      <c r="I16" s="113"/>
      <c r="J16" s="44" t="str">
        <f>VLOOKUP(C16,Purchased!A:Q,13,0)</f>
        <v>N/A</v>
      </c>
      <c r="K16" s="44">
        <f>VLOOKUP(C16,Purchased!A:Q,16,0)</f>
        <v>45163</v>
      </c>
      <c r="L16" s="44">
        <f>VLOOKUP(C16,Purchased!A:Q,15,0)</f>
        <v>45184</v>
      </c>
      <c r="M16" s="44">
        <f>VLOOKUP(C16,Purchased!A:Q,16,0)</f>
        <v>45163</v>
      </c>
      <c r="N16" s="45">
        <f>VLOOKUP(C16,Purchased!A:Q,17,0)</f>
        <v>55088</v>
      </c>
      <c r="O16" s="45" t="e">
        <f t="shared" ca="1" si="2"/>
        <v>#VALUE!</v>
      </c>
      <c r="P16" s="49">
        <f>IFERROR(VLOOKUP(C16,Purchased!A:E,3,FALSE),"")</f>
        <v>13.79</v>
      </c>
      <c r="Q16" s="50">
        <f t="shared" si="3"/>
        <v>27.58</v>
      </c>
    </row>
    <row r="17" spans="1:17" s="2" customFormat="1" ht="12" customHeight="1">
      <c r="A17" s="4">
        <f t="shared" si="4"/>
        <v>306</v>
      </c>
      <c r="B17" s="2">
        <v>2</v>
      </c>
      <c r="C17" s="114" t="s">
        <v>1297</v>
      </c>
      <c r="D17" s="268" t="str">
        <f>VLOOKUP(C17,Purchased!A:B,2,0)</f>
        <v>Dowel Pin 52100 Alloy Steel, 6 mm Diameter, 20 mm Long</v>
      </c>
      <c r="E17" s="269"/>
      <c r="F17" s="112" t="str">
        <f>VLOOKUP(C17,Purchased!A:Q,9,0)</f>
        <v>MCM</v>
      </c>
      <c r="G17" s="112" t="str">
        <f>VLOOKUP(C17,Purchased!A:Q,10,0)</f>
        <v>MCM</v>
      </c>
      <c r="H17" s="112" t="str">
        <f>VLOOKUP(C17,Purchased!A:Q,12,0)</f>
        <v xml:space="preserve"> </v>
      </c>
      <c r="I17" s="113"/>
      <c r="J17" s="44" t="str">
        <f>VLOOKUP(C17,Purchased!A:Q,13,0)</f>
        <v>N/A</v>
      </c>
      <c r="K17" s="44">
        <f>VLOOKUP(C17,Purchased!A:Q,16,0)</f>
        <v>45163</v>
      </c>
      <c r="L17" s="44">
        <f>VLOOKUP(C17,Purchased!A:Q,15,0)</f>
        <v>45184</v>
      </c>
      <c r="M17" s="44">
        <f>VLOOKUP(C17,Purchased!A:Q,16,0)</f>
        <v>45163</v>
      </c>
      <c r="N17" s="45">
        <f>VLOOKUP(C17,Purchased!A:Q,17,0)</f>
        <v>55088</v>
      </c>
      <c r="O17" s="45" t="e">
        <f t="shared" ca="1" si="2"/>
        <v>#VALUE!</v>
      </c>
      <c r="P17" s="49">
        <f>IFERROR(VLOOKUP(C17,Purchased!A:E,3,FALSE),"")</f>
        <v>11.62</v>
      </c>
      <c r="Q17" s="50">
        <f t="shared" si="3"/>
        <v>23.24</v>
      </c>
    </row>
    <row r="18" spans="1:17" s="2" customFormat="1" ht="12" customHeight="1">
      <c r="A18" s="4">
        <f t="shared" si="4"/>
        <v>307</v>
      </c>
      <c r="B18" s="2">
        <v>3</v>
      </c>
      <c r="C18" s="114" t="s">
        <v>1298</v>
      </c>
      <c r="D18" s="268" t="str">
        <f>VLOOKUP(C18,Purchased!A:B,2,0)</f>
        <v>Stainless Steel Wing-Head Thumb Screw M6 x 1 mm Thread Size, 50 mm Long</v>
      </c>
      <c r="E18" s="269"/>
      <c r="F18" s="112" t="str">
        <f>VLOOKUP(C18,Purchased!A:Q,9,0)</f>
        <v>MCM</v>
      </c>
      <c r="G18" s="112" t="str">
        <f>VLOOKUP(C18,Purchased!A:Q,10,0)</f>
        <v>MCM</v>
      </c>
      <c r="H18" s="112" t="str">
        <f>VLOOKUP(C18,Purchased!A:Q,12,0)</f>
        <v xml:space="preserve"> </v>
      </c>
      <c r="I18" s="113"/>
      <c r="J18" s="44" t="str">
        <f>VLOOKUP(C18,Purchased!A:Q,13,0)</f>
        <v>N/A</v>
      </c>
      <c r="K18" s="44">
        <f>VLOOKUP(C18,Purchased!A:Q,16,0)</f>
        <v>45163</v>
      </c>
      <c r="L18" s="44">
        <f>VLOOKUP(C18,Purchased!A:Q,15,0)</f>
        <v>45184</v>
      </c>
      <c r="M18" s="44">
        <f>VLOOKUP(C18,Purchased!A:Q,16,0)</f>
        <v>45163</v>
      </c>
      <c r="N18" s="45">
        <f>VLOOKUP(C18,Purchased!A:Q,17,0)</f>
        <v>55089</v>
      </c>
      <c r="O18" s="45" t="e">
        <f t="shared" ca="1" si="2"/>
        <v>#VALUE!</v>
      </c>
      <c r="P18" s="49">
        <f>IFERROR(VLOOKUP(C18,Purchased!A:E,3,FALSE),"")</f>
        <v>5.43</v>
      </c>
      <c r="Q18" s="50">
        <f t="shared" si="3"/>
        <v>16.29</v>
      </c>
    </row>
    <row r="19" spans="1:17" s="2" customFormat="1" ht="12" customHeight="1">
      <c r="A19" s="4">
        <f t="shared" si="4"/>
        <v>308</v>
      </c>
      <c r="B19" s="2">
        <v>1</v>
      </c>
      <c r="C19" s="114" t="s">
        <v>1299</v>
      </c>
      <c r="D19" s="268" t="str">
        <f>VLOOKUP(C19,Purchased!A:B,2,0)</f>
        <v>MISUMI Blocks for Adjusting Bolts - Side Mount</v>
      </c>
      <c r="E19" s="269"/>
      <c r="F19" s="112" t="str">
        <f>VLOOKUP(C19,Purchased!A:Q,9,0)</f>
        <v>MISUMI</v>
      </c>
      <c r="G19" s="112" t="str">
        <f>VLOOKUP(C19,Purchased!A:Q,10,0)</f>
        <v>MISUMI</v>
      </c>
      <c r="H19" s="112" t="str">
        <f>VLOOKUP(C19,Purchased!A:Q,12,0)</f>
        <v xml:space="preserve"> </v>
      </c>
      <c r="I19" s="113"/>
      <c r="J19" s="44" t="str">
        <f>VLOOKUP(C19,Purchased!A:Q,13,0)</f>
        <v>N/A</v>
      </c>
      <c r="K19" s="44">
        <f>VLOOKUP(C19,Purchased!A:Q,16,0)</f>
        <v>45176</v>
      </c>
      <c r="L19" s="44">
        <f>VLOOKUP(C19,Purchased!A:Q,15,0)</f>
        <v>45191</v>
      </c>
      <c r="M19" s="44">
        <f>VLOOKUP(C19,Purchased!A:Q,16,0)</f>
        <v>45176</v>
      </c>
      <c r="N19" s="45">
        <f>VLOOKUP(C19,Purchased!A:Q,17,0)</f>
        <v>55078</v>
      </c>
      <c r="O19" s="45" t="e">
        <f t="shared" ca="1" si="2"/>
        <v>#VALUE!</v>
      </c>
      <c r="P19" s="49">
        <f>IFERROR(VLOOKUP(C19,Purchased!A:E,3,FALSE),"")</f>
        <v>18.61</v>
      </c>
      <c r="Q19" s="50">
        <f t="shared" si="3"/>
        <v>18.61</v>
      </c>
    </row>
    <row r="20" spans="1:17" s="2" customFormat="1" ht="12" customHeight="1">
      <c r="A20" s="4">
        <f t="shared" si="4"/>
        <v>309</v>
      </c>
      <c r="B20" s="2">
        <v>1</v>
      </c>
      <c r="C20" s="114" t="s">
        <v>1300</v>
      </c>
      <c r="D20" s="268" t="str">
        <f>VLOOKUP(C20,Purchased!A:B,2,0)</f>
        <v>MISUMI Adjusting Bolts - Knurled Head, Hex Socket</v>
      </c>
      <c r="E20" s="269"/>
      <c r="F20" s="112" t="str">
        <f>VLOOKUP(C20,Purchased!A:Q,9,0)</f>
        <v>MISUMI</v>
      </c>
      <c r="G20" s="112" t="str">
        <f>VLOOKUP(C20,Purchased!A:Q,10,0)</f>
        <v>MISUMI</v>
      </c>
      <c r="H20" s="112" t="str">
        <f>VLOOKUP(C20,Purchased!A:Q,12,0)</f>
        <v xml:space="preserve"> </v>
      </c>
      <c r="I20" s="113"/>
      <c r="J20" s="44" t="str">
        <f>VLOOKUP(C20,Purchased!A:Q,13,0)</f>
        <v>N/A</v>
      </c>
      <c r="K20" s="44">
        <f>VLOOKUP(C20,Purchased!A:Q,16,0)</f>
        <v>45176</v>
      </c>
      <c r="L20" s="44">
        <f>VLOOKUP(C20,Purchased!A:Q,15,0)</f>
        <v>45191</v>
      </c>
      <c r="M20" s="44">
        <f>VLOOKUP(C20,Purchased!A:Q,16,0)</f>
        <v>45176</v>
      </c>
      <c r="N20" s="45">
        <f>VLOOKUP(C20,Purchased!A:Q,17,0)</f>
        <v>55078</v>
      </c>
      <c r="O20" s="45" t="e">
        <f t="shared" ca="1" si="2"/>
        <v>#VALUE!</v>
      </c>
      <c r="P20" s="49">
        <f>IFERROR(VLOOKUP(C20,Purchased!A:E,3,FALSE),"")</f>
        <v>6.32</v>
      </c>
      <c r="Q20" s="50">
        <f t="shared" si="3"/>
        <v>6.32</v>
      </c>
    </row>
    <row r="21" spans="1:17" s="2" customFormat="1" ht="12" customHeight="1">
      <c r="A21" s="4">
        <f t="shared" si="4"/>
        <v>310</v>
      </c>
      <c r="B21" s="2">
        <v>1</v>
      </c>
      <c r="C21" s="114" t="s">
        <v>1301</v>
      </c>
      <c r="D21" s="268" t="str">
        <f>VLOOKUP(C21,Purchased!A:B,2,0)</f>
        <v>ANGULAR GRIPPER</v>
      </c>
      <c r="E21" s="269"/>
      <c r="F21" s="112" t="str">
        <f>VLOOKUP(C21,Purchased!A:Q,9,0)</f>
        <v>ZIMMER</v>
      </c>
      <c r="G21" s="112" t="str">
        <f>VLOOKUP(C21,Purchased!A:Q,10,0)</f>
        <v>ZIMMER</v>
      </c>
      <c r="H21" s="112" t="str">
        <f>VLOOKUP(C21,Purchased!A:Q,12,0)</f>
        <v xml:space="preserve"> </v>
      </c>
      <c r="I21" s="113"/>
      <c r="J21" s="44" t="str">
        <f>VLOOKUP(C21,Purchased!A:Q,13,0)</f>
        <v>N/A</v>
      </c>
      <c r="K21" s="44">
        <f>VLOOKUP(C21,Purchased!A:Q,16,0)</f>
        <v>45180</v>
      </c>
      <c r="L21" s="44">
        <f>VLOOKUP(C21,Purchased!A:Q,15,0)</f>
        <v>45147</v>
      </c>
      <c r="M21" s="44">
        <f>VLOOKUP(C21,Purchased!A:Q,16,0)</f>
        <v>45180</v>
      </c>
      <c r="N21" s="45">
        <f>VLOOKUP(C21,Purchased!A:Q,17,0)</f>
        <v>54979</v>
      </c>
      <c r="O21" s="45" t="e">
        <f t="shared" ca="1" si="2"/>
        <v>#VALUE!</v>
      </c>
      <c r="P21" s="49">
        <f>IFERROR(VLOOKUP(C21,Purchased!A:E,3,FALSE),"")</f>
        <v>709.4</v>
      </c>
      <c r="Q21" s="50">
        <f t="shared" si="3"/>
        <v>709.4</v>
      </c>
    </row>
    <row r="22" spans="1:17" s="2" customFormat="1" ht="12.75" customHeight="1">
      <c r="A22" s="25"/>
      <c r="B22" s="26"/>
      <c r="C22" s="26"/>
      <c r="D22" s="272"/>
      <c r="E22" s="273"/>
      <c r="F22" s="26"/>
      <c r="G22" s="26"/>
      <c r="H22" s="274"/>
      <c r="I22" s="275"/>
      <c r="J22" s="27"/>
      <c r="K22" s="27"/>
      <c r="L22" s="27"/>
      <c r="M22" s="28"/>
      <c r="N22" s="29"/>
      <c r="O22" s="29" t="e">
        <f t="shared" ca="1" si="2"/>
        <v>#VALUE!</v>
      </c>
      <c r="P22" s="141"/>
      <c r="Q22" s="142"/>
    </row>
    <row r="23" spans="1:17" s="2" customFormat="1" ht="12.75" customHeight="1">
      <c r="A23" s="4">
        <v>501</v>
      </c>
      <c r="B23" s="2">
        <v>2</v>
      </c>
      <c r="C23" s="110" t="s">
        <v>668</v>
      </c>
      <c r="D23" s="268"/>
      <c r="E23" s="276"/>
      <c r="F23" s="112" t="str">
        <f>VLOOKUP(C23,Bolts!A:L,5,0)</f>
        <v xml:space="preserve">  </v>
      </c>
      <c r="G23" s="112" t="str">
        <f>VLOOKUP(C23,Bolts!A:L,6,0)</f>
        <v>Monroe Fasteners</v>
      </c>
      <c r="H23" s="112" t="str">
        <f>VLOOKUP(C23,Bolts!A:L,7,0)</f>
        <v xml:space="preserve">  </v>
      </c>
      <c r="I23" s="112"/>
      <c r="J23" s="44" t="str">
        <f>VLOOKUP(C23,Bolts!A:L,8,0)</f>
        <v xml:space="preserve"> </v>
      </c>
      <c r="K23" s="44" t="str">
        <f>VLOOKUP(C23,Bolts!A:L,9,0)</f>
        <v xml:space="preserve"> </v>
      </c>
      <c r="L23" s="44" t="str">
        <f>VLOOKUP(C23,Bolts!A:L,10,0)</f>
        <v xml:space="preserve"> </v>
      </c>
      <c r="M23" s="44" t="str">
        <f>VLOOKUP(C23,Bolts!A:L,11,0)</f>
        <v xml:space="preserve"> </v>
      </c>
      <c r="N23" s="45" t="str">
        <f>VLOOKUP(C23,Bolts!A:L,12,0)</f>
        <v xml:space="preserve"> </v>
      </c>
      <c r="O23" s="45" t="e">
        <f t="shared" ca="1" si="2"/>
        <v>#VALUE!</v>
      </c>
      <c r="P23" s="49" t="str">
        <f>IFERROR(VLOOKUP(C23,Bolts!A:B,2,FALSE),"")</f>
        <v xml:space="preserve"> </v>
      </c>
      <c r="Q23" s="50" t="str">
        <f t="shared" ref="Q23:Q26" si="5">IFERROR(B23*P23,"")</f>
        <v/>
      </c>
    </row>
    <row r="24" spans="1:17" s="2" customFormat="1" ht="12.75" customHeight="1">
      <c r="A24" s="4">
        <f t="shared" ref="A24:A29" si="6">A23+1</f>
        <v>502</v>
      </c>
      <c r="B24" s="2">
        <v>2</v>
      </c>
      <c r="C24" s="110" t="s">
        <v>278</v>
      </c>
      <c r="D24" s="268"/>
      <c r="E24" s="276"/>
      <c r="F24" s="112" t="str">
        <f>VLOOKUP(C24,Bolts!A:L,5,0)</f>
        <v xml:space="preserve">  </v>
      </c>
      <c r="G24" s="112" t="str">
        <f>VLOOKUP(C24,Bolts!A:L,6,0)</f>
        <v>Monroe Fasteners</v>
      </c>
      <c r="H24" s="112" t="str">
        <f>VLOOKUP(C24,Bolts!A:L,7,0)</f>
        <v xml:space="preserve">  </v>
      </c>
      <c r="I24" s="112"/>
      <c r="J24" s="44" t="str">
        <f>VLOOKUP(C24,Bolts!A:L,8,0)</f>
        <v xml:space="preserve"> </v>
      </c>
      <c r="K24" s="44" t="str">
        <f>VLOOKUP(C24,Bolts!A:L,9,0)</f>
        <v xml:space="preserve"> </v>
      </c>
      <c r="L24" s="44" t="str">
        <f>VLOOKUP(C24,Bolts!A:L,10,0)</f>
        <v xml:space="preserve"> </v>
      </c>
      <c r="M24" s="44" t="str">
        <f>VLOOKUP(C24,Bolts!A:L,11,0)</f>
        <v xml:space="preserve"> </v>
      </c>
      <c r="N24" s="45" t="str">
        <f>VLOOKUP(C24,Bolts!A:L,12,0)</f>
        <v xml:space="preserve"> </v>
      </c>
      <c r="O24" s="45" t="e">
        <f t="shared" ca="1" si="2"/>
        <v>#VALUE!</v>
      </c>
      <c r="P24" s="49" t="str">
        <f>IFERROR(VLOOKUP(C24,Bolts!A:B,2,FALSE),"")</f>
        <v xml:space="preserve"> </v>
      </c>
      <c r="Q24" s="50" t="str">
        <f t="shared" si="5"/>
        <v/>
      </c>
    </row>
    <row r="25" spans="1:17" s="2" customFormat="1" ht="12" customHeight="1">
      <c r="A25" s="4">
        <f t="shared" si="6"/>
        <v>503</v>
      </c>
      <c r="B25" s="2">
        <v>2</v>
      </c>
      <c r="C25" s="110" t="s">
        <v>1272</v>
      </c>
      <c r="D25" s="268"/>
      <c r="E25" s="276"/>
      <c r="F25" s="112" t="str">
        <f>VLOOKUP(C25,Bolts!A:L,5,0)</f>
        <v xml:space="preserve">  </v>
      </c>
      <c r="G25" s="112" t="str">
        <f>VLOOKUP(C25,Bolts!A:L,6,0)</f>
        <v>Monroe Fasteners</v>
      </c>
      <c r="H25" s="112" t="str">
        <f>VLOOKUP(C25,Bolts!A:L,7,0)</f>
        <v xml:space="preserve">  </v>
      </c>
      <c r="I25" s="112"/>
      <c r="J25" s="44" t="str">
        <f>VLOOKUP(C25,Bolts!A:L,8,0)</f>
        <v xml:space="preserve"> </v>
      </c>
      <c r="K25" s="44" t="str">
        <f>VLOOKUP(C25,Bolts!A:L,9,0)</f>
        <v xml:space="preserve"> </v>
      </c>
      <c r="L25" s="44" t="str">
        <f>VLOOKUP(C25,Bolts!A:L,10,0)</f>
        <v xml:space="preserve"> </v>
      </c>
      <c r="M25" s="44" t="str">
        <f>VLOOKUP(C25,Bolts!A:L,11,0)</f>
        <v xml:space="preserve"> </v>
      </c>
      <c r="N25" s="45" t="str">
        <f>VLOOKUP(C25,Bolts!A:L,12,0)</f>
        <v xml:space="preserve"> </v>
      </c>
      <c r="O25" s="45" t="e">
        <f t="shared" ca="1" si="2"/>
        <v>#VALUE!</v>
      </c>
      <c r="P25" s="49" t="str">
        <f>IFERROR(VLOOKUP(C25,Bolts!A:B,2,FALSE),"")</f>
        <v xml:space="preserve"> </v>
      </c>
      <c r="Q25" s="50" t="str">
        <f t="shared" si="5"/>
        <v/>
      </c>
    </row>
    <row r="26" spans="1:17" s="2" customFormat="1" ht="12" customHeight="1">
      <c r="A26" s="4">
        <f t="shared" si="6"/>
        <v>504</v>
      </c>
      <c r="B26" s="2">
        <v>2</v>
      </c>
      <c r="C26" s="110" t="s">
        <v>966</v>
      </c>
      <c r="D26" s="268"/>
      <c r="E26" s="276"/>
      <c r="F26" s="112" t="str">
        <f>VLOOKUP(C26,Bolts!A:L,5,0)</f>
        <v xml:space="preserve">  </v>
      </c>
      <c r="G26" s="112" t="str">
        <f>VLOOKUP(C26,Bolts!A:L,6,0)</f>
        <v>Monroe Fasteners</v>
      </c>
      <c r="H26" s="112" t="str">
        <f>VLOOKUP(C26,Bolts!A:L,7,0)</f>
        <v xml:space="preserve">  </v>
      </c>
      <c r="I26" s="112"/>
      <c r="J26" s="44" t="str">
        <f>VLOOKUP(C26,Bolts!A:L,8,0)</f>
        <v xml:space="preserve"> </v>
      </c>
      <c r="K26" s="44" t="str">
        <f>VLOOKUP(C26,Bolts!A:L,9,0)</f>
        <v xml:space="preserve"> </v>
      </c>
      <c r="L26" s="44" t="str">
        <f>VLOOKUP(C26,Bolts!A:L,10,0)</f>
        <v xml:space="preserve"> </v>
      </c>
      <c r="M26" s="44" t="str">
        <f>VLOOKUP(C26,Bolts!A:L,11,0)</f>
        <v xml:space="preserve"> </v>
      </c>
      <c r="N26" s="45" t="str">
        <f>VLOOKUP(C26,Bolts!A:L,12,0)</f>
        <v xml:space="preserve"> </v>
      </c>
      <c r="O26" s="45" t="e">
        <f t="shared" ca="1" si="2"/>
        <v>#VALUE!</v>
      </c>
      <c r="P26" s="49" t="str">
        <f>IFERROR(VLOOKUP(C26,Bolts!A:B,2,FALSE),"")</f>
        <v xml:space="preserve"> </v>
      </c>
      <c r="Q26" s="50" t="str">
        <f t="shared" si="5"/>
        <v/>
      </c>
    </row>
    <row r="27" spans="1:17" s="2" customFormat="1" ht="12" customHeight="1">
      <c r="A27" s="4">
        <f t="shared" si="6"/>
        <v>505</v>
      </c>
      <c r="B27" s="2">
        <v>4</v>
      </c>
      <c r="C27" s="110" t="s">
        <v>513</v>
      </c>
      <c r="D27" s="268"/>
      <c r="E27" s="276"/>
      <c r="F27" s="112" t="str">
        <f>VLOOKUP(C27,Bolts!A:L,5,0)</f>
        <v xml:space="preserve">  </v>
      </c>
      <c r="G27" s="112" t="str">
        <f>VLOOKUP(C27,Bolts!A:L,6,0)</f>
        <v>Monroe Fasteners</v>
      </c>
      <c r="H27" s="112" t="str">
        <f>VLOOKUP(C27,Bolts!A:L,7,0)</f>
        <v xml:space="preserve">  </v>
      </c>
      <c r="I27" s="112"/>
      <c r="J27" s="44" t="str">
        <f>VLOOKUP(C27,Bolts!A:L,8,0)</f>
        <v xml:space="preserve"> </v>
      </c>
      <c r="K27" s="44" t="str">
        <f>VLOOKUP(C27,Bolts!A:L,9,0)</f>
        <v xml:space="preserve"> </v>
      </c>
      <c r="L27" s="44" t="str">
        <f>VLOOKUP(C27,Bolts!A:L,10,0)</f>
        <v xml:space="preserve"> </v>
      </c>
      <c r="M27" s="44" t="str">
        <f>VLOOKUP(C27,Bolts!A:L,11,0)</f>
        <v xml:space="preserve"> </v>
      </c>
      <c r="N27" s="45" t="str">
        <f>VLOOKUP(C27,Bolts!A:L,12,0)</f>
        <v xml:space="preserve"> </v>
      </c>
      <c r="O27" s="45" t="e">
        <f t="shared" ref="O27:O29" ca="1" si="7">B27*$L$2</f>
        <v>#VALUE!</v>
      </c>
      <c r="P27" s="49" t="str">
        <f>IFERROR(VLOOKUP(C27,Bolts!A:B,2,FALSE),"")</f>
        <v xml:space="preserve"> </v>
      </c>
      <c r="Q27" s="50" t="str">
        <f t="shared" ref="Q27:Q29" si="8">IFERROR(B27*P27,"")</f>
        <v/>
      </c>
    </row>
    <row r="28" spans="1:17" s="2" customFormat="1" ht="12" customHeight="1">
      <c r="A28" s="4">
        <f t="shared" si="6"/>
        <v>506</v>
      </c>
      <c r="B28" s="2">
        <v>2</v>
      </c>
      <c r="C28" s="110" t="s">
        <v>1302</v>
      </c>
      <c r="D28" s="268"/>
      <c r="E28" s="276"/>
      <c r="F28" s="112">
        <f>VLOOKUP(C28,Bolts!A:L,5,0)</f>
        <v>0</v>
      </c>
      <c r="G28" s="112">
        <f>VLOOKUP(C28,Bolts!A:L,6,0)</f>
        <v>0</v>
      </c>
      <c r="H28" s="112">
        <f>VLOOKUP(C28,Bolts!A:L,7,0)</f>
        <v>0</v>
      </c>
      <c r="I28" s="112"/>
      <c r="J28" s="44">
        <f>VLOOKUP(C28,Bolts!A:L,8,0)</f>
        <v>0</v>
      </c>
      <c r="K28" s="44">
        <f>VLOOKUP(C28,Bolts!A:L,9,0)</f>
        <v>0</v>
      </c>
      <c r="L28" s="44">
        <f>VLOOKUP(C28,Bolts!A:L,10,0)</f>
        <v>0</v>
      </c>
      <c r="M28" s="44">
        <f>VLOOKUP(C28,Bolts!A:L,11,0)</f>
        <v>0</v>
      </c>
      <c r="N28" s="45">
        <f>VLOOKUP(C28,Bolts!A:L,12,0)</f>
        <v>0</v>
      </c>
      <c r="O28" s="45" t="e">
        <f t="shared" ca="1" si="7"/>
        <v>#VALUE!</v>
      </c>
      <c r="P28" s="49">
        <f>IFERROR(VLOOKUP(C28,Bolts!A:B,2,FALSE),"")</f>
        <v>0</v>
      </c>
      <c r="Q28" s="50">
        <f t="shared" si="8"/>
        <v>0</v>
      </c>
    </row>
    <row r="29" spans="1:17" s="2" customFormat="1" ht="12" customHeight="1" thickBot="1">
      <c r="A29" s="4">
        <f t="shared" si="6"/>
        <v>507</v>
      </c>
      <c r="B29" s="2">
        <v>6</v>
      </c>
      <c r="C29" s="110" t="s">
        <v>595</v>
      </c>
      <c r="D29" s="268"/>
      <c r="E29" s="276"/>
      <c r="F29" s="112" t="str">
        <f>VLOOKUP(C29,Bolts!A:L,5,0)</f>
        <v xml:space="preserve">  </v>
      </c>
      <c r="G29" s="112" t="str">
        <f>VLOOKUP(C29,Bolts!A:L,6,0)</f>
        <v>Monroe Fasteners</v>
      </c>
      <c r="H29" s="112" t="str">
        <f>VLOOKUP(C29,Bolts!A:L,7,0)</f>
        <v xml:space="preserve">  </v>
      </c>
      <c r="I29" s="112"/>
      <c r="J29" s="44" t="str">
        <f>VLOOKUP(C29,Bolts!A:L,8,0)</f>
        <v xml:space="preserve"> </v>
      </c>
      <c r="K29" s="44" t="str">
        <f>VLOOKUP(C29,Bolts!A:L,9,0)</f>
        <v xml:space="preserve"> </v>
      </c>
      <c r="L29" s="44" t="str">
        <f>VLOOKUP(C29,Bolts!A:L,10,0)</f>
        <v xml:space="preserve"> </v>
      </c>
      <c r="M29" s="44" t="str">
        <f>VLOOKUP(C29,Bolts!A:L,11,0)</f>
        <v xml:space="preserve"> </v>
      </c>
      <c r="N29" s="45" t="str">
        <f>VLOOKUP(C29,Bolts!A:L,12,0)</f>
        <v xml:space="preserve"> </v>
      </c>
      <c r="O29" s="45" t="e">
        <f t="shared" ca="1" si="7"/>
        <v>#VALUE!</v>
      </c>
      <c r="P29" s="49" t="str">
        <f>IFERROR(VLOOKUP(C29,Bolts!A:B,2,FALSE),"")</f>
        <v xml:space="preserve"> </v>
      </c>
      <c r="Q29" s="50" t="str">
        <f t="shared" si="8"/>
        <v/>
      </c>
    </row>
    <row r="30" spans="1:17" s="2" customFormat="1" ht="12.75" customHeight="1" thickBot="1">
      <c r="A30" s="34"/>
      <c r="B30" s="35"/>
      <c r="C30" s="35"/>
      <c r="D30" s="256"/>
      <c r="E30" s="257"/>
      <c r="F30" s="35"/>
      <c r="G30" s="35"/>
      <c r="H30" s="294"/>
      <c r="I30" s="295"/>
      <c r="J30" s="36"/>
      <c r="K30" s="36"/>
      <c r="L30" s="36"/>
      <c r="M30" s="37"/>
      <c r="N30" s="38"/>
      <c r="O30" s="38"/>
      <c r="P30" s="89" t="s">
        <v>43</v>
      </c>
      <c r="Q30" s="94">
        <f>SUM(Q5:Q27)</f>
        <v>1686.1114</v>
      </c>
    </row>
    <row r="31" spans="1:17" s="2" customFormat="1" ht="12" customHeight="1">
      <c r="D31" s="22"/>
      <c r="E31" s="22"/>
      <c r="J31" s="8"/>
      <c r="K31" s="8"/>
      <c r="L31" s="8"/>
      <c r="M31" s="8"/>
      <c r="N31" s="5"/>
      <c r="O31" s="5"/>
      <c r="P31" s="88"/>
      <c r="Q31" s="95"/>
    </row>
    <row r="32" spans="1:17" s="2" customFormat="1" ht="12" customHeight="1">
      <c r="D32" s="22"/>
      <c r="E32" s="22"/>
      <c r="J32" s="5"/>
      <c r="K32" s="5"/>
      <c r="L32" s="5"/>
      <c r="M32" s="5"/>
      <c r="N32" s="5"/>
      <c r="O32" s="5"/>
      <c r="P32" s="88"/>
      <c r="Q32" s="95"/>
    </row>
    <row r="33" spans="4:17" s="2" customFormat="1" ht="12" customHeight="1">
      <c r="D33" s="22"/>
      <c r="E33" s="22"/>
      <c r="J33" s="5"/>
      <c r="K33" s="5"/>
      <c r="L33" s="5"/>
      <c r="M33" s="5"/>
      <c r="N33" s="5"/>
      <c r="O33" s="5"/>
      <c r="P33" s="88"/>
      <c r="Q33" s="95"/>
    </row>
    <row r="34" spans="4:17" s="2" customFormat="1" ht="12" customHeight="1">
      <c r="D34" s="22"/>
      <c r="E34" s="22"/>
      <c r="J34" s="5"/>
      <c r="K34" s="5"/>
      <c r="L34" s="5"/>
      <c r="M34" s="5"/>
      <c r="N34" s="5"/>
      <c r="O34" s="5"/>
      <c r="P34" s="88"/>
      <c r="Q34" s="95"/>
    </row>
    <row r="35" spans="4:17" s="2" customFormat="1" ht="12" customHeight="1">
      <c r="D35" s="22"/>
      <c r="E35" s="22"/>
      <c r="J35" s="5"/>
      <c r="K35" s="5"/>
      <c r="L35" s="5"/>
      <c r="M35" s="5"/>
      <c r="N35" s="5"/>
      <c r="O35" s="5"/>
      <c r="P35" s="88"/>
      <c r="Q35" s="95"/>
    </row>
    <row r="36" spans="4:17" s="2" customFormat="1" ht="12" customHeight="1">
      <c r="D36" s="22"/>
      <c r="E36" s="22"/>
      <c r="J36" s="5"/>
      <c r="K36" s="5"/>
      <c r="L36" s="5"/>
      <c r="M36" s="5"/>
      <c r="N36" s="5"/>
      <c r="O36" s="5"/>
      <c r="P36" s="88"/>
      <c r="Q36" s="95"/>
    </row>
    <row r="37" spans="4:17" s="2" customFormat="1" ht="12" customHeight="1">
      <c r="D37" s="22"/>
      <c r="E37" s="22"/>
      <c r="J37" s="5"/>
      <c r="K37" s="5"/>
      <c r="L37" s="5"/>
      <c r="M37" s="5"/>
      <c r="N37" s="5"/>
      <c r="O37" s="5"/>
      <c r="P37" s="88"/>
      <c r="Q37" s="95"/>
    </row>
    <row r="38" spans="4:17" s="2" customFormat="1" ht="12" customHeight="1">
      <c r="D38" s="22"/>
      <c r="E38" s="22"/>
      <c r="J38" s="5"/>
      <c r="K38" s="5"/>
      <c r="L38" s="5"/>
      <c r="M38" s="5"/>
      <c r="N38" s="5"/>
      <c r="O38" s="5"/>
      <c r="P38" s="88"/>
      <c r="Q38" s="95"/>
    </row>
    <row r="39" spans="4:17" s="2" customFormat="1" ht="12" customHeight="1">
      <c r="D39" s="22"/>
      <c r="E39" s="22"/>
      <c r="J39" s="5"/>
      <c r="K39" s="5"/>
      <c r="L39" s="5"/>
      <c r="M39" s="5"/>
      <c r="N39" s="5"/>
      <c r="O39" s="5"/>
      <c r="P39" s="88"/>
      <c r="Q39" s="95"/>
    </row>
    <row r="40" spans="4:17" s="2" customFormat="1" ht="12" customHeight="1">
      <c r="D40" s="22"/>
      <c r="E40" s="22"/>
      <c r="J40" s="5"/>
      <c r="K40" s="5"/>
      <c r="L40" s="5"/>
      <c r="M40" s="5"/>
      <c r="N40" s="5"/>
      <c r="O40" s="5"/>
      <c r="P40" s="88"/>
      <c r="Q40" s="95"/>
    </row>
    <row r="41" spans="4:17" s="2" customFormat="1" ht="12" customHeight="1">
      <c r="D41" s="22"/>
      <c r="E41" s="22"/>
      <c r="J41" s="5"/>
      <c r="K41" s="5"/>
      <c r="L41" s="5"/>
      <c r="M41" s="5"/>
      <c r="N41" s="5"/>
      <c r="O41" s="5"/>
      <c r="P41" s="88"/>
      <c r="Q41" s="95"/>
    </row>
    <row r="42" spans="4:17" s="2" customFormat="1" ht="12" customHeight="1">
      <c r="D42" s="22"/>
      <c r="E42" s="22"/>
      <c r="J42" s="5"/>
      <c r="K42" s="5"/>
      <c r="L42" s="5"/>
      <c r="M42" s="5"/>
      <c r="N42" s="5"/>
      <c r="O42" s="5"/>
      <c r="P42" s="88"/>
      <c r="Q42" s="95"/>
    </row>
    <row r="43" spans="4:17" s="2" customFormat="1" ht="12" customHeight="1">
      <c r="D43" s="22"/>
      <c r="E43" s="22"/>
      <c r="J43" s="5"/>
      <c r="K43" s="5"/>
      <c r="L43" s="5"/>
      <c r="M43" s="5"/>
      <c r="N43" s="5"/>
      <c r="O43" s="5"/>
      <c r="P43" s="88"/>
      <c r="Q43" s="95"/>
    </row>
    <row r="44" spans="4:17" s="2" customFormat="1" ht="12" customHeight="1">
      <c r="D44" s="22"/>
      <c r="E44" s="22"/>
      <c r="J44" s="5"/>
      <c r="K44" s="5"/>
      <c r="L44" s="5"/>
      <c r="M44" s="5"/>
      <c r="N44" s="5"/>
      <c r="O44" s="5"/>
      <c r="P44" s="88"/>
      <c r="Q44" s="95"/>
    </row>
    <row r="45" spans="4:17" s="2" customFormat="1" ht="12" customHeight="1">
      <c r="D45" s="22"/>
      <c r="E45" s="22"/>
      <c r="J45" s="5"/>
      <c r="K45" s="5"/>
      <c r="L45" s="5"/>
      <c r="M45" s="5"/>
      <c r="N45" s="5"/>
      <c r="O45" s="5"/>
      <c r="P45" s="88"/>
      <c r="Q45" s="95"/>
    </row>
    <row r="46" spans="4:17" s="2" customFormat="1" ht="12" customHeight="1">
      <c r="D46" s="22"/>
      <c r="E46" s="22"/>
      <c r="J46" s="5"/>
      <c r="K46" s="5"/>
      <c r="L46" s="5"/>
      <c r="M46" s="5"/>
      <c r="N46" s="5"/>
      <c r="O46" s="5"/>
      <c r="P46" s="88"/>
      <c r="Q46" s="95"/>
    </row>
    <row r="47" spans="4:17" s="2" customFormat="1" ht="12" customHeight="1">
      <c r="D47" s="22"/>
      <c r="E47" s="22"/>
      <c r="J47" s="5"/>
      <c r="K47" s="5"/>
      <c r="L47" s="5"/>
      <c r="M47" s="5"/>
      <c r="N47" s="5"/>
      <c r="O47" s="5"/>
      <c r="P47" s="88"/>
      <c r="Q47" s="95"/>
    </row>
    <row r="48" spans="4:17" s="2" customFormat="1" ht="12" customHeight="1">
      <c r="D48" s="22"/>
      <c r="E48" s="22"/>
      <c r="J48" s="5"/>
      <c r="K48" s="5"/>
      <c r="L48" s="5"/>
      <c r="M48" s="5"/>
      <c r="N48" s="5"/>
      <c r="O48" s="5"/>
      <c r="P48" s="88"/>
      <c r="Q48" s="95"/>
    </row>
    <row r="49" spans="4:17" s="2" customFormat="1" ht="12" customHeight="1">
      <c r="D49" s="22"/>
      <c r="E49" s="22"/>
      <c r="J49" s="5"/>
      <c r="K49" s="5"/>
      <c r="L49" s="5"/>
      <c r="M49" s="5"/>
      <c r="N49" s="5"/>
      <c r="O49" s="5"/>
      <c r="P49" s="88"/>
      <c r="Q49" s="95"/>
    </row>
    <row r="50" spans="4:17" s="2" customFormat="1" ht="12" customHeight="1">
      <c r="D50" s="22"/>
      <c r="E50" s="22"/>
      <c r="J50" s="5"/>
      <c r="K50" s="5"/>
      <c r="L50" s="5"/>
      <c r="M50" s="5"/>
      <c r="N50" s="5"/>
      <c r="O50" s="5"/>
      <c r="P50" s="88"/>
      <c r="Q50" s="95"/>
    </row>
    <row r="51" spans="4:17" s="2" customFormat="1" ht="12" customHeight="1">
      <c r="D51" s="22"/>
      <c r="E51" s="22"/>
      <c r="J51" s="5"/>
      <c r="K51" s="5"/>
      <c r="L51" s="5"/>
      <c r="M51" s="5"/>
      <c r="N51" s="5"/>
      <c r="O51" s="5"/>
      <c r="P51" s="88"/>
      <c r="Q51" s="95"/>
    </row>
    <row r="52" spans="4:17" s="2" customFormat="1" ht="12" customHeight="1">
      <c r="D52" s="22"/>
      <c r="E52" s="22"/>
      <c r="J52" s="5"/>
      <c r="K52" s="5"/>
      <c r="L52" s="5"/>
      <c r="M52" s="5"/>
      <c r="N52" s="5"/>
      <c r="O52" s="5"/>
      <c r="P52" s="88"/>
      <c r="Q52" s="95"/>
    </row>
    <row r="53" spans="4:17" s="2" customFormat="1" ht="12" customHeight="1">
      <c r="D53" s="22"/>
      <c r="E53" s="22"/>
      <c r="J53" s="5"/>
      <c r="K53" s="5"/>
      <c r="L53" s="5"/>
      <c r="M53" s="5"/>
      <c r="N53" s="5"/>
      <c r="O53" s="5"/>
      <c r="P53" s="88"/>
      <c r="Q53" s="95"/>
    </row>
    <row r="54" spans="4:17" s="2" customFormat="1" ht="12" customHeight="1">
      <c r="D54" s="22"/>
      <c r="E54" s="22"/>
      <c r="J54" s="5"/>
      <c r="K54" s="5"/>
      <c r="L54" s="5"/>
      <c r="M54" s="5"/>
      <c r="N54" s="5"/>
      <c r="O54" s="5"/>
      <c r="P54" s="88"/>
      <c r="Q54" s="95"/>
    </row>
    <row r="55" spans="4:17" s="2" customFormat="1" ht="12" customHeight="1">
      <c r="D55" s="22"/>
      <c r="E55" s="22"/>
      <c r="J55" s="5"/>
      <c r="K55" s="5"/>
      <c r="L55" s="5"/>
      <c r="M55" s="5"/>
      <c r="N55" s="5"/>
      <c r="O55" s="5"/>
      <c r="P55" s="88"/>
      <c r="Q55" s="95"/>
    </row>
    <row r="56" spans="4:17" s="2" customFormat="1" ht="12" customHeight="1">
      <c r="D56" s="22"/>
      <c r="E56" s="22"/>
      <c r="J56" s="5"/>
      <c r="K56" s="5"/>
      <c r="L56" s="5"/>
      <c r="M56" s="5"/>
      <c r="N56" s="5"/>
      <c r="O56" s="5"/>
      <c r="P56" s="88"/>
      <c r="Q56" s="95"/>
    </row>
    <row r="57" spans="4:17" s="2" customFormat="1" ht="12" customHeight="1">
      <c r="D57" s="22"/>
      <c r="E57" s="22"/>
      <c r="J57" s="5"/>
      <c r="K57" s="5"/>
      <c r="L57" s="5"/>
      <c r="M57" s="5"/>
      <c r="N57" s="5"/>
      <c r="O57" s="5"/>
      <c r="P57" s="88"/>
      <c r="Q57" s="95"/>
    </row>
    <row r="58" spans="4:17" s="2" customFormat="1" ht="12" customHeight="1">
      <c r="D58" s="22"/>
      <c r="E58" s="22"/>
      <c r="J58" s="5"/>
      <c r="K58" s="5"/>
      <c r="L58" s="5"/>
      <c r="M58" s="5"/>
      <c r="N58" s="5"/>
      <c r="O58" s="5"/>
      <c r="P58" s="88"/>
      <c r="Q58" s="95"/>
    </row>
    <row r="59" spans="4:17" s="2" customFormat="1" ht="12" customHeight="1">
      <c r="D59" s="22"/>
      <c r="E59" s="22"/>
      <c r="J59" s="5"/>
      <c r="K59" s="5"/>
      <c r="L59" s="5"/>
      <c r="M59" s="5"/>
      <c r="N59" s="5"/>
      <c r="O59" s="5"/>
      <c r="P59" s="88"/>
      <c r="Q59" s="95"/>
    </row>
    <row r="60" spans="4:17" s="2" customFormat="1" ht="12" customHeight="1">
      <c r="D60" s="22"/>
      <c r="E60" s="22"/>
      <c r="J60" s="5"/>
      <c r="K60" s="5"/>
      <c r="L60" s="5"/>
      <c r="M60" s="5"/>
      <c r="N60" s="5"/>
      <c r="O60" s="5"/>
      <c r="P60" s="88"/>
      <c r="Q60" s="95"/>
    </row>
    <row r="61" spans="4:17" s="2" customFormat="1" ht="12" customHeight="1">
      <c r="D61" s="22"/>
      <c r="E61" s="22"/>
      <c r="J61" s="5"/>
      <c r="K61" s="5"/>
      <c r="L61" s="5"/>
      <c r="M61" s="5"/>
      <c r="N61" s="5"/>
      <c r="O61" s="5"/>
      <c r="P61" s="88"/>
      <c r="Q61" s="95"/>
    </row>
    <row r="62" spans="4:17" s="2" customFormat="1" ht="12" customHeight="1">
      <c r="D62" s="22"/>
      <c r="E62" s="22"/>
      <c r="J62" s="5"/>
      <c r="K62" s="5"/>
      <c r="L62" s="5"/>
      <c r="M62" s="5"/>
      <c r="N62" s="5"/>
      <c r="O62" s="5"/>
      <c r="P62" s="88"/>
      <c r="Q62" s="95"/>
    </row>
    <row r="63" spans="4:17" s="2" customFormat="1" ht="12" customHeight="1">
      <c r="D63" s="22"/>
      <c r="E63" s="22"/>
      <c r="J63" s="5"/>
      <c r="K63" s="5"/>
      <c r="L63" s="5"/>
      <c r="M63" s="5"/>
      <c r="N63" s="5"/>
      <c r="O63" s="5"/>
      <c r="P63" s="88"/>
      <c r="Q63" s="95"/>
    </row>
    <row r="64" spans="4:17" s="2" customFormat="1" ht="12" customHeight="1">
      <c r="D64" s="22"/>
      <c r="E64" s="22"/>
      <c r="J64" s="5"/>
      <c r="K64" s="5"/>
      <c r="L64" s="5"/>
      <c r="M64" s="5"/>
      <c r="N64" s="5"/>
      <c r="O64" s="5"/>
      <c r="P64" s="88"/>
      <c r="Q64" s="95"/>
    </row>
    <row r="65" spans="1:17" s="2" customFormat="1" ht="12" customHeight="1">
      <c r="D65" s="22"/>
      <c r="E65" s="22"/>
      <c r="J65" s="5"/>
      <c r="K65" s="5"/>
      <c r="L65" s="5"/>
      <c r="M65" s="5"/>
      <c r="N65" s="5"/>
      <c r="O65" s="5"/>
      <c r="P65" s="88"/>
      <c r="Q65" s="95"/>
    </row>
    <row r="66" spans="1:17" s="2" customFormat="1" ht="12" customHeight="1">
      <c r="D66" s="22"/>
      <c r="E66" s="22"/>
      <c r="J66" s="5"/>
      <c r="K66" s="5"/>
      <c r="L66" s="5"/>
      <c r="M66" s="5"/>
      <c r="N66" s="5"/>
      <c r="O66" s="5"/>
      <c r="P66" s="88"/>
      <c r="Q66" s="95"/>
    </row>
    <row r="67" spans="1:17" s="2" customFormat="1" ht="12" customHeight="1">
      <c r="D67" s="22"/>
      <c r="E67" s="22"/>
      <c r="J67" s="5"/>
      <c r="K67" s="5"/>
      <c r="L67" s="5"/>
      <c r="M67" s="5"/>
      <c r="N67" s="5"/>
      <c r="O67" s="5"/>
      <c r="P67" s="88"/>
      <c r="Q67" s="95"/>
    </row>
    <row r="68" spans="1:17" s="2" customFormat="1" ht="12" customHeight="1">
      <c r="D68" s="22"/>
      <c r="E68" s="22"/>
      <c r="J68" s="5"/>
      <c r="K68" s="5"/>
      <c r="L68" s="5"/>
      <c r="M68" s="5"/>
      <c r="N68" s="5"/>
      <c r="O68" s="5"/>
      <c r="P68" s="88"/>
      <c r="Q68" s="95"/>
    </row>
    <row r="69" spans="1:17" s="2" customFormat="1" ht="12" customHeight="1">
      <c r="D69" s="22"/>
      <c r="E69" s="22"/>
      <c r="J69" s="5"/>
      <c r="K69" s="5"/>
      <c r="L69" s="5"/>
      <c r="M69" s="5"/>
      <c r="N69" s="5"/>
      <c r="O69" s="5"/>
      <c r="P69" s="88"/>
      <c r="Q69" s="96"/>
    </row>
    <row r="70" spans="1:17" s="2" customFormat="1" ht="12" customHeight="1">
      <c r="D70" s="22"/>
      <c r="E70" s="22"/>
      <c r="J70" s="5"/>
      <c r="K70" s="5"/>
      <c r="L70" s="5"/>
      <c r="M70" s="5"/>
      <c r="N70" s="5"/>
      <c r="O70" s="5"/>
      <c r="P70" s="88"/>
      <c r="Q70" s="96"/>
    </row>
    <row r="71" spans="1:17" s="2" customFormat="1" ht="12" customHeight="1">
      <c r="D71" s="22"/>
      <c r="E71" s="22"/>
      <c r="J71" s="5"/>
      <c r="K71" s="5"/>
      <c r="L71" s="5"/>
      <c r="M71" s="5"/>
      <c r="N71" s="5"/>
      <c r="O71" s="5"/>
      <c r="P71" s="88"/>
      <c r="Q71" s="96"/>
    </row>
    <row r="72" spans="1:17" s="2" customFormat="1" ht="12" customHeight="1">
      <c r="D72" s="22"/>
      <c r="E72" s="22"/>
      <c r="J72" s="5"/>
      <c r="K72" s="5"/>
      <c r="L72" s="5"/>
      <c r="M72" s="5"/>
      <c r="N72" s="5"/>
      <c r="O72" s="5"/>
      <c r="P72" s="88"/>
      <c r="Q72" s="96"/>
    </row>
    <row r="73" spans="1:17" s="2" customFormat="1" ht="12" customHeight="1">
      <c r="A73"/>
      <c r="B73"/>
      <c r="C73"/>
      <c r="D73" s="23"/>
      <c r="E73" s="23"/>
      <c r="F73"/>
      <c r="G73"/>
      <c r="H73"/>
      <c r="I73"/>
      <c r="J73" s="19"/>
      <c r="K73" s="19"/>
      <c r="L73" s="19"/>
      <c r="M73" s="19"/>
      <c r="N73" s="19"/>
      <c r="O73" s="19"/>
      <c r="P73" s="90"/>
      <c r="Q73" s="96"/>
    </row>
    <row r="74" spans="1:17" s="2" customFormat="1" ht="12" customHeight="1">
      <c r="A74"/>
      <c r="B74"/>
      <c r="C74"/>
      <c r="D74" s="23"/>
      <c r="E74" s="23"/>
      <c r="F74"/>
      <c r="G74"/>
      <c r="H74"/>
      <c r="I74"/>
      <c r="J74" s="19"/>
      <c r="K74" s="19"/>
      <c r="L74" s="19"/>
      <c r="M74" s="19"/>
      <c r="N74" s="19"/>
      <c r="O74" s="19"/>
      <c r="P74" s="90"/>
      <c r="Q74" s="96"/>
    </row>
    <row r="75" spans="1:17" s="2" customFormat="1" ht="12" customHeight="1">
      <c r="A75"/>
      <c r="B75"/>
      <c r="C75"/>
      <c r="D75" s="23"/>
      <c r="E75" s="23"/>
      <c r="F75"/>
      <c r="G75"/>
      <c r="H75"/>
      <c r="I75"/>
      <c r="J75" s="19"/>
      <c r="K75" s="19"/>
      <c r="L75" s="19"/>
      <c r="M75" s="19"/>
      <c r="N75" s="19"/>
      <c r="O75" s="19"/>
      <c r="P75" s="90"/>
      <c r="Q75" s="96"/>
    </row>
    <row r="76" spans="1:17" s="2" customFormat="1" ht="12" customHeight="1">
      <c r="A76"/>
      <c r="B76"/>
      <c r="C76"/>
      <c r="D76" s="23"/>
      <c r="E76" s="23"/>
      <c r="F76"/>
      <c r="G76"/>
      <c r="H76"/>
      <c r="I76"/>
      <c r="J76" s="19"/>
      <c r="K76" s="19"/>
      <c r="L76" s="19"/>
      <c r="M76" s="19"/>
      <c r="N76" s="19"/>
      <c r="O76" s="19"/>
      <c r="P76" s="90"/>
      <c r="Q76" s="96"/>
    </row>
    <row r="77" spans="1:17" s="2" customFormat="1" ht="12" customHeight="1">
      <c r="A77"/>
      <c r="B77"/>
      <c r="C77"/>
      <c r="D77" s="23"/>
      <c r="E77" s="23"/>
      <c r="F77"/>
      <c r="G77"/>
      <c r="H77"/>
      <c r="I77"/>
      <c r="J77" s="19"/>
      <c r="K77" s="19"/>
      <c r="L77" s="19"/>
      <c r="M77" s="19"/>
      <c r="N77" s="19"/>
      <c r="O77" s="19"/>
      <c r="P77" s="90"/>
      <c r="Q77" s="96"/>
    </row>
    <row r="78" spans="1:17">
      <c r="Q78" s="96"/>
    </row>
    <row r="79" spans="1:17">
      <c r="Q79" s="96"/>
    </row>
    <row r="80" spans="1:17">
      <c r="Q80" s="96"/>
    </row>
    <row r="81" spans="17:17">
      <c r="Q81" s="96"/>
    </row>
    <row r="82" spans="17:17">
      <c r="Q82" s="96"/>
    </row>
    <row r="83" spans="17:17">
      <c r="Q83" s="96"/>
    </row>
    <row r="84" spans="17:17">
      <c r="Q84" s="96"/>
    </row>
    <row r="85" spans="17:17">
      <c r="Q85" s="96"/>
    </row>
    <row r="86" spans="17:17">
      <c r="Q86" s="96"/>
    </row>
    <row r="87" spans="17:17">
      <c r="Q87" s="96"/>
    </row>
    <row r="88" spans="17:17">
      <c r="Q88" s="96"/>
    </row>
    <row r="89" spans="17:17">
      <c r="Q89" s="96"/>
    </row>
    <row r="90" spans="17:17">
      <c r="Q90" s="96"/>
    </row>
    <row r="91" spans="17:17">
      <c r="Q91" s="96"/>
    </row>
    <row r="92" spans="17:17">
      <c r="Q92" s="96"/>
    </row>
    <row r="93" spans="17:17">
      <c r="Q93" s="96"/>
    </row>
    <row r="94" spans="17:17">
      <c r="Q94" s="96"/>
    </row>
    <row r="95" spans="17:17">
      <c r="Q95" s="96"/>
    </row>
    <row r="96" spans="17:17">
      <c r="Q96" s="96"/>
    </row>
    <row r="97" spans="17:17">
      <c r="Q97" s="96"/>
    </row>
    <row r="134" ht="12" customHeight="1"/>
    <row r="135" ht="12" customHeight="1"/>
    <row r="136" ht="12" customHeight="1"/>
    <row r="137" ht="12" customHeight="1"/>
    <row r="138" ht="12" customHeight="1"/>
    <row r="139" ht="12" customHeight="1"/>
    <row r="140" ht="12" customHeight="1"/>
    <row r="141" ht="12" customHeight="1"/>
    <row r="142" ht="12" customHeight="1"/>
    <row r="143" ht="12" customHeight="1"/>
    <row r="144" ht="12" customHeight="1"/>
    <row r="145" ht="12" customHeight="1"/>
    <row r="146" ht="12" customHeight="1"/>
    <row r="147" ht="12" customHeight="1"/>
    <row r="148" ht="12" customHeight="1"/>
    <row r="149" ht="12" customHeight="1"/>
    <row r="150" ht="12" customHeight="1"/>
    <row r="151" ht="12" customHeight="1"/>
    <row r="152" ht="12" customHeight="1"/>
    <row r="153" ht="12" customHeight="1"/>
    <row r="154" ht="12" customHeight="1"/>
    <row r="155" ht="12" customHeight="1"/>
    <row r="156" ht="12" customHeight="1"/>
    <row r="157" ht="12" customHeight="1"/>
    <row r="158" ht="12" customHeight="1"/>
    <row r="159" ht="12" customHeight="1"/>
    <row r="160" ht="12" customHeight="1"/>
    <row r="161" ht="12" customHeight="1"/>
    <row r="162" ht="12" customHeight="1"/>
    <row r="163" ht="12" customHeight="1"/>
    <row r="164" ht="12" customHeight="1"/>
    <row r="165" ht="12" customHeight="1"/>
    <row r="166" ht="12" customHeight="1"/>
    <row r="167" ht="12" customHeight="1"/>
    <row r="168" ht="12" customHeight="1"/>
    <row r="169" ht="12" customHeight="1"/>
    <row r="170" ht="12" customHeight="1"/>
    <row r="171" ht="12" customHeight="1"/>
    <row r="172" ht="12" customHeight="1"/>
    <row r="173" ht="12" customHeight="1"/>
    <row r="174" ht="12" customHeight="1"/>
    <row r="175" ht="12" customHeight="1"/>
    <row r="176" ht="12" customHeight="1"/>
    <row r="177" ht="12" customHeight="1"/>
    <row r="178" ht="12" customHeight="1"/>
    <row r="179" ht="12" customHeight="1"/>
    <row r="180" ht="12" customHeight="1"/>
    <row r="181" ht="12" customHeight="1"/>
    <row r="182" ht="12" customHeight="1"/>
    <row r="183" ht="12" customHeight="1"/>
  </sheetData>
  <mergeCells count="32">
    <mergeCell ref="D1:E1"/>
    <mergeCell ref="D4:E4"/>
    <mergeCell ref="H4:I4"/>
    <mergeCell ref="D5:E5"/>
    <mergeCell ref="D6:E6"/>
    <mergeCell ref="D7:E7"/>
    <mergeCell ref="D8:E8"/>
    <mergeCell ref="D9:E9"/>
    <mergeCell ref="D10:E10"/>
    <mergeCell ref="D21:E21"/>
    <mergeCell ref="D11:E11"/>
    <mergeCell ref="D16:E16"/>
    <mergeCell ref="D17:E17"/>
    <mergeCell ref="D18:E18"/>
    <mergeCell ref="D19:E19"/>
    <mergeCell ref="D20:E20"/>
    <mergeCell ref="H11:I11"/>
    <mergeCell ref="D12:E12"/>
    <mergeCell ref="D13:E13"/>
    <mergeCell ref="D14:E14"/>
    <mergeCell ref="D15:E15"/>
    <mergeCell ref="D26:E26"/>
    <mergeCell ref="D27:E27"/>
    <mergeCell ref="D30:E30"/>
    <mergeCell ref="H30:I30"/>
    <mergeCell ref="D22:E22"/>
    <mergeCell ref="H22:I22"/>
    <mergeCell ref="D23:E23"/>
    <mergeCell ref="D24:E24"/>
    <mergeCell ref="D25:E25"/>
    <mergeCell ref="D28:E28"/>
    <mergeCell ref="D29:E29"/>
  </mergeCells>
  <conditionalFormatting sqref="M5:M10 M23:M29">
    <cfRule type="cellIs" dxfId="210" priority="5" stopIfTrue="1" operator="lessThanOrEqual">
      <formula>$L5</formula>
    </cfRule>
    <cfRule type="cellIs" dxfId="209" priority="6" operator="greaterThan">
      <formula>L5</formula>
    </cfRule>
  </conditionalFormatting>
  <conditionalFormatting sqref="M12:M21">
    <cfRule type="cellIs" dxfId="208" priority="3" stopIfTrue="1" operator="lessThanOrEqual">
      <formula>$L12</formula>
    </cfRule>
    <cfRule type="cellIs" dxfId="207" priority="4" operator="greaterThan">
      <formula>L12</formula>
    </cfRule>
  </conditionalFormatting>
  <pageMargins left="0.7" right="0.7" top="0.75" bottom="0.75" header="0.3" footer="0.3"/>
  <pageSetup paperSize="3" fitToHeight="0" orientation="landscape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7A7861A-D5E5-4D06-A643-19087D7F636B}">
          <x14:formula1>
            <xm:f>Bolts!$A:$A</xm:f>
          </x14:formula1>
          <xm:sqref>C23:C29</xm:sqref>
        </x14:dataValidation>
        <x14:dataValidation type="list" allowBlank="1" showInputMessage="1" showErrorMessage="1" xr:uid="{13EA837C-DA56-4876-8AE0-8CBDB8F3846D}">
          <x14:formula1>
            <xm:f>Purchased!$A:$A</xm:f>
          </x14:formula1>
          <xm:sqref>C12:C21</xm:sqref>
        </x14:dataValidation>
        <x14:dataValidation type="list" allowBlank="1" showInputMessage="1" showErrorMessage="1" xr:uid="{2393BC4C-3647-4952-BDBB-E5EEC34EC686}">
          <x14:formula1>
            <xm:f>Machined!$C:$C</xm:f>
          </x14:formula1>
          <xm:sqref>C5:C10</xm:sqref>
        </x14:dataValidation>
      </x14:dataValidations>
    </ext>
  </extLst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5FF63F-66F5-46DC-A257-74B7B1198A35}">
  <sheetPr codeName="Sheet130">
    <tabColor theme="3" tint="0.79998168889431442"/>
    <pageSetUpPr fitToPage="1"/>
  </sheetPr>
  <dimension ref="A1:Q181"/>
  <sheetViews>
    <sheetView zoomScaleNormal="100" workbookViewId="0">
      <selection activeCell="D24" sqref="D24:E24"/>
    </sheetView>
  </sheetViews>
  <sheetFormatPr defaultColWidth="9.140625" defaultRowHeight="15"/>
  <cols>
    <col min="1" max="1" width="5.7109375" customWidth="1"/>
    <col min="2" max="2" width="5.42578125" bestFit="1" customWidth="1"/>
    <col min="3" max="3" width="30.7109375" customWidth="1"/>
    <col min="4" max="5" width="20.7109375" style="23" customWidth="1"/>
    <col min="6" max="6" width="16.85546875" bestFit="1" customWidth="1"/>
    <col min="7" max="7" width="9.7109375" customWidth="1"/>
    <col min="8" max="8" width="8.7109375" customWidth="1"/>
    <col min="9" max="9" width="20.7109375" customWidth="1"/>
    <col min="10" max="13" width="11.7109375" style="19" customWidth="1"/>
    <col min="14" max="14" width="11.85546875" style="19" bestFit="1" customWidth="1"/>
    <col min="15" max="15" width="7.7109375" style="19" customWidth="1"/>
    <col min="16" max="16" width="10.7109375" style="90" customWidth="1"/>
    <col min="17" max="17" width="10.7109375" style="97" customWidth="1"/>
  </cols>
  <sheetData>
    <row r="1" spans="1:17" s="55" customFormat="1" ht="12" customHeight="1">
      <c r="A1" s="68" t="s">
        <v>0</v>
      </c>
      <c r="B1" s="69"/>
      <c r="C1" s="69"/>
      <c r="D1" s="262" t="s">
        <v>1</v>
      </c>
      <c r="E1" s="263"/>
      <c r="F1" s="70"/>
      <c r="G1" s="69"/>
      <c r="H1" s="70"/>
      <c r="I1" s="71"/>
      <c r="J1" s="72"/>
      <c r="K1" s="72"/>
      <c r="L1" s="72"/>
      <c r="M1" s="72"/>
      <c r="N1" s="72"/>
      <c r="O1" s="72"/>
      <c r="P1" s="85"/>
      <c r="Q1" s="91"/>
    </row>
    <row r="2" spans="1:17" s="55" customFormat="1" ht="12" customHeight="1">
      <c r="A2" s="74" t="s">
        <v>48</v>
      </c>
      <c r="B2" s="58"/>
      <c r="C2" s="57" t="e">
        <f ca="1">VLOOKUP(E3,Assemblies!B:F,4,0)</f>
        <v>#VALUE!</v>
      </c>
      <c r="D2" s="75" t="s">
        <v>3</v>
      </c>
      <c r="E2" s="76" t="e">
        <f ca="1">'GF12'!E2</f>
        <v>#VALUE!</v>
      </c>
      <c r="F2" s="77" t="s">
        <v>4</v>
      </c>
      <c r="G2" s="58" t="str">
        <f>'GF12'!G2</f>
        <v>GH</v>
      </c>
      <c r="H2" s="77" t="s">
        <v>6</v>
      </c>
      <c r="I2" s="59">
        <f>'GF12'!I2</f>
        <v>44775</v>
      </c>
      <c r="J2" s="39"/>
      <c r="K2" s="40" t="s">
        <v>49</v>
      </c>
      <c r="L2" s="41" t="e">
        <f ca="1">VLOOKUP(C2,Assemblies!E:G,3,0)</f>
        <v>#VALUE!</v>
      </c>
      <c r="M2" s="78"/>
      <c r="N2" s="78"/>
      <c r="O2" s="78"/>
      <c r="P2" s="86"/>
      <c r="Q2" s="92"/>
    </row>
    <row r="3" spans="1:17" s="55" customFormat="1" ht="12" customHeight="1" thickBot="1">
      <c r="A3" s="74" t="s">
        <v>7</v>
      </c>
      <c r="B3" s="58"/>
      <c r="C3" s="57" t="e">
        <f ca="1">VLOOKUP(E3,Assemblies!B:F,5,0)</f>
        <v>#VALUE!</v>
      </c>
      <c r="D3" s="75" t="s">
        <v>50</v>
      </c>
      <c r="E3" s="76" t="e">
        <f ca="1">MID(CELL("filename",A1),FIND("]",CELL("filename",A1))+1,256)</f>
        <v>#VALUE!</v>
      </c>
      <c r="F3" s="77" t="s">
        <v>11</v>
      </c>
      <c r="G3" s="58" t="str">
        <f>'GF12'!G3</f>
        <v>GH</v>
      </c>
      <c r="H3" s="77" t="s">
        <v>6</v>
      </c>
      <c r="I3" s="59">
        <f>'GF12'!I3</f>
        <v>44775</v>
      </c>
      <c r="J3" s="78"/>
      <c r="K3" s="78"/>
      <c r="L3" s="78"/>
      <c r="M3" s="78"/>
      <c r="N3" s="78"/>
      <c r="O3" s="78"/>
      <c r="P3" s="86"/>
      <c r="Q3" s="92"/>
    </row>
    <row r="4" spans="1:17" s="56" customFormat="1" ht="12.75" customHeight="1" thickBot="1">
      <c r="A4" s="80" t="s">
        <v>12</v>
      </c>
      <c r="B4" s="81" t="s">
        <v>13</v>
      </c>
      <c r="C4" s="81" t="s">
        <v>14</v>
      </c>
      <c r="D4" s="270" t="s">
        <v>15</v>
      </c>
      <c r="E4" s="271"/>
      <c r="F4" s="104" t="s">
        <v>16</v>
      </c>
      <c r="G4" s="81" t="s">
        <v>17</v>
      </c>
      <c r="H4" s="260" t="s">
        <v>18</v>
      </c>
      <c r="I4" s="261"/>
      <c r="J4" s="81" t="s">
        <v>51</v>
      </c>
      <c r="K4" s="81" t="s">
        <v>20</v>
      </c>
      <c r="L4" s="81" t="s">
        <v>21</v>
      </c>
      <c r="M4" s="81" t="s">
        <v>52</v>
      </c>
      <c r="N4" s="81" t="s">
        <v>22</v>
      </c>
      <c r="O4" s="81" t="s">
        <v>53</v>
      </c>
      <c r="P4" s="107" t="s">
        <v>26</v>
      </c>
      <c r="Q4" s="82" t="s">
        <v>27</v>
      </c>
    </row>
    <row r="5" spans="1:17" s="2" customFormat="1" ht="12.75" customHeight="1">
      <c r="A5" s="127">
        <v>1</v>
      </c>
      <c r="B5" s="21">
        <v>1</v>
      </c>
      <c r="C5" s="108" t="s">
        <v>1303</v>
      </c>
      <c r="D5" s="277" t="str">
        <f>VLOOKUP(C5,Machined!C:Q,2,0)</f>
        <v>Dead Nest Mount Block</v>
      </c>
      <c r="E5" s="278"/>
      <c r="F5" s="131" t="str">
        <f>VLOOKUP(C5,Machined!C:R,7,0)</f>
        <v>6061-T6 Alum</v>
      </c>
      <c r="G5" s="131" t="str">
        <f>VLOOKUP(C5,Machined!C:R,10,0)</f>
        <v>DETAILED MACH</v>
      </c>
      <c r="H5" s="131" t="str">
        <f>VLOOKUP(C5,Machined!C:R,11,0)</f>
        <v>shipped 9/29/23</v>
      </c>
      <c r="I5" s="131"/>
      <c r="J5" s="42">
        <f>VLOOKUP(C5,Machined!C:R,12,0)</f>
        <v>45156</v>
      </c>
      <c r="K5" s="42">
        <f>VLOOKUP(C5,Machined!C:R,13,0)</f>
        <v>45162</v>
      </c>
      <c r="L5" s="42">
        <f>VLOOKUP(C5,Machined!C:R,14,0)</f>
        <v>45190</v>
      </c>
      <c r="M5" s="42">
        <f>VLOOKUP(C5,Machined!C:R,15,0)</f>
        <v>45190</v>
      </c>
      <c r="N5" s="43">
        <f>VLOOKUP(C5,Machined!C:R,16,0)</f>
        <v>55101</v>
      </c>
      <c r="O5" s="43" t="e">
        <f t="shared" ref="O5:O11" ca="1" si="0">B5*$L$2</f>
        <v>#VALUE!</v>
      </c>
      <c r="P5" s="47">
        <f>IFERROR(VLOOKUP(C5,Machined!C:F,3,0),"")</f>
        <v>0</v>
      </c>
      <c r="Q5" s="48">
        <f t="shared" ref="Q5:Q11" si="1">IFERROR(B5*P5,"")</f>
        <v>0</v>
      </c>
    </row>
    <row r="6" spans="1:17" s="2" customFormat="1" ht="12.75" customHeight="1">
      <c r="A6" s="127">
        <v>2</v>
      </c>
      <c r="B6" s="21">
        <v>1</v>
      </c>
      <c r="C6" s="108" t="s">
        <v>1304</v>
      </c>
      <c r="D6" s="277" t="str">
        <f>VLOOKUP(C6,Machined!C:Q,2,0)</f>
        <v>Dead Nest Adjustment Block</v>
      </c>
      <c r="E6" s="278"/>
      <c r="F6" s="131" t="str">
        <f>VLOOKUP(C6,Machined!C:R,7,0)</f>
        <v>1018 COLD ROLLED STEEL</v>
      </c>
      <c r="G6" s="131" t="str">
        <f>VLOOKUP(C6,Machined!C:R,10,0)</f>
        <v>DETAILED MACH</v>
      </c>
      <c r="H6" s="131" t="str">
        <f>VLOOKUP(C6,Machined!C:R,11,0)</f>
        <v>shipped 9/25/23</v>
      </c>
      <c r="I6" s="131"/>
      <c r="J6" s="42">
        <f>VLOOKUP(C6,Machined!C:R,12,0)</f>
        <v>45156</v>
      </c>
      <c r="K6" s="42">
        <f>VLOOKUP(C6,Machined!C:R,13,0)</f>
        <v>45162</v>
      </c>
      <c r="L6" s="42">
        <f>VLOOKUP(C6,Machined!C:R,14,0)</f>
        <v>45190</v>
      </c>
      <c r="M6" s="42">
        <f>VLOOKUP(C6,Machined!C:R,15,0)</f>
        <v>45190</v>
      </c>
      <c r="N6" s="43">
        <f>VLOOKUP(C6,Machined!C:R,16,0)</f>
        <v>55101</v>
      </c>
      <c r="O6" s="43" t="e">
        <f t="shared" ca="1" si="0"/>
        <v>#VALUE!</v>
      </c>
      <c r="P6" s="47">
        <f>IFERROR(VLOOKUP(C6,Machined!C:F,3,0),"")</f>
        <v>0</v>
      </c>
      <c r="Q6" s="48">
        <f t="shared" si="1"/>
        <v>0</v>
      </c>
    </row>
    <row r="7" spans="1:17" s="2" customFormat="1" ht="12.75" customHeight="1">
      <c r="A7" s="127">
        <v>3</v>
      </c>
      <c r="B7" s="21">
        <v>1</v>
      </c>
      <c r="C7" s="108" t="s">
        <v>1305</v>
      </c>
      <c r="D7" s="277" t="str">
        <f>VLOOKUP(C7,Machined!C:Q,2,0)</f>
        <v>Dead Nest Bracket</v>
      </c>
      <c r="E7" s="278"/>
      <c r="F7" s="131" t="str">
        <f>VLOOKUP(C7,Machined!C:R,7,0)</f>
        <v>6061-T6 Alum</v>
      </c>
      <c r="G7" s="131" t="str">
        <f>VLOOKUP(C7,Machined!C:R,10,0)</f>
        <v>DETAILED MACH</v>
      </c>
      <c r="H7" s="131" t="str">
        <f>VLOOKUP(C7,Machined!C:R,11,0)</f>
        <v>shipped 9/28/23</v>
      </c>
      <c r="I7" s="131"/>
      <c r="J7" s="42">
        <f>VLOOKUP(C7,Machined!C:R,12,0)</f>
        <v>45156</v>
      </c>
      <c r="K7" s="42">
        <f>VLOOKUP(C7,Machined!C:R,13,0)</f>
        <v>45162</v>
      </c>
      <c r="L7" s="42">
        <f>VLOOKUP(C7,Machined!C:R,14,0)</f>
        <v>45190</v>
      </c>
      <c r="M7" s="42">
        <f>VLOOKUP(C7,Machined!C:R,15,0)</f>
        <v>45190</v>
      </c>
      <c r="N7" s="43">
        <f>VLOOKUP(C7,Machined!C:R,16,0)</f>
        <v>55101</v>
      </c>
      <c r="O7" s="43" t="e">
        <f t="shared" ca="1" si="0"/>
        <v>#VALUE!</v>
      </c>
      <c r="P7" s="47">
        <f>IFERROR(VLOOKUP(C7,Machined!C:F,3,0),"")</f>
        <v>0</v>
      </c>
      <c r="Q7" s="48">
        <f t="shared" si="1"/>
        <v>0</v>
      </c>
    </row>
    <row r="8" spans="1:17" s="2" customFormat="1" ht="12.75" customHeight="1">
      <c r="A8" s="127">
        <v>4</v>
      </c>
      <c r="B8" s="21">
        <v>1</v>
      </c>
      <c r="C8" s="108" t="s">
        <v>1306</v>
      </c>
      <c r="D8" s="277" t="str">
        <f>VLOOKUP(C8,Machined!C:Q,2,0)</f>
        <v>Dead Nest Plate</v>
      </c>
      <c r="E8" s="278"/>
      <c r="F8" s="131" t="str">
        <f>VLOOKUP(C8,Machined!C:R,7,0)</f>
        <v>6061-T6 Alum</v>
      </c>
      <c r="G8" s="131" t="str">
        <f>VLOOKUP(C8,Machined!C:R,10,0)</f>
        <v>DETAILED MACH</v>
      </c>
      <c r="H8" s="131" t="str">
        <f>VLOOKUP(C8,Machined!C:R,11,0)</f>
        <v>shipped 9/25/23</v>
      </c>
      <c r="I8" s="131"/>
      <c r="J8" s="42">
        <f>VLOOKUP(C8,Machined!C:R,12,0)</f>
        <v>45156</v>
      </c>
      <c r="K8" s="42">
        <f>VLOOKUP(C8,Machined!C:R,13,0)</f>
        <v>45162</v>
      </c>
      <c r="L8" s="42">
        <f>VLOOKUP(C8,Machined!C:R,14,0)</f>
        <v>45190</v>
      </c>
      <c r="M8" s="42">
        <f>VLOOKUP(C8,Machined!C:R,15,0)</f>
        <v>45190</v>
      </c>
      <c r="N8" s="43">
        <f>VLOOKUP(C8,Machined!C:R,16,0)</f>
        <v>55101</v>
      </c>
      <c r="O8" s="43" t="e">
        <f t="shared" ca="1" si="0"/>
        <v>#VALUE!</v>
      </c>
      <c r="P8" s="47">
        <f>IFERROR(VLOOKUP(C8,Machined!C:F,3,0),"")</f>
        <v>0</v>
      </c>
      <c r="Q8" s="48">
        <f t="shared" si="1"/>
        <v>0</v>
      </c>
    </row>
    <row r="9" spans="1:17" s="2" customFormat="1" ht="12.75" customHeight="1">
      <c r="A9" s="127">
        <v>5</v>
      </c>
      <c r="B9" s="21">
        <v>1</v>
      </c>
      <c r="C9" s="108" t="s">
        <v>1307</v>
      </c>
      <c r="D9" s="277" t="str">
        <f>VLOOKUP(C9,Machined!C:Q,2,0)</f>
        <v>P2B Dead Nest</v>
      </c>
      <c r="E9" s="278"/>
      <c r="F9" s="131" t="str">
        <f>VLOOKUP(C9,Machined!C:R,7,0)</f>
        <v>Delrin - White</v>
      </c>
      <c r="G9" s="131" t="str">
        <f>VLOOKUP(C9,Machined!C:R,10,0)</f>
        <v>DETAILED MACH</v>
      </c>
      <c r="H9" s="131" t="str">
        <f>VLOOKUP(C9,Machined!C:R,11,0)</f>
        <v>shipped 9/29/23</v>
      </c>
      <c r="I9" s="131"/>
      <c r="J9" s="42">
        <f>VLOOKUP(C9,Machined!C:R,12,0)</f>
        <v>45156</v>
      </c>
      <c r="K9" s="42">
        <f>VLOOKUP(C9,Machined!C:R,13,0)</f>
        <v>45162</v>
      </c>
      <c r="L9" s="42">
        <f>VLOOKUP(C9,Machined!C:R,14,0)</f>
        <v>45190</v>
      </c>
      <c r="M9" s="42">
        <f>VLOOKUP(C9,Machined!C:R,15,0)</f>
        <v>45190</v>
      </c>
      <c r="N9" s="43">
        <f>VLOOKUP(C9,Machined!C:R,16,0)</f>
        <v>55101</v>
      </c>
      <c r="O9" s="43" t="e">
        <f t="shared" ca="1" si="0"/>
        <v>#VALUE!</v>
      </c>
      <c r="P9" s="47">
        <f>IFERROR(VLOOKUP(C9,Machined!C:F,3,0),"")</f>
        <v>0</v>
      </c>
      <c r="Q9" s="48">
        <f t="shared" si="1"/>
        <v>0</v>
      </c>
    </row>
    <row r="10" spans="1:17" s="2" customFormat="1" ht="12.75" customHeight="1">
      <c r="A10" s="127">
        <v>6</v>
      </c>
      <c r="B10" s="21">
        <v>1</v>
      </c>
      <c r="C10" s="108" t="s">
        <v>1308</v>
      </c>
      <c r="D10" s="277" t="str">
        <f>VLOOKUP(C10,Machined!C:Q,2,0)</f>
        <v>P2L Dead Nest</v>
      </c>
      <c r="E10" s="278"/>
      <c r="F10" s="131" t="str">
        <f>VLOOKUP(C10,Machined!C:R,7,0)</f>
        <v>Delrin - White</v>
      </c>
      <c r="G10" s="131" t="str">
        <f>VLOOKUP(C10,Machined!C:R,10,0)</f>
        <v>DETAILED MACH</v>
      </c>
      <c r="H10" s="131" t="str">
        <f>VLOOKUP(C10,Machined!C:R,11,0)</f>
        <v>shipped 9/29/23</v>
      </c>
      <c r="I10" s="131"/>
      <c r="J10" s="42">
        <f>VLOOKUP(C10,Machined!C:R,12,0)</f>
        <v>45156</v>
      </c>
      <c r="K10" s="42">
        <f>VLOOKUP(C10,Machined!C:R,13,0)</f>
        <v>45162</v>
      </c>
      <c r="L10" s="42">
        <f>VLOOKUP(C10,Machined!C:R,14,0)</f>
        <v>45190</v>
      </c>
      <c r="M10" s="42">
        <f>VLOOKUP(C10,Machined!C:R,15,0)</f>
        <v>45190</v>
      </c>
      <c r="N10" s="43">
        <f>VLOOKUP(C10,Machined!C:R,16,0)</f>
        <v>55101</v>
      </c>
      <c r="O10" s="43" t="e">
        <f t="shared" ca="1" si="0"/>
        <v>#VALUE!</v>
      </c>
      <c r="P10" s="47">
        <f>IFERROR(VLOOKUP(C10,Machined!C:F,3,0),"")</f>
        <v>0</v>
      </c>
      <c r="Q10" s="48">
        <f t="shared" si="1"/>
        <v>0</v>
      </c>
    </row>
    <row r="11" spans="1:17" s="2" customFormat="1" ht="12.75" customHeight="1">
      <c r="A11" s="127">
        <v>7</v>
      </c>
      <c r="B11" s="21">
        <v>1</v>
      </c>
      <c r="C11" s="108" t="s">
        <v>1309</v>
      </c>
      <c r="D11" s="277" t="str">
        <f>VLOOKUP(C11,Machined!C:Q,2,0)</f>
        <v>Dead Nest Sensor Bracket</v>
      </c>
      <c r="E11" s="278"/>
      <c r="F11" s="131" t="str">
        <f>VLOOKUP(C11,Machined!C:R,7,0)</f>
        <v>AISI 304</v>
      </c>
      <c r="G11" s="131" t="str">
        <f>VLOOKUP(C11,Machined!C:R,10,0)</f>
        <v>WESCO BHT</v>
      </c>
      <c r="H11" s="131" t="str">
        <f>VLOOKUP(C11,Machined!C:R,11,0)</f>
        <v xml:space="preserve">  </v>
      </c>
      <c r="I11" s="131"/>
      <c r="J11" s="42">
        <f>VLOOKUP(C11,Machined!C:R,12,0)</f>
        <v>45159</v>
      </c>
      <c r="K11" s="42">
        <f>VLOOKUP(C11,Machined!C:R,13,0)</f>
        <v>45161</v>
      </c>
      <c r="L11" s="42">
        <f>VLOOKUP(C11,Machined!C:R,14,0)</f>
        <v>45191</v>
      </c>
      <c r="M11" s="42">
        <f>VLOOKUP(C11,Machined!C:R,15,0)</f>
        <v>45191</v>
      </c>
      <c r="N11" s="43">
        <f>VLOOKUP(C11,Machined!C:R,16,0)</f>
        <v>55092</v>
      </c>
      <c r="O11" s="43" t="e">
        <f t="shared" ca="1" si="0"/>
        <v>#VALUE!</v>
      </c>
      <c r="P11" s="47">
        <f>IFERROR(VLOOKUP(C11,Machined!C:F,3,0),"")</f>
        <v>72.260000000000005</v>
      </c>
      <c r="Q11" s="48">
        <f t="shared" si="1"/>
        <v>72.260000000000005</v>
      </c>
    </row>
    <row r="12" spans="1:17" s="2" customFormat="1" ht="12.75" customHeight="1">
      <c r="A12" s="143"/>
      <c r="B12" s="26"/>
      <c r="C12" s="26"/>
      <c r="D12" s="272"/>
      <c r="E12" s="273"/>
      <c r="F12" s="26"/>
      <c r="G12" s="26"/>
      <c r="H12" s="274"/>
      <c r="I12" s="275"/>
      <c r="J12" s="27"/>
      <c r="K12" s="27"/>
      <c r="L12" s="27"/>
      <c r="M12" s="28"/>
      <c r="N12" s="29"/>
      <c r="O12" s="29"/>
      <c r="P12" s="141"/>
      <c r="Q12" s="142"/>
    </row>
    <row r="13" spans="1:17" s="2" customFormat="1" ht="12.75" customHeight="1">
      <c r="A13" s="4">
        <v>301</v>
      </c>
      <c r="B13" s="2">
        <v>1</v>
      </c>
      <c r="C13" s="114" t="s">
        <v>1300</v>
      </c>
      <c r="D13" s="268" t="str">
        <f>VLOOKUP(C13,Purchased!A:B,2,0)</f>
        <v>MISUMI Adjusting Bolts - Knurled Head, Hex Socket</v>
      </c>
      <c r="E13" s="269"/>
      <c r="F13" s="112" t="str">
        <f>VLOOKUP(C13,Purchased!A:Q,9,0)</f>
        <v>MISUMI</v>
      </c>
      <c r="G13" s="112" t="str">
        <f>VLOOKUP(C13,Purchased!A:Q,10,0)</f>
        <v>MISUMI</v>
      </c>
      <c r="H13" s="112" t="str">
        <f>VLOOKUP(C13,Purchased!A:Q,12,0)</f>
        <v xml:space="preserve"> </v>
      </c>
      <c r="I13" s="113"/>
      <c r="J13" s="44" t="str">
        <f>VLOOKUP(C13,Purchased!A:Q,13,0)</f>
        <v>N/A</v>
      </c>
      <c r="K13" s="44">
        <f>VLOOKUP(C13,Purchased!A:Q,16,0)</f>
        <v>45176</v>
      </c>
      <c r="L13" s="44">
        <f>VLOOKUP(C13,Purchased!A:Q,15,0)</f>
        <v>45191</v>
      </c>
      <c r="M13" s="44">
        <f>VLOOKUP(C13,Purchased!A:Q,16,0)</f>
        <v>45176</v>
      </c>
      <c r="N13" s="45">
        <f>VLOOKUP(C13,Purchased!A:Q,17,0)</f>
        <v>55078</v>
      </c>
      <c r="O13" s="45" t="e">
        <f t="shared" ref="O13:O16" ca="1" si="2">B13*$L$2</f>
        <v>#VALUE!</v>
      </c>
      <c r="P13" s="49">
        <f>IFERROR(VLOOKUP(C13,Purchased!A:E,3,FALSE),"")</f>
        <v>6.32</v>
      </c>
      <c r="Q13" s="50">
        <f t="shared" ref="Q13:Q16" si="3">IFERROR(B13*P13,"")</f>
        <v>6.32</v>
      </c>
    </row>
    <row r="14" spans="1:17" s="2" customFormat="1" ht="12" customHeight="1">
      <c r="A14" s="4">
        <f t="shared" ref="A14" si="4">A13+1</f>
        <v>302</v>
      </c>
      <c r="B14" s="2">
        <v>2</v>
      </c>
      <c r="C14" s="114" t="s">
        <v>1310</v>
      </c>
      <c r="D14" s="268" t="str">
        <f>VLOOKUP(C14,Purchased!A:B,2,0)</f>
        <v>Brass Screw-to-Expand Inserts for Plastic, M5 x 0.80 mm Thread Size</v>
      </c>
      <c r="E14" s="269"/>
      <c r="F14" s="112" t="str">
        <f>VLOOKUP(C14,Purchased!A:Q,9,0)</f>
        <v>MCM</v>
      </c>
      <c r="G14" s="112" t="str">
        <f>VLOOKUP(C14,Purchased!A:Q,10,0)</f>
        <v>MCM</v>
      </c>
      <c r="H14" s="112" t="str">
        <f>VLOOKUP(C14,Purchased!A:Q,12,0)</f>
        <v xml:space="preserve">  </v>
      </c>
      <c r="I14" s="113"/>
      <c r="J14" s="44" t="str">
        <f>VLOOKUP(C14,Purchased!A:Q,13,0)</f>
        <v>N/A</v>
      </c>
      <c r="K14" s="44">
        <f>VLOOKUP(C14,Purchased!A:Q,16,0)</f>
        <v>45163</v>
      </c>
      <c r="L14" s="44">
        <f>VLOOKUP(C14,Purchased!A:Q,15,0)</f>
        <v>45184</v>
      </c>
      <c r="M14" s="44">
        <f>VLOOKUP(C14,Purchased!A:Q,16,0)</f>
        <v>45163</v>
      </c>
      <c r="N14" s="45">
        <f>VLOOKUP(C14,Purchased!A:Q,17,0)</f>
        <v>55089</v>
      </c>
      <c r="O14" s="45" t="e">
        <f t="shared" ca="1" si="2"/>
        <v>#VALUE!</v>
      </c>
      <c r="P14" s="49">
        <f>IFERROR(VLOOKUP(C14,Purchased!A:E,3,FALSE),"")</f>
        <v>8.51</v>
      </c>
      <c r="Q14" s="50">
        <f t="shared" si="3"/>
        <v>17.02</v>
      </c>
    </row>
    <row r="15" spans="1:17" s="2" customFormat="1" ht="12.75" customHeight="1">
      <c r="A15" s="4">
        <v>303</v>
      </c>
      <c r="B15" s="2">
        <v>2</v>
      </c>
      <c r="C15" s="114" t="s">
        <v>1296</v>
      </c>
      <c r="D15" s="268" t="str">
        <f>VLOOKUP(C15,Purchased!A:B,2,0)</f>
        <v>Zinc-Plated Class 10.9 Steel Washer, M6 Screw Size</v>
      </c>
      <c r="E15" s="269"/>
      <c r="F15" s="112" t="str">
        <f>VLOOKUP(C15,Purchased!A:Q,9,0)</f>
        <v>MCM</v>
      </c>
      <c r="G15" s="112" t="str">
        <f>VLOOKUP(C15,Purchased!A:Q,10,0)</f>
        <v>MCM</v>
      </c>
      <c r="H15" s="112" t="str">
        <f>VLOOKUP(C15,Purchased!A:Q,12,0)</f>
        <v xml:space="preserve"> </v>
      </c>
      <c r="I15" s="113"/>
      <c r="J15" s="44" t="str">
        <f>VLOOKUP(C15,Purchased!A:Q,13,0)</f>
        <v>N/A</v>
      </c>
      <c r="K15" s="44">
        <f>VLOOKUP(C15,Purchased!A:Q,16,0)</f>
        <v>45163</v>
      </c>
      <c r="L15" s="44">
        <f>VLOOKUP(C15,Purchased!A:Q,15,0)</f>
        <v>45184</v>
      </c>
      <c r="M15" s="44">
        <f>VLOOKUP(C15,Purchased!A:Q,16,0)</f>
        <v>45163</v>
      </c>
      <c r="N15" s="45">
        <f>VLOOKUP(C15,Purchased!A:Q,17,0)</f>
        <v>55088</v>
      </c>
      <c r="O15" s="45" t="e">
        <f t="shared" ca="1" si="2"/>
        <v>#VALUE!</v>
      </c>
      <c r="P15" s="49">
        <f>IFERROR(VLOOKUP(C15,Purchased!A:E,3,FALSE),"")</f>
        <v>13.79</v>
      </c>
      <c r="Q15" s="50">
        <f t="shared" si="3"/>
        <v>27.58</v>
      </c>
    </row>
    <row r="16" spans="1:17" s="2" customFormat="1" ht="12" customHeight="1">
      <c r="A16" s="4">
        <v>304</v>
      </c>
      <c r="B16" s="2">
        <v>2</v>
      </c>
      <c r="C16" s="114" t="s">
        <v>1311</v>
      </c>
      <c r="D16" s="268" t="str">
        <f>VLOOKUP(C16,Purchased!A:B,2,0)</f>
        <v>ELesa VCT.25 p-M5x20-C9 Lobe knob</v>
      </c>
      <c r="E16" s="269"/>
      <c r="F16" s="112" t="str">
        <f>VLOOKUP(C16,Purchased!A:Q,9,0)</f>
        <v>ELESA</v>
      </c>
      <c r="G16" s="112" t="str">
        <f>VLOOKUP(C16,Purchased!A:Q,10,0)</f>
        <v>ELESA</v>
      </c>
      <c r="H16" s="112" t="str">
        <f>VLOOKUP(C16,Purchased!A:Q,12,0)</f>
        <v xml:space="preserve">  </v>
      </c>
      <c r="I16" s="113"/>
      <c r="J16" s="44" t="str">
        <f>VLOOKUP(C16,Purchased!A:Q,13,0)</f>
        <v>N/A</v>
      </c>
      <c r="K16" s="44">
        <f>VLOOKUP(C16,Purchased!A:Q,16,0)</f>
        <v>45184</v>
      </c>
      <c r="L16" s="44">
        <f>VLOOKUP(C16,Purchased!A:Q,15,0)</f>
        <v>45184</v>
      </c>
      <c r="M16" s="44">
        <f>VLOOKUP(C16,Purchased!A:Q,16,0)</f>
        <v>45184</v>
      </c>
      <c r="N16" s="45">
        <f>VLOOKUP(C16,Purchased!A:Q,17,0)</f>
        <v>55075</v>
      </c>
      <c r="O16" s="45" t="e">
        <f t="shared" ca="1" si="2"/>
        <v>#VALUE!</v>
      </c>
      <c r="P16" s="49">
        <f>IFERROR(VLOOKUP(C16,Purchased!A:E,3,FALSE),"")</f>
        <v>1.68</v>
      </c>
      <c r="Q16" s="50">
        <f t="shared" si="3"/>
        <v>3.36</v>
      </c>
    </row>
    <row r="17" spans="1:17" s="2" customFormat="1" ht="12.75" customHeight="1">
      <c r="A17" s="4">
        <v>305</v>
      </c>
      <c r="B17" s="2">
        <v>1</v>
      </c>
      <c r="C17" s="114" t="s">
        <v>818</v>
      </c>
      <c r="D17" s="268" t="str">
        <f>VLOOKUP(C17,Purchased!A:B,2,0)</f>
        <v xml:space="preserve">KEYENCE PR-G4ACP Diffuse reflective long distance </v>
      </c>
      <c r="E17" s="269"/>
      <c r="F17" s="112" t="str">
        <f>VLOOKUP(C17,Purchased!A:Q,9,0)</f>
        <v>KEYENCE</v>
      </c>
      <c r="G17" s="112" t="str">
        <f>VLOOKUP(C17,Purchased!A:Q,10,0)</f>
        <v>KEYENCE</v>
      </c>
      <c r="H17" s="112" t="str">
        <f>VLOOKUP(C17,Purchased!A:Q,12,0)</f>
        <v xml:space="preserve"> </v>
      </c>
      <c r="I17" s="113"/>
      <c r="J17" s="44">
        <f>VLOOKUP(C17,Purchased!A:Q,13,0)</f>
        <v>45154</v>
      </c>
      <c r="K17" s="44">
        <f>VLOOKUP(C17,Purchased!A:Q,16,0)</f>
        <v>45184</v>
      </c>
      <c r="L17" s="44">
        <f>VLOOKUP(C17,Purchased!A:Q,15,0)</f>
        <v>45191</v>
      </c>
      <c r="M17" s="44">
        <f>VLOOKUP(C17,Purchased!A:Q,16,0)</f>
        <v>45184</v>
      </c>
      <c r="N17" s="45">
        <f>VLOOKUP(C17,Purchased!A:Q,17,0)</f>
        <v>55077</v>
      </c>
      <c r="O17" s="45" t="e">
        <f t="shared" ref="O17:O23" ca="1" si="5">B17*$L$2</f>
        <v>#VALUE!</v>
      </c>
      <c r="P17" s="49">
        <f>IFERROR(VLOOKUP(C17,Purchased!A:E,3,FALSE),"")</f>
        <v>168</v>
      </c>
      <c r="Q17" s="50">
        <f t="shared" ref="Q17:Q18" si="6">IFERROR(B17*P17,"")</f>
        <v>168</v>
      </c>
    </row>
    <row r="18" spans="1:17" s="2" customFormat="1" ht="12" customHeight="1">
      <c r="A18" s="4">
        <v>306</v>
      </c>
      <c r="B18" s="2">
        <v>1</v>
      </c>
      <c r="C18" s="114" t="s">
        <v>1003</v>
      </c>
      <c r="D18" s="268" t="str">
        <f>VLOOKUP(C18,Purchased!A:B,2,0)</f>
        <v>MURR M8 Female, 0deg A-Coded, 4-Pin, w/ Cable, 7.5m, black</v>
      </c>
      <c r="E18" s="269"/>
      <c r="F18" s="112" t="str">
        <f>VLOOKUP(C18,Purchased!A:Q,9,0)</f>
        <v>MURR</v>
      </c>
      <c r="G18" s="112" t="str">
        <f>VLOOKUP(C18,Purchased!A:Q,10,0)</f>
        <v>MURR</v>
      </c>
      <c r="H18" s="112" t="str">
        <f>VLOOKUP(C18,Purchased!A:Q,12,0)</f>
        <v xml:space="preserve"> </v>
      </c>
      <c r="I18" s="113"/>
      <c r="J18" s="44">
        <f>VLOOKUP(C18,Purchased!A:Q,13,0)</f>
        <v>45161</v>
      </c>
      <c r="K18" s="44">
        <f>VLOOKUP(C18,Purchased!A:Q,16,0)</f>
        <v>45184</v>
      </c>
      <c r="L18" s="44">
        <f>VLOOKUP(C18,Purchased!A:Q,15,0)</f>
        <v>45184</v>
      </c>
      <c r="M18" s="44">
        <f>VLOOKUP(C18,Purchased!A:Q,16,0)</f>
        <v>45184</v>
      </c>
      <c r="N18" s="45">
        <f>VLOOKUP(C18,Purchased!A:Q,17,0)</f>
        <v>55080</v>
      </c>
      <c r="O18" s="45" t="e">
        <f t="shared" ca="1" si="5"/>
        <v>#VALUE!</v>
      </c>
      <c r="P18" s="49">
        <f>IFERROR(VLOOKUP(C18,Purchased!A:E,3,FALSE),"")</f>
        <v>21.04</v>
      </c>
      <c r="Q18" s="50">
        <f t="shared" si="6"/>
        <v>21.04</v>
      </c>
    </row>
    <row r="19" spans="1:17" s="2" customFormat="1" ht="12.75" customHeight="1">
      <c r="A19" s="25"/>
      <c r="B19" s="26"/>
      <c r="C19" s="26"/>
      <c r="D19" s="272"/>
      <c r="E19" s="273"/>
      <c r="F19" s="26"/>
      <c r="G19" s="26"/>
      <c r="H19" s="274"/>
      <c r="I19" s="275"/>
      <c r="J19" s="27"/>
      <c r="K19" s="27"/>
      <c r="L19" s="27"/>
      <c r="M19" s="28"/>
      <c r="N19" s="29"/>
      <c r="O19" s="29" t="e">
        <f t="shared" ca="1" si="5"/>
        <v>#VALUE!</v>
      </c>
      <c r="P19" s="141"/>
      <c r="Q19" s="142"/>
    </row>
    <row r="20" spans="1:17" s="2" customFormat="1" ht="12.75" customHeight="1">
      <c r="A20" s="4">
        <v>501</v>
      </c>
      <c r="B20" s="2">
        <v>4</v>
      </c>
      <c r="C20" s="110" t="s">
        <v>732</v>
      </c>
      <c r="D20" s="268"/>
      <c r="E20" s="276"/>
      <c r="F20" s="112">
        <f>VLOOKUP(C20,Bolts!A:L,5,0)</f>
        <v>0</v>
      </c>
      <c r="G20" s="112">
        <f>VLOOKUP(C20,Bolts!A:L,6,0)</f>
        <v>0</v>
      </c>
      <c r="H20" s="112">
        <f>VLOOKUP(C20,Bolts!A:L,7,0)</f>
        <v>0</v>
      </c>
      <c r="I20" s="112"/>
      <c r="J20" s="44">
        <f>VLOOKUP(C20,Bolts!A:L,8,0)</f>
        <v>0</v>
      </c>
      <c r="K20" s="44">
        <f>VLOOKUP(C20,Bolts!A:L,9,0)</f>
        <v>0</v>
      </c>
      <c r="L20" s="44">
        <f>VLOOKUP(C20,Bolts!A:L,10,0)</f>
        <v>0</v>
      </c>
      <c r="M20" s="44">
        <f>VLOOKUP(C20,Bolts!A:L,11,0)</f>
        <v>0</v>
      </c>
      <c r="N20" s="45">
        <f>VLOOKUP(C20,Bolts!A:L,12,0)</f>
        <v>0</v>
      </c>
      <c r="O20" s="45" t="e">
        <f t="shared" ref="O20" ca="1" si="7">B20*$L$2</f>
        <v>#VALUE!</v>
      </c>
      <c r="P20" s="49">
        <f>IFERROR(VLOOKUP(C20,Bolts!A:B,2,FALSE),"")</f>
        <v>0</v>
      </c>
      <c r="Q20" s="50">
        <f t="shared" ref="Q20" si="8">IFERROR(B20*P20,"")</f>
        <v>0</v>
      </c>
    </row>
    <row r="21" spans="1:17" s="2" customFormat="1" ht="12.75" customHeight="1">
      <c r="A21" s="4">
        <f t="shared" ref="A21:A27" si="9">A20+1</f>
        <v>502</v>
      </c>
      <c r="B21" s="2">
        <v>3</v>
      </c>
      <c r="C21" s="110" t="s">
        <v>454</v>
      </c>
      <c r="D21" s="268"/>
      <c r="E21" s="276"/>
      <c r="F21" s="112" t="str">
        <f>VLOOKUP(C21,Bolts!A:L,5,0)</f>
        <v xml:space="preserve">  </v>
      </c>
      <c r="G21" s="112" t="str">
        <f>VLOOKUP(C21,Bolts!A:L,6,0)</f>
        <v>Monroe Fasteners</v>
      </c>
      <c r="H21" s="112" t="str">
        <f>VLOOKUP(C21,Bolts!A:L,7,0)</f>
        <v xml:space="preserve">  </v>
      </c>
      <c r="I21" s="112"/>
      <c r="J21" s="44" t="str">
        <f>VLOOKUP(C21,Bolts!A:L,8,0)</f>
        <v xml:space="preserve"> </v>
      </c>
      <c r="K21" s="44" t="str">
        <f>VLOOKUP(C21,Bolts!A:L,9,0)</f>
        <v xml:space="preserve"> </v>
      </c>
      <c r="L21" s="44" t="str">
        <f>VLOOKUP(C21,Bolts!A:L,10,0)</f>
        <v xml:space="preserve"> </v>
      </c>
      <c r="M21" s="44" t="str">
        <f>VLOOKUP(C21,Bolts!A:L,11,0)</f>
        <v xml:space="preserve"> </v>
      </c>
      <c r="N21" s="45" t="str">
        <f>VLOOKUP(C21,Bolts!A:L,12,0)</f>
        <v xml:space="preserve"> </v>
      </c>
      <c r="O21" s="45" t="e">
        <f t="shared" ref="O21:O22" ca="1" si="10">B21*$L$2</f>
        <v>#VALUE!</v>
      </c>
      <c r="P21" s="49" t="str">
        <f>IFERROR(VLOOKUP(C21,Bolts!A:B,2,FALSE),"")</f>
        <v xml:space="preserve"> </v>
      </c>
      <c r="Q21" s="50" t="str">
        <f t="shared" ref="Q21:Q22" si="11">IFERROR(B21*P21,"")</f>
        <v/>
      </c>
    </row>
    <row r="22" spans="1:17" s="2" customFormat="1" ht="12.75" customHeight="1">
      <c r="A22" s="4">
        <f t="shared" si="9"/>
        <v>503</v>
      </c>
      <c r="B22" s="2">
        <v>2</v>
      </c>
      <c r="C22" s="110" t="s">
        <v>453</v>
      </c>
      <c r="D22" s="268"/>
      <c r="E22" s="276"/>
      <c r="F22" s="112" t="str">
        <f>VLOOKUP(C22,Bolts!A:L,5,0)</f>
        <v xml:space="preserve">  </v>
      </c>
      <c r="G22" s="112" t="str">
        <f>VLOOKUP(C22,Bolts!A:L,6,0)</f>
        <v>Monroe Fasteners</v>
      </c>
      <c r="H22" s="112" t="str">
        <f>VLOOKUP(C22,Bolts!A:L,7,0)</f>
        <v xml:space="preserve">  </v>
      </c>
      <c r="I22" s="112"/>
      <c r="J22" s="44" t="str">
        <f>VLOOKUP(C22,Bolts!A:L,8,0)</f>
        <v xml:space="preserve"> </v>
      </c>
      <c r="K22" s="44" t="str">
        <f>VLOOKUP(C22,Bolts!A:L,9,0)</f>
        <v xml:space="preserve"> </v>
      </c>
      <c r="L22" s="44" t="str">
        <f>VLOOKUP(C22,Bolts!A:L,10,0)</f>
        <v xml:space="preserve"> </v>
      </c>
      <c r="M22" s="44" t="str">
        <f>VLOOKUP(C22,Bolts!A:L,11,0)</f>
        <v xml:space="preserve"> </v>
      </c>
      <c r="N22" s="45" t="str">
        <f>VLOOKUP(C22,Bolts!A:L,12,0)</f>
        <v xml:space="preserve"> </v>
      </c>
      <c r="O22" s="45" t="e">
        <f t="shared" ca="1" si="10"/>
        <v>#VALUE!</v>
      </c>
      <c r="P22" s="49" t="str">
        <f>IFERROR(VLOOKUP(C22,Bolts!A:B,2,FALSE),"")</f>
        <v xml:space="preserve"> </v>
      </c>
      <c r="Q22" s="50" t="str">
        <f t="shared" si="11"/>
        <v/>
      </c>
    </row>
    <row r="23" spans="1:17" s="2" customFormat="1" ht="12.75" customHeight="1">
      <c r="A23" s="4">
        <f t="shared" si="9"/>
        <v>504</v>
      </c>
      <c r="B23" s="2">
        <v>2</v>
      </c>
      <c r="C23" s="110" t="s">
        <v>278</v>
      </c>
      <c r="D23" s="268"/>
      <c r="E23" s="276"/>
      <c r="F23" s="112" t="str">
        <f>VLOOKUP(C23,Bolts!A:L,5,0)</f>
        <v xml:space="preserve">  </v>
      </c>
      <c r="G23" s="112" t="str">
        <f>VLOOKUP(C23,Bolts!A:L,6,0)</f>
        <v>Monroe Fasteners</v>
      </c>
      <c r="H23" s="112" t="str">
        <f>VLOOKUP(C23,Bolts!A:L,7,0)</f>
        <v xml:space="preserve">  </v>
      </c>
      <c r="I23" s="112"/>
      <c r="J23" s="44" t="str">
        <f>VLOOKUP(C23,Bolts!A:L,8,0)</f>
        <v xml:space="preserve"> </v>
      </c>
      <c r="K23" s="44" t="str">
        <f>VLOOKUP(C23,Bolts!A:L,9,0)</f>
        <v xml:space="preserve"> </v>
      </c>
      <c r="L23" s="44" t="str">
        <f>VLOOKUP(C23,Bolts!A:L,10,0)</f>
        <v xml:space="preserve"> </v>
      </c>
      <c r="M23" s="44" t="str">
        <f>VLOOKUP(C23,Bolts!A:L,11,0)</f>
        <v xml:space="preserve"> </v>
      </c>
      <c r="N23" s="45" t="str">
        <f>VLOOKUP(C23,Bolts!A:L,12,0)</f>
        <v xml:space="preserve"> </v>
      </c>
      <c r="O23" s="45" t="e">
        <f t="shared" ca="1" si="5"/>
        <v>#VALUE!</v>
      </c>
      <c r="P23" s="49" t="str">
        <f>IFERROR(VLOOKUP(C23,Bolts!A:B,2,FALSE),"")</f>
        <v xml:space="preserve"> </v>
      </c>
      <c r="Q23" s="50" t="str">
        <f t="shared" ref="Q23" si="12">IFERROR(B23*P23,"")</f>
        <v/>
      </c>
    </row>
    <row r="24" spans="1:17" s="2" customFormat="1" ht="12.75" customHeight="1">
      <c r="A24" s="4">
        <f t="shared" si="9"/>
        <v>505</v>
      </c>
      <c r="B24" s="2">
        <v>2</v>
      </c>
      <c r="C24" s="110" t="s">
        <v>1272</v>
      </c>
      <c r="D24" s="268"/>
      <c r="E24" s="276"/>
      <c r="F24" s="112" t="str">
        <f>VLOOKUP(C24,Bolts!A:L,5,0)</f>
        <v xml:space="preserve">  </v>
      </c>
      <c r="G24" s="112" t="str">
        <f>VLOOKUP(C24,Bolts!A:L,6,0)</f>
        <v>Monroe Fasteners</v>
      </c>
      <c r="H24" s="112" t="str">
        <f>VLOOKUP(C24,Bolts!A:L,7,0)</f>
        <v xml:space="preserve">  </v>
      </c>
      <c r="I24" s="112"/>
      <c r="J24" s="44" t="str">
        <f>VLOOKUP(C24,Bolts!A:L,8,0)</f>
        <v xml:space="preserve"> </v>
      </c>
      <c r="K24" s="44" t="str">
        <f>VLOOKUP(C24,Bolts!A:L,9,0)</f>
        <v xml:space="preserve"> </v>
      </c>
      <c r="L24" s="44" t="str">
        <f>VLOOKUP(C24,Bolts!A:L,10,0)</f>
        <v xml:space="preserve"> </v>
      </c>
      <c r="M24" s="44" t="str">
        <f>VLOOKUP(C24,Bolts!A:L,11,0)</f>
        <v xml:space="preserve"> </v>
      </c>
      <c r="N24" s="45" t="str">
        <f>VLOOKUP(C24,Bolts!A:L,12,0)</f>
        <v xml:space="preserve"> </v>
      </c>
      <c r="O24" s="45" t="e">
        <f t="shared" ref="O24:O25" ca="1" si="13">B24*$L$2</f>
        <v>#VALUE!</v>
      </c>
      <c r="P24" s="49" t="str">
        <f>IFERROR(VLOOKUP(C24,Bolts!A:B,2,FALSE),"")</f>
        <v xml:space="preserve"> </v>
      </c>
      <c r="Q24" s="50" t="str">
        <f t="shared" ref="Q24:Q25" si="14">IFERROR(B24*P24,"")</f>
        <v/>
      </c>
    </row>
    <row r="25" spans="1:17" s="2" customFormat="1" ht="12.75" customHeight="1">
      <c r="A25" s="4">
        <f t="shared" si="9"/>
        <v>506</v>
      </c>
      <c r="B25" s="2">
        <v>2</v>
      </c>
      <c r="C25" s="110" t="s">
        <v>595</v>
      </c>
      <c r="D25" s="268"/>
      <c r="E25" s="276"/>
      <c r="F25" s="112" t="str">
        <f>VLOOKUP(C25,Bolts!A:L,5,0)</f>
        <v xml:space="preserve">  </v>
      </c>
      <c r="G25" s="112" t="str">
        <f>VLOOKUP(C25,Bolts!A:L,6,0)</f>
        <v>Monroe Fasteners</v>
      </c>
      <c r="H25" s="112" t="str">
        <f>VLOOKUP(C25,Bolts!A:L,7,0)</f>
        <v xml:space="preserve">  </v>
      </c>
      <c r="I25" s="112"/>
      <c r="J25" s="44" t="str">
        <f>VLOOKUP(C25,Bolts!A:L,8,0)</f>
        <v xml:space="preserve"> </v>
      </c>
      <c r="K25" s="44" t="str">
        <f>VLOOKUP(C25,Bolts!A:L,9,0)</f>
        <v xml:space="preserve"> </v>
      </c>
      <c r="L25" s="44" t="str">
        <f>VLOOKUP(C25,Bolts!A:L,10,0)</f>
        <v xml:space="preserve"> </v>
      </c>
      <c r="M25" s="44" t="str">
        <f>VLOOKUP(C25,Bolts!A:L,11,0)</f>
        <v xml:space="preserve"> </v>
      </c>
      <c r="N25" s="45" t="str">
        <f>VLOOKUP(C25,Bolts!A:L,12,0)</f>
        <v xml:space="preserve"> </v>
      </c>
      <c r="O25" s="45" t="e">
        <f t="shared" ca="1" si="13"/>
        <v>#VALUE!</v>
      </c>
      <c r="P25" s="49" t="str">
        <f>IFERROR(VLOOKUP(C25,Bolts!A:B,2,FALSE),"")</f>
        <v xml:space="preserve"> </v>
      </c>
      <c r="Q25" s="50" t="str">
        <f t="shared" si="14"/>
        <v/>
      </c>
    </row>
    <row r="26" spans="1:17" s="2" customFormat="1" ht="12.75" customHeight="1">
      <c r="A26" s="4">
        <f t="shared" si="9"/>
        <v>507</v>
      </c>
      <c r="B26" s="2">
        <v>2</v>
      </c>
      <c r="C26" s="110" t="s">
        <v>289</v>
      </c>
      <c r="D26" s="268"/>
      <c r="E26" s="276"/>
      <c r="F26" s="112" t="str">
        <f>VLOOKUP(C26,Bolts!A:L,5,0)</f>
        <v xml:space="preserve">  </v>
      </c>
      <c r="G26" s="112" t="str">
        <f>VLOOKUP(C26,Bolts!A:L,6,0)</f>
        <v>Monroe Fasteners</v>
      </c>
      <c r="H26" s="112" t="str">
        <f>VLOOKUP(C26,Bolts!A:L,7,0)</f>
        <v xml:space="preserve">  </v>
      </c>
      <c r="I26" s="112"/>
      <c r="J26" s="44" t="str">
        <f>VLOOKUP(C26,Bolts!A:L,8,0)</f>
        <v xml:space="preserve"> </v>
      </c>
      <c r="K26" s="44" t="str">
        <f>VLOOKUP(C26,Bolts!A:L,9,0)</f>
        <v xml:space="preserve"> </v>
      </c>
      <c r="L26" s="44" t="str">
        <f>VLOOKUP(C26,Bolts!A:L,10,0)</f>
        <v xml:space="preserve"> </v>
      </c>
      <c r="M26" s="44" t="str">
        <f>VLOOKUP(C26,Bolts!A:L,11,0)</f>
        <v xml:space="preserve"> </v>
      </c>
      <c r="N26" s="45" t="str">
        <f>VLOOKUP(C26,Bolts!A:L,12,0)</f>
        <v xml:space="preserve"> </v>
      </c>
      <c r="O26" s="45" t="e">
        <f t="shared" ref="O26" ca="1" si="15">B26*$L$2</f>
        <v>#VALUE!</v>
      </c>
      <c r="P26" s="49" t="str">
        <f>IFERROR(VLOOKUP(C26,Bolts!A:B,2,FALSE),"")</f>
        <v xml:space="preserve"> </v>
      </c>
      <c r="Q26" s="50" t="str">
        <f t="shared" ref="Q26" si="16">IFERROR(B26*P26,"")</f>
        <v/>
      </c>
    </row>
    <row r="27" spans="1:17" s="2" customFormat="1" ht="12.75" customHeight="1" thickBot="1">
      <c r="A27" s="4">
        <f t="shared" si="9"/>
        <v>508</v>
      </c>
      <c r="B27" s="2">
        <v>6</v>
      </c>
      <c r="C27" s="110" t="s">
        <v>1302</v>
      </c>
      <c r="D27" s="268"/>
      <c r="E27" s="276"/>
      <c r="F27" s="112">
        <f>VLOOKUP(C27,Bolts!A:L,5,0)</f>
        <v>0</v>
      </c>
      <c r="G27" s="112">
        <f>VLOOKUP(C27,Bolts!A:L,6,0)</f>
        <v>0</v>
      </c>
      <c r="H27" s="112">
        <f>VLOOKUP(C27,Bolts!A:L,7,0)</f>
        <v>0</v>
      </c>
      <c r="I27" s="112"/>
      <c r="J27" s="44">
        <f>VLOOKUP(C27,Bolts!A:L,8,0)</f>
        <v>0</v>
      </c>
      <c r="K27" s="44">
        <f>VLOOKUP(C27,Bolts!A:L,9,0)</f>
        <v>0</v>
      </c>
      <c r="L27" s="44">
        <f>VLOOKUP(C27,Bolts!A:L,10,0)</f>
        <v>0</v>
      </c>
      <c r="M27" s="44">
        <f>VLOOKUP(C27,Bolts!A:L,11,0)</f>
        <v>0</v>
      </c>
      <c r="N27" s="45">
        <f>VLOOKUP(C27,Bolts!A:L,12,0)</f>
        <v>0</v>
      </c>
      <c r="O27" s="45" t="e">
        <f t="shared" ref="O27" ca="1" si="17">B27*$L$2</f>
        <v>#VALUE!</v>
      </c>
      <c r="P27" s="49">
        <f>IFERROR(VLOOKUP(C27,Bolts!A:B,2,FALSE),"")</f>
        <v>0</v>
      </c>
      <c r="Q27" s="50">
        <f t="shared" ref="Q27" si="18">IFERROR(B27*P27,"")</f>
        <v>0</v>
      </c>
    </row>
    <row r="28" spans="1:17" s="2" customFormat="1" ht="12.75" customHeight="1" thickBot="1">
      <c r="A28" s="34"/>
      <c r="B28" s="35"/>
      <c r="C28" s="35"/>
      <c r="D28" s="256"/>
      <c r="E28" s="257"/>
      <c r="F28" s="35"/>
      <c r="G28" s="35"/>
      <c r="H28" s="294"/>
      <c r="I28" s="295"/>
      <c r="J28" s="36"/>
      <c r="K28" s="36"/>
      <c r="L28" s="36"/>
      <c r="M28" s="37"/>
      <c r="N28" s="38"/>
      <c r="O28" s="38"/>
      <c r="P28" s="89" t="s">
        <v>43</v>
      </c>
      <c r="Q28" s="94">
        <f>SUM(Q5:Q23)</f>
        <v>315.58000000000004</v>
      </c>
    </row>
    <row r="29" spans="1:17" s="2" customFormat="1" ht="12" customHeight="1">
      <c r="D29" s="22"/>
      <c r="E29" s="22"/>
      <c r="J29" s="8"/>
      <c r="K29" s="8"/>
      <c r="L29" s="8"/>
      <c r="M29" s="8"/>
      <c r="N29" s="5"/>
      <c r="O29" s="5"/>
      <c r="P29" s="88"/>
      <c r="Q29" s="95"/>
    </row>
    <row r="30" spans="1:17" s="2" customFormat="1" ht="12" customHeight="1">
      <c r="D30" s="22"/>
      <c r="E30" s="22"/>
      <c r="J30" s="5"/>
      <c r="K30" s="5"/>
      <c r="L30" s="5"/>
      <c r="M30" s="5"/>
      <c r="N30" s="5"/>
      <c r="O30" s="5"/>
      <c r="P30" s="88"/>
      <c r="Q30" s="95"/>
    </row>
    <row r="31" spans="1:17" s="2" customFormat="1" ht="12" customHeight="1">
      <c r="D31" s="22"/>
      <c r="E31" s="22"/>
      <c r="J31" s="5"/>
      <c r="K31" s="5"/>
      <c r="L31" s="5"/>
      <c r="M31" s="5"/>
      <c r="N31" s="5"/>
      <c r="O31" s="5"/>
      <c r="P31" s="88"/>
      <c r="Q31" s="95"/>
    </row>
    <row r="32" spans="1:17" s="2" customFormat="1" ht="12" customHeight="1">
      <c r="D32" s="22"/>
      <c r="E32" s="22"/>
      <c r="J32" s="5"/>
      <c r="K32" s="5"/>
      <c r="L32" s="5"/>
      <c r="M32" s="5"/>
      <c r="N32" s="5"/>
      <c r="O32" s="5"/>
      <c r="P32" s="88"/>
      <c r="Q32" s="95"/>
    </row>
    <row r="33" spans="4:17" s="2" customFormat="1" ht="12" customHeight="1">
      <c r="D33" s="22"/>
      <c r="E33" s="22"/>
      <c r="J33" s="5"/>
      <c r="K33" s="5"/>
      <c r="L33" s="5"/>
      <c r="M33" s="5"/>
      <c r="N33" s="5"/>
      <c r="O33" s="5"/>
      <c r="P33" s="88"/>
      <c r="Q33" s="95"/>
    </row>
    <row r="34" spans="4:17" s="2" customFormat="1" ht="12" customHeight="1">
      <c r="D34" s="22"/>
      <c r="E34" s="22"/>
      <c r="J34" s="5"/>
      <c r="K34" s="5"/>
      <c r="L34" s="5"/>
      <c r="M34" s="5"/>
      <c r="N34" s="5"/>
      <c r="O34" s="5"/>
      <c r="P34" s="88"/>
      <c r="Q34" s="95"/>
    </row>
    <row r="35" spans="4:17" s="2" customFormat="1" ht="12" customHeight="1">
      <c r="D35" s="22"/>
      <c r="E35" s="22"/>
      <c r="J35" s="5"/>
      <c r="K35" s="5"/>
      <c r="L35" s="5"/>
      <c r="M35" s="5"/>
      <c r="N35" s="5"/>
      <c r="O35" s="5"/>
      <c r="P35" s="88"/>
      <c r="Q35" s="95"/>
    </row>
    <row r="36" spans="4:17" s="2" customFormat="1" ht="12" customHeight="1">
      <c r="D36" s="22"/>
      <c r="E36" s="22"/>
      <c r="J36" s="5"/>
      <c r="K36" s="5"/>
      <c r="L36" s="5"/>
      <c r="M36" s="5"/>
      <c r="N36" s="5"/>
      <c r="O36" s="5"/>
      <c r="P36" s="88"/>
      <c r="Q36" s="95"/>
    </row>
    <row r="37" spans="4:17" s="2" customFormat="1" ht="12" customHeight="1">
      <c r="D37" s="22"/>
      <c r="E37" s="22"/>
      <c r="J37" s="5"/>
      <c r="K37" s="5"/>
      <c r="L37" s="5"/>
      <c r="M37" s="5"/>
      <c r="N37" s="5"/>
      <c r="O37" s="5"/>
      <c r="P37" s="88"/>
      <c r="Q37" s="95"/>
    </row>
    <row r="38" spans="4:17" s="2" customFormat="1" ht="12" customHeight="1">
      <c r="D38" s="22"/>
      <c r="E38" s="22"/>
      <c r="J38" s="5"/>
      <c r="K38" s="5"/>
      <c r="L38" s="5"/>
      <c r="M38" s="5"/>
      <c r="N38" s="5"/>
      <c r="O38" s="5"/>
      <c r="P38" s="88"/>
      <c r="Q38" s="95"/>
    </row>
    <row r="39" spans="4:17" s="2" customFormat="1" ht="12" customHeight="1">
      <c r="D39" s="22"/>
      <c r="E39" s="22"/>
      <c r="J39" s="5"/>
      <c r="K39" s="5"/>
      <c r="L39" s="5"/>
      <c r="M39" s="5"/>
      <c r="N39" s="5"/>
      <c r="O39" s="5"/>
      <c r="P39" s="88"/>
      <c r="Q39" s="95"/>
    </row>
    <row r="40" spans="4:17" s="2" customFormat="1" ht="12" customHeight="1">
      <c r="D40" s="22"/>
      <c r="E40" s="22"/>
      <c r="J40" s="5"/>
      <c r="K40" s="5"/>
      <c r="L40" s="5"/>
      <c r="M40" s="5"/>
      <c r="N40" s="5"/>
      <c r="O40" s="5"/>
      <c r="P40" s="88"/>
      <c r="Q40" s="95"/>
    </row>
    <row r="41" spans="4:17" s="2" customFormat="1" ht="12" customHeight="1">
      <c r="D41" s="22"/>
      <c r="E41" s="22"/>
      <c r="J41" s="5"/>
      <c r="K41" s="5"/>
      <c r="L41" s="5"/>
      <c r="M41" s="5"/>
      <c r="N41" s="5"/>
      <c r="O41" s="5"/>
      <c r="P41" s="88"/>
      <c r="Q41" s="95"/>
    </row>
    <row r="42" spans="4:17" s="2" customFormat="1" ht="12" customHeight="1">
      <c r="D42" s="22"/>
      <c r="E42" s="22"/>
      <c r="J42" s="5"/>
      <c r="K42" s="5"/>
      <c r="L42" s="5"/>
      <c r="M42" s="5"/>
      <c r="N42" s="5"/>
      <c r="O42" s="5"/>
      <c r="P42" s="88"/>
      <c r="Q42" s="95"/>
    </row>
    <row r="43" spans="4:17" s="2" customFormat="1" ht="12" customHeight="1">
      <c r="D43" s="22"/>
      <c r="E43" s="22"/>
      <c r="J43" s="5"/>
      <c r="K43" s="5"/>
      <c r="L43" s="5"/>
      <c r="M43" s="5"/>
      <c r="N43" s="5"/>
      <c r="O43" s="5"/>
      <c r="P43" s="88"/>
      <c r="Q43" s="95"/>
    </row>
    <row r="44" spans="4:17" s="2" customFormat="1" ht="12" customHeight="1">
      <c r="D44" s="22"/>
      <c r="E44" s="22"/>
      <c r="J44" s="5"/>
      <c r="K44" s="5"/>
      <c r="L44" s="5"/>
      <c r="M44" s="5"/>
      <c r="N44" s="5"/>
      <c r="O44" s="5"/>
      <c r="P44" s="88"/>
      <c r="Q44" s="95"/>
    </row>
    <row r="45" spans="4:17" s="2" customFormat="1" ht="12" customHeight="1">
      <c r="D45" s="22"/>
      <c r="E45" s="22"/>
      <c r="J45" s="5"/>
      <c r="K45" s="5"/>
      <c r="L45" s="5"/>
      <c r="M45" s="5"/>
      <c r="N45" s="5"/>
      <c r="O45" s="5"/>
      <c r="P45" s="88"/>
      <c r="Q45" s="95"/>
    </row>
    <row r="46" spans="4:17" s="2" customFormat="1" ht="12" customHeight="1">
      <c r="D46" s="22"/>
      <c r="E46" s="22"/>
      <c r="J46" s="5"/>
      <c r="K46" s="5"/>
      <c r="L46" s="5"/>
      <c r="M46" s="5"/>
      <c r="N46" s="5"/>
      <c r="O46" s="5"/>
      <c r="P46" s="88"/>
      <c r="Q46" s="95"/>
    </row>
    <row r="47" spans="4:17" s="2" customFormat="1" ht="12" customHeight="1">
      <c r="D47" s="22"/>
      <c r="E47" s="22"/>
      <c r="J47" s="5"/>
      <c r="K47" s="5"/>
      <c r="L47" s="5"/>
      <c r="M47" s="5"/>
      <c r="N47" s="5"/>
      <c r="O47" s="5"/>
      <c r="P47" s="88"/>
      <c r="Q47" s="95"/>
    </row>
    <row r="48" spans="4:17" s="2" customFormat="1" ht="12" customHeight="1">
      <c r="D48" s="22"/>
      <c r="E48" s="22"/>
      <c r="J48" s="5"/>
      <c r="K48" s="5"/>
      <c r="L48" s="5"/>
      <c r="M48" s="5"/>
      <c r="N48" s="5"/>
      <c r="O48" s="5"/>
      <c r="P48" s="88"/>
      <c r="Q48" s="95"/>
    </row>
    <row r="49" spans="4:17" s="2" customFormat="1" ht="12" customHeight="1">
      <c r="D49" s="22"/>
      <c r="E49" s="22"/>
      <c r="J49" s="5"/>
      <c r="K49" s="5"/>
      <c r="L49" s="5"/>
      <c r="M49" s="5"/>
      <c r="N49" s="5"/>
      <c r="O49" s="5"/>
      <c r="P49" s="88"/>
      <c r="Q49" s="95"/>
    </row>
    <row r="50" spans="4:17" s="2" customFormat="1" ht="12" customHeight="1">
      <c r="D50" s="22"/>
      <c r="E50" s="22"/>
      <c r="J50" s="5"/>
      <c r="K50" s="5"/>
      <c r="L50" s="5"/>
      <c r="M50" s="5"/>
      <c r="N50" s="5"/>
      <c r="O50" s="5"/>
      <c r="P50" s="88"/>
      <c r="Q50" s="95"/>
    </row>
    <row r="51" spans="4:17" s="2" customFormat="1" ht="12" customHeight="1">
      <c r="D51" s="22"/>
      <c r="E51" s="22"/>
      <c r="J51" s="5"/>
      <c r="K51" s="5"/>
      <c r="L51" s="5"/>
      <c r="M51" s="5"/>
      <c r="N51" s="5"/>
      <c r="O51" s="5"/>
      <c r="P51" s="88"/>
      <c r="Q51" s="95"/>
    </row>
    <row r="52" spans="4:17" s="2" customFormat="1" ht="12" customHeight="1">
      <c r="D52" s="22"/>
      <c r="E52" s="22"/>
      <c r="J52" s="5"/>
      <c r="K52" s="5"/>
      <c r="L52" s="5"/>
      <c r="M52" s="5"/>
      <c r="N52" s="5"/>
      <c r="O52" s="5"/>
      <c r="P52" s="88"/>
      <c r="Q52" s="95"/>
    </row>
    <row r="53" spans="4:17" s="2" customFormat="1" ht="12" customHeight="1">
      <c r="D53" s="22"/>
      <c r="E53" s="22"/>
      <c r="J53" s="5"/>
      <c r="K53" s="5"/>
      <c r="L53" s="5"/>
      <c r="M53" s="5"/>
      <c r="N53" s="5"/>
      <c r="O53" s="5"/>
      <c r="P53" s="88"/>
      <c r="Q53" s="95"/>
    </row>
    <row r="54" spans="4:17" s="2" customFormat="1" ht="12" customHeight="1">
      <c r="D54" s="22"/>
      <c r="E54" s="22"/>
      <c r="J54" s="5"/>
      <c r="K54" s="5"/>
      <c r="L54" s="5"/>
      <c r="M54" s="5"/>
      <c r="N54" s="5"/>
      <c r="O54" s="5"/>
      <c r="P54" s="88"/>
      <c r="Q54" s="95"/>
    </row>
    <row r="55" spans="4:17" s="2" customFormat="1" ht="12" customHeight="1">
      <c r="D55" s="22"/>
      <c r="E55" s="22"/>
      <c r="J55" s="5"/>
      <c r="K55" s="5"/>
      <c r="L55" s="5"/>
      <c r="M55" s="5"/>
      <c r="N55" s="5"/>
      <c r="O55" s="5"/>
      <c r="P55" s="88"/>
      <c r="Q55" s="95"/>
    </row>
    <row r="56" spans="4:17" s="2" customFormat="1" ht="12" customHeight="1">
      <c r="D56" s="22"/>
      <c r="E56" s="22"/>
      <c r="J56" s="5"/>
      <c r="K56" s="5"/>
      <c r="L56" s="5"/>
      <c r="M56" s="5"/>
      <c r="N56" s="5"/>
      <c r="O56" s="5"/>
      <c r="P56" s="88"/>
      <c r="Q56" s="95"/>
    </row>
    <row r="57" spans="4:17" s="2" customFormat="1" ht="12" customHeight="1">
      <c r="D57" s="22"/>
      <c r="E57" s="22"/>
      <c r="J57" s="5"/>
      <c r="K57" s="5"/>
      <c r="L57" s="5"/>
      <c r="M57" s="5"/>
      <c r="N57" s="5"/>
      <c r="O57" s="5"/>
      <c r="P57" s="88"/>
      <c r="Q57" s="95"/>
    </row>
    <row r="58" spans="4:17" s="2" customFormat="1" ht="12" customHeight="1">
      <c r="D58" s="22"/>
      <c r="E58" s="22"/>
      <c r="J58" s="5"/>
      <c r="K58" s="5"/>
      <c r="L58" s="5"/>
      <c r="M58" s="5"/>
      <c r="N58" s="5"/>
      <c r="O58" s="5"/>
      <c r="P58" s="88"/>
      <c r="Q58" s="95"/>
    </row>
    <row r="59" spans="4:17" s="2" customFormat="1" ht="12" customHeight="1">
      <c r="D59" s="22"/>
      <c r="E59" s="22"/>
      <c r="J59" s="5"/>
      <c r="K59" s="5"/>
      <c r="L59" s="5"/>
      <c r="M59" s="5"/>
      <c r="N59" s="5"/>
      <c r="O59" s="5"/>
      <c r="P59" s="88"/>
      <c r="Q59" s="95"/>
    </row>
    <row r="60" spans="4:17" s="2" customFormat="1" ht="12" customHeight="1">
      <c r="D60" s="22"/>
      <c r="E60" s="22"/>
      <c r="J60" s="5"/>
      <c r="K60" s="5"/>
      <c r="L60" s="5"/>
      <c r="M60" s="5"/>
      <c r="N60" s="5"/>
      <c r="O60" s="5"/>
      <c r="P60" s="88"/>
      <c r="Q60" s="95"/>
    </row>
    <row r="61" spans="4:17" s="2" customFormat="1" ht="12" customHeight="1">
      <c r="D61" s="22"/>
      <c r="E61" s="22"/>
      <c r="J61" s="5"/>
      <c r="K61" s="5"/>
      <c r="L61" s="5"/>
      <c r="M61" s="5"/>
      <c r="N61" s="5"/>
      <c r="O61" s="5"/>
      <c r="P61" s="88"/>
      <c r="Q61" s="95"/>
    </row>
    <row r="62" spans="4:17" s="2" customFormat="1" ht="12" customHeight="1">
      <c r="D62" s="22"/>
      <c r="E62" s="22"/>
      <c r="J62" s="5"/>
      <c r="K62" s="5"/>
      <c r="L62" s="5"/>
      <c r="M62" s="5"/>
      <c r="N62" s="5"/>
      <c r="O62" s="5"/>
      <c r="P62" s="88"/>
      <c r="Q62" s="95"/>
    </row>
    <row r="63" spans="4:17" s="2" customFormat="1" ht="12" customHeight="1">
      <c r="D63" s="22"/>
      <c r="E63" s="22"/>
      <c r="J63" s="5"/>
      <c r="K63" s="5"/>
      <c r="L63" s="5"/>
      <c r="M63" s="5"/>
      <c r="N63" s="5"/>
      <c r="O63" s="5"/>
      <c r="P63" s="88"/>
      <c r="Q63" s="95"/>
    </row>
    <row r="64" spans="4:17" s="2" customFormat="1" ht="12" customHeight="1">
      <c r="D64" s="22"/>
      <c r="E64" s="22"/>
      <c r="J64" s="5"/>
      <c r="K64" s="5"/>
      <c r="L64" s="5"/>
      <c r="M64" s="5"/>
      <c r="N64" s="5"/>
      <c r="O64" s="5"/>
      <c r="P64" s="88"/>
      <c r="Q64" s="95"/>
    </row>
    <row r="65" spans="1:17" s="2" customFormat="1" ht="12" customHeight="1">
      <c r="D65" s="22"/>
      <c r="E65" s="22"/>
      <c r="J65" s="5"/>
      <c r="K65" s="5"/>
      <c r="L65" s="5"/>
      <c r="M65" s="5"/>
      <c r="N65" s="5"/>
      <c r="O65" s="5"/>
      <c r="P65" s="88"/>
      <c r="Q65" s="95"/>
    </row>
    <row r="66" spans="1:17" s="2" customFormat="1" ht="12" customHeight="1">
      <c r="D66" s="22"/>
      <c r="E66" s="22"/>
      <c r="J66" s="5"/>
      <c r="K66" s="5"/>
      <c r="L66" s="5"/>
      <c r="M66" s="5"/>
      <c r="N66" s="5"/>
      <c r="O66" s="5"/>
      <c r="P66" s="88"/>
      <c r="Q66" s="95"/>
    </row>
    <row r="67" spans="1:17" s="2" customFormat="1" ht="12" customHeight="1">
      <c r="D67" s="22"/>
      <c r="E67" s="22"/>
      <c r="J67" s="5"/>
      <c r="K67" s="5"/>
      <c r="L67" s="5"/>
      <c r="M67" s="5"/>
      <c r="N67" s="5"/>
      <c r="O67" s="5"/>
      <c r="P67" s="88"/>
      <c r="Q67" s="96"/>
    </row>
    <row r="68" spans="1:17" s="2" customFormat="1" ht="12" customHeight="1">
      <c r="D68" s="22"/>
      <c r="E68" s="22"/>
      <c r="J68" s="5"/>
      <c r="K68" s="5"/>
      <c r="L68" s="5"/>
      <c r="M68" s="5"/>
      <c r="N68" s="5"/>
      <c r="O68" s="5"/>
      <c r="P68" s="88"/>
      <c r="Q68" s="96"/>
    </row>
    <row r="69" spans="1:17" s="2" customFormat="1" ht="12" customHeight="1">
      <c r="D69" s="22"/>
      <c r="E69" s="22"/>
      <c r="J69" s="5"/>
      <c r="K69" s="5"/>
      <c r="L69" s="5"/>
      <c r="M69" s="5"/>
      <c r="N69" s="5"/>
      <c r="O69" s="5"/>
      <c r="P69" s="88"/>
      <c r="Q69" s="96"/>
    </row>
    <row r="70" spans="1:17" s="2" customFormat="1" ht="12" customHeight="1">
      <c r="D70" s="22"/>
      <c r="E70" s="22"/>
      <c r="J70" s="5"/>
      <c r="K70" s="5"/>
      <c r="L70" s="5"/>
      <c r="M70" s="5"/>
      <c r="N70" s="5"/>
      <c r="O70" s="5"/>
      <c r="P70" s="88"/>
      <c r="Q70" s="96"/>
    </row>
    <row r="71" spans="1:17" s="2" customFormat="1" ht="12" customHeight="1">
      <c r="A71"/>
      <c r="B71"/>
      <c r="C71"/>
      <c r="D71" s="23"/>
      <c r="E71" s="23"/>
      <c r="F71"/>
      <c r="G71"/>
      <c r="H71"/>
      <c r="I71"/>
      <c r="J71" s="19"/>
      <c r="K71" s="19"/>
      <c r="L71" s="19"/>
      <c r="M71" s="19"/>
      <c r="N71" s="19"/>
      <c r="O71" s="19"/>
      <c r="P71" s="90"/>
      <c r="Q71" s="96"/>
    </row>
    <row r="72" spans="1:17" s="2" customFormat="1" ht="12" customHeight="1">
      <c r="A72"/>
      <c r="B72"/>
      <c r="C72"/>
      <c r="D72" s="23"/>
      <c r="E72" s="23"/>
      <c r="F72"/>
      <c r="G72"/>
      <c r="H72"/>
      <c r="I72"/>
      <c r="J72" s="19"/>
      <c r="K72" s="19"/>
      <c r="L72" s="19"/>
      <c r="M72" s="19"/>
      <c r="N72" s="19"/>
      <c r="O72" s="19"/>
      <c r="P72" s="90"/>
      <c r="Q72" s="96"/>
    </row>
    <row r="73" spans="1:17" s="2" customFormat="1" ht="12" customHeight="1">
      <c r="A73"/>
      <c r="B73"/>
      <c r="C73"/>
      <c r="D73" s="23"/>
      <c r="E73" s="23"/>
      <c r="F73"/>
      <c r="G73"/>
      <c r="H73"/>
      <c r="I73"/>
      <c r="J73" s="19"/>
      <c r="K73" s="19"/>
      <c r="L73" s="19"/>
      <c r="M73" s="19"/>
      <c r="N73" s="19"/>
      <c r="O73" s="19"/>
      <c r="P73" s="90"/>
      <c r="Q73" s="96"/>
    </row>
    <row r="74" spans="1:17" s="2" customFormat="1" ht="12" customHeight="1">
      <c r="A74"/>
      <c r="B74"/>
      <c r="C74"/>
      <c r="D74" s="23"/>
      <c r="E74" s="23"/>
      <c r="F74"/>
      <c r="G74"/>
      <c r="H74"/>
      <c r="I74"/>
      <c r="J74" s="19"/>
      <c r="K74" s="19"/>
      <c r="L74" s="19"/>
      <c r="M74" s="19"/>
      <c r="N74" s="19"/>
      <c r="O74" s="19"/>
      <c r="P74" s="90"/>
      <c r="Q74" s="96"/>
    </row>
    <row r="75" spans="1:17" s="2" customFormat="1" ht="12" customHeight="1">
      <c r="A75"/>
      <c r="B75"/>
      <c r="C75"/>
      <c r="D75" s="23"/>
      <c r="E75" s="23"/>
      <c r="F75"/>
      <c r="G75"/>
      <c r="H75"/>
      <c r="I75"/>
      <c r="J75" s="19"/>
      <c r="K75" s="19"/>
      <c r="L75" s="19"/>
      <c r="M75" s="19"/>
      <c r="N75" s="19"/>
      <c r="O75" s="19"/>
      <c r="P75" s="90"/>
      <c r="Q75" s="96"/>
    </row>
    <row r="76" spans="1:17">
      <c r="Q76" s="96"/>
    </row>
    <row r="77" spans="1:17">
      <c r="Q77" s="96"/>
    </row>
    <row r="78" spans="1:17">
      <c r="Q78" s="96"/>
    </row>
    <row r="79" spans="1:17">
      <c r="Q79" s="96"/>
    </row>
    <row r="80" spans="1:17">
      <c r="Q80" s="96"/>
    </row>
    <row r="81" spans="17:17">
      <c r="Q81" s="96"/>
    </row>
    <row r="82" spans="17:17">
      <c r="Q82" s="96"/>
    </row>
    <row r="83" spans="17:17">
      <c r="Q83" s="96"/>
    </row>
    <row r="84" spans="17:17">
      <c r="Q84" s="96"/>
    </row>
    <row r="85" spans="17:17">
      <c r="Q85" s="96"/>
    </row>
    <row r="86" spans="17:17">
      <c r="Q86" s="96"/>
    </row>
    <row r="87" spans="17:17">
      <c r="Q87" s="96"/>
    </row>
    <row r="88" spans="17:17">
      <c r="Q88" s="96"/>
    </row>
    <row r="89" spans="17:17">
      <c r="Q89" s="96"/>
    </row>
    <row r="90" spans="17:17">
      <c r="Q90" s="96"/>
    </row>
    <row r="91" spans="17:17">
      <c r="Q91" s="96"/>
    </row>
    <row r="92" spans="17:17">
      <c r="Q92" s="96"/>
    </row>
    <row r="93" spans="17:17">
      <c r="Q93" s="96"/>
    </row>
    <row r="94" spans="17:17">
      <c r="Q94" s="96"/>
    </row>
    <row r="95" spans="17:17">
      <c r="Q95" s="96"/>
    </row>
    <row r="132" ht="12" customHeight="1"/>
    <row r="133" ht="12" customHeight="1"/>
    <row r="134" ht="12" customHeight="1"/>
    <row r="135" ht="12" customHeight="1"/>
    <row r="136" ht="12" customHeight="1"/>
    <row r="137" ht="12" customHeight="1"/>
    <row r="138" ht="12" customHeight="1"/>
    <row r="139" ht="12" customHeight="1"/>
    <row r="140" ht="12" customHeight="1"/>
    <row r="141" ht="12" customHeight="1"/>
    <row r="142" ht="12" customHeight="1"/>
    <row r="143" ht="12" customHeight="1"/>
    <row r="144" ht="12" customHeight="1"/>
    <row r="145" ht="12" customHeight="1"/>
    <row r="146" ht="12" customHeight="1"/>
    <row r="147" ht="12" customHeight="1"/>
    <row r="148" ht="12" customHeight="1"/>
    <row r="149" ht="12" customHeight="1"/>
    <row r="150" ht="12" customHeight="1"/>
    <row r="151" ht="12" customHeight="1"/>
    <row r="152" ht="12" customHeight="1"/>
    <row r="153" ht="12" customHeight="1"/>
    <row r="154" ht="12" customHeight="1"/>
    <row r="155" ht="12" customHeight="1"/>
    <row r="156" ht="12" customHeight="1"/>
    <row r="157" ht="12" customHeight="1"/>
    <row r="158" ht="12" customHeight="1"/>
    <row r="159" ht="12" customHeight="1"/>
    <row r="160" ht="12" customHeight="1"/>
    <row r="161" ht="12" customHeight="1"/>
    <row r="162" ht="12" customHeight="1"/>
    <row r="163" ht="12" customHeight="1"/>
    <row r="164" ht="12" customHeight="1"/>
    <row r="165" ht="12" customHeight="1"/>
    <row r="166" ht="12" customHeight="1"/>
    <row r="167" ht="12" customHeight="1"/>
    <row r="168" ht="12" customHeight="1"/>
    <row r="169" ht="12" customHeight="1"/>
    <row r="170" ht="12" customHeight="1"/>
    <row r="171" ht="12" customHeight="1"/>
    <row r="172" ht="12" customHeight="1"/>
    <row r="173" ht="12" customHeight="1"/>
    <row r="174" ht="12" customHeight="1"/>
    <row r="175" ht="12" customHeight="1"/>
    <row r="176" ht="12" customHeight="1"/>
    <row r="177" ht="12" customHeight="1"/>
    <row r="178" ht="12" customHeight="1"/>
    <row r="179" ht="12" customHeight="1"/>
    <row r="180" ht="12" customHeight="1"/>
    <row r="181" ht="12" customHeight="1"/>
  </sheetData>
  <mergeCells count="30">
    <mergeCell ref="D16:E16"/>
    <mergeCell ref="D21:E21"/>
    <mergeCell ref="D20:E20"/>
    <mergeCell ref="D12:E12"/>
    <mergeCell ref="H12:I12"/>
    <mergeCell ref="D17:E17"/>
    <mergeCell ref="D18:E18"/>
    <mergeCell ref="D13:E13"/>
    <mergeCell ref="D14:E14"/>
    <mergeCell ref="D15:E15"/>
    <mergeCell ref="D1:E1"/>
    <mergeCell ref="D4:E4"/>
    <mergeCell ref="H4:I4"/>
    <mergeCell ref="D5:E5"/>
    <mergeCell ref="D6:E6"/>
    <mergeCell ref="D7:E7"/>
    <mergeCell ref="D8:E8"/>
    <mergeCell ref="D9:E9"/>
    <mergeCell ref="D10:E10"/>
    <mergeCell ref="D11:E11"/>
    <mergeCell ref="D28:E28"/>
    <mergeCell ref="H28:I28"/>
    <mergeCell ref="D19:E19"/>
    <mergeCell ref="H19:I19"/>
    <mergeCell ref="D23:E23"/>
    <mergeCell ref="D22:E22"/>
    <mergeCell ref="D24:E24"/>
    <mergeCell ref="D25:E25"/>
    <mergeCell ref="D26:E26"/>
    <mergeCell ref="D27:E27"/>
  </mergeCells>
  <conditionalFormatting sqref="M5:M11 M13:M18 M20:M27">
    <cfRule type="cellIs" dxfId="206" priority="7" stopIfTrue="1" operator="lessThanOrEqual">
      <formula>$L5</formula>
    </cfRule>
    <cfRule type="cellIs" dxfId="205" priority="8" operator="greaterThan">
      <formula>L5</formula>
    </cfRule>
  </conditionalFormatting>
  <pageMargins left="0.7" right="0.7" top="0.75" bottom="0.75" header="0.3" footer="0.3"/>
  <pageSetup paperSize="3" fitToHeight="0" orientation="landscape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1637C76-D418-4023-998E-AE500D6A628E}">
          <x14:formula1>
            <xm:f>Bolts!$A:$A</xm:f>
          </x14:formula1>
          <xm:sqref>C20:C27</xm:sqref>
        </x14:dataValidation>
        <x14:dataValidation type="list" allowBlank="1" showInputMessage="1" showErrorMessage="1" xr:uid="{EF94A12D-D13D-40B3-AFE2-B3E67F588B77}">
          <x14:formula1>
            <xm:f>Purchased!$A:$A</xm:f>
          </x14:formula1>
          <xm:sqref>C13:C18</xm:sqref>
        </x14:dataValidation>
        <x14:dataValidation type="list" allowBlank="1" showInputMessage="1" showErrorMessage="1" xr:uid="{1E6F9A67-4559-4380-8C7A-A930C22A6948}">
          <x14:formula1>
            <xm:f>Machined!$C:$C</xm:f>
          </x14:formula1>
          <xm:sqref>C5:C11</xm:sqref>
        </x14:dataValidation>
      </x14:dataValidations>
    </ext>
  </extLst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FD2B02-2F5C-44E3-87BD-67FCA7A4F699}">
  <sheetPr codeName="Sheet152">
    <tabColor theme="3" tint="0.79998168889431442"/>
    <pageSetUpPr fitToPage="1"/>
  </sheetPr>
  <dimension ref="A1:Q177"/>
  <sheetViews>
    <sheetView zoomScaleNormal="100" workbookViewId="0">
      <selection activeCell="C27" sqref="C27"/>
    </sheetView>
  </sheetViews>
  <sheetFormatPr defaultColWidth="9.140625" defaultRowHeight="15"/>
  <cols>
    <col min="1" max="1" width="5.7109375" customWidth="1"/>
    <col min="2" max="2" width="5.42578125" bestFit="1" customWidth="1"/>
    <col min="3" max="3" width="30.7109375" customWidth="1"/>
    <col min="4" max="5" width="20.7109375" style="23" customWidth="1"/>
    <col min="6" max="6" width="16.85546875" bestFit="1" customWidth="1"/>
    <col min="7" max="7" width="9.7109375" customWidth="1"/>
    <col min="8" max="8" width="8.7109375" customWidth="1"/>
    <col min="9" max="9" width="20.7109375" customWidth="1"/>
    <col min="10" max="13" width="11.7109375" style="19" customWidth="1"/>
    <col min="14" max="14" width="11.85546875" style="19" bestFit="1" customWidth="1"/>
    <col min="15" max="15" width="7.7109375" style="19" customWidth="1"/>
    <col min="16" max="16" width="10.7109375" style="90" customWidth="1"/>
    <col min="17" max="17" width="10.7109375" style="97" customWidth="1"/>
  </cols>
  <sheetData>
    <row r="1" spans="1:17" s="55" customFormat="1" ht="12" customHeight="1">
      <c r="A1" s="68" t="s">
        <v>0</v>
      </c>
      <c r="B1" s="69"/>
      <c r="C1" s="69"/>
      <c r="D1" s="262" t="s">
        <v>1</v>
      </c>
      <c r="E1" s="263"/>
      <c r="F1" s="70"/>
      <c r="G1" s="69"/>
      <c r="H1" s="70"/>
      <c r="I1" s="71"/>
      <c r="J1" s="72"/>
      <c r="K1" s="72"/>
      <c r="L1" s="72"/>
      <c r="M1" s="72"/>
      <c r="N1" s="72"/>
      <c r="O1" s="72"/>
      <c r="P1" s="85"/>
      <c r="Q1" s="91"/>
    </row>
    <row r="2" spans="1:17" s="55" customFormat="1" ht="12" customHeight="1">
      <c r="A2" s="74" t="s">
        <v>48</v>
      </c>
      <c r="B2" s="58"/>
      <c r="C2" s="57" t="e">
        <f ca="1">VLOOKUP(E3,Assemblies!B:F,4,0)</f>
        <v>#VALUE!</v>
      </c>
      <c r="D2" s="75" t="s">
        <v>3</v>
      </c>
      <c r="E2" s="76" t="e">
        <f ca="1">'GF12'!E2</f>
        <v>#VALUE!</v>
      </c>
      <c r="F2" s="77" t="s">
        <v>4</v>
      </c>
      <c r="G2" s="58" t="str">
        <f>'GF12'!G2</f>
        <v>GH</v>
      </c>
      <c r="H2" s="77" t="s">
        <v>6</v>
      </c>
      <c r="I2" s="59">
        <f>'GF12'!I2</f>
        <v>44775</v>
      </c>
      <c r="J2" s="39"/>
      <c r="K2" s="40" t="s">
        <v>49</v>
      </c>
      <c r="L2" s="41" t="e">
        <f ca="1">VLOOKUP(C2,Assemblies!E:G,3,0)</f>
        <v>#VALUE!</v>
      </c>
      <c r="M2" s="78"/>
      <c r="N2" s="78"/>
      <c r="O2" s="78"/>
      <c r="P2" s="86"/>
      <c r="Q2" s="92"/>
    </row>
    <row r="3" spans="1:17" s="55" customFormat="1" ht="12" customHeight="1" thickBot="1">
      <c r="A3" s="74" t="s">
        <v>7</v>
      </c>
      <c r="B3" s="58"/>
      <c r="C3" s="57" t="e">
        <f ca="1">VLOOKUP(E3,Assemblies!B:F,5,0)</f>
        <v>#VALUE!</v>
      </c>
      <c r="D3" s="75" t="s">
        <v>50</v>
      </c>
      <c r="E3" s="76" t="e">
        <f ca="1">MID(CELL("filename",A1),FIND("]",CELL("filename",A1))+1,256)</f>
        <v>#VALUE!</v>
      </c>
      <c r="F3" s="77" t="s">
        <v>11</v>
      </c>
      <c r="G3" s="58" t="str">
        <f>'GF12'!G3</f>
        <v>GH</v>
      </c>
      <c r="H3" s="77" t="s">
        <v>6</v>
      </c>
      <c r="I3" s="59">
        <f>'GF12'!I3</f>
        <v>44775</v>
      </c>
      <c r="J3" s="78"/>
      <c r="K3" s="78"/>
      <c r="L3" s="78"/>
      <c r="M3" s="78"/>
      <c r="N3" s="78"/>
      <c r="O3" s="78"/>
      <c r="P3" s="86"/>
      <c r="Q3" s="92"/>
    </row>
    <row r="4" spans="1:17" s="56" customFormat="1" ht="12.75" customHeight="1" thickBot="1">
      <c r="A4" s="80" t="s">
        <v>12</v>
      </c>
      <c r="B4" s="81" t="s">
        <v>13</v>
      </c>
      <c r="C4" s="81" t="s">
        <v>14</v>
      </c>
      <c r="D4" s="270" t="s">
        <v>15</v>
      </c>
      <c r="E4" s="271"/>
      <c r="F4" s="104" t="s">
        <v>16</v>
      </c>
      <c r="G4" s="81" t="s">
        <v>17</v>
      </c>
      <c r="H4" s="260" t="s">
        <v>18</v>
      </c>
      <c r="I4" s="261"/>
      <c r="J4" s="81" t="s">
        <v>51</v>
      </c>
      <c r="K4" s="81" t="s">
        <v>20</v>
      </c>
      <c r="L4" s="81" t="s">
        <v>21</v>
      </c>
      <c r="M4" s="81" t="s">
        <v>52</v>
      </c>
      <c r="N4" s="81" t="s">
        <v>22</v>
      </c>
      <c r="O4" s="81" t="s">
        <v>53</v>
      </c>
      <c r="P4" s="107" t="s">
        <v>26</v>
      </c>
      <c r="Q4" s="82" t="s">
        <v>27</v>
      </c>
    </row>
    <row r="5" spans="1:17" s="2" customFormat="1" ht="12.75" customHeight="1">
      <c r="A5" s="127">
        <v>1</v>
      </c>
      <c r="B5" s="21">
        <v>1</v>
      </c>
      <c r="C5" s="108" t="s">
        <v>1312</v>
      </c>
      <c r="D5" s="277" t="str">
        <f>VLOOKUP(C5,Machined!C:Q,2,0)</f>
        <v>Vertical Cylinder Block</v>
      </c>
      <c r="E5" s="278"/>
      <c r="F5" s="131" t="str">
        <f>VLOOKUP(C5,Machined!C:R,7,0)</f>
        <v>6061-T6 Alum</v>
      </c>
      <c r="G5" s="131" t="str">
        <f>VLOOKUP(C5,Machined!C:R,10,0)</f>
        <v>DETAILED MACH</v>
      </c>
      <c r="H5" s="131" t="str">
        <f>VLOOKUP(C5,Machined!C:R,11,0)</f>
        <v>shipped 9/29/23</v>
      </c>
      <c r="I5" s="131"/>
      <c r="J5" s="42">
        <f>VLOOKUP(C5,Machined!C:R,12,0)</f>
        <v>45156</v>
      </c>
      <c r="K5" s="42">
        <f>VLOOKUP(C5,Machined!C:R,13,0)</f>
        <v>45162</v>
      </c>
      <c r="L5" s="42">
        <f>VLOOKUP(C5,Machined!C:R,14,0)</f>
        <v>45190</v>
      </c>
      <c r="M5" s="42">
        <f>VLOOKUP(C5,Machined!C:R,15,0)</f>
        <v>45190</v>
      </c>
      <c r="N5" s="43">
        <f>VLOOKUP(C5,Machined!C:R,16,0)</f>
        <v>55101</v>
      </c>
      <c r="O5" s="43" t="e">
        <f t="shared" ref="O5:O8" ca="1" si="0">B5*$L$2</f>
        <v>#VALUE!</v>
      </c>
      <c r="P5" s="47">
        <f>IFERROR(VLOOKUP(C5,Machined!C:F,3,0),"")</f>
        <v>0</v>
      </c>
      <c r="Q5" s="48">
        <f t="shared" ref="Q5:Q8" si="1">IFERROR(B5*P5,"")</f>
        <v>0</v>
      </c>
    </row>
    <row r="6" spans="1:17" s="2" customFormat="1" ht="12.75" customHeight="1">
      <c r="A6" s="127">
        <f>A5+1</f>
        <v>2</v>
      </c>
      <c r="B6" s="21">
        <v>1</v>
      </c>
      <c r="C6" s="108" t="s">
        <v>1313</v>
      </c>
      <c r="D6" s="277" t="str">
        <f>VLOOKUP(C6,Machined!C:Q,2,0)</f>
        <v>Vacuum Plug-P2L Cap</v>
      </c>
      <c r="E6" s="278"/>
      <c r="F6" s="131" t="str">
        <f>VLOOKUP(C6,Machined!C:R,7,0)</f>
        <v>6061-T6 Alum</v>
      </c>
      <c r="G6" s="131" t="str">
        <f>VLOOKUP(C6,Machined!C:R,10,0)</f>
        <v>DETAILED MACH</v>
      </c>
      <c r="H6" s="131" t="str">
        <f>VLOOKUP(C6,Machined!C:R,11,0)</f>
        <v>shipped 9/25/23</v>
      </c>
      <c r="I6" s="131"/>
      <c r="J6" s="42">
        <f>VLOOKUP(C6,Machined!C:R,12,0)</f>
        <v>45156</v>
      </c>
      <c r="K6" s="42">
        <f>VLOOKUP(C6,Machined!C:R,13,0)</f>
        <v>45162</v>
      </c>
      <c r="L6" s="42">
        <f>VLOOKUP(C6,Machined!C:R,14,0)</f>
        <v>45190</v>
      </c>
      <c r="M6" s="42">
        <f>VLOOKUP(C6,Machined!C:R,15,0)</f>
        <v>45190</v>
      </c>
      <c r="N6" s="43">
        <f>VLOOKUP(C6,Machined!C:R,16,0)</f>
        <v>55101</v>
      </c>
      <c r="O6" s="43" t="e">
        <f t="shared" ca="1" si="0"/>
        <v>#VALUE!</v>
      </c>
      <c r="P6" s="47">
        <f>IFERROR(VLOOKUP(C6,Machined!C:F,3,0),"")</f>
        <v>0</v>
      </c>
      <c r="Q6" s="48">
        <f t="shared" si="1"/>
        <v>0</v>
      </c>
    </row>
    <row r="7" spans="1:17" s="2" customFormat="1" ht="12.75" customHeight="1">
      <c r="A7" s="127">
        <f t="shared" ref="A7:A8" si="2">A6+1</f>
        <v>3</v>
      </c>
      <c r="B7" s="21">
        <v>1</v>
      </c>
      <c r="C7" s="108" t="s">
        <v>1314</v>
      </c>
      <c r="D7" s="277" t="str">
        <f>VLOOKUP(C7,Machined!C:Q,2,0)</f>
        <v>Vacuum Plug-P2B Cap</v>
      </c>
      <c r="E7" s="278"/>
      <c r="F7" s="131" t="str">
        <f>VLOOKUP(C7,Machined!C:R,7,0)</f>
        <v>6061-T6 Alum</v>
      </c>
      <c r="G7" s="131" t="str">
        <f>VLOOKUP(C7,Machined!C:R,10,0)</f>
        <v>DETAILED MACH</v>
      </c>
      <c r="H7" s="131" t="str">
        <f>VLOOKUP(C7,Machined!C:R,11,0)</f>
        <v>shipped 9/25/23</v>
      </c>
      <c r="I7" s="131"/>
      <c r="J7" s="42">
        <f>VLOOKUP(C7,Machined!C:R,12,0)</f>
        <v>45156</v>
      </c>
      <c r="K7" s="42">
        <f>VLOOKUP(C7,Machined!C:R,13,0)</f>
        <v>45162</v>
      </c>
      <c r="L7" s="42">
        <f>VLOOKUP(C7,Machined!C:R,14,0)</f>
        <v>45190</v>
      </c>
      <c r="M7" s="42">
        <f>VLOOKUP(C7,Machined!C:R,15,0)</f>
        <v>45190</v>
      </c>
      <c r="N7" s="43">
        <f>VLOOKUP(C7,Machined!C:R,16,0)</f>
        <v>55101</v>
      </c>
      <c r="O7" s="43" t="e">
        <f t="shared" ca="1" si="0"/>
        <v>#VALUE!</v>
      </c>
      <c r="P7" s="47">
        <f>IFERROR(VLOOKUP(C7,Machined!C:F,3,0),"")</f>
        <v>0</v>
      </c>
      <c r="Q7" s="48">
        <f t="shared" si="1"/>
        <v>0</v>
      </c>
    </row>
    <row r="8" spans="1:17" s="2" customFormat="1" ht="12.75" customHeight="1">
      <c r="A8" s="127">
        <f t="shared" si="2"/>
        <v>4</v>
      </c>
      <c r="B8" s="21">
        <v>1</v>
      </c>
      <c r="C8" s="108" t="s">
        <v>1315</v>
      </c>
      <c r="D8" s="277" t="str">
        <f>VLOOKUP(C8,Machined!C:Q,2,0)</f>
        <v>Cylinder Stop</v>
      </c>
      <c r="E8" s="278"/>
      <c r="F8" s="131" t="str">
        <f>VLOOKUP(C8,Machined!C:R,7,0)</f>
        <v>1018 COLD ROLLED STEEL</v>
      </c>
      <c r="G8" s="131" t="str">
        <f>VLOOKUP(C8,Machined!C:R,10,0)</f>
        <v>DETAILED MACH</v>
      </c>
      <c r="H8" s="131" t="str">
        <f>VLOOKUP(C8,Machined!C:R,11,0)</f>
        <v>shipped 9/25/23</v>
      </c>
      <c r="I8" s="131"/>
      <c r="J8" s="42">
        <f>VLOOKUP(C8,Machined!C:R,12,0)</f>
        <v>45156</v>
      </c>
      <c r="K8" s="42">
        <f>VLOOKUP(C8,Machined!C:R,13,0)</f>
        <v>45162</v>
      </c>
      <c r="L8" s="42">
        <f>VLOOKUP(C8,Machined!C:R,14,0)</f>
        <v>45190</v>
      </c>
      <c r="M8" s="42">
        <f>VLOOKUP(C8,Machined!C:R,15,0)</f>
        <v>45190</v>
      </c>
      <c r="N8" s="43">
        <f>VLOOKUP(C8,Machined!C:R,16,0)</f>
        <v>55101</v>
      </c>
      <c r="O8" s="43" t="e">
        <f t="shared" ca="1" si="0"/>
        <v>#VALUE!</v>
      </c>
      <c r="P8" s="47">
        <f>IFERROR(VLOOKUP(C8,Machined!C:F,3,0),"")</f>
        <v>0</v>
      </c>
      <c r="Q8" s="48">
        <f t="shared" si="1"/>
        <v>0</v>
      </c>
    </row>
    <row r="9" spans="1:17" s="2" customFormat="1" ht="12.75" customHeight="1">
      <c r="A9" s="143"/>
      <c r="B9" s="26"/>
      <c r="C9" s="26"/>
      <c r="D9" s="272"/>
      <c r="E9" s="273"/>
      <c r="F9" s="26"/>
      <c r="G9" s="26"/>
      <c r="H9" s="274"/>
      <c r="I9" s="275"/>
      <c r="J9" s="27"/>
      <c r="K9" s="27"/>
      <c r="L9" s="27"/>
      <c r="M9" s="28"/>
      <c r="N9" s="29"/>
      <c r="O9" s="29"/>
      <c r="P9" s="141"/>
      <c r="Q9" s="142"/>
    </row>
    <row r="10" spans="1:17" s="2" customFormat="1" ht="12" customHeight="1">
      <c r="A10" s="4">
        <v>301</v>
      </c>
      <c r="B10" s="2">
        <v>2</v>
      </c>
      <c r="C10" s="114" t="s">
        <v>720</v>
      </c>
      <c r="D10" s="268" t="str">
        <f>VLOOKUP(C10,Purchased!A:B,2,0)</f>
        <v>SMC FITTING, MALE ELBOW</v>
      </c>
      <c r="E10" s="269"/>
      <c r="F10" s="112" t="str">
        <f>VLOOKUP(C10,Purchased!A:Q,9,0)</f>
        <v>SMC</v>
      </c>
      <c r="G10" s="112" t="str">
        <f>VLOOKUP(C10,Purchased!A:Q,10,0)</f>
        <v>AAP</v>
      </c>
      <c r="H10" s="112" t="str">
        <f>VLOOKUP(C10,Purchased!A:Q,12,0)</f>
        <v xml:space="preserve"> </v>
      </c>
      <c r="I10" s="113"/>
      <c r="J10" s="44" t="str">
        <f>VLOOKUP(C10,Purchased!A:Q,13,0)</f>
        <v>N/A</v>
      </c>
      <c r="K10" s="44">
        <f>VLOOKUP(C10,Purchased!A:Q,14,0)</f>
        <v>45162</v>
      </c>
      <c r="L10" s="44">
        <f>VLOOKUP(C10,Purchased!A:Q,15,0)</f>
        <v>45184</v>
      </c>
      <c r="M10" s="44">
        <f>VLOOKUP(C10,Purchased!A:Q,16,0)</f>
        <v>45180</v>
      </c>
      <c r="N10" s="45">
        <f>VLOOKUP(C10,Purchased!A:Q,17,0)</f>
        <v>55037</v>
      </c>
      <c r="O10" s="45" t="e">
        <f t="shared" ref="O10:O23" ca="1" si="3">B10*$L$2</f>
        <v>#VALUE!</v>
      </c>
      <c r="P10" s="49">
        <f>IFERROR(VLOOKUP(C10,Purchased!A:E,3,FALSE),"")</f>
        <v>2.1857000000000002</v>
      </c>
      <c r="Q10" s="50">
        <f t="shared" ref="Q10:Q18" si="4">IFERROR(B10*P10,"")</f>
        <v>4.3714000000000004</v>
      </c>
    </row>
    <row r="11" spans="1:17" s="2" customFormat="1" ht="12" customHeight="1">
      <c r="A11" s="4">
        <f>A10+1</f>
        <v>302</v>
      </c>
      <c r="B11" s="2">
        <v>1</v>
      </c>
      <c r="C11" s="114" t="s">
        <v>476</v>
      </c>
      <c r="D11" s="268" t="str">
        <f>VLOOKUP(C11,Purchased!A:B,2,0)</f>
        <v>SMC Inline Solid PNP Direct</v>
      </c>
      <c r="E11" s="269"/>
      <c r="F11" s="112" t="str">
        <f>VLOOKUP(C11,Purchased!A:Q,9,0)</f>
        <v>SMC</v>
      </c>
      <c r="G11" s="112" t="str">
        <f>VLOOKUP(C11,Purchased!A:Q,10,0)</f>
        <v>AAP</v>
      </c>
      <c r="H11" s="112" t="str">
        <f>VLOOKUP(C11,Purchased!A:Q,12,0)</f>
        <v xml:space="preserve"> </v>
      </c>
      <c r="I11" s="113"/>
      <c r="J11" s="44" t="str">
        <f>VLOOKUP(C11,Purchased!A:Q,13,0)</f>
        <v>N/A</v>
      </c>
      <c r="K11" s="44">
        <f>VLOOKUP(C11,Purchased!A:Q,14,0)</f>
        <v>45162</v>
      </c>
      <c r="L11" s="44">
        <f>VLOOKUP(C11,Purchased!A:Q,15,0)</f>
        <v>45184</v>
      </c>
      <c r="M11" s="44">
        <f>VLOOKUP(C11,Purchased!A:Q,16,0)</f>
        <v>45180</v>
      </c>
      <c r="N11" s="45">
        <f>VLOOKUP(C11,Purchased!A:Q,17,0)</f>
        <v>55037</v>
      </c>
      <c r="O11" s="45" t="e">
        <f ca="1">B11*$L$2</f>
        <v>#VALUE!</v>
      </c>
      <c r="P11" s="49">
        <f>IFERROR(VLOOKUP(C11,Purchased!A:E,3,FALSE),"")</f>
        <v>37.226700000000001</v>
      </c>
      <c r="Q11" s="50">
        <f>IFERROR(B11*P11,"")</f>
        <v>37.226700000000001</v>
      </c>
    </row>
    <row r="12" spans="1:17" s="2" customFormat="1" ht="12" customHeight="1">
      <c r="A12" s="4">
        <f t="shared" ref="A12:A18" si="5">A11+1</f>
        <v>303</v>
      </c>
      <c r="B12" s="2">
        <v>1</v>
      </c>
      <c r="C12" s="114" t="s">
        <v>1316</v>
      </c>
      <c r="D12" s="268" t="str">
        <f>VLOOKUP(C12,Purchased!A:B,2,0)</f>
        <v>SMC Air Cylinder</v>
      </c>
      <c r="E12" s="269"/>
      <c r="F12" s="112" t="str">
        <f>VLOOKUP(C12,Purchased!A:Q,9,0)</f>
        <v>SMC</v>
      </c>
      <c r="G12" s="112" t="str">
        <f>VLOOKUP(C12,Purchased!A:Q,10,0)</f>
        <v>AAP</v>
      </c>
      <c r="H12" s="112" t="str">
        <f>VLOOKUP(C12,Purchased!A:Q,12,0)</f>
        <v xml:space="preserve"> </v>
      </c>
      <c r="I12" s="113"/>
      <c r="J12" s="44" t="str">
        <f>VLOOKUP(C12,Purchased!A:Q,13,0)</f>
        <v>N/A</v>
      </c>
      <c r="K12" s="44">
        <f>VLOOKUP(C12,Purchased!A:Q,14,0)</f>
        <v>45042</v>
      </c>
      <c r="L12" s="44">
        <f>VLOOKUP(C12,Purchased!A:Q,15,0)</f>
        <v>45098</v>
      </c>
      <c r="M12" s="44">
        <f>VLOOKUP(C12,Purchased!A:Q,16,0)</f>
        <v>45135</v>
      </c>
      <c r="N12" s="45">
        <f>VLOOKUP(C12,Purchased!A:Q,17,0)</f>
        <v>54862</v>
      </c>
      <c r="O12" s="45" t="e">
        <f t="shared" ca="1" si="3"/>
        <v>#VALUE!</v>
      </c>
      <c r="P12" s="49">
        <f>IFERROR(VLOOKUP(C12,Purchased!A:E,3,FALSE),"")</f>
        <v>91.147800000000004</v>
      </c>
      <c r="Q12" s="50">
        <f t="shared" si="4"/>
        <v>91.147800000000004</v>
      </c>
    </row>
    <row r="13" spans="1:17" s="2" customFormat="1" ht="12" customHeight="1">
      <c r="A13" s="4">
        <f t="shared" si="5"/>
        <v>304</v>
      </c>
      <c r="B13" s="2">
        <v>1</v>
      </c>
      <c r="C13" s="114" t="s">
        <v>989</v>
      </c>
      <c r="D13" s="268" t="str">
        <f>VLOOKUP(C13,Purchased!A:B,2,0)</f>
        <v>SMC FITTING, MALE CONNECTOR</v>
      </c>
      <c r="E13" s="269"/>
      <c r="F13" s="112" t="str">
        <f>VLOOKUP(C13,Purchased!A:Q,9,0)</f>
        <v>SMC</v>
      </c>
      <c r="G13" s="112" t="str">
        <f>VLOOKUP(C13,Purchased!A:Q,10,0)</f>
        <v>AAP</v>
      </c>
      <c r="H13" s="112" t="str">
        <f>VLOOKUP(C13,Purchased!A:Q,12,0)</f>
        <v xml:space="preserve"> </v>
      </c>
      <c r="I13" s="113"/>
      <c r="J13" s="44" t="str">
        <f>VLOOKUP(C13,Purchased!A:Q,13,0)</f>
        <v>N/A</v>
      </c>
      <c r="K13" s="44">
        <f>VLOOKUP(C13,Purchased!A:Q,14,0)</f>
        <v>45162</v>
      </c>
      <c r="L13" s="44">
        <f>VLOOKUP(C13,Purchased!A:Q,15,0)</f>
        <v>45184</v>
      </c>
      <c r="M13" s="44">
        <f>VLOOKUP(C13,Purchased!A:Q,16,0)</f>
        <v>45197</v>
      </c>
      <c r="N13" s="45">
        <f>VLOOKUP(C13,Purchased!A:Q,17,0)</f>
        <v>55073</v>
      </c>
      <c r="O13" s="45" t="e">
        <f t="shared" ca="1" si="3"/>
        <v>#VALUE!</v>
      </c>
      <c r="P13" s="49">
        <f>IFERROR(VLOOKUP(C13,Purchased!A:E,3,FALSE),"")</f>
        <v>1.3418000000000001</v>
      </c>
      <c r="Q13" s="50">
        <f t="shared" si="4"/>
        <v>1.3418000000000001</v>
      </c>
    </row>
    <row r="14" spans="1:17" s="2" customFormat="1" ht="12" customHeight="1">
      <c r="A14" s="4">
        <f t="shared" si="5"/>
        <v>305</v>
      </c>
      <c r="B14" s="2">
        <v>1</v>
      </c>
      <c r="C14" s="114" t="s">
        <v>723</v>
      </c>
      <c r="D14" s="268" t="str">
        <f>VLOOKUP(C14,Purchased!A:B,2,0)</f>
        <v>SMC SWITCH MOUNTING BAND</v>
      </c>
      <c r="E14" s="269"/>
      <c r="F14" s="112" t="str">
        <f>VLOOKUP(C14,Purchased!A:Q,9,0)</f>
        <v>SMC</v>
      </c>
      <c r="G14" s="112" t="str">
        <f>VLOOKUP(C14,Purchased!A:Q,10,0)</f>
        <v>AAP, OC PNEUMATICS</v>
      </c>
      <c r="H14" s="112" t="str">
        <f>VLOOKUP(C14,Purchased!A:Q,12,0)</f>
        <v xml:space="preserve"> </v>
      </c>
      <c r="I14" s="113"/>
      <c r="J14" s="44" t="str">
        <f>VLOOKUP(C14,Purchased!A:Q,13,0)</f>
        <v>N/A</v>
      </c>
      <c r="K14" s="44">
        <f>VLOOKUP(C14,Purchased!A:Q,14,0)</f>
        <v>45162</v>
      </c>
      <c r="L14" s="44">
        <f>VLOOKUP(C14,Purchased!A:Q,15,0)</f>
        <v>45184</v>
      </c>
      <c r="M14" s="44">
        <f>VLOOKUP(C14,Purchased!A:Q,16,0)</f>
        <v>45197</v>
      </c>
      <c r="N14" s="45" t="str">
        <f>VLOOKUP(C14,Purchased!A:Q,17,0)</f>
        <v>2x55073, 2x55223</v>
      </c>
      <c r="O14" s="45" t="e">
        <f t="shared" ca="1" si="3"/>
        <v>#VALUE!</v>
      </c>
      <c r="P14" s="49">
        <f>IFERROR(VLOOKUP(C14,Purchased!A:E,3,FALSE),"")</f>
        <v>4.5511999999999997</v>
      </c>
      <c r="Q14" s="50">
        <f t="shared" si="4"/>
        <v>4.5511999999999997</v>
      </c>
    </row>
    <row r="15" spans="1:17" s="2" customFormat="1" ht="12" customHeight="1">
      <c r="A15" s="4">
        <f t="shared" si="5"/>
        <v>306</v>
      </c>
      <c r="B15" s="2">
        <v>1</v>
      </c>
      <c r="C15" s="114" t="s">
        <v>477</v>
      </c>
      <c r="D15" s="268" t="str">
        <f>VLOOKUP(C15,Purchased!A:B,2,0)</f>
        <v>MURR M8 Female, 0deg A-Coded, 3-Pin, w/ Cable</v>
      </c>
      <c r="E15" s="269"/>
      <c r="F15" s="112" t="str">
        <f>VLOOKUP(C15,Purchased!A:Q,9,0)</f>
        <v>MURR</v>
      </c>
      <c r="G15" s="112" t="str">
        <f>VLOOKUP(C15,Purchased!A:Q,10,0)</f>
        <v>MURR</v>
      </c>
      <c r="H15" s="112" t="str">
        <f>VLOOKUP(C15,Purchased!A:Q,12,0)</f>
        <v xml:space="preserve">  </v>
      </c>
      <c r="I15" s="113"/>
      <c r="J15" s="44">
        <f>VLOOKUP(C15,Purchased!A:Q,13,0)</f>
        <v>45161</v>
      </c>
      <c r="K15" s="44">
        <f>VLOOKUP(C15,Purchased!A:Q,14,0)</f>
        <v>45162</v>
      </c>
      <c r="L15" s="44">
        <f>VLOOKUP(C15,Purchased!A:Q,15,0)</f>
        <v>45184</v>
      </c>
      <c r="M15" s="44">
        <f>VLOOKUP(C15,Purchased!A:Q,16,0)</f>
        <v>45184</v>
      </c>
      <c r="N15" s="45">
        <f>VLOOKUP(C15,Purchased!A:Q,17,0)</f>
        <v>55080</v>
      </c>
      <c r="O15" s="45" t="e">
        <f t="shared" ca="1" si="3"/>
        <v>#VALUE!</v>
      </c>
      <c r="P15" s="49">
        <f>IFERROR(VLOOKUP(C15,Purchased!A:E,3,FALSE),"")</f>
        <v>21.52</v>
      </c>
      <c r="Q15" s="50">
        <f t="shared" si="4"/>
        <v>21.52</v>
      </c>
    </row>
    <row r="16" spans="1:17" s="2" customFormat="1" ht="12" customHeight="1">
      <c r="A16" s="4">
        <f t="shared" si="5"/>
        <v>307</v>
      </c>
      <c r="B16" s="2">
        <v>2</v>
      </c>
      <c r="C16" s="114" t="s">
        <v>1317</v>
      </c>
      <c r="D16" s="268" t="str">
        <f>VLOOKUP(C16,Purchased!A:B,2,0)</f>
        <v>Alloy Steel Flat-Tip Set Screws M8 x 1.25 mm Thread, 6 mm Long</v>
      </c>
      <c r="E16" s="269"/>
      <c r="F16" s="112" t="str">
        <f>VLOOKUP(C16,Purchased!A:Q,9,0)</f>
        <v>MCM</v>
      </c>
      <c r="G16" s="112" t="str">
        <f>VLOOKUP(C16,Purchased!A:Q,10,0)</f>
        <v>MCM</v>
      </c>
      <c r="H16" s="112" t="str">
        <f>VLOOKUP(C16,Purchased!A:Q,12,0)</f>
        <v xml:space="preserve"> </v>
      </c>
      <c r="I16" s="113"/>
      <c r="J16" s="44" t="str">
        <f>VLOOKUP(C16,Purchased!A:Q,13,0)</f>
        <v>N/A</v>
      </c>
      <c r="K16" s="44">
        <f>VLOOKUP(C16,Purchased!A:Q,14,0)</f>
        <v>45162</v>
      </c>
      <c r="L16" s="44">
        <f>VLOOKUP(C16,Purchased!A:Q,15,0)</f>
        <v>45184</v>
      </c>
      <c r="M16" s="44">
        <f>VLOOKUP(C16,Purchased!A:Q,16,0)</f>
        <v>45163</v>
      </c>
      <c r="N16" s="45">
        <f>VLOOKUP(C16,Purchased!A:Q,17,0)</f>
        <v>55089</v>
      </c>
      <c r="O16" s="45" t="e">
        <f t="shared" ca="1" si="3"/>
        <v>#VALUE!</v>
      </c>
      <c r="P16" s="49">
        <f>IFERROR(VLOOKUP(C16,Purchased!A:E,3,FALSE),"")</f>
        <v>11.9</v>
      </c>
      <c r="Q16" s="50">
        <f t="shared" si="4"/>
        <v>23.8</v>
      </c>
    </row>
    <row r="17" spans="1:17" s="2" customFormat="1" ht="12" customHeight="1">
      <c r="A17" s="4">
        <f t="shared" si="5"/>
        <v>308</v>
      </c>
      <c r="B17" s="2">
        <v>2</v>
      </c>
      <c r="C17" s="109" t="s">
        <v>1318</v>
      </c>
      <c r="D17" s="268" t="str">
        <f>VLOOKUP(C17,Purchased!A:B,2,0)</f>
        <v>High-Temperature Silicone O-Ring 2.5 mm Wide, 30 mm ID</v>
      </c>
      <c r="E17" s="269"/>
      <c r="F17" s="112" t="str">
        <f>VLOOKUP(C17,Purchased!A:Q,9,0)</f>
        <v>MCM</v>
      </c>
      <c r="G17" s="112" t="str">
        <f>VLOOKUP(C17,Purchased!A:Q,10,0)</f>
        <v>MCM</v>
      </c>
      <c r="H17" s="112" t="str">
        <f>VLOOKUP(C17,Purchased!A:Q,12,0)</f>
        <v xml:space="preserve"> </v>
      </c>
      <c r="I17" s="113"/>
      <c r="J17" s="44" t="str">
        <f>VLOOKUP(C17,Purchased!A:Q,13,0)</f>
        <v>N/A</v>
      </c>
      <c r="K17" s="44">
        <f>VLOOKUP(C17,Purchased!A:Q,14,0)</f>
        <v>45162</v>
      </c>
      <c r="L17" s="44">
        <f>VLOOKUP(C17,Purchased!A:Q,15,0)</f>
        <v>45184</v>
      </c>
      <c r="M17" s="44">
        <f>VLOOKUP(C17,Purchased!A:Q,16,0)</f>
        <v>45166</v>
      </c>
      <c r="N17" s="45">
        <f>VLOOKUP(C17,Purchased!A:Q,17,0)</f>
        <v>55087</v>
      </c>
      <c r="O17" s="45" t="e">
        <f t="shared" ca="1" si="3"/>
        <v>#VALUE!</v>
      </c>
      <c r="P17" s="49">
        <f>IFERROR(VLOOKUP(C17,Purchased!A:E,3,FALSE),"")</f>
        <v>7.59</v>
      </c>
      <c r="Q17" s="50">
        <f t="shared" si="4"/>
        <v>15.18</v>
      </c>
    </row>
    <row r="18" spans="1:17" s="2" customFormat="1" ht="12" customHeight="1">
      <c r="A18" s="4">
        <f t="shared" si="5"/>
        <v>309</v>
      </c>
      <c r="B18" s="2">
        <v>2</v>
      </c>
      <c r="C18" s="109" t="s">
        <v>1319</v>
      </c>
      <c r="D18" s="268" t="str">
        <f>VLOOKUP(C18,Purchased!A:B,2,0)</f>
        <v>SMC FLOATING BRACKET</v>
      </c>
      <c r="E18" s="269"/>
      <c r="F18" s="112" t="str">
        <f>VLOOKUP(C18,Purchased!A:Q,9,0)</f>
        <v>SMC</v>
      </c>
      <c r="G18" s="112" t="str">
        <f>VLOOKUP(C18,Purchased!A:Q,10,0)</f>
        <v>AAP</v>
      </c>
      <c r="H18" s="112" t="str">
        <f>VLOOKUP(C18,Purchased!A:Q,12,0)</f>
        <v xml:space="preserve"> </v>
      </c>
      <c r="I18" s="113"/>
      <c r="J18" s="44" t="str">
        <f>VLOOKUP(C18,Purchased!A:Q,13,0)</f>
        <v>N/A</v>
      </c>
      <c r="K18" s="44">
        <f>VLOOKUP(C18,Purchased!A:Q,14,0)</f>
        <v>45162</v>
      </c>
      <c r="L18" s="44">
        <f>VLOOKUP(C18,Purchased!A:Q,15,0)</f>
        <v>45184</v>
      </c>
      <c r="M18" s="44">
        <f>VLOOKUP(C18,Purchased!A:Q,16,0)</f>
        <v>45180</v>
      </c>
      <c r="N18" s="45">
        <f>VLOOKUP(C18,Purchased!A:Q,17,0)</f>
        <v>55037</v>
      </c>
      <c r="O18" s="45" t="e">
        <f t="shared" ca="1" si="3"/>
        <v>#VALUE!</v>
      </c>
      <c r="P18" s="49">
        <f>IFERROR(VLOOKUP(C18,Purchased!A:E,3,FALSE),"")</f>
        <v>31.954999999999998</v>
      </c>
      <c r="Q18" s="50">
        <f t="shared" si="4"/>
        <v>63.91</v>
      </c>
    </row>
    <row r="19" spans="1:17" s="2" customFormat="1" ht="12.75" customHeight="1">
      <c r="A19" s="25"/>
      <c r="B19" s="26"/>
      <c r="C19" s="26"/>
      <c r="D19" s="272"/>
      <c r="E19" s="273"/>
      <c r="F19" s="26"/>
      <c r="G19" s="26"/>
      <c r="H19" s="274"/>
      <c r="I19" s="275"/>
      <c r="J19" s="27"/>
      <c r="K19" s="27"/>
      <c r="L19" s="27"/>
      <c r="M19" s="28"/>
      <c r="N19" s="29"/>
      <c r="O19" s="29" t="e">
        <f t="shared" ca="1" si="3"/>
        <v>#VALUE!</v>
      </c>
      <c r="P19" s="141"/>
      <c r="Q19" s="142"/>
    </row>
    <row r="20" spans="1:17" s="2" customFormat="1" ht="12.75" customHeight="1">
      <c r="A20" s="4">
        <v>501</v>
      </c>
      <c r="B20" s="2">
        <v>4</v>
      </c>
      <c r="C20" s="110" t="s">
        <v>493</v>
      </c>
      <c r="D20" s="268"/>
      <c r="E20" s="276"/>
      <c r="F20" s="112" t="str">
        <f>VLOOKUP(C20,Bolts!A:L,5,0)</f>
        <v xml:space="preserve">  </v>
      </c>
      <c r="G20" s="112" t="str">
        <f>VLOOKUP(C20,Bolts!A:L,6,0)</f>
        <v>Monroe Fasteners</v>
      </c>
      <c r="H20" s="112" t="str">
        <f>VLOOKUP(C20,Bolts!A:L,7,0)</f>
        <v xml:space="preserve">  </v>
      </c>
      <c r="I20" s="112"/>
      <c r="J20" s="44" t="str">
        <f>VLOOKUP(C20,Bolts!A:L,8,0)</f>
        <v xml:space="preserve"> </v>
      </c>
      <c r="K20" s="44" t="str">
        <f>VLOOKUP(C20,Bolts!A:L,9,0)</f>
        <v xml:space="preserve"> </v>
      </c>
      <c r="L20" s="44" t="str">
        <f>VLOOKUP(C20,Bolts!A:L,10,0)</f>
        <v xml:space="preserve"> </v>
      </c>
      <c r="M20" s="44" t="str">
        <f>VLOOKUP(C20,Bolts!A:L,11,0)</f>
        <v xml:space="preserve"> </v>
      </c>
      <c r="N20" s="45" t="str">
        <f>VLOOKUP(C20,Bolts!A:L,12,0)</f>
        <v xml:space="preserve"> </v>
      </c>
      <c r="O20" s="45" t="e">
        <f t="shared" ca="1" si="3"/>
        <v>#VALUE!</v>
      </c>
      <c r="P20" s="49" t="str">
        <f>IFERROR(VLOOKUP(C20,Bolts!A:B,2,FALSE),"")</f>
        <v xml:space="preserve"> </v>
      </c>
      <c r="Q20" s="50" t="str">
        <f t="shared" ref="Q20:Q23" si="6">IFERROR(B20*P20,"")</f>
        <v/>
      </c>
    </row>
    <row r="21" spans="1:17" s="2" customFormat="1" ht="12" customHeight="1">
      <c r="A21" s="4">
        <f>A20+1</f>
        <v>502</v>
      </c>
      <c r="B21" s="2">
        <v>4</v>
      </c>
      <c r="C21" s="110" t="s">
        <v>699</v>
      </c>
      <c r="D21" s="268"/>
      <c r="E21" s="276"/>
      <c r="F21" s="112" t="str">
        <f>VLOOKUP(C21,Bolts!A:L,5,0)</f>
        <v xml:space="preserve">  </v>
      </c>
      <c r="G21" s="112" t="str">
        <f>VLOOKUP(C21,Bolts!A:L,6,0)</f>
        <v>Monroe Fasteners</v>
      </c>
      <c r="H21" s="112" t="str">
        <f>VLOOKUP(C21,Bolts!A:L,7,0)</f>
        <v xml:space="preserve">  </v>
      </c>
      <c r="I21" s="112"/>
      <c r="J21" s="44" t="str">
        <f>VLOOKUP(C21,Bolts!A:L,8,0)</f>
        <v xml:space="preserve"> </v>
      </c>
      <c r="K21" s="44" t="str">
        <f>VLOOKUP(C21,Bolts!A:L,9,0)</f>
        <v xml:space="preserve"> </v>
      </c>
      <c r="L21" s="44" t="str">
        <f>VLOOKUP(C21,Bolts!A:L,10,0)</f>
        <v xml:space="preserve"> </v>
      </c>
      <c r="M21" s="44" t="str">
        <f>VLOOKUP(C21,Bolts!A:L,11,0)</f>
        <v xml:space="preserve"> </v>
      </c>
      <c r="N21" s="45" t="str">
        <f>VLOOKUP(C21,Bolts!A:L,12,0)</f>
        <v xml:space="preserve"> </v>
      </c>
      <c r="O21" s="45" t="e">
        <f t="shared" ca="1" si="3"/>
        <v>#VALUE!</v>
      </c>
      <c r="P21" s="49" t="str">
        <f>IFERROR(VLOOKUP(C21,Bolts!A:B,2,FALSE),"")</f>
        <v xml:space="preserve"> </v>
      </c>
      <c r="Q21" s="50" t="str">
        <f t="shared" si="6"/>
        <v/>
      </c>
    </row>
    <row r="22" spans="1:17" s="2" customFormat="1" ht="12" customHeight="1">
      <c r="A22" s="4">
        <f t="shared" ref="A22:A23" si="7">A21+1</f>
        <v>503</v>
      </c>
      <c r="B22" s="2">
        <v>4</v>
      </c>
      <c r="C22" s="110" t="s">
        <v>595</v>
      </c>
      <c r="D22" s="268"/>
      <c r="E22" s="276"/>
      <c r="F22" s="112" t="str">
        <f>VLOOKUP(C22,Bolts!A:L,5,0)</f>
        <v xml:space="preserve">  </v>
      </c>
      <c r="G22" s="112" t="str">
        <f>VLOOKUP(C22,Bolts!A:L,6,0)</f>
        <v>Monroe Fasteners</v>
      </c>
      <c r="H22" s="112" t="str">
        <f>VLOOKUP(C22,Bolts!A:L,7,0)</f>
        <v xml:space="preserve">  </v>
      </c>
      <c r="I22" s="112"/>
      <c r="J22" s="44" t="str">
        <f>VLOOKUP(C22,Bolts!A:L,8,0)</f>
        <v xml:space="preserve"> </v>
      </c>
      <c r="K22" s="44" t="str">
        <f>VLOOKUP(C22,Bolts!A:L,9,0)</f>
        <v xml:space="preserve"> </v>
      </c>
      <c r="L22" s="44" t="str">
        <f>VLOOKUP(C22,Bolts!A:L,10,0)</f>
        <v xml:space="preserve"> </v>
      </c>
      <c r="M22" s="44" t="str">
        <f>VLOOKUP(C22,Bolts!A:L,11,0)</f>
        <v xml:space="preserve"> </v>
      </c>
      <c r="N22" s="45" t="str">
        <f>VLOOKUP(C22,Bolts!A:L,12,0)</f>
        <v xml:space="preserve"> </v>
      </c>
      <c r="O22" s="45" t="e">
        <f t="shared" ca="1" si="3"/>
        <v>#VALUE!</v>
      </c>
      <c r="P22" s="49" t="str">
        <f>IFERROR(VLOOKUP(C22,Bolts!A:B,2,FALSE),"")</f>
        <v xml:space="preserve"> </v>
      </c>
      <c r="Q22" s="50" t="str">
        <f t="shared" si="6"/>
        <v/>
      </c>
    </row>
    <row r="23" spans="1:17" s="2" customFormat="1" ht="12" customHeight="1" thickBot="1">
      <c r="A23" s="4">
        <f t="shared" si="7"/>
        <v>504</v>
      </c>
      <c r="B23" s="2">
        <v>4</v>
      </c>
      <c r="C23" s="110" t="s">
        <v>481</v>
      </c>
      <c r="D23" s="164"/>
      <c r="E23" s="165"/>
      <c r="F23" s="112" t="str">
        <f>VLOOKUP(C23,Bolts!A:L,5,0)</f>
        <v xml:space="preserve">  </v>
      </c>
      <c r="G23" s="112" t="str">
        <f>VLOOKUP(C23,Bolts!A:L,6,0)</f>
        <v>Monroe Fasteners</v>
      </c>
      <c r="H23" s="112" t="str">
        <f>VLOOKUP(C23,Bolts!A:L,7,0)</f>
        <v xml:space="preserve">  </v>
      </c>
      <c r="I23" s="112"/>
      <c r="J23" s="44" t="str">
        <f>VLOOKUP(C23,Bolts!A:L,8,0)</f>
        <v xml:space="preserve"> </v>
      </c>
      <c r="K23" s="44" t="str">
        <f>VLOOKUP(C23,Bolts!A:L,9,0)</f>
        <v xml:space="preserve"> </v>
      </c>
      <c r="L23" s="44" t="str">
        <f>VLOOKUP(C23,Bolts!A:L,10,0)</f>
        <v xml:space="preserve"> </v>
      </c>
      <c r="M23" s="44" t="str">
        <f>VLOOKUP(C23,Bolts!A:L,11,0)</f>
        <v xml:space="preserve"> </v>
      </c>
      <c r="N23" s="45" t="str">
        <f>VLOOKUP(C23,Bolts!A:L,12,0)</f>
        <v xml:space="preserve"> </v>
      </c>
      <c r="O23" s="45" t="e">
        <f t="shared" ca="1" si="3"/>
        <v>#VALUE!</v>
      </c>
      <c r="P23" s="49" t="str">
        <f>IFERROR(VLOOKUP(C23,Bolts!A:B,2,FALSE),"")</f>
        <v xml:space="preserve"> </v>
      </c>
      <c r="Q23" s="50" t="str">
        <f t="shared" si="6"/>
        <v/>
      </c>
    </row>
    <row r="24" spans="1:17" s="2" customFormat="1" ht="12.75" customHeight="1" thickBot="1">
      <c r="A24" s="34"/>
      <c r="B24" s="35"/>
      <c r="C24" s="35"/>
      <c r="D24" s="256"/>
      <c r="E24" s="257"/>
      <c r="F24" s="35"/>
      <c r="G24" s="35"/>
      <c r="H24" s="294"/>
      <c r="I24" s="295"/>
      <c r="J24" s="36"/>
      <c r="K24" s="36"/>
      <c r="L24" s="36"/>
      <c r="M24" s="37"/>
      <c r="N24" s="38"/>
      <c r="O24" s="38"/>
      <c r="P24" s="89" t="s">
        <v>43</v>
      </c>
      <c r="Q24" s="94">
        <f>SUM(Q5:Q22)</f>
        <v>263.0489</v>
      </c>
    </row>
    <row r="25" spans="1:17" s="2" customFormat="1" ht="12" customHeight="1">
      <c r="D25" s="22"/>
      <c r="E25" s="22"/>
      <c r="J25" s="8"/>
      <c r="K25" s="8"/>
      <c r="L25" s="8"/>
      <c r="M25" s="8"/>
      <c r="N25" s="5"/>
      <c r="O25" s="5"/>
      <c r="P25" s="88"/>
      <c r="Q25" s="95"/>
    </row>
    <row r="26" spans="1:17" s="2" customFormat="1" ht="12" customHeight="1">
      <c r="D26" s="22"/>
      <c r="E26" s="22"/>
      <c r="J26" s="5"/>
      <c r="K26" s="5"/>
      <c r="L26" s="5"/>
      <c r="M26" s="5"/>
      <c r="N26" s="5"/>
      <c r="O26" s="5"/>
      <c r="P26" s="88"/>
      <c r="Q26" s="95"/>
    </row>
    <row r="27" spans="1:17" s="2" customFormat="1" ht="12" customHeight="1">
      <c r="D27" s="22"/>
      <c r="E27" s="22"/>
      <c r="J27" s="5"/>
      <c r="K27" s="5"/>
      <c r="L27" s="5"/>
      <c r="M27" s="5"/>
      <c r="N27" s="5"/>
      <c r="O27" s="5"/>
      <c r="P27" s="88"/>
      <c r="Q27" s="95"/>
    </row>
    <row r="28" spans="1:17" s="2" customFormat="1" ht="12" customHeight="1">
      <c r="D28" s="22"/>
      <c r="E28" s="22"/>
      <c r="J28" s="5"/>
      <c r="K28" s="5"/>
      <c r="L28" s="5"/>
      <c r="M28" s="5"/>
      <c r="N28" s="5"/>
      <c r="O28" s="5"/>
      <c r="P28" s="88"/>
      <c r="Q28" s="95"/>
    </row>
    <row r="29" spans="1:17" s="2" customFormat="1" ht="12" customHeight="1">
      <c r="D29" s="22"/>
      <c r="E29" s="22"/>
      <c r="J29" s="5"/>
      <c r="K29" s="5"/>
      <c r="L29" s="5"/>
      <c r="M29" s="5"/>
      <c r="N29" s="5"/>
      <c r="O29" s="5"/>
      <c r="P29" s="88"/>
      <c r="Q29" s="95"/>
    </row>
    <row r="30" spans="1:17" s="2" customFormat="1" ht="12" customHeight="1">
      <c r="D30" s="22"/>
      <c r="E30" s="22"/>
      <c r="J30" s="5"/>
      <c r="K30" s="5"/>
      <c r="L30" s="5"/>
      <c r="M30" s="5"/>
      <c r="N30" s="5"/>
      <c r="O30" s="5"/>
      <c r="P30" s="88"/>
      <c r="Q30" s="95"/>
    </row>
    <row r="31" spans="1:17" s="2" customFormat="1" ht="12" customHeight="1">
      <c r="D31" s="22"/>
      <c r="E31" s="22"/>
      <c r="J31" s="5"/>
      <c r="K31" s="5"/>
      <c r="L31" s="5"/>
      <c r="M31" s="5"/>
      <c r="N31" s="5"/>
      <c r="O31" s="5"/>
      <c r="P31" s="88"/>
      <c r="Q31" s="95"/>
    </row>
    <row r="32" spans="1:17" s="2" customFormat="1" ht="12" customHeight="1">
      <c r="D32" s="22"/>
      <c r="E32" s="22"/>
      <c r="J32" s="5"/>
      <c r="K32" s="5"/>
      <c r="L32" s="5"/>
      <c r="M32" s="5"/>
      <c r="N32" s="5"/>
      <c r="O32" s="5"/>
      <c r="P32" s="88"/>
      <c r="Q32" s="95"/>
    </row>
    <row r="33" spans="4:17" s="2" customFormat="1" ht="12" customHeight="1">
      <c r="D33" s="22"/>
      <c r="E33" s="22"/>
      <c r="J33" s="5"/>
      <c r="K33" s="5"/>
      <c r="L33" s="5"/>
      <c r="M33" s="5"/>
      <c r="N33" s="5"/>
      <c r="O33" s="5"/>
      <c r="P33" s="88"/>
      <c r="Q33" s="95"/>
    </row>
    <row r="34" spans="4:17" s="2" customFormat="1" ht="12" customHeight="1">
      <c r="D34" s="22"/>
      <c r="E34" s="22"/>
      <c r="J34" s="5"/>
      <c r="K34" s="5"/>
      <c r="L34" s="5"/>
      <c r="M34" s="5"/>
      <c r="N34" s="5"/>
      <c r="O34" s="5"/>
      <c r="P34" s="88"/>
      <c r="Q34" s="95"/>
    </row>
    <row r="35" spans="4:17" s="2" customFormat="1" ht="12" customHeight="1">
      <c r="D35" s="22"/>
      <c r="E35" s="22"/>
      <c r="J35" s="5"/>
      <c r="K35" s="5"/>
      <c r="L35" s="5"/>
      <c r="M35" s="5"/>
      <c r="N35" s="5"/>
      <c r="O35" s="5"/>
      <c r="P35" s="88"/>
      <c r="Q35" s="95"/>
    </row>
    <row r="36" spans="4:17" s="2" customFormat="1" ht="12" customHeight="1">
      <c r="D36" s="22"/>
      <c r="E36" s="22"/>
      <c r="J36" s="5"/>
      <c r="K36" s="5"/>
      <c r="L36" s="5"/>
      <c r="M36" s="5"/>
      <c r="N36" s="5"/>
      <c r="O36" s="5"/>
      <c r="P36" s="88"/>
      <c r="Q36" s="95"/>
    </row>
    <row r="37" spans="4:17" s="2" customFormat="1" ht="12" customHeight="1">
      <c r="D37" s="22"/>
      <c r="E37" s="22"/>
      <c r="J37" s="5"/>
      <c r="K37" s="5"/>
      <c r="L37" s="5"/>
      <c r="M37" s="5"/>
      <c r="N37" s="5"/>
      <c r="O37" s="5"/>
      <c r="P37" s="88"/>
      <c r="Q37" s="95"/>
    </row>
    <row r="38" spans="4:17" s="2" customFormat="1" ht="12" customHeight="1">
      <c r="D38" s="22"/>
      <c r="E38" s="22"/>
      <c r="J38" s="5"/>
      <c r="K38" s="5"/>
      <c r="L38" s="5"/>
      <c r="M38" s="5"/>
      <c r="N38" s="5"/>
      <c r="O38" s="5"/>
      <c r="P38" s="88"/>
      <c r="Q38" s="95"/>
    </row>
    <row r="39" spans="4:17" s="2" customFormat="1" ht="12" customHeight="1">
      <c r="D39" s="22"/>
      <c r="E39" s="22"/>
      <c r="J39" s="5"/>
      <c r="K39" s="5"/>
      <c r="L39" s="5"/>
      <c r="M39" s="5"/>
      <c r="N39" s="5"/>
      <c r="O39" s="5"/>
      <c r="P39" s="88"/>
      <c r="Q39" s="95"/>
    </row>
    <row r="40" spans="4:17" s="2" customFormat="1" ht="12" customHeight="1">
      <c r="D40" s="22"/>
      <c r="E40" s="22"/>
      <c r="J40" s="5"/>
      <c r="K40" s="5"/>
      <c r="L40" s="5"/>
      <c r="M40" s="5"/>
      <c r="N40" s="5"/>
      <c r="O40" s="5"/>
      <c r="P40" s="88"/>
      <c r="Q40" s="95"/>
    </row>
    <row r="41" spans="4:17" s="2" customFormat="1" ht="12" customHeight="1">
      <c r="D41" s="22"/>
      <c r="E41" s="22"/>
      <c r="J41" s="5"/>
      <c r="K41" s="5"/>
      <c r="L41" s="5"/>
      <c r="M41" s="5"/>
      <c r="N41" s="5"/>
      <c r="O41" s="5"/>
      <c r="P41" s="88"/>
      <c r="Q41" s="95"/>
    </row>
    <row r="42" spans="4:17" s="2" customFormat="1" ht="12" customHeight="1">
      <c r="D42" s="22"/>
      <c r="E42" s="22"/>
      <c r="J42" s="5"/>
      <c r="K42" s="5"/>
      <c r="L42" s="5"/>
      <c r="M42" s="5"/>
      <c r="N42" s="5"/>
      <c r="O42" s="5"/>
      <c r="P42" s="88"/>
      <c r="Q42" s="95"/>
    </row>
    <row r="43" spans="4:17" s="2" customFormat="1" ht="12" customHeight="1">
      <c r="D43" s="22"/>
      <c r="E43" s="22"/>
      <c r="J43" s="5"/>
      <c r="K43" s="5"/>
      <c r="L43" s="5"/>
      <c r="M43" s="5"/>
      <c r="N43" s="5"/>
      <c r="O43" s="5"/>
      <c r="P43" s="88"/>
      <c r="Q43" s="95"/>
    </row>
    <row r="44" spans="4:17" s="2" customFormat="1" ht="12" customHeight="1">
      <c r="D44" s="22"/>
      <c r="E44" s="22"/>
      <c r="J44" s="5"/>
      <c r="K44" s="5"/>
      <c r="L44" s="5"/>
      <c r="M44" s="5"/>
      <c r="N44" s="5"/>
      <c r="O44" s="5"/>
      <c r="P44" s="88"/>
      <c r="Q44" s="95"/>
    </row>
    <row r="45" spans="4:17" s="2" customFormat="1" ht="12" customHeight="1">
      <c r="D45" s="22"/>
      <c r="E45" s="22"/>
      <c r="J45" s="5"/>
      <c r="K45" s="5"/>
      <c r="L45" s="5"/>
      <c r="M45" s="5"/>
      <c r="N45" s="5"/>
      <c r="O45" s="5"/>
      <c r="P45" s="88"/>
      <c r="Q45" s="95"/>
    </row>
    <row r="46" spans="4:17" s="2" customFormat="1" ht="12" customHeight="1">
      <c r="D46" s="22"/>
      <c r="E46" s="22"/>
      <c r="J46" s="5"/>
      <c r="K46" s="5"/>
      <c r="L46" s="5"/>
      <c r="M46" s="5"/>
      <c r="N46" s="5"/>
      <c r="O46" s="5"/>
      <c r="P46" s="88"/>
      <c r="Q46" s="95"/>
    </row>
    <row r="47" spans="4:17" s="2" customFormat="1" ht="12" customHeight="1">
      <c r="D47" s="22"/>
      <c r="E47" s="22"/>
      <c r="J47" s="5"/>
      <c r="K47" s="5"/>
      <c r="L47" s="5"/>
      <c r="M47" s="5"/>
      <c r="N47" s="5"/>
      <c r="O47" s="5"/>
      <c r="P47" s="88"/>
      <c r="Q47" s="95"/>
    </row>
    <row r="48" spans="4:17" s="2" customFormat="1" ht="12" customHeight="1">
      <c r="D48" s="22"/>
      <c r="E48" s="22"/>
      <c r="J48" s="5"/>
      <c r="K48" s="5"/>
      <c r="L48" s="5"/>
      <c r="M48" s="5"/>
      <c r="N48" s="5"/>
      <c r="O48" s="5"/>
      <c r="P48" s="88"/>
      <c r="Q48" s="95"/>
    </row>
    <row r="49" spans="4:17" s="2" customFormat="1" ht="12" customHeight="1">
      <c r="D49" s="22"/>
      <c r="E49" s="22"/>
      <c r="J49" s="5"/>
      <c r="K49" s="5"/>
      <c r="L49" s="5"/>
      <c r="M49" s="5"/>
      <c r="N49" s="5"/>
      <c r="O49" s="5"/>
      <c r="P49" s="88"/>
      <c r="Q49" s="95"/>
    </row>
    <row r="50" spans="4:17" s="2" customFormat="1" ht="12" customHeight="1">
      <c r="D50" s="22"/>
      <c r="E50" s="22"/>
      <c r="J50" s="5"/>
      <c r="K50" s="5"/>
      <c r="L50" s="5"/>
      <c r="M50" s="5"/>
      <c r="N50" s="5"/>
      <c r="O50" s="5"/>
      <c r="P50" s="88"/>
      <c r="Q50" s="95"/>
    </row>
    <row r="51" spans="4:17" s="2" customFormat="1" ht="12" customHeight="1">
      <c r="D51" s="22"/>
      <c r="E51" s="22"/>
      <c r="J51" s="5"/>
      <c r="K51" s="5"/>
      <c r="L51" s="5"/>
      <c r="M51" s="5"/>
      <c r="N51" s="5"/>
      <c r="O51" s="5"/>
      <c r="P51" s="88"/>
      <c r="Q51" s="95"/>
    </row>
    <row r="52" spans="4:17" s="2" customFormat="1" ht="12" customHeight="1">
      <c r="D52" s="22"/>
      <c r="E52" s="22"/>
      <c r="J52" s="5"/>
      <c r="K52" s="5"/>
      <c r="L52" s="5"/>
      <c r="M52" s="5"/>
      <c r="N52" s="5"/>
      <c r="O52" s="5"/>
      <c r="P52" s="88"/>
      <c r="Q52" s="95"/>
    </row>
    <row r="53" spans="4:17" s="2" customFormat="1" ht="12" customHeight="1">
      <c r="D53" s="22"/>
      <c r="E53" s="22"/>
      <c r="J53" s="5"/>
      <c r="K53" s="5"/>
      <c r="L53" s="5"/>
      <c r="M53" s="5"/>
      <c r="N53" s="5"/>
      <c r="O53" s="5"/>
      <c r="P53" s="88"/>
      <c r="Q53" s="95"/>
    </row>
    <row r="54" spans="4:17" s="2" customFormat="1" ht="12" customHeight="1">
      <c r="D54" s="22"/>
      <c r="E54" s="22"/>
      <c r="J54" s="5"/>
      <c r="K54" s="5"/>
      <c r="L54" s="5"/>
      <c r="M54" s="5"/>
      <c r="N54" s="5"/>
      <c r="O54" s="5"/>
      <c r="P54" s="88"/>
      <c r="Q54" s="95"/>
    </row>
    <row r="55" spans="4:17" s="2" customFormat="1" ht="12" customHeight="1">
      <c r="D55" s="22"/>
      <c r="E55" s="22"/>
      <c r="J55" s="5"/>
      <c r="K55" s="5"/>
      <c r="L55" s="5"/>
      <c r="M55" s="5"/>
      <c r="N55" s="5"/>
      <c r="O55" s="5"/>
      <c r="P55" s="88"/>
      <c r="Q55" s="95"/>
    </row>
    <row r="56" spans="4:17" s="2" customFormat="1" ht="12" customHeight="1">
      <c r="D56" s="22"/>
      <c r="E56" s="22"/>
      <c r="J56" s="5"/>
      <c r="K56" s="5"/>
      <c r="L56" s="5"/>
      <c r="M56" s="5"/>
      <c r="N56" s="5"/>
      <c r="O56" s="5"/>
      <c r="P56" s="88"/>
      <c r="Q56" s="95"/>
    </row>
    <row r="57" spans="4:17" s="2" customFormat="1" ht="12" customHeight="1">
      <c r="D57" s="22"/>
      <c r="E57" s="22"/>
      <c r="J57" s="5"/>
      <c r="K57" s="5"/>
      <c r="L57" s="5"/>
      <c r="M57" s="5"/>
      <c r="N57" s="5"/>
      <c r="O57" s="5"/>
      <c r="P57" s="88"/>
      <c r="Q57" s="95"/>
    </row>
    <row r="58" spans="4:17" s="2" customFormat="1" ht="12" customHeight="1">
      <c r="D58" s="22"/>
      <c r="E58" s="22"/>
      <c r="J58" s="5"/>
      <c r="K58" s="5"/>
      <c r="L58" s="5"/>
      <c r="M58" s="5"/>
      <c r="N58" s="5"/>
      <c r="O58" s="5"/>
      <c r="P58" s="88"/>
      <c r="Q58" s="95"/>
    </row>
    <row r="59" spans="4:17" s="2" customFormat="1" ht="12" customHeight="1">
      <c r="D59" s="22"/>
      <c r="E59" s="22"/>
      <c r="J59" s="5"/>
      <c r="K59" s="5"/>
      <c r="L59" s="5"/>
      <c r="M59" s="5"/>
      <c r="N59" s="5"/>
      <c r="O59" s="5"/>
      <c r="P59" s="88"/>
      <c r="Q59" s="95"/>
    </row>
    <row r="60" spans="4:17" s="2" customFormat="1" ht="12" customHeight="1">
      <c r="D60" s="22"/>
      <c r="E60" s="22"/>
      <c r="J60" s="5"/>
      <c r="K60" s="5"/>
      <c r="L60" s="5"/>
      <c r="M60" s="5"/>
      <c r="N60" s="5"/>
      <c r="O60" s="5"/>
      <c r="P60" s="88"/>
      <c r="Q60" s="95"/>
    </row>
    <row r="61" spans="4:17" s="2" customFormat="1" ht="12" customHeight="1">
      <c r="D61" s="22"/>
      <c r="E61" s="22"/>
      <c r="J61" s="5"/>
      <c r="K61" s="5"/>
      <c r="L61" s="5"/>
      <c r="M61" s="5"/>
      <c r="N61" s="5"/>
      <c r="O61" s="5"/>
      <c r="P61" s="88"/>
      <c r="Q61" s="95"/>
    </row>
    <row r="62" spans="4:17" s="2" customFormat="1" ht="12" customHeight="1">
      <c r="D62" s="22"/>
      <c r="E62" s="22"/>
      <c r="J62" s="5"/>
      <c r="K62" s="5"/>
      <c r="L62" s="5"/>
      <c r="M62" s="5"/>
      <c r="N62" s="5"/>
      <c r="O62" s="5"/>
      <c r="P62" s="88"/>
      <c r="Q62" s="95"/>
    </row>
    <row r="63" spans="4:17" s="2" customFormat="1" ht="12" customHeight="1">
      <c r="D63" s="22"/>
      <c r="E63" s="22"/>
      <c r="J63" s="5"/>
      <c r="K63" s="5"/>
      <c r="L63" s="5"/>
      <c r="M63" s="5"/>
      <c r="N63" s="5"/>
      <c r="O63" s="5"/>
      <c r="P63" s="88"/>
      <c r="Q63" s="96"/>
    </row>
    <row r="64" spans="4:17" s="2" customFormat="1" ht="12" customHeight="1">
      <c r="D64" s="22"/>
      <c r="E64" s="22"/>
      <c r="J64" s="5"/>
      <c r="K64" s="5"/>
      <c r="L64" s="5"/>
      <c r="M64" s="5"/>
      <c r="N64" s="5"/>
      <c r="O64" s="5"/>
      <c r="P64" s="88"/>
      <c r="Q64" s="96"/>
    </row>
    <row r="65" spans="1:17" s="2" customFormat="1" ht="12" customHeight="1">
      <c r="D65" s="22"/>
      <c r="E65" s="22"/>
      <c r="J65" s="5"/>
      <c r="K65" s="5"/>
      <c r="L65" s="5"/>
      <c r="M65" s="5"/>
      <c r="N65" s="5"/>
      <c r="O65" s="5"/>
      <c r="P65" s="88"/>
      <c r="Q65" s="96"/>
    </row>
    <row r="66" spans="1:17" s="2" customFormat="1" ht="12" customHeight="1">
      <c r="D66" s="22"/>
      <c r="E66" s="22"/>
      <c r="J66" s="5"/>
      <c r="K66" s="5"/>
      <c r="L66" s="5"/>
      <c r="M66" s="5"/>
      <c r="N66" s="5"/>
      <c r="O66" s="5"/>
      <c r="P66" s="88"/>
      <c r="Q66" s="96"/>
    </row>
    <row r="67" spans="1:17" s="2" customFormat="1" ht="12" customHeight="1">
      <c r="A67"/>
      <c r="B67"/>
      <c r="C67"/>
      <c r="D67" s="23"/>
      <c r="E67" s="23"/>
      <c r="F67"/>
      <c r="G67"/>
      <c r="H67"/>
      <c r="I67"/>
      <c r="J67" s="19"/>
      <c r="K67" s="19"/>
      <c r="L67" s="19"/>
      <c r="M67" s="19"/>
      <c r="N67" s="19"/>
      <c r="O67" s="19"/>
      <c r="P67" s="90"/>
      <c r="Q67" s="96"/>
    </row>
    <row r="68" spans="1:17" s="2" customFormat="1" ht="12" customHeight="1">
      <c r="A68"/>
      <c r="B68"/>
      <c r="C68"/>
      <c r="D68" s="23"/>
      <c r="E68" s="23"/>
      <c r="F68"/>
      <c r="G68"/>
      <c r="H68"/>
      <c r="I68"/>
      <c r="J68" s="19"/>
      <c r="K68" s="19"/>
      <c r="L68" s="19"/>
      <c r="M68" s="19"/>
      <c r="N68" s="19"/>
      <c r="O68" s="19"/>
      <c r="P68" s="90"/>
      <c r="Q68" s="96"/>
    </row>
    <row r="69" spans="1:17" s="2" customFormat="1" ht="12" customHeight="1">
      <c r="A69"/>
      <c r="B69"/>
      <c r="C69"/>
      <c r="D69" s="23"/>
      <c r="E69" s="23"/>
      <c r="F69"/>
      <c r="G69"/>
      <c r="H69"/>
      <c r="I69"/>
      <c r="J69" s="19"/>
      <c r="K69" s="19"/>
      <c r="L69" s="19"/>
      <c r="M69" s="19"/>
      <c r="N69" s="19"/>
      <c r="O69" s="19"/>
      <c r="P69" s="90"/>
      <c r="Q69" s="96"/>
    </row>
    <row r="70" spans="1:17" s="2" customFormat="1" ht="12" customHeight="1">
      <c r="A70"/>
      <c r="B70"/>
      <c r="C70"/>
      <c r="D70" s="23"/>
      <c r="E70" s="23"/>
      <c r="F70"/>
      <c r="G70"/>
      <c r="H70"/>
      <c r="I70"/>
      <c r="J70" s="19"/>
      <c r="K70" s="19"/>
      <c r="L70" s="19"/>
      <c r="M70" s="19"/>
      <c r="N70" s="19"/>
      <c r="O70" s="19"/>
      <c r="P70" s="90"/>
      <c r="Q70" s="96"/>
    </row>
    <row r="71" spans="1:17" s="2" customFormat="1" ht="12" customHeight="1">
      <c r="A71"/>
      <c r="B71"/>
      <c r="C71"/>
      <c r="D71" s="23"/>
      <c r="E71" s="23"/>
      <c r="F71"/>
      <c r="G71"/>
      <c r="H71"/>
      <c r="I71"/>
      <c r="J71" s="19"/>
      <c r="K71" s="19"/>
      <c r="L71" s="19"/>
      <c r="M71" s="19"/>
      <c r="N71" s="19"/>
      <c r="O71" s="19"/>
      <c r="P71" s="90"/>
      <c r="Q71" s="96"/>
    </row>
    <row r="72" spans="1:17">
      <c r="Q72" s="96"/>
    </row>
    <row r="73" spans="1:17">
      <c r="Q73" s="96"/>
    </row>
    <row r="74" spans="1:17">
      <c r="Q74" s="96"/>
    </row>
    <row r="75" spans="1:17">
      <c r="Q75" s="96"/>
    </row>
    <row r="76" spans="1:17">
      <c r="Q76" s="96"/>
    </row>
    <row r="77" spans="1:17">
      <c r="Q77" s="96"/>
    </row>
    <row r="78" spans="1:17">
      <c r="Q78" s="96"/>
    </row>
    <row r="79" spans="1:17">
      <c r="Q79" s="96"/>
    </row>
    <row r="80" spans="1:17">
      <c r="Q80" s="96"/>
    </row>
    <row r="81" spans="17:17">
      <c r="Q81" s="96"/>
    </row>
    <row r="82" spans="17:17">
      <c r="Q82" s="96"/>
    </row>
    <row r="83" spans="17:17">
      <c r="Q83" s="96"/>
    </row>
    <row r="84" spans="17:17">
      <c r="Q84" s="96"/>
    </row>
    <row r="85" spans="17:17">
      <c r="Q85" s="96"/>
    </row>
    <row r="86" spans="17:17">
      <c r="Q86" s="96"/>
    </row>
    <row r="87" spans="17:17">
      <c r="Q87" s="96"/>
    </row>
    <row r="88" spans="17:17">
      <c r="Q88" s="96"/>
    </row>
    <row r="89" spans="17:17">
      <c r="Q89" s="96"/>
    </row>
    <row r="90" spans="17:17">
      <c r="Q90" s="96"/>
    </row>
    <row r="91" spans="17:17">
      <c r="Q91" s="96"/>
    </row>
    <row r="128" ht="12" customHeight="1"/>
    <row r="129" ht="12" customHeight="1"/>
    <row r="130" ht="12" customHeight="1"/>
    <row r="131" ht="12" customHeight="1"/>
    <row r="132" ht="12" customHeight="1"/>
    <row r="133" ht="12" customHeight="1"/>
    <row r="134" ht="12" customHeight="1"/>
    <row r="135" ht="12" customHeight="1"/>
    <row r="136" ht="12" customHeight="1"/>
    <row r="137" ht="12" customHeight="1"/>
    <row r="138" ht="12" customHeight="1"/>
    <row r="139" ht="12" customHeight="1"/>
    <row r="140" ht="12" customHeight="1"/>
    <row r="141" ht="12" customHeight="1"/>
    <row r="142" ht="12" customHeight="1"/>
    <row r="143" ht="12" customHeight="1"/>
    <row r="144" ht="12" customHeight="1"/>
    <row r="145" ht="12" customHeight="1"/>
    <row r="146" ht="12" customHeight="1"/>
    <row r="147" ht="12" customHeight="1"/>
    <row r="148" ht="12" customHeight="1"/>
    <row r="149" ht="12" customHeight="1"/>
    <row r="150" ht="12" customHeight="1"/>
    <row r="151" ht="12" customHeight="1"/>
    <row r="152" ht="12" customHeight="1"/>
    <row r="153" ht="12" customHeight="1"/>
    <row r="154" ht="12" customHeight="1"/>
    <row r="155" ht="12" customHeight="1"/>
    <row r="156" ht="12" customHeight="1"/>
    <row r="157" ht="12" customHeight="1"/>
    <row r="158" ht="12" customHeight="1"/>
    <row r="159" ht="12" customHeight="1"/>
    <row r="160" ht="12" customHeight="1"/>
    <row r="161" ht="12" customHeight="1"/>
    <row r="162" ht="12" customHeight="1"/>
    <row r="163" ht="12" customHeight="1"/>
    <row r="164" ht="12" customHeight="1"/>
    <row r="165" ht="12" customHeight="1"/>
    <row r="166" ht="12" customHeight="1"/>
    <row r="167" ht="12" customHeight="1"/>
    <row r="168" ht="12" customHeight="1"/>
    <row r="169" ht="12" customHeight="1"/>
    <row r="170" ht="12" customHeight="1"/>
    <row r="171" ht="12" customHeight="1"/>
    <row r="172" ht="12" customHeight="1"/>
    <row r="173" ht="12" customHeight="1"/>
    <row r="174" ht="12" customHeight="1"/>
    <row r="175" ht="12" customHeight="1"/>
    <row r="176" ht="12" customHeight="1"/>
    <row r="177" ht="12" customHeight="1"/>
  </sheetData>
  <mergeCells count="25">
    <mergeCell ref="D24:E24"/>
    <mergeCell ref="H24:I24"/>
    <mergeCell ref="D21:E21"/>
    <mergeCell ref="D22:E22"/>
    <mergeCell ref="D19:E19"/>
    <mergeCell ref="H19:I19"/>
    <mergeCell ref="D20:E20"/>
    <mergeCell ref="D16:E16"/>
    <mergeCell ref="D17:E17"/>
    <mergeCell ref="D18:E18"/>
    <mergeCell ref="D13:E13"/>
    <mergeCell ref="D14:E14"/>
    <mergeCell ref="D15:E15"/>
    <mergeCell ref="D11:E11"/>
    <mergeCell ref="D12:E12"/>
    <mergeCell ref="D7:E7"/>
    <mergeCell ref="D8:E8"/>
    <mergeCell ref="D9:E9"/>
    <mergeCell ref="H9:I9"/>
    <mergeCell ref="D10:E10"/>
    <mergeCell ref="D5:E5"/>
    <mergeCell ref="D6:E6"/>
    <mergeCell ref="D1:E1"/>
    <mergeCell ref="D4:E4"/>
    <mergeCell ref="H4:I4"/>
  </mergeCells>
  <conditionalFormatting sqref="M5:M8 M20:M23 M10:M18">
    <cfRule type="cellIs" dxfId="204" priority="1" stopIfTrue="1" operator="lessThanOrEqual">
      <formula>$L5</formula>
    </cfRule>
    <cfRule type="cellIs" dxfId="203" priority="2" operator="greaterThan">
      <formula>L5</formula>
    </cfRule>
  </conditionalFormatting>
  <pageMargins left="0.7" right="0.7" top="0.75" bottom="0.75" header="0.3" footer="0.3"/>
  <pageSetup paperSize="3" fitToHeight="0" orientation="landscape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C520DD5-638E-4602-A6CC-55BF2B7DDB19}">
          <x14:formula1>
            <xm:f>Bolts!$A:$A</xm:f>
          </x14:formula1>
          <xm:sqref>C20:C23</xm:sqref>
        </x14:dataValidation>
        <x14:dataValidation type="list" allowBlank="1" showInputMessage="1" showErrorMessage="1" xr:uid="{5451D995-ADEF-4292-8D8C-05D8B1CA19B5}">
          <x14:formula1>
            <xm:f>Purchased!$A:$A</xm:f>
          </x14:formula1>
          <xm:sqref>C10:C18</xm:sqref>
        </x14:dataValidation>
        <x14:dataValidation type="list" allowBlank="1" showInputMessage="1" showErrorMessage="1" xr:uid="{31C75DFE-31DB-40D0-A62C-5E3FF4ED3F43}">
          <x14:formula1>
            <xm:f>Machined!$C:$C</xm:f>
          </x14:formula1>
          <xm:sqref>C5:C8</xm:sqref>
        </x14:dataValidation>
      </x14:dataValidations>
    </ext>
  </extLst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C64E1D-D39E-4A24-8036-26869844BDDB}">
  <sheetPr codeName="Sheet131">
    <tabColor theme="3" tint="0.59999389629810485"/>
    <pageSetUpPr fitToPage="1"/>
  </sheetPr>
  <dimension ref="A1:R195"/>
  <sheetViews>
    <sheetView zoomScaleNormal="100" workbookViewId="0">
      <selection activeCell="H8" sqref="H8:I8"/>
    </sheetView>
  </sheetViews>
  <sheetFormatPr defaultColWidth="9.140625" defaultRowHeight="15"/>
  <cols>
    <col min="1" max="1" width="5.7109375" customWidth="1"/>
    <col min="2" max="2" width="5.42578125" bestFit="1" customWidth="1"/>
    <col min="3" max="3" width="30.7109375" customWidth="1"/>
    <col min="4" max="5" width="20.7109375" style="23" customWidth="1"/>
    <col min="6" max="6" width="16.85546875" bestFit="1" customWidth="1"/>
    <col min="7" max="7" width="9.7109375" customWidth="1"/>
    <col min="8" max="8" width="8.7109375" customWidth="1"/>
    <col min="9" max="9" width="20.7109375" customWidth="1"/>
    <col min="10" max="13" width="11.7109375" style="19" customWidth="1"/>
    <col min="14" max="14" width="11.85546875" style="19" bestFit="1" customWidth="1"/>
    <col min="15" max="15" width="7.7109375" style="19" customWidth="1"/>
    <col min="16" max="16" width="10.7109375" style="90" customWidth="1"/>
    <col min="17" max="17" width="10.7109375" style="97" customWidth="1"/>
  </cols>
  <sheetData>
    <row r="1" spans="1:18" s="55" customFormat="1" ht="12" customHeight="1">
      <c r="A1" s="68" t="s">
        <v>0</v>
      </c>
      <c r="B1" s="69"/>
      <c r="C1" s="69"/>
      <c r="D1" s="262" t="s">
        <v>1</v>
      </c>
      <c r="E1" s="263"/>
      <c r="F1" s="70"/>
      <c r="G1" s="69"/>
      <c r="H1" s="70"/>
      <c r="I1" s="71"/>
      <c r="J1" s="72"/>
      <c r="K1" s="72"/>
      <c r="L1" s="72"/>
      <c r="M1" s="72"/>
      <c r="N1" s="72"/>
      <c r="O1" s="72"/>
      <c r="P1" s="85"/>
      <c r="Q1" s="91"/>
    </row>
    <row r="2" spans="1:18" s="55" customFormat="1" ht="12" customHeight="1">
      <c r="A2" s="74" t="s">
        <v>48</v>
      </c>
      <c r="B2" s="58"/>
      <c r="C2" s="57" t="e">
        <f ca="1">VLOOKUP(E3,Assemblies!B:F,4,0)</f>
        <v>#VALUE!</v>
      </c>
      <c r="D2" s="75" t="s">
        <v>3</v>
      </c>
      <c r="E2" s="76" t="e">
        <f ca="1">'GF12'!E2</f>
        <v>#VALUE!</v>
      </c>
      <c r="F2" s="77" t="s">
        <v>4</v>
      </c>
      <c r="G2" s="58" t="str">
        <f>'GF12'!G2</f>
        <v>GH</v>
      </c>
      <c r="H2" s="77" t="s">
        <v>6</v>
      </c>
      <c r="I2" s="59">
        <f>'GF12'!I2</f>
        <v>44775</v>
      </c>
      <c r="J2" s="39"/>
      <c r="K2" s="40" t="s">
        <v>49</v>
      </c>
      <c r="L2" s="41" t="e">
        <f ca="1">VLOOKUP(C2,Assemblies!E:G,3,0)</f>
        <v>#VALUE!</v>
      </c>
      <c r="M2" s="78"/>
      <c r="N2" s="78"/>
      <c r="O2" s="78"/>
      <c r="P2" s="86"/>
      <c r="Q2" s="92"/>
    </row>
    <row r="3" spans="1:18" s="55" customFormat="1" ht="12" customHeight="1" thickBot="1">
      <c r="A3" s="74" t="s">
        <v>7</v>
      </c>
      <c r="B3" s="58"/>
      <c r="C3" s="57" t="e">
        <f ca="1">VLOOKUP(E3,Assemblies!B:F,5,0)</f>
        <v>#VALUE!</v>
      </c>
      <c r="D3" s="75" t="s">
        <v>50</v>
      </c>
      <c r="E3" s="76" t="e">
        <f ca="1">MID(CELL("filename",A1),FIND("]",CELL("filename",A1))+1,256)</f>
        <v>#VALUE!</v>
      </c>
      <c r="F3" s="77" t="s">
        <v>11</v>
      </c>
      <c r="G3" s="58" t="str">
        <f>'GF12'!G3</f>
        <v>GH</v>
      </c>
      <c r="H3" s="77" t="s">
        <v>6</v>
      </c>
      <c r="I3" s="59">
        <f>'GF12'!I3</f>
        <v>44775</v>
      </c>
      <c r="J3" s="78"/>
      <c r="K3" s="78"/>
      <c r="L3" s="78"/>
      <c r="M3" s="78"/>
      <c r="N3" s="78"/>
      <c r="O3" s="78"/>
      <c r="P3" s="86"/>
      <c r="Q3" s="92"/>
    </row>
    <row r="4" spans="1:18" s="56" customFormat="1" ht="12.75" customHeight="1" thickBot="1">
      <c r="A4" s="80" t="s">
        <v>12</v>
      </c>
      <c r="B4" s="81" t="s">
        <v>13</v>
      </c>
      <c r="C4" s="81" t="s">
        <v>14</v>
      </c>
      <c r="D4" s="270" t="s">
        <v>15</v>
      </c>
      <c r="E4" s="271"/>
      <c r="F4" s="104" t="s">
        <v>16</v>
      </c>
      <c r="G4" s="81" t="s">
        <v>17</v>
      </c>
      <c r="H4" s="260" t="s">
        <v>18</v>
      </c>
      <c r="I4" s="261"/>
      <c r="J4" s="81" t="s">
        <v>51</v>
      </c>
      <c r="K4" s="81" t="s">
        <v>20</v>
      </c>
      <c r="L4" s="81" t="s">
        <v>21</v>
      </c>
      <c r="M4" s="81" t="s">
        <v>52</v>
      </c>
      <c r="N4" s="81" t="s">
        <v>22</v>
      </c>
      <c r="O4" s="81" t="s">
        <v>53</v>
      </c>
      <c r="P4" s="107" t="s">
        <v>26</v>
      </c>
      <c r="Q4" s="82" t="s">
        <v>27</v>
      </c>
    </row>
    <row r="5" spans="1:18" s="21" customFormat="1" ht="12.75" customHeight="1">
      <c r="A5" s="66" t="s">
        <v>54</v>
      </c>
      <c r="B5" s="1">
        <v>1</v>
      </c>
      <c r="C5" s="67" t="s">
        <v>1257</v>
      </c>
      <c r="D5" s="277" t="e">
        <f ca="1">VLOOKUP(C5,Assemblies!E:S,2,0)</f>
        <v>#N/A</v>
      </c>
      <c r="E5" s="278"/>
      <c r="F5" s="32"/>
      <c r="G5" s="32"/>
      <c r="H5" s="292"/>
      <c r="I5" s="293"/>
      <c r="J5" s="28"/>
      <c r="K5" s="28"/>
      <c r="L5" s="28"/>
      <c r="M5" s="28"/>
      <c r="N5" s="33"/>
      <c r="O5" s="46" t="e">
        <f t="shared" ref="O5:O10" ca="1" si="0">B5*$L$2</f>
        <v>#VALUE!</v>
      </c>
      <c r="P5" s="87">
        <f>'651'!Q19</f>
        <v>222.46</v>
      </c>
      <c r="Q5" s="93">
        <f t="shared" ref="Q5:Q9" si="1">B5*P5</f>
        <v>222.46</v>
      </c>
    </row>
    <row r="6" spans="1:18" s="21" customFormat="1" ht="12.75" customHeight="1">
      <c r="A6" s="66" t="s">
        <v>56</v>
      </c>
      <c r="B6" s="1">
        <v>1</v>
      </c>
      <c r="C6" s="67" t="s">
        <v>1258</v>
      </c>
      <c r="D6" s="277" t="e">
        <f ca="1">VLOOKUP(C6,Assemblies!E:S,2,0)</f>
        <v>#N/A</v>
      </c>
      <c r="E6" s="278"/>
      <c r="F6" s="32"/>
      <c r="G6" s="32"/>
      <c r="H6" s="292"/>
      <c r="I6" s="293"/>
      <c r="J6" s="28"/>
      <c r="K6" s="28"/>
      <c r="L6" s="28"/>
      <c r="M6" s="28"/>
      <c r="N6" s="33"/>
      <c r="O6" s="46" t="e">
        <f t="shared" ca="1" si="0"/>
        <v>#VALUE!</v>
      </c>
      <c r="P6" s="87">
        <f>'652'!Q19</f>
        <v>222.46</v>
      </c>
      <c r="Q6" s="93">
        <f t="shared" si="1"/>
        <v>222.46</v>
      </c>
    </row>
    <row r="7" spans="1:18" s="21" customFormat="1" ht="12.75" customHeight="1">
      <c r="A7" s="66" t="s">
        <v>58</v>
      </c>
      <c r="B7" s="1">
        <v>1</v>
      </c>
      <c r="C7" s="67" t="s">
        <v>1320</v>
      </c>
      <c r="D7" s="277" t="e">
        <f ca="1">VLOOKUP(C7,Assemblies!E:S,2,0)</f>
        <v>#N/A</v>
      </c>
      <c r="E7" s="278"/>
      <c r="F7" s="32"/>
      <c r="G7" s="32"/>
      <c r="H7" s="292"/>
      <c r="I7" s="293"/>
      <c r="J7" s="28"/>
      <c r="K7" s="28"/>
      <c r="L7" s="28"/>
      <c r="M7" s="28"/>
      <c r="N7" s="33"/>
      <c r="O7" s="46" t="e">
        <f t="shared" ca="1" si="0"/>
        <v>#VALUE!</v>
      </c>
      <c r="P7" s="87">
        <f>'663'!Q25</f>
        <v>823.45949999999993</v>
      </c>
      <c r="Q7" s="93">
        <f t="shared" si="1"/>
        <v>823.45949999999993</v>
      </c>
    </row>
    <row r="8" spans="1:18" s="21" customFormat="1" ht="12.75" customHeight="1">
      <c r="A8" s="66" t="s">
        <v>60</v>
      </c>
      <c r="B8" s="1">
        <v>1</v>
      </c>
      <c r="C8" s="67" t="s">
        <v>1321</v>
      </c>
      <c r="D8" s="277" t="e">
        <f ca="1">VLOOKUP(C8,Assemblies!E:S,2,0)</f>
        <v>#N/A</v>
      </c>
      <c r="E8" s="278"/>
      <c r="F8" s="32"/>
      <c r="G8" s="32"/>
      <c r="H8" s="292"/>
      <c r="I8" s="293"/>
      <c r="J8" s="28"/>
      <c r="K8" s="28"/>
      <c r="L8" s="28"/>
      <c r="M8" s="28"/>
      <c r="N8" s="33"/>
      <c r="O8" s="46" t="e">
        <f t="shared" ca="1" si="0"/>
        <v>#VALUE!</v>
      </c>
      <c r="P8" s="87">
        <f>'664'!Q30</f>
        <v>1686.1114</v>
      </c>
      <c r="Q8" s="93">
        <f t="shared" si="1"/>
        <v>1686.1114</v>
      </c>
    </row>
    <row r="9" spans="1:18" s="21" customFormat="1" ht="12.75" customHeight="1">
      <c r="A9" s="66" t="s">
        <v>62</v>
      </c>
      <c r="B9" s="1">
        <v>1</v>
      </c>
      <c r="C9" s="67" t="s">
        <v>1322</v>
      </c>
      <c r="D9" s="277" t="e">
        <f ca="1">VLOOKUP(C9,Assemblies!E:S,2,0)</f>
        <v>#N/A</v>
      </c>
      <c r="E9" s="278"/>
      <c r="F9" s="32"/>
      <c r="G9" s="32"/>
      <c r="H9" s="292"/>
      <c r="I9" s="293"/>
      <c r="J9" s="28"/>
      <c r="K9" s="28"/>
      <c r="L9" s="28"/>
      <c r="M9" s="28"/>
      <c r="N9" s="33"/>
      <c r="O9" s="46" t="e">
        <f t="shared" ca="1" si="0"/>
        <v>#VALUE!</v>
      </c>
      <c r="P9" s="87">
        <f>'665'!Q28</f>
        <v>315.58000000000004</v>
      </c>
      <c r="Q9" s="93">
        <f t="shared" si="1"/>
        <v>315.58000000000004</v>
      </c>
    </row>
    <row r="10" spans="1:18" s="21" customFormat="1" ht="12.75" customHeight="1">
      <c r="A10" s="66" t="s">
        <v>64</v>
      </c>
      <c r="B10" s="1">
        <v>1</v>
      </c>
      <c r="C10" s="67" t="s">
        <v>1262</v>
      </c>
      <c r="D10" s="277" t="e">
        <f ca="1">VLOOKUP(C10,Assemblies!E:S,2,0)</f>
        <v>#N/A</v>
      </c>
      <c r="E10" s="278"/>
      <c r="F10" s="32"/>
      <c r="G10" s="32"/>
      <c r="H10" s="32"/>
      <c r="I10" s="179"/>
      <c r="J10" s="28"/>
      <c r="K10" s="28"/>
      <c r="L10" s="28"/>
      <c r="M10" s="28"/>
      <c r="N10" s="33"/>
      <c r="O10" s="46" t="e">
        <f t="shared" ca="1" si="0"/>
        <v>#VALUE!</v>
      </c>
      <c r="P10" s="87">
        <f>'656'!Q24</f>
        <v>263.0489</v>
      </c>
      <c r="Q10" s="93">
        <f t="shared" ref="Q10" si="2">B10*P10</f>
        <v>263.0489</v>
      </c>
    </row>
    <row r="11" spans="1:18" s="21" customFormat="1" ht="12.75" customHeight="1">
      <c r="A11" s="25"/>
      <c r="B11" s="26"/>
      <c r="C11" s="26"/>
      <c r="D11" s="272"/>
      <c r="E11" s="273"/>
      <c r="F11" s="26"/>
      <c r="G11" s="26"/>
      <c r="H11" s="274"/>
      <c r="I11" s="275"/>
      <c r="J11" s="27"/>
      <c r="K11" s="27"/>
      <c r="L11" s="27"/>
      <c r="M11" s="28"/>
      <c r="N11" s="29"/>
      <c r="O11" s="29"/>
      <c r="P11" s="141"/>
      <c r="Q11" s="142"/>
      <c r="R11" s="20"/>
    </row>
    <row r="12" spans="1:18" s="2" customFormat="1" ht="12.75" customHeight="1">
      <c r="A12" s="127">
        <v>1</v>
      </c>
      <c r="B12" s="21">
        <v>1</v>
      </c>
      <c r="C12" s="108" t="s">
        <v>1263</v>
      </c>
      <c r="D12" s="277" t="str">
        <f>VLOOKUP(C12,Machined!C:Q,2,0)</f>
        <v>PnP Plate</v>
      </c>
      <c r="E12" s="278"/>
      <c r="F12" s="131" t="str">
        <f>VLOOKUP(C12,Machined!C:R,7,0)</f>
        <v>MIC 6</v>
      </c>
      <c r="G12" s="131" t="str">
        <f>VLOOKUP(C12,Machined!C:R,10,0)</f>
        <v>DETAILED MACH</v>
      </c>
      <c r="H12" s="131" t="str">
        <f>VLOOKUP(C12,Machined!C:R,11,0)</f>
        <v xml:space="preserve">  </v>
      </c>
      <c r="I12" s="131"/>
      <c r="J12" s="42">
        <f>VLOOKUP(C12,Machined!C:R,12,0)</f>
        <v>45156</v>
      </c>
      <c r="K12" s="42">
        <f>VLOOKUP(C12,Machined!C:R,13,0)</f>
        <v>45162</v>
      </c>
      <c r="L12" s="42">
        <f>VLOOKUP(C12,Machined!C:R,14,0)</f>
        <v>45190</v>
      </c>
      <c r="M12" s="42">
        <f>VLOOKUP(C12,Machined!C:R,15,0)</f>
        <v>45190</v>
      </c>
      <c r="N12" s="43">
        <f>VLOOKUP(C12,Machined!C:R,16,0)</f>
        <v>55101</v>
      </c>
      <c r="O12" s="43" t="e">
        <f t="shared" ref="O12:O14" ca="1" si="3">B12*$L$2</f>
        <v>#VALUE!</v>
      </c>
      <c r="P12" s="47">
        <f>IFERROR(VLOOKUP(C12,Machined!C:F,3,0),"")</f>
        <v>0</v>
      </c>
      <c r="Q12" s="48">
        <f t="shared" ref="Q12:Q14" si="4">IFERROR(B12*P12,"")</f>
        <v>0</v>
      </c>
    </row>
    <row r="13" spans="1:18" s="2" customFormat="1" ht="12.75" customHeight="1">
      <c r="A13" s="127">
        <f>A12+1</f>
        <v>2</v>
      </c>
      <c r="B13" s="21">
        <v>4</v>
      </c>
      <c r="C13" s="108" t="s">
        <v>1264</v>
      </c>
      <c r="D13" s="277" t="str">
        <f>VLOOKUP(C13,Machined!C:Q,2,0)</f>
        <v>Misumi Bearing Spacer</v>
      </c>
      <c r="E13" s="278"/>
      <c r="F13" s="131" t="str">
        <f>VLOOKUP(C13,Machined!C:R,7,0)</f>
        <v>6061-T6 Alum</v>
      </c>
      <c r="G13" s="131" t="str">
        <f>VLOOKUP(C13,Machined!C:R,10,0)</f>
        <v>DETAILED MACH</v>
      </c>
      <c r="H13" s="131" t="str">
        <f>VLOOKUP(C13,Machined!C:R,11,0)</f>
        <v>shipped 9/29/23</v>
      </c>
      <c r="I13" s="131"/>
      <c r="J13" s="42">
        <f>VLOOKUP(C13,Machined!C:R,12,0)</f>
        <v>45156</v>
      </c>
      <c r="K13" s="42">
        <f>VLOOKUP(C13,Machined!C:R,13,0)</f>
        <v>45162</v>
      </c>
      <c r="L13" s="42">
        <f>VLOOKUP(C13,Machined!C:R,14,0)</f>
        <v>45190</v>
      </c>
      <c r="M13" s="42">
        <f>VLOOKUP(C13,Machined!C:R,15,0)</f>
        <v>45190</v>
      </c>
      <c r="N13" s="43">
        <f>VLOOKUP(C13,Machined!C:R,16,0)</f>
        <v>55101</v>
      </c>
      <c r="O13" s="43" t="e">
        <f t="shared" ca="1" si="3"/>
        <v>#VALUE!</v>
      </c>
      <c r="P13" s="47">
        <f>IFERROR(VLOOKUP(C13,Machined!C:F,3,0),"")</f>
        <v>0</v>
      </c>
      <c r="Q13" s="48">
        <f t="shared" si="4"/>
        <v>0</v>
      </c>
    </row>
    <row r="14" spans="1:18" s="2" customFormat="1" ht="12.75" customHeight="1">
      <c r="A14" s="127">
        <f>A13+1</f>
        <v>3</v>
      </c>
      <c r="B14" s="21">
        <v>1</v>
      </c>
      <c r="C14" s="108" t="s">
        <v>932</v>
      </c>
      <c r="D14" s="277" t="str">
        <f>VLOOKUP(C14,Machined!C:Q,2,0)</f>
        <v>MODIFIED IGUS JFRM-282835TR12X3 TRAP LEAD NUT</v>
      </c>
      <c r="E14" s="278"/>
      <c r="F14" s="131" t="str">
        <f>VLOOKUP(C14,Machined!C:R,7,0)</f>
        <v>PURCHASED</v>
      </c>
      <c r="G14" s="131" t="str">
        <f>VLOOKUP(C14,Machined!C:R,10,0)</f>
        <v>IGUS, NULINE</v>
      </c>
      <c r="H14" s="131" t="str">
        <f>VLOOKUP(C14,Machined!C:R,11,0)</f>
        <v xml:space="preserve">  </v>
      </c>
      <c r="I14" s="131"/>
      <c r="J14" s="42">
        <f>VLOOKUP(C14,Machined!C:R,12,0)</f>
        <v>45160</v>
      </c>
      <c r="K14" s="42">
        <f>VLOOKUP(C14,Machined!C:R,13,0)</f>
        <v>45160</v>
      </c>
      <c r="L14" s="42">
        <f>VLOOKUP(C14,Machined!C:R,14,0)</f>
        <v>45166</v>
      </c>
      <c r="M14" s="42">
        <f>VLOOKUP(C14,Machined!C:R,15,0)</f>
        <v>45166</v>
      </c>
      <c r="N14" s="43">
        <f>VLOOKUP(C14,Machined!C:R,16,0)</f>
        <v>55085</v>
      </c>
      <c r="O14" s="43" t="e">
        <f t="shared" ca="1" si="3"/>
        <v>#VALUE!</v>
      </c>
      <c r="P14" s="47">
        <f>IFERROR(VLOOKUP(C14,Machined!C:F,3,0),"")</f>
        <v>23.47</v>
      </c>
      <c r="Q14" s="48">
        <f t="shared" si="4"/>
        <v>23.47</v>
      </c>
    </row>
    <row r="15" spans="1:18" s="2" customFormat="1" ht="12.75" customHeight="1">
      <c r="A15" s="143"/>
      <c r="B15" s="26"/>
      <c r="C15" s="26"/>
      <c r="D15" s="272"/>
      <c r="E15" s="273"/>
      <c r="F15" s="26"/>
      <c r="G15" s="26"/>
      <c r="H15" s="274"/>
      <c r="I15" s="275"/>
      <c r="J15" s="27"/>
      <c r="K15" s="27"/>
      <c r="L15" s="27"/>
      <c r="M15" s="28"/>
      <c r="N15" s="29"/>
      <c r="O15" s="29"/>
      <c r="P15" s="141"/>
      <c r="Q15" s="142"/>
    </row>
    <row r="16" spans="1:18" s="2" customFormat="1" ht="12.75" customHeight="1">
      <c r="A16" s="4">
        <v>301</v>
      </c>
      <c r="B16" s="2">
        <v>2</v>
      </c>
      <c r="C16" s="114" t="s">
        <v>1265</v>
      </c>
      <c r="D16" s="268" t="str">
        <f>VLOOKUP(C16,Purchased!A:B,2,0)</f>
        <v>BRL 15mm Ball Rail, assy 640, pick n place</v>
      </c>
      <c r="E16" s="269"/>
      <c r="F16" s="112" t="str">
        <f>VLOOKUP(C16,Purchased!A:Q,9,0)</f>
        <v>BRL</v>
      </c>
      <c r="G16" s="112" t="str">
        <f>VLOOKUP(C16,Purchased!A:Q,10,0)</f>
        <v>AAP</v>
      </c>
      <c r="H16" s="112" t="str">
        <f>VLOOKUP(C16,Purchased!A:Q,12,0)</f>
        <v xml:space="preserve"> </v>
      </c>
      <c r="I16" s="113"/>
      <c r="J16" s="44">
        <f>VLOOKUP(C16,Purchased!A:Q,13,0)</f>
        <v>45093</v>
      </c>
      <c r="K16" s="44">
        <f>VLOOKUP(C16,Purchased!A:Q,14,0)</f>
        <v>45093</v>
      </c>
      <c r="L16" s="44">
        <f>VLOOKUP(C16,Purchased!A:Q,15,0)</f>
        <v>45184</v>
      </c>
      <c r="M16" s="44">
        <f>VLOOKUP(C16,Purchased!A:Q,16,0)</f>
        <v>45184</v>
      </c>
      <c r="N16" s="45">
        <f>VLOOKUP(C16,Purchased!A:Q,17,0)</f>
        <v>54942</v>
      </c>
      <c r="O16" s="45" t="e">
        <f t="shared" ref="O16:O30" ca="1" si="5">B16*$L$2</f>
        <v>#VALUE!</v>
      </c>
      <c r="P16" s="49">
        <f>IFERROR(VLOOKUP(C16,Purchased!A:E,3,FALSE),"")</f>
        <v>148.238</v>
      </c>
      <c r="Q16" s="50">
        <f t="shared" ref="Q16:Q30" si="6">IFERROR(B16*P16,"")</f>
        <v>296.476</v>
      </c>
    </row>
    <row r="17" spans="1:17" s="2" customFormat="1" ht="12.75" customHeight="1">
      <c r="A17" s="4">
        <f>A16+1</f>
        <v>302</v>
      </c>
      <c r="B17" s="2">
        <v>4</v>
      </c>
      <c r="C17" s="114" t="s">
        <v>421</v>
      </c>
      <c r="D17" s="268" t="str">
        <f>VLOOKUP(C17,Purchased!A:B,2,0)</f>
        <v>SMC KIT, L-BRACKET, AS2052F</v>
      </c>
      <c r="E17" s="269"/>
      <c r="F17" s="112" t="str">
        <f>VLOOKUP(C17,Purchased!A:Q,9,0)</f>
        <v>SMC</v>
      </c>
      <c r="G17" s="112" t="str">
        <f>VLOOKUP(C17,Purchased!A:Q,10,0)</f>
        <v>AAP</v>
      </c>
      <c r="H17" s="112" t="str">
        <f>VLOOKUP(C17,Purchased!A:Q,12,0)</f>
        <v xml:space="preserve"> </v>
      </c>
      <c r="I17" s="113"/>
      <c r="J17" s="44" t="str">
        <f>VLOOKUP(C17,Purchased!A:Q,13,0)</f>
        <v>N/A</v>
      </c>
      <c r="K17" s="44">
        <f>VLOOKUP(C17,Purchased!A:Q,14,0)</f>
        <v>45162</v>
      </c>
      <c r="L17" s="44">
        <f>VLOOKUP(C17,Purchased!A:Q,15,0)</f>
        <v>45184</v>
      </c>
      <c r="M17" s="44">
        <f>VLOOKUP(C17,Purchased!A:Q,16,0)</f>
        <v>45180</v>
      </c>
      <c r="N17" s="45">
        <f>VLOOKUP(C17,Purchased!A:Q,17,0)</f>
        <v>55037</v>
      </c>
      <c r="O17" s="45" t="e">
        <f t="shared" ref="O17:O26" ca="1" si="7">B17*$L$2</f>
        <v>#VALUE!</v>
      </c>
      <c r="P17" s="49">
        <f>IFERROR(VLOOKUP(C17,Purchased!A:E,3,FALSE),"")</f>
        <v>2.2410000000000001</v>
      </c>
      <c r="Q17" s="50">
        <f t="shared" ref="Q17:Q26" si="8">IFERROR(B17*P17,"")</f>
        <v>8.9640000000000004</v>
      </c>
    </row>
    <row r="18" spans="1:17" s="2" customFormat="1" ht="12.75" customHeight="1">
      <c r="A18" s="4">
        <f t="shared" ref="A18:A30" si="9">A17+1</f>
        <v>303</v>
      </c>
      <c r="B18" s="2">
        <v>4</v>
      </c>
      <c r="C18" s="114" t="s">
        <v>1266</v>
      </c>
      <c r="D18" s="268" t="str">
        <f>VLOOKUP(C18,Purchased!A:B,2,0)</f>
        <v>SMC AS2052F-06A speed control w/fitting, FLOW CONTROL W/FITTING 6mm tubing</v>
      </c>
      <c r="E18" s="269"/>
      <c r="F18" s="112" t="str">
        <f>VLOOKUP(C18,Purchased!A:Q,9,0)</f>
        <v>SMC</v>
      </c>
      <c r="G18" s="112" t="str">
        <f>VLOOKUP(C18,Purchased!A:Q,10,0)</f>
        <v>AAP</v>
      </c>
      <c r="H18" s="112" t="str">
        <f>VLOOKUP(C18,Purchased!A:Q,12,0)</f>
        <v xml:space="preserve"> </v>
      </c>
      <c r="I18" s="113"/>
      <c r="J18" s="44" t="str">
        <f>VLOOKUP(C18,Purchased!A:Q,13,0)</f>
        <v>N/A</v>
      </c>
      <c r="K18" s="44">
        <f>VLOOKUP(C18,Purchased!A:Q,14,0)</f>
        <v>45162</v>
      </c>
      <c r="L18" s="44">
        <f>VLOOKUP(C18,Purchased!A:Q,15,0)</f>
        <v>45184</v>
      </c>
      <c r="M18" s="44">
        <f>VLOOKUP(C18,Purchased!A:Q,16,0)</f>
        <v>45197</v>
      </c>
      <c r="N18" s="45">
        <f>VLOOKUP(C18,Purchased!A:Q,17,0)</f>
        <v>55073</v>
      </c>
      <c r="O18" s="45" t="e">
        <f t="shared" ca="1" si="7"/>
        <v>#VALUE!</v>
      </c>
      <c r="P18" s="49">
        <f>IFERROR(VLOOKUP(C18,Purchased!A:E,3,FALSE),"")</f>
        <v>14.773999999999999</v>
      </c>
      <c r="Q18" s="50">
        <f t="shared" si="8"/>
        <v>59.095999999999997</v>
      </c>
    </row>
    <row r="19" spans="1:17" s="2" customFormat="1" ht="12.75" customHeight="1">
      <c r="A19" s="4">
        <f t="shared" si="9"/>
        <v>304</v>
      </c>
      <c r="B19" s="2">
        <v>2</v>
      </c>
      <c r="C19" s="114" t="s">
        <v>720</v>
      </c>
      <c r="D19" s="268" t="str">
        <f>VLOOKUP(C19,Purchased!A:B,2,0)</f>
        <v>SMC FITTING, MALE ELBOW</v>
      </c>
      <c r="E19" s="269"/>
      <c r="F19" s="112" t="str">
        <f>VLOOKUP(C19,Purchased!A:Q,9,0)</f>
        <v>SMC</v>
      </c>
      <c r="G19" s="112" t="str">
        <f>VLOOKUP(C19,Purchased!A:Q,10,0)</f>
        <v>AAP</v>
      </c>
      <c r="H19" s="112" t="str">
        <f>VLOOKUP(C19,Purchased!A:Q,12,0)</f>
        <v xml:space="preserve"> </v>
      </c>
      <c r="I19" s="113"/>
      <c r="J19" s="44" t="str">
        <f>VLOOKUP(C19,Purchased!A:Q,13,0)</f>
        <v>N/A</v>
      </c>
      <c r="K19" s="44">
        <f>VLOOKUP(C19,Purchased!A:Q,14,0)</f>
        <v>45162</v>
      </c>
      <c r="L19" s="44">
        <f>VLOOKUP(C19,Purchased!A:Q,15,0)</f>
        <v>45184</v>
      </c>
      <c r="M19" s="44">
        <f>VLOOKUP(C19,Purchased!A:Q,16,0)</f>
        <v>45180</v>
      </c>
      <c r="N19" s="45">
        <f>VLOOKUP(C19,Purchased!A:Q,17,0)</f>
        <v>55037</v>
      </c>
      <c r="O19" s="45" t="e">
        <f t="shared" ca="1" si="7"/>
        <v>#VALUE!</v>
      </c>
      <c r="P19" s="49">
        <f>IFERROR(VLOOKUP(C19,Purchased!A:E,3,FALSE),"")</f>
        <v>2.1857000000000002</v>
      </c>
      <c r="Q19" s="50">
        <f t="shared" si="8"/>
        <v>4.3714000000000004</v>
      </c>
    </row>
    <row r="20" spans="1:17" s="2" customFormat="1" ht="12.75" customHeight="1">
      <c r="A20" s="4">
        <f t="shared" si="9"/>
        <v>305</v>
      </c>
      <c r="B20" s="2">
        <v>2</v>
      </c>
      <c r="C20" s="114" t="s">
        <v>476</v>
      </c>
      <c r="D20" s="268" t="str">
        <f>VLOOKUP(C20,Purchased!A:B,2,0)</f>
        <v>SMC Inline Solid PNP Direct</v>
      </c>
      <c r="E20" s="269"/>
      <c r="F20" s="112" t="str">
        <f>VLOOKUP(C20,Purchased!A:Q,9,0)</f>
        <v>SMC</v>
      </c>
      <c r="G20" s="112" t="str">
        <f>VLOOKUP(C20,Purchased!A:Q,10,0)</f>
        <v>AAP</v>
      </c>
      <c r="H20" s="112" t="str">
        <f>VLOOKUP(C20,Purchased!A:Q,12,0)</f>
        <v xml:space="preserve"> </v>
      </c>
      <c r="I20" s="113"/>
      <c r="J20" s="44" t="str">
        <f>VLOOKUP(C20,Purchased!A:Q,13,0)</f>
        <v>N/A</v>
      </c>
      <c r="K20" s="44">
        <f>VLOOKUP(C20,Purchased!A:Q,14,0)</f>
        <v>45162</v>
      </c>
      <c r="L20" s="44">
        <f>VLOOKUP(C20,Purchased!A:Q,15,0)</f>
        <v>45184</v>
      </c>
      <c r="M20" s="44">
        <f>VLOOKUP(C20,Purchased!A:Q,16,0)</f>
        <v>45180</v>
      </c>
      <c r="N20" s="45">
        <f>VLOOKUP(C20,Purchased!A:Q,17,0)</f>
        <v>55037</v>
      </c>
      <c r="O20" s="45" t="e">
        <f t="shared" ca="1" si="7"/>
        <v>#VALUE!</v>
      </c>
      <c r="P20" s="49">
        <f>IFERROR(VLOOKUP(C20,Purchased!A:E,3,FALSE),"")</f>
        <v>37.226700000000001</v>
      </c>
      <c r="Q20" s="50">
        <f t="shared" si="8"/>
        <v>74.453400000000002</v>
      </c>
    </row>
    <row r="21" spans="1:17" s="2" customFormat="1" ht="12.75" customHeight="1">
      <c r="A21" s="4">
        <f t="shared" si="9"/>
        <v>306</v>
      </c>
      <c r="B21" s="2">
        <v>2</v>
      </c>
      <c r="C21" s="114" t="s">
        <v>1267</v>
      </c>
      <c r="D21" s="268" t="str">
        <f>VLOOKUP(C21,Purchased!A:B,2,0)</f>
        <v>SMC SWITCH BRACKET</v>
      </c>
      <c r="E21" s="269"/>
      <c r="F21" s="112" t="str">
        <f>VLOOKUP(C21,Purchased!A:Q,9,0)</f>
        <v>SMC</v>
      </c>
      <c r="G21" s="112" t="str">
        <f>VLOOKUP(C21,Purchased!A:Q,10,0)</f>
        <v>AAP</v>
      </c>
      <c r="H21" s="112" t="str">
        <f>VLOOKUP(C21,Purchased!A:Q,12,0)</f>
        <v xml:space="preserve"> </v>
      </c>
      <c r="I21" s="113"/>
      <c r="J21" s="44" t="str">
        <f>VLOOKUP(C21,Purchased!A:Q,13,0)</f>
        <v>N/A</v>
      </c>
      <c r="K21" s="44">
        <f>VLOOKUP(C21,Purchased!A:Q,14,0)</f>
        <v>45162</v>
      </c>
      <c r="L21" s="44">
        <f>VLOOKUP(C21,Purchased!A:Q,15,0)</f>
        <v>45184</v>
      </c>
      <c r="M21" s="44">
        <f>VLOOKUP(C21,Purchased!A:Q,16,0)</f>
        <v>45197</v>
      </c>
      <c r="N21" s="45">
        <f>VLOOKUP(C21,Purchased!A:Q,17,0)</f>
        <v>55073</v>
      </c>
      <c r="O21" s="45" t="e">
        <f t="shared" ca="1" si="7"/>
        <v>#VALUE!</v>
      </c>
      <c r="P21" s="49">
        <f>IFERROR(VLOOKUP(C21,Purchased!A:E,3,FALSE),"")</f>
        <v>2.2686999999999999</v>
      </c>
      <c r="Q21" s="50">
        <f t="shared" si="8"/>
        <v>4.5373999999999999</v>
      </c>
    </row>
    <row r="22" spans="1:17" s="2" customFormat="1" ht="12.75" customHeight="1">
      <c r="A22" s="4">
        <f t="shared" si="9"/>
        <v>307</v>
      </c>
      <c r="B22" s="2">
        <v>1</v>
      </c>
      <c r="C22" s="114" t="s">
        <v>1268</v>
      </c>
      <c r="D22" s="268" t="str">
        <f>VLOOKUP(C22,Purchased!A:B,2,0)</f>
        <v>SMC Cyl, Rodless, Mechanicaly Jointed</v>
      </c>
      <c r="E22" s="269"/>
      <c r="F22" s="112" t="str">
        <f>VLOOKUP(C22,Purchased!A:Q,9,0)</f>
        <v>SMC</v>
      </c>
      <c r="G22" s="112" t="str">
        <f>VLOOKUP(C22,Purchased!A:Q,10,0)</f>
        <v>AAP</v>
      </c>
      <c r="H22" s="112" t="str">
        <f>VLOOKUP(C22,Purchased!A:Q,12,0)</f>
        <v xml:space="preserve"> </v>
      </c>
      <c r="I22" s="113"/>
      <c r="J22" s="44" t="str">
        <f>VLOOKUP(C22,Purchased!A:Q,13,0)</f>
        <v>N/A</v>
      </c>
      <c r="K22" s="44">
        <f>VLOOKUP(C22,Purchased!A:Q,14,0)</f>
        <v>45042</v>
      </c>
      <c r="L22" s="44">
        <f>VLOOKUP(C22,Purchased!A:Q,15,0)</f>
        <v>45098</v>
      </c>
      <c r="M22" s="44">
        <f>VLOOKUP(C22,Purchased!A:Q,16,0)</f>
        <v>45143</v>
      </c>
      <c r="N22" s="45">
        <f>VLOOKUP(C22,Purchased!A:Q,17,0)</f>
        <v>54862</v>
      </c>
      <c r="O22" s="45" t="e">
        <f t="shared" ca="1" si="7"/>
        <v>#VALUE!</v>
      </c>
      <c r="P22" s="49">
        <f>IFERROR(VLOOKUP(C22,Purchased!A:E,3,FALSE),"")</f>
        <v>320.61520000000002</v>
      </c>
      <c r="Q22" s="50">
        <f t="shared" si="8"/>
        <v>320.61520000000002</v>
      </c>
    </row>
    <row r="23" spans="1:17" s="2" customFormat="1" ht="12.75" customHeight="1">
      <c r="A23" s="4">
        <f t="shared" si="9"/>
        <v>308</v>
      </c>
      <c r="B23" s="2">
        <v>1</v>
      </c>
      <c r="C23" s="114" t="s">
        <v>1269</v>
      </c>
      <c r="D23" s="268" t="str">
        <f>VLOOKUP(C23,Purchased!A:B,2,0)</f>
        <v>ZH, Vacuum Generator, Body Ported Sup-6mm, Vac-6mm, Exh-8mm</v>
      </c>
      <c r="E23" s="269"/>
      <c r="F23" s="112" t="str">
        <f>VLOOKUP(C23,Purchased!A:Q,9,0)</f>
        <v>SMC</v>
      </c>
      <c r="G23" s="112" t="str">
        <f>VLOOKUP(C23,Purchased!A:Q,10,0)</f>
        <v>AAP</v>
      </c>
      <c r="H23" s="112" t="str">
        <f>VLOOKUP(C23,Purchased!A:Q,12,0)</f>
        <v xml:space="preserve"> </v>
      </c>
      <c r="I23" s="113"/>
      <c r="J23" s="44" t="str">
        <f>VLOOKUP(C23,Purchased!A:Q,13,0)</f>
        <v>N/A</v>
      </c>
      <c r="K23" s="44">
        <f>VLOOKUP(C23,Purchased!A:Q,14,0)</f>
        <v>45162</v>
      </c>
      <c r="L23" s="44">
        <f>VLOOKUP(C23,Purchased!A:Q,15,0)</f>
        <v>45184</v>
      </c>
      <c r="M23" s="44">
        <f>VLOOKUP(C23,Purchased!A:Q,16,0)</f>
        <v>45197</v>
      </c>
      <c r="N23" s="45">
        <f>VLOOKUP(C23,Purchased!A:Q,17,0)</f>
        <v>55073</v>
      </c>
      <c r="O23" s="45" t="e">
        <f t="shared" ca="1" si="7"/>
        <v>#VALUE!</v>
      </c>
      <c r="P23" s="49">
        <f>IFERROR(VLOOKUP(C23,Purchased!A:E,3,FALSE),"")</f>
        <v>15.7423</v>
      </c>
      <c r="Q23" s="50">
        <f t="shared" si="8"/>
        <v>15.7423</v>
      </c>
    </row>
    <row r="24" spans="1:17" s="2" customFormat="1" ht="12.75" customHeight="1">
      <c r="A24" s="4">
        <f t="shared" si="9"/>
        <v>309</v>
      </c>
      <c r="B24" s="2">
        <v>1</v>
      </c>
      <c r="C24" s="114" t="s">
        <v>963</v>
      </c>
      <c r="D24" s="268" t="str">
        <f>VLOOKUP(C24,Purchased!A:B,2,0)</f>
        <v>IGUS  Trap Lead Nut</v>
      </c>
      <c r="E24" s="269"/>
      <c r="F24" s="112" t="str">
        <f>VLOOKUP(C24,Purchased!A:Q,9,0)</f>
        <v>IGUS</v>
      </c>
      <c r="G24" s="112" t="str">
        <f>VLOOKUP(C24,Purchased!A:Q,10,0)</f>
        <v>IGUS</v>
      </c>
      <c r="H24" s="112" t="str">
        <f>VLOOKUP(C24,Purchased!A:Q,12,0)</f>
        <v xml:space="preserve"> </v>
      </c>
      <c r="I24" s="113"/>
      <c r="J24" s="44">
        <f>VLOOKUP(C24,Purchased!A:Q,13,0)</f>
        <v>45154</v>
      </c>
      <c r="K24" s="44">
        <f>VLOOKUP(C24,Purchased!A:Q,14,0)</f>
        <v>45161</v>
      </c>
      <c r="L24" s="44">
        <f>VLOOKUP(C24,Purchased!A:Q,15,0)</f>
        <v>45191</v>
      </c>
      <c r="M24" s="44">
        <f>VLOOKUP(C24,Purchased!A:Q,16,0)</f>
        <v>45208</v>
      </c>
      <c r="N24" s="45">
        <f>VLOOKUP(C24,Purchased!A:Q,17,0)</f>
        <v>55076</v>
      </c>
      <c r="O24" s="45" t="e">
        <f t="shared" ca="1" si="7"/>
        <v>#VALUE!</v>
      </c>
      <c r="P24" s="49">
        <f>IFERROR(VLOOKUP(C24,Purchased!A:E,3,FALSE),"")</f>
        <v>23.47</v>
      </c>
      <c r="Q24" s="50">
        <f t="shared" si="8"/>
        <v>23.47</v>
      </c>
    </row>
    <row r="25" spans="1:17" s="2" customFormat="1" ht="12.75" customHeight="1">
      <c r="A25" s="4">
        <f t="shared" si="9"/>
        <v>310</v>
      </c>
      <c r="B25" s="2">
        <v>2</v>
      </c>
      <c r="C25" s="114" t="s">
        <v>477</v>
      </c>
      <c r="D25" s="268" t="str">
        <f>VLOOKUP(C25,Purchased!A:B,2,0)</f>
        <v>MURR M8 Female, 0deg A-Coded, 3-Pin, w/ Cable</v>
      </c>
      <c r="E25" s="269"/>
      <c r="F25" s="112" t="str">
        <f>VLOOKUP(C25,Purchased!A:Q,9,0)</f>
        <v>MURR</v>
      </c>
      <c r="G25" s="112" t="str">
        <f>VLOOKUP(C25,Purchased!A:Q,10,0)</f>
        <v>MURR</v>
      </c>
      <c r="H25" s="112" t="str">
        <f>VLOOKUP(C25,Purchased!A:Q,12,0)</f>
        <v xml:space="preserve">  </v>
      </c>
      <c r="I25" s="113"/>
      <c r="J25" s="44">
        <f>VLOOKUP(C25,Purchased!A:Q,13,0)</f>
        <v>45161</v>
      </c>
      <c r="K25" s="44">
        <f>VLOOKUP(C25,Purchased!A:Q,14,0)</f>
        <v>45162</v>
      </c>
      <c r="L25" s="44">
        <f>VLOOKUP(C25,Purchased!A:Q,15,0)</f>
        <v>45184</v>
      </c>
      <c r="M25" s="44">
        <f>VLOOKUP(C25,Purchased!A:Q,16,0)</f>
        <v>45184</v>
      </c>
      <c r="N25" s="45">
        <f>VLOOKUP(C25,Purchased!A:Q,17,0)</f>
        <v>55080</v>
      </c>
      <c r="O25" s="45" t="e">
        <f t="shared" ca="1" si="7"/>
        <v>#VALUE!</v>
      </c>
      <c r="P25" s="49">
        <f>IFERROR(VLOOKUP(C25,Purchased!A:E,3,FALSE),"")</f>
        <v>21.52</v>
      </c>
      <c r="Q25" s="50">
        <f t="shared" si="8"/>
        <v>43.04</v>
      </c>
    </row>
    <row r="26" spans="1:17" s="2" customFormat="1" ht="12.75" customHeight="1">
      <c r="A26" s="4">
        <f t="shared" si="9"/>
        <v>311</v>
      </c>
      <c r="B26" s="2">
        <v>1</v>
      </c>
      <c r="C26" s="114" t="s">
        <v>1003</v>
      </c>
      <c r="D26" s="268" t="str">
        <f>VLOOKUP(C26,Purchased!A:B,2,0)</f>
        <v>MURR M8 Female, 0deg A-Coded, 4-Pin, w/ Cable, 7.5m, black</v>
      </c>
      <c r="E26" s="269"/>
      <c r="F26" s="112" t="str">
        <f>VLOOKUP(C26,Purchased!A:Q,9,0)</f>
        <v>MURR</v>
      </c>
      <c r="G26" s="112" t="str">
        <f>VLOOKUP(C26,Purchased!A:Q,10,0)</f>
        <v>MURR</v>
      </c>
      <c r="H26" s="112" t="str">
        <f>VLOOKUP(C26,Purchased!A:Q,12,0)</f>
        <v xml:space="preserve"> </v>
      </c>
      <c r="I26" s="113"/>
      <c r="J26" s="44">
        <f>VLOOKUP(C26,Purchased!A:Q,13,0)</f>
        <v>45161</v>
      </c>
      <c r="K26" s="44">
        <f>VLOOKUP(C26,Purchased!A:Q,14,0)</f>
        <v>45162</v>
      </c>
      <c r="L26" s="44">
        <f>VLOOKUP(C26,Purchased!A:Q,15,0)</f>
        <v>45184</v>
      </c>
      <c r="M26" s="44">
        <f>VLOOKUP(C26,Purchased!A:Q,16,0)</f>
        <v>45184</v>
      </c>
      <c r="N26" s="45">
        <f>VLOOKUP(C26,Purchased!A:Q,17,0)</f>
        <v>55080</v>
      </c>
      <c r="O26" s="45" t="e">
        <f t="shared" ca="1" si="7"/>
        <v>#VALUE!</v>
      </c>
      <c r="P26" s="49">
        <f>IFERROR(VLOOKUP(C26,Purchased!A:E,3,FALSE),"")</f>
        <v>21.04</v>
      </c>
      <c r="Q26" s="50">
        <f t="shared" si="8"/>
        <v>21.04</v>
      </c>
    </row>
    <row r="27" spans="1:17" s="2" customFormat="1" ht="12" customHeight="1">
      <c r="A27" s="4">
        <f t="shared" si="9"/>
        <v>312</v>
      </c>
      <c r="B27" s="2">
        <v>4</v>
      </c>
      <c r="C27" s="109" t="s">
        <v>1270</v>
      </c>
      <c r="D27" s="268" t="str">
        <f>VLOOKUP(C27,Purchased!A:B,2,0)</f>
        <v>MISUMI 20mm Flanged Linear Bearing</v>
      </c>
      <c r="E27" s="269"/>
      <c r="F27" s="112" t="str">
        <f>VLOOKUP(C27,Purchased!A:Q,9,0)</f>
        <v>MISUMI</v>
      </c>
      <c r="G27" s="112" t="str">
        <f>VLOOKUP(C27,Purchased!A:Q,10,0)</f>
        <v>MISUMI</v>
      </c>
      <c r="H27" s="112" t="str">
        <f>VLOOKUP(C27,Purchased!A:Q,12,0)</f>
        <v xml:space="preserve"> </v>
      </c>
      <c r="I27" s="113"/>
      <c r="J27" s="44" t="str">
        <f>VLOOKUP(C27,Purchased!A:Q,13,0)</f>
        <v>N/A</v>
      </c>
      <c r="K27" s="44">
        <f>VLOOKUP(C27,Purchased!A:Q,14,0)</f>
        <v>45161</v>
      </c>
      <c r="L27" s="44">
        <f>VLOOKUP(C27,Purchased!A:Q,15,0)</f>
        <v>45191</v>
      </c>
      <c r="M27" s="44">
        <f>VLOOKUP(C27,Purchased!A:Q,16,0)</f>
        <v>45176</v>
      </c>
      <c r="N27" s="45">
        <f>VLOOKUP(C27,Purchased!A:Q,17,0)</f>
        <v>55078</v>
      </c>
      <c r="O27" s="45" t="e">
        <f t="shared" ca="1" si="5"/>
        <v>#VALUE!</v>
      </c>
      <c r="P27" s="49">
        <f>IFERROR(VLOOKUP(C27,Purchased!A:E,3,FALSE),"")</f>
        <v>32.79</v>
      </c>
      <c r="Q27" s="50">
        <f t="shared" si="6"/>
        <v>131.16</v>
      </c>
    </row>
    <row r="28" spans="1:17" s="2" customFormat="1" ht="12" customHeight="1">
      <c r="A28" s="4">
        <f t="shared" si="9"/>
        <v>313</v>
      </c>
      <c r="B28" s="2">
        <v>1</v>
      </c>
      <c r="C28" s="109" t="s">
        <v>1002</v>
      </c>
      <c r="D28" s="268" t="str">
        <f>VLOOKUP(C28,Purchased!A:B,2,0)</f>
        <v>KEYENCE FS-41NC Main Unit M8 Connector Type</v>
      </c>
      <c r="E28" s="269"/>
      <c r="F28" s="112" t="str">
        <f>VLOOKUP(C28,Purchased!A:Q,9,0)</f>
        <v>KEYENCE</v>
      </c>
      <c r="G28" s="112" t="str">
        <f>VLOOKUP(C28,Purchased!A:Q,10,0)</f>
        <v>KEYENCE</v>
      </c>
      <c r="H28" s="112" t="str">
        <f>VLOOKUP(C28,Purchased!A:Q,12,0)</f>
        <v xml:space="preserve"> </v>
      </c>
      <c r="I28" s="113"/>
      <c r="J28" s="44">
        <f>VLOOKUP(C28,Purchased!A:Q,13,0)</f>
        <v>45154</v>
      </c>
      <c r="K28" s="44">
        <f>VLOOKUP(C28,Purchased!A:Q,14,0)</f>
        <v>45161</v>
      </c>
      <c r="L28" s="44">
        <f>VLOOKUP(C28,Purchased!A:Q,15,0)</f>
        <v>45191</v>
      </c>
      <c r="M28" s="44">
        <f>VLOOKUP(C28,Purchased!A:Q,16,0)</f>
        <v>45184</v>
      </c>
      <c r="N28" s="45">
        <f>VLOOKUP(C28,Purchased!A:Q,17,0)</f>
        <v>55077</v>
      </c>
      <c r="O28" s="45" t="e">
        <f t="shared" ca="1" si="5"/>
        <v>#VALUE!</v>
      </c>
      <c r="P28" s="49">
        <f>IFERROR(VLOOKUP(C28,Purchased!A:E,3,FALSE),"")</f>
        <v>235</v>
      </c>
      <c r="Q28" s="50">
        <f t="shared" si="6"/>
        <v>235</v>
      </c>
    </row>
    <row r="29" spans="1:17" s="2" customFormat="1" ht="12" customHeight="1">
      <c r="A29" s="4">
        <f t="shared" si="9"/>
        <v>314</v>
      </c>
      <c r="B29" s="2">
        <v>1</v>
      </c>
      <c r="C29" s="109" t="s">
        <v>1001</v>
      </c>
      <c r="D29" s="268" t="str">
        <f>VLOOKUP(C29,Purchased!A:B,2,0)</f>
        <v>KEYENCE OP-88245 Amplifier Securing Bracket</v>
      </c>
      <c r="E29" s="269"/>
      <c r="F29" s="112" t="str">
        <f>VLOOKUP(C29,Purchased!A:Q,9,0)</f>
        <v>KEYENCE</v>
      </c>
      <c r="G29" s="112" t="str">
        <f>VLOOKUP(C29,Purchased!A:Q,10,0)</f>
        <v>KEYENCE</v>
      </c>
      <c r="H29" s="112" t="str">
        <f>VLOOKUP(C29,Purchased!A:Q,12,0)</f>
        <v xml:space="preserve"> </v>
      </c>
      <c r="I29" s="113"/>
      <c r="J29" s="44">
        <f>VLOOKUP(C29,Purchased!A:Q,13,0)</f>
        <v>45154</v>
      </c>
      <c r="K29" s="44">
        <f>VLOOKUP(C29,Purchased!A:Q,14,0)</f>
        <v>45161</v>
      </c>
      <c r="L29" s="44">
        <f>VLOOKUP(C29,Purchased!A:Q,15,0)</f>
        <v>45191</v>
      </c>
      <c r="M29" s="44">
        <f>VLOOKUP(C29,Purchased!A:Q,16,0)</f>
        <v>45184</v>
      </c>
      <c r="N29" s="45">
        <f>VLOOKUP(C29,Purchased!A:Q,17,0)</f>
        <v>55077</v>
      </c>
      <c r="O29" s="45" t="e">
        <f t="shared" ca="1" si="5"/>
        <v>#VALUE!</v>
      </c>
      <c r="P29" s="49">
        <f>IFERROR(VLOOKUP(C29,Purchased!A:E,3,FALSE),"")</f>
        <v>3</v>
      </c>
      <c r="Q29" s="50">
        <f t="shared" si="6"/>
        <v>3</v>
      </c>
    </row>
    <row r="30" spans="1:17" s="2" customFormat="1" ht="12" customHeight="1">
      <c r="A30" s="4">
        <f t="shared" si="9"/>
        <v>315</v>
      </c>
      <c r="B30" s="2">
        <v>2</v>
      </c>
      <c r="C30" s="114" t="s">
        <v>715</v>
      </c>
      <c r="D30" s="268" t="str">
        <f>VLOOKUP(C30,Purchased!A:B,2,0)</f>
        <v>BRL 15mm runner block, short</v>
      </c>
      <c r="E30" s="269"/>
      <c r="F30" s="112" t="str">
        <f>VLOOKUP(C30,Purchased!A:Q,9,0)</f>
        <v>BRL</v>
      </c>
      <c r="G30" s="112" t="str">
        <f>VLOOKUP(C30,Purchased!A:Q,10,0)</f>
        <v>AAP</v>
      </c>
      <c r="H30" s="112" t="str">
        <f>VLOOKUP(C30,Purchased!A:Q,12,0)</f>
        <v xml:space="preserve"> </v>
      </c>
      <c r="I30" s="113"/>
      <c r="J30" s="44">
        <f>VLOOKUP(C30,Purchased!A:Q,13,0)</f>
        <v>45093</v>
      </c>
      <c r="K30" s="44">
        <f>VLOOKUP(C30,Purchased!A:Q,14,0)</f>
        <v>45093</v>
      </c>
      <c r="L30" s="44">
        <f>VLOOKUP(C30,Purchased!A:Q,15,0)</f>
        <v>45184</v>
      </c>
      <c r="M30" s="44">
        <f>VLOOKUP(C30,Purchased!A:Q,16,0)</f>
        <v>45184</v>
      </c>
      <c r="N30" s="45">
        <f>VLOOKUP(C30,Purchased!A:Q,17,0)</f>
        <v>54942</v>
      </c>
      <c r="O30" s="45" t="e">
        <f t="shared" ca="1" si="5"/>
        <v>#VALUE!</v>
      </c>
      <c r="P30" s="49">
        <f>IFERROR(VLOOKUP(C30,Purchased!A:E,3,FALSE),"")</f>
        <v>79.043700000000001</v>
      </c>
      <c r="Q30" s="50">
        <f t="shared" si="6"/>
        <v>158.0874</v>
      </c>
    </row>
    <row r="31" spans="1:17" s="2" customFormat="1" ht="12" customHeight="1">
      <c r="A31" s="25"/>
      <c r="B31" s="26"/>
      <c r="C31" s="26"/>
      <c r="D31" s="272"/>
      <c r="E31" s="273"/>
      <c r="F31" s="26"/>
      <c r="G31" s="26"/>
      <c r="H31" s="274"/>
      <c r="I31" s="275"/>
      <c r="J31" s="27"/>
      <c r="K31" s="27"/>
      <c r="L31" s="27"/>
      <c r="M31" s="28"/>
      <c r="N31" s="29"/>
      <c r="O31" s="29" t="e">
        <f t="shared" ref="O31:O40" ca="1" si="10">B31*$L$2</f>
        <v>#VALUE!</v>
      </c>
      <c r="P31" s="141"/>
      <c r="Q31" s="142"/>
    </row>
    <row r="32" spans="1:17" s="2" customFormat="1" ht="12" customHeight="1">
      <c r="A32" s="4">
        <v>501</v>
      </c>
      <c r="B32" s="2">
        <v>2</v>
      </c>
      <c r="C32" s="110" t="s">
        <v>1271</v>
      </c>
      <c r="D32" s="268"/>
      <c r="E32" s="276"/>
      <c r="F32" s="112" t="str">
        <f>VLOOKUP(C32,Bolts!A:L,5,0)</f>
        <v xml:space="preserve">  </v>
      </c>
      <c r="G32" s="112" t="str">
        <f>VLOOKUP(C32,Bolts!A:L,6,0)</f>
        <v>Monroe Fasteners</v>
      </c>
      <c r="H32" s="112" t="str">
        <f>VLOOKUP(C32,Bolts!A:L,7,0)</f>
        <v xml:space="preserve">  </v>
      </c>
      <c r="I32" s="112"/>
      <c r="J32" s="44" t="str">
        <f>VLOOKUP(C32,Bolts!A:L,8,0)</f>
        <v xml:space="preserve"> </v>
      </c>
      <c r="K32" s="44" t="str">
        <f>VLOOKUP(C32,Bolts!A:L,9,0)</f>
        <v xml:space="preserve"> </v>
      </c>
      <c r="L32" s="44" t="str">
        <f>VLOOKUP(C32,Bolts!A:L,10,0)</f>
        <v xml:space="preserve"> </v>
      </c>
      <c r="M32" s="44" t="str">
        <f>VLOOKUP(C32,Bolts!A:L,11,0)</f>
        <v xml:space="preserve"> </v>
      </c>
      <c r="N32" s="45" t="str">
        <f>VLOOKUP(C32,Bolts!A:L,12,0)</f>
        <v xml:space="preserve"> </v>
      </c>
      <c r="O32" s="45" t="e">
        <f t="shared" ca="1" si="10"/>
        <v>#VALUE!</v>
      </c>
      <c r="P32" s="49" t="str">
        <f>IFERROR(VLOOKUP(C32,Bolts!A:B,2,FALSE),"")</f>
        <v xml:space="preserve"> </v>
      </c>
      <c r="Q32" s="50" t="str">
        <f t="shared" ref="Q32:Q40" si="11">IFERROR(B32*P32,"")</f>
        <v/>
      </c>
    </row>
    <row r="33" spans="1:17" s="2" customFormat="1" ht="12" customHeight="1">
      <c r="A33" s="4">
        <f>A32+1</f>
        <v>502</v>
      </c>
      <c r="B33" s="2">
        <v>10</v>
      </c>
      <c r="C33" s="110" t="s">
        <v>454</v>
      </c>
      <c r="D33" s="268"/>
      <c r="E33" s="276"/>
      <c r="F33" s="112" t="str">
        <f>VLOOKUP(C33,Bolts!A:L,5,0)</f>
        <v xml:space="preserve">  </v>
      </c>
      <c r="G33" s="112" t="str">
        <f>VLOOKUP(C33,Bolts!A:L,6,0)</f>
        <v>Monroe Fasteners</v>
      </c>
      <c r="H33" s="112" t="str">
        <f>VLOOKUP(C33,Bolts!A:L,7,0)</f>
        <v xml:space="preserve">  </v>
      </c>
      <c r="I33" s="112"/>
      <c r="J33" s="44" t="str">
        <f>VLOOKUP(C33,Bolts!A:L,8,0)</f>
        <v xml:space="preserve"> </v>
      </c>
      <c r="K33" s="44" t="str">
        <f>VLOOKUP(C33,Bolts!A:L,9,0)</f>
        <v xml:space="preserve"> </v>
      </c>
      <c r="L33" s="44" t="str">
        <f>VLOOKUP(C33,Bolts!A:L,10,0)</f>
        <v xml:space="preserve"> </v>
      </c>
      <c r="M33" s="44" t="str">
        <f>VLOOKUP(C33,Bolts!A:L,11,0)</f>
        <v xml:space="preserve"> </v>
      </c>
      <c r="N33" s="45" t="str">
        <f>VLOOKUP(C33,Bolts!A:L,12,0)</f>
        <v xml:space="preserve"> </v>
      </c>
      <c r="O33" s="45" t="e">
        <f t="shared" ca="1" si="10"/>
        <v>#VALUE!</v>
      </c>
      <c r="P33" s="49" t="str">
        <f>IFERROR(VLOOKUP(C33,Bolts!A:B,2,FALSE),"")</f>
        <v xml:space="preserve"> </v>
      </c>
      <c r="Q33" s="50" t="str">
        <f t="shared" si="11"/>
        <v/>
      </c>
    </row>
    <row r="34" spans="1:17" s="2" customFormat="1" ht="12" customHeight="1">
      <c r="A34" s="4">
        <f t="shared" ref="A34:A41" si="12">A33+1</f>
        <v>503</v>
      </c>
      <c r="B34" s="2">
        <v>12</v>
      </c>
      <c r="C34" s="110" t="s">
        <v>493</v>
      </c>
      <c r="D34" s="164"/>
      <c r="E34" s="165"/>
      <c r="F34" s="112"/>
      <c r="G34" s="112" t="str">
        <f>VLOOKUP(C34,Bolts!A:L,6,0)</f>
        <v>Monroe Fasteners</v>
      </c>
      <c r="H34" s="112" t="str">
        <f>VLOOKUP(C34,Bolts!A:L,7,0)</f>
        <v xml:space="preserve">  </v>
      </c>
      <c r="I34" s="112"/>
      <c r="J34" s="44" t="str">
        <f>VLOOKUP(C34,Bolts!A:L,8,0)</f>
        <v xml:space="preserve"> </v>
      </c>
      <c r="K34" s="44" t="str">
        <f>VLOOKUP(C34,Bolts!A:L,9,0)</f>
        <v xml:space="preserve"> </v>
      </c>
      <c r="L34" s="44" t="str">
        <f>VLOOKUP(C34,Bolts!A:L,10,0)</f>
        <v xml:space="preserve"> </v>
      </c>
      <c r="M34" s="44" t="str">
        <f>VLOOKUP(C34,Bolts!A:L,11,0)</f>
        <v xml:space="preserve"> </v>
      </c>
      <c r="N34" s="45" t="str">
        <f>VLOOKUP(C34,Bolts!A:L,12,0)</f>
        <v xml:space="preserve"> </v>
      </c>
      <c r="O34" s="45" t="e">
        <f t="shared" ref="O34" ca="1" si="13">B34*$L$2</f>
        <v>#VALUE!</v>
      </c>
      <c r="P34" s="49" t="str">
        <f>IFERROR(VLOOKUP(C34,Bolts!A:B,2,FALSE),"")</f>
        <v xml:space="preserve"> </v>
      </c>
      <c r="Q34" s="50" t="str">
        <f t="shared" ref="Q34" si="14">IFERROR(B34*P34,"")</f>
        <v/>
      </c>
    </row>
    <row r="35" spans="1:17" s="2" customFormat="1" ht="12" customHeight="1">
      <c r="A35" s="4">
        <f t="shared" si="12"/>
        <v>504</v>
      </c>
      <c r="B35" s="2">
        <v>4</v>
      </c>
      <c r="C35" s="110" t="s">
        <v>668</v>
      </c>
      <c r="D35" s="268"/>
      <c r="E35" s="276"/>
      <c r="F35" s="112" t="str">
        <f>VLOOKUP(C35,Bolts!A:L,5,0)</f>
        <v xml:space="preserve">  </v>
      </c>
      <c r="G35" s="112" t="str">
        <f>VLOOKUP(C35,Bolts!A:L,6,0)</f>
        <v>Monroe Fasteners</v>
      </c>
      <c r="H35" s="112" t="str">
        <f>VLOOKUP(C35,Bolts!A:L,7,0)</f>
        <v xml:space="preserve">  </v>
      </c>
      <c r="I35" s="112"/>
      <c r="J35" s="44" t="str">
        <f>VLOOKUP(C35,Bolts!A:L,8,0)</f>
        <v xml:space="preserve"> </v>
      </c>
      <c r="K35" s="44" t="str">
        <f>VLOOKUP(C35,Bolts!A:L,9,0)</f>
        <v xml:space="preserve"> </v>
      </c>
      <c r="L35" s="44" t="str">
        <f>VLOOKUP(C35,Bolts!A:L,10,0)</f>
        <v xml:space="preserve"> </v>
      </c>
      <c r="M35" s="44" t="str">
        <f>VLOOKUP(C35,Bolts!A:L,11,0)</f>
        <v xml:space="preserve"> </v>
      </c>
      <c r="N35" s="45" t="str">
        <f>VLOOKUP(C35,Bolts!A:L,12,0)</f>
        <v xml:space="preserve"> </v>
      </c>
      <c r="O35" s="45" t="e">
        <f t="shared" ca="1" si="10"/>
        <v>#VALUE!</v>
      </c>
      <c r="P35" s="49" t="str">
        <f>IFERROR(VLOOKUP(C35,Bolts!A:B,2,FALSE),"")</f>
        <v xml:space="preserve"> </v>
      </c>
      <c r="Q35" s="50" t="str">
        <f t="shared" si="11"/>
        <v/>
      </c>
    </row>
    <row r="36" spans="1:17" s="2" customFormat="1" ht="12" customHeight="1">
      <c r="A36" s="4">
        <f t="shared" si="12"/>
        <v>505</v>
      </c>
      <c r="B36" s="2">
        <v>16</v>
      </c>
      <c r="C36" s="110" t="s">
        <v>968</v>
      </c>
      <c r="D36" s="268"/>
      <c r="E36" s="276"/>
      <c r="F36" s="112">
        <f>VLOOKUP(C36,Bolts!A:L,5,0)</f>
        <v>0</v>
      </c>
      <c r="G36" s="112">
        <f>VLOOKUP(C36,Bolts!A:L,6,0)</f>
        <v>0</v>
      </c>
      <c r="H36" s="112">
        <f>VLOOKUP(C36,Bolts!A:L,7,0)</f>
        <v>0</v>
      </c>
      <c r="I36" s="112"/>
      <c r="J36" s="44">
        <f>VLOOKUP(C36,Bolts!A:L,8,0)</f>
        <v>0</v>
      </c>
      <c r="K36" s="44">
        <f>VLOOKUP(C36,Bolts!A:L,9,0)</f>
        <v>0</v>
      </c>
      <c r="L36" s="44">
        <f>VLOOKUP(C36,Bolts!A:L,10,0)</f>
        <v>0</v>
      </c>
      <c r="M36" s="44">
        <f>VLOOKUP(C36,Bolts!A:L,11,0)</f>
        <v>0</v>
      </c>
      <c r="N36" s="45">
        <f>VLOOKUP(C36,Bolts!A:L,12,0)</f>
        <v>0</v>
      </c>
      <c r="O36" s="45" t="e">
        <f t="shared" ca="1" si="10"/>
        <v>#VALUE!</v>
      </c>
      <c r="P36" s="49">
        <f>IFERROR(VLOOKUP(C36,Bolts!A:B,2,FALSE),"")</f>
        <v>0</v>
      </c>
      <c r="Q36" s="50">
        <f t="shared" si="11"/>
        <v>0</v>
      </c>
    </row>
    <row r="37" spans="1:17" s="2" customFormat="1" ht="12" customHeight="1">
      <c r="A37" s="4">
        <f t="shared" si="12"/>
        <v>506</v>
      </c>
      <c r="B37" s="2">
        <v>4</v>
      </c>
      <c r="C37" s="110" t="s">
        <v>288</v>
      </c>
      <c r="D37" s="268"/>
      <c r="E37" s="276"/>
      <c r="F37" s="112" t="str">
        <f>VLOOKUP(C37,Bolts!A:L,5,0)</f>
        <v xml:space="preserve">  </v>
      </c>
      <c r="G37" s="112" t="str">
        <f>VLOOKUP(C37,Bolts!A:L,6,0)</f>
        <v>Monroe Fasteners</v>
      </c>
      <c r="H37" s="112" t="str">
        <f>VLOOKUP(C37,Bolts!A:L,7,0)</f>
        <v xml:space="preserve">  </v>
      </c>
      <c r="I37" s="112"/>
      <c r="J37" s="44" t="str">
        <f>VLOOKUP(C37,Bolts!A:L,8,0)</f>
        <v xml:space="preserve"> </v>
      </c>
      <c r="K37" s="44" t="str">
        <f>VLOOKUP(C37,Bolts!A:L,9,0)</f>
        <v xml:space="preserve"> </v>
      </c>
      <c r="L37" s="44" t="str">
        <f>VLOOKUP(C37,Bolts!A:L,10,0)</f>
        <v xml:space="preserve"> </v>
      </c>
      <c r="M37" s="44" t="str">
        <f>VLOOKUP(C37,Bolts!A:L,11,0)</f>
        <v xml:space="preserve"> </v>
      </c>
      <c r="N37" s="45" t="str">
        <f>VLOOKUP(C37,Bolts!A:L,12,0)</f>
        <v xml:space="preserve"> </v>
      </c>
      <c r="O37" s="45" t="e">
        <f t="shared" ca="1" si="10"/>
        <v>#VALUE!</v>
      </c>
      <c r="P37" s="49" t="str">
        <f>IFERROR(VLOOKUP(C37,Bolts!A:B,2,FALSE),"")</f>
        <v xml:space="preserve"> </v>
      </c>
      <c r="Q37" s="50" t="str">
        <f t="shared" si="11"/>
        <v/>
      </c>
    </row>
    <row r="38" spans="1:17" s="2" customFormat="1" ht="12" customHeight="1">
      <c r="A38" s="4">
        <f t="shared" si="12"/>
        <v>507</v>
      </c>
      <c r="B38" s="2">
        <v>4</v>
      </c>
      <c r="C38" s="110" t="s">
        <v>1272</v>
      </c>
      <c r="D38" s="268"/>
      <c r="E38" s="276"/>
      <c r="F38" s="112" t="str">
        <f>VLOOKUP(C38,Bolts!A:L,5,0)</f>
        <v xml:space="preserve">  </v>
      </c>
      <c r="G38" s="112" t="str">
        <f>VLOOKUP(C38,Bolts!A:L,6,0)</f>
        <v>Monroe Fasteners</v>
      </c>
      <c r="H38" s="112" t="str">
        <f>VLOOKUP(C38,Bolts!A:L,7,0)</f>
        <v xml:space="preserve">  </v>
      </c>
      <c r="I38" s="112"/>
      <c r="J38" s="44" t="str">
        <f>VLOOKUP(C38,Bolts!A:L,8,0)</f>
        <v xml:space="preserve"> </v>
      </c>
      <c r="K38" s="44" t="str">
        <f>VLOOKUP(C38,Bolts!A:L,9,0)</f>
        <v xml:space="preserve"> </v>
      </c>
      <c r="L38" s="44" t="str">
        <f>VLOOKUP(C38,Bolts!A:L,10,0)</f>
        <v xml:space="preserve"> </v>
      </c>
      <c r="M38" s="44" t="str">
        <f>VLOOKUP(C38,Bolts!A:L,11,0)</f>
        <v xml:space="preserve"> </v>
      </c>
      <c r="N38" s="45" t="str">
        <f>VLOOKUP(C38,Bolts!A:L,12,0)</f>
        <v xml:space="preserve"> </v>
      </c>
      <c r="O38" s="45" t="e">
        <f t="shared" ca="1" si="10"/>
        <v>#VALUE!</v>
      </c>
      <c r="P38" s="49" t="str">
        <f>IFERROR(VLOOKUP(C38,Bolts!A:B,2,FALSE),"")</f>
        <v xml:space="preserve"> </v>
      </c>
      <c r="Q38" s="50" t="str">
        <f t="shared" si="11"/>
        <v/>
      </c>
    </row>
    <row r="39" spans="1:17" s="2" customFormat="1" ht="12" customHeight="1">
      <c r="A39" s="4">
        <f t="shared" si="12"/>
        <v>508</v>
      </c>
      <c r="B39" s="2">
        <v>16</v>
      </c>
      <c r="C39" s="110" t="s">
        <v>337</v>
      </c>
      <c r="D39" s="268"/>
      <c r="E39" s="276"/>
      <c r="F39" s="112" t="str">
        <f>VLOOKUP(C39,Bolts!A:L,5,0)</f>
        <v xml:space="preserve">  </v>
      </c>
      <c r="G39" s="112" t="str">
        <f>VLOOKUP(C39,Bolts!A:L,6,0)</f>
        <v>Monroe Fasteners</v>
      </c>
      <c r="H39" s="112" t="str">
        <f>VLOOKUP(C39,Bolts!A:L,7,0)</f>
        <v xml:space="preserve">  </v>
      </c>
      <c r="I39" s="112"/>
      <c r="J39" s="44" t="str">
        <f>VLOOKUP(C39,Bolts!A:L,8,0)</f>
        <v xml:space="preserve"> </v>
      </c>
      <c r="K39" s="44" t="str">
        <f>VLOOKUP(C39,Bolts!A:L,9,0)</f>
        <v xml:space="preserve"> </v>
      </c>
      <c r="L39" s="44" t="str">
        <f>VLOOKUP(C39,Bolts!A:L,10,0)</f>
        <v xml:space="preserve"> </v>
      </c>
      <c r="M39" s="44" t="str">
        <f>VLOOKUP(C39,Bolts!A:L,11,0)</f>
        <v xml:space="preserve"> </v>
      </c>
      <c r="N39" s="45" t="str">
        <f>VLOOKUP(C39,Bolts!A:L,12,0)</f>
        <v xml:space="preserve"> </v>
      </c>
      <c r="O39" s="45" t="e">
        <f t="shared" ca="1" si="10"/>
        <v>#VALUE!</v>
      </c>
      <c r="P39" s="49" t="str">
        <f>IFERROR(VLOOKUP(C39,Bolts!A:B,2,FALSE),"")</f>
        <v xml:space="preserve"> </v>
      </c>
      <c r="Q39" s="50" t="str">
        <f t="shared" si="11"/>
        <v/>
      </c>
    </row>
    <row r="40" spans="1:17" s="2" customFormat="1" ht="12" customHeight="1">
      <c r="A40" s="4">
        <f t="shared" si="12"/>
        <v>509</v>
      </c>
      <c r="B40" s="2">
        <v>4</v>
      </c>
      <c r="C40" s="110" t="s">
        <v>595</v>
      </c>
      <c r="D40" s="268"/>
      <c r="E40" s="276"/>
      <c r="F40" s="112" t="str">
        <f>VLOOKUP(C40,Bolts!A:L,5,0)</f>
        <v xml:space="preserve">  </v>
      </c>
      <c r="G40" s="112" t="str">
        <f>VLOOKUP(C40,Bolts!A:L,6,0)</f>
        <v>Monroe Fasteners</v>
      </c>
      <c r="H40" s="112" t="str">
        <f>VLOOKUP(C40,Bolts!A:L,7,0)</f>
        <v xml:space="preserve">  </v>
      </c>
      <c r="I40" s="112"/>
      <c r="J40" s="44" t="str">
        <f>VLOOKUP(C40,Bolts!A:L,8,0)</f>
        <v xml:space="preserve"> </v>
      </c>
      <c r="K40" s="44" t="str">
        <f>VLOOKUP(C40,Bolts!A:L,9,0)</f>
        <v xml:space="preserve"> </v>
      </c>
      <c r="L40" s="44" t="str">
        <f>VLOOKUP(C40,Bolts!A:L,10,0)</f>
        <v xml:space="preserve"> </v>
      </c>
      <c r="M40" s="44" t="str">
        <f>VLOOKUP(C40,Bolts!A:L,11,0)</f>
        <v xml:space="preserve"> </v>
      </c>
      <c r="N40" s="45" t="str">
        <f>VLOOKUP(C40,Bolts!A:L,12,0)</f>
        <v xml:space="preserve"> </v>
      </c>
      <c r="O40" s="45" t="e">
        <f t="shared" ca="1" si="10"/>
        <v>#VALUE!</v>
      </c>
      <c r="P40" s="49" t="str">
        <f>IFERROR(VLOOKUP(C40,Bolts!A:B,2,FALSE),"")</f>
        <v xml:space="preserve"> </v>
      </c>
      <c r="Q40" s="50" t="str">
        <f t="shared" si="11"/>
        <v/>
      </c>
    </row>
    <row r="41" spans="1:17" s="2" customFormat="1" ht="12" customHeight="1" thickBot="1">
      <c r="A41" s="4">
        <f t="shared" si="12"/>
        <v>510</v>
      </c>
      <c r="B41" s="2">
        <v>4</v>
      </c>
      <c r="C41" s="110" t="s">
        <v>452</v>
      </c>
      <c r="D41" s="268"/>
      <c r="E41" s="276"/>
      <c r="F41" s="112" t="str">
        <f>VLOOKUP(C41,Bolts!A:L,5,0)</f>
        <v xml:space="preserve">  </v>
      </c>
      <c r="G41" s="112" t="str">
        <f>VLOOKUP(C41,Bolts!A:L,6,0)</f>
        <v>Monroe Fasteners</v>
      </c>
      <c r="H41" s="112" t="str">
        <f>VLOOKUP(C41,Bolts!A:L,7,0)</f>
        <v xml:space="preserve">  </v>
      </c>
      <c r="I41" s="112"/>
      <c r="J41" s="44" t="str">
        <f>VLOOKUP(C41,Bolts!A:L,8,0)</f>
        <v xml:space="preserve"> </v>
      </c>
      <c r="K41" s="44" t="str">
        <f>VLOOKUP(C41,Bolts!A:L,9,0)</f>
        <v xml:space="preserve"> </v>
      </c>
      <c r="L41" s="44" t="str">
        <f>VLOOKUP(C41,Bolts!A:L,10,0)</f>
        <v xml:space="preserve"> </v>
      </c>
      <c r="M41" s="44" t="str">
        <f>VLOOKUP(C41,Bolts!A:L,11,0)</f>
        <v xml:space="preserve"> </v>
      </c>
      <c r="N41" s="45" t="str">
        <f>VLOOKUP(C41,Bolts!A:L,12,0)</f>
        <v xml:space="preserve"> </v>
      </c>
      <c r="O41" s="45" t="e">
        <f t="shared" ref="O41" ca="1" si="15">B41*$L$2</f>
        <v>#VALUE!</v>
      </c>
      <c r="P41" s="49" t="str">
        <f>IFERROR(VLOOKUP(C41,Bolts!A:B,2,FALSE),"")</f>
        <v xml:space="preserve"> </v>
      </c>
      <c r="Q41" s="50" t="str">
        <f t="shared" ref="Q41" si="16">IFERROR(B41*P41,"")</f>
        <v/>
      </c>
    </row>
    <row r="42" spans="1:17" s="2" customFormat="1" ht="12.75" customHeight="1" thickBot="1">
      <c r="A42" s="34"/>
      <c r="B42" s="35"/>
      <c r="C42" s="35"/>
      <c r="D42" s="256"/>
      <c r="E42" s="257"/>
      <c r="F42" s="35"/>
      <c r="G42" s="35"/>
      <c r="H42" s="294"/>
      <c r="I42" s="295"/>
      <c r="J42" s="36"/>
      <c r="K42" s="36"/>
      <c r="L42" s="36"/>
      <c r="M42" s="37"/>
      <c r="N42" s="38"/>
      <c r="O42" s="38"/>
      <c r="P42" s="89" t="s">
        <v>43</v>
      </c>
      <c r="Q42" s="94">
        <f>SUM(Q5:Q30)</f>
        <v>4955.6428999999998</v>
      </c>
    </row>
    <row r="43" spans="1:17" s="2" customFormat="1" ht="12" customHeight="1">
      <c r="D43" s="22"/>
      <c r="E43" s="22"/>
      <c r="J43" s="8"/>
      <c r="K43" s="8"/>
      <c r="L43" s="8"/>
      <c r="M43" s="8"/>
      <c r="N43" s="5"/>
      <c r="O43" s="5"/>
      <c r="P43" s="88"/>
      <c r="Q43" s="95"/>
    </row>
    <row r="44" spans="1:17" s="2" customFormat="1" ht="12" customHeight="1">
      <c r="D44" s="22"/>
      <c r="E44" s="22"/>
      <c r="J44" s="5"/>
      <c r="K44" s="5"/>
      <c r="L44" s="5"/>
      <c r="M44" s="5"/>
      <c r="N44" s="5"/>
      <c r="O44" s="5"/>
      <c r="P44" s="88"/>
      <c r="Q44" s="95"/>
    </row>
    <row r="45" spans="1:17" s="2" customFormat="1" ht="12" customHeight="1">
      <c r="D45" s="22"/>
      <c r="E45" s="22"/>
      <c r="J45" s="5"/>
      <c r="K45" s="5"/>
      <c r="L45" s="5"/>
      <c r="M45" s="5"/>
      <c r="N45" s="5"/>
      <c r="O45" s="5"/>
      <c r="P45" s="88"/>
      <c r="Q45" s="95"/>
    </row>
    <row r="46" spans="1:17" s="2" customFormat="1" ht="12" customHeight="1">
      <c r="D46" s="22"/>
      <c r="E46" s="22"/>
      <c r="J46" s="5"/>
      <c r="K46" s="5"/>
      <c r="L46" s="5"/>
      <c r="M46" s="5"/>
      <c r="N46" s="5"/>
      <c r="O46" s="5"/>
      <c r="P46" s="88"/>
      <c r="Q46" s="95"/>
    </row>
    <row r="47" spans="1:17" s="2" customFormat="1" ht="12" customHeight="1">
      <c r="D47" s="22"/>
      <c r="E47" s="22"/>
      <c r="J47" s="5"/>
      <c r="K47" s="5"/>
      <c r="L47" s="5"/>
      <c r="M47" s="5"/>
      <c r="N47" s="5"/>
      <c r="O47" s="5"/>
      <c r="P47" s="88"/>
      <c r="Q47" s="95"/>
    </row>
    <row r="48" spans="1:17" s="2" customFormat="1" ht="12" customHeight="1">
      <c r="D48" s="22"/>
      <c r="E48" s="22"/>
      <c r="J48" s="5"/>
      <c r="K48" s="5"/>
      <c r="L48" s="5"/>
      <c r="M48" s="5"/>
      <c r="N48" s="5"/>
      <c r="O48" s="5"/>
      <c r="P48" s="88"/>
      <c r="Q48" s="95"/>
    </row>
    <row r="49" spans="4:17" s="2" customFormat="1" ht="12" customHeight="1">
      <c r="D49" s="22"/>
      <c r="E49" s="22"/>
      <c r="J49" s="5"/>
      <c r="K49" s="5"/>
      <c r="L49" s="5"/>
      <c r="M49" s="5"/>
      <c r="N49" s="5"/>
      <c r="O49" s="5"/>
      <c r="P49" s="88"/>
      <c r="Q49" s="95"/>
    </row>
    <row r="50" spans="4:17" s="2" customFormat="1" ht="12" customHeight="1">
      <c r="D50" s="22"/>
      <c r="E50" s="22"/>
      <c r="J50" s="5"/>
      <c r="K50" s="5"/>
      <c r="L50" s="5"/>
      <c r="M50" s="5"/>
      <c r="N50" s="5"/>
      <c r="O50" s="5"/>
      <c r="P50" s="88"/>
      <c r="Q50" s="95"/>
    </row>
    <row r="51" spans="4:17" s="2" customFormat="1" ht="12" customHeight="1">
      <c r="D51" s="22"/>
      <c r="E51" s="22"/>
      <c r="J51" s="5"/>
      <c r="K51" s="5"/>
      <c r="L51" s="5"/>
      <c r="M51" s="5"/>
      <c r="N51" s="5"/>
      <c r="O51" s="5"/>
      <c r="P51" s="88"/>
      <c r="Q51" s="95"/>
    </row>
    <row r="52" spans="4:17" s="2" customFormat="1" ht="12" customHeight="1">
      <c r="D52" s="22"/>
      <c r="E52" s="22"/>
      <c r="J52" s="5"/>
      <c r="K52" s="5"/>
      <c r="L52" s="5"/>
      <c r="M52" s="5"/>
      <c r="N52" s="5"/>
      <c r="O52" s="5"/>
      <c r="P52" s="88"/>
      <c r="Q52" s="95"/>
    </row>
    <row r="53" spans="4:17" s="2" customFormat="1" ht="12" customHeight="1">
      <c r="D53" s="22"/>
      <c r="E53" s="22"/>
      <c r="J53" s="5"/>
      <c r="K53" s="5"/>
      <c r="L53" s="5"/>
      <c r="M53" s="5"/>
      <c r="N53" s="5"/>
      <c r="O53" s="5"/>
      <c r="P53" s="88"/>
      <c r="Q53" s="95"/>
    </row>
    <row r="54" spans="4:17" s="2" customFormat="1" ht="12" customHeight="1">
      <c r="D54" s="22"/>
      <c r="E54" s="22"/>
      <c r="J54" s="5"/>
      <c r="K54" s="5"/>
      <c r="L54" s="5"/>
      <c r="M54" s="5"/>
      <c r="N54" s="5"/>
      <c r="O54" s="5"/>
      <c r="P54" s="88"/>
      <c r="Q54" s="95"/>
    </row>
    <row r="55" spans="4:17" s="2" customFormat="1" ht="12" customHeight="1">
      <c r="D55" s="22"/>
      <c r="E55" s="22"/>
      <c r="J55" s="5"/>
      <c r="K55" s="5"/>
      <c r="L55" s="5"/>
      <c r="M55" s="5"/>
      <c r="N55" s="5"/>
      <c r="O55" s="5"/>
      <c r="P55" s="88"/>
      <c r="Q55" s="95"/>
    </row>
    <row r="56" spans="4:17" s="2" customFormat="1" ht="12" customHeight="1">
      <c r="D56" s="22"/>
      <c r="E56" s="22"/>
      <c r="J56" s="5"/>
      <c r="K56" s="5"/>
      <c r="L56" s="5"/>
      <c r="M56" s="5"/>
      <c r="N56" s="5"/>
      <c r="O56" s="5"/>
      <c r="P56" s="88"/>
      <c r="Q56" s="95"/>
    </row>
    <row r="57" spans="4:17" s="2" customFormat="1" ht="12" customHeight="1">
      <c r="D57" s="22"/>
      <c r="E57" s="22"/>
      <c r="J57" s="5"/>
      <c r="K57" s="5"/>
      <c r="L57" s="5"/>
      <c r="M57" s="5"/>
      <c r="N57" s="5"/>
      <c r="O57" s="5"/>
      <c r="P57" s="88"/>
      <c r="Q57" s="95"/>
    </row>
    <row r="58" spans="4:17" s="2" customFormat="1" ht="12" customHeight="1">
      <c r="D58" s="22"/>
      <c r="E58" s="22"/>
      <c r="J58" s="5"/>
      <c r="K58" s="5"/>
      <c r="L58" s="5"/>
      <c r="M58" s="5"/>
      <c r="N58" s="5"/>
      <c r="O58" s="5"/>
      <c r="P58" s="88"/>
      <c r="Q58" s="95"/>
    </row>
    <row r="59" spans="4:17" s="2" customFormat="1" ht="12" customHeight="1">
      <c r="D59" s="22"/>
      <c r="E59" s="22"/>
      <c r="J59" s="5"/>
      <c r="K59" s="5"/>
      <c r="L59" s="5"/>
      <c r="M59" s="5"/>
      <c r="N59" s="5"/>
      <c r="O59" s="5"/>
      <c r="P59" s="88"/>
      <c r="Q59" s="95"/>
    </row>
    <row r="60" spans="4:17" s="2" customFormat="1" ht="12" customHeight="1">
      <c r="D60" s="22"/>
      <c r="E60" s="22"/>
      <c r="J60" s="5"/>
      <c r="K60" s="5"/>
      <c r="L60" s="5"/>
      <c r="M60" s="5"/>
      <c r="N60" s="5"/>
      <c r="O60" s="5"/>
      <c r="P60" s="88"/>
      <c r="Q60" s="95"/>
    </row>
    <row r="61" spans="4:17" s="2" customFormat="1" ht="12" customHeight="1">
      <c r="D61" s="22"/>
      <c r="E61" s="22"/>
      <c r="J61" s="5"/>
      <c r="K61" s="5"/>
      <c r="L61" s="5"/>
      <c r="M61" s="5"/>
      <c r="N61" s="5"/>
      <c r="O61" s="5"/>
      <c r="P61" s="88"/>
      <c r="Q61" s="95"/>
    </row>
    <row r="62" spans="4:17" s="2" customFormat="1" ht="12" customHeight="1">
      <c r="D62" s="22"/>
      <c r="E62" s="22"/>
      <c r="J62" s="5"/>
      <c r="K62" s="5"/>
      <c r="L62" s="5"/>
      <c r="M62" s="5"/>
      <c r="N62" s="5"/>
      <c r="O62" s="5"/>
      <c r="P62" s="88"/>
      <c r="Q62" s="95"/>
    </row>
    <row r="63" spans="4:17" s="2" customFormat="1" ht="12" customHeight="1">
      <c r="D63" s="22"/>
      <c r="E63" s="22"/>
      <c r="J63" s="5"/>
      <c r="K63" s="5"/>
      <c r="L63" s="5"/>
      <c r="M63" s="5"/>
      <c r="N63" s="5"/>
      <c r="O63" s="5"/>
      <c r="P63" s="88"/>
      <c r="Q63" s="95"/>
    </row>
    <row r="64" spans="4:17" s="2" customFormat="1" ht="12" customHeight="1">
      <c r="D64" s="22"/>
      <c r="E64" s="22"/>
      <c r="J64" s="5"/>
      <c r="K64" s="5"/>
      <c r="L64" s="5"/>
      <c r="M64" s="5"/>
      <c r="N64" s="5"/>
      <c r="O64" s="5"/>
      <c r="P64" s="88"/>
      <c r="Q64" s="95"/>
    </row>
    <row r="65" spans="4:17" s="2" customFormat="1" ht="12" customHeight="1">
      <c r="D65" s="22"/>
      <c r="E65" s="22"/>
      <c r="J65" s="5"/>
      <c r="K65" s="5"/>
      <c r="L65" s="5"/>
      <c r="M65" s="5"/>
      <c r="N65" s="5"/>
      <c r="O65" s="5"/>
      <c r="P65" s="88"/>
      <c r="Q65" s="95"/>
    </row>
    <row r="66" spans="4:17" s="2" customFormat="1" ht="12" customHeight="1">
      <c r="D66" s="22"/>
      <c r="E66" s="22"/>
      <c r="J66" s="5"/>
      <c r="K66" s="5"/>
      <c r="L66" s="5"/>
      <c r="M66" s="5"/>
      <c r="N66" s="5"/>
      <c r="O66" s="5"/>
      <c r="P66" s="88"/>
      <c r="Q66" s="95"/>
    </row>
    <row r="67" spans="4:17" s="2" customFormat="1" ht="12" customHeight="1">
      <c r="D67" s="22"/>
      <c r="E67" s="22"/>
      <c r="J67" s="5"/>
      <c r="K67" s="5"/>
      <c r="L67" s="5"/>
      <c r="M67" s="5"/>
      <c r="N67" s="5"/>
      <c r="O67" s="5"/>
      <c r="P67" s="88"/>
      <c r="Q67" s="95"/>
    </row>
    <row r="68" spans="4:17" s="2" customFormat="1" ht="12" customHeight="1">
      <c r="D68" s="22"/>
      <c r="E68" s="22"/>
      <c r="J68" s="5"/>
      <c r="K68" s="5"/>
      <c r="L68" s="5"/>
      <c r="M68" s="5"/>
      <c r="N68" s="5"/>
      <c r="O68" s="5"/>
      <c r="P68" s="88"/>
      <c r="Q68" s="95"/>
    </row>
    <row r="69" spans="4:17" s="2" customFormat="1" ht="12" customHeight="1">
      <c r="D69" s="22"/>
      <c r="E69" s="22"/>
      <c r="J69" s="5"/>
      <c r="K69" s="5"/>
      <c r="L69" s="5"/>
      <c r="M69" s="5"/>
      <c r="N69" s="5"/>
      <c r="O69" s="5"/>
      <c r="P69" s="88"/>
      <c r="Q69" s="95"/>
    </row>
    <row r="70" spans="4:17" s="2" customFormat="1" ht="12" customHeight="1">
      <c r="D70" s="22"/>
      <c r="E70" s="22"/>
      <c r="J70" s="5"/>
      <c r="K70" s="5"/>
      <c r="L70" s="5"/>
      <c r="M70" s="5"/>
      <c r="N70" s="5"/>
      <c r="O70" s="5"/>
      <c r="P70" s="88"/>
      <c r="Q70" s="95"/>
    </row>
    <row r="71" spans="4:17" s="2" customFormat="1" ht="12" customHeight="1">
      <c r="D71" s="22"/>
      <c r="E71" s="22"/>
      <c r="J71" s="5"/>
      <c r="K71" s="5"/>
      <c r="L71" s="5"/>
      <c r="M71" s="5"/>
      <c r="N71" s="5"/>
      <c r="O71" s="5"/>
      <c r="P71" s="88"/>
      <c r="Q71" s="95"/>
    </row>
    <row r="72" spans="4:17" s="2" customFormat="1" ht="12" customHeight="1">
      <c r="D72" s="22"/>
      <c r="E72" s="22"/>
      <c r="J72" s="5"/>
      <c r="K72" s="5"/>
      <c r="L72" s="5"/>
      <c r="M72" s="5"/>
      <c r="N72" s="5"/>
      <c r="O72" s="5"/>
      <c r="P72" s="88"/>
      <c r="Q72" s="95"/>
    </row>
    <row r="73" spans="4:17" s="2" customFormat="1" ht="12" customHeight="1">
      <c r="D73" s="22"/>
      <c r="E73" s="22"/>
      <c r="J73" s="5"/>
      <c r="K73" s="5"/>
      <c r="L73" s="5"/>
      <c r="M73" s="5"/>
      <c r="N73" s="5"/>
      <c r="O73" s="5"/>
      <c r="P73" s="88"/>
      <c r="Q73" s="95"/>
    </row>
    <row r="74" spans="4:17" s="2" customFormat="1" ht="12" customHeight="1">
      <c r="D74" s="22"/>
      <c r="E74" s="22"/>
      <c r="J74" s="5"/>
      <c r="K74" s="5"/>
      <c r="L74" s="5"/>
      <c r="M74" s="5"/>
      <c r="N74" s="5"/>
      <c r="O74" s="5"/>
      <c r="P74" s="88"/>
      <c r="Q74" s="95"/>
    </row>
    <row r="75" spans="4:17" s="2" customFormat="1" ht="12" customHeight="1">
      <c r="D75" s="22"/>
      <c r="E75" s="22"/>
      <c r="J75" s="5"/>
      <c r="K75" s="5"/>
      <c r="L75" s="5"/>
      <c r="M75" s="5"/>
      <c r="N75" s="5"/>
      <c r="O75" s="5"/>
      <c r="P75" s="88"/>
      <c r="Q75" s="95"/>
    </row>
    <row r="76" spans="4:17" s="2" customFormat="1" ht="12" customHeight="1">
      <c r="D76" s="22"/>
      <c r="E76" s="22"/>
      <c r="J76" s="5"/>
      <c r="K76" s="5"/>
      <c r="L76" s="5"/>
      <c r="M76" s="5"/>
      <c r="N76" s="5"/>
      <c r="O76" s="5"/>
      <c r="P76" s="88"/>
      <c r="Q76" s="95"/>
    </row>
    <row r="77" spans="4:17" s="2" customFormat="1" ht="12" customHeight="1">
      <c r="D77" s="22"/>
      <c r="E77" s="22"/>
      <c r="J77" s="5"/>
      <c r="K77" s="5"/>
      <c r="L77" s="5"/>
      <c r="M77" s="5"/>
      <c r="N77" s="5"/>
      <c r="O77" s="5"/>
      <c r="P77" s="88"/>
      <c r="Q77" s="95"/>
    </row>
    <row r="78" spans="4:17" s="2" customFormat="1" ht="12" customHeight="1">
      <c r="D78" s="22"/>
      <c r="E78" s="22"/>
      <c r="J78" s="5"/>
      <c r="K78" s="5"/>
      <c r="L78" s="5"/>
      <c r="M78" s="5"/>
      <c r="N78" s="5"/>
      <c r="O78" s="5"/>
      <c r="P78" s="88"/>
      <c r="Q78" s="95"/>
    </row>
    <row r="79" spans="4:17" s="2" customFormat="1" ht="12" customHeight="1">
      <c r="D79" s="22"/>
      <c r="E79" s="22"/>
      <c r="J79" s="5"/>
      <c r="K79" s="5"/>
      <c r="L79" s="5"/>
      <c r="M79" s="5"/>
      <c r="N79" s="5"/>
      <c r="O79" s="5"/>
      <c r="P79" s="88"/>
      <c r="Q79" s="95"/>
    </row>
    <row r="80" spans="4:17" s="2" customFormat="1" ht="12" customHeight="1">
      <c r="D80" s="22"/>
      <c r="E80" s="22"/>
      <c r="J80" s="5"/>
      <c r="K80" s="5"/>
      <c r="L80" s="5"/>
      <c r="M80" s="5"/>
      <c r="N80" s="5"/>
      <c r="O80" s="5"/>
      <c r="P80" s="88"/>
      <c r="Q80" s="95"/>
    </row>
    <row r="81" spans="1:17" s="2" customFormat="1" ht="12" customHeight="1">
      <c r="D81" s="22"/>
      <c r="E81" s="22"/>
      <c r="J81" s="5"/>
      <c r="K81" s="5"/>
      <c r="L81" s="5"/>
      <c r="M81" s="5"/>
      <c r="N81" s="5"/>
      <c r="O81" s="5"/>
      <c r="P81" s="88"/>
      <c r="Q81" s="96"/>
    </row>
    <row r="82" spans="1:17" s="2" customFormat="1" ht="12" customHeight="1">
      <c r="D82" s="22"/>
      <c r="E82" s="22"/>
      <c r="J82" s="5"/>
      <c r="K82" s="5"/>
      <c r="L82" s="5"/>
      <c r="M82" s="5"/>
      <c r="N82" s="5"/>
      <c r="O82" s="5"/>
      <c r="P82" s="88"/>
      <c r="Q82" s="96"/>
    </row>
    <row r="83" spans="1:17" s="2" customFormat="1" ht="12" customHeight="1">
      <c r="D83" s="22"/>
      <c r="E83" s="22"/>
      <c r="J83" s="5"/>
      <c r="K83" s="5"/>
      <c r="L83" s="5"/>
      <c r="M83" s="5"/>
      <c r="N83" s="5"/>
      <c r="O83" s="5"/>
      <c r="P83" s="88"/>
      <c r="Q83" s="96"/>
    </row>
    <row r="84" spans="1:17" s="2" customFormat="1" ht="12" customHeight="1">
      <c r="D84" s="22"/>
      <c r="E84" s="22"/>
      <c r="J84" s="5"/>
      <c r="K84" s="5"/>
      <c r="L84" s="5"/>
      <c r="M84" s="5"/>
      <c r="N84" s="5"/>
      <c r="O84" s="5"/>
      <c r="P84" s="88"/>
      <c r="Q84" s="96"/>
    </row>
    <row r="85" spans="1:17" s="2" customFormat="1" ht="12" customHeight="1">
      <c r="A85"/>
      <c r="B85"/>
      <c r="C85"/>
      <c r="D85" s="23"/>
      <c r="E85" s="23"/>
      <c r="F85"/>
      <c r="G85"/>
      <c r="H85"/>
      <c r="I85"/>
      <c r="J85" s="19"/>
      <c r="K85" s="19"/>
      <c r="L85" s="19"/>
      <c r="M85" s="19"/>
      <c r="N85" s="19"/>
      <c r="O85" s="19"/>
      <c r="P85" s="90"/>
      <c r="Q85" s="96"/>
    </row>
    <row r="86" spans="1:17" s="2" customFormat="1" ht="12" customHeight="1">
      <c r="A86"/>
      <c r="B86"/>
      <c r="C86"/>
      <c r="D86" s="23"/>
      <c r="E86" s="23"/>
      <c r="F86"/>
      <c r="G86"/>
      <c r="H86"/>
      <c r="I86"/>
      <c r="J86" s="19"/>
      <c r="K86" s="19"/>
      <c r="L86" s="19"/>
      <c r="M86" s="19"/>
      <c r="N86" s="19"/>
      <c r="O86" s="19"/>
      <c r="P86" s="90"/>
      <c r="Q86" s="96"/>
    </row>
    <row r="87" spans="1:17" s="2" customFormat="1" ht="12" customHeight="1">
      <c r="A87"/>
      <c r="B87"/>
      <c r="C87"/>
      <c r="D87" s="23"/>
      <c r="E87" s="23"/>
      <c r="F87"/>
      <c r="G87"/>
      <c r="H87"/>
      <c r="I87"/>
      <c r="J87" s="19"/>
      <c r="K87" s="19"/>
      <c r="L87" s="19"/>
      <c r="M87" s="19"/>
      <c r="N87" s="19"/>
      <c r="O87" s="19"/>
      <c r="P87" s="90"/>
      <c r="Q87" s="96"/>
    </row>
    <row r="88" spans="1:17" s="2" customFormat="1" ht="12" customHeight="1">
      <c r="A88"/>
      <c r="B88"/>
      <c r="C88"/>
      <c r="D88" s="23"/>
      <c r="E88" s="23"/>
      <c r="F88"/>
      <c r="G88"/>
      <c r="H88"/>
      <c r="I88"/>
      <c r="J88" s="19"/>
      <c r="K88" s="19"/>
      <c r="L88" s="19"/>
      <c r="M88" s="19"/>
      <c r="N88" s="19"/>
      <c r="O88" s="19"/>
      <c r="P88" s="90"/>
      <c r="Q88" s="96"/>
    </row>
    <row r="89" spans="1:17" s="2" customFormat="1" ht="12" customHeight="1">
      <c r="A89"/>
      <c r="B89"/>
      <c r="C89"/>
      <c r="D89" s="23"/>
      <c r="E89" s="23"/>
      <c r="F89"/>
      <c r="G89"/>
      <c r="H89"/>
      <c r="I89"/>
      <c r="J89" s="19"/>
      <c r="K89" s="19"/>
      <c r="L89" s="19"/>
      <c r="M89" s="19"/>
      <c r="N89" s="19"/>
      <c r="O89" s="19"/>
      <c r="P89" s="90"/>
      <c r="Q89" s="96"/>
    </row>
    <row r="90" spans="1:17">
      <c r="Q90" s="96"/>
    </row>
    <row r="91" spans="1:17">
      <c r="Q91" s="96"/>
    </row>
    <row r="92" spans="1:17">
      <c r="Q92" s="96"/>
    </row>
    <row r="93" spans="1:17">
      <c r="Q93" s="96"/>
    </row>
    <row r="94" spans="1:17">
      <c r="Q94" s="96"/>
    </row>
    <row r="95" spans="1:17">
      <c r="Q95" s="96"/>
    </row>
    <row r="96" spans="1:17">
      <c r="Q96" s="96"/>
    </row>
    <row r="97" spans="17:17">
      <c r="Q97" s="96"/>
    </row>
    <row r="98" spans="17:17">
      <c r="Q98" s="96"/>
    </row>
    <row r="99" spans="17:17">
      <c r="Q99" s="96"/>
    </row>
    <row r="100" spans="17:17">
      <c r="Q100" s="96"/>
    </row>
    <row r="101" spans="17:17">
      <c r="Q101" s="96"/>
    </row>
    <row r="102" spans="17:17">
      <c r="Q102" s="96"/>
    </row>
    <row r="103" spans="17:17">
      <c r="Q103" s="96"/>
    </row>
    <row r="104" spans="17:17">
      <c r="Q104" s="96"/>
    </row>
    <row r="105" spans="17:17">
      <c r="Q105" s="96"/>
    </row>
    <row r="106" spans="17:17">
      <c r="Q106" s="96"/>
    </row>
    <row r="107" spans="17:17">
      <c r="Q107" s="96"/>
    </row>
    <row r="108" spans="17:17">
      <c r="Q108" s="96"/>
    </row>
    <row r="109" spans="17:17">
      <c r="Q109" s="96"/>
    </row>
    <row r="146" ht="12" customHeight="1"/>
    <row r="147" ht="12" customHeight="1"/>
    <row r="148" ht="12" customHeight="1"/>
    <row r="149" ht="12" customHeight="1"/>
    <row r="150" ht="12" customHeight="1"/>
    <row r="151" ht="12" customHeight="1"/>
    <row r="152" ht="12" customHeight="1"/>
    <row r="153" ht="12" customHeight="1"/>
    <row r="154" ht="12" customHeight="1"/>
    <row r="155" ht="12" customHeight="1"/>
    <row r="156" ht="12" customHeight="1"/>
    <row r="157" ht="12" customHeight="1"/>
    <row r="158" ht="12" customHeight="1"/>
    <row r="159" ht="12" customHeight="1"/>
    <row r="160" ht="12" customHeight="1"/>
    <row r="161" ht="12" customHeight="1"/>
    <row r="162" ht="12" customHeight="1"/>
    <row r="163" ht="12" customHeight="1"/>
    <row r="164" ht="12" customHeight="1"/>
    <row r="165" ht="12" customHeight="1"/>
    <row r="166" ht="12" customHeight="1"/>
    <row r="167" ht="12" customHeight="1"/>
    <row r="168" ht="12" customHeight="1"/>
    <row r="169" ht="12" customHeight="1"/>
    <row r="170" ht="12" customHeight="1"/>
    <row r="171" ht="12" customHeight="1"/>
    <row r="172" ht="12" customHeight="1"/>
    <row r="173" ht="12" customHeight="1"/>
    <row r="174" ht="12" customHeight="1"/>
    <row r="175" ht="12" customHeight="1"/>
    <row r="176" ht="12" customHeight="1"/>
    <row r="177" ht="12" customHeight="1"/>
    <row r="178" ht="12" customHeight="1"/>
    <row r="179" ht="12" customHeight="1"/>
    <row r="180" ht="12" customHeight="1"/>
    <row r="181" ht="12" customHeight="1"/>
    <row r="182" ht="12" customHeight="1"/>
    <row r="183" ht="12" customHeight="1"/>
    <row r="184" ht="12" customHeight="1"/>
    <row r="185" ht="12" customHeight="1"/>
    <row r="186" ht="12" customHeight="1"/>
    <row r="187" ht="12" customHeight="1"/>
    <row r="188" ht="12" customHeight="1"/>
    <row r="189" ht="12" customHeight="1"/>
    <row r="190" ht="12" customHeight="1"/>
    <row r="191" ht="12" customHeight="1"/>
    <row r="192" ht="12" customHeight="1"/>
    <row r="193" ht="12" customHeight="1"/>
    <row r="194" ht="12" customHeight="1"/>
    <row r="195" ht="12" customHeight="1"/>
  </sheetData>
  <mergeCells count="49">
    <mergeCell ref="D6:E6"/>
    <mergeCell ref="H6:I6"/>
    <mergeCell ref="D1:E1"/>
    <mergeCell ref="D4:E4"/>
    <mergeCell ref="H4:I4"/>
    <mergeCell ref="D5:E5"/>
    <mergeCell ref="H5:I5"/>
    <mergeCell ref="H11:I11"/>
    <mergeCell ref="D7:E7"/>
    <mergeCell ref="H7:I7"/>
    <mergeCell ref="D8:E8"/>
    <mergeCell ref="H8:I8"/>
    <mergeCell ref="D9:E9"/>
    <mergeCell ref="H9:I9"/>
    <mergeCell ref="D12:E12"/>
    <mergeCell ref="D13:E13"/>
    <mergeCell ref="D14:E14"/>
    <mergeCell ref="D10:E10"/>
    <mergeCell ref="D15:E15"/>
    <mergeCell ref="D11:E11"/>
    <mergeCell ref="H15:I15"/>
    <mergeCell ref="D16:E16"/>
    <mergeCell ref="D27:E27"/>
    <mergeCell ref="D17:E17"/>
    <mergeCell ref="D18:E18"/>
    <mergeCell ref="D19:E19"/>
    <mergeCell ref="D20:E20"/>
    <mergeCell ref="D21:E21"/>
    <mergeCell ref="D22:E22"/>
    <mergeCell ref="D23:E23"/>
    <mergeCell ref="D24:E24"/>
    <mergeCell ref="D25:E25"/>
    <mergeCell ref="D26:E26"/>
    <mergeCell ref="D32:E32"/>
    <mergeCell ref="D33:E33"/>
    <mergeCell ref="D35:E35"/>
    <mergeCell ref="D36:E36"/>
    <mergeCell ref="D37:E37"/>
    <mergeCell ref="D31:E31"/>
    <mergeCell ref="H31:I31"/>
    <mergeCell ref="D28:E28"/>
    <mergeCell ref="D29:E29"/>
    <mergeCell ref="D30:E30"/>
    <mergeCell ref="D38:E38"/>
    <mergeCell ref="D39:E39"/>
    <mergeCell ref="D40:E40"/>
    <mergeCell ref="D42:E42"/>
    <mergeCell ref="H42:I42"/>
    <mergeCell ref="D41:E41"/>
  </mergeCells>
  <conditionalFormatting sqref="M12:M14 M16:M30">
    <cfRule type="cellIs" dxfId="202" priority="5" stopIfTrue="1" operator="lessThanOrEqual">
      <formula>$L12</formula>
    </cfRule>
    <cfRule type="cellIs" dxfId="201" priority="6" operator="greaterThan">
      <formula>L12</formula>
    </cfRule>
  </conditionalFormatting>
  <conditionalFormatting sqref="M32:M33 M35:M41">
    <cfRule type="cellIs" dxfId="200" priority="3" stopIfTrue="1" operator="lessThanOrEqual">
      <formula>$L32</formula>
    </cfRule>
    <cfRule type="cellIs" dxfId="199" priority="4" operator="greaterThan">
      <formula>L32</formula>
    </cfRule>
  </conditionalFormatting>
  <conditionalFormatting sqref="M34">
    <cfRule type="cellIs" dxfId="198" priority="1" stopIfTrue="1" operator="lessThanOrEqual">
      <formula>$L34</formula>
    </cfRule>
    <cfRule type="cellIs" dxfId="197" priority="2" operator="greaterThan">
      <formula>L34</formula>
    </cfRule>
  </conditionalFormatting>
  <pageMargins left="0.7" right="0.7" top="0.75" bottom="0.75" header="0.3" footer="0.3"/>
  <pageSetup paperSize="3" fitToHeight="0" orientation="landscape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102828DD-A486-4BCE-8DD1-F0A3EBFB8200}">
          <x14:formula1>
            <xm:f>Bolts!$A:$A</xm:f>
          </x14:formula1>
          <xm:sqref>C32:C41</xm:sqref>
        </x14:dataValidation>
        <x14:dataValidation type="list" allowBlank="1" showInputMessage="1" showErrorMessage="1" xr:uid="{9A00F53D-9BA9-474D-BAFF-5916C89B50E1}">
          <x14:formula1>
            <xm:f>Assemblies!$E:$E</xm:f>
          </x14:formula1>
          <xm:sqref>C5:C10</xm:sqref>
        </x14:dataValidation>
        <x14:dataValidation type="list" allowBlank="1" showInputMessage="1" showErrorMessage="1" xr:uid="{E3BC7CE9-4537-4759-8111-84A24659C3C4}">
          <x14:formula1>
            <xm:f>Purchased!$A:$A</xm:f>
          </x14:formula1>
          <xm:sqref>C16:C30</xm:sqref>
        </x14:dataValidation>
        <x14:dataValidation type="list" allowBlank="1" showInputMessage="1" showErrorMessage="1" xr:uid="{DB5D9312-91DE-41E1-939E-DA5EF0E01970}">
          <x14:formula1>
            <xm:f>Machined!$C:$C</xm:f>
          </x14:formula1>
          <xm:sqref>C12:C14</xm:sqref>
        </x14:dataValidation>
      </x14:dataValidations>
    </ext>
  </extLst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C5DAB-736B-45C2-A64E-CE8E4367D812}">
  <sheetPr codeName="Sheet132">
    <tabColor theme="3" tint="0.79998168889431442"/>
    <pageSetUpPr fitToPage="1"/>
  </sheetPr>
  <dimension ref="A1:Q178"/>
  <sheetViews>
    <sheetView zoomScaleNormal="100" workbookViewId="0">
      <selection activeCell="D24" sqref="D24"/>
    </sheetView>
  </sheetViews>
  <sheetFormatPr defaultColWidth="9.140625" defaultRowHeight="15"/>
  <cols>
    <col min="1" max="1" width="5.7109375" customWidth="1"/>
    <col min="2" max="2" width="5.42578125" bestFit="1" customWidth="1"/>
    <col min="3" max="3" width="30.7109375" customWidth="1"/>
    <col min="4" max="5" width="20.7109375" style="23" customWidth="1"/>
    <col min="6" max="6" width="16.85546875" bestFit="1" customWidth="1"/>
    <col min="7" max="7" width="9.7109375" customWidth="1"/>
    <col min="8" max="8" width="8.7109375" customWidth="1"/>
    <col min="9" max="9" width="20.7109375" customWidth="1"/>
    <col min="10" max="13" width="11.7109375" style="19" customWidth="1"/>
    <col min="14" max="14" width="11.85546875" style="19" bestFit="1" customWidth="1"/>
    <col min="15" max="15" width="7.7109375" style="19" customWidth="1"/>
    <col min="16" max="16" width="10.7109375" style="90" customWidth="1"/>
    <col min="17" max="17" width="10.7109375" style="97" customWidth="1"/>
  </cols>
  <sheetData>
    <row r="1" spans="1:17" s="55" customFormat="1" ht="12" customHeight="1">
      <c r="A1" s="68" t="s">
        <v>0</v>
      </c>
      <c r="B1" s="69"/>
      <c r="C1" s="69"/>
      <c r="D1" s="262" t="s">
        <v>1</v>
      </c>
      <c r="E1" s="263"/>
      <c r="F1" s="70"/>
      <c r="G1" s="69"/>
      <c r="H1" s="70"/>
      <c r="I1" s="71"/>
      <c r="J1" s="72"/>
      <c r="K1" s="72"/>
      <c r="L1" s="72"/>
      <c r="M1" s="72"/>
      <c r="N1" s="72"/>
      <c r="O1" s="72"/>
      <c r="P1" s="85"/>
      <c r="Q1" s="91"/>
    </row>
    <row r="2" spans="1:17" s="55" customFormat="1" ht="12" customHeight="1">
      <c r="A2" s="74" t="s">
        <v>48</v>
      </c>
      <c r="B2" s="58"/>
      <c r="C2" s="57" t="e">
        <f ca="1">VLOOKUP(E3,Assemblies!B:F,4,0)</f>
        <v>#VALUE!</v>
      </c>
      <c r="D2" s="75" t="s">
        <v>3</v>
      </c>
      <c r="E2" s="76" t="e">
        <f ca="1">'GF12'!E2</f>
        <v>#VALUE!</v>
      </c>
      <c r="F2" s="77" t="s">
        <v>4</v>
      </c>
      <c r="G2" s="58" t="str">
        <f>'GF12'!G2</f>
        <v>GH</v>
      </c>
      <c r="H2" s="77" t="s">
        <v>6</v>
      </c>
      <c r="I2" s="59">
        <f>'GF12'!I2</f>
        <v>44775</v>
      </c>
      <c r="J2" s="39"/>
      <c r="K2" s="40" t="s">
        <v>49</v>
      </c>
      <c r="L2" s="41" t="e">
        <f ca="1">VLOOKUP(C2,Assemblies!E:G,3,0)</f>
        <v>#VALUE!</v>
      </c>
      <c r="M2" s="78"/>
      <c r="N2" s="78"/>
      <c r="O2" s="78"/>
      <c r="P2" s="86"/>
      <c r="Q2" s="92"/>
    </row>
    <row r="3" spans="1:17" s="55" customFormat="1" ht="12" customHeight="1" thickBot="1">
      <c r="A3" s="74" t="s">
        <v>7</v>
      </c>
      <c r="B3" s="58"/>
      <c r="C3" s="57" t="e">
        <f ca="1">VLOOKUP(E3,Assemblies!B:F,5,0)</f>
        <v>#VALUE!</v>
      </c>
      <c r="D3" s="75" t="s">
        <v>50</v>
      </c>
      <c r="E3" s="76" t="e">
        <f ca="1">MID(CELL("filename",A1),FIND("]",CELL("filename",A1))+1,256)</f>
        <v>#VALUE!</v>
      </c>
      <c r="F3" s="77" t="s">
        <v>11</v>
      </c>
      <c r="G3" s="58" t="str">
        <f>'GF12'!G3</f>
        <v>GH</v>
      </c>
      <c r="H3" s="77" t="s">
        <v>6</v>
      </c>
      <c r="I3" s="59">
        <f>'GF12'!I3</f>
        <v>44775</v>
      </c>
      <c r="J3" s="78"/>
      <c r="K3" s="78"/>
      <c r="L3" s="78"/>
      <c r="M3" s="78"/>
      <c r="N3" s="78"/>
      <c r="O3" s="78"/>
      <c r="P3" s="86"/>
      <c r="Q3" s="92"/>
    </row>
    <row r="4" spans="1:17" s="56" customFormat="1" ht="12.75" customHeight="1" thickBot="1">
      <c r="A4" s="80" t="s">
        <v>12</v>
      </c>
      <c r="B4" s="81" t="s">
        <v>13</v>
      </c>
      <c r="C4" s="81" t="s">
        <v>14</v>
      </c>
      <c r="D4" s="270" t="s">
        <v>15</v>
      </c>
      <c r="E4" s="271"/>
      <c r="F4" s="104" t="s">
        <v>16</v>
      </c>
      <c r="G4" s="81" t="s">
        <v>17</v>
      </c>
      <c r="H4" s="260" t="s">
        <v>18</v>
      </c>
      <c r="I4" s="261"/>
      <c r="J4" s="81" t="s">
        <v>51</v>
      </c>
      <c r="K4" s="81" t="s">
        <v>20</v>
      </c>
      <c r="L4" s="81" t="s">
        <v>21</v>
      </c>
      <c r="M4" s="81" t="s">
        <v>52</v>
      </c>
      <c r="N4" s="81" t="s">
        <v>22</v>
      </c>
      <c r="O4" s="81" t="s">
        <v>53</v>
      </c>
      <c r="P4" s="107" t="s">
        <v>26</v>
      </c>
      <c r="Q4" s="82" t="s">
        <v>27</v>
      </c>
    </row>
    <row r="5" spans="1:17" s="2" customFormat="1" ht="12.75" customHeight="1">
      <c r="A5" s="127">
        <v>1</v>
      </c>
      <c r="B5" s="21">
        <v>1</v>
      </c>
      <c r="C5" s="108" t="s">
        <v>1281</v>
      </c>
      <c r="D5" s="277" t="str">
        <f>VLOOKUP(C5,Machined!C:Q,2,0)</f>
        <v>ESCAPEMENT OFFSET PLATE A SIDE</v>
      </c>
      <c r="E5" s="278"/>
      <c r="F5" s="131" t="str">
        <f>VLOOKUP(C5,Machined!C:R,7,0)</f>
        <v>6061-T6 Alum</v>
      </c>
      <c r="G5" s="131" t="str">
        <f>VLOOKUP(C5,Machined!C:R,10,0)</f>
        <v>DETAILED MACH</v>
      </c>
      <c r="H5" s="131" t="str">
        <f>VLOOKUP(C5,Machined!C:R,11,0)</f>
        <v>shipped 9/25/23</v>
      </c>
      <c r="I5" s="131"/>
      <c r="J5" s="42">
        <f>VLOOKUP(C5,Machined!C:R,12,0)</f>
        <v>45156</v>
      </c>
      <c r="K5" s="42">
        <f>VLOOKUP(C5,Machined!C:R,13,0)</f>
        <v>45162</v>
      </c>
      <c r="L5" s="42">
        <f>VLOOKUP(C5,Machined!C:R,14,0)</f>
        <v>45190</v>
      </c>
      <c r="M5" s="42">
        <f>VLOOKUP(C5,Machined!C:R,15,0)</f>
        <v>45190</v>
      </c>
      <c r="N5" s="43">
        <f>VLOOKUP(C5,Machined!C:R,16,0)</f>
        <v>55101</v>
      </c>
      <c r="O5" s="43" t="e">
        <f t="shared" ref="O5:O9" ca="1" si="0">B5*$L$2</f>
        <v>#VALUE!</v>
      </c>
      <c r="P5" s="47">
        <f>IFERROR(VLOOKUP(C5,Machined!C:F,3,0),"")</f>
        <v>0</v>
      </c>
      <c r="Q5" s="48">
        <f t="shared" ref="Q5:Q9" si="1">IFERROR(B5*P5,"")</f>
        <v>0</v>
      </c>
    </row>
    <row r="6" spans="1:17" s="2" customFormat="1" ht="12.75" customHeight="1">
      <c r="A6" s="127">
        <v>2</v>
      </c>
      <c r="B6" s="21">
        <v>1</v>
      </c>
      <c r="C6" s="108" t="s">
        <v>1282</v>
      </c>
      <c r="D6" s="277" t="str">
        <f>VLOOKUP(C6,Machined!C:Q,2,0)</f>
        <v>ESCAPEMENT ADJUSTMENT PLATE</v>
      </c>
      <c r="E6" s="278"/>
      <c r="F6" s="131" t="str">
        <f>VLOOKUP(C6,Machined!C:R,7,0)</f>
        <v>6061-T6 Alum</v>
      </c>
      <c r="G6" s="131" t="str">
        <f>VLOOKUP(C6,Machined!C:R,10,0)</f>
        <v>DETAILED MACH</v>
      </c>
      <c r="H6" s="131" t="str">
        <f>VLOOKUP(C6,Machined!C:R,11,0)</f>
        <v>shipped 9/25/23</v>
      </c>
      <c r="I6" s="131"/>
      <c r="J6" s="42">
        <f>VLOOKUP(C6,Machined!C:R,12,0)</f>
        <v>45156</v>
      </c>
      <c r="K6" s="42">
        <f>VLOOKUP(C6,Machined!C:R,13,0)</f>
        <v>45162</v>
      </c>
      <c r="L6" s="42">
        <f>VLOOKUP(C6,Machined!C:R,14,0)</f>
        <v>45190</v>
      </c>
      <c r="M6" s="42">
        <f>VLOOKUP(C6,Machined!C:R,15,0)</f>
        <v>45190</v>
      </c>
      <c r="N6" s="43">
        <f>VLOOKUP(C6,Machined!C:R,16,0)</f>
        <v>55101</v>
      </c>
      <c r="O6" s="43" t="e">
        <f t="shared" ca="1" si="0"/>
        <v>#VALUE!</v>
      </c>
      <c r="P6" s="47">
        <f>IFERROR(VLOOKUP(C6,Machined!C:F,3,0),"")</f>
        <v>0</v>
      </c>
      <c r="Q6" s="48">
        <f t="shared" si="1"/>
        <v>0</v>
      </c>
    </row>
    <row r="7" spans="1:17" s="2" customFormat="1" ht="12.75" customHeight="1">
      <c r="A7" s="127">
        <v>3</v>
      </c>
      <c r="B7" s="21">
        <v>1</v>
      </c>
      <c r="C7" s="108" t="s">
        <v>1283</v>
      </c>
      <c r="D7" s="277" t="str">
        <f>VLOOKUP(C7,Machined!C:Q,2,0)</f>
        <v>Cap Escapement Finger-1</v>
      </c>
      <c r="E7" s="278"/>
      <c r="F7" s="131" t="str">
        <f>VLOOKUP(C7,Machined!C:R,7,0)</f>
        <v>AISI 304</v>
      </c>
      <c r="G7" s="131" t="str">
        <f>VLOOKUP(C7,Machined!C:R,10,0)</f>
        <v>WESCO BHT</v>
      </c>
      <c r="H7" s="131" t="str">
        <f>VLOOKUP(C7,Machined!C:R,11,0)</f>
        <v xml:space="preserve">  </v>
      </c>
      <c r="I7" s="131"/>
      <c r="J7" s="42">
        <f>VLOOKUP(C7,Machined!C:R,12,0)</f>
        <v>45159</v>
      </c>
      <c r="K7" s="42">
        <f>VLOOKUP(C7,Machined!C:R,13,0)</f>
        <v>45161</v>
      </c>
      <c r="L7" s="42">
        <f>VLOOKUP(C7,Machined!C:R,14,0)</f>
        <v>45191</v>
      </c>
      <c r="M7" s="42">
        <f>VLOOKUP(C7,Machined!C:R,15,0)</f>
        <v>45191</v>
      </c>
      <c r="N7" s="43">
        <f>VLOOKUP(C7,Machined!C:R,16,0)</f>
        <v>55092</v>
      </c>
      <c r="O7" s="43" t="e">
        <f t="shared" ca="1" si="0"/>
        <v>#VALUE!</v>
      </c>
      <c r="P7" s="47">
        <f>IFERROR(VLOOKUP(C7,Machined!C:F,3,0),"")</f>
        <v>45.33</v>
      </c>
      <c r="Q7" s="48">
        <f t="shared" si="1"/>
        <v>45.33</v>
      </c>
    </row>
    <row r="8" spans="1:17" s="2" customFormat="1" ht="12.75" customHeight="1">
      <c r="A8" s="127">
        <v>4</v>
      </c>
      <c r="B8" s="21">
        <v>1</v>
      </c>
      <c r="C8" s="108" t="s">
        <v>1323</v>
      </c>
      <c r="D8" s="277" t="str">
        <f>VLOOKUP(C8,Machined!C:Q,2,0)</f>
        <v>P2L Escapement Finger-2 B-Side</v>
      </c>
      <c r="E8" s="278"/>
      <c r="F8" s="131" t="str">
        <f>VLOOKUP(C8,Machined!C:R,7,0)</f>
        <v>AISI 304</v>
      </c>
      <c r="G8" s="131" t="str">
        <f>VLOOKUP(C8,Machined!C:R,10,0)</f>
        <v>WESCO BHT</v>
      </c>
      <c r="H8" s="131" t="str">
        <f>VLOOKUP(C8,Machined!C:R,11,0)</f>
        <v xml:space="preserve">  </v>
      </c>
      <c r="I8" s="131"/>
      <c r="J8" s="42">
        <f>VLOOKUP(C8,Machined!C:R,12,0)</f>
        <v>45159</v>
      </c>
      <c r="K8" s="42">
        <f>VLOOKUP(C8,Machined!C:R,13,0)</f>
        <v>45161</v>
      </c>
      <c r="L8" s="42">
        <f>VLOOKUP(C8,Machined!C:R,14,0)</f>
        <v>45191</v>
      </c>
      <c r="M8" s="42">
        <f>VLOOKUP(C8,Machined!C:R,15,0)</f>
        <v>45191</v>
      </c>
      <c r="N8" s="43">
        <f>VLOOKUP(C8,Machined!C:R,16,0)</f>
        <v>55092</v>
      </c>
      <c r="O8" s="43" t="e">
        <f t="shared" ca="1" si="0"/>
        <v>#VALUE!</v>
      </c>
      <c r="P8" s="47">
        <f>IFERROR(VLOOKUP(C8,Machined!C:F,3,0),"")</f>
        <v>123.63</v>
      </c>
      <c r="Q8" s="48">
        <f t="shared" si="1"/>
        <v>123.63</v>
      </c>
    </row>
    <row r="9" spans="1:17" s="2" customFormat="1" ht="12.75" customHeight="1">
      <c r="A9" s="127">
        <v>5</v>
      </c>
      <c r="B9" s="21">
        <v>1</v>
      </c>
      <c r="C9" s="108" t="s">
        <v>1324</v>
      </c>
      <c r="D9" s="277" t="str">
        <f>VLOOKUP(C9,Machined!C:Q,2,0)</f>
        <v>P2B Escapement Finger-2 B-Side</v>
      </c>
      <c r="E9" s="278"/>
      <c r="F9" s="131" t="str">
        <f>VLOOKUP(C9,Machined!C:R,7,0)</f>
        <v>AISI 304</v>
      </c>
      <c r="G9" s="131" t="str">
        <f>VLOOKUP(C9,Machined!C:R,10,0)</f>
        <v>WESCO BHT</v>
      </c>
      <c r="H9" s="131" t="str">
        <f>VLOOKUP(C9,Machined!C:R,11,0)</f>
        <v xml:space="preserve">  </v>
      </c>
      <c r="I9" s="131"/>
      <c r="J9" s="42">
        <f>VLOOKUP(C9,Machined!C:R,12,0)</f>
        <v>45159</v>
      </c>
      <c r="K9" s="42">
        <f>VLOOKUP(C9,Machined!C:R,13,0)</f>
        <v>45161</v>
      </c>
      <c r="L9" s="42">
        <f>VLOOKUP(C9,Machined!C:R,14,0)</f>
        <v>45191</v>
      </c>
      <c r="M9" s="42">
        <f>VLOOKUP(C9,Machined!C:R,15,0)</f>
        <v>45191</v>
      </c>
      <c r="N9" s="43">
        <f>VLOOKUP(C9,Machined!C:R,16,0)</f>
        <v>55092</v>
      </c>
      <c r="O9" s="43" t="e">
        <f t="shared" ca="1" si="0"/>
        <v>#VALUE!</v>
      </c>
      <c r="P9" s="47">
        <f>IFERROR(VLOOKUP(C9,Machined!C:F,3,0),"")</f>
        <v>123.63</v>
      </c>
      <c r="Q9" s="48">
        <f t="shared" si="1"/>
        <v>123.63</v>
      </c>
    </row>
    <row r="10" spans="1:17" s="2" customFormat="1" ht="12.75" customHeight="1">
      <c r="A10" s="143"/>
      <c r="B10" s="26"/>
      <c r="C10" s="26"/>
      <c r="D10" s="272"/>
      <c r="E10" s="273"/>
      <c r="F10" s="26"/>
      <c r="G10" s="26"/>
      <c r="H10" s="274"/>
      <c r="I10" s="275"/>
      <c r="J10" s="27"/>
      <c r="K10" s="27"/>
      <c r="L10" s="27"/>
      <c r="M10" s="28"/>
      <c r="N10" s="29"/>
      <c r="O10" s="29"/>
      <c r="P10" s="141"/>
      <c r="Q10" s="142"/>
    </row>
    <row r="11" spans="1:17" s="2" customFormat="1" ht="12.75" customHeight="1">
      <c r="A11" s="4">
        <v>301</v>
      </c>
      <c r="B11" s="2">
        <v>2</v>
      </c>
      <c r="C11" s="114" t="s">
        <v>476</v>
      </c>
      <c r="D11" s="268" t="str">
        <f>VLOOKUP(C11,Purchased!A:B,2,0)</f>
        <v>SMC Inline Solid PNP Direct</v>
      </c>
      <c r="E11" s="269"/>
      <c r="F11" s="112" t="str">
        <f>VLOOKUP(C11,Purchased!A:Q,9,0)</f>
        <v>SMC</v>
      </c>
      <c r="G11" s="112" t="str">
        <f>VLOOKUP(C11,Purchased!A:Q,10,0)</f>
        <v>AAP</v>
      </c>
      <c r="H11" s="112" t="str">
        <f>VLOOKUP(C11,Purchased!A:Q,12,0)</f>
        <v xml:space="preserve"> </v>
      </c>
      <c r="I11" s="113"/>
      <c r="J11" s="44" t="str">
        <f>VLOOKUP(C11,Purchased!A:Q,13,0)</f>
        <v>N/A</v>
      </c>
      <c r="K11" s="44">
        <f>VLOOKUP(C11,Purchased!A:Q,16,0)</f>
        <v>45180</v>
      </c>
      <c r="L11" s="44">
        <f>VLOOKUP(C11,Purchased!A:Q,15,0)</f>
        <v>45184</v>
      </c>
      <c r="M11" s="44">
        <f>VLOOKUP(C11,Purchased!A:Q,16,0)</f>
        <v>45180</v>
      </c>
      <c r="N11" s="45">
        <f>VLOOKUP(C11,Purchased!A:Q,17,0)</f>
        <v>55037</v>
      </c>
      <c r="O11" s="45" t="e">
        <f t="shared" ref="O11:O20" ca="1" si="2">B11*$L$2</f>
        <v>#VALUE!</v>
      </c>
      <c r="P11" s="49">
        <f>IFERROR(VLOOKUP(C11,Purchased!A:E,3,FALSE),"")</f>
        <v>37.226700000000001</v>
      </c>
      <c r="Q11" s="50">
        <f t="shared" ref="Q11:Q17" si="3">IFERROR(B11*P11,"")</f>
        <v>74.453400000000002</v>
      </c>
    </row>
    <row r="12" spans="1:17" s="2" customFormat="1" ht="12" customHeight="1">
      <c r="A12" s="4">
        <f t="shared" ref="A12:A17" si="4">A11+1</f>
        <v>302</v>
      </c>
      <c r="B12" s="2">
        <v>2</v>
      </c>
      <c r="C12" s="114" t="s">
        <v>477</v>
      </c>
      <c r="D12" s="268" t="str">
        <f>VLOOKUP(C12,Purchased!A:B,2,0)</f>
        <v>MURR M8 Female, 0deg A-Coded, 3-Pin, w/ Cable</v>
      </c>
      <c r="E12" s="269"/>
      <c r="F12" s="112" t="str">
        <f>VLOOKUP(C12,Purchased!A:Q,9,0)</f>
        <v>MURR</v>
      </c>
      <c r="G12" s="112" t="str">
        <f>VLOOKUP(C12,Purchased!A:Q,10,0)</f>
        <v>MURR</v>
      </c>
      <c r="H12" s="112" t="str">
        <f>VLOOKUP(C12,Purchased!A:Q,12,0)</f>
        <v xml:space="preserve">  </v>
      </c>
      <c r="I12" s="113"/>
      <c r="J12" s="44">
        <f>VLOOKUP(C12,Purchased!A:Q,13,0)</f>
        <v>45161</v>
      </c>
      <c r="K12" s="44">
        <f>VLOOKUP(C12,Purchased!A:Q,16,0)</f>
        <v>45184</v>
      </c>
      <c r="L12" s="44">
        <f>VLOOKUP(C12,Purchased!A:Q,15,0)</f>
        <v>45184</v>
      </c>
      <c r="M12" s="44">
        <f>VLOOKUP(C12,Purchased!A:Q,16,0)</f>
        <v>45184</v>
      </c>
      <c r="N12" s="45">
        <f>VLOOKUP(C12,Purchased!A:Q,17,0)</f>
        <v>55080</v>
      </c>
      <c r="O12" s="45" t="e">
        <f t="shared" ca="1" si="2"/>
        <v>#VALUE!</v>
      </c>
      <c r="P12" s="49">
        <f>IFERROR(VLOOKUP(C12,Purchased!A:E,3,FALSE),"")</f>
        <v>21.52</v>
      </c>
      <c r="Q12" s="50">
        <f t="shared" si="3"/>
        <v>43.04</v>
      </c>
    </row>
    <row r="13" spans="1:17" s="2" customFormat="1" ht="12" customHeight="1">
      <c r="A13" s="4">
        <f t="shared" si="4"/>
        <v>303</v>
      </c>
      <c r="B13" s="2">
        <v>1</v>
      </c>
      <c r="C13" s="114" t="s">
        <v>988</v>
      </c>
      <c r="D13" s="268" t="str">
        <f>VLOOKUP(C13,Purchased!A:B,2,0)</f>
        <v>SMC ESCAPEMENT, DBL FINGER</v>
      </c>
      <c r="E13" s="269"/>
      <c r="F13" s="112" t="str">
        <f>VLOOKUP(C13,Purchased!A:Q,9,0)</f>
        <v>SMC</v>
      </c>
      <c r="G13" s="112" t="str">
        <f>VLOOKUP(C13,Purchased!A:Q,10,0)</f>
        <v>AAP</v>
      </c>
      <c r="H13" s="112" t="str">
        <f>VLOOKUP(C13,Purchased!A:Q,12,0)</f>
        <v xml:space="preserve"> </v>
      </c>
      <c r="I13" s="113"/>
      <c r="J13" s="44" t="str">
        <f>VLOOKUP(C13,Purchased!A:Q,13,0)</f>
        <v>N/A</v>
      </c>
      <c r="K13" s="44">
        <f>VLOOKUP(C13,Purchased!A:Q,16,0)</f>
        <v>45141</v>
      </c>
      <c r="L13" s="44">
        <f>VLOOKUP(C13,Purchased!A:Q,15,0)</f>
        <v>45098</v>
      </c>
      <c r="M13" s="44">
        <f>VLOOKUP(C13,Purchased!A:Q,16,0)</f>
        <v>45141</v>
      </c>
      <c r="N13" s="45">
        <f>VLOOKUP(C13,Purchased!A:Q,17,0)</f>
        <v>54862</v>
      </c>
      <c r="O13" s="45" t="e">
        <f t="shared" ca="1" si="2"/>
        <v>#VALUE!</v>
      </c>
      <c r="P13" s="49">
        <f>IFERROR(VLOOKUP(C13,Purchased!A:E,3,FALSE),"")</f>
        <v>353.10969999999998</v>
      </c>
      <c r="Q13" s="50">
        <f t="shared" si="3"/>
        <v>353.10969999999998</v>
      </c>
    </row>
    <row r="14" spans="1:17" s="2" customFormat="1" ht="12" customHeight="1">
      <c r="A14" s="4">
        <f t="shared" si="4"/>
        <v>304</v>
      </c>
      <c r="B14" s="2">
        <v>2</v>
      </c>
      <c r="C14" s="114" t="s">
        <v>1266</v>
      </c>
      <c r="D14" s="268" t="str">
        <f>VLOOKUP(C14,Purchased!A:B,2,0)</f>
        <v>SMC AS2052F-06A speed control w/fitting, FLOW CONTROL W/FITTING 6mm tubing</v>
      </c>
      <c r="E14" s="269"/>
      <c r="F14" s="112" t="str">
        <f>VLOOKUP(C14,Purchased!A:Q,9,0)</f>
        <v>SMC</v>
      </c>
      <c r="G14" s="112" t="str">
        <f>VLOOKUP(C14,Purchased!A:Q,10,0)</f>
        <v>AAP</v>
      </c>
      <c r="H14" s="112" t="str">
        <f>VLOOKUP(C14,Purchased!A:Q,12,0)</f>
        <v xml:space="preserve"> </v>
      </c>
      <c r="I14" s="113"/>
      <c r="J14" s="44" t="str">
        <f>VLOOKUP(C14,Purchased!A:Q,13,0)</f>
        <v>N/A</v>
      </c>
      <c r="K14" s="44">
        <f>VLOOKUP(C14,Purchased!A:Q,16,0)</f>
        <v>45197</v>
      </c>
      <c r="L14" s="44">
        <f>VLOOKUP(C14,Purchased!A:Q,15,0)</f>
        <v>45184</v>
      </c>
      <c r="M14" s="44">
        <f>VLOOKUP(C14,Purchased!A:Q,16,0)</f>
        <v>45197</v>
      </c>
      <c r="N14" s="45">
        <f>VLOOKUP(C14,Purchased!A:Q,17,0)</f>
        <v>55073</v>
      </c>
      <c r="O14" s="45" t="e">
        <f t="shared" ca="1" si="2"/>
        <v>#VALUE!</v>
      </c>
      <c r="P14" s="49">
        <f>IFERROR(VLOOKUP(C14,Purchased!A:E,3,FALSE),"")</f>
        <v>14.773999999999999</v>
      </c>
      <c r="Q14" s="50">
        <f t="shared" si="3"/>
        <v>29.547999999999998</v>
      </c>
    </row>
    <row r="15" spans="1:17" s="2" customFormat="1" ht="12" customHeight="1">
      <c r="A15" s="4">
        <f t="shared" si="4"/>
        <v>305</v>
      </c>
      <c r="B15" s="2">
        <v>2</v>
      </c>
      <c r="C15" s="114" t="s">
        <v>722</v>
      </c>
      <c r="D15" s="268" t="str">
        <f>VLOOKUP(C15,Purchased!A:B,2,0)</f>
        <v>SMC FITTING, MALE ELBOW</v>
      </c>
      <c r="E15" s="269"/>
      <c r="F15" s="112" t="str">
        <f>VLOOKUP(C15,Purchased!A:Q,9,0)</f>
        <v>SMC</v>
      </c>
      <c r="G15" s="112" t="str">
        <f>VLOOKUP(C15,Purchased!A:Q,10,0)</f>
        <v>AAP</v>
      </c>
      <c r="H15" s="112" t="str">
        <f>VLOOKUP(C15,Purchased!A:Q,12,0)</f>
        <v xml:space="preserve"> </v>
      </c>
      <c r="I15" s="113"/>
      <c r="J15" s="44" t="str">
        <f>VLOOKUP(C15,Purchased!A:Q,13,0)</f>
        <v>N/A</v>
      </c>
      <c r="K15" s="44">
        <f>VLOOKUP(C15,Purchased!A:Q,16,0)</f>
        <v>45180</v>
      </c>
      <c r="L15" s="44">
        <f>VLOOKUP(C15,Purchased!A:Q,15,0)</f>
        <v>45184</v>
      </c>
      <c r="M15" s="44">
        <f>VLOOKUP(C15,Purchased!A:Q,16,0)</f>
        <v>45180</v>
      </c>
      <c r="N15" s="45">
        <f>VLOOKUP(C15,Purchased!A:Q,17,0)</f>
        <v>55037</v>
      </c>
      <c r="O15" s="45" t="e">
        <f t="shared" ca="1" si="2"/>
        <v>#VALUE!</v>
      </c>
      <c r="P15" s="49">
        <f>IFERROR(VLOOKUP(C15,Purchased!A:E,3,FALSE),"")</f>
        <v>1.7292000000000001</v>
      </c>
      <c r="Q15" s="50">
        <f t="shared" si="3"/>
        <v>3.4584000000000001</v>
      </c>
    </row>
    <row r="16" spans="1:17" s="2" customFormat="1" ht="12" customHeight="1">
      <c r="A16" s="4">
        <f t="shared" si="4"/>
        <v>306</v>
      </c>
      <c r="B16" s="2">
        <v>2</v>
      </c>
      <c r="C16" s="114" t="s">
        <v>1286</v>
      </c>
      <c r="D16" s="268" t="str">
        <f>VLOOKUP(C16,Purchased!A:B,2,0)</f>
        <v>91455A612_Zinc-Plated Class 10.9 Steel Washer for M8</v>
      </c>
      <c r="E16" s="269"/>
      <c r="F16" s="112" t="str">
        <f>VLOOKUP(C16,Purchased!A:Q,9,0)</f>
        <v>MCM</v>
      </c>
      <c r="G16" s="112" t="str">
        <f>VLOOKUP(C16,Purchased!A:Q,10,0)</f>
        <v>MCM</v>
      </c>
      <c r="H16" s="112" t="str">
        <f>VLOOKUP(C16,Purchased!A:Q,12,0)</f>
        <v xml:space="preserve"> </v>
      </c>
      <c r="I16" s="113"/>
      <c r="J16" s="44" t="str">
        <f>VLOOKUP(C16,Purchased!A:Q,13,0)</f>
        <v>N/A</v>
      </c>
      <c r="K16" s="44">
        <f>VLOOKUP(C16,Purchased!A:Q,16,0)</f>
        <v>45163</v>
      </c>
      <c r="L16" s="44">
        <f>VLOOKUP(C16,Purchased!A:Q,15,0)</f>
        <v>45184</v>
      </c>
      <c r="M16" s="44">
        <f>VLOOKUP(C16,Purchased!A:Q,16,0)</f>
        <v>45163</v>
      </c>
      <c r="N16" s="45">
        <f>VLOOKUP(C16,Purchased!A:Q,17,0)</f>
        <v>55088</v>
      </c>
      <c r="O16" s="45" t="e">
        <f t="shared" ca="1" si="2"/>
        <v>#VALUE!</v>
      </c>
      <c r="P16" s="49">
        <f>IFERROR(VLOOKUP(C16,Purchased!A:E,3,FALSE),"")</f>
        <v>7.07</v>
      </c>
      <c r="Q16" s="50">
        <f t="shared" si="3"/>
        <v>14.14</v>
      </c>
    </row>
    <row r="17" spans="1:17" s="2" customFormat="1" ht="12" customHeight="1">
      <c r="A17" s="4">
        <f t="shared" si="4"/>
        <v>307</v>
      </c>
      <c r="B17" s="2">
        <v>4</v>
      </c>
      <c r="C17" s="114" t="s">
        <v>1325</v>
      </c>
      <c r="D17" s="268" t="str">
        <f>VLOOKUP(C17,Purchased!A:B,2,0)</f>
        <v>Aluminum Unthreaded Spacer, 13 mm OD, 51 mm Long, for M6 Screw Size</v>
      </c>
      <c r="E17" s="269"/>
      <c r="F17" s="112" t="str">
        <f>VLOOKUP(C17,Purchased!A:Q,9,0)</f>
        <v>MCM</v>
      </c>
      <c r="G17" s="112" t="str">
        <f>VLOOKUP(C17,Purchased!A:Q,10,0)</f>
        <v>MCM</v>
      </c>
      <c r="H17" s="112" t="str">
        <f>VLOOKUP(C17,Purchased!A:Q,12,0)</f>
        <v xml:space="preserve"> </v>
      </c>
      <c r="I17" s="113"/>
      <c r="J17" s="44" t="str">
        <f>VLOOKUP(C17,Purchased!A:Q,13,0)</f>
        <v>N/A</v>
      </c>
      <c r="K17" s="44">
        <f>VLOOKUP(C17,Purchased!A:Q,16,0)</f>
        <v>45163</v>
      </c>
      <c r="L17" s="44">
        <f>VLOOKUP(C17,Purchased!A:Q,15,0)</f>
        <v>45184</v>
      </c>
      <c r="M17" s="44">
        <f>VLOOKUP(C17,Purchased!A:Q,16,0)</f>
        <v>45163</v>
      </c>
      <c r="N17" s="45">
        <f>VLOOKUP(C17,Purchased!A:Q,17,0)</f>
        <v>55089</v>
      </c>
      <c r="O17" s="45" t="e">
        <f t="shared" ca="1" si="2"/>
        <v>#VALUE!</v>
      </c>
      <c r="P17" s="49">
        <f>IFERROR(VLOOKUP(C17,Purchased!A:E,3,FALSE),"")</f>
        <v>3.28</v>
      </c>
      <c r="Q17" s="50">
        <f t="shared" si="3"/>
        <v>13.12</v>
      </c>
    </row>
    <row r="18" spans="1:17" s="2" customFormat="1" ht="12.75" customHeight="1">
      <c r="A18" s="25"/>
      <c r="B18" s="26"/>
      <c r="C18" s="26"/>
      <c r="D18" s="272"/>
      <c r="E18" s="273"/>
      <c r="F18" s="26"/>
      <c r="G18" s="26"/>
      <c r="H18" s="274"/>
      <c r="I18" s="275"/>
      <c r="J18" s="27"/>
      <c r="K18" s="27"/>
      <c r="L18" s="27"/>
      <c r="M18" s="28"/>
      <c r="N18" s="29"/>
      <c r="O18" s="29" t="e">
        <f t="shared" ca="1" si="2"/>
        <v>#VALUE!</v>
      </c>
      <c r="P18" s="141"/>
      <c r="Q18" s="142"/>
    </row>
    <row r="19" spans="1:17" s="2" customFormat="1" ht="12.75" customHeight="1">
      <c r="A19" s="4">
        <v>501</v>
      </c>
      <c r="B19" s="2">
        <v>4</v>
      </c>
      <c r="C19" s="110" t="s">
        <v>342</v>
      </c>
      <c r="D19" s="268"/>
      <c r="E19" s="276"/>
      <c r="F19" s="112" t="str">
        <f>VLOOKUP(C19,Bolts!A:L,5,0)</f>
        <v xml:space="preserve">  </v>
      </c>
      <c r="G19" s="112" t="str">
        <f>VLOOKUP(C19,Bolts!A:L,6,0)</f>
        <v>Monroe Fasteners</v>
      </c>
      <c r="H19" s="112" t="str">
        <f>VLOOKUP(C19,Bolts!A:L,7,0)</f>
        <v xml:space="preserve">  </v>
      </c>
      <c r="I19" s="112"/>
      <c r="J19" s="44" t="str">
        <f>VLOOKUP(C19,Bolts!A:L,8,0)</f>
        <v xml:space="preserve"> </v>
      </c>
      <c r="K19" s="44" t="str">
        <f>VLOOKUP(C19,Bolts!A:L,9,0)</f>
        <v xml:space="preserve"> </v>
      </c>
      <c r="L19" s="44" t="str">
        <f>VLOOKUP(C19,Bolts!A:L,10,0)</f>
        <v xml:space="preserve"> </v>
      </c>
      <c r="M19" s="44" t="str">
        <f>VLOOKUP(C19,Bolts!A:L,11,0)</f>
        <v xml:space="preserve"> </v>
      </c>
      <c r="N19" s="45" t="str">
        <f>VLOOKUP(C19,Bolts!A:L,12,0)</f>
        <v xml:space="preserve"> </v>
      </c>
      <c r="O19" s="45" t="e">
        <f t="shared" ref="O19" ca="1" si="5">B19*$L$2</f>
        <v>#VALUE!</v>
      </c>
      <c r="P19" s="49" t="str">
        <f>IFERROR(VLOOKUP(C19,Bolts!A:B,2,FALSE),"")</f>
        <v xml:space="preserve"> </v>
      </c>
      <c r="Q19" s="50" t="str">
        <f t="shared" ref="Q19" si="6">IFERROR(B19*P19,"")</f>
        <v/>
      </c>
    </row>
    <row r="20" spans="1:17" s="2" customFormat="1" ht="12.75" customHeight="1">
      <c r="A20" s="4">
        <f t="shared" ref="A20:A24" si="7">A19+1</f>
        <v>502</v>
      </c>
      <c r="B20" s="2">
        <v>4</v>
      </c>
      <c r="C20" s="110" t="s">
        <v>1326</v>
      </c>
      <c r="D20" s="268"/>
      <c r="E20" s="276"/>
      <c r="F20" s="112" t="str">
        <f>VLOOKUP(C20,Bolts!A:L,5,0)</f>
        <v xml:space="preserve"> </v>
      </c>
      <c r="G20" s="112" t="str">
        <f>VLOOKUP(C20,Bolts!A:L,6,0)</f>
        <v>Monroe Fasteners</v>
      </c>
      <c r="H20" s="112" t="str">
        <f>VLOOKUP(C20,Bolts!A:L,7,0)</f>
        <v xml:space="preserve"> </v>
      </c>
      <c r="I20" s="112"/>
      <c r="J20" s="44" t="str">
        <f>VLOOKUP(C20,Bolts!A:L,8,0)</f>
        <v xml:space="preserve"> </v>
      </c>
      <c r="K20" s="44" t="str">
        <f>VLOOKUP(C20,Bolts!A:L,9,0)</f>
        <v xml:space="preserve"> </v>
      </c>
      <c r="L20" s="44" t="str">
        <f>VLOOKUP(C20,Bolts!A:L,10,0)</f>
        <v xml:space="preserve"> </v>
      </c>
      <c r="M20" s="44" t="str">
        <f>VLOOKUP(C20,Bolts!A:L,11,0)</f>
        <v xml:space="preserve"> </v>
      </c>
      <c r="N20" s="45" t="str">
        <f>VLOOKUP(C20,Bolts!A:L,12,0)</f>
        <v xml:space="preserve"> </v>
      </c>
      <c r="O20" s="45" t="e">
        <f t="shared" ca="1" si="2"/>
        <v>#VALUE!</v>
      </c>
      <c r="P20" s="49" t="str">
        <f>IFERROR(VLOOKUP(C20,Bolts!A:B,2,FALSE),"")</f>
        <v xml:space="preserve"> </v>
      </c>
      <c r="Q20" s="50" t="str">
        <f t="shared" ref="Q20" si="8">IFERROR(B20*P20,"")</f>
        <v/>
      </c>
    </row>
    <row r="21" spans="1:17" s="2" customFormat="1" ht="12" customHeight="1">
      <c r="A21" s="4">
        <f t="shared" si="7"/>
        <v>503</v>
      </c>
      <c r="B21" s="2">
        <v>2</v>
      </c>
      <c r="C21" s="110" t="s">
        <v>606</v>
      </c>
      <c r="D21" s="268"/>
      <c r="E21" s="276"/>
      <c r="F21" s="112" t="str">
        <f>VLOOKUP(C21,Bolts!A:L,5,0)</f>
        <v xml:space="preserve">  </v>
      </c>
      <c r="G21" s="112" t="str">
        <f>VLOOKUP(C21,Bolts!A:L,6,0)</f>
        <v>Monroe Fasteners</v>
      </c>
      <c r="H21" s="112" t="str">
        <f>VLOOKUP(C21,Bolts!A:L,7,0)</f>
        <v xml:space="preserve">  </v>
      </c>
      <c r="I21" s="112"/>
      <c r="J21" s="44" t="str">
        <f>VLOOKUP(C21,Bolts!A:L,8,0)</f>
        <v xml:space="preserve"> </v>
      </c>
      <c r="K21" s="44" t="str">
        <f>VLOOKUP(C21,Bolts!A:L,9,0)</f>
        <v xml:space="preserve"> </v>
      </c>
      <c r="L21" s="44" t="str">
        <f>VLOOKUP(C21,Bolts!A:L,10,0)</f>
        <v xml:space="preserve"> </v>
      </c>
      <c r="M21" s="44" t="str">
        <f>VLOOKUP(C21,Bolts!A:L,11,0)</f>
        <v xml:space="preserve"> </v>
      </c>
      <c r="N21" s="45" t="str">
        <f>VLOOKUP(C21,Bolts!A:L,12,0)</f>
        <v xml:space="preserve"> </v>
      </c>
      <c r="O21" s="45" t="e">
        <f t="shared" ref="O21" ca="1" si="9">B21*$L$2</f>
        <v>#VALUE!</v>
      </c>
      <c r="P21" s="49" t="str">
        <f>IFERROR(VLOOKUP(C21,Bolts!A:B,2,FALSE),"")</f>
        <v xml:space="preserve"> </v>
      </c>
      <c r="Q21" s="50" t="str">
        <f t="shared" ref="Q21" si="10">IFERROR(B21*P21,"")</f>
        <v/>
      </c>
    </row>
    <row r="22" spans="1:17" s="2" customFormat="1" ht="12" customHeight="1">
      <c r="A22" s="4">
        <f t="shared" si="7"/>
        <v>504</v>
      </c>
      <c r="B22" s="2">
        <v>2</v>
      </c>
      <c r="C22" s="110" t="s">
        <v>451</v>
      </c>
      <c r="D22" s="268"/>
      <c r="E22" s="276"/>
      <c r="F22" s="112" t="str">
        <f>VLOOKUP(C22,Bolts!A:L,5,0)</f>
        <v xml:space="preserve">  </v>
      </c>
      <c r="G22" s="112" t="str">
        <f>VLOOKUP(C22,Bolts!A:L,6,0)</f>
        <v>Monroe Fasteners</v>
      </c>
      <c r="H22" s="112" t="str">
        <f>VLOOKUP(C22,Bolts!A:L,7,0)</f>
        <v xml:space="preserve">  </v>
      </c>
      <c r="I22" s="112"/>
      <c r="J22" s="44" t="str">
        <f>VLOOKUP(C22,Bolts!A:L,8,0)</f>
        <v xml:space="preserve"> </v>
      </c>
      <c r="K22" s="44" t="str">
        <f>VLOOKUP(C22,Bolts!A:L,9,0)</f>
        <v xml:space="preserve"> </v>
      </c>
      <c r="L22" s="44" t="str">
        <f>VLOOKUP(C22,Bolts!A:L,10,0)</f>
        <v xml:space="preserve"> </v>
      </c>
      <c r="M22" s="44" t="str">
        <f>VLOOKUP(C22,Bolts!A:L,11,0)</f>
        <v xml:space="preserve"> </v>
      </c>
      <c r="N22" s="45" t="str">
        <f>VLOOKUP(C22,Bolts!A:L,12,0)</f>
        <v xml:space="preserve"> </v>
      </c>
      <c r="O22" s="45" t="e">
        <f t="shared" ref="O22:O24" ca="1" si="11">B22*$L$2</f>
        <v>#VALUE!</v>
      </c>
      <c r="P22" s="49" t="str">
        <f>IFERROR(VLOOKUP(C22,Bolts!A:B,2,FALSE),"")</f>
        <v xml:space="preserve"> </v>
      </c>
      <c r="Q22" s="50" t="str">
        <f t="shared" ref="Q22:Q24" si="12">IFERROR(B22*P22,"")</f>
        <v/>
      </c>
    </row>
    <row r="23" spans="1:17" s="2" customFormat="1" ht="12" customHeight="1">
      <c r="A23" s="4">
        <f t="shared" si="7"/>
        <v>505</v>
      </c>
      <c r="B23" s="2">
        <v>4</v>
      </c>
      <c r="C23" s="110" t="s">
        <v>595</v>
      </c>
      <c r="D23" s="268"/>
      <c r="E23" s="276"/>
      <c r="F23" s="112" t="str">
        <f>VLOOKUP(C23,Bolts!A:L,5,0)</f>
        <v xml:space="preserve">  </v>
      </c>
      <c r="G23" s="112" t="str">
        <f>VLOOKUP(C23,Bolts!A:L,6,0)</f>
        <v>Monroe Fasteners</v>
      </c>
      <c r="H23" s="112" t="str">
        <f>VLOOKUP(C23,Bolts!A:L,7,0)</f>
        <v xml:space="preserve">  </v>
      </c>
      <c r="I23" s="112"/>
      <c r="J23" s="44" t="str">
        <f>VLOOKUP(C23,Bolts!A:L,8,0)</f>
        <v xml:space="preserve"> </v>
      </c>
      <c r="K23" s="44" t="str">
        <f>VLOOKUP(C23,Bolts!A:L,9,0)</f>
        <v xml:space="preserve"> </v>
      </c>
      <c r="L23" s="44" t="str">
        <f>VLOOKUP(C23,Bolts!A:L,10,0)</f>
        <v xml:space="preserve"> </v>
      </c>
      <c r="M23" s="44" t="str">
        <f>VLOOKUP(C23,Bolts!A:L,11,0)</f>
        <v xml:space="preserve"> </v>
      </c>
      <c r="N23" s="45" t="str">
        <f>VLOOKUP(C23,Bolts!A:L,12,0)</f>
        <v xml:space="preserve"> </v>
      </c>
      <c r="O23" s="45" t="e">
        <f t="shared" ca="1" si="11"/>
        <v>#VALUE!</v>
      </c>
      <c r="P23" s="49" t="str">
        <f>IFERROR(VLOOKUP(C23,Bolts!A:B,2,FALSE),"")</f>
        <v xml:space="preserve"> </v>
      </c>
      <c r="Q23" s="50" t="str">
        <f t="shared" si="12"/>
        <v/>
      </c>
    </row>
    <row r="24" spans="1:17" s="2" customFormat="1" ht="12" customHeight="1" thickBot="1">
      <c r="A24" s="4">
        <f t="shared" si="7"/>
        <v>506</v>
      </c>
      <c r="B24" s="2">
        <v>3</v>
      </c>
      <c r="C24" s="110" t="s">
        <v>515</v>
      </c>
      <c r="D24" s="268"/>
      <c r="E24" s="276"/>
      <c r="F24" s="112" t="str">
        <f>VLOOKUP(C24,Bolts!A:L,5,0)</f>
        <v xml:space="preserve">  </v>
      </c>
      <c r="G24" s="112" t="str">
        <f>VLOOKUP(C24,Bolts!A:L,6,0)</f>
        <v>Monroe Fasteners</v>
      </c>
      <c r="H24" s="112" t="str">
        <f>VLOOKUP(C24,Bolts!A:L,7,0)</f>
        <v xml:space="preserve">  </v>
      </c>
      <c r="I24" s="112"/>
      <c r="J24" s="44" t="str">
        <f>VLOOKUP(C24,Bolts!A:L,8,0)</f>
        <v xml:space="preserve"> </v>
      </c>
      <c r="K24" s="44" t="str">
        <f>VLOOKUP(C24,Bolts!A:L,9,0)</f>
        <v xml:space="preserve"> </v>
      </c>
      <c r="L24" s="44" t="str">
        <f>VLOOKUP(C24,Bolts!A:L,10,0)</f>
        <v xml:space="preserve"> </v>
      </c>
      <c r="M24" s="44" t="str">
        <f>VLOOKUP(C24,Bolts!A:L,11,0)</f>
        <v xml:space="preserve"> </v>
      </c>
      <c r="N24" s="45" t="str">
        <f>VLOOKUP(C24,Bolts!A:L,12,0)</f>
        <v xml:space="preserve"> </v>
      </c>
      <c r="O24" s="45" t="e">
        <f t="shared" ca="1" si="11"/>
        <v>#VALUE!</v>
      </c>
      <c r="P24" s="49" t="str">
        <f>IFERROR(VLOOKUP(C24,Bolts!A:B,2,FALSE),"")</f>
        <v xml:space="preserve"> </v>
      </c>
      <c r="Q24" s="50" t="str">
        <f t="shared" si="12"/>
        <v/>
      </c>
    </row>
    <row r="25" spans="1:17" s="2" customFormat="1" ht="12.75" customHeight="1" thickBot="1">
      <c r="A25" s="34"/>
      <c r="B25" s="35"/>
      <c r="C25" s="35"/>
      <c r="D25" s="256"/>
      <c r="E25" s="257"/>
      <c r="F25" s="35"/>
      <c r="G25" s="35"/>
      <c r="H25" s="294"/>
      <c r="I25" s="295"/>
      <c r="J25" s="36"/>
      <c r="K25" s="36"/>
      <c r="L25" s="36"/>
      <c r="M25" s="37"/>
      <c r="N25" s="38"/>
      <c r="O25" s="38"/>
      <c r="P25" s="89" t="s">
        <v>43</v>
      </c>
      <c r="Q25" s="94">
        <f>SUM(Q5:Q22)</f>
        <v>823.45949999999993</v>
      </c>
    </row>
    <row r="26" spans="1:17" s="2" customFormat="1" ht="12" customHeight="1">
      <c r="D26" s="22"/>
      <c r="E26" s="22"/>
      <c r="J26" s="8"/>
      <c r="K26" s="8"/>
      <c r="L26" s="8"/>
      <c r="M26" s="8"/>
      <c r="N26" s="5"/>
      <c r="O26" s="5"/>
      <c r="P26" s="88"/>
      <c r="Q26" s="95"/>
    </row>
    <row r="27" spans="1:17" s="2" customFormat="1" ht="12" customHeight="1">
      <c r="D27" s="22"/>
      <c r="E27" s="22"/>
      <c r="J27" s="5"/>
      <c r="K27" s="5"/>
      <c r="L27" s="5"/>
      <c r="M27" s="5"/>
      <c r="N27" s="5"/>
      <c r="O27" s="5"/>
      <c r="P27" s="88"/>
      <c r="Q27" s="95"/>
    </row>
    <row r="28" spans="1:17" s="2" customFormat="1" ht="12" customHeight="1">
      <c r="D28" s="22"/>
      <c r="E28" s="22"/>
      <c r="J28" s="5"/>
      <c r="K28" s="5"/>
      <c r="L28" s="5"/>
      <c r="M28" s="5"/>
      <c r="N28" s="5"/>
      <c r="O28" s="5"/>
      <c r="P28" s="88"/>
      <c r="Q28" s="95"/>
    </row>
    <row r="29" spans="1:17" s="2" customFormat="1" ht="12" customHeight="1">
      <c r="D29" s="22"/>
      <c r="E29" s="22"/>
      <c r="J29" s="5"/>
      <c r="K29" s="5"/>
      <c r="L29" s="5"/>
      <c r="M29" s="5"/>
      <c r="N29" s="5"/>
      <c r="O29" s="5"/>
      <c r="P29" s="88"/>
      <c r="Q29" s="95"/>
    </row>
    <row r="30" spans="1:17" s="2" customFormat="1" ht="12" customHeight="1">
      <c r="D30" s="22"/>
      <c r="E30" s="22"/>
      <c r="J30" s="5"/>
      <c r="K30" s="5"/>
      <c r="L30" s="5"/>
      <c r="M30" s="5"/>
      <c r="N30" s="5"/>
      <c r="O30" s="5"/>
      <c r="P30" s="88"/>
      <c r="Q30" s="95"/>
    </row>
    <row r="31" spans="1:17" s="2" customFormat="1" ht="12" customHeight="1">
      <c r="D31" s="22"/>
      <c r="E31" s="22"/>
      <c r="J31" s="5"/>
      <c r="K31" s="5"/>
      <c r="L31" s="5"/>
      <c r="M31" s="5"/>
      <c r="N31" s="5"/>
      <c r="O31" s="5"/>
      <c r="P31" s="88"/>
      <c r="Q31" s="95"/>
    </row>
    <row r="32" spans="1:17" s="2" customFormat="1" ht="12" customHeight="1">
      <c r="D32" s="22"/>
      <c r="E32" s="22"/>
      <c r="J32" s="5"/>
      <c r="K32" s="5"/>
      <c r="L32" s="5"/>
      <c r="M32" s="5"/>
      <c r="N32" s="5"/>
      <c r="O32" s="5"/>
      <c r="P32" s="88"/>
      <c r="Q32" s="95"/>
    </row>
    <row r="33" spans="4:17" s="2" customFormat="1" ht="12" customHeight="1">
      <c r="D33" s="22"/>
      <c r="E33" s="22"/>
      <c r="J33" s="5"/>
      <c r="K33" s="5"/>
      <c r="L33" s="5"/>
      <c r="M33" s="5"/>
      <c r="N33" s="5"/>
      <c r="O33" s="5"/>
      <c r="P33" s="88"/>
      <c r="Q33" s="95"/>
    </row>
    <row r="34" spans="4:17" s="2" customFormat="1" ht="12" customHeight="1">
      <c r="D34" s="22"/>
      <c r="E34" s="22"/>
      <c r="J34" s="5"/>
      <c r="K34" s="5"/>
      <c r="L34" s="5"/>
      <c r="M34" s="5"/>
      <c r="N34" s="5"/>
      <c r="O34" s="5"/>
      <c r="P34" s="88"/>
      <c r="Q34" s="95"/>
    </row>
    <row r="35" spans="4:17" s="2" customFormat="1" ht="12" customHeight="1">
      <c r="D35" s="22"/>
      <c r="E35" s="22"/>
      <c r="J35" s="5"/>
      <c r="K35" s="5"/>
      <c r="L35" s="5"/>
      <c r="M35" s="5"/>
      <c r="N35" s="5"/>
      <c r="O35" s="5"/>
      <c r="P35" s="88"/>
      <c r="Q35" s="95"/>
    </row>
    <row r="36" spans="4:17" s="2" customFormat="1" ht="12" customHeight="1">
      <c r="D36" s="22"/>
      <c r="E36" s="22"/>
      <c r="J36" s="5"/>
      <c r="K36" s="5"/>
      <c r="L36" s="5"/>
      <c r="M36" s="5"/>
      <c r="N36" s="5"/>
      <c r="O36" s="5"/>
      <c r="P36" s="88"/>
      <c r="Q36" s="95"/>
    </row>
    <row r="37" spans="4:17" s="2" customFormat="1" ht="12" customHeight="1">
      <c r="D37" s="22"/>
      <c r="E37" s="22"/>
      <c r="J37" s="5"/>
      <c r="K37" s="5"/>
      <c r="L37" s="5"/>
      <c r="M37" s="5"/>
      <c r="N37" s="5"/>
      <c r="O37" s="5"/>
      <c r="P37" s="88"/>
      <c r="Q37" s="95"/>
    </row>
    <row r="38" spans="4:17" s="2" customFormat="1" ht="12" customHeight="1">
      <c r="D38" s="22"/>
      <c r="E38" s="22"/>
      <c r="J38" s="5"/>
      <c r="K38" s="5"/>
      <c r="L38" s="5"/>
      <c r="M38" s="5"/>
      <c r="N38" s="5"/>
      <c r="O38" s="5"/>
      <c r="P38" s="88"/>
      <c r="Q38" s="95"/>
    </row>
    <row r="39" spans="4:17" s="2" customFormat="1" ht="12" customHeight="1">
      <c r="D39" s="22"/>
      <c r="E39" s="22"/>
      <c r="J39" s="5"/>
      <c r="K39" s="5"/>
      <c r="L39" s="5"/>
      <c r="M39" s="5"/>
      <c r="N39" s="5"/>
      <c r="O39" s="5"/>
      <c r="P39" s="88"/>
      <c r="Q39" s="95"/>
    </row>
    <row r="40" spans="4:17" s="2" customFormat="1" ht="12" customHeight="1">
      <c r="D40" s="22"/>
      <c r="E40" s="22"/>
      <c r="J40" s="5"/>
      <c r="K40" s="5"/>
      <c r="L40" s="5"/>
      <c r="M40" s="5"/>
      <c r="N40" s="5"/>
      <c r="O40" s="5"/>
      <c r="P40" s="88"/>
      <c r="Q40" s="95"/>
    </row>
    <row r="41" spans="4:17" s="2" customFormat="1" ht="12" customHeight="1">
      <c r="D41" s="22"/>
      <c r="E41" s="22"/>
      <c r="J41" s="5"/>
      <c r="K41" s="5"/>
      <c r="L41" s="5"/>
      <c r="M41" s="5"/>
      <c r="N41" s="5"/>
      <c r="O41" s="5"/>
      <c r="P41" s="88"/>
      <c r="Q41" s="95"/>
    </row>
    <row r="42" spans="4:17" s="2" customFormat="1" ht="12" customHeight="1">
      <c r="D42" s="22"/>
      <c r="E42" s="22"/>
      <c r="J42" s="5"/>
      <c r="K42" s="5"/>
      <c r="L42" s="5"/>
      <c r="M42" s="5"/>
      <c r="N42" s="5"/>
      <c r="O42" s="5"/>
      <c r="P42" s="88"/>
      <c r="Q42" s="95"/>
    </row>
    <row r="43" spans="4:17" s="2" customFormat="1" ht="12" customHeight="1">
      <c r="D43" s="22"/>
      <c r="E43" s="22"/>
      <c r="J43" s="5"/>
      <c r="K43" s="5"/>
      <c r="L43" s="5"/>
      <c r="M43" s="5"/>
      <c r="N43" s="5"/>
      <c r="O43" s="5"/>
      <c r="P43" s="88"/>
      <c r="Q43" s="95"/>
    </row>
    <row r="44" spans="4:17" s="2" customFormat="1" ht="12" customHeight="1">
      <c r="D44" s="22"/>
      <c r="E44" s="22"/>
      <c r="J44" s="5"/>
      <c r="K44" s="5"/>
      <c r="L44" s="5"/>
      <c r="M44" s="5"/>
      <c r="N44" s="5"/>
      <c r="O44" s="5"/>
      <c r="P44" s="88"/>
      <c r="Q44" s="95"/>
    </row>
    <row r="45" spans="4:17" s="2" customFormat="1" ht="12" customHeight="1">
      <c r="D45" s="22"/>
      <c r="E45" s="22"/>
      <c r="J45" s="5"/>
      <c r="K45" s="5"/>
      <c r="L45" s="5"/>
      <c r="M45" s="5"/>
      <c r="N45" s="5"/>
      <c r="O45" s="5"/>
      <c r="P45" s="88"/>
      <c r="Q45" s="95"/>
    </row>
    <row r="46" spans="4:17" s="2" customFormat="1" ht="12" customHeight="1">
      <c r="D46" s="22"/>
      <c r="E46" s="22"/>
      <c r="J46" s="5"/>
      <c r="K46" s="5"/>
      <c r="L46" s="5"/>
      <c r="M46" s="5"/>
      <c r="N46" s="5"/>
      <c r="O46" s="5"/>
      <c r="P46" s="88"/>
      <c r="Q46" s="95"/>
    </row>
    <row r="47" spans="4:17" s="2" customFormat="1" ht="12" customHeight="1">
      <c r="D47" s="22"/>
      <c r="E47" s="22"/>
      <c r="J47" s="5"/>
      <c r="K47" s="5"/>
      <c r="L47" s="5"/>
      <c r="M47" s="5"/>
      <c r="N47" s="5"/>
      <c r="O47" s="5"/>
      <c r="P47" s="88"/>
      <c r="Q47" s="95"/>
    </row>
    <row r="48" spans="4:17" s="2" customFormat="1" ht="12" customHeight="1">
      <c r="D48" s="22"/>
      <c r="E48" s="22"/>
      <c r="J48" s="5"/>
      <c r="K48" s="5"/>
      <c r="L48" s="5"/>
      <c r="M48" s="5"/>
      <c r="N48" s="5"/>
      <c r="O48" s="5"/>
      <c r="P48" s="88"/>
      <c r="Q48" s="95"/>
    </row>
    <row r="49" spans="4:17" s="2" customFormat="1" ht="12" customHeight="1">
      <c r="D49" s="22"/>
      <c r="E49" s="22"/>
      <c r="J49" s="5"/>
      <c r="K49" s="5"/>
      <c r="L49" s="5"/>
      <c r="M49" s="5"/>
      <c r="N49" s="5"/>
      <c r="O49" s="5"/>
      <c r="P49" s="88"/>
      <c r="Q49" s="95"/>
    </row>
    <row r="50" spans="4:17" s="2" customFormat="1" ht="12" customHeight="1">
      <c r="D50" s="22"/>
      <c r="E50" s="22"/>
      <c r="J50" s="5"/>
      <c r="K50" s="5"/>
      <c r="L50" s="5"/>
      <c r="M50" s="5"/>
      <c r="N50" s="5"/>
      <c r="O50" s="5"/>
      <c r="P50" s="88"/>
      <c r="Q50" s="95"/>
    </row>
    <row r="51" spans="4:17" s="2" customFormat="1" ht="12" customHeight="1">
      <c r="D51" s="22"/>
      <c r="E51" s="22"/>
      <c r="J51" s="5"/>
      <c r="K51" s="5"/>
      <c r="L51" s="5"/>
      <c r="M51" s="5"/>
      <c r="N51" s="5"/>
      <c r="O51" s="5"/>
      <c r="P51" s="88"/>
      <c r="Q51" s="95"/>
    </row>
    <row r="52" spans="4:17" s="2" customFormat="1" ht="12" customHeight="1">
      <c r="D52" s="22"/>
      <c r="E52" s="22"/>
      <c r="J52" s="5"/>
      <c r="K52" s="5"/>
      <c r="L52" s="5"/>
      <c r="M52" s="5"/>
      <c r="N52" s="5"/>
      <c r="O52" s="5"/>
      <c r="P52" s="88"/>
      <c r="Q52" s="95"/>
    </row>
    <row r="53" spans="4:17" s="2" customFormat="1" ht="12" customHeight="1">
      <c r="D53" s="22"/>
      <c r="E53" s="22"/>
      <c r="J53" s="5"/>
      <c r="K53" s="5"/>
      <c r="L53" s="5"/>
      <c r="M53" s="5"/>
      <c r="N53" s="5"/>
      <c r="O53" s="5"/>
      <c r="P53" s="88"/>
      <c r="Q53" s="95"/>
    </row>
    <row r="54" spans="4:17" s="2" customFormat="1" ht="12" customHeight="1">
      <c r="D54" s="22"/>
      <c r="E54" s="22"/>
      <c r="J54" s="5"/>
      <c r="K54" s="5"/>
      <c r="L54" s="5"/>
      <c r="M54" s="5"/>
      <c r="N54" s="5"/>
      <c r="O54" s="5"/>
      <c r="P54" s="88"/>
      <c r="Q54" s="95"/>
    </row>
    <row r="55" spans="4:17" s="2" customFormat="1" ht="12" customHeight="1">
      <c r="D55" s="22"/>
      <c r="E55" s="22"/>
      <c r="J55" s="5"/>
      <c r="K55" s="5"/>
      <c r="L55" s="5"/>
      <c r="M55" s="5"/>
      <c r="N55" s="5"/>
      <c r="O55" s="5"/>
      <c r="P55" s="88"/>
      <c r="Q55" s="95"/>
    </row>
    <row r="56" spans="4:17" s="2" customFormat="1" ht="12" customHeight="1">
      <c r="D56" s="22"/>
      <c r="E56" s="22"/>
      <c r="J56" s="5"/>
      <c r="K56" s="5"/>
      <c r="L56" s="5"/>
      <c r="M56" s="5"/>
      <c r="N56" s="5"/>
      <c r="O56" s="5"/>
      <c r="P56" s="88"/>
      <c r="Q56" s="95"/>
    </row>
    <row r="57" spans="4:17" s="2" customFormat="1" ht="12" customHeight="1">
      <c r="D57" s="22"/>
      <c r="E57" s="22"/>
      <c r="J57" s="5"/>
      <c r="K57" s="5"/>
      <c r="L57" s="5"/>
      <c r="M57" s="5"/>
      <c r="N57" s="5"/>
      <c r="O57" s="5"/>
      <c r="P57" s="88"/>
      <c r="Q57" s="95"/>
    </row>
    <row r="58" spans="4:17" s="2" customFormat="1" ht="12" customHeight="1">
      <c r="D58" s="22"/>
      <c r="E58" s="22"/>
      <c r="J58" s="5"/>
      <c r="K58" s="5"/>
      <c r="L58" s="5"/>
      <c r="M58" s="5"/>
      <c r="N58" s="5"/>
      <c r="O58" s="5"/>
      <c r="P58" s="88"/>
      <c r="Q58" s="95"/>
    </row>
    <row r="59" spans="4:17" s="2" customFormat="1" ht="12" customHeight="1">
      <c r="D59" s="22"/>
      <c r="E59" s="22"/>
      <c r="J59" s="5"/>
      <c r="K59" s="5"/>
      <c r="L59" s="5"/>
      <c r="M59" s="5"/>
      <c r="N59" s="5"/>
      <c r="O59" s="5"/>
      <c r="P59" s="88"/>
      <c r="Q59" s="95"/>
    </row>
    <row r="60" spans="4:17" s="2" customFormat="1" ht="12" customHeight="1">
      <c r="D60" s="22"/>
      <c r="E60" s="22"/>
      <c r="J60" s="5"/>
      <c r="K60" s="5"/>
      <c r="L60" s="5"/>
      <c r="M60" s="5"/>
      <c r="N60" s="5"/>
      <c r="O60" s="5"/>
      <c r="P60" s="88"/>
      <c r="Q60" s="95"/>
    </row>
    <row r="61" spans="4:17" s="2" customFormat="1" ht="12" customHeight="1">
      <c r="D61" s="22"/>
      <c r="E61" s="22"/>
      <c r="J61" s="5"/>
      <c r="K61" s="5"/>
      <c r="L61" s="5"/>
      <c r="M61" s="5"/>
      <c r="N61" s="5"/>
      <c r="O61" s="5"/>
      <c r="P61" s="88"/>
      <c r="Q61" s="95"/>
    </row>
    <row r="62" spans="4:17" s="2" customFormat="1" ht="12" customHeight="1">
      <c r="D62" s="22"/>
      <c r="E62" s="22"/>
      <c r="J62" s="5"/>
      <c r="K62" s="5"/>
      <c r="L62" s="5"/>
      <c r="M62" s="5"/>
      <c r="N62" s="5"/>
      <c r="O62" s="5"/>
      <c r="P62" s="88"/>
      <c r="Q62" s="95"/>
    </row>
    <row r="63" spans="4:17" s="2" customFormat="1" ht="12" customHeight="1">
      <c r="D63" s="22"/>
      <c r="E63" s="22"/>
      <c r="J63" s="5"/>
      <c r="K63" s="5"/>
      <c r="L63" s="5"/>
      <c r="M63" s="5"/>
      <c r="N63" s="5"/>
      <c r="O63" s="5"/>
      <c r="P63" s="88"/>
      <c r="Q63" s="95"/>
    </row>
    <row r="64" spans="4:17" s="2" customFormat="1" ht="12" customHeight="1">
      <c r="D64" s="22"/>
      <c r="E64" s="22"/>
      <c r="J64" s="5"/>
      <c r="K64" s="5"/>
      <c r="L64" s="5"/>
      <c r="M64" s="5"/>
      <c r="N64" s="5"/>
      <c r="O64" s="5"/>
      <c r="P64" s="88"/>
      <c r="Q64" s="96"/>
    </row>
    <row r="65" spans="1:17" s="2" customFormat="1" ht="12" customHeight="1">
      <c r="D65" s="22"/>
      <c r="E65" s="22"/>
      <c r="J65" s="5"/>
      <c r="K65" s="5"/>
      <c r="L65" s="5"/>
      <c r="M65" s="5"/>
      <c r="N65" s="5"/>
      <c r="O65" s="5"/>
      <c r="P65" s="88"/>
      <c r="Q65" s="96"/>
    </row>
    <row r="66" spans="1:17" s="2" customFormat="1" ht="12" customHeight="1">
      <c r="D66" s="22"/>
      <c r="E66" s="22"/>
      <c r="J66" s="5"/>
      <c r="K66" s="5"/>
      <c r="L66" s="5"/>
      <c r="M66" s="5"/>
      <c r="N66" s="5"/>
      <c r="O66" s="5"/>
      <c r="P66" s="88"/>
      <c r="Q66" s="96"/>
    </row>
    <row r="67" spans="1:17" s="2" customFormat="1" ht="12" customHeight="1">
      <c r="D67" s="22"/>
      <c r="E67" s="22"/>
      <c r="J67" s="5"/>
      <c r="K67" s="5"/>
      <c r="L67" s="5"/>
      <c r="M67" s="5"/>
      <c r="N67" s="5"/>
      <c r="O67" s="5"/>
      <c r="P67" s="88"/>
      <c r="Q67" s="96"/>
    </row>
    <row r="68" spans="1:17" s="2" customFormat="1" ht="12" customHeight="1">
      <c r="A68"/>
      <c r="B68"/>
      <c r="C68"/>
      <c r="D68" s="23"/>
      <c r="E68" s="23"/>
      <c r="F68"/>
      <c r="G68"/>
      <c r="H68"/>
      <c r="I68"/>
      <c r="J68" s="19"/>
      <c r="K68" s="19"/>
      <c r="L68" s="19"/>
      <c r="M68" s="19"/>
      <c r="N68" s="19"/>
      <c r="O68" s="19"/>
      <c r="P68" s="90"/>
      <c r="Q68" s="96"/>
    </row>
    <row r="69" spans="1:17" s="2" customFormat="1" ht="12" customHeight="1">
      <c r="A69"/>
      <c r="B69"/>
      <c r="C69"/>
      <c r="D69" s="23"/>
      <c r="E69" s="23"/>
      <c r="F69"/>
      <c r="G69"/>
      <c r="H69"/>
      <c r="I69"/>
      <c r="J69" s="19"/>
      <c r="K69" s="19"/>
      <c r="L69" s="19"/>
      <c r="M69" s="19"/>
      <c r="N69" s="19"/>
      <c r="O69" s="19"/>
      <c r="P69" s="90"/>
      <c r="Q69" s="96"/>
    </row>
    <row r="70" spans="1:17" s="2" customFormat="1" ht="12" customHeight="1">
      <c r="A70"/>
      <c r="B70"/>
      <c r="C70"/>
      <c r="D70" s="23"/>
      <c r="E70" s="23"/>
      <c r="F70"/>
      <c r="G70"/>
      <c r="H70"/>
      <c r="I70"/>
      <c r="J70" s="19"/>
      <c r="K70" s="19"/>
      <c r="L70" s="19"/>
      <c r="M70" s="19"/>
      <c r="N70" s="19"/>
      <c r="O70" s="19"/>
      <c r="P70" s="90"/>
      <c r="Q70" s="96"/>
    </row>
    <row r="71" spans="1:17" s="2" customFormat="1" ht="12" customHeight="1">
      <c r="A71"/>
      <c r="B71"/>
      <c r="C71"/>
      <c r="D71" s="23"/>
      <c r="E71" s="23"/>
      <c r="F71"/>
      <c r="G71"/>
      <c r="H71"/>
      <c r="I71"/>
      <c r="J71" s="19"/>
      <c r="K71" s="19"/>
      <c r="L71" s="19"/>
      <c r="M71" s="19"/>
      <c r="N71" s="19"/>
      <c r="O71" s="19"/>
      <c r="P71" s="90"/>
      <c r="Q71" s="96"/>
    </row>
    <row r="72" spans="1:17" s="2" customFormat="1" ht="12" customHeight="1">
      <c r="A72"/>
      <c r="B72"/>
      <c r="C72"/>
      <c r="D72" s="23"/>
      <c r="E72" s="23"/>
      <c r="F72"/>
      <c r="G72"/>
      <c r="H72"/>
      <c r="I72"/>
      <c r="J72" s="19"/>
      <c r="K72" s="19"/>
      <c r="L72" s="19"/>
      <c r="M72" s="19"/>
      <c r="N72" s="19"/>
      <c r="O72" s="19"/>
      <c r="P72" s="90"/>
      <c r="Q72" s="96"/>
    </row>
    <row r="73" spans="1:17">
      <c r="Q73" s="96"/>
    </row>
    <row r="74" spans="1:17">
      <c r="Q74" s="96"/>
    </row>
    <row r="75" spans="1:17">
      <c r="Q75" s="96"/>
    </row>
    <row r="76" spans="1:17">
      <c r="Q76" s="96"/>
    </row>
    <row r="77" spans="1:17">
      <c r="Q77" s="96"/>
    </row>
    <row r="78" spans="1:17">
      <c r="Q78" s="96"/>
    </row>
    <row r="79" spans="1:17">
      <c r="Q79" s="96"/>
    </row>
    <row r="80" spans="1:17">
      <c r="Q80" s="96"/>
    </row>
    <row r="81" spans="17:17">
      <c r="Q81" s="96"/>
    </row>
    <row r="82" spans="17:17">
      <c r="Q82" s="96"/>
    </row>
    <row r="83" spans="17:17">
      <c r="Q83" s="96"/>
    </row>
    <row r="84" spans="17:17">
      <c r="Q84" s="96"/>
    </row>
    <row r="85" spans="17:17">
      <c r="Q85" s="96"/>
    </row>
    <row r="86" spans="17:17">
      <c r="Q86" s="96"/>
    </row>
    <row r="87" spans="17:17">
      <c r="Q87" s="96"/>
    </row>
    <row r="88" spans="17:17">
      <c r="Q88" s="96"/>
    </row>
    <row r="89" spans="17:17">
      <c r="Q89" s="96"/>
    </row>
    <row r="90" spans="17:17">
      <c r="Q90" s="96"/>
    </row>
    <row r="91" spans="17:17">
      <c r="Q91" s="96"/>
    </row>
    <row r="92" spans="17:17">
      <c r="Q92" s="96"/>
    </row>
    <row r="129" ht="12" customHeight="1"/>
    <row r="130" ht="12" customHeight="1"/>
    <row r="131" ht="12" customHeight="1"/>
    <row r="132" ht="12" customHeight="1"/>
    <row r="133" ht="12" customHeight="1"/>
    <row r="134" ht="12" customHeight="1"/>
    <row r="135" ht="12" customHeight="1"/>
    <row r="136" ht="12" customHeight="1"/>
    <row r="137" ht="12" customHeight="1"/>
    <row r="138" ht="12" customHeight="1"/>
    <row r="139" ht="12" customHeight="1"/>
    <row r="140" ht="12" customHeight="1"/>
    <row r="141" ht="12" customHeight="1"/>
    <row r="142" ht="12" customHeight="1"/>
    <row r="143" ht="12" customHeight="1"/>
    <row r="144" ht="12" customHeight="1"/>
    <row r="145" ht="12" customHeight="1"/>
    <row r="146" ht="12" customHeight="1"/>
    <row r="147" ht="12" customHeight="1"/>
    <row r="148" ht="12" customHeight="1"/>
    <row r="149" ht="12" customHeight="1"/>
    <row r="150" ht="12" customHeight="1"/>
    <row r="151" ht="12" customHeight="1"/>
    <row r="152" ht="12" customHeight="1"/>
    <row r="153" ht="12" customHeight="1"/>
    <row r="154" ht="12" customHeight="1"/>
    <row r="155" ht="12" customHeight="1"/>
    <row r="156" ht="12" customHeight="1"/>
    <row r="157" ht="12" customHeight="1"/>
    <row r="158" ht="12" customHeight="1"/>
    <row r="159" ht="12" customHeight="1"/>
    <row r="160" ht="12" customHeight="1"/>
    <row r="161" ht="12" customHeight="1"/>
    <row r="162" ht="12" customHeight="1"/>
    <row r="163" ht="12" customHeight="1"/>
    <row r="164" ht="12" customHeight="1"/>
    <row r="165" ht="12" customHeight="1"/>
    <row r="166" ht="12" customHeight="1"/>
    <row r="167" ht="12" customHeight="1"/>
    <row r="168" ht="12" customHeight="1"/>
    <row r="169" ht="12" customHeight="1"/>
    <row r="170" ht="12" customHeight="1"/>
    <row r="171" ht="12" customHeight="1"/>
    <row r="172" ht="12" customHeight="1"/>
    <row r="173" ht="12" customHeight="1"/>
    <row r="174" ht="12" customHeight="1"/>
    <row r="175" ht="12" customHeight="1"/>
    <row r="176" ht="12" customHeight="1"/>
    <row r="177" ht="12" customHeight="1"/>
    <row r="178" ht="12" customHeight="1"/>
  </sheetData>
  <mergeCells count="27">
    <mergeCell ref="D24:E24"/>
    <mergeCell ref="H18:I18"/>
    <mergeCell ref="D11:E11"/>
    <mergeCell ref="D12:E12"/>
    <mergeCell ref="H25:I25"/>
    <mergeCell ref="D25:E25"/>
    <mergeCell ref="D13:E13"/>
    <mergeCell ref="D14:E14"/>
    <mergeCell ref="D19:E19"/>
    <mergeCell ref="D20:E20"/>
    <mergeCell ref="D21:E21"/>
    <mergeCell ref="D15:E15"/>
    <mergeCell ref="D16:E16"/>
    <mergeCell ref="D17:E17"/>
    <mergeCell ref="D18:E18"/>
    <mergeCell ref="D22:E22"/>
    <mergeCell ref="D23:E23"/>
    <mergeCell ref="D1:E1"/>
    <mergeCell ref="D4:E4"/>
    <mergeCell ref="D8:E8"/>
    <mergeCell ref="D9:E9"/>
    <mergeCell ref="H10:I10"/>
    <mergeCell ref="H4:I4"/>
    <mergeCell ref="D5:E5"/>
    <mergeCell ref="D6:E6"/>
    <mergeCell ref="D10:E10"/>
    <mergeCell ref="D7:E7"/>
  </mergeCells>
  <conditionalFormatting sqref="M5:M9">
    <cfRule type="cellIs" dxfId="196" priority="9" stopIfTrue="1" operator="lessThanOrEqual">
      <formula>$L5</formula>
    </cfRule>
    <cfRule type="cellIs" dxfId="195" priority="10" operator="greaterThan">
      <formula>L5</formula>
    </cfRule>
  </conditionalFormatting>
  <conditionalFormatting sqref="M11:M17 M19:M24">
    <cfRule type="cellIs" dxfId="194" priority="1" stopIfTrue="1" operator="lessThanOrEqual">
      <formula>$L11</formula>
    </cfRule>
    <cfRule type="cellIs" dxfId="193" priority="2" operator="greaterThan">
      <formula>L11</formula>
    </cfRule>
  </conditionalFormatting>
  <pageMargins left="0.7" right="0.7" top="0.75" bottom="0.75" header="0.3" footer="0.3"/>
  <pageSetup paperSize="3" fitToHeight="0" orientation="landscape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DF05CC6D-2065-4D16-B1C7-EAD362CB04B4}">
          <x14:formula1>
            <xm:f>Bolts!$A:$A</xm:f>
          </x14:formula1>
          <xm:sqref>C19:C24</xm:sqref>
        </x14:dataValidation>
        <x14:dataValidation type="list" allowBlank="1" showInputMessage="1" showErrorMessage="1" xr:uid="{189B9FA6-DA02-4FD0-819D-F49659E5D53E}">
          <x14:formula1>
            <xm:f>Purchased!$A:$A</xm:f>
          </x14:formula1>
          <xm:sqref>C11:C17</xm:sqref>
        </x14:dataValidation>
        <x14:dataValidation type="list" allowBlank="1" showInputMessage="1" showErrorMessage="1" xr:uid="{AB372C69-4F70-4A7B-A504-2DFC254883CA}">
          <x14:formula1>
            <xm:f>Machined!$C:$C</xm:f>
          </x14:formula1>
          <xm:sqref>C5:C9</xm:sqref>
        </x14:dataValidation>
      </x14:dataValidations>
    </ext>
  </extLst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CC6425-5955-4F84-9B20-240F3791E9A8}">
  <sheetPr codeName="Sheet133">
    <tabColor theme="3" tint="0.79998168889431442"/>
    <pageSetUpPr fitToPage="1"/>
  </sheetPr>
  <dimension ref="A1:Q183"/>
  <sheetViews>
    <sheetView zoomScaleNormal="100" workbookViewId="0">
      <selection activeCell="P21" sqref="P21"/>
    </sheetView>
  </sheetViews>
  <sheetFormatPr defaultColWidth="9.140625" defaultRowHeight="15"/>
  <cols>
    <col min="1" max="1" width="5.7109375" customWidth="1"/>
    <col min="2" max="2" width="5.42578125" bestFit="1" customWidth="1"/>
    <col min="3" max="3" width="30.7109375" customWidth="1"/>
    <col min="4" max="5" width="20.7109375" style="23" customWidth="1"/>
    <col min="6" max="6" width="16.85546875" bestFit="1" customWidth="1"/>
    <col min="7" max="7" width="9.7109375" customWidth="1"/>
    <col min="8" max="8" width="8.7109375" customWidth="1"/>
    <col min="9" max="9" width="20.7109375" customWidth="1"/>
    <col min="10" max="13" width="11.7109375" style="19" customWidth="1"/>
    <col min="14" max="14" width="11.85546875" style="19" bestFit="1" customWidth="1"/>
    <col min="15" max="15" width="7.7109375" style="19" customWidth="1"/>
    <col min="16" max="16" width="10.7109375" style="90" customWidth="1"/>
    <col min="17" max="17" width="10.7109375" style="97" customWidth="1"/>
  </cols>
  <sheetData>
    <row r="1" spans="1:17" s="55" customFormat="1" ht="12" customHeight="1">
      <c r="A1" s="68" t="s">
        <v>0</v>
      </c>
      <c r="B1" s="69"/>
      <c r="C1" s="69"/>
      <c r="D1" s="262" t="s">
        <v>1</v>
      </c>
      <c r="E1" s="263"/>
      <c r="F1" s="70"/>
      <c r="G1" s="69"/>
      <c r="H1" s="70"/>
      <c r="I1" s="71"/>
      <c r="J1" s="72"/>
      <c r="K1" s="72"/>
      <c r="L1" s="72"/>
      <c r="M1" s="72"/>
      <c r="N1" s="72"/>
      <c r="O1" s="72"/>
      <c r="P1" s="85"/>
      <c r="Q1" s="91"/>
    </row>
    <row r="2" spans="1:17" s="55" customFormat="1" ht="12" customHeight="1">
      <c r="A2" s="74" t="s">
        <v>48</v>
      </c>
      <c r="B2" s="58"/>
      <c r="C2" s="57" t="e">
        <f ca="1">VLOOKUP(E3,Assemblies!B:F,4,0)</f>
        <v>#VALUE!</v>
      </c>
      <c r="D2" s="75" t="s">
        <v>3</v>
      </c>
      <c r="E2" s="76" t="e">
        <f ca="1">'GF12'!E2</f>
        <v>#VALUE!</v>
      </c>
      <c r="F2" s="77" t="s">
        <v>4</v>
      </c>
      <c r="G2" s="58" t="str">
        <f>'GF12'!G2</f>
        <v>GH</v>
      </c>
      <c r="H2" s="77" t="s">
        <v>6</v>
      </c>
      <c r="I2" s="59">
        <f>'GF12'!I2</f>
        <v>44775</v>
      </c>
      <c r="J2" s="39"/>
      <c r="K2" s="40" t="s">
        <v>49</v>
      </c>
      <c r="L2" s="41" t="e">
        <f ca="1">VLOOKUP(C2,Assemblies!E:G,3,0)</f>
        <v>#VALUE!</v>
      </c>
      <c r="M2" s="78"/>
      <c r="N2" s="78"/>
      <c r="O2" s="78"/>
      <c r="P2" s="86"/>
      <c r="Q2" s="92"/>
    </row>
    <row r="3" spans="1:17" s="55" customFormat="1" ht="12" customHeight="1" thickBot="1">
      <c r="A3" s="74" t="s">
        <v>7</v>
      </c>
      <c r="B3" s="58"/>
      <c r="C3" s="57" t="e">
        <f ca="1">VLOOKUP(E3,Assemblies!B:F,5,0)</f>
        <v>#VALUE!</v>
      </c>
      <c r="D3" s="75" t="s">
        <v>50</v>
      </c>
      <c r="E3" s="76" t="e">
        <f ca="1">MID(CELL("filename",A1),FIND("]",CELL("filename",A1))+1,256)</f>
        <v>#VALUE!</v>
      </c>
      <c r="F3" s="77" t="s">
        <v>11</v>
      </c>
      <c r="G3" s="58" t="str">
        <f>'GF12'!G3</f>
        <v>GH</v>
      </c>
      <c r="H3" s="77" t="s">
        <v>6</v>
      </c>
      <c r="I3" s="59">
        <f>'GF12'!I3</f>
        <v>44775</v>
      </c>
      <c r="J3" s="78"/>
      <c r="K3" s="78"/>
      <c r="L3" s="78"/>
      <c r="M3" s="78"/>
      <c r="N3" s="78"/>
      <c r="O3" s="78"/>
      <c r="P3" s="86"/>
      <c r="Q3" s="92"/>
    </row>
    <row r="4" spans="1:17" s="56" customFormat="1" ht="12.75" customHeight="1" thickBot="1">
      <c r="A4" s="80" t="s">
        <v>12</v>
      </c>
      <c r="B4" s="81" t="s">
        <v>13</v>
      </c>
      <c r="C4" s="81" t="s">
        <v>14</v>
      </c>
      <c r="D4" s="270" t="s">
        <v>15</v>
      </c>
      <c r="E4" s="271"/>
      <c r="F4" s="104" t="s">
        <v>16</v>
      </c>
      <c r="G4" s="81" t="s">
        <v>17</v>
      </c>
      <c r="H4" s="260" t="s">
        <v>18</v>
      </c>
      <c r="I4" s="261"/>
      <c r="J4" s="81" t="s">
        <v>51</v>
      </c>
      <c r="K4" s="81" t="s">
        <v>20</v>
      </c>
      <c r="L4" s="81" t="s">
        <v>21</v>
      </c>
      <c r="M4" s="81" t="s">
        <v>52</v>
      </c>
      <c r="N4" s="81" t="s">
        <v>22</v>
      </c>
      <c r="O4" s="81" t="s">
        <v>53</v>
      </c>
      <c r="P4" s="107" t="s">
        <v>26</v>
      </c>
      <c r="Q4" s="82" t="s">
        <v>27</v>
      </c>
    </row>
    <row r="5" spans="1:17" s="2" customFormat="1" ht="12.75" customHeight="1">
      <c r="A5" s="127">
        <v>1</v>
      </c>
      <c r="B5" s="21">
        <v>1</v>
      </c>
      <c r="C5" s="108" t="s">
        <v>1289</v>
      </c>
      <c r="D5" s="277" t="str">
        <f>VLOOKUP(C5,Machined!C:Q,2,0)</f>
        <v>Gripper Mount Block</v>
      </c>
      <c r="E5" s="278"/>
      <c r="F5" s="131" t="str">
        <f>VLOOKUP(C5,Machined!C:R,7,0)</f>
        <v>6061-T6 Alum</v>
      </c>
      <c r="G5" s="131" t="str">
        <f>VLOOKUP(C5,Machined!C:R,10,0)</f>
        <v>DETAILED MACH</v>
      </c>
      <c r="H5" s="131" t="str">
        <f>VLOOKUP(C5,Machined!C:R,11,0)</f>
        <v>shipped 9/29/23</v>
      </c>
      <c r="I5" s="131"/>
      <c r="J5" s="42">
        <f>VLOOKUP(C5,Machined!C:R,12,0)</f>
        <v>45156</v>
      </c>
      <c r="K5" s="42">
        <f>VLOOKUP(C5,Machined!C:R,13,0)</f>
        <v>45162</v>
      </c>
      <c r="L5" s="42">
        <f>VLOOKUP(C5,Machined!C:R,14,0)</f>
        <v>45190</v>
      </c>
      <c r="M5" s="42">
        <f>VLOOKUP(C5,Machined!C:R,15,0)</f>
        <v>45190</v>
      </c>
      <c r="N5" s="43">
        <f>VLOOKUP(C5,Machined!C:R,16,0)</f>
        <v>55101</v>
      </c>
      <c r="O5" s="43" t="e">
        <f t="shared" ref="O5:O10" ca="1" si="0">B5*$L$2</f>
        <v>#VALUE!</v>
      </c>
      <c r="P5" s="47">
        <f>IFERROR(VLOOKUP(C5,Machined!C:F,3,0),"")</f>
        <v>0</v>
      </c>
      <c r="Q5" s="48">
        <f t="shared" ref="Q5:Q10" si="1">IFERROR(B5*P5,"")</f>
        <v>0</v>
      </c>
    </row>
    <row r="6" spans="1:17" s="2" customFormat="1" ht="12.75" customHeight="1">
      <c r="A6" s="127">
        <v>2</v>
      </c>
      <c r="B6" s="21">
        <v>1</v>
      </c>
      <c r="C6" s="108" t="s">
        <v>1290</v>
      </c>
      <c r="D6" s="277" t="str">
        <f>VLOOKUP(C6,Machined!C:Q,2,0)</f>
        <v>Gripper Adjustment Plate</v>
      </c>
      <c r="E6" s="278"/>
      <c r="F6" s="131" t="str">
        <f>VLOOKUP(C6,Machined!C:R,7,0)</f>
        <v>6061-T6 Alum</v>
      </c>
      <c r="G6" s="131" t="str">
        <f>VLOOKUP(C6,Machined!C:R,10,0)</f>
        <v>DETAILED MACH</v>
      </c>
      <c r="H6" s="131" t="str">
        <f>VLOOKUP(C6,Machined!C:R,11,0)</f>
        <v>shipped 9/25/23</v>
      </c>
      <c r="I6" s="131"/>
      <c r="J6" s="42">
        <f>VLOOKUP(C6,Machined!C:R,12,0)</f>
        <v>45156</v>
      </c>
      <c r="K6" s="42">
        <f>VLOOKUP(C6,Machined!C:R,13,0)</f>
        <v>45162</v>
      </c>
      <c r="L6" s="42">
        <f>VLOOKUP(C6,Machined!C:R,14,0)</f>
        <v>45190</v>
      </c>
      <c r="M6" s="42">
        <f>VLOOKUP(C6,Machined!C:R,15,0)</f>
        <v>45190</v>
      </c>
      <c r="N6" s="43">
        <f>VLOOKUP(C6,Machined!C:R,16,0)</f>
        <v>55101</v>
      </c>
      <c r="O6" s="43" t="e">
        <f t="shared" ca="1" si="0"/>
        <v>#VALUE!</v>
      </c>
      <c r="P6" s="47">
        <f>IFERROR(VLOOKUP(C6,Machined!C:F,3,0),"")</f>
        <v>0</v>
      </c>
      <c r="Q6" s="48">
        <f t="shared" si="1"/>
        <v>0</v>
      </c>
    </row>
    <row r="7" spans="1:17" s="2" customFormat="1" ht="12.75" customHeight="1">
      <c r="A7" s="127">
        <v>3</v>
      </c>
      <c r="B7" s="21">
        <v>1</v>
      </c>
      <c r="C7" s="108" t="s">
        <v>1291</v>
      </c>
      <c r="D7" s="277" t="str">
        <f>VLOOKUP(C7,Machined!C:Q,2,0)</f>
        <v>P1B Spout Gripper LH</v>
      </c>
      <c r="E7" s="278"/>
      <c r="F7" s="131" t="str">
        <f>VLOOKUP(C7,Machined!C:R,7,0)</f>
        <v>6061-T6 Alum</v>
      </c>
      <c r="G7" s="131" t="str">
        <f>VLOOKUP(C7,Machined!C:R,10,0)</f>
        <v>XOMETRY</v>
      </c>
      <c r="H7" s="131" t="str">
        <f>VLOOKUP(C7,Machined!C:R,11,0)</f>
        <v xml:space="preserve">  </v>
      </c>
      <c r="I7" s="131"/>
      <c r="J7" s="42">
        <f>VLOOKUP(C7,Machined!C:R,12,0)</f>
        <v>45188</v>
      </c>
      <c r="K7" s="42">
        <f>VLOOKUP(C7,Machined!C:R,13,0)</f>
        <v>45188</v>
      </c>
      <c r="L7" s="42">
        <f>VLOOKUP(C7,Machined!C:R,14,0)</f>
        <v>45204</v>
      </c>
      <c r="M7" s="42">
        <f>VLOOKUP(C7,Machined!C:R,15,0)</f>
        <v>45204</v>
      </c>
      <c r="N7" s="43">
        <f>VLOOKUP(C7,Machined!C:R,16,0)</f>
        <v>55159</v>
      </c>
      <c r="O7" s="43" t="e">
        <f t="shared" ca="1" si="0"/>
        <v>#VALUE!</v>
      </c>
      <c r="P7" s="47">
        <f>IFERROR(VLOOKUP(C7,Machined!C:F,3,0),"")</f>
        <v>153.05000000000001</v>
      </c>
      <c r="Q7" s="48">
        <f t="shared" si="1"/>
        <v>153.05000000000001</v>
      </c>
    </row>
    <row r="8" spans="1:17" s="2" customFormat="1" ht="12.75" customHeight="1">
      <c r="A8" s="127">
        <v>4</v>
      </c>
      <c r="B8" s="21">
        <v>1</v>
      </c>
      <c r="C8" s="108" t="s">
        <v>1292</v>
      </c>
      <c r="D8" s="277" t="str">
        <f>VLOOKUP(C8,Machined!C:Q,2,0)</f>
        <v>P1B Spout Gripper RH</v>
      </c>
      <c r="E8" s="278"/>
      <c r="F8" s="131" t="str">
        <f>VLOOKUP(C8,Machined!C:R,7,0)</f>
        <v>6061-T6 Alum</v>
      </c>
      <c r="G8" s="131" t="str">
        <f>VLOOKUP(C8,Machined!C:R,10,0)</f>
        <v>XOMETRY</v>
      </c>
      <c r="H8" s="131" t="str">
        <f>VLOOKUP(C8,Machined!C:R,11,0)</f>
        <v xml:space="preserve">  </v>
      </c>
      <c r="I8" s="131"/>
      <c r="J8" s="42">
        <f>VLOOKUP(C8,Machined!C:R,12,0)</f>
        <v>45188</v>
      </c>
      <c r="K8" s="42">
        <f>VLOOKUP(C8,Machined!C:R,13,0)</f>
        <v>45188</v>
      </c>
      <c r="L8" s="42">
        <f>VLOOKUP(C8,Machined!C:R,14,0)</f>
        <v>45204</v>
      </c>
      <c r="M8" s="42">
        <f>VLOOKUP(C8,Machined!C:R,15,0)</f>
        <v>45204</v>
      </c>
      <c r="N8" s="43">
        <f>VLOOKUP(C8,Machined!C:R,16,0)</f>
        <v>55159</v>
      </c>
      <c r="O8" s="43" t="e">
        <f t="shared" ca="1" si="0"/>
        <v>#VALUE!</v>
      </c>
      <c r="P8" s="47">
        <f>IFERROR(VLOOKUP(C8,Machined!C:F,3,0),"")</f>
        <v>153.97</v>
      </c>
      <c r="Q8" s="48">
        <f t="shared" si="1"/>
        <v>153.97</v>
      </c>
    </row>
    <row r="9" spans="1:17" s="2" customFormat="1" ht="12.75" customHeight="1">
      <c r="A9" s="127">
        <v>5</v>
      </c>
      <c r="B9" s="21">
        <v>1</v>
      </c>
      <c r="C9" s="108" t="s">
        <v>1293</v>
      </c>
      <c r="D9" s="277" t="str">
        <f>VLOOKUP(C9,Machined!C:Q,2,0)</f>
        <v>P1L Spout Gripper LH</v>
      </c>
      <c r="E9" s="278"/>
      <c r="F9" s="131" t="str">
        <f>VLOOKUP(C9,Machined!C:R,7,0)</f>
        <v>6061-T6 Alum</v>
      </c>
      <c r="G9" s="131" t="str">
        <f>VLOOKUP(C9,Machined!C:R,10,0)</f>
        <v>XOMETRY</v>
      </c>
      <c r="H9" s="131" t="str">
        <f>VLOOKUP(C9,Machined!C:R,11,0)</f>
        <v xml:space="preserve">  </v>
      </c>
      <c r="I9" s="131"/>
      <c r="J9" s="42">
        <f>VLOOKUP(C9,Machined!C:R,12,0)</f>
        <v>45188</v>
      </c>
      <c r="K9" s="42">
        <f>VLOOKUP(C9,Machined!C:R,13,0)</f>
        <v>45188</v>
      </c>
      <c r="L9" s="42">
        <f>VLOOKUP(C9,Machined!C:R,14,0)</f>
        <v>45204</v>
      </c>
      <c r="M9" s="42">
        <f>VLOOKUP(C9,Machined!C:R,15,0)</f>
        <v>45204</v>
      </c>
      <c r="N9" s="43">
        <f>VLOOKUP(C9,Machined!C:R,16,0)</f>
        <v>55159</v>
      </c>
      <c r="O9" s="43" t="e">
        <f t="shared" ca="1" si="0"/>
        <v>#VALUE!</v>
      </c>
      <c r="P9" s="47">
        <f>IFERROR(VLOOKUP(C9,Machined!C:F,3,0),"")</f>
        <v>155.03</v>
      </c>
      <c r="Q9" s="48">
        <f t="shared" si="1"/>
        <v>155.03</v>
      </c>
    </row>
    <row r="10" spans="1:17" s="2" customFormat="1" ht="12.75" customHeight="1">
      <c r="A10" s="127">
        <v>6</v>
      </c>
      <c r="B10" s="21">
        <v>1</v>
      </c>
      <c r="C10" s="108" t="s">
        <v>1294</v>
      </c>
      <c r="D10" s="277" t="str">
        <f>VLOOKUP(C10,Machined!C:Q,2,0)</f>
        <v>P1L Spout Gripper RH</v>
      </c>
      <c r="E10" s="278"/>
      <c r="F10" s="131" t="str">
        <f>VLOOKUP(C10,Machined!C:R,7,0)</f>
        <v>6061-T6 Alum</v>
      </c>
      <c r="G10" s="131" t="str">
        <f>VLOOKUP(C10,Machined!C:R,10,0)</f>
        <v>XOMETRY</v>
      </c>
      <c r="H10" s="131" t="str">
        <f>VLOOKUP(C10,Machined!C:R,11,0)</f>
        <v xml:space="preserve">  </v>
      </c>
      <c r="I10" s="131"/>
      <c r="J10" s="42">
        <f>VLOOKUP(C10,Machined!C:R,12,0)</f>
        <v>45188</v>
      </c>
      <c r="K10" s="42">
        <f>VLOOKUP(C10,Machined!C:R,13,0)</f>
        <v>45188</v>
      </c>
      <c r="L10" s="42">
        <f>VLOOKUP(C10,Machined!C:R,14,0)</f>
        <v>45204</v>
      </c>
      <c r="M10" s="42">
        <f>VLOOKUP(C10,Machined!C:R,15,0)</f>
        <v>45204</v>
      </c>
      <c r="N10" s="43">
        <f>VLOOKUP(C10,Machined!C:R,16,0)</f>
        <v>55159</v>
      </c>
      <c r="O10" s="43" t="e">
        <f t="shared" ca="1" si="0"/>
        <v>#VALUE!</v>
      </c>
      <c r="P10" s="47">
        <f>IFERROR(VLOOKUP(C10,Machined!C:F,3,0),"")</f>
        <v>156.34</v>
      </c>
      <c r="Q10" s="48">
        <f t="shared" si="1"/>
        <v>156.34</v>
      </c>
    </row>
    <row r="11" spans="1:17" s="2" customFormat="1" ht="12.75" customHeight="1">
      <c r="A11" s="143"/>
      <c r="B11" s="26"/>
      <c r="C11" s="26"/>
      <c r="D11" s="272"/>
      <c r="E11" s="273"/>
      <c r="F11" s="26"/>
      <c r="G11" s="26"/>
      <c r="H11" s="274"/>
      <c r="I11" s="275"/>
      <c r="J11" s="27"/>
      <c r="K11" s="27"/>
      <c r="L11" s="27"/>
      <c r="M11" s="28"/>
      <c r="N11" s="29"/>
      <c r="O11" s="29"/>
      <c r="P11" s="141"/>
      <c r="Q11" s="142"/>
    </row>
    <row r="12" spans="1:17" s="2" customFormat="1" ht="12.75" customHeight="1">
      <c r="A12" s="4">
        <v>301</v>
      </c>
      <c r="B12" s="2">
        <v>2</v>
      </c>
      <c r="C12" s="114" t="s">
        <v>1295</v>
      </c>
      <c r="D12" s="268" t="str">
        <f>VLOOKUP(C12,Purchased!A:B,2,0)</f>
        <v>MAGNETIC FIELD SENSORS, SERIES MFS, FOR ZIMMER GRIPPERS, M8 3 PIN CONNECTOR</v>
      </c>
      <c r="E12" s="269"/>
      <c r="F12" s="112" t="str">
        <f>VLOOKUP(C12,Purchased!A:Q,9,0)</f>
        <v>ZIMMER</v>
      </c>
      <c r="G12" s="112" t="str">
        <f>VLOOKUP(C12,Purchased!A:Q,10,0)</f>
        <v>ZIMMER</v>
      </c>
      <c r="H12" s="112">
        <f>VLOOKUP(C12,Purchased!A:Q,12,0)</f>
        <v>0</v>
      </c>
      <c r="I12" s="113"/>
      <c r="J12" s="44">
        <f>VLOOKUP(C12,Purchased!A:Q,13,0)</f>
        <v>45216</v>
      </c>
      <c r="K12" s="44">
        <f>VLOOKUP(C12,Purchased!A:Q,16,0)</f>
        <v>45225</v>
      </c>
      <c r="L12" s="44">
        <f>VLOOKUP(C12,Purchased!A:Q,15,0)</f>
        <v>45225</v>
      </c>
      <c r="M12" s="44">
        <f>VLOOKUP(C12,Purchased!A:Q,16,0)</f>
        <v>45225</v>
      </c>
      <c r="N12" s="45">
        <f>VLOOKUP(C12,Purchased!A:Q,17,0)</f>
        <v>55222</v>
      </c>
      <c r="O12" s="45" t="e">
        <f t="shared" ref="O12:O26" ca="1" si="2">B12*$L$2</f>
        <v>#VALUE!</v>
      </c>
      <c r="P12" s="49">
        <f>IFERROR(VLOOKUP(C12,Purchased!A:E,3,FALSE),"")</f>
        <v>95.3</v>
      </c>
      <c r="Q12" s="50">
        <f t="shared" ref="Q12:Q21" si="3">IFERROR(B12*P12,"")</f>
        <v>190.6</v>
      </c>
    </row>
    <row r="13" spans="1:17" s="2" customFormat="1" ht="12" customHeight="1">
      <c r="A13" s="4">
        <f t="shared" ref="A13:A21" si="4">A12+1</f>
        <v>302</v>
      </c>
      <c r="B13" s="2">
        <v>2</v>
      </c>
      <c r="C13" s="114" t="s">
        <v>623</v>
      </c>
      <c r="D13" s="268" t="str">
        <f>VLOOKUP(C13,Purchased!A:B,2,0)</f>
        <v>SMC FITTING, MALE ELBOW</v>
      </c>
      <c r="E13" s="269"/>
      <c r="F13" s="112" t="str">
        <f>VLOOKUP(C13,Purchased!A:Q,9,0)</f>
        <v>SMC</v>
      </c>
      <c r="G13" s="112" t="str">
        <f>VLOOKUP(C13,Purchased!A:Q,10,0)</f>
        <v xml:space="preserve">AAP </v>
      </c>
      <c r="H13" s="112" t="str">
        <f>VLOOKUP(C13,Purchased!A:Q,12,0)</f>
        <v xml:space="preserve"> </v>
      </c>
      <c r="I13" s="113"/>
      <c r="J13" s="44" t="str">
        <f>VLOOKUP(C13,Purchased!A:Q,13,0)</f>
        <v>N/A</v>
      </c>
      <c r="K13" s="44">
        <f>VLOOKUP(C13,Purchased!A:Q,16,0)</f>
        <v>45180</v>
      </c>
      <c r="L13" s="44">
        <f>VLOOKUP(C13,Purchased!A:Q,15,0)</f>
        <v>45184</v>
      </c>
      <c r="M13" s="44">
        <f>VLOOKUP(C13,Purchased!A:Q,16,0)</f>
        <v>45180</v>
      </c>
      <c r="N13" s="45">
        <f>VLOOKUP(C13,Purchased!A:Q,17,0)</f>
        <v>55037</v>
      </c>
      <c r="O13" s="45" t="e">
        <f t="shared" ca="1" si="2"/>
        <v>#VALUE!</v>
      </c>
      <c r="P13" s="49">
        <f>IFERROR(VLOOKUP(C13,Purchased!A:E,3,FALSE),"")</f>
        <v>1.5467</v>
      </c>
      <c r="Q13" s="50">
        <f t="shared" si="3"/>
        <v>3.0933999999999999</v>
      </c>
    </row>
    <row r="14" spans="1:17" s="2" customFormat="1" ht="12" customHeight="1">
      <c r="A14" s="4">
        <f t="shared" si="4"/>
        <v>303</v>
      </c>
      <c r="B14" s="2">
        <v>2</v>
      </c>
      <c r="C14" s="114" t="s">
        <v>1266</v>
      </c>
      <c r="D14" s="268" t="str">
        <f>VLOOKUP(C14,Purchased!A:B,2,0)</f>
        <v>SMC AS2052F-06A speed control w/fitting, FLOW CONTROL W/FITTING 6mm tubing</v>
      </c>
      <c r="E14" s="269"/>
      <c r="F14" s="112" t="str">
        <f>VLOOKUP(C14,Purchased!A:Q,9,0)</f>
        <v>SMC</v>
      </c>
      <c r="G14" s="112" t="str">
        <f>VLOOKUP(C14,Purchased!A:Q,10,0)</f>
        <v>AAP</v>
      </c>
      <c r="H14" s="112" t="str">
        <f>VLOOKUP(C14,Purchased!A:Q,12,0)</f>
        <v xml:space="preserve"> </v>
      </c>
      <c r="I14" s="113"/>
      <c r="J14" s="44" t="str">
        <f>VLOOKUP(C14,Purchased!A:Q,13,0)</f>
        <v>N/A</v>
      </c>
      <c r="K14" s="44">
        <f>VLOOKUP(C14,Purchased!A:Q,16,0)</f>
        <v>45197</v>
      </c>
      <c r="L14" s="44">
        <f>VLOOKUP(C14,Purchased!A:Q,15,0)</f>
        <v>45184</v>
      </c>
      <c r="M14" s="44">
        <f>VLOOKUP(C14,Purchased!A:Q,16,0)</f>
        <v>45197</v>
      </c>
      <c r="N14" s="45">
        <f>VLOOKUP(C14,Purchased!A:Q,17,0)</f>
        <v>55073</v>
      </c>
      <c r="O14" s="45" t="e">
        <f t="shared" ca="1" si="2"/>
        <v>#VALUE!</v>
      </c>
      <c r="P14" s="49">
        <f>IFERROR(VLOOKUP(C14,Purchased!A:E,3,FALSE),"")</f>
        <v>14.773999999999999</v>
      </c>
      <c r="Q14" s="50">
        <f t="shared" si="3"/>
        <v>29.547999999999998</v>
      </c>
    </row>
    <row r="15" spans="1:17" s="2" customFormat="1" ht="12" customHeight="1">
      <c r="A15" s="4">
        <f t="shared" si="4"/>
        <v>304</v>
      </c>
      <c r="B15" s="2">
        <v>2</v>
      </c>
      <c r="C15" s="114" t="s">
        <v>477</v>
      </c>
      <c r="D15" s="268" t="str">
        <f>VLOOKUP(C15,Purchased!A:B,2,0)</f>
        <v>MURR M8 Female, 0deg A-Coded, 3-Pin, w/ Cable</v>
      </c>
      <c r="E15" s="269"/>
      <c r="F15" s="112" t="str">
        <f>VLOOKUP(C15,Purchased!A:Q,9,0)</f>
        <v>MURR</v>
      </c>
      <c r="G15" s="112" t="str">
        <f>VLOOKUP(C15,Purchased!A:Q,10,0)</f>
        <v>MURR</v>
      </c>
      <c r="H15" s="112" t="str">
        <f>VLOOKUP(C15,Purchased!A:Q,12,0)</f>
        <v xml:space="preserve">  </v>
      </c>
      <c r="I15" s="113"/>
      <c r="J15" s="44">
        <f>VLOOKUP(C15,Purchased!A:Q,13,0)</f>
        <v>45161</v>
      </c>
      <c r="K15" s="44">
        <f>VLOOKUP(C15,Purchased!A:Q,16,0)</f>
        <v>45184</v>
      </c>
      <c r="L15" s="44">
        <f>VLOOKUP(C15,Purchased!A:Q,15,0)</f>
        <v>45184</v>
      </c>
      <c r="M15" s="44">
        <f>VLOOKUP(C15,Purchased!A:Q,16,0)</f>
        <v>45184</v>
      </c>
      <c r="N15" s="45">
        <f>VLOOKUP(C15,Purchased!A:Q,17,0)</f>
        <v>55080</v>
      </c>
      <c r="O15" s="45" t="e">
        <f t="shared" ca="1" si="2"/>
        <v>#VALUE!</v>
      </c>
      <c r="P15" s="49">
        <f>IFERROR(VLOOKUP(C15,Purchased!A:E,3,FALSE),"")</f>
        <v>21.52</v>
      </c>
      <c r="Q15" s="50">
        <f t="shared" si="3"/>
        <v>43.04</v>
      </c>
    </row>
    <row r="16" spans="1:17" s="2" customFormat="1" ht="12" customHeight="1">
      <c r="A16" s="4">
        <f t="shared" si="4"/>
        <v>305</v>
      </c>
      <c r="B16" s="2">
        <v>2</v>
      </c>
      <c r="C16" s="114" t="s">
        <v>1296</v>
      </c>
      <c r="D16" s="268" t="str">
        <f>VLOOKUP(C16,Purchased!A:B,2,0)</f>
        <v>Zinc-Plated Class 10.9 Steel Washer, M6 Screw Size</v>
      </c>
      <c r="E16" s="269"/>
      <c r="F16" s="112" t="str">
        <f>VLOOKUP(C16,Purchased!A:Q,9,0)</f>
        <v>MCM</v>
      </c>
      <c r="G16" s="112" t="str">
        <f>VLOOKUP(C16,Purchased!A:Q,10,0)</f>
        <v>MCM</v>
      </c>
      <c r="H16" s="112" t="str">
        <f>VLOOKUP(C16,Purchased!A:Q,12,0)</f>
        <v xml:space="preserve"> </v>
      </c>
      <c r="I16" s="113"/>
      <c r="J16" s="44" t="str">
        <f>VLOOKUP(C16,Purchased!A:Q,13,0)</f>
        <v>N/A</v>
      </c>
      <c r="K16" s="44">
        <f>VLOOKUP(C16,Purchased!A:Q,16,0)</f>
        <v>45163</v>
      </c>
      <c r="L16" s="44">
        <f>VLOOKUP(C16,Purchased!A:Q,15,0)</f>
        <v>45184</v>
      </c>
      <c r="M16" s="44">
        <f>VLOOKUP(C16,Purchased!A:Q,16,0)</f>
        <v>45163</v>
      </c>
      <c r="N16" s="45">
        <f>VLOOKUP(C16,Purchased!A:Q,17,0)</f>
        <v>55088</v>
      </c>
      <c r="O16" s="45" t="e">
        <f t="shared" ca="1" si="2"/>
        <v>#VALUE!</v>
      </c>
      <c r="P16" s="49">
        <f>IFERROR(VLOOKUP(C16,Purchased!A:E,3,FALSE),"")</f>
        <v>13.79</v>
      </c>
      <c r="Q16" s="50">
        <f t="shared" si="3"/>
        <v>27.58</v>
      </c>
    </row>
    <row r="17" spans="1:17" s="2" customFormat="1" ht="12" customHeight="1">
      <c r="A17" s="4">
        <f t="shared" si="4"/>
        <v>306</v>
      </c>
      <c r="B17" s="2">
        <v>2</v>
      </c>
      <c r="C17" s="114" t="s">
        <v>1297</v>
      </c>
      <c r="D17" s="268" t="str">
        <f>VLOOKUP(C17,Purchased!A:B,2,0)</f>
        <v>Dowel Pin 52100 Alloy Steel, 6 mm Diameter, 20 mm Long</v>
      </c>
      <c r="E17" s="269"/>
      <c r="F17" s="112" t="str">
        <f>VLOOKUP(C17,Purchased!A:Q,9,0)</f>
        <v>MCM</v>
      </c>
      <c r="G17" s="112" t="str">
        <f>VLOOKUP(C17,Purchased!A:Q,10,0)</f>
        <v>MCM</v>
      </c>
      <c r="H17" s="112" t="str">
        <f>VLOOKUP(C17,Purchased!A:Q,12,0)</f>
        <v xml:space="preserve"> </v>
      </c>
      <c r="I17" s="113"/>
      <c r="J17" s="44" t="str">
        <f>VLOOKUP(C17,Purchased!A:Q,13,0)</f>
        <v>N/A</v>
      </c>
      <c r="K17" s="44">
        <f>VLOOKUP(C17,Purchased!A:Q,16,0)</f>
        <v>45163</v>
      </c>
      <c r="L17" s="44">
        <f>VLOOKUP(C17,Purchased!A:Q,15,0)</f>
        <v>45184</v>
      </c>
      <c r="M17" s="44">
        <f>VLOOKUP(C17,Purchased!A:Q,16,0)</f>
        <v>45163</v>
      </c>
      <c r="N17" s="45">
        <f>VLOOKUP(C17,Purchased!A:Q,17,0)</f>
        <v>55088</v>
      </c>
      <c r="O17" s="45" t="e">
        <f t="shared" ca="1" si="2"/>
        <v>#VALUE!</v>
      </c>
      <c r="P17" s="49">
        <f>IFERROR(VLOOKUP(C17,Purchased!A:E,3,FALSE),"")</f>
        <v>11.62</v>
      </c>
      <c r="Q17" s="50">
        <f t="shared" si="3"/>
        <v>23.24</v>
      </c>
    </row>
    <row r="18" spans="1:17" s="2" customFormat="1" ht="12" customHeight="1">
      <c r="A18" s="4">
        <f t="shared" si="4"/>
        <v>307</v>
      </c>
      <c r="B18" s="2">
        <v>3</v>
      </c>
      <c r="C18" s="114" t="s">
        <v>1298</v>
      </c>
      <c r="D18" s="268" t="str">
        <f>VLOOKUP(C18,Purchased!A:B,2,0)</f>
        <v>Stainless Steel Wing-Head Thumb Screw M6 x 1 mm Thread Size, 50 mm Long</v>
      </c>
      <c r="E18" s="269"/>
      <c r="F18" s="112" t="str">
        <f>VLOOKUP(C18,Purchased!A:Q,9,0)</f>
        <v>MCM</v>
      </c>
      <c r="G18" s="112" t="str">
        <f>VLOOKUP(C18,Purchased!A:Q,10,0)</f>
        <v>MCM</v>
      </c>
      <c r="H18" s="112" t="str">
        <f>VLOOKUP(C18,Purchased!A:Q,12,0)</f>
        <v xml:space="preserve"> </v>
      </c>
      <c r="I18" s="113"/>
      <c r="J18" s="44" t="str">
        <f>VLOOKUP(C18,Purchased!A:Q,13,0)</f>
        <v>N/A</v>
      </c>
      <c r="K18" s="44">
        <f>VLOOKUP(C18,Purchased!A:Q,16,0)</f>
        <v>45163</v>
      </c>
      <c r="L18" s="44">
        <f>VLOOKUP(C18,Purchased!A:Q,15,0)</f>
        <v>45184</v>
      </c>
      <c r="M18" s="44">
        <f>VLOOKUP(C18,Purchased!A:Q,16,0)</f>
        <v>45163</v>
      </c>
      <c r="N18" s="45">
        <f>VLOOKUP(C18,Purchased!A:Q,17,0)</f>
        <v>55089</v>
      </c>
      <c r="O18" s="45" t="e">
        <f t="shared" ca="1" si="2"/>
        <v>#VALUE!</v>
      </c>
      <c r="P18" s="49">
        <f>IFERROR(VLOOKUP(C18,Purchased!A:E,3,FALSE),"")</f>
        <v>5.43</v>
      </c>
      <c r="Q18" s="50">
        <f t="shared" si="3"/>
        <v>16.29</v>
      </c>
    </row>
    <row r="19" spans="1:17" s="2" customFormat="1" ht="12" customHeight="1">
      <c r="A19" s="4">
        <f t="shared" si="4"/>
        <v>308</v>
      </c>
      <c r="B19" s="2">
        <v>1</v>
      </c>
      <c r="C19" s="114" t="s">
        <v>1299</v>
      </c>
      <c r="D19" s="268" t="str">
        <f>VLOOKUP(C19,Purchased!A:B,2,0)</f>
        <v>MISUMI Blocks for Adjusting Bolts - Side Mount</v>
      </c>
      <c r="E19" s="269"/>
      <c r="F19" s="112" t="str">
        <f>VLOOKUP(C19,Purchased!A:Q,9,0)</f>
        <v>MISUMI</v>
      </c>
      <c r="G19" s="112" t="str">
        <f>VLOOKUP(C19,Purchased!A:Q,10,0)</f>
        <v>MISUMI</v>
      </c>
      <c r="H19" s="112" t="str">
        <f>VLOOKUP(C19,Purchased!A:Q,12,0)</f>
        <v xml:space="preserve"> </v>
      </c>
      <c r="I19" s="113"/>
      <c r="J19" s="44" t="str">
        <f>VLOOKUP(C19,Purchased!A:Q,13,0)</f>
        <v>N/A</v>
      </c>
      <c r="K19" s="44">
        <f>VLOOKUP(C19,Purchased!A:Q,16,0)</f>
        <v>45176</v>
      </c>
      <c r="L19" s="44">
        <f>VLOOKUP(C19,Purchased!A:Q,15,0)</f>
        <v>45191</v>
      </c>
      <c r="M19" s="44">
        <f>VLOOKUP(C19,Purchased!A:Q,16,0)</f>
        <v>45176</v>
      </c>
      <c r="N19" s="45">
        <f>VLOOKUP(C19,Purchased!A:Q,17,0)</f>
        <v>55078</v>
      </c>
      <c r="O19" s="45" t="e">
        <f t="shared" ca="1" si="2"/>
        <v>#VALUE!</v>
      </c>
      <c r="P19" s="49">
        <f>IFERROR(VLOOKUP(C19,Purchased!A:E,3,FALSE),"")</f>
        <v>18.61</v>
      </c>
      <c r="Q19" s="50">
        <f t="shared" si="3"/>
        <v>18.61</v>
      </c>
    </row>
    <row r="20" spans="1:17" s="2" customFormat="1" ht="12" customHeight="1">
      <c r="A20" s="4">
        <f t="shared" si="4"/>
        <v>309</v>
      </c>
      <c r="B20" s="2">
        <v>1</v>
      </c>
      <c r="C20" s="114" t="s">
        <v>1300</v>
      </c>
      <c r="D20" s="268" t="str">
        <f>VLOOKUP(C20,Purchased!A:B,2,0)</f>
        <v>MISUMI Adjusting Bolts - Knurled Head, Hex Socket</v>
      </c>
      <c r="E20" s="269"/>
      <c r="F20" s="112" t="str">
        <f>VLOOKUP(C20,Purchased!A:Q,9,0)</f>
        <v>MISUMI</v>
      </c>
      <c r="G20" s="112" t="str">
        <f>VLOOKUP(C20,Purchased!A:Q,10,0)</f>
        <v>MISUMI</v>
      </c>
      <c r="H20" s="112" t="str">
        <f>VLOOKUP(C20,Purchased!A:Q,12,0)</f>
        <v xml:space="preserve"> </v>
      </c>
      <c r="I20" s="113"/>
      <c r="J20" s="44" t="str">
        <f>VLOOKUP(C20,Purchased!A:Q,13,0)</f>
        <v>N/A</v>
      </c>
      <c r="K20" s="44">
        <f>VLOOKUP(C20,Purchased!A:Q,16,0)</f>
        <v>45176</v>
      </c>
      <c r="L20" s="44">
        <f>VLOOKUP(C20,Purchased!A:Q,15,0)</f>
        <v>45191</v>
      </c>
      <c r="M20" s="44">
        <f>VLOOKUP(C20,Purchased!A:Q,16,0)</f>
        <v>45176</v>
      </c>
      <c r="N20" s="45">
        <f>VLOOKUP(C20,Purchased!A:Q,17,0)</f>
        <v>55078</v>
      </c>
      <c r="O20" s="45" t="e">
        <f t="shared" ca="1" si="2"/>
        <v>#VALUE!</v>
      </c>
      <c r="P20" s="49">
        <f>IFERROR(VLOOKUP(C20,Purchased!A:E,3,FALSE),"")</f>
        <v>6.32</v>
      </c>
      <c r="Q20" s="50">
        <f t="shared" si="3"/>
        <v>6.32</v>
      </c>
    </row>
    <row r="21" spans="1:17" s="2" customFormat="1" ht="12" customHeight="1">
      <c r="A21" s="4">
        <f t="shared" si="4"/>
        <v>310</v>
      </c>
      <c r="B21" s="2">
        <v>1</v>
      </c>
      <c r="C21" s="114" t="s">
        <v>1301</v>
      </c>
      <c r="D21" s="268" t="str">
        <f>VLOOKUP(C21,Purchased!A:B,2,0)</f>
        <v>ANGULAR GRIPPER</v>
      </c>
      <c r="E21" s="269"/>
      <c r="F21" s="112" t="str">
        <f>VLOOKUP(C21,Purchased!A:Q,9,0)</f>
        <v>ZIMMER</v>
      </c>
      <c r="G21" s="112" t="str">
        <f>VLOOKUP(C21,Purchased!A:Q,10,0)</f>
        <v>ZIMMER</v>
      </c>
      <c r="H21" s="112" t="str">
        <f>VLOOKUP(C21,Purchased!A:Q,12,0)</f>
        <v xml:space="preserve"> </v>
      </c>
      <c r="I21" s="113"/>
      <c r="J21" s="44" t="str">
        <f>VLOOKUP(C21,Purchased!A:Q,13,0)</f>
        <v>N/A</v>
      </c>
      <c r="K21" s="44">
        <f>VLOOKUP(C21,Purchased!A:Q,16,0)</f>
        <v>45180</v>
      </c>
      <c r="L21" s="44">
        <f>VLOOKUP(C21,Purchased!A:Q,15,0)</f>
        <v>45147</v>
      </c>
      <c r="M21" s="44">
        <f>VLOOKUP(C21,Purchased!A:Q,16,0)</f>
        <v>45180</v>
      </c>
      <c r="N21" s="45">
        <f>VLOOKUP(C21,Purchased!A:Q,17,0)</f>
        <v>54979</v>
      </c>
      <c r="O21" s="45" t="e">
        <f t="shared" ca="1" si="2"/>
        <v>#VALUE!</v>
      </c>
      <c r="P21" s="49">
        <f>IFERROR(VLOOKUP(C21,Purchased!A:E,3,FALSE),"")</f>
        <v>709.4</v>
      </c>
      <c r="Q21" s="50">
        <f t="shared" si="3"/>
        <v>709.4</v>
      </c>
    </row>
    <row r="22" spans="1:17" s="2" customFormat="1" ht="12.75" customHeight="1">
      <c r="A22" s="25"/>
      <c r="B22" s="26"/>
      <c r="C22" s="26"/>
      <c r="D22" s="272"/>
      <c r="E22" s="273"/>
      <c r="F22" s="26"/>
      <c r="G22" s="26"/>
      <c r="H22" s="274"/>
      <c r="I22" s="275"/>
      <c r="J22" s="27"/>
      <c r="K22" s="27"/>
      <c r="L22" s="27"/>
      <c r="M22" s="28"/>
      <c r="N22" s="29"/>
      <c r="O22" s="29" t="e">
        <f t="shared" ca="1" si="2"/>
        <v>#VALUE!</v>
      </c>
      <c r="P22" s="141"/>
      <c r="Q22" s="142"/>
    </row>
    <row r="23" spans="1:17" s="2" customFormat="1" ht="12.75" customHeight="1">
      <c r="A23" s="4">
        <v>501</v>
      </c>
      <c r="B23" s="2">
        <v>2</v>
      </c>
      <c r="C23" s="110" t="s">
        <v>668</v>
      </c>
      <c r="D23" s="268"/>
      <c r="E23" s="276"/>
      <c r="F23" s="112" t="str">
        <f>VLOOKUP(C23,Bolts!A:L,5,0)</f>
        <v xml:space="preserve">  </v>
      </c>
      <c r="G23" s="112" t="str">
        <f>VLOOKUP(C23,Bolts!A:L,6,0)</f>
        <v>Monroe Fasteners</v>
      </c>
      <c r="H23" s="112" t="str">
        <f>VLOOKUP(C23,Bolts!A:L,7,0)</f>
        <v xml:space="preserve">  </v>
      </c>
      <c r="I23" s="112"/>
      <c r="J23" s="44" t="str">
        <f>VLOOKUP(C23,Bolts!A:L,8,0)</f>
        <v xml:space="preserve"> </v>
      </c>
      <c r="K23" s="44" t="str">
        <f>VLOOKUP(C23,Bolts!A:L,9,0)</f>
        <v xml:space="preserve"> </v>
      </c>
      <c r="L23" s="44" t="str">
        <f>VLOOKUP(C23,Bolts!A:L,10,0)</f>
        <v xml:space="preserve"> </v>
      </c>
      <c r="M23" s="44" t="str">
        <f>VLOOKUP(C23,Bolts!A:L,11,0)</f>
        <v xml:space="preserve"> </v>
      </c>
      <c r="N23" s="45" t="str">
        <f>VLOOKUP(C23,Bolts!A:L,12,0)</f>
        <v xml:space="preserve"> </v>
      </c>
      <c r="O23" s="45" t="e">
        <f t="shared" ca="1" si="2"/>
        <v>#VALUE!</v>
      </c>
      <c r="P23" s="49" t="str">
        <f>IFERROR(VLOOKUP(C23,Bolts!A:B,2,FALSE),"")</f>
        <v xml:space="preserve"> </v>
      </c>
      <c r="Q23" s="50" t="str">
        <f t="shared" ref="Q23:Q26" si="5">IFERROR(B23*P23,"")</f>
        <v/>
      </c>
    </row>
    <row r="24" spans="1:17" s="2" customFormat="1" ht="12.75" customHeight="1">
      <c r="A24" s="4">
        <f t="shared" ref="A24:A29" si="6">A23+1</f>
        <v>502</v>
      </c>
      <c r="B24" s="2">
        <v>2</v>
      </c>
      <c r="C24" s="110" t="s">
        <v>278</v>
      </c>
      <c r="D24" s="268"/>
      <c r="E24" s="276"/>
      <c r="F24" s="112" t="str">
        <f>VLOOKUP(C24,Bolts!A:L,5,0)</f>
        <v xml:space="preserve">  </v>
      </c>
      <c r="G24" s="112" t="str">
        <f>VLOOKUP(C24,Bolts!A:L,6,0)</f>
        <v>Monroe Fasteners</v>
      </c>
      <c r="H24" s="112" t="str">
        <f>VLOOKUP(C24,Bolts!A:L,7,0)</f>
        <v xml:space="preserve">  </v>
      </c>
      <c r="I24" s="112"/>
      <c r="J24" s="44" t="str">
        <f>VLOOKUP(C24,Bolts!A:L,8,0)</f>
        <v xml:space="preserve"> </v>
      </c>
      <c r="K24" s="44" t="str">
        <f>VLOOKUP(C24,Bolts!A:L,9,0)</f>
        <v xml:space="preserve"> </v>
      </c>
      <c r="L24" s="44" t="str">
        <f>VLOOKUP(C24,Bolts!A:L,10,0)</f>
        <v xml:space="preserve"> </v>
      </c>
      <c r="M24" s="44" t="str">
        <f>VLOOKUP(C24,Bolts!A:L,11,0)</f>
        <v xml:space="preserve"> </v>
      </c>
      <c r="N24" s="45" t="str">
        <f>VLOOKUP(C24,Bolts!A:L,12,0)</f>
        <v xml:space="preserve"> </v>
      </c>
      <c r="O24" s="45" t="e">
        <f t="shared" ca="1" si="2"/>
        <v>#VALUE!</v>
      </c>
      <c r="P24" s="49" t="str">
        <f>IFERROR(VLOOKUP(C24,Bolts!A:B,2,FALSE),"")</f>
        <v xml:space="preserve"> </v>
      </c>
      <c r="Q24" s="50" t="str">
        <f t="shared" si="5"/>
        <v/>
      </c>
    </row>
    <row r="25" spans="1:17" s="2" customFormat="1" ht="12" customHeight="1">
      <c r="A25" s="4">
        <f t="shared" si="6"/>
        <v>503</v>
      </c>
      <c r="B25" s="2">
        <v>2</v>
      </c>
      <c r="C25" s="110" t="s">
        <v>1272</v>
      </c>
      <c r="D25" s="268"/>
      <c r="E25" s="276"/>
      <c r="F25" s="112" t="str">
        <f>VLOOKUP(C25,Bolts!A:L,5,0)</f>
        <v xml:space="preserve">  </v>
      </c>
      <c r="G25" s="112" t="str">
        <f>VLOOKUP(C25,Bolts!A:L,6,0)</f>
        <v>Monroe Fasteners</v>
      </c>
      <c r="H25" s="112" t="str">
        <f>VLOOKUP(C25,Bolts!A:L,7,0)</f>
        <v xml:space="preserve">  </v>
      </c>
      <c r="I25" s="112"/>
      <c r="J25" s="44" t="str">
        <f>VLOOKUP(C25,Bolts!A:L,8,0)</f>
        <v xml:space="preserve"> </v>
      </c>
      <c r="K25" s="44" t="str">
        <f>VLOOKUP(C25,Bolts!A:L,9,0)</f>
        <v xml:space="preserve"> </v>
      </c>
      <c r="L25" s="44" t="str">
        <f>VLOOKUP(C25,Bolts!A:L,10,0)</f>
        <v xml:space="preserve"> </v>
      </c>
      <c r="M25" s="44" t="str">
        <f>VLOOKUP(C25,Bolts!A:L,11,0)</f>
        <v xml:space="preserve"> </v>
      </c>
      <c r="N25" s="45" t="str">
        <f>VLOOKUP(C25,Bolts!A:L,12,0)</f>
        <v xml:space="preserve"> </v>
      </c>
      <c r="O25" s="45" t="e">
        <f t="shared" ca="1" si="2"/>
        <v>#VALUE!</v>
      </c>
      <c r="P25" s="49" t="str">
        <f>IFERROR(VLOOKUP(C25,Bolts!A:B,2,FALSE),"")</f>
        <v xml:space="preserve"> </v>
      </c>
      <c r="Q25" s="50" t="str">
        <f t="shared" si="5"/>
        <v/>
      </c>
    </row>
    <row r="26" spans="1:17" s="2" customFormat="1" ht="12" customHeight="1">
      <c r="A26" s="4">
        <f t="shared" si="6"/>
        <v>504</v>
      </c>
      <c r="B26" s="2">
        <v>2</v>
      </c>
      <c r="C26" s="110" t="s">
        <v>966</v>
      </c>
      <c r="D26" s="268"/>
      <c r="E26" s="276"/>
      <c r="F26" s="112" t="str">
        <f>VLOOKUP(C26,Bolts!A:L,5,0)</f>
        <v xml:space="preserve">  </v>
      </c>
      <c r="G26" s="112" t="str">
        <f>VLOOKUP(C26,Bolts!A:L,6,0)</f>
        <v>Monroe Fasteners</v>
      </c>
      <c r="H26" s="112" t="str">
        <f>VLOOKUP(C26,Bolts!A:L,7,0)</f>
        <v xml:space="preserve">  </v>
      </c>
      <c r="I26" s="112"/>
      <c r="J26" s="44" t="str">
        <f>VLOOKUP(C26,Bolts!A:L,8,0)</f>
        <v xml:space="preserve"> </v>
      </c>
      <c r="K26" s="44" t="str">
        <f>VLOOKUP(C26,Bolts!A:L,9,0)</f>
        <v xml:space="preserve"> </v>
      </c>
      <c r="L26" s="44" t="str">
        <f>VLOOKUP(C26,Bolts!A:L,10,0)</f>
        <v xml:space="preserve"> </v>
      </c>
      <c r="M26" s="44" t="str">
        <f>VLOOKUP(C26,Bolts!A:L,11,0)</f>
        <v xml:space="preserve"> </v>
      </c>
      <c r="N26" s="45" t="str">
        <f>VLOOKUP(C26,Bolts!A:L,12,0)</f>
        <v xml:space="preserve"> </v>
      </c>
      <c r="O26" s="45" t="e">
        <f t="shared" ca="1" si="2"/>
        <v>#VALUE!</v>
      </c>
      <c r="P26" s="49" t="str">
        <f>IFERROR(VLOOKUP(C26,Bolts!A:B,2,FALSE),"")</f>
        <v xml:space="preserve"> </v>
      </c>
      <c r="Q26" s="50" t="str">
        <f t="shared" si="5"/>
        <v/>
      </c>
    </row>
    <row r="27" spans="1:17" s="2" customFormat="1" ht="12" customHeight="1">
      <c r="A27" s="4">
        <f t="shared" si="6"/>
        <v>505</v>
      </c>
      <c r="B27" s="2">
        <v>4</v>
      </c>
      <c r="C27" s="110" t="s">
        <v>513</v>
      </c>
      <c r="D27" s="268"/>
      <c r="E27" s="276"/>
      <c r="F27" s="112" t="str">
        <f>VLOOKUP(C27,Bolts!A:L,5,0)</f>
        <v xml:space="preserve">  </v>
      </c>
      <c r="G27" s="112" t="str">
        <f>VLOOKUP(C27,Bolts!A:L,6,0)</f>
        <v>Monroe Fasteners</v>
      </c>
      <c r="H27" s="112" t="str">
        <f>VLOOKUP(C27,Bolts!A:L,7,0)</f>
        <v xml:space="preserve">  </v>
      </c>
      <c r="I27" s="112"/>
      <c r="J27" s="44" t="str">
        <f>VLOOKUP(C27,Bolts!A:L,8,0)</f>
        <v xml:space="preserve"> </v>
      </c>
      <c r="K27" s="44" t="str">
        <f>VLOOKUP(C27,Bolts!A:L,9,0)</f>
        <v xml:space="preserve"> </v>
      </c>
      <c r="L27" s="44" t="str">
        <f>VLOOKUP(C27,Bolts!A:L,10,0)</f>
        <v xml:space="preserve"> </v>
      </c>
      <c r="M27" s="44" t="str">
        <f>VLOOKUP(C27,Bolts!A:L,11,0)</f>
        <v xml:space="preserve"> </v>
      </c>
      <c r="N27" s="45" t="str">
        <f>VLOOKUP(C27,Bolts!A:L,12,0)</f>
        <v xml:space="preserve"> </v>
      </c>
      <c r="O27" s="45" t="e">
        <f t="shared" ref="O27:O29" ca="1" si="7">B27*$L$2</f>
        <v>#VALUE!</v>
      </c>
      <c r="P27" s="49" t="str">
        <f>IFERROR(VLOOKUP(C27,Bolts!A:B,2,FALSE),"")</f>
        <v xml:space="preserve"> </v>
      </c>
      <c r="Q27" s="50" t="str">
        <f t="shared" ref="Q27:Q29" si="8">IFERROR(B27*P27,"")</f>
        <v/>
      </c>
    </row>
    <row r="28" spans="1:17" s="2" customFormat="1" ht="12" customHeight="1">
      <c r="A28" s="4">
        <f t="shared" si="6"/>
        <v>506</v>
      </c>
      <c r="B28" s="2">
        <v>2</v>
      </c>
      <c r="C28" s="110" t="s">
        <v>1302</v>
      </c>
      <c r="D28" s="268"/>
      <c r="E28" s="276"/>
      <c r="F28" s="112">
        <f>VLOOKUP(C28,Bolts!A:L,5,0)</f>
        <v>0</v>
      </c>
      <c r="G28" s="112">
        <f>VLOOKUP(C28,Bolts!A:L,6,0)</f>
        <v>0</v>
      </c>
      <c r="H28" s="112">
        <f>VLOOKUP(C28,Bolts!A:L,7,0)</f>
        <v>0</v>
      </c>
      <c r="I28" s="112"/>
      <c r="J28" s="44">
        <f>VLOOKUP(C28,Bolts!A:L,8,0)</f>
        <v>0</v>
      </c>
      <c r="K28" s="44">
        <f>VLOOKUP(C28,Bolts!A:L,9,0)</f>
        <v>0</v>
      </c>
      <c r="L28" s="44">
        <f>VLOOKUP(C28,Bolts!A:L,10,0)</f>
        <v>0</v>
      </c>
      <c r="M28" s="44">
        <f>VLOOKUP(C28,Bolts!A:L,11,0)</f>
        <v>0</v>
      </c>
      <c r="N28" s="45">
        <f>VLOOKUP(C28,Bolts!A:L,12,0)</f>
        <v>0</v>
      </c>
      <c r="O28" s="45" t="e">
        <f t="shared" ca="1" si="7"/>
        <v>#VALUE!</v>
      </c>
      <c r="P28" s="49">
        <f>IFERROR(VLOOKUP(C28,Bolts!A:B,2,FALSE),"")</f>
        <v>0</v>
      </c>
      <c r="Q28" s="50">
        <f t="shared" si="8"/>
        <v>0</v>
      </c>
    </row>
    <row r="29" spans="1:17" s="2" customFormat="1" ht="12" customHeight="1" thickBot="1">
      <c r="A29" s="4">
        <f t="shared" si="6"/>
        <v>507</v>
      </c>
      <c r="B29" s="2">
        <v>6</v>
      </c>
      <c r="C29" s="110" t="s">
        <v>595</v>
      </c>
      <c r="D29" s="268"/>
      <c r="E29" s="276"/>
      <c r="F29" s="112" t="str">
        <f>VLOOKUP(C29,Bolts!A:L,5,0)</f>
        <v xml:space="preserve">  </v>
      </c>
      <c r="G29" s="112" t="str">
        <f>VLOOKUP(C29,Bolts!A:L,6,0)</f>
        <v>Monroe Fasteners</v>
      </c>
      <c r="H29" s="112" t="str">
        <f>VLOOKUP(C29,Bolts!A:L,7,0)</f>
        <v xml:space="preserve">  </v>
      </c>
      <c r="I29" s="112"/>
      <c r="J29" s="44" t="str">
        <f>VLOOKUP(C29,Bolts!A:L,8,0)</f>
        <v xml:space="preserve"> </v>
      </c>
      <c r="K29" s="44" t="str">
        <f>VLOOKUP(C29,Bolts!A:L,9,0)</f>
        <v xml:space="preserve"> </v>
      </c>
      <c r="L29" s="44" t="str">
        <f>VLOOKUP(C29,Bolts!A:L,10,0)</f>
        <v xml:space="preserve"> </v>
      </c>
      <c r="M29" s="44" t="str">
        <f>VLOOKUP(C29,Bolts!A:L,11,0)</f>
        <v xml:space="preserve"> </v>
      </c>
      <c r="N29" s="45" t="str">
        <f>VLOOKUP(C29,Bolts!A:L,12,0)</f>
        <v xml:space="preserve"> </v>
      </c>
      <c r="O29" s="45" t="e">
        <f t="shared" ca="1" si="7"/>
        <v>#VALUE!</v>
      </c>
      <c r="P29" s="49" t="str">
        <f>IFERROR(VLOOKUP(C29,Bolts!A:B,2,FALSE),"")</f>
        <v xml:space="preserve"> </v>
      </c>
      <c r="Q29" s="50" t="str">
        <f t="shared" si="8"/>
        <v/>
      </c>
    </row>
    <row r="30" spans="1:17" s="2" customFormat="1" ht="12.75" customHeight="1" thickBot="1">
      <c r="A30" s="34"/>
      <c r="B30" s="35"/>
      <c r="C30" s="35"/>
      <c r="D30" s="256"/>
      <c r="E30" s="257"/>
      <c r="F30" s="35"/>
      <c r="G30" s="35"/>
      <c r="H30" s="294"/>
      <c r="I30" s="295"/>
      <c r="J30" s="36"/>
      <c r="K30" s="36"/>
      <c r="L30" s="36"/>
      <c r="M30" s="37"/>
      <c r="N30" s="38"/>
      <c r="O30" s="38"/>
      <c r="P30" s="89" t="s">
        <v>43</v>
      </c>
      <c r="Q30" s="94">
        <f>SUM(Q5:Q27)</f>
        <v>1686.1114</v>
      </c>
    </row>
    <row r="31" spans="1:17" s="2" customFormat="1" ht="12" customHeight="1">
      <c r="D31" s="22"/>
      <c r="E31" s="22"/>
      <c r="J31" s="8"/>
      <c r="K31" s="8"/>
      <c r="L31" s="8"/>
      <c r="M31" s="8"/>
      <c r="N31" s="5"/>
      <c r="O31" s="5"/>
      <c r="P31" s="88"/>
      <c r="Q31" s="95"/>
    </row>
    <row r="32" spans="1:17" s="2" customFormat="1" ht="12" customHeight="1">
      <c r="D32" s="22"/>
      <c r="E32" s="22"/>
      <c r="J32" s="5"/>
      <c r="K32" s="5"/>
      <c r="L32" s="5"/>
      <c r="M32" s="5"/>
      <c r="N32" s="5"/>
      <c r="O32" s="5"/>
      <c r="P32" s="88"/>
      <c r="Q32" s="95"/>
    </row>
    <row r="33" spans="4:17" s="2" customFormat="1" ht="12" customHeight="1">
      <c r="D33" s="22"/>
      <c r="E33" s="22"/>
      <c r="J33" s="5"/>
      <c r="K33" s="5"/>
      <c r="L33" s="5"/>
      <c r="M33" s="5"/>
      <c r="N33" s="5"/>
      <c r="O33" s="5"/>
      <c r="P33" s="88"/>
      <c r="Q33" s="95"/>
    </row>
    <row r="34" spans="4:17" s="2" customFormat="1" ht="12" customHeight="1">
      <c r="D34" s="22"/>
      <c r="E34" s="22"/>
      <c r="J34" s="5"/>
      <c r="K34" s="5"/>
      <c r="L34" s="5"/>
      <c r="M34" s="5"/>
      <c r="N34" s="5"/>
      <c r="O34" s="5"/>
      <c r="P34" s="88"/>
      <c r="Q34" s="95"/>
    </row>
    <row r="35" spans="4:17" s="2" customFormat="1" ht="12" customHeight="1">
      <c r="D35" s="22"/>
      <c r="E35" s="22"/>
      <c r="J35" s="5"/>
      <c r="K35" s="5"/>
      <c r="L35" s="5"/>
      <c r="M35" s="5"/>
      <c r="N35" s="5"/>
      <c r="O35" s="5"/>
      <c r="P35" s="88"/>
      <c r="Q35" s="95"/>
    </row>
    <row r="36" spans="4:17" s="2" customFormat="1" ht="12" customHeight="1">
      <c r="D36" s="22"/>
      <c r="E36" s="22"/>
      <c r="J36" s="5"/>
      <c r="K36" s="5"/>
      <c r="L36" s="5"/>
      <c r="M36" s="5"/>
      <c r="N36" s="5"/>
      <c r="O36" s="5"/>
      <c r="P36" s="88"/>
      <c r="Q36" s="95"/>
    </row>
    <row r="37" spans="4:17" s="2" customFormat="1" ht="12" customHeight="1">
      <c r="D37" s="22"/>
      <c r="E37" s="22"/>
      <c r="J37" s="5"/>
      <c r="K37" s="5"/>
      <c r="L37" s="5"/>
      <c r="M37" s="5"/>
      <c r="N37" s="5"/>
      <c r="O37" s="5"/>
      <c r="P37" s="88"/>
      <c r="Q37" s="95"/>
    </row>
    <row r="38" spans="4:17" s="2" customFormat="1" ht="12" customHeight="1">
      <c r="D38" s="22"/>
      <c r="E38" s="22"/>
      <c r="J38" s="5"/>
      <c r="K38" s="5"/>
      <c r="L38" s="5"/>
      <c r="M38" s="5"/>
      <c r="N38" s="5"/>
      <c r="O38" s="5"/>
      <c r="P38" s="88"/>
      <c r="Q38" s="95"/>
    </row>
    <row r="39" spans="4:17" s="2" customFormat="1" ht="12" customHeight="1">
      <c r="D39" s="22"/>
      <c r="E39" s="22"/>
      <c r="J39" s="5"/>
      <c r="K39" s="5"/>
      <c r="L39" s="5"/>
      <c r="M39" s="5"/>
      <c r="N39" s="5"/>
      <c r="O39" s="5"/>
      <c r="P39" s="88"/>
      <c r="Q39" s="95"/>
    </row>
    <row r="40" spans="4:17" s="2" customFormat="1" ht="12" customHeight="1">
      <c r="D40" s="22"/>
      <c r="E40" s="22"/>
      <c r="J40" s="5"/>
      <c r="K40" s="5"/>
      <c r="L40" s="5"/>
      <c r="M40" s="5"/>
      <c r="N40" s="5"/>
      <c r="O40" s="5"/>
      <c r="P40" s="88"/>
      <c r="Q40" s="95"/>
    </row>
    <row r="41" spans="4:17" s="2" customFormat="1" ht="12" customHeight="1">
      <c r="D41" s="22"/>
      <c r="E41" s="22"/>
      <c r="J41" s="5"/>
      <c r="K41" s="5"/>
      <c r="L41" s="5"/>
      <c r="M41" s="5"/>
      <c r="N41" s="5"/>
      <c r="O41" s="5"/>
      <c r="P41" s="88"/>
      <c r="Q41" s="95"/>
    </row>
    <row r="42" spans="4:17" s="2" customFormat="1" ht="12" customHeight="1">
      <c r="D42" s="22"/>
      <c r="E42" s="22"/>
      <c r="J42" s="5"/>
      <c r="K42" s="5"/>
      <c r="L42" s="5"/>
      <c r="M42" s="5"/>
      <c r="N42" s="5"/>
      <c r="O42" s="5"/>
      <c r="P42" s="88"/>
      <c r="Q42" s="95"/>
    </row>
    <row r="43" spans="4:17" s="2" customFormat="1" ht="12" customHeight="1">
      <c r="D43" s="22"/>
      <c r="E43" s="22"/>
      <c r="J43" s="5"/>
      <c r="K43" s="5"/>
      <c r="L43" s="5"/>
      <c r="M43" s="5"/>
      <c r="N43" s="5"/>
      <c r="O43" s="5"/>
      <c r="P43" s="88"/>
      <c r="Q43" s="95"/>
    </row>
    <row r="44" spans="4:17" s="2" customFormat="1" ht="12" customHeight="1">
      <c r="D44" s="22"/>
      <c r="E44" s="22"/>
      <c r="J44" s="5"/>
      <c r="K44" s="5"/>
      <c r="L44" s="5"/>
      <c r="M44" s="5"/>
      <c r="N44" s="5"/>
      <c r="O44" s="5"/>
      <c r="P44" s="88"/>
      <c r="Q44" s="95"/>
    </row>
    <row r="45" spans="4:17" s="2" customFormat="1" ht="12" customHeight="1">
      <c r="D45" s="22"/>
      <c r="E45" s="22"/>
      <c r="J45" s="5"/>
      <c r="K45" s="5"/>
      <c r="L45" s="5"/>
      <c r="M45" s="5"/>
      <c r="N45" s="5"/>
      <c r="O45" s="5"/>
      <c r="P45" s="88"/>
      <c r="Q45" s="95"/>
    </row>
    <row r="46" spans="4:17" s="2" customFormat="1" ht="12" customHeight="1">
      <c r="D46" s="22"/>
      <c r="E46" s="22"/>
      <c r="J46" s="5"/>
      <c r="K46" s="5"/>
      <c r="L46" s="5"/>
      <c r="M46" s="5"/>
      <c r="N46" s="5"/>
      <c r="O46" s="5"/>
      <c r="P46" s="88"/>
      <c r="Q46" s="95"/>
    </row>
    <row r="47" spans="4:17" s="2" customFormat="1" ht="12" customHeight="1">
      <c r="D47" s="22"/>
      <c r="E47" s="22"/>
      <c r="J47" s="5"/>
      <c r="K47" s="5"/>
      <c r="L47" s="5"/>
      <c r="M47" s="5"/>
      <c r="N47" s="5"/>
      <c r="O47" s="5"/>
      <c r="P47" s="88"/>
      <c r="Q47" s="95"/>
    </row>
    <row r="48" spans="4:17" s="2" customFormat="1" ht="12" customHeight="1">
      <c r="D48" s="22"/>
      <c r="E48" s="22"/>
      <c r="J48" s="5"/>
      <c r="K48" s="5"/>
      <c r="L48" s="5"/>
      <c r="M48" s="5"/>
      <c r="N48" s="5"/>
      <c r="O48" s="5"/>
      <c r="P48" s="88"/>
      <c r="Q48" s="95"/>
    </row>
    <row r="49" spans="4:17" s="2" customFormat="1" ht="12" customHeight="1">
      <c r="D49" s="22"/>
      <c r="E49" s="22"/>
      <c r="J49" s="5"/>
      <c r="K49" s="5"/>
      <c r="L49" s="5"/>
      <c r="M49" s="5"/>
      <c r="N49" s="5"/>
      <c r="O49" s="5"/>
      <c r="P49" s="88"/>
      <c r="Q49" s="95"/>
    </row>
    <row r="50" spans="4:17" s="2" customFormat="1" ht="12" customHeight="1">
      <c r="D50" s="22"/>
      <c r="E50" s="22"/>
      <c r="J50" s="5"/>
      <c r="K50" s="5"/>
      <c r="L50" s="5"/>
      <c r="M50" s="5"/>
      <c r="N50" s="5"/>
      <c r="O50" s="5"/>
      <c r="P50" s="88"/>
      <c r="Q50" s="95"/>
    </row>
    <row r="51" spans="4:17" s="2" customFormat="1" ht="12" customHeight="1">
      <c r="D51" s="22"/>
      <c r="E51" s="22"/>
      <c r="J51" s="5"/>
      <c r="K51" s="5"/>
      <c r="L51" s="5"/>
      <c r="M51" s="5"/>
      <c r="N51" s="5"/>
      <c r="O51" s="5"/>
      <c r="P51" s="88"/>
      <c r="Q51" s="95"/>
    </row>
    <row r="52" spans="4:17" s="2" customFormat="1" ht="12" customHeight="1">
      <c r="D52" s="22"/>
      <c r="E52" s="22"/>
      <c r="J52" s="5"/>
      <c r="K52" s="5"/>
      <c r="L52" s="5"/>
      <c r="M52" s="5"/>
      <c r="N52" s="5"/>
      <c r="O52" s="5"/>
      <c r="P52" s="88"/>
      <c r="Q52" s="95"/>
    </row>
    <row r="53" spans="4:17" s="2" customFormat="1" ht="12" customHeight="1">
      <c r="D53" s="22"/>
      <c r="E53" s="22"/>
      <c r="J53" s="5"/>
      <c r="K53" s="5"/>
      <c r="L53" s="5"/>
      <c r="M53" s="5"/>
      <c r="N53" s="5"/>
      <c r="O53" s="5"/>
      <c r="P53" s="88"/>
      <c r="Q53" s="95"/>
    </row>
    <row r="54" spans="4:17" s="2" customFormat="1" ht="12" customHeight="1">
      <c r="D54" s="22"/>
      <c r="E54" s="22"/>
      <c r="J54" s="5"/>
      <c r="K54" s="5"/>
      <c r="L54" s="5"/>
      <c r="M54" s="5"/>
      <c r="N54" s="5"/>
      <c r="O54" s="5"/>
      <c r="P54" s="88"/>
      <c r="Q54" s="95"/>
    </row>
    <row r="55" spans="4:17" s="2" customFormat="1" ht="12" customHeight="1">
      <c r="D55" s="22"/>
      <c r="E55" s="22"/>
      <c r="J55" s="5"/>
      <c r="K55" s="5"/>
      <c r="L55" s="5"/>
      <c r="M55" s="5"/>
      <c r="N55" s="5"/>
      <c r="O55" s="5"/>
      <c r="P55" s="88"/>
      <c r="Q55" s="95"/>
    </row>
    <row r="56" spans="4:17" s="2" customFormat="1" ht="12" customHeight="1">
      <c r="D56" s="22"/>
      <c r="E56" s="22"/>
      <c r="J56" s="5"/>
      <c r="K56" s="5"/>
      <c r="L56" s="5"/>
      <c r="M56" s="5"/>
      <c r="N56" s="5"/>
      <c r="O56" s="5"/>
      <c r="P56" s="88"/>
      <c r="Q56" s="95"/>
    </row>
    <row r="57" spans="4:17" s="2" customFormat="1" ht="12" customHeight="1">
      <c r="D57" s="22"/>
      <c r="E57" s="22"/>
      <c r="J57" s="5"/>
      <c r="K57" s="5"/>
      <c r="L57" s="5"/>
      <c r="M57" s="5"/>
      <c r="N57" s="5"/>
      <c r="O57" s="5"/>
      <c r="P57" s="88"/>
      <c r="Q57" s="95"/>
    </row>
    <row r="58" spans="4:17" s="2" customFormat="1" ht="12" customHeight="1">
      <c r="D58" s="22"/>
      <c r="E58" s="22"/>
      <c r="J58" s="5"/>
      <c r="K58" s="5"/>
      <c r="L58" s="5"/>
      <c r="M58" s="5"/>
      <c r="N58" s="5"/>
      <c r="O58" s="5"/>
      <c r="P58" s="88"/>
      <c r="Q58" s="95"/>
    </row>
    <row r="59" spans="4:17" s="2" customFormat="1" ht="12" customHeight="1">
      <c r="D59" s="22"/>
      <c r="E59" s="22"/>
      <c r="J59" s="5"/>
      <c r="K59" s="5"/>
      <c r="L59" s="5"/>
      <c r="M59" s="5"/>
      <c r="N59" s="5"/>
      <c r="O59" s="5"/>
      <c r="P59" s="88"/>
      <c r="Q59" s="95"/>
    </row>
    <row r="60" spans="4:17" s="2" customFormat="1" ht="12" customHeight="1">
      <c r="D60" s="22"/>
      <c r="E60" s="22"/>
      <c r="J60" s="5"/>
      <c r="K60" s="5"/>
      <c r="L60" s="5"/>
      <c r="M60" s="5"/>
      <c r="N60" s="5"/>
      <c r="O60" s="5"/>
      <c r="P60" s="88"/>
      <c r="Q60" s="95"/>
    </row>
    <row r="61" spans="4:17" s="2" customFormat="1" ht="12" customHeight="1">
      <c r="D61" s="22"/>
      <c r="E61" s="22"/>
      <c r="J61" s="5"/>
      <c r="K61" s="5"/>
      <c r="L61" s="5"/>
      <c r="M61" s="5"/>
      <c r="N61" s="5"/>
      <c r="O61" s="5"/>
      <c r="P61" s="88"/>
      <c r="Q61" s="95"/>
    </row>
    <row r="62" spans="4:17" s="2" customFormat="1" ht="12" customHeight="1">
      <c r="D62" s="22"/>
      <c r="E62" s="22"/>
      <c r="J62" s="5"/>
      <c r="K62" s="5"/>
      <c r="L62" s="5"/>
      <c r="M62" s="5"/>
      <c r="N62" s="5"/>
      <c r="O62" s="5"/>
      <c r="P62" s="88"/>
      <c r="Q62" s="95"/>
    </row>
    <row r="63" spans="4:17" s="2" customFormat="1" ht="12" customHeight="1">
      <c r="D63" s="22"/>
      <c r="E63" s="22"/>
      <c r="J63" s="5"/>
      <c r="K63" s="5"/>
      <c r="L63" s="5"/>
      <c r="M63" s="5"/>
      <c r="N63" s="5"/>
      <c r="O63" s="5"/>
      <c r="P63" s="88"/>
      <c r="Q63" s="95"/>
    </row>
    <row r="64" spans="4:17" s="2" customFormat="1" ht="12" customHeight="1">
      <c r="D64" s="22"/>
      <c r="E64" s="22"/>
      <c r="J64" s="5"/>
      <c r="K64" s="5"/>
      <c r="L64" s="5"/>
      <c r="M64" s="5"/>
      <c r="N64" s="5"/>
      <c r="O64" s="5"/>
      <c r="P64" s="88"/>
      <c r="Q64" s="95"/>
    </row>
    <row r="65" spans="1:17" s="2" customFormat="1" ht="12" customHeight="1">
      <c r="D65" s="22"/>
      <c r="E65" s="22"/>
      <c r="J65" s="5"/>
      <c r="K65" s="5"/>
      <c r="L65" s="5"/>
      <c r="M65" s="5"/>
      <c r="N65" s="5"/>
      <c r="O65" s="5"/>
      <c r="P65" s="88"/>
      <c r="Q65" s="95"/>
    </row>
    <row r="66" spans="1:17" s="2" customFormat="1" ht="12" customHeight="1">
      <c r="D66" s="22"/>
      <c r="E66" s="22"/>
      <c r="J66" s="5"/>
      <c r="K66" s="5"/>
      <c r="L66" s="5"/>
      <c r="M66" s="5"/>
      <c r="N66" s="5"/>
      <c r="O66" s="5"/>
      <c r="P66" s="88"/>
      <c r="Q66" s="95"/>
    </row>
    <row r="67" spans="1:17" s="2" customFormat="1" ht="12" customHeight="1">
      <c r="D67" s="22"/>
      <c r="E67" s="22"/>
      <c r="J67" s="5"/>
      <c r="K67" s="5"/>
      <c r="L67" s="5"/>
      <c r="M67" s="5"/>
      <c r="N67" s="5"/>
      <c r="O67" s="5"/>
      <c r="P67" s="88"/>
      <c r="Q67" s="95"/>
    </row>
    <row r="68" spans="1:17" s="2" customFormat="1" ht="12" customHeight="1">
      <c r="D68" s="22"/>
      <c r="E68" s="22"/>
      <c r="J68" s="5"/>
      <c r="K68" s="5"/>
      <c r="L68" s="5"/>
      <c r="M68" s="5"/>
      <c r="N68" s="5"/>
      <c r="O68" s="5"/>
      <c r="P68" s="88"/>
      <c r="Q68" s="95"/>
    </row>
    <row r="69" spans="1:17" s="2" customFormat="1" ht="12" customHeight="1">
      <c r="D69" s="22"/>
      <c r="E69" s="22"/>
      <c r="J69" s="5"/>
      <c r="K69" s="5"/>
      <c r="L69" s="5"/>
      <c r="M69" s="5"/>
      <c r="N69" s="5"/>
      <c r="O69" s="5"/>
      <c r="P69" s="88"/>
      <c r="Q69" s="96"/>
    </row>
    <row r="70" spans="1:17" s="2" customFormat="1" ht="12" customHeight="1">
      <c r="D70" s="22"/>
      <c r="E70" s="22"/>
      <c r="J70" s="5"/>
      <c r="K70" s="5"/>
      <c r="L70" s="5"/>
      <c r="M70" s="5"/>
      <c r="N70" s="5"/>
      <c r="O70" s="5"/>
      <c r="P70" s="88"/>
      <c r="Q70" s="96"/>
    </row>
    <row r="71" spans="1:17" s="2" customFormat="1" ht="12" customHeight="1">
      <c r="D71" s="22"/>
      <c r="E71" s="22"/>
      <c r="J71" s="5"/>
      <c r="K71" s="5"/>
      <c r="L71" s="5"/>
      <c r="M71" s="5"/>
      <c r="N71" s="5"/>
      <c r="O71" s="5"/>
      <c r="P71" s="88"/>
      <c r="Q71" s="96"/>
    </row>
    <row r="72" spans="1:17" s="2" customFormat="1" ht="12" customHeight="1">
      <c r="D72" s="22"/>
      <c r="E72" s="22"/>
      <c r="J72" s="5"/>
      <c r="K72" s="5"/>
      <c r="L72" s="5"/>
      <c r="M72" s="5"/>
      <c r="N72" s="5"/>
      <c r="O72" s="5"/>
      <c r="P72" s="88"/>
      <c r="Q72" s="96"/>
    </row>
    <row r="73" spans="1:17" s="2" customFormat="1" ht="12" customHeight="1">
      <c r="A73"/>
      <c r="B73"/>
      <c r="C73"/>
      <c r="D73" s="23"/>
      <c r="E73" s="23"/>
      <c r="F73"/>
      <c r="G73"/>
      <c r="H73"/>
      <c r="I73"/>
      <c r="J73" s="19"/>
      <c r="K73" s="19"/>
      <c r="L73" s="19"/>
      <c r="M73" s="19"/>
      <c r="N73" s="19"/>
      <c r="O73" s="19"/>
      <c r="P73" s="90"/>
      <c r="Q73" s="96"/>
    </row>
    <row r="74" spans="1:17" s="2" customFormat="1" ht="12" customHeight="1">
      <c r="A74"/>
      <c r="B74"/>
      <c r="C74"/>
      <c r="D74" s="23"/>
      <c r="E74" s="23"/>
      <c r="F74"/>
      <c r="G74"/>
      <c r="H74"/>
      <c r="I74"/>
      <c r="J74" s="19"/>
      <c r="K74" s="19"/>
      <c r="L74" s="19"/>
      <c r="M74" s="19"/>
      <c r="N74" s="19"/>
      <c r="O74" s="19"/>
      <c r="P74" s="90"/>
      <c r="Q74" s="96"/>
    </row>
    <row r="75" spans="1:17" s="2" customFormat="1" ht="12" customHeight="1">
      <c r="A75"/>
      <c r="B75"/>
      <c r="C75"/>
      <c r="D75" s="23"/>
      <c r="E75" s="23"/>
      <c r="F75"/>
      <c r="G75"/>
      <c r="H75"/>
      <c r="I75"/>
      <c r="J75" s="19"/>
      <c r="K75" s="19"/>
      <c r="L75" s="19"/>
      <c r="M75" s="19"/>
      <c r="N75" s="19"/>
      <c r="O75" s="19"/>
      <c r="P75" s="90"/>
      <c r="Q75" s="96"/>
    </row>
    <row r="76" spans="1:17" s="2" customFormat="1" ht="12" customHeight="1">
      <c r="A76"/>
      <c r="B76"/>
      <c r="C76"/>
      <c r="D76" s="23"/>
      <c r="E76" s="23"/>
      <c r="F76"/>
      <c r="G76"/>
      <c r="H76"/>
      <c r="I76"/>
      <c r="J76" s="19"/>
      <c r="K76" s="19"/>
      <c r="L76" s="19"/>
      <c r="M76" s="19"/>
      <c r="N76" s="19"/>
      <c r="O76" s="19"/>
      <c r="P76" s="90"/>
      <c r="Q76" s="96"/>
    </row>
    <row r="77" spans="1:17" s="2" customFormat="1" ht="12" customHeight="1">
      <c r="A77"/>
      <c r="B77"/>
      <c r="C77"/>
      <c r="D77" s="23"/>
      <c r="E77" s="23"/>
      <c r="F77"/>
      <c r="G77"/>
      <c r="H77"/>
      <c r="I77"/>
      <c r="J77" s="19"/>
      <c r="K77" s="19"/>
      <c r="L77" s="19"/>
      <c r="M77" s="19"/>
      <c r="N77" s="19"/>
      <c r="O77" s="19"/>
      <c r="P77" s="90"/>
      <c r="Q77" s="96"/>
    </row>
    <row r="78" spans="1:17">
      <c r="Q78" s="96"/>
    </row>
    <row r="79" spans="1:17">
      <c r="Q79" s="96"/>
    </row>
    <row r="80" spans="1:17">
      <c r="Q80" s="96"/>
    </row>
    <row r="81" spans="17:17">
      <c r="Q81" s="96"/>
    </row>
    <row r="82" spans="17:17">
      <c r="Q82" s="96"/>
    </row>
    <row r="83" spans="17:17">
      <c r="Q83" s="96"/>
    </row>
    <row r="84" spans="17:17">
      <c r="Q84" s="96"/>
    </row>
    <row r="85" spans="17:17">
      <c r="Q85" s="96"/>
    </row>
    <row r="86" spans="17:17">
      <c r="Q86" s="96"/>
    </row>
    <row r="87" spans="17:17">
      <c r="Q87" s="96"/>
    </row>
    <row r="88" spans="17:17">
      <c r="Q88" s="96"/>
    </row>
    <row r="89" spans="17:17">
      <c r="Q89" s="96"/>
    </row>
    <row r="90" spans="17:17">
      <c r="Q90" s="96"/>
    </row>
    <row r="91" spans="17:17">
      <c r="Q91" s="96"/>
    </row>
    <row r="92" spans="17:17">
      <c r="Q92" s="96"/>
    </row>
    <row r="93" spans="17:17">
      <c r="Q93" s="96"/>
    </row>
    <row r="94" spans="17:17">
      <c r="Q94" s="96"/>
    </row>
    <row r="95" spans="17:17">
      <c r="Q95" s="96"/>
    </row>
    <row r="96" spans="17:17">
      <c r="Q96" s="96"/>
    </row>
    <row r="97" spans="17:17">
      <c r="Q97" s="96"/>
    </row>
    <row r="134" ht="12" customHeight="1"/>
    <row r="135" ht="12" customHeight="1"/>
    <row r="136" ht="12" customHeight="1"/>
    <row r="137" ht="12" customHeight="1"/>
    <row r="138" ht="12" customHeight="1"/>
    <row r="139" ht="12" customHeight="1"/>
    <row r="140" ht="12" customHeight="1"/>
    <row r="141" ht="12" customHeight="1"/>
    <row r="142" ht="12" customHeight="1"/>
    <row r="143" ht="12" customHeight="1"/>
    <row r="144" ht="12" customHeight="1"/>
    <row r="145" ht="12" customHeight="1"/>
    <row r="146" ht="12" customHeight="1"/>
    <row r="147" ht="12" customHeight="1"/>
    <row r="148" ht="12" customHeight="1"/>
    <row r="149" ht="12" customHeight="1"/>
    <row r="150" ht="12" customHeight="1"/>
    <row r="151" ht="12" customHeight="1"/>
    <row r="152" ht="12" customHeight="1"/>
    <row r="153" ht="12" customHeight="1"/>
    <row r="154" ht="12" customHeight="1"/>
    <row r="155" ht="12" customHeight="1"/>
    <row r="156" ht="12" customHeight="1"/>
    <row r="157" ht="12" customHeight="1"/>
    <row r="158" ht="12" customHeight="1"/>
    <row r="159" ht="12" customHeight="1"/>
    <row r="160" ht="12" customHeight="1"/>
    <row r="161" ht="12" customHeight="1"/>
    <row r="162" ht="12" customHeight="1"/>
    <row r="163" ht="12" customHeight="1"/>
    <row r="164" ht="12" customHeight="1"/>
    <row r="165" ht="12" customHeight="1"/>
    <row r="166" ht="12" customHeight="1"/>
    <row r="167" ht="12" customHeight="1"/>
    <row r="168" ht="12" customHeight="1"/>
    <row r="169" ht="12" customHeight="1"/>
    <row r="170" ht="12" customHeight="1"/>
    <row r="171" ht="12" customHeight="1"/>
    <row r="172" ht="12" customHeight="1"/>
    <row r="173" ht="12" customHeight="1"/>
    <row r="174" ht="12" customHeight="1"/>
    <row r="175" ht="12" customHeight="1"/>
    <row r="176" ht="12" customHeight="1"/>
    <row r="177" ht="12" customHeight="1"/>
    <row r="178" ht="12" customHeight="1"/>
    <row r="179" ht="12" customHeight="1"/>
    <row r="180" ht="12" customHeight="1"/>
    <row r="181" ht="12" customHeight="1"/>
    <row r="182" ht="12" customHeight="1"/>
    <row r="183" ht="12" customHeight="1"/>
  </sheetData>
  <mergeCells count="32">
    <mergeCell ref="D28:E28"/>
    <mergeCell ref="D29:E29"/>
    <mergeCell ref="D24:E24"/>
    <mergeCell ref="D25:E25"/>
    <mergeCell ref="D26:E26"/>
    <mergeCell ref="D27:E27"/>
    <mergeCell ref="D20:E20"/>
    <mergeCell ref="D21:E21"/>
    <mergeCell ref="D22:E22"/>
    <mergeCell ref="H22:I22"/>
    <mergeCell ref="D23:E23"/>
    <mergeCell ref="D15:E15"/>
    <mergeCell ref="D16:E16"/>
    <mergeCell ref="D17:E17"/>
    <mergeCell ref="D18:E18"/>
    <mergeCell ref="D19:E19"/>
    <mergeCell ref="D12:E12"/>
    <mergeCell ref="D13:E13"/>
    <mergeCell ref="H30:I30"/>
    <mergeCell ref="D30:E30"/>
    <mergeCell ref="D1:E1"/>
    <mergeCell ref="D4:E4"/>
    <mergeCell ref="D8:E8"/>
    <mergeCell ref="D9:E9"/>
    <mergeCell ref="D10:E10"/>
    <mergeCell ref="H4:I4"/>
    <mergeCell ref="D5:E5"/>
    <mergeCell ref="D6:E6"/>
    <mergeCell ref="D11:E11"/>
    <mergeCell ref="D7:E7"/>
    <mergeCell ref="H11:I11"/>
    <mergeCell ref="D14:E14"/>
  </mergeCells>
  <conditionalFormatting sqref="M5:M10">
    <cfRule type="cellIs" dxfId="192" priority="11" stopIfTrue="1" operator="lessThanOrEqual">
      <formula>$L5</formula>
    </cfRule>
    <cfRule type="cellIs" dxfId="191" priority="12" operator="greaterThan">
      <formula>L5</formula>
    </cfRule>
  </conditionalFormatting>
  <conditionalFormatting sqref="M12:M21">
    <cfRule type="cellIs" dxfId="190" priority="1" stopIfTrue="1" operator="lessThanOrEqual">
      <formula>$L12</formula>
    </cfRule>
    <cfRule type="cellIs" dxfId="189" priority="2" operator="greaterThan">
      <formula>L12</formula>
    </cfRule>
  </conditionalFormatting>
  <conditionalFormatting sqref="M23:M29">
    <cfRule type="cellIs" dxfId="188" priority="3" stopIfTrue="1" operator="lessThanOrEqual">
      <formula>$L23</formula>
    </cfRule>
    <cfRule type="cellIs" dxfId="187" priority="4" operator="greaterThan">
      <formula>L23</formula>
    </cfRule>
  </conditionalFormatting>
  <pageMargins left="0.7" right="0.7" top="0.75" bottom="0.75" header="0.3" footer="0.3"/>
  <pageSetup paperSize="3" fitToHeight="0" orientation="landscape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BC0DB7-C65D-4E6B-BBA8-8CF64F8817A1}">
          <x14:formula1>
            <xm:f>Bolts!$A:$A</xm:f>
          </x14:formula1>
          <xm:sqref>C23:C29</xm:sqref>
        </x14:dataValidation>
        <x14:dataValidation type="list" allowBlank="1" showInputMessage="1" showErrorMessage="1" xr:uid="{FD31D695-88C6-4ACE-9008-D275ACB59569}">
          <x14:formula1>
            <xm:f>Purchased!$A:$A</xm:f>
          </x14:formula1>
          <xm:sqref>C12:C21</xm:sqref>
        </x14:dataValidation>
        <x14:dataValidation type="list" allowBlank="1" showInputMessage="1" showErrorMessage="1" xr:uid="{EA1DD666-940D-415E-A3CC-A5BDD5567EBB}">
          <x14:formula1>
            <xm:f>Machined!$C:$C</xm:f>
          </x14:formula1>
          <xm:sqref>C5:C10</xm:sqref>
        </x14:dataValidation>
      </x14:dataValidations>
    </ext>
  </extLst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023BBF-F9CB-4B3A-913A-46F619303F66}">
  <sheetPr codeName="Sheet134">
    <tabColor theme="3" tint="0.79998168889431442"/>
    <pageSetUpPr fitToPage="1"/>
  </sheetPr>
  <dimension ref="A1:Q181"/>
  <sheetViews>
    <sheetView zoomScaleNormal="100" workbookViewId="0">
      <selection activeCell="D23" sqref="D23:E23"/>
    </sheetView>
  </sheetViews>
  <sheetFormatPr defaultColWidth="9.140625" defaultRowHeight="15"/>
  <cols>
    <col min="1" max="1" width="5.7109375" customWidth="1"/>
    <col min="2" max="2" width="5.42578125" bestFit="1" customWidth="1"/>
    <col min="3" max="3" width="30.7109375" customWidth="1"/>
    <col min="4" max="5" width="20.7109375" style="23" customWidth="1"/>
    <col min="6" max="6" width="16.85546875" bestFit="1" customWidth="1"/>
    <col min="7" max="7" width="9.7109375" customWidth="1"/>
    <col min="8" max="8" width="8.7109375" customWidth="1"/>
    <col min="9" max="9" width="20.7109375" customWidth="1"/>
    <col min="10" max="13" width="11.7109375" style="19" customWidth="1"/>
    <col min="14" max="14" width="11.85546875" style="19" bestFit="1" customWidth="1"/>
    <col min="15" max="15" width="7.7109375" style="19" customWidth="1"/>
    <col min="16" max="16" width="10.7109375" style="90" customWidth="1"/>
    <col min="17" max="17" width="10.7109375" style="97" customWidth="1"/>
  </cols>
  <sheetData>
    <row r="1" spans="1:17" s="55" customFormat="1" ht="12" customHeight="1">
      <c r="A1" s="68" t="s">
        <v>0</v>
      </c>
      <c r="B1" s="69"/>
      <c r="C1" s="69"/>
      <c r="D1" s="262" t="s">
        <v>1</v>
      </c>
      <c r="E1" s="263"/>
      <c r="F1" s="70"/>
      <c r="G1" s="69"/>
      <c r="H1" s="70"/>
      <c r="I1" s="71"/>
      <c r="J1" s="72"/>
      <c r="K1" s="72"/>
      <c r="L1" s="72"/>
      <c r="M1" s="72"/>
      <c r="N1" s="72"/>
      <c r="O1" s="72"/>
      <c r="P1" s="85"/>
      <c r="Q1" s="91"/>
    </row>
    <row r="2" spans="1:17" s="55" customFormat="1" ht="12" customHeight="1">
      <c r="A2" s="74" t="s">
        <v>48</v>
      </c>
      <c r="B2" s="58"/>
      <c r="C2" s="57" t="e">
        <f ca="1">VLOOKUP(E3,Assemblies!B:F,4,0)</f>
        <v>#VALUE!</v>
      </c>
      <c r="D2" s="75" t="s">
        <v>3</v>
      </c>
      <c r="E2" s="76" t="e">
        <f ca="1">'GF12'!E2</f>
        <v>#VALUE!</v>
      </c>
      <c r="F2" s="77" t="s">
        <v>4</v>
      </c>
      <c r="G2" s="58" t="str">
        <f>'GF12'!G2</f>
        <v>GH</v>
      </c>
      <c r="H2" s="77" t="s">
        <v>6</v>
      </c>
      <c r="I2" s="59">
        <f>'GF12'!I2</f>
        <v>44775</v>
      </c>
      <c r="J2" s="39"/>
      <c r="K2" s="40" t="s">
        <v>49</v>
      </c>
      <c r="L2" s="41" t="e">
        <f ca="1">VLOOKUP(C2,Assemblies!E:G,3,0)</f>
        <v>#VALUE!</v>
      </c>
      <c r="M2" s="78"/>
      <c r="N2" s="78"/>
      <c r="O2" s="78"/>
      <c r="P2" s="86"/>
      <c r="Q2" s="92"/>
    </row>
    <row r="3" spans="1:17" s="55" customFormat="1" ht="12" customHeight="1" thickBot="1">
      <c r="A3" s="74" t="s">
        <v>7</v>
      </c>
      <c r="B3" s="58"/>
      <c r="C3" s="57" t="e">
        <f ca="1">VLOOKUP(E3,Assemblies!B:F,5,0)</f>
        <v>#VALUE!</v>
      </c>
      <c r="D3" s="75" t="s">
        <v>50</v>
      </c>
      <c r="E3" s="76" t="e">
        <f ca="1">MID(CELL("filename",A1),FIND("]",CELL("filename",A1))+1,256)</f>
        <v>#VALUE!</v>
      </c>
      <c r="F3" s="77" t="s">
        <v>11</v>
      </c>
      <c r="G3" s="58" t="str">
        <f>'GF12'!G3</f>
        <v>GH</v>
      </c>
      <c r="H3" s="77" t="s">
        <v>6</v>
      </c>
      <c r="I3" s="59">
        <f>'GF12'!I3</f>
        <v>44775</v>
      </c>
      <c r="J3" s="78"/>
      <c r="K3" s="78"/>
      <c r="L3" s="78"/>
      <c r="M3" s="78"/>
      <c r="N3" s="78"/>
      <c r="O3" s="78"/>
      <c r="P3" s="86"/>
      <c r="Q3" s="92"/>
    </row>
    <row r="4" spans="1:17" s="56" customFormat="1" ht="12.75" customHeight="1" thickBot="1">
      <c r="A4" s="80" t="s">
        <v>12</v>
      </c>
      <c r="B4" s="81" t="s">
        <v>13</v>
      </c>
      <c r="C4" s="81" t="s">
        <v>14</v>
      </c>
      <c r="D4" s="270" t="s">
        <v>15</v>
      </c>
      <c r="E4" s="271"/>
      <c r="F4" s="104" t="s">
        <v>16</v>
      </c>
      <c r="G4" s="81" t="s">
        <v>17</v>
      </c>
      <c r="H4" s="260" t="s">
        <v>18</v>
      </c>
      <c r="I4" s="261"/>
      <c r="J4" s="81" t="s">
        <v>51</v>
      </c>
      <c r="K4" s="81" t="s">
        <v>20</v>
      </c>
      <c r="L4" s="81" t="s">
        <v>21</v>
      </c>
      <c r="M4" s="81" t="s">
        <v>52</v>
      </c>
      <c r="N4" s="81" t="s">
        <v>22</v>
      </c>
      <c r="O4" s="81" t="s">
        <v>53</v>
      </c>
      <c r="P4" s="107" t="s">
        <v>26</v>
      </c>
      <c r="Q4" s="82" t="s">
        <v>27</v>
      </c>
    </row>
    <row r="5" spans="1:17" s="2" customFormat="1" ht="12.75" customHeight="1">
      <c r="A5" s="127">
        <v>1</v>
      </c>
      <c r="B5" s="21">
        <v>1</v>
      </c>
      <c r="C5" s="108" t="s">
        <v>1303</v>
      </c>
      <c r="D5" s="277" t="str">
        <f>VLOOKUP(C5,Machined!C:Q,2,0)</f>
        <v>Dead Nest Mount Block</v>
      </c>
      <c r="E5" s="278"/>
      <c r="F5" s="131" t="str">
        <f>VLOOKUP(C5,Machined!C:R,7,0)</f>
        <v>6061-T6 Alum</v>
      </c>
      <c r="G5" s="131" t="str">
        <f>VLOOKUP(C5,Machined!C:R,10,0)</f>
        <v>DETAILED MACH</v>
      </c>
      <c r="H5" s="131" t="str">
        <f>VLOOKUP(C5,Machined!C:R,11,0)</f>
        <v>shipped 9/29/23</v>
      </c>
      <c r="I5" s="131"/>
      <c r="J5" s="42">
        <f>VLOOKUP(C5,Machined!C:R,12,0)</f>
        <v>45156</v>
      </c>
      <c r="K5" s="42">
        <f>VLOOKUP(C5,Machined!C:R,13,0)</f>
        <v>45162</v>
      </c>
      <c r="L5" s="42">
        <f>VLOOKUP(C5,Machined!C:R,14,0)</f>
        <v>45190</v>
      </c>
      <c r="M5" s="42">
        <f>VLOOKUP(C5,Machined!C:R,15,0)</f>
        <v>45190</v>
      </c>
      <c r="N5" s="43">
        <f>VLOOKUP(C5,Machined!C:R,16,0)</f>
        <v>55101</v>
      </c>
      <c r="O5" s="43" t="e">
        <f t="shared" ref="O5:O11" ca="1" si="0">B5*$L$2</f>
        <v>#VALUE!</v>
      </c>
      <c r="P5" s="47">
        <f>IFERROR(VLOOKUP(C5,Machined!C:F,3,0),"")</f>
        <v>0</v>
      </c>
      <c r="Q5" s="48">
        <f t="shared" ref="Q5:Q11" si="1">IFERROR(B5*P5,"")</f>
        <v>0</v>
      </c>
    </row>
    <row r="6" spans="1:17" s="2" customFormat="1" ht="12.75" customHeight="1">
      <c r="A6" s="127">
        <v>2</v>
      </c>
      <c r="B6" s="21">
        <v>1</v>
      </c>
      <c r="C6" s="108" t="s">
        <v>1304</v>
      </c>
      <c r="D6" s="277" t="str">
        <f>VLOOKUP(C6,Machined!C:Q,2,0)</f>
        <v>Dead Nest Adjustment Block</v>
      </c>
      <c r="E6" s="278"/>
      <c r="F6" s="131" t="str">
        <f>VLOOKUP(C6,Machined!C:R,7,0)</f>
        <v>1018 COLD ROLLED STEEL</v>
      </c>
      <c r="G6" s="131" t="str">
        <f>VLOOKUP(C6,Machined!C:R,10,0)</f>
        <v>DETAILED MACH</v>
      </c>
      <c r="H6" s="131" t="str">
        <f>VLOOKUP(C6,Machined!C:R,11,0)</f>
        <v>shipped 9/25/23</v>
      </c>
      <c r="I6" s="131"/>
      <c r="J6" s="42">
        <f>VLOOKUP(C6,Machined!C:R,12,0)</f>
        <v>45156</v>
      </c>
      <c r="K6" s="42">
        <f>VLOOKUP(C6,Machined!C:R,13,0)</f>
        <v>45162</v>
      </c>
      <c r="L6" s="42">
        <f>VLOOKUP(C6,Machined!C:R,14,0)</f>
        <v>45190</v>
      </c>
      <c r="M6" s="42">
        <f>VLOOKUP(C6,Machined!C:R,15,0)</f>
        <v>45190</v>
      </c>
      <c r="N6" s="43">
        <f>VLOOKUP(C6,Machined!C:R,16,0)</f>
        <v>55101</v>
      </c>
      <c r="O6" s="43" t="e">
        <f t="shared" ca="1" si="0"/>
        <v>#VALUE!</v>
      </c>
      <c r="P6" s="47">
        <f>IFERROR(VLOOKUP(C6,Machined!C:F,3,0),"")</f>
        <v>0</v>
      </c>
      <c r="Q6" s="48">
        <f t="shared" si="1"/>
        <v>0</v>
      </c>
    </row>
    <row r="7" spans="1:17" s="2" customFormat="1" ht="12.75" customHeight="1">
      <c r="A7" s="127">
        <v>3</v>
      </c>
      <c r="B7" s="21">
        <v>1</v>
      </c>
      <c r="C7" s="108" t="s">
        <v>1305</v>
      </c>
      <c r="D7" s="277" t="str">
        <f>VLOOKUP(C7,Machined!C:Q,2,0)</f>
        <v>Dead Nest Bracket</v>
      </c>
      <c r="E7" s="278"/>
      <c r="F7" s="131" t="str">
        <f>VLOOKUP(C7,Machined!C:R,7,0)</f>
        <v>6061-T6 Alum</v>
      </c>
      <c r="G7" s="131" t="str">
        <f>VLOOKUP(C7,Machined!C:R,10,0)</f>
        <v>DETAILED MACH</v>
      </c>
      <c r="H7" s="131" t="str">
        <f>VLOOKUP(C7,Machined!C:R,11,0)</f>
        <v>shipped 9/28/23</v>
      </c>
      <c r="I7" s="131"/>
      <c r="J7" s="42">
        <f>VLOOKUP(C7,Machined!C:R,12,0)</f>
        <v>45156</v>
      </c>
      <c r="K7" s="42">
        <f>VLOOKUP(C7,Machined!C:R,13,0)</f>
        <v>45162</v>
      </c>
      <c r="L7" s="42">
        <f>VLOOKUP(C7,Machined!C:R,14,0)</f>
        <v>45190</v>
      </c>
      <c r="M7" s="42">
        <f>VLOOKUP(C7,Machined!C:R,15,0)</f>
        <v>45190</v>
      </c>
      <c r="N7" s="43">
        <f>VLOOKUP(C7,Machined!C:R,16,0)</f>
        <v>55101</v>
      </c>
      <c r="O7" s="43" t="e">
        <f t="shared" ca="1" si="0"/>
        <v>#VALUE!</v>
      </c>
      <c r="P7" s="47">
        <f>IFERROR(VLOOKUP(C7,Machined!C:F,3,0),"")</f>
        <v>0</v>
      </c>
      <c r="Q7" s="48">
        <f t="shared" si="1"/>
        <v>0</v>
      </c>
    </row>
    <row r="8" spans="1:17" s="2" customFormat="1" ht="12.75" customHeight="1">
      <c r="A8" s="127">
        <v>4</v>
      </c>
      <c r="B8" s="21">
        <v>1</v>
      </c>
      <c r="C8" s="108" t="s">
        <v>1306</v>
      </c>
      <c r="D8" s="277" t="str">
        <f>VLOOKUP(C8,Machined!C:Q,2,0)</f>
        <v>Dead Nest Plate</v>
      </c>
      <c r="E8" s="278"/>
      <c r="F8" s="131" t="str">
        <f>VLOOKUP(C8,Machined!C:R,7,0)</f>
        <v>6061-T6 Alum</v>
      </c>
      <c r="G8" s="131" t="str">
        <f>VLOOKUP(C8,Machined!C:R,10,0)</f>
        <v>DETAILED MACH</v>
      </c>
      <c r="H8" s="131" t="str">
        <f>VLOOKUP(C8,Machined!C:R,11,0)</f>
        <v>shipped 9/25/23</v>
      </c>
      <c r="I8" s="131"/>
      <c r="J8" s="42">
        <f>VLOOKUP(C8,Machined!C:R,12,0)</f>
        <v>45156</v>
      </c>
      <c r="K8" s="42">
        <f>VLOOKUP(C8,Machined!C:R,13,0)</f>
        <v>45162</v>
      </c>
      <c r="L8" s="42">
        <f>VLOOKUP(C8,Machined!C:R,14,0)</f>
        <v>45190</v>
      </c>
      <c r="M8" s="42">
        <f>VLOOKUP(C8,Machined!C:R,15,0)</f>
        <v>45190</v>
      </c>
      <c r="N8" s="43">
        <f>VLOOKUP(C8,Machined!C:R,16,0)</f>
        <v>55101</v>
      </c>
      <c r="O8" s="43" t="e">
        <f t="shared" ca="1" si="0"/>
        <v>#VALUE!</v>
      </c>
      <c r="P8" s="47">
        <f>IFERROR(VLOOKUP(C8,Machined!C:F,3,0),"")</f>
        <v>0</v>
      </c>
      <c r="Q8" s="48">
        <f t="shared" si="1"/>
        <v>0</v>
      </c>
    </row>
    <row r="9" spans="1:17" s="2" customFormat="1" ht="12.75" customHeight="1">
      <c r="A9" s="127">
        <v>5</v>
      </c>
      <c r="B9" s="21">
        <v>1</v>
      </c>
      <c r="C9" s="108" t="s">
        <v>1307</v>
      </c>
      <c r="D9" s="277" t="str">
        <f>VLOOKUP(C9,Machined!C:Q,2,0)</f>
        <v>P2B Dead Nest</v>
      </c>
      <c r="E9" s="278"/>
      <c r="F9" s="131" t="str">
        <f>VLOOKUP(C9,Machined!C:R,7,0)</f>
        <v>Delrin - White</v>
      </c>
      <c r="G9" s="131" t="str">
        <f>VLOOKUP(C9,Machined!C:R,10,0)</f>
        <v>DETAILED MACH</v>
      </c>
      <c r="H9" s="131" t="str">
        <f>VLOOKUP(C9,Machined!C:R,11,0)</f>
        <v>shipped 9/29/23</v>
      </c>
      <c r="I9" s="131"/>
      <c r="J9" s="42">
        <f>VLOOKUP(C9,Machined!C:R,12,0)</f>
        <v>45156</v>
      </c>
      <c r="K9" s="42">
        <f>VLOOKUP(C9,Machined!C:R,13,0)</f>
        <v>45162</v>
      </c>
      <c r="L9" s="42">
        <f>VLOOKUP(C9,Machined!C:R,14,0)</f>
        <v>45190</v>
      </c>
      <c r="M9" s="42">
        <f>VLOOKUP(C9,Machined!C:R,15,0)</f>
        <v>45190</v>
      </c>
      <c r="N9" s="43">
        <f>VLOOKUP(C9,Machined!C:R,16,0)</f>
        <v>55101</v>
      </c>
      <c r="O9" s="43" t="e">
        <f t="shared" ca="1" si="0"/>
        <v>#VALUE!</v>
      </c>
      <c r="P9" s="47">
        <f>IFERROR(VLOOKUP(C9,Machined!C:F,3,0),"")</f>
        <v>0</v>
      </c>
      <c r="Q9" s="48">
        <f t="shared" si="1"/>
        <v>0</v>
      </c>
    </row>
    <row r="10" spans="1:17" s="2" customFormat="1" ht="12.75" customHeight="1">
      <c r="A10" s="127">
        <v>6</v>
      </c>
      <c r="B10" s="21">
        <v>1</v>
      </c>
      <c r="C10" s="108" t="s">
        <v>1308</v>
      </c>
      <c r="D10" s="277" t="str">
        <f>VLOOKUP(C10,Machined!C:Q,2,0)</f>
        <v>P2L Dead Nest</v>
      </c>
      <c r="E10" s="278"/>
      <c r="F10" s="131" t="str">
        <f>VLOOKUP(C10,Machined!C:R,7,0)</f>
        <v>Delrin - White</v>
      </c>
      <c r="G10" s="131" t="str">
        <f>VLOOKUP(C10,Machined!C:R,10,0)</f>
        <v>DETAILED MACH</v>
      </c>
      <c r="H10" s="131" t="str">
        <f>VLOOKUP(C10,Machined!C:R,11,0)</f>
        <v>shipped 9/29/23</v>
      </c>
      <c r="I10" s="131"/>
      <c r="J10" s="42">
        <f>VLOOKUP(C10,Machined!C:R,12,0)</f>
        <v>45156</v>
      </c>
      <c r="K10" s="42">
        <f>VLOOKUP(C10,Machined!C:R,13,0)</f>
        <v>45162</v>
      </c>
      <c r="L10" s="42">
        <f>VLOOKUP(C10,Machined!C:R,14,0)</f>
        <v>45190</v>
      </c>
      <c r="M10" s="42">
        <f>VLOOKUP(C10,Machined!C:R,15,0)</f>
        <v>45190</v>
      </c>
      <c r="N10" s="43">
        <f>VLOOKUP(C10,Machined!C:R,16,0)</f>
        <v>55101</v>
      </c>
      <c r="O10" s="43" t="e">
        <f t="shared" ca="1" si="0"/>
        <v>#VALUE!</v>
      </c>
      <c r="P10" s="47">
        <f>IFERROR(VLOOKUP(C10,Machined!C:F,3,0),"")</f>
        <v>0</v>
      </c>
      <c r="Q10" s="48">
        <f t="shared" si="1"/>
        <v>0</v>
      </c>
    </row>
    <row r="11" spans="1:17" s="2" customFormat="1" ht="12.75" customHeight="1">
      <c r="A11" s="127">
        <v>7</v>
      </c>
      <c r="B11" s="21">
        <v>1</v>
      </c>
      <c r="C11" s="108" t="s">
        <v>1309</v>
      </c>
      <c r="D11" s="277" t="str">
        <f>VLOOKUP(C11,Machined!C:Q,2,0)</f>
        <v>Dead Nest Sensor Bracket</v>
      </c>
      <c r="E11" s="278"/>
      <c r="F11" s="131" t="str">
        <f>VLOOKUP(C11,Machined!C:R,7,0)</f>
        <v>AISI 304</v>
      </c>
      <c r="G11" s="131" t="str">
        <f>VLOOKUP(C11,Machined!C:R,10,0)</f>
        <v>WESCO BHT</v>
      </c>
      <c r="H11" s="131" t="str">
        <f>VLOOKUP(C11,Machined!C:R,11,0)</f>
        <v xml:space="preserve">  </v>
      </c>
      <c r="I11" s="131"/>
      <c r="J11" s="42">
        <f>VLOOKUP(C11,Machined!C:R,12,0)</f>
        <v>45159</v>
      </c>
      <c r="K11" s="42">
        <f>VLOOKUP(C11,Machined!C:R,13,0)</f>
        <v>45161</v>
      </c>
      <c r="L11" s="42">
        <f>VLOOKUP(C11,Machined!C:R,14,0)</f>
        <v>45191</v>
      </c>
      <c r="M11" s="42">
        <f>VLOOKUP(C11,Machined!C:R,15,0)</f>
        <v>45191</v>
      </c>
      <c r="N11" s="43">
        <f>VLOOKUP(C11,Machined!C:R,16,0)</f>
        <v>55092</v>
      </c>
      <c r="O11" s="43" t="e">
        <f t="shared" ca="1" si="0"/>
        <v>#VALUE!</v>
      </c>
      <c r="P11" s="47">
        <f>IFERROR(VLOOKUP(C11,Machined!C:F,3,0),"")</f>
        <v>72.260000000000005</v>
      </c>
      <c r="Q11" s="48">
        <f t="shared" si="1"/>
        <v>72.260000000000005</v>
      </c>
    </row>
    <row r="12" spans="1:17" s="2" customFormat="1" ht="12.75" customHeight="1">
      <c r="A12" s="143"/>
      <c r="B12" s="26"/>
      <c r="C12" s="26"/>
      <c r="D12" s="272"/>
      <c r="E12" s="273"/>
      <c r="F12" s="26"/>
      <c r="G12" s="26"/>
      <c r="H12" s="274"/>
      <c r="I12" s="275"/>
      <c r="J12" s="27"/>
      <c r="K12" s="27"/>
      <c r="L12" s="27"/>
      <c r="M12" s="28"/>
      <c r="N12" s="29"/>
      <c r="O12" s="29"/>
      <c r="P12" s="141"/>
      <c r="Q12" s="142"/>
    </row>
    <row r="13" spans="1:17" s="2" customFormat="1" ht="12.75" customHeight="1">
      <c r="A13" s="4">
        <v>301</v>
      </c>
      <c r="B13" s="2">
        <v>1</v>
      </c>
      <c r="C13" s="114" t="s">
        <v>1300</v>
      </c>
      <c r="D13" s="268" t="str">
        <f>VLOOKUP(C13,Purchased!A:B,2,0)</f>
        <v>MISUMI Adjusting Bolts - Knurled Head, Hex Socket</v>
      </c>
      <c r="E13" s="269"/>
      <c r="F13" s="112" t="str">
        <f>VLOOKUP(C13,Purchased!A:Q,9,0)</f>
        <v>MISUMI</v>
      </c>
      <c r="G13" s="112" t="str">
        <f>VLOOKUP(C13,Purchased!A:Q,10,0)</f>
        <v>MISUMI</v>
      </c>
      <c r="H13" s="112" t="str">
        <f>VLOOKUP(C13,Purchased!A:Q,12,0)</f>
        <v xml:space="preserve"> </v>
      </c>
      <c r="I13" s="113"/>
      <c r="J13" s="44" t="str">
        <f>VLOOKUP(C13,Purchased!A:Q,13,0)</f>
        <v>N/A</v>
      </c>
      <c r="K13" s="44">
        <f>VLOOKUP(C13,Purchased!A:Q,16,0)</f>
        <v>45176</v>
      </c>
      <c r="L13" s="44">
        <f>VLOOKUP(C13,Purchased!A:Q,15,0)</f>
        <v>45191</v>
      </c>
      <c r="M13" s="44">
        <f>VLOOKUP(C13,Purchased!A:Q,16,0)</f>
        <v>45176</v>
      </c>
      <c r="N13" s="45">
        <f>VLOOKUP(C13,Purchased!A:Q,17,0)</f>
        <v>55078</v>
      </c>
      <c r="O13" s="45" t="e">
        <f t="shared" ref="O13:O24" ca="1" si="2">B13*$L$2</f>
        <v>#VALUE!</v>
      </c>
      <c r="P13" s="49">
        <f>IFERROR(VLOOKUP(C13,Purchased!A:E,3,FALSE),"")</f>
        <v>6.32</v>
      </c>
      <c r="Q13" s="50">
        <f t="shared" ref="Q13:Q18" si="3">IFERROR(B13*P13,"")</f>
        <v>6.32</v>
      </c>
    </row>
    <row r="14" spans="1:17" s="2" customFormat="1" ht="12" customHeight="1">
      <c r="A14" s="4">
        <f t="shared" ref="A14" si="4">A13+1</f>
        <v>302</v>
      </c>
      <c r="B14" s="2">
        <v>2</v>
      </c>
      <c r="C14" s="114" t="s">
        <v>1310</v>
      </c>
      <c r="D14" s="268" t="str">
        <f>VLOOKUP(C14,Purchased!A:B,2,0)</f>
        <v>Brass Screw-to-Expand Inserts for Plastic, M5 x 0.80 mm Thread Size</v>
      </c>
      <c r="E14" s="269"/>
      <c r="F14" s="112" t="str">
        <f>VLOOKUP(C14,Purchased!A:Q,9,0)</f>
        <v>MCM</v>
      </c>
      <c r="G14" s="112" t="str">
        <f>VLOOKUP(C14,Purchased!A:Q,10,0)</f>
        <v>MCM</v>
      </c>
      <c r="H14" s="112" t="str">
        <f>VLOOKUP(C14,Purchased!A:Q,12,0)</f>
        <v xml:space="preserve">  </v>
      </c>
      <c r="I14" s="113"/>
      <c r="J14" s="44" t="str">
        <f>VLOOKUP(C14,Purchased!A:Q,13,0)</f>
        <v>N/A</v>
      </c>
      <c r="K14" s="44">
        <f>VLOOKUP(C14,Purchased!A:Q,16,0)</f>
        <v>45163</v>
      </c>
      <c r="L14" s="44">
        <f>VLOOKUP(C14,Purchased!A:Q,15,0)</f>
        <v>45184</v>
      </c>
      <c r="M14" s="44">
        <f>VLOOKUP(C14,Purchased!A:Q,16,0)</f>
        <v>45163</v>
      </c>
      <c r="N14" s="45">
        <f>VLOOKUP(C14,Purchased!A:Q,17,0)</f>
        <v>55089</v>
      </c>
      <c r="O14" s="45" t="e">
        <f t="shared" ca="1" si="2"/>
        <v>#VALUE!</v>
      </c>
      <c r="P14" s="49">
        <f>IFERROR(VLOOKUP(C14,Purchased!A:E,3,FALSE),"")</f>
        <v>8.51</v>
      </c>
      <c r="Q14" s="50">
        <f t="shared" si="3"/>
        <v>17.02</v>
      </c>
    </row>
    <row r="15" spans="1:17" s="2" customFormat="1" ht="12.75" customHeight="1">
      <c r="A15" s="4">
        <v>303</v>
      </c>
      <c r="B15" s="2">
        <v>2</v>
      </c>
      <c r="C15" s="114" t="s">
        <v>1296</v>
      </c>
      <c r="D15" s="268" t="str">
        <f>VLOOKUP(C15,Purchased!A:B,2,0)</f>
        <v>Zinc-Plated Class 10.9 Steel Washer, M6 Screw Size</v>
      </c>
      <c r="E15" s="269"/>
      <c r="F15" s="112" t="str">
        <f>VLOOKUP(C15,Purchased!A:Q,9,0)</f>
        <v>MCM</v>
      </c>
      <c r="G15" s="112" t="str">
        <f>VLOOKUP(C15,Purchased!A:Q,10,0)</f>
        <v>MCM</v>
      </c>
      <c r="H15" s="112" t="str">
        <f>VLOOKUP(C15,Purchased!A:Q,12,0)</f>
        <v xml:space="preserve"> </v>
      </c>
      <c r="I15" s="113"/>
      <c r="J15" s="44" t="str">
        <f>VLOOKUP(C15,Purchased!A:Q,13,0)</f>
        <v>N/A</v>
      </c>
      <c r="K15" s="44">
        <f>VLOOKUP(C15,Purchased!A:Q,16,0)</f>
        <v>45163</v>
      </c>
      <c r="L15" s="44">
        <f>VLOOKUP(C15,Purchased!A:Q,15,0)</f>
        <v>45184</v>
      </c>
      <c r="M15" s="44">
        <f>VLOOKUP(C15,Purchased!A:Q,16,0)</f>
        <v>45163</v>
      </c>
      <c r="N15" s="45">
        <f>VLOOKUP(C15,Purchased!A:Q,17,0)</f>
        <v>55088</v>
      </c>
      <c r="O15" s="45" t="e">
        <f t="shared" ca="1" si="2"/>
        <v>#VALUE!</v>
      </c>
      <c r="P15" s="49">
        <f>IFERROR(VLOOKUP(C15,Purchased!A:E,3,FALSE),"")</f>
        <v>13.79</v>
      </c>
      <c r="Q15" s="50">
        <f t="shared" si="3"/>
        <v>27.58</v>
      </c>
    </row>
    <row r="16" spans="1:17" s="2" customFormat="1" ht="12" customHeight="1">
      <c r="A16" s="4">
        <v>304</v>
      </c>
      <c r="B16" s="2">
        <v>2</v>
      </c>
      <c r="C16" s="114" t="s">
        <v>1311</v>
      </c>
      <c r="D16" s="268" t="str">
        <f>VLOOKUP(C16,Purchased!A:B,2,0)</f>
        <v>ELesa VCT.25 p-M5x20-C9 Lobe knob</v>
      </c>
      <c r="E16" s="269"/>
      <c r="F16" s="112" t="str">
        <f>VLOOKUP(C16,Purchased!A:Q,9,0)</f>
        <v>ELESA</v>
      </c>
      <c r="G16" s="112" t="str">
        <f>VLOOKUP(C16,Purchased!A:Q,10,0)</f>
        <v>ELESA</v>
      </c>
      <c r="H16" s="112" t="str">
        <f>VLOOKUP(C16,Purchased!A:Q,12,0)</f>
        <v xml:space="preserve">  </v>
      </c>
      <c r="I16" s="113"/>
      <c r="J16" s="44" t="str">
        <f>VLOOKUP(C16,Purchased!A:Q,13,0)</f>
        <v>N/A</v>
      </c>
      <c r="K16" s="44">
        <f>VLOOKUP(C16,Purchased!A:Q,16,0)</f>
        <v>45184</v>
      </c>
      <c r="L16" s="44">
        <f>VLOOKUP(C16,Purchased!A:Q,15,0)</f>
        <v>45184</v>
      </c>
      <c r="M16" s="44">
        <f>VLOOKUP(C16,Purchased!A:Q,16,0)</f>
        <v>45184</v>
      </c>
      <c r="N16" s="45">
        <f>VLOOKUP(C16,Purchased!A:Q,17,0)</f>
        <v>55075</v>
      </c>
      <c r="O16" s="45" t="e">
        <f t="shared" ca="1" si="2"/>
        <v>#VALUE!</v>
      </c>
      <c r="P16" s="49">
        <f>IFERROR(VLOOKUP(C16,Purchased!A:E,3,FALSE),"")</f>
        <v>1.68</v>
      </c>
      <c r="Q16" s="50">
        <f t="shared" si="3"/>
        <v>3.36</v>
      </c>
    </row>
    <row r="17" spans="1:17" s="2" customFormat="1" ht="12.75" customHeight="1">
      <c r="A17" s="4">
        <v>305</v>
      </c>
      <c r="B17" s="2">
        <v>1</v>
      </c>
      <c r="C17" s="114" t="s">
        <v>818</v>
      </c>
      <c r="D17" s="268" t="str">
        <f>VLOOKUP(C17,Purchased!A:B,2,0)</f>
        <v xml:space="preserve">KEYENCE PR-G4ACP Diffuse reflective long distance </v>
      </c>
      <c r="E17" s="269"/>
      <c r="F17" s="112" t="str">
        <f>VLOOKUP(C17,Purchased!A:Q,9,0)</f>
        <v>KEYENCE</v>
      </c>
      <c r="G17" s="112" t="str">
        <f>VLOOKUP(C17,Purchased!A:Q,10,0)</f>
        <v>KEYENCE</v>
      </c>
      <c r="H17" s="112" t="str">
        <f>VLOOKUP(C17,Purchased!A:Q,12,0)</f>
        <v xml:space="preserve"> </v>
      </c>
      <c r="I17" s="113"/>
      <c r="J17" s="44">
        <f>VLOOKUP(C17,Purchased!A:Q,13,0)</f>
        <v>45154</v>
      </c>
      <c r="K17" s="44">
        <f>VLOOKUP(C17,Purchased!A:Q,16,0)</f>
        <v>45184</v>
      </c>
      <c r="L17" s="44">
        <f>VLOOKUP(C17,Purchased!A:Q,15,0)</f>
        <v>45191</v>
      </c>
      <c r="M17" s="44">
        <f>VLOOKUP(C17,Purchased!A:Q,16,0)</f>
        <v>45184</v>
      </c>
      <c r="N17" s="45">
        <f>VLOOKUP(C17,Purchased!A:Q,17,0)</f>
        <v>55077</v>
      </c>
      <c r="O17" s="45" t="e">
        <f t="shared" ca="1" si="2"/>
        <v>#VALUE!</v>
      </c>
      <c r="P17" s="49">
        <f>IFERROR(VLOOKUP(C17,Purchased!A:E,3,FALSE),"")</f>
        <v>168</v>
      </c>
      <c r="Q17" s="50">
        <f t="shared" si="3"/>
        <v>168</v>
      </c>
    </row>
    <row r="18" spans="1:17" s="2" customFormat="1" ht="12" customHeight="1">
      <c r="A18" s="4">
        <v>306</v>
      </c>
      <c r="B18" s="2">
        <v>1</v>
      </c>
      <c r="C18" s="114" t="s">
        <v>1003</v>
      </c>
      <c r="D18" s="268" t="str">
        <f>VLOOKUP(C18,Purchased!A:B,2,0)</f>
        <v>MURR M8 Female, 0deg A-Coded, 4-Pin, w/ Cable, 7.5m, black</v>
      </c>
      <c r="E18" s="269"/>
      <c r="F18" s="112" t="str">
        <f>VLOOKUP(C18,Purchased!A:Q,9,0)</f>
        <v>MURR</v>
      </c>
      <c r="G18" s="112" t="str">
        <f>VLOOKUP(C18,Purchased!A:Q,10,0)</f>
        <v>MURR</v>
      </c>
      <c r="H18" s="112" t="str">
        <f>VLOOKUP(C18,Purchased!A:Q,12,0)</f>
        <v xml:space="preserve"> </v>
      </c>
      <c r="I18" s="113"/>
      <c r="J18" s="44">
        <f>VLOOKUP(C18,Purchased!A:Q,13,0)</f>
        <v>45161</v>
      </c>
      <c r="K18" s="44">
        <f>VLOOKUP(C18,Purchased!A:Q,16,0)</f>
        <v>45184</v>
      </c>
      <c r="L18" s="44">
        <f>VLOOKUP(C18,Purchased!A:Q,15,0)</f>
        <v>45184</v>
      </c>
      <c r="M18" s="44">
        <f>VLOOKUP(C18,Purchased!A:Q,16,0)</f>
        <v>45184</v>
      </c>
      <c r="N18" s="45">
        <f>VLOOKUP(C18,Purchased!A:Q,17,0)</f>
        <v>55080</v>
      </c>
      <c r="O18" s="45" t="e">
        <f t="shared" ca="1" si="2"/>
        <v>#VALUE!</v>
      </c>
      <c r="P18" s="49">
        <f>IFERROR(VLOOKUP(C18,Purchased!A:E,3,FALSE),"")</f>
        <v>21.04</v>
      </c>
      <c r="Q18" s="50">
        <f t="shared" si="3"/>
        <v>21.04</v>
      </c>
    </row>
    <row r="19" spans="1:17" s="2" customFormat="1" ht="12.75" customHeight="1">
      <c r="A19" s="25"/>
      <c r="B19" s="26"/>
      <c r="C19" s="26"/>
      <c r="D19" s="272"/>
      <c r="E19" s="273"/>
      <c r="F19" s="26"/>
      <c r="G19" s="26"/>
      <c r="H19" s="274"/>
      <c r="I19" s="275"/>
      <c r="J19" s="27"/>
      <c r="K19" s="27"/>
      <c r="L19" s="27"/>
      <c r="M19" s="28"/>
      <c r="N19" s="29"/>
      <c r="O19" s="29" t="e">
        <f t="shared" ca="1" si="2"/>
        <v>#VALUE!</v>
      </c>
      <c r="P19" s="141"/>
      <c r="Q19" s="142"/>
    </row>
    <row r="20" spans="1:17" s="2" customFormat="1" ht="12.75" customHeight="1">
      <c r="A20" s="4">
        <v>501</v>
      </c>
      <c r="B20" s="2">
        <v>4</v>
      </c>
      <c r="C20" s="110" t="s">
        <v>732</v>
      </c>
      <c r="D20" s="268"/>
      <c r="E20" s="276"/>
      <c r="F20" s="112">
        <f>VLOOKUP(C20,Bolts!A:L,5,0)</f>
        <v>0</v>
      </c>
      <c r="G20" s="112">
        <f>VLOOKUP(C20,Bolts!A:L,6,0)</f>
        <v>0</v>
      </c>
      <c r="H20" s="112">
        <f>VLOOKUP(C20,Bolts!A:L,7,0)</f>
        <v>0</v>
      </c>
      <c r="I20" s="112"/>
      <c r="J20" s="44">
        <f>VLOOKUP(C20,Bolts!A:L,8,0)</f>
        <v>0</v>
      </c>
      <c r="K20" s="44">
        <f>VLOOKUP(C20,Bolts!A:L,9,0)</f>
        <v>0</v>
      </c>
      <c r="L20" s="44">
        <f>VLOOKUP(C20,Bolts!A:L,10,0)</f>
        <v>0</v>
      </c>
      <c r="M20" s="44">
        <f>VLOOKUP(C20,Bolts!A:L,11,0)</f>
        <v>0</v>
      </c>
      <c r="N20" s="45">
        <f>VLOOKUP(C20,Bolts!A:L,12,0)</f>
        <v>0</v>
      </c>
      <c r="O20" s="45" t="e">
        <f t="shared" ca="1" si="2"/>
        <v>#VALUE!</v>
      </c>
      <c r="P20" s="49">
        <f>IFERROR(VLOOKUP(C20,Bolts!A:B,2,FALSE),"")</f>
        <v>0</v>
      </c>
      <c r="Q20" s="50">
        <f t="shared" ref="Q20:Q24" si="5">IFERROR(B20*P20,"")</f>
        <v>0</v>
      </c>
    </row>
    <row r="21" spans="1:17" s="2" customFormat="1" ht="12.75" customHeight="1">
      <c r="A21" s="4">
        <f>A20+1</f>
        <v>502</v>
      </c>
      <c r="B21" s="2">
        <v>3</v>
      </c>
      <c r="C21" s="110" t="s">
        <v>454</v>
      </c>
      <c r="D21" s="164"/>
      <c r="E21" s="165"/>
      <c r="F21" s="112"/>
      <c r="G21" s="112" t="str">
        <f>VLOOKUP(C21,Bolts!A:L,6,0)</f>
        <v>Monroe Fasteners</v>
      </c>
      <c r="H21" s="112" t="str">
        <f>VLOOKUP(C21,Bolts!A:L,7,0)</f>
        <v xml:space="preserve">  </v>
      </c>
      <c r="I21" s="112"/>
      <c r="J21" s="44" t="str">
        <f>VLOOKUP(C21,Bolts!A:L,8,0)</f>
        <v xml:space="preserve"> </v>
      </c>
      <c r="K21" s="44" t="str">
        <f>VLOOKUP(C21,Bolts!A:L,9,0)</f>
        <v xml:space="preserve"> </v>
      </c>
      <c r="L21" s="44" t="str">
        <f>VLOOKUP(C21,Bolts!A:L,10,0)</f>
        <v xml:space="preserve"> </v>
      </c>
      <c r="M21" s="44" t="str">
        <f>VLOOKUP(C21,Bolts!A:L,11,0)</f>
        <v xml:space="preserve"> </v>
      </c>
      <c r="N21" s="45" t="str">
        <f>VLOOKUP(C21,Bolts!A:L,12,0)</f>
        <v xml:space="preserve"> </v>
      </c>
      <c r="O21" s="45"/>
      <c r="P21" s="49"/>
      <c r="Q21" s="50"/>
    </row>
    <row r="22" spans="1:17" s="2" customFormat="1" ht="12.75" customHeight="1">
      <c r="A22" s="4">
        <f t="shared" ref="A22:A27" si="6">A21+1</f>
        <v>503</v>
      </c>
      <c r="B22" s="2">
        <v>2</v>
      </c>
      <c r="C22" s="110" t="s">
        <v>453</v>
      </c>
      <c r="D22" s="164"/>
      <c r="E22" s="165"/>
      <c r="F22" s="112"/>
      <c r="G22" s="112" t="str">
        <f>VLOOKUP(C22,Bolts!A:L,6,0)</f>
        <v>Monroe Fasteners</v>
      </c>
      <c r="H22" s="112" t="str">
        <f>VLOOKUP(C22,Bolts!A:L,7,0)</f>
        <v xml:space="preserve">  </v>
      </c>
      <c r="I22" s="112"/>
      <c r="J22" s="44" t="str">
        <f>VLOOKUP(C22,Bolts!A:L,8,0)</f>
        <v xml:space="preserve"> </v>
      </c>
      <c r="K22" s="44" t="str">
        <f>VLOOKUP(C22,Bolts!A:L,9,0)</f>
        <v xml:space="preserve"> </v>
      </c>
      <c r="L22" s="44" t="str">
        <f>VLOOKUP(C22,Bolts!A:L,10,0)</f>
        <v xml:space="preserve"> </v>
      </c>
      <c r="M22" s="44" t="str">
        <f>VLOOKUP(C22,Bolts!A:L,11,0)</f>
        <v xml:space="preserve"> </v>
      </c>
      <c r="N22" s="45" t="str">
        <f>VLOOKUP(C22,Bolts!A:L,12,0)</f>
        <v xml:space="preserve"> </v>
      </c>
      <c r="O22" s="45"/>
      <c r="P22" s="49"/>
      <c r="Q22" s="50"/>
    </row>
    <row r="23" spans="1:17" s="2" customFormat="1" ht="12.75" customHeight="1">
      <c r="A23" s="4">
        <f t="shared" si="6"/>
        <v>504</v>
      </c>
      <c r="B23" s="2">
        <v>2</v>
      </c>
      <c r="C23" s="110" t="s">
        <v>278</v>
      </c>
      <c r="D23" s="268"/>
      <c r="E23" s="276"/>
      <c r="F23" s="112" t="str">
        <f>VLOOKUP(C23,Bolts!A:L,5,0)</f>
        <v xml:space="preserve">  </v>
      </c>
      <c r="G23" s="112" t="str">
        <f>VLOOKUP(C23,Bolts!A:L,6,0)</f>
        <v>Monroe Fasteners</v>
      </c>
      <c r="H23" s="112" t="str">
        <f>VLOOKUP(C23,Bolts!A:L,7,0)</f>
        <v xml:space="preserve">  </v>
      </c>
      <c r="I23" s="112"/>
      <c r="J23" s="44" t="str">
        <f>VLOOKUP(C23,Bolts!A:L,8,0)</f>
        <v xml:space="preserve"> </v>
      </c>
      <c r="K23" s="44" t="str">
        <f>VLOOKUP(C23,Bolts!A:L,9,0)</f>
        <v xml:space="preserve"> </v>
      </c>
      <c r="L23" s="44" t="str">
        <f>VLOOKUP(C23,Bolts!A:L,10,0)</f>
        <v xml:space="preserve"> </v>
      </c>
      <c r="M23" s="44" t="str">
        <f>VLOOKUP(C23,Bolts!A:L,11,0)</f>
        <v xml:space="preserve"> </v>
      </c>
      <c r="N23" s="45" t="str">
        <f>VLOOKUP(C23,Bolts!A:L,12,0)</f>
        <v xml:space="preserve"> </v>
      </c>
      <c r="O23" s="45" t="e">
        <f t="shared" ca="1" si="2"/>
        <v>#VALUE!</v>
      </c>
      <c r="P23" s="49" t="str">
        <f>IFERROR(VLOOKUP(C23,Bolts!A:B,2,FALSE),"")</f>
        <v xml:space="preserve"> </v>
      </c>
      <c r="Q23" s="50" t="str">
        <f t="shared" si="5"/>
        <v/>
      </c>
    </row>
    <row r="24" spans="1:17" s="2" customFormat="1" ht="12.75" customHeight="1">
      <c r="A24" s="4">
        <f t="shared" si="6"/>
        <v>505</v>
      </c>
      <c r="B24" s="2">
        <v>2</v>
      </c>
      <c r="C24" s="110" t="s">
        <v>1272</v>
      </c>
      <c r="D24" s="268"/>
      <c r="E24" s="276"/>
      <c r="F24" s="112" t="str">
        <f>VLOOKUP(C24,Bolts!A:L,5,0)</f>
        <v xml:space="preserve">  </v>
      </c>
      <c r="G24" s="112" t="str">
        <f>VLOOKUP(C24,Bolts!A:L,6,0)</f>
        <v>Monroe Fasteners</v>
      </c>
      <c r="H24" s="112" t="str">
        <f>VLOOKUP(C24,Bolts!A:L,7,0)</f>
        <v xml:space="preserve">  </v>
      </c>
      <c r="I24" s="112"/>
      <c r="J24" s="44" t="str">
        <f>VLOOKUP(C24,Bolts!A:L,8,0)</f>
        <v xml:space="preserve"> </v>
      </c>
      <c r="K24" s="44" t="str">
        <f>VLOOKUP(C24,Bolts!A:L,9,0)</f>
        <v xml:space="preserve"> </v>
      </c>
      <c r="L24" s="44" t="str">
        <f>VLOOKUP(C24,Bolts!A:L,10,0)</f>
        <v xml:space="preserve"> </v>
      </c>
      <c r="M24" s="44" t="str">
        <f>VLOOKUP(C24,Bolts!A:L,11,0)</f>
        <v xml:space="preserve"> </v>
      </c>
      <c r="N24" s="45" t="str">
        <f>VLOOKUP(C24,Bolts!A:L,12,0)</f>
        <v xml:space="preserve"> </v>
      </c>
      <c r="O24" s="45" t="e">
        <f t="shared" ca="1" si="2"/>
        <v>#VALUE!</v>
      </c>
      <c r="P24" s="49" t="str">
        <f>IFERROR(VLOOKUP(C24,Bolts!A:B,2,FALSE),"")</f>
        <v xml:space="preserve"> </v>
      </c>
      <c r="Q24" s="50" t="str">
        <f t="shared" si="5"/>
        <v/>
      </c>
    </row>
    <row r="25" spans="1:17" s="2" customFormat="1" ht="12.75" customHeight="1">
      <c r="A25" s="4">
        <f t="shared" si="6"/>
        <v>506</v>
      </c>
      <c r="B25" s="2">
        <v>2</v>
      </c>
      <c r="C25" s="110" t="s">
        <v>595</v>
      </c>
      <c r="D25" s="268"/>
      <c r="E25" s="276"/>
      <c r="F25" s="112" t="str">
        <f>VLOOKUP(C25,Bolts!A:L,5,0)</f>
        <v xml:space="preserve">  </v>
      </c>
      <c r="G25" s="112" t="str">
        <f>VLOOKUP(C25,Bolts!A:L,6,0)</f>
        <v>Monroe Fasteners</v>
      </c>
      <c r="H25" s="112" t="str">
        <f>VLOOKUP(C25,Bolts!A:L,7,0)</f>
        <v xml:space="preserve">  </v>
      </c>
      <c r="I25" s="112"/>
      <c r="J25" s="44" t="str">
        <f>VLOOKUP(C25,Bolts!A:L,8,0)</f>
        <v xml:space="preserve"> </v>
      </c>
      <c r="K25" s="44" t="str">
        <f>VLOOKUP(C25,Bolts!A:L,9,0)</f>
        <v xml:space="preserve"> </v>
      </c>
      <c r="L25" s="44" t="str">
        <f>VLOOKUP(C25,Bolts!A:L,10,0)</f>
        <v xml:space="preserve"> </v>
      </c>
      <c r="M25" s="44" t="str">
        <f>VLOOKUP(C25,Bolts!A:L,11,0)</f>
        <v xml:space="preserve"> </v>
      </c>
      <c r="N25" s="45" t="str">
        <f>VLOOKUP(C25,Bolts!A:L,12,0)</f>
        <v xml:space="preserve"> </v>
      </c>
      <c r="O25" s="45" t="e">
        <f t="shared" ref="O25:O26" ca="1" si="7">B25*$L$2</f>
        <v>#VALUE!</v>
      </c>
      <c r="P25" s="49" t="str">
        <f>IFERROR(VLOOKUP(C25,Bolts!A:B,2,FALSE),"")</f>
        <v xml:space="preserve"> </v>
      </c>
      <c r="Q25" s="50" t="str">
        <f t="shared" ref="Q25:Q26" si="8">IFERROR(B25*P25,"")</f>
        <v/>
      </c>
    </row>
    <row r="26" spans="1:17" s="2" customFormat="1" ht="12.75" customHeight="1">
      <c r="A26" s="4">
        <f t="shared" si="6"/>
        <v>507</v>
      </c>
      <c r="B26" s="2">
        <v>2</v>
      </c>
      <c r="C26" s="110" t="s">
        <v>289</v>
      </c>
      <c r="D26" s="268"/>
      <c r="E26" s="276"/>
      <c r="F26" s="112" t="str">
        <f>VLOOKUP(C26,Bolts!A:L,5,0)</f>
        <v xml:space="preserve">  </v>
      </c>
      <c r="G26" s="112" t="str">
        <f>VLOOKUP(C26,Bolts!A:L,6,0)</f>
        <v>Monroe Fasteners</v>
      </c>
      <c r="H26" s="112" t="str">
        <f>VLOOKUP(C26,Bolts!A:L,7,0)</f>
        <v xml:space="preserve">  </v>
      </c>
      <c r="I26" s="112"/>
      <c r="J26" s="44" t="str">
        <f>VLOOKUP(C26,Bolts!A:L,8,0)</f>
        <v xml:space="preserve"> </v>
      </c>
      <c r="K26" s="44" t="str">
        <f>VLOOKUP(C26,Bolts!A:L,9,0)</f>
        <v xml:space="preserve"> </v>
      </c>
      <c r="L26" s="44" t="str">
        <f>VLOOKUP(C26,Bolts!A:L,10,0)</f>
        <v xml:space="preserve"> </v>
      </c>
      <c r="M26" s="44" t="str">
        <f>VLOOKUP(C26,Bolts!A:L,11,0)</f>
        <v xml:space="preserve"> </v>
      </c>
      <c r="N26" s="45" t="str">
        <f>VLOOKUP(C26,Bolts!A:L,12,0)</f>
        <v xml:space="preserve"> </v>
      </c>
      <c r="O26" s="45" t="e">
        <f t="shared" ca="1" si="7"/>
        <v>#VALUE!</v>
      </c>
      <c r="P26" s="49" t="str">
        <f>IFERROR(VLOOKUP(C26,Bolts!A:B,2,FALSE),"")</f>
        <v xml:space="preserve"> </v>
      </c>
      <c r="Q26" s="50" t="str">
        <f t="shared" si="8"/>
        <v/>
      </c>
    </row>
    <row r="27" spans="1:17" s="2" customFormat="1" ht="12.75" customHeight="1" thickBot="1">
      <c r="A27" s="4">
        <f t="shared" si="6"/>
        <v>508</v>
      </c>
      <c r="B27" s="2">
        <v>6</v>
      </c>
      <c r="C27" s="110" t="s">
        <v>1302</v>
      </c>
      <c r="D27" s="268"/>
      <c r="E27" s="276"/>
      <c r="F27" s="112">
        <f>VLOOKUP(C27,Bolts!A:L,5,0)</f>
        <v>0</v>
      </c>
      <c r="G27" s="112">
        <f>VLOOKUP(C27,Bolts!A:L,6,0)</f>
        <v>0</v>
      </c>
      <c r="H27" s="112">
        <f>VLOOKUP(C27,Bolts!A:L,7,0)</f>
        <v>0</v>
      </c>
      <c r="I27" s="112"/>
      <c r="J27" s="44">
        <f>VLOOKUP(C27,Bolts!A:L,8,0)</f>
        <v>0</v>
      </c>
      <c r="K27" s="44">
        <f>VLOOKUP(C27,Bolts!A:L,9,0)</f>
        <v>0</v>
      </c>
      <c r="L27" s="44">
        <f>VLOOKUP(C27,Bolts!A:L,10,0)</f>
        <v>0</v>
      </c>
      <c r="M27" s="44">
        <f>VLOOKUP(C27,Bolts!A:L,11,0)</f>
        <v>0</v>
      </c>
      <c r="N27" s="45">
        <f>VLOOKUP(C27,Bolts!A:L,12,0)</f>
        <v>0</v>
      </c>
      <c r="O27" s="45" t="e">
        <f t="shared" ref="O27" ca="1" si="9">B27*$L$2</f>
        <v>#VALUE!</v>
      </c>
      <c r="P27" s="49">
        <f>IFERROR(VLOOKUP(C27,Bolts!A:B,2,FALSE),"")</f>
        <v>0</v>
      </c>
      <c r="Q27" s="50">
        <f t="shared" ref="Q27" si="10">IFERROR(B27*P27,"")</f>
        <v>0</v>
      </c>
    </row>
    <row r="28" spans="1:17" s="2" customFormat="1" ht="12.75" customHeight="1" thickBot="1">
      <c r="A28" s="34"/>
      <c r="B28" s="35"/>
      <c r="C28" s="35"/>
      <c r="D28" s="256"/>
      <c r="E28" s="257"/>
      <c r="F28" s="35"/>
      <c r="G28" s="35"/>
      <c r="H28" s="294"/>
      <c r="I28" s="295"/>
      <c r="J28" s="36"/>
      <c r="K28" s="36"/>
      <c r="L28" s="36"/>
      <c r="M28" s="37"/>
      <c r="N28" s="38"/>
      <c r="O28" s="38"/>
      <c r="P28" s="89" t="s">
        <v>43</v>
      </c>
      <c r="Q28" s="94">
        <f>SUM(Q5:Q25)</f>
        <v>315.58000000000004</v>
      </c>
    </row>
    <row r="29" spans="1:17" s="2" customFormat="1" ht="12" customHeight="1">
      <c r="D29" s="22"/>
      <c r="E29" s="22"/>
      <c r="J29" s="8"/>
      <c r="K29" s="8"/>
      <c r="L29" s="8"/>
      <c r="M29" s="8"/>
      <c r="N29" s="5"/>
      <c r="O29" s="5"/>
      <c r="P29" s="88"/>
      <c r="Q29" s="95"/>
    </row>
    <row r="30" spans="1:17" s="2" customFormat="1" ht="12" customHeight="1">
      <c r="D30" s="22"/>
      <c r="E30" s="22"/>
      <c r="J30" s="5"/>
      <c r="K30" s="5"/>
      <c r="L30" s="5"/>
      <c r="M30" s="5"/>
      <c r="N30" s="5"/>
      <c r="O30" s="5"/>
      <c r="P30" s="88"/>
      <c r="Q30" s="95"/>
    </row>
    <row r="31" spans="1:17" s="2" customFormat="1" ht="12" customHeight="1">
      <c r="D31" s="22"/>
      <c r="E31" s="22"/>
      <c r="J31" s="5"/>
      <c r="K31" s="5"/>
      <c r="L31" s="5"/>
      <c r="M31" s="5"/>
      <c r="N31" s="5"/>
      <c r="O31" s="5"/>
      <c r="P31" s="88"/>
      <c r="Q31" s="95"/>
    </row>
    <row r="32" spans="1:17" s="2" customFormat="1" ht="12" customHeight="1">
      <c r="D32" s="22"/>
      <c r="E32" s="22"/>
      <c r="J32" s="5"/>
      <c r="K32" s="5"/>
      <c r="L32" s="5"/>
      <c r="M32" s="5"/>
      <c r="N32" s="5"/>
      <c r="O32" s="5"/>
      <c r="P32" s="88"/>
      <c r="Q32" s="95"/>
    </row>
    <row r="33" spans="4:17" s="2" customFormat="1" ht="12" customHeight="1">
      <c r="D33" s="22"/>
      <c r="E33" s="22"/>
      <c r="J33" s="5"/>
      <c r="K33" s="5"/>
      <c r="L33" s="5"/>
      <c r="M33" s="5"/>
      <c r="N33" s="5"/>
      <c r="O33" s="5"/>
      <c r="P33" s="88"/>
      <c r="Q33" s="95"/>
    </row>
    <row r="34" spans="4:17" s="2" customFormat="1" ht="12" customHeight="1">
      <c r="D34" s="22"/>
      <c r="E34" s="22"/>
      <c r="J34" s="5"/>
      <c r="K34" s="5"/>
      <c r="L34" s="5"/>
      <c r="M34" s="5"/>
      <c r="N34" s="5"/>
      <c r="O34" s="5"/>
      <c r="P34" s="88"/>
      <c r="Q34" s="95"/>
    </row>
    <row r="35" spans="4:17" s="2" customFormat="1" ht="12" customHeight="1">
      <c r="D35" s="22"/>
      <c r="E35" s="22"/>
      <c r="J35" s="5"/>
      <c r="K35" s="5"/>
      <c r="L35" s="5"/>
      <c r="M35" s="5"/>
      <c r="N35" s="5"/>
      <c r="O35" s="5"/>
      <c r="P35" s="88"/>
      <c r="Q35" s="95"/>
    </row>
    <row r="36" spans="4:17" s="2" customFormat="1" ht="12" customHeight="1">
      <c r="D36" s="22"/>
      <c r="E36" s="22"/>
      <c r="J36" s="5"/>
      <c r="K36" s="5"/>
      <c r="L36" s="5"/>
      <c r="M36" s="5"/>
      <c r="N36" s="5"/>
      <c r="O36" s="5"/>
      <c r="P36" s="88"/>
      <c r="Q36" s="95"/>
    </row>
    <row r="37" spans="4:17" s="2" customFormat="1" ht="12" customHeight="1">
      <c r="D37" s="22"/>
      <c r="E37" s="22"/>
      <c r="J37" s="5"/>
      <c r="K37" s="5"/>
      <c r="L37" s="5"/>
      <c r="M37" s="5"/>
      <c r="N37" s="5"/>
      <c r="O37" s="5"/>
      <c r="P37" s="88"/>
      <c r="Q37" s="95"/>
    </row>
    <row r="38" spans="4:17" s="2" customFormat="1" ht="12" customHeight="1">
      <c r="D38" s="22"/>
      <c r="E38" s="22"/>
      <c r="J38" s="5"/>
      <c r="K38" s="5"/>
      <c r="L38" s="5"/>
      <c r="M38" s="5"/>
      <c r="N38" s="5"/>
      <c r="O38" s="5"/>
      <c r="P38" s="88"/>
      <c r="Q38" s="95"/>
    </row>
    <row r="39" spans="4:17" s="2" customFormat="1" ht="12" customHeight="1">
      <c r="D39" s="22"/>
      <c r="E39" s="22"/>
      <c r="J39" s="5"/>
      <c r="K39" s="5"/>
      <c r="L39" s="5"/>
      <c r="M39" s="5"/>
      <c r="N39" s="5"/>
      <c r="O39" s="5"/>
      <c r="P39" s="88"/>
      <c r="Q39" s="95"/>
    </row>
    <row r="40" spans="4:17" s="2" customFormat="1" ht="12" customHeight="1">
      <c r="D40" s="22"/>
      <c r="E40" s="22"/>
      <c r="J40" s="5"/>
      <c r="K40" s="5"/>
      <c r="L40" s="5"/>
      <c r="M40" s="5"/>
      <c r="N40" s="5"/>
      <c r="O40" s="5"/>
      <c r="P40" s="88"/>
      <c r="Q40" s="95"/>
    </row>
    <row r="41" spans="4:17" s="2" customFormat="1" ht="12" customHeight="1">
      <c r="D41" s="22"/>
      <c r="E41" s="22"/>
      <c r="J41" s="5"/>
      <c r="K41" s="5"/>
      <c r="L41" s="5"/>
      <c r="M41" s="5"/>
      <c r="N41" s="5"/>
      <c r="O41" s="5"/>
      <c r="P41" s="88"/>
      <c r="Q41" s="95"/>
    </row>
    <row r="42" spans="4:17" s="2" customFormat="1" ht="12" customHeight="1">
      <c r="D42" s="22"/>
      <c r="E42" s="22"/>
      <c r="J42" s="5"/>
      <c r="K42" s="5"/>
      <c r="L42" s="5"/>
      <c r="M42" s="5"/>
      <c r="N42" s="5"/>
      <c r="O42" s="5"/>
      <c r="P42" s="88"/>
      <c r="Q42" s="95"/>
    </row>
    <row r="43" spans="4:17" s="2" customFormat="1" ht="12" customHeight="1">
      <c r="D43" s="22"/>
      <c r="E43" s="22"/>
      <c r="J43" s="5"/>
      <c r="K43" s="5"/>
      <c r="L43" s="5"/>
      <c r="M43" s="5"/>
      <c r="N43" s="5"/>
      <c r="O43" s="5"/>
      <c r="P43" s="88"/>
      <c r="Q43" s="95"/>
    </row>
    <row r="44" spans="4:17" s="2" customFormat="1" ht="12" customHeight="1">
      <c r="D44" s="22"/>
      <c r="E44" s="22"/>
      <c r="J44" s="5"/>
      <c r="K44" s="5"/>
      <c r="L44" s="5"/>
      <c r="M44" s="5"/>
      <c r="N44" s="5"/>
      <c r="O44" s="5"/>
      <c r="P44" s="88"/>
      <c r="Q44" s="95"/>
    </row>
    <row r="45" spans="4:17" s="2" customFormat="1" ht="12" customHeight="1">
      <c r="D45" s="22"/>
      <c r="E45" s="22"/>
      <c r="J45" s="5"/>
      <c r="K45" s="5"/>
      <c r="L45" s="5"/>
      <c r="M45" s="5"/>
      <c r="N45" s="5"/>
      <c r="O45" s="5"/>
      <c r="P45" s="88"/>
      <c r="Q45" s="95"/>
    </row>
    <row r="46" spans="4:17" s="2" customFormat="1" ht="12" customHeight="1">
      <c r="D46" s="22"/>
      <c r="E46" s="22"/>
      <c r="J46" s="5"/>
      <c r="K46" s="5"/>
      <c r="L46" s="5"/>
      <c r="M46" s="5"/>
      <c r="N46" s="5"/>
      <c r="O46" s="5"/>
      <c r="P46" s="88"/>
      <c r="Q46" s="95"/>
    </row>
    <row r="47" spans="4:17" s="2" customFormat="1" ht="12" customHeight="1">
      <c r="D47" s="22"/>
      <c r="E47" s="22"/>
      <c r="J47" s="5"/>
      <c r="K47" s="5"/>
      <c r="L47" s="5"/>
      <c r="M47" s="5"/>
      <c r="N47" s="5"/>
      <c r="O47" s="5"/>
      <c r="P47" s="88"/>
      <c r="Q47" s="95"/>
    </row>
    <row r="48" spans="4:17" s="2" customFormat="1" ht="12" customHeight="1">
      <c r="D48" s="22"/>
      <c r="E48" s="22"/>
      <c r="J48" s="5"/>
      <c r="K48" s="5"/>
      <c r="L48" s="5"/>
      <c r="M48" s="5"/>
      <c r="N48" s="5"/>
      <c r="O48" s="5"/>
      <c r="P48" s="88"/>
      <c r="Q48" s="95"/>
    </row>
    <row r="49" spans="4:17" s="2" customFormat="1" ht="12" customHeight="1">
      <c r="D49" s="22"/>
      <c r="E49" s="22"/>
      <c r="J49" s="5"/>
      <c r="K49" s="5"/>
      <c r="L49" s="5"/>
      <c r="M49" s="5"/>
      <c r="N49" s="5"/>
      <c r="O49" s="5"/>
      <c r="P49" s="88"/>
      <c r="Q49" s="95"/>
    </row>
    <row r="50" spans="4:17" s="2" customFormat="1" ht="12" customHeight="1">
      <c r="D50" s="22"/>
      <c r="E50" s="22"/>
      <c r="J50" s="5"/>
      <c r="K50" s="5"/>
      <c r="L50" s="5"/>
      <c r="M50" s="5"/>
      <c r="N50" s="5"/>
      <c r="O50" s="5"/>
      <c r="P50" s="88"/>
      <c r="Q50" s="95"/>
    </row>
    <row r="51" spans="4:17" s="2" customFormat="1" ht="12" customHeight="1">
      <c r="D51" s="22"/>
      <c r="E51" s="22"/>
      <c r="J51" s="5"/>
      <c r="K51" s="5"/>
      <c r="L51" s="5"/>
      <c r="M51" s="5"/>
      <c r="N51" s="5"/>
      <c r="O51" s="5"/>
      <c r="P51" s="88"/>
      <c r="Q51" s="95"/>
    </row>
    <row r="52" spans="4:17" s="2" customFormat="1" ht="12" customHeight="1">
      <c r="D52" s="22"/>
      <c r="E52" s="22"/>
      <c r="J52" s="5"/>
      <c r="K52" s="5"/>
      <c r="L52" s="5"/>
      <c r="M52" s="5"/>
      <c r="N52" s="5"/>
      <c r="O52" s="5"/>
      <c r="P52" s="88"/>
      <c r="Q52" s="95"/>
    </row>
    <row r="53" spans="4:17" s="2" customFormat="1" ht="12" customHeight="1">
      <c r="D53" s="22"/>
      <c r="E53" s="22"/>
      <c r="J53" s="5"/>
      <c r="K53" s="5"/>
      <c r="L53" s="5"/>
      <c r="M53" s="5"/>
      <c r="N53" s="5"/>
      <c r="O53" s="5"/>
      <c r="P53" s="88"/>
      <c r="Q53" s="95"/>
    </row>
    <row r="54" spans="4:17" s="2" customFormat="1" ht="12" customHeight="1">
      <c r="D54" s="22"/>
      <c r="E54" s="22"/>
      <c r="J54" s="5"/>
      <c r="K54" s="5"/>
      <c r="L54" s="5"/>
      <c r="M54" s="5"/>
      <c r="N54" s="5"/>
      <c r="O54" s="5"/>
      <c r="P54" s="88"/>
      <c r="Q54" s="95"/>
    </row>
    <row r="55" spans="4:17" s="2" customFormat="1" ht="12" customHeight="1">
      <c r="D55" s="22"/>
      <c r="E55" s="22"/>
      <c r="J55" s="5"/>
      <c r="K55" s="5"/>
      <c r="L55" s="5"/>
      <c r="M55" s="5"/>
      <c r="N55" s="5"/>
      <c r="O55" s="5"/>
      <c r="P55" s="88"/>
      <c r="Q55" s="95"/>
    </row>
    <row r="56" spans="4:17" s="2" customFormat="1" ht="12" customHeight="1">
      <c r="D56" s="22"/>
      <c r="E56" s="22"/>
      <c r="J56" s="5"/>
      <c r="K56" s="5"/>
      <c r="L56" s="5"/>
      <c r="M56" s="5"/>
      <c r="N56" s="5"/>
      <c r="O56" s="5"/>
      <c r="P56" s="88"/>
      <c r="Q56" s="95"/>
    </row>
    <row r="57" spans="4:17" s="2" customFormat="1" ht="12" customHeight="1">
      <c r="D57" s="22"/>
      <c r="E57" s="22"/>
      <c r="J57" s="5"/>
      <c r="K57" s="5"/>
      <c r="L57" s="5"/>
      <c r="M57" s="5"/>
      <c r="N57" s="5"/>
      <c r="O57" s="5"/>
      <c r="P57" s="88"/>
      <c r="Q57" s="95"/>
    </row>
    <row r="58" spans="4:17" s="2" customFormat="1" ht="12" customHeight="1">
      <c r="D58" s="22"/>
      <c r="E58" s="22"/>
      <c r="J58" s="5"/>
      <c r="K58" s="5"/>
      <c r="L58" s="5"/>
      <c r="M58" s="5"/>
      <c r="N58" s="5"/>
      <c r="O58" s="5"/>
      <c r="P58" s="88"/>
      <c r="Q58" s="95"/>
    </row>
    <row r="59" spans="4:17" s="2" customFormat="1" ht="12" customHeight="1">
      <c r="D59" s="22"/>
      <c r="E59" s="22"/>
      <c r="J59" s="5"/>
      <c r="K59" s="5"/>
      <c r="L59" s="5"/>
      <c r="M59" s="5"/>
      <c r="N59" s="5"/>
      <c r="O59" s="5"/>
      <c r="P59" s="88"/>
      <c r="Q59" s="95"/>
    </row>
    <row r="60" spans="4:17" s="2" customFormat="1" ht="12" customHeight="1">
      <c r="D60" s="22"/>
      <c r="E60" s="22"/>
      <c r="J60" s="5"/>
      <c r="K60" s="5"/>
      <c r="L60" s="5"/>
      <c r="M60" s="5"/>
      <c r="N60" s="5"/>
      <c r="O60" s="5"/>
      <c r="P60" s="88"/>
      <c r="Q60" s="95"/>
    </row>
    <row r="61" spans="4:17" s="2" customFormat="1" ht="12" customHeight="1">
      <c r="D61" s="22"/>
      <c r="E61" s="22"/>
      <c r="J61" s="5"/>
      <c r="K61" s="5"/>
      <c r="L61" s="5"/>
      <c r="M61" s="5"/>
      <c r="N61" s="5"/>
      <c r="O61" s="5"/>
      <c r="P61" s="88"/>
      <c r="Q61" s="95"/>
    </row>
    <row r="62" spans="4:17" s="2" customFormat="1" ht="12" customHeight="1">
      <c r="D62" s="22"/>
      <c r="E62" s="22"/>
      <c r="J62" s="5"/>
      <c r="K62" s="5"/>
      <c r="L62" s="5"/>
      <c r="M62" s="5"/>
      <c r="N62" s="5"/>
      <c r="O62" s="5"/>
      <c r="P62" s="88"/>
      <c r="Q62" s="95"/>
    </row>
    <row r="63" spans="4:17" s="2" customFormat="1" ht="12" customHeight="1">
      <c r="D63" s="22"/>
      <c r="E63" s="22"/>
      <c r="J63" s="5"/>
      <c r="K63" s="5"/>
      <c r="L63" s="5"/>
      <c r="M63" s="5"/>
      <c r="N63" s="5"/>
      <c r="O63" s="5"/>
      <c r="P63" s="88"/>
      <c r="Q63" s="95"/>
    </row>
    <row r="64" spans="4:17" s="2" customFormat="1" ht="12" customHeight="1">
      <c r="D64" s="22"/>
      <c r="E64" s="22"/>
      <c r="J64" s="5"/>
      <c r="K64" s="5"/>
      <c r="L64" s="5"/>
      <c r="M64" s="5"/>
      <c r="N64" s="5"/>
      <c r="O64" s="5"/>
      <c r="P64" s="88"/>
      <c r="Q64" s="95"/>
    </row>
    <row r="65" spans="1:17" s="2" customFormat="1" ht="12" customHeight="1">
      <c r="D65" s="22"/>
      <c r="E65" s="22"/>
      <c r="J65" s="5"/>
      <c r="K65" s="5"/>
      <c r="L65" s="5"/>
      <c r="M65" s="5"/>
      <c r="N65" s="5"/>
      <c r="O65" s="5"/>
      <c r="P65" s="88"/>
      <c r="Q65" s="95"/>
    </row>
    <row r="66" spans="1:17" s="2" customFormat="1" ht="12" customHeight="1">
      <c r="D66" s="22"/>
      <c r="E66" s="22"/>
      <c r="J66" s="5"/>
      <c r="K66" s="5"/>
      <c r="L66" s="5"/>
      <c r="M66" s="5"/>
      <c r="N66" s="5"/>
      <c r="O66" s="5"/>
      <c r="P66" s="88"/>
      <c r="Q66" s="95"/>
    </row>
    <row r="67" spans="1:17" s="2" customFormat="1" ht="12" customHeight="1">
      <c r="D67" s="22"/>
      <c r="E67" s="22"/>
      <c r="J67" s="5"/>
      <c r="K67" s="5"/>
      <c r="L67" s="5"/>
      <c r="M67" s="5"/>
      <c r="N67" s="5"/>
      <c r="O67" s="5"/>
      <c r="P67" s="88"/>
      <c r="Q67" s="96"/>
    </row>
    <row r="68" spans="1:17" s="2" customFormat="1" ht="12" customHeight="1">
      <c r="D68" s="22"/>
      <c r="E68" s="22"/>
      <c r="J68" s="5"/>
      <c r="K68" s="5"/>
      <c r="L68" s="5"/>
      <c r="M68" s="5"/>
      <c r="N68" s="5"/>
      <c r="O68" s="5"/>
      <c r="P68" s="88"/>
      <c r="Q68" s="96"/>
    </row>
    <row r="69" spans="1:17" s="2" customFormat="1" ht="12" customHeight="1">
      <c r="D69" s="22"/>
      <c r="E69" s="22"/>
      <c r="J69" s="5"/>
      <c r="K69" s="5"/>
      <c r="L69" s="5"/>
      <c r="M69" s="5"/>
      <c r="N69" s="5"/>
      <c r="O69" s="5"/>
      <c r="P69" s="88"/>
      <c r="Q69" s="96"/>
    </row>
    <row r="70" spans="1:17" s="2" customFormat="1" ht="12" customHeight="1">
      <c r="D70" s="22"/>
      <c r="E70" s="22"/>
      <c r="J70" s="5"/>
      <c r="K70" s="5"/>
      <c r="L70" s="5"/>
      <c r="M70" s="5"/>
      <c r="N70" s="5"/>
      <c r="O70" s="5"/>
      <c r="P70" s="88"/>
      <c r="Q70" s="96"/>
    </row>
    <row r="71" spans="1:17" s="2" customFormat="1" ht="12" customHeight="1">
      <c r="A71"/>
      <c r="B71"/>
      <c r="C71"/>
      <c r="D71" s="23"/>
      <c r="E71" s="23"/>
      <c r="F71"/>
      <c r="G71"/>
      <c r="H71"/>
      <c r="I71"/>
      <c r="J71" s="19"/>
      <c r="K71" s="19"/>
      <c r="L71" s="19"/>
      <c r="M71" s="19"/>
      <c r="N71" s="19"/>
      <c r="O71" s="19"/>
      <c r="P71" s="90"/>
      <c r="Q71" s="96"/>
    </row>
    <row r="72" spans="1:17" s="2" customFormat="1" ht="12" customHeight="1">
      <c r="A72"/>
      <c r="B72"/>
      <c r="C72"/>
      <c r="D72" s="23"/>
      <c r="E72" s="23"/>
      <c r="F72"/>
      <c r="G72"/>
      <c r="H72"/>
      <c r="I72"/>
      <c r="J72" s="19"/>
      <c r="K72" s="19"/>
      <c r="L72" s="19"/>
      <c r="M72" s="19"/>
      <c r="N72" s="19"/>
      <c r="O72" s="19"/>
      <c r="P72" s="90"/>
      <c r="Q72" s="96"/>
    </row>
    <row r="73" spans="1:17" s="2" customFormat="1" ht="12" customHeight="1">
      <c r="A73"/>
      <c r="B73"/>
      <c r="C73"/>
      <c r="D73" s="23"/>
      <c r="E73" s="23"/>
      <c r="F73"/>
      <c r="G73"/>
      <c r="H73"/>
      <c r="I73"/>
      <c r="J73" s="19"/>
      <c r="K73" s="19"/>
      <c r="L73" s="19"/>
      <c r="M73" s="19"/>
      <c r="N73" s="19"/>
      <c r="O73" s="19"/>
      <c r="P73" s="90"/>
      <c r="Q73" s="96"/>
    </row>
    <row r="74" spans="1:17" s="2" customFormat="1" ht="12" customHeight="1">
      <c r="A74"/>
      <c r="B74"/>
      <c r="C74"/>
      <c r="D74" s="23"/>
      <c r="E74" s="23"/>
      <c r="F74"/>
      <c r="G74"/>
      <c r="H74"/>
      <c r="I74"/>
      <c r="J74" s="19"/>
      <c r="K74" s="19"/>
      <c r="L74" s="19"/>
      <c r="M74" s="19"/>
      <c r="N74" s="19"/>
      <c r="O74" s="19"/>
      <c r="P74" s="90"/>
      <c r="Q74" s="96"/>
    </row>
    <row r="75" spans="1:17" s="2" customFormat="1" ht="12" customHeight="1">
      <c r="A75"/>
      <c r="B75"/>
      <c r="C75"/>
      <c r="D75" s="23"/>
      <c r="E75" s="23"/>
      <c r="F75"/>
      <c r="G75"/>
      <c r="H75"/>
      <c r="I75"/>
      <c r="J75" s="19"/>
      <c r="K75" s="19"/>
      <c r="L75" s="19"/>
      <c r="M75" s="19"/>
      <c r="N75" s="19"/>
      <c r="O75" s="19"/>
      <c r="P75" s="90"/>
      <c r="Q75" s="96"/>
    </row>
    <row r="76" spans="1:17">
      <c r="Q76" s="96"/>
    </row>
    <row r="77" spans="1:17">
      <c r="Q77" s="96"/>
    </row>
    <row r="78" spans="1:17">
      <c r="Q78" s="96"/>
    </row>
    <row r="79" spans="1:17">
      <c r="Q79" s="96"/>
    </row>
    <row r="80" spans="1:17">
      <c r="Q80" s="96"/>
    </row>
    <row r="81" spans="17:17">
      <c r="Q81" s="96"/>
    </row>
    <row r="82" spans="17:17">
      <c r="Q82" s="96"/>
    </row>
    <row r="83" spans="17:17">
      <c r="Q83" s="96"/>
    </row>
    <row r="84" spans="17:17">
      <c r="Q84" s="96"/>
    </row>
    <row r="85" spans="17:17">
      <c r="Q85" s="96"/>
    </row>
    <row r="86" spans="17:17">
      <c r="Q86" s="96"/>
    </row>
    <row r="87" spans="17:17">
      <c r="Q87" s="96"/>
    </row>
    <row r="88" spans="17:17">
      <c r="Q88" s="96"/>
    </row>
    <row r="89" spans="17:17">
      <c r="Q89" s="96"/>
    </row>
    <row r="90" spans="17:17">
      <c r="Q90" s="96"/>
    </row>
    <row r="91" spans="17:17">
      <c r="Q91" s="96"/>
    </row>
    <row r="92" spans="17:17">
      <c r="Q92" s="96"/>
    </row>
    <row r="93" spans="17:17">
      <c r="Q93" s="96"/>
    </row>
    <row r="94" spans="17:17">
      <c r="Q94" s="96"/>
    </row>
    <row r="95" spans="17:17">
      <c r="Q95" s="96"/>
    </row>
    <row r="132" ht="12" customHeight="1"/>
    <row r="133" ht="12" customHeight="1"/>
    <row r="134" ht="12" customHeight="1"/>
    <row r="135" ht="12" customHeight="1"/>
    <row r="136" ht="12" customHeight="1"/>
    <row r="137" ht="12" customHeight="1"/>
    <row r="138" ht="12" customHeight="1"/>
    <row r="139" ht="12" customHeight="1"/>
    <row r="140" ht="12" customHeight="1"/>
    <row r="141" ht="12" customHeight="1"/>
    <row r="142" ht="12" customHeight="1"/>
    <row r="143" ht="12" customHeight="1"/>
    <row r="144" ht="12" customHeight="1"/>
    <row r="145" ht="12" customHeight="1"/>
    <row r="146" ht="12" customHeight="1"/>
    <row r="147" ht="12" customHeight="1"/>
    <row r="148" ht="12" customHeight="1"/>
    <row r="149" ht="12" customHeight="1"/>
    <row r="150" ht="12" customHeight="1"/>
    <row r="151" ht="12" customHeight="1"/>
    <row r="152" ht="12" customHeight="1"/>
    <row r="153" ht="12" customHeight="1"/>
    <row r="154" ht="12" customHeight="1"/>
    <row r="155" ht="12" customHeight="1"/>
    <row r="156" ht="12" customHeight="1"/>
    <row r="157" ht="12" customHeight="1"/>
    <row r="158" ht="12" customHeight="1"/>
    <row r="159" ht="12" customHeight="1"/>
    <row r="160" ht="12" customHeight="1"/>
    <row r="161" ht="12" customHeight="1"/>
    <row r="162" ht="12" customHeight="1"/>
    <row r="163" ht="12" customHeight="1"/>
    <row r="164" ht="12" customHeight="1"/>
    <row r="165" ht="12" customHeight="1"/>
    <row r="166" ht="12" customHeight="1"/>
    <row r="167" ht="12" customHeight="1"/>
    <row r="168" ht="12" customHeight="1"/>
    <row r="169" ht="12" customHeight="1"/>
    <row r="170" ht="12" customHeight="1"/>
    <row r="171" ht="12" customHeight="1"/>
    <row r="172" ht="12" customHeight="1"/>
    <row r="173" ht="12" customHeight="1"/>
    <row r="174" ht="12" customHeight="1"/>
    <row r="175" ht="12" customHeight="1"/>
    <row r="176" ht="12" customHeight="1"/>
    <row r="177" ht="12" customHeight="1"/>
    <row r="178" ht="12" customHeight="1"/>
    <row r="179" ht="12" customHeight="1"/>
    <row r="180" ht="12" customHeight="1"/>
    <row r="181" ht="12" customHeight="1"/>
  </sheetData>
  <mergeCells count="28">
    <mergeCell ref="D26:E26"/>
    <mergeCell ref="D27:E27"/>
    <mergeCell ref="H19:I19"/>
    <mergeCell ref="D20:E20"/>
    <mergeCell ref="D23:E23"/>
    <mergeCell ref="D24:E24"/>
    <mergeCell ref="D25:E25"/>
    <mergeCell ref="D15:E15"/>
    <mergeCell ref="D16:E16"/>
    <mergeCell ref="D17:E17"/>
    <mergeCell ref="D18:E18"/>
    <mergeCell ref="D19:E19"/>
    <mergeCell ref="D13:E13"/>
    <mergeCell ref="D14:E14"/>
    <mergeCell ref="H28:I28"/>
    <mergeCell ref="D28:E28"/>
    <mergeCell ref="D1:E1"/>
    <mergeCell ref="D4:E4"/>
    <mergeCell ref="D8:E8"/>
    <mergeCell ref="D9:E9"/>
    <mergeCell ref="D10:E10"/>
    <mergeCell ref="H4:I4"/>
    <mergeCell ref="D5:E5"/>
    <mergeCell ref="D6:E6"/>
    <mergeCell ref="D12:E12"/>
    <mergeCell ref="D7:E7"/>
    <mergeCell ref="D11:E11"/>
    <mergeCell ref="H12:I12"/>
  </mergeCells>
  <conditionalFormatting sqref="M5:M11 M20 M23:M27">
    <cfRule type="cellIs" dxfId="186" priority="13" stopIfTrue="1" operator="lessThanOrEqual">
      <formula>$L5</formula>
    </cfRule>
    <cfRule type="cellIs" dxfId="185" priority="14" operator="greaterThan">
      <formula>L5</formula>
    </cfRule>
  </conditionalFormatting>
  <conditionalFormatting sqref="M13:M18">
    <cfRule type="cellIs" dxfId="184" priority="5" stopIfTrue="1" operator="lessThanOrEqual">
      <formula>$L13</formula>
    </cfRule>
    <cfRule type="cellIs" dxfId="183" priority="6" operator="greaterThan">
      <formula>L13</formula>
    </cfRule>
  </conditionalFormatting>
  <conditionalFormatting sqref="M21">
    <cfRule type="cellIs" dxfId="182" priority="3" stopIfTrue="1" operator="lessThanOrEqual">
      <formula>$L21</formula>
    </cfRule>
    <cfRule type="cellIs" dxfId="181" priority="4" operator="greaterThan">
      <formula>L21</formula>
    </cfRule>
  </conditionalFormatting>
  <conditionalFormatting sqref="M22">
    <cfRule type="cellIs" dxfId="180" priority="1" stopIfTrue="1" operator="lessThanOrEqual">
      <formula>$L22</formula>
    </cfRule>
    <cfRule type="cellIs" dxfId="179" priority="2" operator="greaterThan">
      <formula>L22</formula>
    </cfRule>
  </conditionalFormatting>
  <pageMargins left="0.7" right="0.7" top="0.75" bottom="0.75" header="0.3" footer="0.3"/>
  <pageSetup paperSize="3" fitToHeight="0" orientation="landscape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49E801F-4AF9-42C7-90DE-402D5EEB63AB}">
          <x14:formula1>
            <xm:f>Bolts!$A:$A</xm:f>
          </x14:formula1>
          <xm:sqref>C20:C27</xm:sqref>
        </x14:dataValidation>
        <x14:dataValidation type="list" allowBlank="1" showInputMessage="1" showErrorMessage="1" xr:uid="{A0BD6DB1-D6F6-47B0-BC86-111F6E091AEF}">
          <x14:formula1>
            <xm:f>Purchased!$A:$A</xm:f>
          </x14:formula1>
          <xm:sqref>C13:C18</xm:sqref>
        </x14:dataValidation>
        <x14:dataValidation type="list" allowBlank="1" showInputMessage="1" showErrorMessage="1" xr:uid="{F8319693-64EB-4F9D-8E93-240C19601A15}">
          <x14:formula1>
            <xm:f>Machined!$C:$C</xm:f>
          </x14:formula1>
          <xm:sqref>C5:C11</xm:sqref>
        </x14:dataValidation>
      </x14:dataValidations>
    </ext>
  </extLst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903F6-E0E6-4E3C-BA7F-C2AEC449EA2D}">
  <sheetPr codeName="Sheet135">
    <tabColor theme="3" tint="0.39997558519241921"/>
    <pageSetUpPr fitToPage="1"/>
  </sheetPr>
  <dimension ref="A1:Q163"/>
  <sheetViews>
    <sheetView zoomScaleNormal="100" workbookViewId="0">
      <selection activeCell="J36" sqref="J36"/>
    </sheetView>
  </sheetViews>
  <sheetFormatPr defaultColWidth="9.140625" defaultRowHeight="15"/>
  <cols>
    <col min="1" max="1" width="5.7109375" customWidth="1"/>
    <col min="2" max="2" width="5.42578125" bestFit="1" customWidth="1"/>
    <col min="3" max="3" width="30.7109375" customWidth="1"/>
    <col min="4" max="5" width="20.7109375" style="23" customWidth="1"/>
    <col min="6" max="6" width="16.85546875" bestFit="1" customWidth="1"/>
    <col min="7" max="7" width="9.7109375" customWidth="1"/>
    <col min="8" max="8" width="8.7109375" customWidth="1"/>
    <col min="9" max="9" width="20.7109375" customWidth="1"/>
    <col min="10" max="13" width="11.7109375" style="19" customWidth="1"/>
    <col min="14" max="14" width="11.85546875" style="19" bestFit="1" customWidth="1"/>
    <col min="15" max="15" width="7.7109375" style="19" customWidth="1"/>
    <col min="16" max="16" width="10.7109375" style="90" customWidth="1"/>
    <col min="17" max="17" width="10.7109375" style="97" customWidth="1"/>
  </cols>
  <sheetData>
    <row r="1" spans="1:17" s="55" customFormat="1" ht="12" customHeight="1">
      <c r="A1" s="68" t="s">
        <v>0</v>
      </c>
      <c r="B1" s="69"/>
      <c r="C1" s="69"/>
      <c r="D1" s="262" t="s">
        <v>1</v>
      </c>
      <c r="E1" s="263"/>
      <c r="F1" s="70"/>
      <c r="G1" s="69"/>
      <c r="H1" s="70"/>
      <c r="I1" s="71"/>
      <c r="J1" s="72"/>
      <c r="K1" s="72"/>
      <c r="L1" s="72"/>
      <c r="M1" s="72"/>
      <c r="N1" s="72"/>
      <c r="O1" s="72"/>
      <c r="P1" s="85"/>
      <c r="Q1" s="91"/>
    </row>
    <row r="2" spans="1:17" s="55" customFormat="1" ht="12" customHeight="1">
      <c r="A2" s="74" t="s">
        <v>48</v>
      </c>
      <c r="B2" s="58"/>
      <c r="C2" s="57" t="e">
        <f ca="1">VLOOKUP(E3,Assemblies!B:F,4,0)</f>
        <v>#VALUE!</v>
      </c>
      <c r="D2" s="75" t="s">
        <v>3</v>
      </c>
      <c r="E2" s="76" t="e">
        <f ca="1">'GF12'!E2</f>
        <v>#VALUE!</v>
      </c>
      <c r="F2" s="77" t="s">
        <v>4</v>
      </c>
      <c r="G2" s="58" t="str">
        <f>'GF12'!G2</f>
        <v>GH</v>
      </c>
      <c r="H2" s="77" t="s">
        <v>6</v>
      </c>
      <c r="I2" s="59">
        <f>'GF12'!I2</f>
        <v>44775</v>
      </c>
      <c r="J2" s="39"/>
      <c r="K2" s="40" t="s">
        <v>49</v>
      </c>
      <c r="L2" s="41" t="e">
        <f ca="1">VLOOKUP(C2,Assemblies!E:G,3,0)</f>
        <v>#VALUE!</v>
      </c>
      <c r="M2" s="78"/>
      <c r="N2" s="78"/>
      <c r="O2" s="78"/>
      <c r="P2" s="86"/>
      <c r="Q2" s="92"/>
    </row>
    <row r="3" spans="1:17" s="55" customFormat="1" ht="12" customHeight="1" thickBot="1">
      <c r="A3" s="74" t="s">
        <v>7</v>
      </c>
      <c r="B3" s="58"/>
      <c r="C3" s="57" t="e">
        <f ca="1">VLOOKUP(E3,Assemblies!B:F,5,0)</f>
        <v>#VALUE!</v>
      </c>
      <c r="D3" s="75" t="s">
        <v>50</v>
      </c>
      <c r="E3" s="76" t="e">
        <f ca="1">MID(CELL("filename",A1),FIND("]",CELL("filename",A1))+1,256)</f>
        <v>#VALUE!</v>
      </c>
      <c r="F3" s="77" t="s">
        <v>11</v>
      </c>
      <c r="G3" s="58" t="str">
        <f>'GF12'!G3</f>
        <v>GH</v>
      </c>
      <c r="H3" s="77" t="s">
        <v>6</v>
      </c>
      <c r="I3" s="59">
        <f>'GF12'!I3</f>
        <v>44775</v>
      </c>
      <c r="J3" s="78"/>
      <c r="K3" s="78"/>
      <c r="L3" s="78"/>
      <c r="M3" s="78"/>
      <c r="N3" s="78"/>
      <c r="O3" s="78"/>
      <c r="P3" s="86"/>
      <c r="Q3" s="92"/>
    </row>
    <row r="4" spans="1:17" s="56" customFormat="1" ht="12.75" customHeight="1" thickBot="1">
      <c r="A4" s="80" t="s">
        <v>12</v>
      </c>
      <c r="B4" s="81" t="s">
        <v>13</v>
      </c>
      <c r="C4" s="81" t="s">
        <v>14</v>
      </c>
      <c r="D4" s="270" t="s">
        <v>15</v>
      </c>
      <c r="E4" s="271"/>
      <c r="F4" s="104" t="s">
        <v>16</v>
      </c>
      <c r="G4" s="81" t="s">
        <v>17</v>
      </c>
      <c r="H4" s="260" t="s">
        <v>18</v>
      </c>
      <c r="I4" s="261"/>
      <c r="J4" s="81" t="s">
        <v>51</v>
      </c>
      <c r="K4" s="81" t="s">
        <v>20</v>
      </c>
      <c r="L4" s="81" t="s">
        <v>21</v>
      </c>
      <c r="M4" s="81" t="s">
        <v>52</v>
      </c>
      <c r="N4" s="81" t="s">
        <v>22</v>
      </c>
      <c r="O4" s="81" t="s">
        <v>53</v>
      </c>
      <c r="P4" s="107" t="s">
        <v>26</v>
      </c>
      <c r="Q4" s="82" t="s">
        <v>27</v>
      </c>
    </row>
    <row r="5" spans="1:17" s="21" customFormat="1" ht="12.75" customHeight="1">
      <c r="A5" s="66" t="s">
        <v>54</v>
      </c>
      <c r="B5" s="1">
        <v>1</v>
      </c>
      <c r="C5" s="67" t="s">
        <v>1327</v>
      </c>
      <c r="D5" s="277" t="e">
        <f ca="1">VLOOKUP(C5,Assemblies!E:S,2,0)</f>
        <v>#N/A</v>
      </c>
      <c r="E5" s="278"/>
      <c r="F5" s="32"/>
      <c r="G5" s="32"/>
      <c r="H5" s="292"/>
      <c r="I5" s="293"/>
      <c r="J5" s="28"/>
      <c r="K5" s="28"/>
      <c r="L5" s="28"/>
      <c r="M5" s="28"/>
      <c r="N5" s="33"/>
      <c r="O5" s="46" t="e">
        <f t="shared" ref="O5:O9" ca="1" si="0">B5*$L$2</f>
        <v>#VALUE!</v>
      </c>
      <c r="P5" s="87">
        <f>'710'!Q24</f>
        <v>658.76469930000007</v>
      </c>
      <c r="Q5" s="93">
        <f t="shared" ref="Q5:Q9" si="1">B5*P5</f>
        <v>658.76469930000007</v>
      </c>
    </row>
    <row r="6" spans="1:17" s="21" customFormat="1" ht="12.75" customHeight="1">
      <c r="A6" s="66" t="s">
        <v>56</v>
      </c>
      <c r="B6" s="1">
        <v>1</v>
      </c>
      <c r="C6" s="67" t="s">
        <v>1328</v>
      </c>
      <c r="D6" s="277" t="e">
        <f ca="1">VLOOKUP(C6,Assemblies!E:S,2,0)</f>
        <v>#N/A</v>
      </c>
      <c r="E6" s="278"/>
      <c r="F6" s="32"/>
      <c r="G6" s="32"/>
      <c r="H6" s="292"/>
      <c r="I6" s="293"/>
      <c r="J6" s="28"/>
      <c r="K6" s="28"/>
      <c r="L6" s="28"/>
      <c r="M6" s="28"/>
      <c r="N6" s="33"/>
      <c r="O6" s="46" t="e">
        <f t="shared" ca="1" si="0"/>
        <v>#VALUE!</v>
      </c>
      <c r="P6" s="87">
        <f>'720'!Q17</f>
        <v>8299.3140000000003</v>
      </c>
      <c r="Q6" s="93">
        <f t="shared" si="1"/>
        <v>8299.3140000000003</v>
      </c>
    </row>
    <row r="7" spans="1:17" s="21" customFormat="1" ht="12.75" customHeight="1">
      <c r="A7" s="66" t="s">
        <v>58</v>
      </c>
      <c r="B7" s="1">
        <v>1</v>
      </c>
      <c r="C7" s="67" t="s">
        <v>1329</v>
      </c>
      <c r="D7" s="277" t="e">
        <f ca="1">VLOOKUP(C7,Assemblies!E:S,2,0)</f>
        <v>#N/A</v>
      </c>
      <c r="E7" s="278"/>
      <c r="F7" s="32"/>
      <c r="G7" s="32"/>
      <c r="H7" s="292"/>
      <c r="I7" s="293"/>
      <c r="J7" s="28"/>
      <c r="K7" s="28"/>
      <c r="L7" s="28"/>
      <c r="M7" s="28"/>
      <c r="N7" s="33"/>
      <c r="O7" s="46" t="e">
        <f t="shared" ca="1" si="0"/>
        <v>#VALUE!</v>
      </c>
      <c r="P7" s="87">
        <f>'730'!Q18</f>
        <v>408.0548</v>
      </c>
      <c r="Q7" s="93">
        <f t="shared" si="1"/>
        <v>408.0548</v>
      </c>
    </row>
    <row r="8" spans="1:17" s="21" customFormat="1" ht="12.75" customHeight="1">
      <c r="A8" s="66" t="s">
        <v>60</v>
      </c>
      <c r="B8" s="1">
        <v>4</v>
      </c>
      <c r="C8" s="67" t="s">
        <v>1330</v>
      </c>
      <c r="D8" s="277" t="e">
        <f ca="1">VLOOKUP(C8,Assemblies!E:S,2,0)</f>
        <v>#N/A</v>
      </c>
      <c r="E8" s="278"/>
      <c r="F8" s="32"/>
      <c r="G8" s="32"/>
      <c r="H8" s="292"/>
      <c r="I8" s="293"/>
      <c r="J8" s="28"/>
      <c r="K8" s="28"/>
      <c r="L8" s="28"/>
      <c r="M8" s="28"/>
      <c r="N8" s="33"/>
      <c r="O8" s="46" t="e">
        <f t="shared" ca="1" si="0"/>
        <v>#VALUE!</v>
      </c>
      <c r="P8" s="87">
        <f>'740'!Q20</f>
        <v>218.73865000000001</v>
      </c>
      <c r="Q8" s="93">
        <f t="shared" si="1"/>
        <v>874.95460000000003</v>
      </c>
    </row>
    <row r="9" spans="1:17" s="21" customFormat="1" ht="12.75" customHeight="1" thickBot="1">
      <c r="A9" s="66" t="s">
        <v>62</v>
      </c>
      <c r="B9" s="1">
        <v>1</v>
      </c>
      <c r="C9" s="67" t="s">
        <v>1331</v>
      </c>
      <c r="D9" s="277" t="e">
        <f ca="1">VLOOKUP(C9,Assemblies!E:S,2,0)</f>
        <v>#N/A</v>
      </c>
      <c r="E9" s="278"/>
      <c r="F9" s="32"/>
      <c r="G9" s="32"/>
      <c r="H9" s="292"/>
      <c r="I9" s="293"/>
      <c r="J9" s="28"/>
      <c r="K9" s="28"/>
      <c r="L9" s="28"/>
      <c r="M9" s="28"/>
      <c r="N9" s="33"/>
      <c r="O9" s="46" t="e">
        <f t="shared" ca="1" si="0"/>
        <v>#VALUE!</v>
      </c>
      <c r="P9" s="87">
        <f>'750'!Q29</f>
        <v>809.76040000000023</v>
      </c>
      <c r="Q9" s="93">
        <f t="shared" si="1"/>
        <v>809.76040000000023</v>
      </c>
    </row>
    <row r="10" spans="1:17" s="2" customFormat="1" ht="12.75" customHeight="1" thickBot="1">
      <c r="A10" s="34"/>
      <c r="B10" s="35"/>
      <c r="C10" s="35"/>
      <c r="D10" s="256"/>
      <c r="E10" s="257"/>
      <c r="F10" s="35"/>
      <c r="G10" s="35"/>
      <c r="H10" s="294"/>
      <c r="I10" s="295"/>
      <c r="J10" s="36"/>
      <c r="K10" s="36"/>
      <c r="L10" s="36"/>
      <c r="M10" s="37"/>
      <c r="N10" s="38"/>
      <c r="O10" s="38"/>
      <c r="P10" s="89" t="s">
        <v>43</v>
      </c>
      <c r="Q10" s="94">
        <f>SUM(Q5:Q9)</f>
        <v>11050.8484993</v>
      </c>
    </row>
    <row r="11" spans="1:17" s="2" customFormat="1" ht="12" customHeight="1">
      <c r="D11" s="22"/>
      <c r="E11" s="22"/>
      <c r="J11" s="8"/>
      <c r="K11" s="8"/>
      <c r="L11" s="8"/>
      <c r="M11" s="8"/>
      <c r="N11" s="5"/>
      <c r="O11" s="5"/>
      <c r="P11" s="88"/>
      <c r="Q11" s="95"/>
    </row>
    <row r="12" spans="1:17" s="2" customFormat="1" ht="12" customHeight="1">
      <c r="D12" s="22"/>
      <c r="E12" s="22"/>
      <c r="J12" s="5"/>
      <c r="K12" s="5"/>
      <c r="L12" s="5"/>
      <c r="M12" s="5"/>
      <c r="N12" s="5"/>
      <c r="O12" s="5"/>
      <c r="P12" s="88"/>
      <c r="Q12" s="95"/>
    </row>
    <row r="13" spans="1:17" s="2" customFormat="1" ht="12" customHeight="1">
      <c r="D13" s="22"/>
      <c r="E13" s="22"/>
      <c r="J13" s="5"/>
      <c r="K13" s="5"/>
      <c r="L13" s="5"/>
      <c r="M13" s="5"/>
      <c r="N13" s="5"/>
      <c r="O13" s="5"/>
      <c r="P13" s="88"/>
      <c r="Q13" s="95"/>
    </row>
    <row r="14" spans="1:17" s="2" customFormat="1" ht="12" customHeight="1">
      <c r="D14" s="22"/>
      <c r="E14" s="22"/>
      <c r="J14" s="5"/>
      <c r="K14" s="5"/>
      <c r="L14" s="5"/>
      <c r="M14" s="5"/>
      <c r="N14" s="5"/>
      <c r="O14" s="5"/>
      <c r="P14" s="88"/>
      <c r="Q14" s="95"/>
    </row>
    <row r="15" spans="1:17" s="2" customFormat="1" ht="12" customHeight="1">
      <c r="D15" s="22"/>
      <c r="E15" s="22"/>
      <c r="J15" s="5"/>
      <c r="K15" s="5"/>
      <c r="L15" s="5"/>
      <c r="M15" s="5"/>
      <c r="N15" s="5"/>
      <c r="O15" s="5"/>
      <c r="P15" s="88"/>
      <c r="Q15" s="95"/>
    </row>
    <row r="16" spans="1:17" s="2" customFormat="1" ht="12" customHeight="1">
      <c r="D16" s="22"/>
      <c r="E16" s="22"/>
      <c r="J16" s="5"/>
      <c r="K16" s="5"/>
      <c r="L16" s="5"/>
      <c r="M16" s="5"/>
      <c r="N16" s="5"/>
      <c r="O16" s="5"/>
      <c r="P16" s="88"/>
      <c r="Q16" s="95"/>
    </row>
    <row r="17" spans="4:17" s="2" customFormat="1" ht="12" customHeight="1">
      <c r="D17" s="22"/>
      <c r="E17" s="22"/>
      <c r="J17" s="5"/>
      <c r="K17" s="5"/>
      <c r="L17" s="5"/>
      <c r="M17" s="5"/>
      <c r="N17" s="5"/>
      <c r="O17" s="5"/>
      <c r="P17" s="88"/>
      <c r="Q17" s="95"/>
    </row>
    <row r="18" spans="4:17" s="2" customFormat="1" ht="12" customHeight="1">
      <c r="D18" s="22"/>
      <c r="E18" s="22"/>
      <c r="J18" s="5"/>
      <c r="K18" s="5"/>
      <c r="L18" s="5"/>
      <c r="M18" s="5"/>
      <c r="N18" s="5"/>
      <c r="O18" s="5"/>
      <c r="P18" s="88"/>
      <c r="Q18" s="95"/>
    </row>
    <row r="19" spans="4:17" s="2" customFormat="1" ht="12" customHeight="1">
      <c r="D19" s="22"/>
      <c r="E19" s="22"/>
      <c r="J19" s="5"/>
      <c r="K19" s="5"/>
      <c r="L19" s="5"/>
      <c r="M19" s="5"/>
      <c r="N19" s="5"/>
      <c r="O19" s="5"/>
      <c r="P19" s="88"/>
      <c r="Q19" s="95"/>
    </row>
    <row r="20" spans="4:17" s="2" customFormat="1" ht="12" customHeight="1">
      <c r="D20" s="22"/>
      <c r="E20" s="22"/>
      <c r="J20" s="5"/>
      <c r="K20" s="5"/>
      <c r="L20" s="5"/>
      <c r="M20" s="5"/>
      <c r="N20" s="5"/>
      <c r="O20" s="5"/>
      <c r="P20" s="88"/>
      <c r="Q20" s="95"/>
    </row>
    <row r="21" spans="4:17" s="2" customFormat="1" ht="12" customHeight="1">
      <c r="D21" s="22"/>
      <c r="E21" s="22"/>
      <c r="J21" s="5"/>
      <c r="K21" s="5"/>
      <c r="L21" s="5"/>
      <c r="M21" s="5"/>
      <c r="N21" s="5"/>
      <c r="O21" s="5"/>
      <c r="P21" s="88"/>
      <c r="Q21" s="95"/>
    </row>
    <row r="22" spans="4:17" s="2" customFormat="1" ht="12" customHeight="1">
      <c r="D22" s="22"/>
      <c r="E22" s="22"/>
      <c r="J22" s="5"/>
      <c r="K22" s="5"/>
      <c r="L22" s="5"/>
      <c r="M22" s="5"/>
      <c r="N22" s="5"/>
      <c r="O22" s="5"/>
      <c r="P22" s="88"/>
      <c r="Q22" s="95"/>
    </row>
    <row r="23" spans="4:17" s="2" customFormat="1" ht="12" customHeight="1">
      <c r="D23" s="22"/>
      <c r="E23" s="22"/>
      <c r="J23" s="5"/>
      <c r="K23" s="5"/>
      <c r="L23" s="5"/>
      <c r="M23" s="5"/>
      <c r="N23" s="5"/>
      <c r="O23" s="5"/>
      <c r="P23" s="88"/>
      <c r="Q23" s="95"/>
    </row>
    <row r="24" spans="4:17" s="2" customFormat="1" ht="12" customHeight="1">
      <c r="D24" s="22"/>
      <c r="E24" s="22"/>
      <c r="J24" s="5"/>
      <c r="K24" s="5"/>
      <c r="L24" s="5"/>
      <c r="M24" s="5"/>
      <c r="N24" s="5"/>
      <c r="O24" s="5"/>
      <c r="P24" s="88"/>
      <c r="Q24" s="95"/>
    </row>
    <row r="25" spans="4:17" s="2" customFormat="1" ht="12" customHeight="1">
      <c r="D25" s="22"/>
      <c r="E25" s="22"/>
      <c r="J25" s="5"/>
      <c r="K25" s="5"/>
      <c r="L25" s="5"/>
      <c r="M25" s="5"/>
      <c r="N25" s="5"/>
      <c r="O25" s="5"/>
      <c r="P25" s="88"/>
      <c r="Q25" s="95"/>
    </row>
    <row r="26" spans="4:17" s="2" customFormat="1" ht="12" customHeight="1">
      <c r="D26" s="22"/>
      <c r="E26" s="22"/>
      <c r="J26" s="5"/>
      <c r="K26" s="5"/>
      <c r="L26" s="5"/>
      <c r="M26" s="5"/>
      <c r="N26" s="5"/>
      <c r="O26" s="5"/>
      <c r="P26" s="88"/>
      <c r="Q26" s="95"/>
    </row>
    <row r="27" spans="4:17" s="2" customFormat="1" ht="12" customHeight="1">
      <c r="D27" s="22"/>
      <c r="E27" s="22"/>
      <c r="J27" s="5"/>
      <c r="K27" s="5"/>
      <c r="L27" s="5"/>
      <c r="M27" s="5"/>
      <c r="N27" s="5"/>
      <c r="O27" s="5"/>
      <c r="P27" s="88"/>
      <c r="Q27" s="95"/>
    </row>
    <row r="28" spans="4:17" s="2" customFormat="1" ht="12" customHeight="1">
      <c r="D28" s="22"/>
      <c r="E28" s="22"/>
      <c r="J28" s="5"/>
      <c r="K28" s="5"/>
      <c r="L28" s="5"/>
      <c r="M28" s="5"/>
      <c r="N28" s="5"/>
      <c r="O28" s="5"/>
      <c r="P28" s="88"/>
      <c r="Q28" s="95"/>
    </row>
    <row r="29" spans="4:17" s="2" customFormat="1" ht="12" customHeight="1">
      <c r="D29" s="22"/>
      <c r="E29" s="22"/>
      <c r="J29" s="5"/>
      <c r="K29" s="5"/>
      <c r="L29" s="5"/>
      <c r="M29" s="5"/>
      <c r="N29" s="5"/>
      <c r="O29" s="5"/>
      <c r="P29" s="88"/>
      <c r="Q29" s="95"/>
    </row>
    <row r="30" spans="4:17" s="2" customFormat="1" ht="12" customHeight="1">
      <c r="D30" s="22"/>
      <c r="E30" s="22"/>
      <c r="J30" s="5"/>
      <c r="K30" s="5"/>
      <c r="L30" s="5"/>
      <c r="M30" s="5"/>
      <c r="N30" s="5"/>
      <c r="O30" s="5"/>
      <c r="P30" s="88"/>
      <c r="Q30" s="95"/>
    </row>
    <row r="31" spans="4:17" s="2" customFormat="1" ht="12" customHeight="1">
      <c r="D31" s="22"/>
      <c r="E31" s="22"/>
      <c r="J31" s="5"/>
      <c r="K31" s="5"/>
      <c r="L31" s="5"/>
      <c r="M31" s="5"/>
      <c r="N31" s="5"/>
      <c r="O31" s="5"/>
      <c r="P31" s="88"/>
      <c r="Q31" s="95"/>
    </row>
    <row r="32" spans="4:17" s="2" customFormat="1" ht="12" customHeight="1">
      <c r="D32" s="22"/>
      <c r="E32" s="22"/>
      <c r="J32" s="5"/>
      <c r="K32" s="5"/>
      <c r="L32" s="5"/>
      <c r="M32" s="5"/>
      <c r="N32" s="5"/>
      <c r="O32" s="5"/>
      <c r="P32" s="88"/>
      <c r="Q32" s="95"/>
    </row>
    <row r="33" spans="4:17" s="2" customFormat="1" ht="12" customHeight="1">
      <c r="D33" s="22"/>
      <c r="E33" s="22"/>
      <c r="J33" s="5"/>
      <c r="K33" s="5"/>
      <c r="L33" s="5"/>
      <c r="M33" s="5"/>
      <c r="N33" s="5"/>
      <c r="O33" s="5"/>
      <c r="P33" s="88"/>
      <c r="Q33" s="95"/>
    </row>
    <row r="34" spans="4:17" s="2" customFormat="1" ht="12" customHeight="1">
      <c r="D34" s="22"/>
      <c r="E34" s="22"/>
      <c r="J34" s="5"/>
      <c r="K34" s="5"/>
      <c r="L34" s="5"/>
      <c r="M34" s="5"/>
      <c r="N34" s="5"/>
      <c r="O34" s="5"/>
      <c r="P34" s="88"/>
      <c r="Q34" s="95"/>
    </row>
    <row r="35" spans="4:17" s="2" customFormat="1" ht="12" customHeight="1">
      <c r="D35" s="22"/>
      <c r="E35" s="22"/>
      <c r="J35" s="5"/>
      <c r="K35" s="5"/>
      <c r="L35" s="5"/>
      <c r="M35" s="5"/>
      <c r="N35" s="5"/>
      <c r="O35" s="5"/>
      <c r="P35" s="88"/>
      <c r="Q35" s="95"/>
    </row>
    <row r="36" spans="4:17" s="2" customFormat="1" ht="12" customHeight="1">
      <c r="D36" s="22"/>
      <c r="E36" s="22"/>
      <c r="J36" s="5"/>
      <c r="K36" s="5"/>
      <c r="L36" s="5"/>
      <c r="M36" s="5"/>
      <c r="N36" s="5"/>
      <c r="O36" s="5"/>
      <c r="P36" s="88"/>
      <c r="Q36" s="95"/>
    </row>
    <row r="37" spans="4:17" s="2" customFormat="1" ht="12" customHeight="1">
      <c r="D37" s="22"/>
      <c r="E37" s="22"/>
      <c r="J37" s="5"/>
      <c r="K37" s="5"/>
      <c r="L37" s="5"/>
      <c r="M37" s="5"/>
      <c r="N37" s="5"/>
      <c r="O37" s="5"/>
      <c r="P37" s="88"/>
      <c r="Q37" s="95"/>
    </row>
    <row r="38" spans="4:17" s="2" customFormat="1" ht="12" customHeight="1">
      <c r="D38" s="22"/>
      <c r="E38" s="22"/>
      <c r="J38" s="5"/>
      <c r="K38" s="5"/>
      <c r="L38" s="5"/>
      <c r="M38" s="5"/>
      <c r="N38" s="5"/>
      <c r="O38" s="5"/>
      <c r="P38" s="88"/>
      <c r="Q38" s="95"/>
    </row>
    <row r="39" spans="4:17" s="2" customFormat="1" ht="12" customHeight="1">
      <c r="D39" s="22"/>
      <c r="E39" s="22"/>
      <c r="J39" s="5"/>
      <c r="K39" s="5"/>
      <c r="L39" s="5"/>
      <c r="M39" s="5"/>
      <c r="N39" s="5"/>
      <c r="O39" s="5"/>
      <c r="P39" s="88"/>
      <c r="Q39" s="95"/>
    </row>
    <row r="40" spans="4:17" s="2" customFormat="1" ht="12" customHeight="1">
      <c r="D40" s="22"/>
      <c r="E40" s="22"/>
      <c r="J40" s="5"/>
      <c r="K40" s="5"/>
      <c r="L40" s="5"/>
      <c r="M40" s="5"/>
      <c r="N40" s="5"/>
      <c r="O40" s="5"/>
      <c r="P40" s="88"/>
      <c r="Q40" s="95"/>
    </row>
    <row r="41" spans="4:17" s="2" customFormat="1" ht="12" customHeight="1">
      <c r="D41" s="22"/>
      <c r="E41" s="22"/>
      <c r="J41" s="5"/>
      <c r="K41" s="5"/>
      <c r="L41" s="5"/>
      <c r="M41" s="5"/>
      <c r="N41" s="5"/>
      <c r="O41" s="5"/>
      <c r="P41" s="88"/>
      <c r="Q41" s="95"/>
    </row>
    <row r="42" spans="4:17" s="2" customFormat="1" ht="12" customHeight="1">
      <c r="D42" s="22"/>
      <c r="E42" s="22"/>
      <c r="J42" s="5"/>
      <c r="K42" s="5"/>
      <c r="L42" s="5"/>
      <c r="M42" s="5"/>
      <c r="N42" s="5"/>
      <c r="O42" s="5"/>
      <c r="P42" s="88"/>
      <c r="Q42" s="95"/>
    </row>
    <row r="43" spans="4:17" s="2" customFormat="1" ht="12" customHeight="1">
      <c r="D43" s="22"/>
      <c r="E43" s="22"/>
      <c r="J43" s="5"/>
      <c r="K43" s="5"/>
      <c r="L43" s="5"/>
      <c r="M43" s="5"/>
      <c r="N43" s="5"/>
      <c r="O43" s="5"/>
      <c r="P43" s="88"/>
      <c r="Q43" s="95"/>
    </row>
    <row r="44" spans="4:17" s="2" customFormat="1" ht="12" customHeight="1">
      <c r="D44" s="22"/>
      <c r="E44" s="22"/>
      <c r="J44" s="5"/>
      <c r="K44" s="5"/>
      <c r="L44" s="5"/>
      <c r="M44" s="5"/>
      <c r="N44" s="5"/>
      <c r="O44" s="5"/>
      <c r="P44" s="88"/>
      <c r="Q44" s="95"/>
    </row>
    <row r="45" spans="4:17" s="2" customFormat="1" ht="12" customHeight="1">
      <c r="D45" s="22"/>
      <c r="E45" s="22"/>
      <c r="J45" s="5"/>
      <c r="K45" s="5"/>
      <c r="L45" s="5"/>
      <c r="M45" s="5"/>
      <c r="N45" s="5"/>
      <c r="O45" s="5"/>
      <c r="P45" s="88"/>
      <c r="Q45" s="95"/>
    </row>
    <row r="46" spans="4:17" s="2" customFormat="1" ht="12" customHeight="1">
      <c r="D46" s="22"/>
      <c r="E46" s="22"/>
      <c r="J46" s="5"/>
      <c r="K46" s="5"/>
      <c r="L46" s="5"/>
      <c r="M46" s="5"/>
      <c r="N46" s="5"/>
      <c r="O46" s="5"/>
      <c r="P46" s="88"/>
      <c r="Q46" s="95"/>
    </row>
    <row r="47" spans="4:17" s="2" customFormat="1" ht="12" customHeight="1">
      <c r="D47" s="22"/>
      <c r="E47" s="22"/>
      <c r="J47" s="5"/>
      <c r="K47" s="5"/>
      <c r="L47" s="5"/>
      <c r="M47" s="5"/>
      <c r="N47" s="5"/>
      <c r="O47" s="5"/>
      <c r="P47" s="88"/>
      <c r="Q47" s="95"/>
    </row>
    <row r="48" spans="4:17" s="2" customFormat="1" ht="12" customHeight="1">
      <c r="D48" s="22"/>
      <c r="E48" s="22"/>
      <c r="J48" s="5"/>
      <c r="K48" s="5"/>
      <c r="L48" s="5"/>
      <c r="M48" s="5"/>
      <c r="N48" s="5"/>
      <c r="O48" s="5"/>
      <c r="P48" s="88"/>
      <c r="Q48" s="95"/>
    </row>
    <row r="49" spans="1:17" s="2" customFormat="1" ht="12" customHeight="1">
      <c r="D49" s="22"/>
      <c r="E49" s="22"/>
      <c r="J49" s="5"/>
      <c r="K49" s="5"/>
      <c r="L49" s="5"/>
      <c r="M49" s="5"/>
      <c r="N49" s="5"/>
      <c r="O49" s="5"/>
      <c r="P49" s="88"/>
      <c r="Q49" s="96"/>
    </row>
    <row r="50" spans="1:17" s="2" customFormat="1" ht="12" customHeight="1">
      <c r="D50" s="22"/>
      <c r="E50" s="22"/>
      <c r="J50" s="5"/>
      <c r="K50" s="5"/>
      <c r="L50" s="5"/>
      <c r="M50" s="5"/>
      <c r="N50" s="5"/>
      <c r="O50" s="5"/>
      <c r="P50" s="88"/>
      <c r="Q50" s="96"/>
    </row>
    <row r="51" spans="1:17" s="2" customFormat="1" ht="12" customHeight="1">
      <c r="D51" s="22"/>
      <c r="E51" s="22"/>
      <c r="J51" s="5"/>
      <c r="K51" s="5"/>
      <c r="L51" s="5"/>
      <c r="M51" s="5"/>
      <c r="N51" s="5"/>
      <c r="O51" s="5"/>
      <c r="P51" s="88"/>
      <c r="Q51" s="96"/>
    </row>
    <row r="52" spans="1:17" s="2" customFormat="1" ht="12" customHeight="1">
      <c r="D52" s="22"/>
      <c r="E52" s="22"/>
      <c r="J52" s="5"/>
      <c r="K52" s="5"/>
      <c r="L52" s="5"/>
      <c r="M52" s="5"/>
      <c r="N52" s="5"/>
      <c r="O52" s="5"/>
      <c r="P52" s="88"/>
      <c r="Q52" s="96"/>
    </row>
    <row r="53" spans="1:17" s="2" customFormat="1" ht="12" customHeight="1">
      <c r="A53"/>
      <c r="B53"/>
      <c r="C53"/>
      <c r="D53" s="23"/>
      <c r="E53" s="23"/>
      <c r="F53"/>
      <c r="G53"/>
      <c r="H53"/>
      <c r="I53"/>
      <c r="J53" s="19"/>
      <c r="K53" s="19"/>
      <c r="L53" s="19"/>
      <c r="M53" s="19"/>
      <c r="N53" s="19"/>
      <c r="O53" s="19"/>
      <c r="P53" s="90"/>
      <c r="Q53" s="96"/>
    </row>
    <row r="54" spans="1:17" s="2" customFormat="1" ht="12" customHeight="1">
      <c r="A54"/>
      <c r="B54"/>
      <c r="C54"/>
      <c r="D54" s="23"/>
      <c r="E54" s="23"/>
      <c r="F54"/>
      <c r="G54"/>
      <c r="H54"/>
      <c r="I54"/>
      <c r="J54" s="19"/>
      <c r="K54" s="19"/>
      <c r="L54" s="19"/>
      <c r="M54" s="19"/>
      <c r="N54" s="19"/>
      <c r="O54" s="19"/>
      <c r="P54" s="90"/>
      <c r="Q54" s="96"/>
    </row>
    <row r="55" spans="1:17" s="2" customFormat="1" ht="12" customHeight="1">
      <c r="A55"/>
      <c r="B55"/>
      <c r="C55"/>
      <c r="D55" s="23"/>
      <c r="E55" s="23"/>
      <c r="F55"/>
      <c r="G55"/>
      <c r="H55"/>
      <c r="I55"/>
      <c r="J55" s="19"/>
      <c r="K55" s="19"/>
      <c r="L55" s="19"/>
      <c r="M55" s="19"/>
      <c r="N55" s="19"/>
      <c r="O55" s="19"/>
      <c r="P55" s="90"/>
      <c r="Q55" s="96"/>
    </row>
    <row r="56" spans="1:17" s="2" customFormat="1" ht="12" customHeight="1">
      <c r="A56"/>
      <c r="B56"/>
      <c r="C56"/>
      <c r="D56" s="23"/>
      <c r="E56" s="23"/>
      <c r="F56"/>
      <c r="G56"/>
      <c r="H56"/>
      <c r="I56"/>
      <c r="J56" s="19"/>
      <c r="K56" s="19"/>
      <c r="L56" s="19"/>
      <c r="M56" s="19"/>
      <c r="N56" s="19"/>
      <c r="O56" s="19"/>
      <c r="P56" s="90"/>
      <c r="Q56" s="96"/>
    </row>
    <row r="57" spans="1:17" s="2" customFormat="1" ht="12" customHeight="1">
      <c r="A57"/>
      <c r="B57"/>
      <c r="C57"/>
      <c r="D57" s="23"/>
      <c r="E57" s="23"/>
      <c r="F57"/>
      <c r="G57"/>
      <c r="H57"/>
      <c r="I57"/>
      <c r="J57" s="19"/>
      <c r="K57" s="19"/>
      <c r="L57" s="19"/>
      <c r="M57" s="19"/>
      <c r="N57" s="19"/>
      <c r="O57" s="19"/>
      <c r="P57" s="90"/>
      <c r="Q57" s="96"/>
    </row>
    <row r="58" spans="1:17">
      <c r="Q58" s="96"/>
    </row>
    <row r="59" spans="1:17">
      <c r="Q59" s="96"/>
    </row>
    <row r="60" spans="1:17">
      <c r="Q60" s="96"/>
    </row>
    <row r="61" spans="1:17">
      <c r="Q61" s="96"/>
    </row>
    <row r="62" spans="1:17">
      <c r="Q62" s="96"/>
    </row>
    <row r="63" spans="1:17">
      <c r="Q63" s="96"/>
    </row>
    <row r="64" spans="1:17">
      <c r="Q64" s="96"/>
    </row>
    <row r="65" spans="17:17">
      <c r="Q65" s="96"/>
    </row>
    <row r="66" spans="17:17">
      <c r="Q66" s="96"/>
    </row>
    <row r="67" spans="17:17">
      <c r="Q67" s="96"/>
    </row>
    <row r="68" spans="17:17">
      <c r="Q68" s="96"/>
    </row>
    <row r="69" spans="17:17">
      <c r="Q69" s="96"/>
    </row>
    <row r="70" spans="17:17">
      <c r="Q70" s="96"/>
    </row>
    <row r="71" spans="17:17">
      <c r="Q71" s="96"/>
    </row>
    <row r="72" spans="17:17">
      <c r="Q72" s="96"/>
    </row>
    <row r="73" spans="17:17">
      <c r="Q73" s="96"/>
    </row>
    <row r="74" spans="17:17">
      <c r="Q74" s="96"/>
    </row>
    <row r="75" spans="17:17">
      <c r="Q75" s="96"/>
    </row>
    <row r="76" spans="17:17">
      <c r="Q76" s="96"/>
    </row>
    <row r="77" spans="17:17">
      <c r="Q77" s="96"/>
    </row>
    <row r="114" ht="12" customHeight="1"/>
    <row r="115" ht="12" customHeight="1"/>
    <row r="116" ht="12" customHeight="1"/>
    <row r="117" ht="12" customHeight="1"/>
    <row r="118" ht="12" customHeight="1"/>
    <row r="119" ht="12" customHeight="1"/>
    <row r="120" ht="12" customHeight="1"/>
    <row r="121" ht="12" customHeight="1"/>
    <row r="122" ht="12" customHeight="1"/>
    <row r="123" ht="12" customHeight="1"/>
    <row r="124" ht="12" customHeight="1"/>
    <row r="125" ht="12" customHeight="1"/>
    <row r="126" ht="12" customHeight="1"/>
    <row r="127" ht="12" customHeight="1"/>
    <row r="128" ht="12" customHeight="1"/>
    <row r="129" ht="12" customHeight="1"/>
    <row r="130" ht="12" customHeight="1"/>
    <row r="131" ht="12" customHeight="1"/>
    <row r="132" ht="12" customHeight="1"/>
    <row r="133" ht="12" customHeight="1"/>
    <row r="134" ht="12" customHeight="1"/>
    <row r="135" ht="12" customHeight="1"/>
    <row r="136" ht="12" customHeight="1"/>
    <row r="137" ht="12" customHeight="1"/>
    <row r="138" ht="12" customHeight="1"/>
    <row r="139" ht="12" customHeight="1"/>
    <row r="140" ht="12" customHeight="1"/>
    <row r="141" ht="12" customHeight="1"/>
    <row r="142" ht="12" customHeight="1"/>
    <row r="143" ht="12" customHeight="1"/>
    <row r="144" ht="12" customHeight="1"/>
    <row r="145" ht="12" customHeight="1"/>
    <row r="146" ht="12" customHeight="1"/>
    <row r="147" ht="12" customHeight="1"/>
    <row r="148" ht="12" customHeight="1"/>
    <row r="149" ht="12" customHeight="1"/>
    <row r="150" ht="12" customHeight="1"/>
    <row r="151" ht="12" customHeight="1"/>
    <row r="152" ht="12" customHeight="1"/>
    <row r="153" ht="12" customHeight="1"/>
    <row r="154" ht="12" customHeight="1"/>
    <row r="155" ht="12" customHeight="1"/>
    <row r="156" ht="12" customHeight="1"/>
    <row r="157" ht="12" customHeight="1"/>
    <row r="158" ht="12" customHeight="1"/>
    <row r="159" ht="12" customHeight="1"/>
    <row r="160" ht="12" customHeight="1"/>
    <row r="161" ht="12" customHeight="1"/>
    <row r="162" ht="12" customHeight="1"/>
    <row r="163" ht="12" customHeight="1"/>
  </sheetData>
  <mergeCells count="15">
    <mergeCell ref="D10:E10"/>
    <mergeCell ref="H10:I10"/>
    <mergeCell ref="D7:E7"/>
    <mergeCell ref="H7:I7"/>
    <mergeCell ref="D8:E8"/>
    <mergeCell ref="H8:I8"/>
    <mergeCell ref="D9:E9"/>
    <mergeCell ref="H9:I9"/>
    <mergeCell ref="D6:E6"/>
    <mergeCell ref="H6:I6"/>
    <mergeCell ref="D1:E1"/>
    <mergeCell ref="D4:E4"/>
    <mergeCell ref="H4:I4"/>
    <mergeCell ref="D5:E5"/>
    <mergeCell ref="H5:I5"/>
  </mergeCells>
  <pageMargins left="0.7" right="0.7" top="0.75" bottom="0.75" header="0.3" footer="0.3"/>
  <pageSetup paperSize="3" fitToHeight="0" orientation="landscape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5AFE0144-958E-45C7-89DB-BBCE76E3CB22}">
          <x14:formula1>
            <xm:f>Assemblies!$E:$E</xm:f>
          </x14:formula1>
          <xm:sqref>C5:C9</xm:sqref>
        </x14:dataValidation>
      </x14:dataValidations>
    </ext>
  </extLst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105830-D527-433E-8EEA-5574D5DFF07A}">
  <sheetPr codeName="Sheet136">
    <tabColor theme="3" tint="0.59999389629810485"/>
    <pageSetUpPr fitToPage="1"/>
  </sheetPr>
  <dimension ref="A1:Q177"/>
  <sheetViews>
    <sheetView zoomScaleNormal="100" workbookViewId="0">
      <selection activeCell="D14" sqref="D14:Q14"/>
    </sheetView>
  </sheetViews>
  <sheetFormatPr defaultColWidth="9.140625" defaultRowHeight="15"/>
  <cols>
    <col min="1" max="1" width="5.7109375" customWidth="1"/>
    <col min="2" max="2" width="5.42578125" bestFit="1" customWidth="1"/>
    <col min="3" max="3" width="30.7109375" customWidth="1"/>
    <col min="4" max="5" width="20.7109375" style="23" customWidth="1"/>
    <col min="6" max="6" width="16.85546875" bestFit="1" customWidth="1"/>
    <col min="7" max="7" width="9.7109375" customWidth="1"/>
    <col min="8" max="8" width="8.7109375" customWidth="1"/>
    <col min="9" max="9" width="20.7109375" customWidth="1"/>
    <col min="10" max="13" width="11.7109375" style="19" customWidth="1"/>
    <col min="14" max="14" width="11.85546875" style="19" bestFit="1" customWidth="1"/>
    <col min="15" max="15" width="7.7109375" style="19" customWidth="1"/>
    <col min="16" max="16" width="10.7109375" style="90" customWidth="1"/>
    <col min="17" max="17" width="10.7109375" style="97" customWidth="1"/>
  </cols>
  <sheetData>
    <row r="1" spans="1:17" s="55" customFormat="1" ht="12" customHeight="1">
      <c r="A1" s="68" t="s">
        <v>0</v>
      </c>
      <c r="B1" s="69"/>
      <c r="C1" s="69"/>
      <c r="D1" s="262" t="s">
        <v>1</v>
      </c>
      <c r="E1" s="263"/>
      <c r="F1" s="70"/>
      <c r="G1" s="69"/>
      <c r="H1" s="70"/>
      <c r="I1" s="71"/>
      <c r="J1" s="72"/>
      <c r="K1" s="72"/>
      <c r="L1" s="72"/>
      <c r="M1" s="72"/>
      <c r="N1" s="72"/>
      <c r="O1" s="72"/>
      <c r="P1" s="85"/>
      <c r="Q1" s="91"/>
    </row>
    <row r="2" spans="1:17" s="55" customFormat="1" ht="12" customHeight="1">
      <c r="A2" s="74" t="s">
        <v>48</v>
      </c>
      <c r="B2" s="58"/>
      <c r="C2" s="57" t="e">
        <f ca="1">VLOOKUP(E3,Assemblies!B:F,4,0)</f>
        <v>#VALUE!</v>
      </c>
      <c r="D2" s="75" t="s">
        <v>3</v>
      </c>
      <c r="E2" s="76" t="e">
        <f ca="1">'GF12'!E2</f>
        <v>#VALUE!</v>
      </c>
      <c r="F2" s="77" t="s">
        <v>4</v>
      </c>
      <c r="G2" s="58" t="str">
        <f>'GF12'!G2</f>
        <v>GH</v>
      </c>
      <c r="H2" s="77" t="s">
        <v>6</v>
      </c>
      <c r="I2" s="59">
        <f>'GF12'!I2</f>
        <v>44775</v>
      </c>
      <c r="J2" s="39"/>
      <c r="K2" s="40" t="s">
        <v>49</v>
      </c>
      <c r="L2" s="41" t="e">
        <f ca="1">VLOOKUP(C2,Assemblies!E:G,3,0)</f>
        <v>#VALUE!</v>
      </c>
      <c r="M2" s="78"/>
      <c r="N2" s="78"/>
      <c r="O2" s="78"/>
      <c r="P2" s="86"/>
      <c r="Q2" s="92"/>
    </row>
    <row r="3" spans="1:17" s="55" customFormat="1" ht="12" customHeight="1" thickBot="1">
      <c r="A3" s="74" t="s">
        <v>7</v>
      </c>
      <c r="B3" s="58"/>
      <c r="C3" s="57" t="e">
        <f ca="1">VLOOKUP(E3,Assemblies!B:F,5,0)</f>
        <v>#VALUE!</v>
      </c>
      <c r="D3" s="75" t="s">
        <v>50</v>
      </c>
      <c r="E3" s="76" t="e">
        <f ca="1">MID(CELL("filename",A1),FIND("]",CELL("filename",A1))+1,256)</f>
        <v>#VALUE!</v>
      </c>
      <c r="F3" s="77" t="s">
        <v>11</v>
      </c>
      <c r="G3" s="58" t="str">
        <f>'GF12'!G3</f>
        <v>GH</v>
      </c>
      <c r="H3" s="77" t="s">
        <v>6</v>
      </c>
      <c r="I3" s="59">
        <f>'GF12'!I3</f>
        <v>44775</v>
      </c>
      <c r="J3" s="78"/>
      <c r="K3" s="78"/>
      <c r="L3" s="78"/>
      <c r="M3" s="78"/>
      <c r="N3" s="78"/>
      <c r="O3" s="78"/>
      <c r="P3" s="86"/>
      <c r="Q3" s="92"/>
    </row>
    <row r="4" spans="1:17" s="56" customFormat="1" ht="12.75" customHeight="1" thickBot="1">
      <c r="A4" s="80" t="s">
        <v>12</v>
      </c>
      <c r="B4" s="81" t="s">
        <v>13</v>
      </c>
      <c r="C4" s="81" t="s">
        <v>14</v>
      </c>
      <c r="D4" s="270" t="s">
        <v>15</v>
      </c>
      <c r="E4" s="271"/>
      <c r="F4" s="104" t="s">
        <v>16</v>
      </c>
      <c r="G4" s="81" t="s">
        <v>17</v>
      </c>
      <c r="H4" s="260" t="s">
        <v>18</v>
      </c>
      <c r="I4" s="261"/>
      <c r="J4" s="81" t="s">
        <v>51</v>
      </c>
      <c r="K4" s="81" t="s">
        <v>20</v>
      </c>
      <c r="L4" s="81" t="s">
        <v>21</v>
      </c>
      <c r="M4" s="81" t="s">
        <v>52</v>
      </c>
      <c r="N4" s="81" t="s">
        <v>22</v>
      </c>
      <c r="O4" s="81" t="s">
        <v>53</v>
      </c>
      <c r="P4" s="107" t="s">
        <v>26</v>
      </c>
      <c r="Q4" s="82" t="s">
        <v>27</v>
      </c>
    </row>
    <row r="5" spans="1:17" s="2" customFormat="1" ht="12.75" customHeight="1">
      <c r="A5" s="127">
        <v>1</v>
      </c>
      <c r="B5" s="21">
        <v>2</v>
      </c>
      <c r="C5" s="108" t="s">
        <v>1332</v>
      </c>
      <c r="D5" s="277" t="str">
        <f>VLOOKUP(C5,Machined!C:Q,2,0)</f>
        <v>SIDE PLATE</v>
      </c>
      <c r="E5" s="278"/>
      <c r="F5" s="131" t="str">
        <f>VLOOKUP(C5,Machined!C:R,7,0)</f>
        <v>6061-T6 Alum</v>
      </c>
      <c r="G5" s="131" t="str">
        <f>VLOOKUP(C5,Machined!C:R,10,0)</f>
        <v>BIG SKY</v>
      </c>
      <c r="H5" s="131" t="str">
        <f>VLOOKUP(C5,Machined!C:R,11,0)</f>
        <v xml:space="preserve">  </v>
      </c>
      <c r="I5" s="131"/>
      <c r="J5" s="42">
        <f>VLOOKUP(C5,Machined!C:R,12,0)</f>
        <v>45161</v>
      </c>
      <c r="K5" s="42">
        <f>VLOOKUP(C5,Machined!C:R,13,0)</f>
        <v>45161</v>
      </c>
      <c r="L5" s="42">
        <f>VLOOKUP(C5,Machined!C:R,14,0)</f>
        <v>45184</v>
      </c>
      <c r="M5" s="42">
        <f>VLOOKUP(C5,Machined!C:R,15,0)</f>
        <v>45184</v>
      </c>
      <c r="N5" s="43">
        <f>VLOOKUP(C5,Machined!C:R,16,0)</f>
        <v>55093</v>
      </c>
      <c r="O5" s="43" t="e">
        <f t="shared" ref="O5:O8" ca="1" si="0">B5*$L$2</f>
        <v>#VALUE!</v>
      </c>
      <c r="P5" s="47">
        <f>IFERROR(VLOOKUP(C5,Machined!C:F,3,0),"")</f>
        <v>0</v>
      </c>
      <c r="Q5" s="48">
        <f t="shared" ref="Q5:Q8" si="1">IFERROR(B5*P5,"")</f>
        <v>0</v>
      </c>
    </row>
    <row r="6" spans="1:17" s="2" customFormat="1" ht="12.75" customHeight="1">
      <c r="A6" s="127">
        <v>2</v>
      </c>
      <c r="B6" s="21">
        <v>1</v>
      </c>
      <c r="C6" s="108" t="s">
        <v>1333</v>
      </c>
      <c r="D6" s="277" t="str">
        <f>VLOOKUP(C6,Machined!C:Q,2,0)</f>
        <v>KNIFE ANVIL</v>
      </c>
      <c r="E6" s="278"/>
      <c r="F6" s="131" t="str">
        <f>VLOOKUP(C6,Machined!C:R,7,0)</f>
        <v>A2 Tool Steel</v>
      </c>
      <c r="G6" s="131" t="str">
        <f>VLOOKUP(C6,Machined!C:R,10,0)</f>
        <v>DETAILED MACH</v>
      </c>
      <c r="H6" s="131" t="str">
        <f>VLOOKUP(C6,Machined!C:R,11,0)</f>
        <v xml:space="preserve">  </v>
      </c>
      <c r="I6" s="131"/>
      <c r="J6" s="42">
        <f>VLOOKUP(C6,Machined!C:R,12,0)</f>
        <v>45159</v>
      </c>
      <c r="K6" s="42">
        <f>VLOOKUP(C6,Machined!C:R,13,0)</f>
        <v>45162</v>
      </c>
      <c r="L6" s="42">
        <f>VLOOKUP(C6,Machined!C:R,14,0)</f>
        <v>45190</v>
      </c>
      <c r="M6" s="42">
        <f>VLOOKUP(C6,Machined!C:R,15,0)</f>
        <v>45190</v>
      </c>
      <c r="N6" s="43">
        <f>VLOOKUP(C6,Machined!C:R,16,0)</f>
        <v>55101</v>
      </c>
      <c r="O6" s="43" t="e">
        <f t="shared" ca="1" si="0"/>
        <v>#VALUE!</v>
      </c>
      <c r="P6" s="47">
        <f>IFERROR(VLOOKUP(C6,Machined!C:F,3,0),"")</f>
        <v>0</v>
      </c>
      <c r="Q6" s="48">
        <f t="shared" si="1"/>
        <v>0</v>
      </c>
    </row>
    <row r="7" spans="1:17" s="2" customFormat="1" ht="12.75" customHeight="1">
      <c r="A7" s="127">
        <v>3</v>
      </c>
      <c r="B7" s="21">
        <v>1</v>
      </c>
      <c r="C7" s="108" t="s">
        <v>1334</v>
      </c>
      <c r="D7" s="277" t="str">
        <f>VLOOKUP(C7,Machined!C:Q,2,0)</f>
        <v>E-CHAIN TRAY</v>
      </c>
      <c r="E7" s="278"/>
      <c r="F7" s="131" t="str">
        <f>VLOOKUP(C7,Machined!C:R,7,0)</f>
        <v>AISI 304</v>
      </c>
      <c r="G7" s="131" t="str">
        <f>VLOOKUP(C7,Machined!C:R,10,0)</f>
        <v>WESCO BHT</v>
      </c>
      <c r="H7" s="131" t="str">
        <f>VLOOKUP(C7,Machined!C:R,11,0)</f>
        <v xml:space="preserve">  </v>
      </c>
      <c r="I7" s="131"/>
      <c r="J7" s="42">
        <f>VLOOKUP(C7,Machined!C:R,12,0)</f>
        <v>45159</v>
      </c>
      <c r="K7" s="42">
        <f>VLOOKUP(C7,Machined!C:R,13,0)</f>
        <v>45161</v>
      </c>
      <c r="L7" s="42">
        <f>VLOOKUP(C7,Machined!C:R,14,0)</f>
        <v>45191</v>
      </c>
      <c r="M7" s="42">
        <f>VLOOKUP(C7,Machined!C:R,15,0)</f>
        <v>45191</v>
      </c>
      <c r="N7" s="43">
        <f>VLOOKUP(C7,Machined!C:R,16,0)</f>
        <v>55092</v>
      </c>
      <c r="O7" s="43" t="e">
        <f t="shared" ca="1" si="0"/>
        <v>#VALUE!</v>
      </c>
      <c r="P7" s="47">
        <f>IFERROR(VLOOKUP(C7,Machined!C:F,3,0),"")</f>
        <v>180.7</v>
      </c>
      <c r="Q7" s="48">
        <f t="shared" si="1"/>
        <v>180.7</v>
      </c>
    </row>
    <row r="8" spans="1:17" s="2" customFormat="1" ht="12.75" customHeight="1">
      <c r="A8" s="127">
        <v>4</v>
      </c>
      <c r="B8" s="21">
        <v>1</v>
      </c>
      <c r="C8" s="108" t="s">
        <v>1335</v>
      </c>
      <c r="D8" s="277" t="str">
        <f>VLOOKUP(C8,Machined!C:Q,2,0)</f>
        <v>KNIFE ANVIL HOLDER</v>
      </c>
      <c r="E8" s="278"/>
      <c r="F8" s="131" t="str">
        <f>VLOOKUP(C8,Machined!C:R,7,0)</f>
        <v>6061-T6 Alum</v>
      </c>
      <c r="G8" s="131" t="str">
        <f>VLOOKUP(C8,Machined!C:R,10,0)</f>
        <v>BEMOX</v>
      </c>
      <c r="H8" s="131" t="str">
        <f>VLOOKUP(C8,Machined!C:R,11,0)</f>
        <v xml:space="preserve">  </v>
      </c>
      <c r="I8" s="131"/>
      <c r="J8" s="42">
        <f>VLOOKUP(C8,Machined!C:R,12,0)</f>
        <v>45161</v>
      </c>
      <c r="K8" s="42">
        <f>VLOOKUP(C8,Machined!C:R,13,0)</f>
        <v>45162</v>
      </c>
      <c r="L8" s="42">
        <f>VLOOKUP(C8,Machined!C:R,14,0)</f>
        <v>45177</v>
      </c>
      <c r="M8" s="42">
        <f>VLOOKUP(C8,Machined!C:R,15,0)</f>
        <v>45177</v>
      </c>
      <c r="N8" s="43">
        <f>VLOOKUP(C8,Machined!C:R,16,0)</f>
        <v>55102</v>
      </c>
      <c r="O8" s="43" t="e">
        <f t="shared" ca="1" si="0"/>
        <v>#VALUE!</v>
      </c>
      <c r="P8" s="47">
        <f>IFERROR(VLOOKUP(C8,Machined!C:F,3,0),"")</f>
        <v>0</v>
      </c>
      <c r="Q8" s="48">
        <f t="shared" si="1"/>
        <v>0</v>
      </c>
    </row>
    <row r="9" spans="1:17" s="2" customFormat="1" ht="12.75" customHeight="1">
      <c r="A9" s="143"/>
      <c r="B9" s="26"/>
      <c r="C9" s="26"/>
      <c r="D9" s="272"/>
      <c r="E9" s="273"/>
      <c r="F9" s="26"/>
      <c r="G9" s="26"/>
      <c r="H9" s="274"/>
      <c r="I9" s="275"/>
      <c r="J9" s="27"/>
      <c r="K9" s="27"/>
      <c r="L9" s="27"/>
      <c r="M9" s="28"/>
      <c r="N9" s="29"/>
      <c r="O9" s="29"/>
      <c r="P9" s="141"/>
      <c r="Q9" s="142"/>
    </row>
    <row r="10" spans="1:17" s="2" customFormat="1" ht="12.75" customHeight="1">
      <c r="A10" s="4">
        <v>301</v>
      </c>
      <c r="B10" s="2">
        <v>25</v>
      </c>
      <c r="C10" s="114" t="s">
        <v>262</v>
      </c>
      <c r="D10" s="268" t="str">
        <f>VLOOKUP(C10,Purchased!A:B,2,0)</f>
        <v>BRX GOTO T-NUT 10 M6</v>
      </c>
      <c r="E10" s="269"/>
      <c r="F10" s="112" t="str">
        <f>VLOOKUP(C10,Purchased!A:Q,9,0)</f>
        <v>BRX</v>
      </c>
      <c r="G10" s="112" t="str">
        <f>VLOOKUP(C10,Purchased!A:Q,10,0)</f>
        <v>AAP</v>
      </c>
      <c r="H10" s="112" t="str">
        <f>VLOOKUP(C10,Purchased!A:Q,12,0)</f>
        <v xml:space="preserve">  </v>
      </c>
      <c r="I10" s="113"/>
      <c r="J10" s="44">
        <f>VLOOKUP(C10,Purchased!A:Q,13,0)</f>
        <v>45104</v>
      </c>
      <c r="K10" s="44">
        <f>VLOOKUP(C10,Purchased!A:Q,14,0)</f>
        <v>45105</v>
      </c>
      <c r="L10" s="44">
        <f>VLOOKUP(C10,Purchased!A:Q,15,0)</f>
        <v>45133</v>
      </c>
      <c r="M10" s="44">
        <f>VLOOKUP(C10,Purchased!A:Q,16,0)</f>
        <v>45133</v>
      </c>
      <c r="N10" s="45" t="str">
        <f>VLOOKUP(C10,Purchased!A:Q,17,0)</f>
        <v>54968, 55147, 55270</v>
      </c>
      <c r="O10" s="45" t="e">
        <f t="shared" ref="O10:O21" ca="1" si="2">B10*$L$2</f>
        <v>#VALUE!</v>
      </c>
      <c r="P10" s="49">
        <f>IFERROR(VLOOKUP(C10,Purchased!A:E,3,FALSE),"")</f>
        <v>0.64290000000000003</v>
      </c>
      <c r="Q10" s="50">
        <f t="shared" ref="Q10:Q12" si="3">IFERROR(B10*P10,"")</f>
        <v>16.072500000000002</v>
      </c>
    </row>
    <row r="11" spans="1:17" s="2" customFormat="1" ht="12" customHeight="1">
      <c r="A11" s="4">
        <f>A10+1</f>
        <v>302</v>
      </c>
      <c r="B11" s="2">
        <v>8</v>
      </c>
      <c r="C11" s="114" t="s">
        <v>690</v>
      </c>
      <c r="D11" s="268" t="str">
        <f>VLOOKUP(C11,Purchased!A:B,2,0)</f>
        <v>BRX GOTO T-SLOT STONE 10 M8</v>
      </c>
      <c r="E11" s="269"/>
      <c r="F11" s="112" t="str">
        <f>VLOOKUP(C11,Purchased!A:Q,9,0)</f>
        <v>BRX</v>
      </c>
      <c r="G11" s="112" t="str">
        <f>VLOOKUP(C11,Purchased!A:Q,10,0)</f>
        <v>AAP</v>
      </c>
      <c r="H11" s="112" t="str">
        <f>VLOOKUP(C11,Purchased!A:Q,12,0)</f>
        <v xml:space="preserve">  </v>
      </c>
      <c r="I11" s="113"/>
      <c r="J11" s="44">
        <f>VLOOKUP(C11,Purchased!A:Q,13,0)</f>
        <v>45104</v>
      </c>
      <c r="K11" s="44">
        <f>VLOOKUP(C11,Purchased!A:Q,14,0)</f>
        <v>45105</v>
      </c>
      <c r="L11" s="44">
        <f>VLOOKUP(C11,Purchased!A:Q,15,0)</f>
        <v>45133</v>
      </c>
      <c r="M11" s="44">
        <f>VLOOKUP(C11,Purchased!A:Q,16,0)</f>
        <v>45133</v>
      </c>
      <c r="N11" s="45">
        <f>VLOOKUP(C11,Purchased!A:Q,17,0)</f>
        <v>54968</v>
      </c>
      <c r="O11" s="45" t="e">
        <f t="shared" ca="1" si="2"/>
        <v>#VALUE!</v>
      </c>
      <c r="P11" s="49">
        <f>IFERROR(VLOOKUP(C11,Purchased!A:E,3,FALSE),"")</f>
        <v>0.98570000000000002</v>
      </c>
      <c r="Q11" s="50">
        <f t="shared" si="3"/>
        <v>7.8856000000000002</v>
      </c>
    </row>
    <row r="12" spans="1:17" s="2" customFormat="1" ht="12" customHeight="1">
      <c r="A12" s="4">
        <f>A11+1</f>
        <v>303</v>
      </c>
      <c r="B12" s="2">
        <v>4</v>
      </c>
      <c r="C12" s="114" t="s">
        <v>263</v>
      </c>
      <c r="D12" s="268" t="str">
        <f>VLOOKUP(C12,Purchased!A:B,2,0)</f>
        <v>Dowel Pin 52100 Alloy Steel, 10 mm Diameter, 20 mm Long, 10pk</v>
      </c>
      <c r="E12" s="269"/>
      <c r="F12" s="112" t="str">
        <f>VLOOKUP(C12,Purchased!A:Q,9,0)</f>
        <v>MCM</v>
      </c>
      <c r="G12" s="112" t="str">
        <f>VLOOKUP(C12,Purchased!A:Q,10,0)</f>
        <v>MCM</v>
      </c>
      <c r="H12" s="112" t="str">
        <f>VLOOKUP(C12,Purchased!A:Q,12,0)</f>
        <v>Pack of 10</v>
      </c>
      <c r="I12" s="113"/>
      <c r="J12" s="44" t="str">
        <f>VLOOKUP(C12,Purchased!A:Q,13,0)</f>
        <v>N/A</v>
      </c>
      <c r="K12" s="44">
        <f>VLOOKUP(C12,Purchased!A:Q,14,0)</f>
        <v>45162</v>
      </c>
      <c r="L12" s="44">
        <f>VLOOKUP(C12,Purchased!A:Q,15,0)</f>
        <v>45184</v>
      </c>
      <c r="M12" s="44">
        <f>VLOOKUP(C12,Purchased!A:Q,16,0)</f>
        <v>45163</v>
      </c>
      <c r="N12" s="45">
        <f>VLOOKUP(C12,Purchased!A:Q,17,0)</f>
        <v>55088</v>
      </c>
      <c r="O12" s="45" t="e">
        <f t="shared" ca="1" si="2"/>
        <v>#VALUE!</v>
      </c>
      <c r="P12" s="49">
        <f>IFERROR(VLOOKUP(C12,Purchased!A:E,3,FALSE),"")</f>
        <v>10.57</v>
      </c>
      <c r="Q12" s="50">
        <f t="shared" si="3"/>
        <v>42.28</v>
      </c>
    </row>
    <row r="13" spans="1:17" s="2" customFormat="1" ht="12" customHeight="1">
      <c r="A13" s="4">
        <f t="shared" ref="A13:A14" si="4">A12+1</f>
        <v>304</v>
      </c>
      <c r="B13" s="2">
        <v>1</v>
      </c>
      <c r="C13" s="114" t="s">
        <v>1336</v>
      </c>
      <c r="D13" s="268" t="str">
        <f>VLOOKUP(C13,Purchased!A:B,2,0)</f>
        <v>IGUS  Series 09 Energy Chain, 1" Wide</v>
      </c>
      <c r="E13" s="269"/>
      <c r="F13" s="112" t="str">
        <f>VLOOKUP(C13,Purchased!A:Q,9,0)</f>
        <v>IGUS</v>
      </c>
      <c r="G13" s="112" t="str">
        <f>VLOOKUP(C13,Purchased!A:Q,10,0)</f>
        <v>IGUS</v>
      </c>
      <c r="H13" s="112" t="str">
        <f>VLOOKUP(C13,Purchased!A:Q,12,0)</f>
        <v xml:space="preserve"> </v>
      </c>
      <c r="I13" s="113"/>
      <c r="J13" s="44">
        <f>VLOOKUP(C13,Purchased!A:Q,13,0)</f>
        <v>45154</v>
      </c>
      <c r="K13" s="44">
        <f>VLOOKUP(C13,Purchased!A:Q,14,0)</f>
        <v>45161</v>
      </c>
      <c r="L13" s="44">
        <f>VLOOKUP(C13,Purchased!A:Q,15,0)</f>
        <v>45191</v>
      </c>
      <c r="M13" s="44">
        <f>VLOOKUP(C13,Purchased!A:Q,16,0)</f>
        <v>45208</v>
      </c>
      <c r="N13" s="45">
        <f>VLOOKUP(C13,Purchased!A:Q,17,0)</f>
        <v>55076</v>
      </c>
      <c r="O13" s="45" t="e">
        <f t="shared" ref="O13" ca="1" si="5">B13*$L$2</f>
        <v>#VALUE!</v>
      </c>
      <c r="P13" s="49">
        <f>IFERROR(VLOOKUP(C13,Purchased!A:E,3,FALSE),"")</f>
        <v>44.32</v>
      </c>
      <c r="Q13" s="50">
        <f t="shared" ref="Q13" si="6">IFERROR(B13*P13,"")</f>
        <v>44.32</v>
      </c>
    </row>
    <row r="14" spans="1:17" s="2" customFormat="1" ht="12" customHeight="1">
      <c r="A14" s="4">
        <f t="shared" si="4"/>
        <v>305</v>
      </c>
      <c r="B14" s="2">
        <v>1</v>
      </c>
      <c r="C14" s="114" t="s">
        <v>1337</v>
      </c>
      <c r="D14" s="268" t="str">
        <f>VLOOKUP(C14,Purchased!A:B,2,0)</f>
        <v xml:space="preserve">Mounting bracket, full set, Plastic, one-piece, locking, without tiewrap plates	</v>
      </c>
      <c r="E14" s="269"/>
      <c r="F14" s="112" t="str">
        <f>VLOOKUP(C14,Purchased!A:Q,9,0)</f>
        <v>IGUS</v>
      </c>
      <c r="G14" s="112" t="str">
        <f>VLOOKUP(C14,Purchased!A:Q,10,0)</f>
        <v>IGUS</v>
      </c>
      <c r="H14" s="112">
        <f>VLOOKUP(C14,Purchased!A:Q,12,0)</f>
        <v>0</v>
      </c>
      <c r="I14" s="113"/>
      <c r="J14" s="44">
        <f>VLOOKUP(C14,Purchased!A:Q,13,0)</f>
        <v>45202</v>
      </c>
      <c r="K14" s="44">
        <f>VLOOKUP(C14,Purchased!A:Q,14,0)</f>
        <v>45203</v>
      </c>
      <c r="L14" s="44">
        <f>VLOOKUP(C14,Purchased!A:Q,15,0)</f>
        <v>45205</v>
      </c>
      <c r="M14" s="44">
        <f>VLOOKUP(C14,Purchased!A:Q,16,0)</f>
        <v>45205</v>
      </c>
      <c r="N14" s="45">
        <f>VLOOKUP(C14,Purchased!A:Q,17,0)</f>
        <v>55184</v>
      </c>
      <c r="O14" s="45" t="e">
        <f t="shared" ref="O14" ca="1" si="7">B14*$L$2</f>
        <v>#VALUE!</v>
      </c>
      <c r="P14" s="49">
        <f>IFERROR(VLOOKUP(C14,Purchased!A:E,3,FALSE),"")</f>
        <v>4.91</v>
      </c>
      <c r="Q14" s="50">
        <f t="shared" ref="Q14" si="8">IFERROR(B14*P14,"")</f>
        <v>4.91</v>
      </c>
    </row>
    <row r="15" spans="1:17" s="2" customFormat="1" ht="12.75" customHeight="1">
      <c r="A15" s="25"/>
      <c r="B15" s="26"/>
      <c r="C15" s="26"/>
      <c r="D15" s="272"/>
      <c r="E15" s="273"/>
      <c r="F15" s="26"/>
      <c r="G15" s="26"/>
      <c r="H15" s="274"/>
      <c r="I15" s="275"/>
      <c r="J15" s="27"/>
      <c r="K15" s="27"/>
      <c r="L15" s="27"/>
      <c r="M15" s="28"/>
      <c r="N15" s="29"/>
      <c r="O15" s="29" t="e">
        <f t="shared" ca="1" si="2"/>
        <v>#VALUE!</v>
      </c>
      <c r="P15" s="141"/>
      <c r="Q15" s="142"/>
    </row>
    <row r="16" spans="1:17" s="2" customFormat="1" ht="12.75" customHeight="1">
      <c r="A16" s="4">
        <v>501</v>
      </c>
      <c r="B16" s="2">
        <v>2</v>
      </c>
      <c r="C16" s="110" t="s">
        <v>827</v>
      </c>
      <c r="D16" s="268"/>
      <c r="E16" s="276"/>
      <c r="F16" s="112" t="str">
        <f>VLOOKUP(C16,Bolts!A:L,5,0)</f>
        <v xml:space="preserve">  </v>
      </c>
      <c r="G16" s="112" t="str">
        <f>VLOOKUP(C16,Bolts!A:L,6,0)</f>
        <v>Monroe Fasteners</v>
      </c>
      <c r="H16" s="112" t="str">
        <f>VLOOKUP(C16,Bolts!A:L,7,0)</f>
        <v xml:space="preserve">  </v>
      </c>
      <c r="I16" s="112"/>
      <c r="J16" s="44" t="str">
        <f>VLOOKUP(C16,Bolts!A:L,8,0)</f>
        <v xml:space="preserve"> </v>
      </c>
      <c r="K16" s="44" t="str">
        <f>VLOOKUP(C16,Bolts!A:L,9,0)</f>
        <v xml:space="preserve"> </v>
      </c>
      <c r="L16" s="44" t="str">
        <f>VLOOKUP(C16,Bolts!A:L,10,0)</f>
        <v xml:space="preserve"> </v>
      </c>
      <c r="M16" s="44" t="str">
        <f>VLOOKUP(C16,Bolts!A:L,11,0)</f>
        <v xml:space="preserve"> </v>
      </c>
      <c r="N16" s="45" t="str">
        <f>VLOOKUP(C16,Bolts!A:L,12,0)</f>
        <v xml:space="preserve"> </v>
      </c>
      <c r="O16" s="45" t="e">
        <f t="shared" ca="1" si="2"/>
        <v>#VALUE!</v>
      </c>
      <c r="P16" s="49" t="str">
        <f>IFERROR(VLOOKUP(C16,Bolts!A:B,2,FALSE),"")</f>
        <v xml:space="preserve"> </v>
      </c>
      <c r="Q16" s="50" t="str">
        <f t="shared" ref="Q16:Q21" si="9">IFERROR(B16*P16,"")</f>
        <v/>
      </c>
    </row>
    <row r="17" spans="1:17" s="2" customFormat="1" ht="12.75" customHeight="1">
      <c r="A17" s="4">
        <f>A16+1</f>
        <v>502</v>
      </c>
      <c r="B17" s="2">
        <v>18</v>
      </c>
      <c r="C17" s="110" t="s">
        <v>1338</v>
      </c>
      <c r="D17" s="268"/>
      <c r="E17" s="276"/>
      <c r="F17" s="112">
        <f>VLOOKUP(C17,Bolts!A:L,5,0)</f>
        <v>0</v>
      </c>
      <c r="G17" s="112">
        <f>VLOOKUP(C17,Bolts!A:L,6,0)</f>
        <v>0</v>
      </c>
      <c r="H17" s="112">
        <f>VLOOKUP(C17,Bolts!A:L,7,0)</f>
        <v>0</v>
      </c>
      <c r="I17" s="112"/>
      <c r="J17" s="44">
        <f>VLOOKUP(C17,Bolts!A:L,8,0)</f>
        <v>0</v>
      </c>
      <c r="K17" s="44">
        <f>VLOOKUP(C17,Bolts!A:L,9,0)</f>
        <v>0</v>
      </c>
      <c r="L17" s="44">
        <f>VLOOKUP(C17,Bolts!A:L,10,0)</f>
        <v>0</v>
      </c>
      <c r="M17" s="44">
        <f>VLOOKUP(C17,Bolts!A:L,11,0)</f>
        <v>0</v>
      </c>
      <c r="N17" s="45">
        <f>VLOOKUP(C17,Bolts!A:L,12,0)</f>
        <v>0</v>
      </c>
      <c r="O17" s="45" t="e">
        <f t="shared" ca="1" si="2"/>
        <v>#VALUE!</v>
      </c>
      <c r="P17" s="49">
        <f>IFERROR(VLOOKUP(C17,Bolts!A:B,2,FALSE),"")</f>
        <v>0</v>
      </c>
      <c r="Q17" s="50">
        <f t="shared" si="9"/>
        <v>0</v>
      </c>
    </row>
    <row r="18" spans="1:17" s="2" customFormat="1" ht="12" customHeight="1">
      <c r="A18" s="4">
        <f>A17+1</f>
        <v>503</v>
      </c>
      <c r="B18" s="2">
        <v>7</v>
      </c>
      <c r="C18" s="110" t="s">
        <v>726</v>
      </c>
      <c r="D18" s="268"/>
      <c r="E18" s="276"/>
      <c r="F18" s="112" t="str">
        <f>VLOOKUP(C18,Bolts!A:L,5,0)</f>
        <v xml:space="preserve">  </v>
      </c>
      <c r="G18" s="112" t="str">
        <f>VLOOKUP(C18,Bolts!A:L,6,0)</f>
        <v>Monroe Fasteners</v>
      </c>
      <c r="H18" s="112" t="str">
        <f>VLOOKUP(C18,Bolts!A:L,7,0)</f>
        <v xml:space="preserve">  </v>
      </c>
      <c r="I18" s="112"/>
      <c r="J18" s="44" t="str">
        <f>VLOOKUP(C18,Bolts!A:L,8,0)</f>
        <v xml:space="preserve"> </v>
      </c>
      <c r="K18" s="44" t="str">
        <f>VLOOKUP(C18,Bolts!A:L,9,0)</f>
        <v xml:space="preserve"> </v>
      </c>
      <c r="L18" s="44" t="str">
        <f>VLOOKUP(C18,Bolts!A:L,10,0)</f>
        <v xml:space="preserve"> </v>
      </c>
      <c r="M18" s="44" t="str">
        <f>VLOOKUP(C18,Bolts!A:L,11,0)</f>
        <v xml:space="preserve"> </v>
      </c>
      <c r="N18" s="45" t="str">
        <f>VLOOKUP(C18,Bolts!A:L,12,0)</f>
        <v xml:space="preserve"> </v>
      </c>
      <c r="O18" s="45" t="e">
        <f t="shared" ca="1" si="2"/>
        <v>#VALUE!</v>
      </c>
      <c r="P18" s="49" t="str">
        <f>IFERROR(VLOOKUP(C18,Bolts!A:B,2,FALSE),"")</f>
        <v xml:space="preserve"> </v>
      </c>
      <c r="Q18" s="50" t="str">
        <f t="shared" si="9"/>
        <v/>
      </c>
    </row>
    <row r="19" spans="1:17" s="2" customFormat="1" ht="12" customHeight="1">
      <c r="A19" s="4">
        <f>A18+1</f>
        <v>504</v>
      </c>
      <c r="B19" s="2">
        <v>18</v>
      </c>
      <c r="C19" s="110" t="s">
        <v>828</v>
      </c>
      <c r="D19" s="268"/>
      <c r="E19" s="276"/>
      <c r="F19" s="112" t="str">
        <f>VLOOKUP(C19,Bolts!A:L,5,0)</f>
        <v xml:space="preserve">  </v>
      </c>
      <c r="G19" s="112" t="str">
        <f>VLOOKUP(C19,Bolts!A:L,6,0)</f>
        <v>Monroe Fasteners</v>
      </c>
      <c r="H19" s="112" t="str">
        <f>VLOOKUP(C19,Bolts!A:L,7,0)</f>
        <v xml:space="preserve">  </v>
      </c>
      <c r="I19" s="112"/>
      <c r="J19" s="44" t="str">
        <f>VLOOKUP(C19,Bolts!A:L,8,0)</f>
        <v xml:space="preserve"> </v>
      </c>
      <c r="K19" s="44" t="str">
        <f>VLOOKUP(C19,Bolts!A:L,9,0)</f>
        <v xml:space="preserve"> </v>
      </c>
      <c r="L19" s="44" t="str">
        <f>VLOOKUP(C19,Bolts!A:L,10,0)</f>
        <v xml:space="preserve"> </v>
      </c>
      <c r="M19" s="44" t="str">
        <f>VLOOKUP(C19,Bolts!A:L,11,0)</f>
        <v xml:space="preserve"> </v>
      </c>
      <c r="N19" s="45" t="str">
        <f>VLOOKUP(C19,Bolts!A:L,12,0)</f>
        <v xml:space="preserve"> </v>
      </c>
      <c r="O19" s="45" t="e">
        <f t="shared" ca="1" si="2"/>
        <v>#VALUE!</v>
      </c>
      <c r="P19" s="49" t="str">
        <f>IFERROR(VLOOKUP(C19,Bolts!A:B,2,FALSE),"")</f>
        <v xml:space="preserve"> </v>
      </c>
      <c r="Q19" s="50" t="str">
        <f t="shared" si="9"/>
        <v/>
      </c>
    </row>
    <row r="20" spans="1:17" s="2" customFormat="1" ht="12" customHeight="1">
      <c r="A20" s="4">
        <f>A19+1</f>
        <v>505</v>
      </c>
      <c r="B20" s="2">
        <v>8</v>
      </c>
      <c r="C20" s="110" t="s">
        <v>514</v>
      </c>
      <c r="D20" s="268"/>
      <c r="E20" s="276"/>
      <c r="F20" s="112" t="str">
        <f>VLOOKUP(C20,Bolts!A:L,5,0)</f>
        <v xml:space="preserve">  </v>
      </c>
      <c r="G20" s="112" t="str">
        <f>VLOOKUP(C20,Bolts!A:L,6,0)</f>
        <v>Monroe Fasteners</v>
      </c>
      <c r="H20" s="112" t="str">
        <f>VLOOKUP(C20,Bolts!A:L,7,0)</f>
        <v xml:space="preserve">  </v>
      </c>
      <c r="I20" s="112"/>
      <c r="J20" s="44" t="str">
        <f>VLOOKUP(C20,Bolts!A:L,8,0)</f>
        <v xml:space="preserve"> </v>
      </c>
      <c r="K20" s="44" t="str">
        <f>VLOOKUP(C20,Bolts!A:L,9,0)</f>
        <v xml:space="preserve"> </v>
      </c>
      <c r="L20" s="44" t="str">
        <f>VLOOKUP(C20,Bolts!A:L,10,0)</f>
        <v xml:space="preserve"> </v>
      </c>
      <c r="M20" s="44" t="str">
        <f>VLOOKUP(C20,Bolts!A:L,11,0)</f>
        <v xml:space="preserve"> </v>
      </c>
      <c r="N20" s="45" t="str">
        <f>VLOOKUP(C20,Bolts!A:L,12,0)</f>
        <v xml:space="preserve"> </v>
      </c>
      <c r="O20" s="45" t="e">
        <f ca="1">B20*$L$2</f>
        <v>#VALUE!</v>
      </c>
      <c r="P20" s="49" t="str">
        <f>IFERROR(VLOOKUP(C20,Bolts!A:B,2,FALSE),"")</f>
        <v xml:space="preserve"> </v>
      </c>
      <c r="Q20" s="50" t="str">
        <f>IFERROR(B20*P20,"")</f>
        <v/>
      </c>
    </row>
    <row r="21" spans="1:17" s="2" customFormat="1" ht="12" customHeight="1">
      <c r="A21" s="4">
        <f>A20+1</f>
        <v>506</v>
      </c>
      <c r="B21" s="2">
        <v>16</v>
      </c>
      <c r="C21" s="110" t="s">
        <v>1152</v>
      </c>
      <c r="D21" s="268"/>
      <c r="E21" s="276"/>
      <c r="F21" s="112" t="str">
        <f>VLOOKUP(C21,Bolts!A:L,5,0)</f>
        <v xml:space="preserve">  </v>
      </c>
      <c r="G21" s="112" t="str">
        <f>VLOOKUP(C21,Bolts!A:L,6,0)</f>
        <v>Monroe Fasteners</v>
      </c>
      <c r="H21" s="112" t="str">
        <f>VLOOKUP(C21,Bolts!A:L,7,0)</f>
        <v xml:space="preserve">  </v>
      </c>
      <c r="I21" s="112"/>
      <c r="J21" s="44" t="str">
        <f>VLOOKUP(C21,Bolts!A:L,8,0)</f>
        <v xml:space="preserve"> </v>
      </c>
      <c r="K21" s="44" t="str">
        <f>VLOOKUP(C21,Bolts!A:L,9,0)</f>
        <v xml:space="preserve"> </v>
      </c>
      <c r="L21" s="44" t="str">
        <f>VLOOKUP(C21,Bolts!A:L,10,0)</f>
        <v xml:space="preserve"> </v>
      </c>
      <c r="M21" s="44" t="str">
        <f>VLOOKUP(C21,Bolts!A:L,11,0)</f>
        <v xml:space="preserve"> </v>
      </c>
      <c r="N21" s="45" t="str">
        <f>VLOOKUP(C21,Bolts!A:L,12,0)</f>
        <v xml:space="preserve"> </v>
      </c>
      <c r="O21" s="45" t="e">
        <f t="shared" ca="1" si="2"/>
        <v>#VALUE!</v>
      </c>
      <c r="P21" s="49" t="str">
        <f>IFERROR(VLOOKUP(C21,Bolts!A:B,2,FALSE),"")</f>
        <v xml:space="preserve"> </v>
      </c>
      <c r="Q21" s="50" t="str">
        <f t="shared" si="9"/>
        <v/>
      </c>
    </row>
    <row r="22" spans="1:17" s="2" customFormat="1" ht="12.75" customHeight="1">
      <c r="A22" s="25"/>
      <c r="B22" s="26"/>
      <c r="C22" s="26"/>
      <c r="D22" s="272"/>
      <c r="E22" s="273"/>
      <c r="F22" s="26"/>
      <c r="G22" s="26"/>
      <c r="H22" s="274"/>
      <c r="I22" s="275"/>
      <c r="J22" s="27"/>
      <c r="K22" s="27"/>
      <c r="L22" s="27"/>
      <c r="M22" s="28"/>
      <c r="N22" s="29"/>
      <c r="O22" s="29"/>
      <c r="P22" s="141"/>
      <c r="Q22" s="142"/>
    </row>
    <row r="23" spans="1:17" s="2" customFormat="1" ht="12.75" customHeight="1" thickBot="1">
      <c r="A23" s="4">
        <v>701</v>
      </c>
      <c r="B23" s="2">
        <v>4</v>
      </c>
      <c r="C23" s="111" t="s">
        <v>1339</v>
      </c>
      <c r="D23" s="268" t="str">
        <f>VLOOKUP(C23,Extrusion!B:C,2,0)</f>
        <v>Assy .700</v>
      </c>
      <c r="E23" s="269"/>
      <c r="F23" s="112" t="str">
        <f>VLOOKUP(C23,Extrusion!B:M,6,0)</f>
        <v>BOSCH</v>
      </c>
      <c r="G23" s="112" t="str">
        <f>VLOOKUP(C23,Extrusion!B:M,7,0)</f>
        <v>NULINE</v>
      </c>
      <c r="H23" s="112" t="str">
        <f>VLOOKUP(C23,Extrusion!B:M,8,0)</f>
        <v xml:space="preserve"> </v>
      </c>
      <c r="I23" s="113"/>
      <c r="J23" s="44" t="str">
        <f>VLOOKUP(C23,Extrusion!B:M,9,0)</f>
        <v>N/A</v>
      </c>
      <c r="K23" s="44">
        <f>VLOOKUP(C23,Extrusion!B:M,10,0)</f>
        <v>44894</v>
      </c>
      <c r="L23" s="44">
        <f>VLOOKUP(C23,Extrusion!B:M,11,0)</f>
        <v>44970</v>
      </c>
      <c r="M23" s="44">
        <f>VLOOKUP(C23,Extrusion!B:M,12,0)</f>
        <v>44970</v>
      </c>
      <c r="N23" s="45">
        <f>VLOOKUP(C23,Extrusion!B:N,13,0)</f>
        <v>54598</v>
      </c>
      <c r="O23" s="45" t="e">
        <f ca="1">B23*$L$2</f>
        <v>#VALUE!</v>
      </c>
      <c r="P23" s="49">
        <f>IFERROR(VLOOKUP(C23,Extrusion!B:F,5,0),"")</f>
        <v>90.649149824999995</v>
      </c>
      <c r="Q23" s="50">
        <f>IFERROR(B23*P23,"")</f>
        <v>362.59659929999998</v>
      </c>
    </row>
    <row r="24" spans="1:17" s="2" customFormat="1" ht="12.75" customHeight="1" thickBot="1">
      <c r="A24" s="34"/>
      <c r="B24" s="35"/>
      <c r="C24" s="35"/>
      <c r="D24" s="256"/>
      <c r="E24" s="257"/>
      <c r="F24" s="35"/>
      <c r="G24" s="35"/>
      <c r="H24" s="294"/>
      <c r="I24" s="295"/>
      <c r="J24" s="36"/>
      <c r="K24" s="36"/>
      <c r="L24" s="36"/>
      <c r="M24" s="37"/>
      <c r="N24" s="38"/>
      <c r="O24" s="38"/>
      <c r="P24" s="89" t="s">
        <v>43</v>
      </c>
      <c r="Q24" s="94">
        <f>SUM(Q5:Q23)</f>
        <v>658.76469930000007</v>
      </c>
    </row>
    <row r="25" spans="1:17" s="2" customFormat="1" ht="12" customHeight="1">
      <c r="D25" s="22"/>
      <c r="E25" s="22"/>
      <c r="J25" s="8"/>
      <c r="K25" s="8"/>
      <c r="L25" s="8"/>
      <c r="M25" s="8"/>
      <c r="N25" s="5"/>
      <c r="O25" s="5"/>
      <c r="P25" s="88"/>
      <c r="Q25" s="95"/>
    </row>
    <row r="26" spans="1:17" s="2" customFormat="1" ht="12" customHeight="1">
      <c r="D26" s="22"/>
      <c r="E26" s="22"/>
      <c r="J26" s="5"/>
      <c r="K26" s="5"/>
      <c r="L26" s="5"/>
      <c r="M26" s="5"/>
      <c r="N26" s="5"/>
      <c r="O26" s="5"/>
      <c r="P26" s="88"/>
      <c r="Q26" s="95"/>
    </row>
    <row r="27" spans="1:17" s="2" customFormat="1" ht="12" customHeight="1">
      <c r="B27" s="22"/>
      <c r="C27" s="22"/>
      <c r="H27" s="5"/>
      <c r="I27" s="5"/>
      <c r="J27" s="5"/>
      <c r="K27" s="5"/>
      <c r="L27" s="5"/>
      <c r="M27" s="5"/>
      <c r="N27" s="88"/>
      <c r="O27" s="95"/>
    </row>
    <row r="28" spans="1:17" s="2" customFormat="1" ht="12" customHeight="1">
      <c r="B28" s="22"/>
      <c r="C28" s="22"/>
      <c r="H28" s="5"/>
      <c r="I28" s="5"/>
      <c r="J28" s="5"/>
      <c r="K28" s="5"/>
      <c r="L28" s="5"/>
      <c r="M28" s="5"/>
      <c r="N28" s="88"/>
      <c r="O28" s="95"/>
    </row>
    <row r="29" spans="1:17" s="2" customFormat="1" ht="12" customHeight="1">
      <c r="B29" s="22"/>
      <c r="C29" s="22"/>
      <c r="H29" s="5"/>
      <c r="I29" s="5"/>
      <c r="J29" s="5"/>
      <c r="K29" s="5"/>
      <c r="L29" s="5"/>
      <c r="M29" s="5"/>
      <c r="N29" s="88"/>
      <c r="O29" s="95"/>
    </row>
    <row r="30" spans="1:17" s="2" customFormat="1" ht="12" customHeight="1">
      <c r="B30" s="22"/>
      <c r="C30" s="22"/>
      <c r="H30" s="5"/>
      <c r="I30" s="5"/>
      <c r="J30" s="5"/>
      <c r="K30" s="5"/>
      <c r="L30" s="5"/>
      <c r="M30" s="5"/>
      <c r="N30" s="88"/>
      <c r="O30" s="95"/>
    </row>
    <row r="31" spans="1:17" s="2" customFormat="1" ht="12" customHeight="1">
      <c r="B31" s="22"/>
      <c r="C31" s="22"/>
      <c r="H31" s="5"/>
      <c r="I31" s="5"/>
      <c r="J31" s="5"/>
      <c r="K31" s="5"/>
      <c r="L31" s="5"/>
      <c r="M31" s="5"/>
      <c r="N31" s="88"/>
      <c r="O31" s="95"/>
    </row>
    <row r="32" spans="1:17" s="2" customFormat="1" ht="12" customHeight="1">
      <c r="B32" s="22"/>
      <c r="C32" s="22"/>
      <c r="H32" s="5"/>
      <c r="I32" s="5"/>
      <c r="J32" s="5"/>
      <c r="K32" s="5"/>
      <c r="L32" s="5"/>
      <c r="M32" s="5"/>
      <c r="N32" s="88"/>
      <c r="O32" s="95"/>
    </row>
    <row r="33" spans="2:17" s="2" customFormat="1" ht="12" customHeight="1">
      <c r="B33" s="22"/>
      <c r="C33" s="22"/>
      <c r="H33" s="5"/>
      <c r="I33" s="5"/>
      <c r="J33" s="5"/>
      <c r="K33" s="5"/>
      <c r="L33" s="5"/>
      <c r="M33" s="5"/>
      <c r="N33" s="88"/>
      <c r="O33" s="95"/>
    </row>
    <row r="34" spans="2:17" s="2" customFormat="1" ht="12" customHeight="1">
      <c r="B34" s="22"/>
      <c r="C34" s="22"/>
      <c r="H34" s="5"/>
      <c r="I34" s="5"/>
      <c r="J34" s="5"/>
      <c r="K34" s="5"/>
      <c r="L34" s="5"/>
      <c r="M34" s="5"/>
      <c r="N34" s="88"/>
      <c r="O34" s="95"/>
    </row>
    <row r="35" spans="2:17" s="2" customFormat="1" ht="12" customHeight="1">
      <c r="D35" s="22"/>
      <c r="E35" s="22"/>
      <c r="J35" s="5"/>
      <c r="K35" s="5"/>
      <c r="L35" s="5"/>
      <c r="M35" s="5"/>
      <c r="N35" s="5"/>
      <c r="O35" s="5"/>
      <c r="P35" s="88"/>
      <c r="Q35" s="95"/>
    </row>
    <row r="36" spans="2:17" s="2" customFormat="1" ht="12" customHeight="1">
      <c r="D36" s="22"/>
      <c r="E36" s="22"/>
      <c r="J36" s="5"/>
      <c r="K36" s="5"/>
      <c r="L36" s="5"/>
      <c r="M36" s="5"/>
      <c r="N36" s="5"/>
      <c r="O36" s="5"/>
      <c r="P36" s="88"/>
      <c r="Q36" s="95"/>
    </row>
    <row r="37" spans="2:17" s="2" customFormat="1" ht="12" customHeight="1">
      <c r="D37" s="22"/>
      <c r="E37" s="22"/>
      <c r="J37" s="5"/>
      <c r="K37" s="5"/>
      <c r="L37" s="5"/>
      <c r="M37" s="5"/>
      <c r="N37" s="5"/>
      <c r="O37" s="5"/>
      <c r="P37" s="88"/>
      <c r="Q37" s="95"/>
    </row>
    <row r="38" spans="2:17" s="2" customFormat="1" ht="12" customHeight="1">
      <c r="D38" s="22"/>
      <c r="E38" s="22"/>
      <c r="J38" s="5"/>
      <c r="K38" s="5"/>
      <c r="L38" s="5"/>
      <c r="M38" s="5"/>
      <c r="N38" s="5"/>
      <c r="O38" s="5"/>
      <c r="P38" s="88"/>
      <c r="Q38" s="95"/>
    </row>
    <row r="39" spans="2:17" s="2" customFormat="1" ht="12" customHeight="1">
      <c r="D39" s="22"/>
      <c r="E39" s="22"/>
      <c r="J39" s="5"/>
      <c r="K39" s="5"/>
      <c r="L39" s="5"/>
      <c r="M39" s="5"/>
      <c r="N39" s="5"/>
      <c r="O39" s="5"/>
      <c r="P39" s="88"/>
      <c r="Q39" s="95"/>
    </row>
    <row r="40" spans="2:17" s="2" customFormat="1" ht="12" customHeight="1">
      <c r="D40" s="22"/>
      <c r="E40" s="22"/>
      <c r="J40" s="5"/>
      <c r="K40" s="5"/>
      <c r="L40" s="5"/>
      <c r="M40" s="5"/>
      <c r="N40" s="5"/>
      <c r="O40" s="5"/>
      <c r="P40" s="88"/>
      <c r="Q40" s="95"/>
    </row>
    <row r="41" spans="2:17" s="2" customFormat="1" ht="12" customHeight="1">
      <c r="D41" s="22"/>
      <c r="E41" s="22"/>
      <c r="J41" s="5"/>
      <c r="K41" s="5"/>
      <c r="L41" s="5"/>
      <c r="M41" s="5"/>
      <c r="N41" s="5"/>
      <c r="O41" s="5"/>
      <c r="P41" s="88"/>
      <c r="Q41" s="95"/>
    </row>
    <row r="42" spans="2:17" s="2" customFormat="1" ht="12" customHeight="1">
      <c r="D42" s="22"/>
      <c r="E42" s="22"/>
      <c r="J42" s="5"/>
      <c r="K42" s="5"/>
      <c r="L42" s="5"/>
      <c r="M42" s="5"/>
      <c r="N42" s="5"/>
      <c r="O42" s="5"/>
      <c r="P42" s="88"/>
      <c r="Q42" s="95"/>
    </row>
    <row r="43" spans="2:17" s="2" customFormat="1" ht="12" customHeight="1">
      <c r="D43" s="22"/>
      <c r="E43" s="22"/>
      <c r="J43" s="5"/>
      <c r="K43" s="5"/>
      <c r="L43" s="5"/>
      <c r="M43" s="5"/>
      <c r="N43" s="5"/>
      <c r="O43" s="5"/>
      <c r="P43" s="88"/>
      <c r="Q43" s="95"/>
    </row>
    <row r="44" spans="2:17" s="2" customFormat="1" ht="12" customHeight="1">
      <c r="D44" s="22"/>
      <c r="E44" s="22"/>
      <c r="J44" s="5"/>
      <c r="K44" s="5"/>
      <c r="L44" s="5"/>
      <c r="M44" s="5"/>
      <c r="N44" s="5"/>
      <c r="O44" s="5"/>
      <c r="P44" s="88"/>
      <c r="Q44" s="95"/>
    </row>
    <row r="45" spans="2:17" s="2" customFormat="1" ht="12" customHeight="1">
      <c r="D45" s="22"/>
      <c r="E45" s="22"/>
      <c r="J45" s="5"/>
      <c r="K45" s="5"/>
      <c r="L45" s="5"/>
      <c r="M45" s="5"/>
      <c r="N45" s="5"/>
      <c r="O45" s="5"/>
      <c r="P45" s="88"/>
      <c r="Q45" s="95"/>
    </row>
    <row r="46" spans="2:17" s="2" customFormat="1" ht="12" customHeight="1">
      <c r="D46" s="22"/>
      <c r="E46" s="22"/>
      <c r="J46" s="5"/>
      <c r="K46" s="5"/>
      <c r="L46" s="5"/>
      <c r="M46" s="5"/>
      <c r="N46" s="5"/>
      <c r="O46" s="5"/>
      <c r="P46" s="88"/>
      <c r="Q46" s="95"/>
    </row>
    <row r="47" spans="2:17" s="2" customFormat="1" ht="12" customHeight="1">
      <c r="D47" s="22"/>
      <c r="E47" s="22"/>
      <c r="J47" s="5"/>
      <c r="K47" s="5"/>
      <c r="L47" s="5"/>
      <c r="M47" s="5"/>
      <c r="N47" s="5"/>
      <c r="O47" s="5"/>
      <c r="P47" s="88"/>
      <c r="Q47" s="95"/>
    </row>
    <row r="48" spans="2:17" s="2" customFormat="1" ht="12" customHeight="1">
      <c r="D48" s="22"/>
      <c r="E48" s="22"/>
      <c r="J48" s="5"/>
      <c r="K48" s="5"/>
      <c r="L48" s="5"/>
      <c r="M48" s="5"/>
      <c r="N48" s="5"/>
      <c r="O48" s="5"/>
      <c r="P48" s="88"/>
      <c r="Q48" s="95"/>
    </row>
    <row r="49" spans="4:17" s="2" customFormat="1" ht="12" customHeight="1">
      <c r="D49" s="22"/>
      <c r="E49" s="22"/>
      <c r="J49" s="5"/>
      <c r="K49" s="5"/>
      <c r="L49" s="5"/>
      <c r="M49" s="5"/>
      <c r="N49" s="5"/>
      <c r="O49" s="5"/>
      <c r="P49" s="88"/>
      <c r="Q49" s="95"/>
    </row>
    <row r="50" spans="4:17" s="2" customFormat="1" ht="12" customHeight="1">
      <c r="D50" s="22"/>
      <c r="E50" s="22"/>
      <c r="J50" s="5"/>
      <c r="K50" s="5"/>
      <c r="L50" s="5"/>
      <c r="M50" s="5"/>
      <c r="N50" s="5"/>
      <c r="O50" s="5"/>
      <c r="P50" s="88"/>
      <c r="Q50" s="95"/>
    </row>
    <row r="51" spans="4:17" s="2" customFormat="1" ht="12" customHeight="1">
      <c r="D51" s="22"/>
      <c r="E51" s="22"/>
      <c r="J51" s="5"/>
      <c r="K51" s="5"/>
      <c r="L51" s="5"/>
      <c r="M51" s="5"/>
      <c r="N51" s="5"/>
      <c r="O51" s="5"/>
      <c r="P51" s="88"/>
      <c r="Q51" s="95"/>
    </row>
    <row r="52" spans="4:17" s="2" customFormat="1" ht="12" customHeight="1">
      <c r="D52" s="22"/>
      <c r="E52" s="22"/>
      <c r="J52" s="5"/>
      <c r="K52" s="5"/>
      <c r="L52" s="5"/>
      <c r="M52" s="5"/>
      <c r="N52" s="5"/>
      <c r="O52" s="5"/>
      <c r="P52" s="88"/>
      <c r="Q52" s="95"/>
    </row>
    <row r="53" spans="4:17" s="2" customFormat="1" ht="12" customHeight="1">
      <c r="D53" s="22"/>
      <c r="E53" s="22"/>
      <c r="J53" s="5"/>
      <c r="K53" s="5"/>
      <c r="L53" s="5"/>
      <c r="M53" s="5"/>
      <c r="N53" s="5"/>
      <c r="O53" s="5"/>
      <c r="P53" s="88"/>
      <c r="Q53" s="95"/>
    </row>
    <row r="54" spans="4:17" s="2" customFormat="1" ht="12" customHeight="1">
      <c r="D54" s="22"/>
      <c r="E54" s="22"/>
      <c r="J54" s="5"/>
      <c r="K54" s="5"/>
      <c r="L54" s="5"/>
      <c r="M54" s="5"/>
      <c r="N54" s="5"/>
      <c r="O54" s="5"/>
      <c r="P54" s="88"/>
      <c r="Q54" s="95"/>
    </row>
    <row r="55" spans="4:17" s="2" customFormat="1" ht="12" customHeight="1">
      <c r="D55" s="22"/>
      <c r="E55" s="22"/>
      <c r="J55" s="5"/>
      <c r="K55" s="5"/>
      <c r="L55" s="5"/>
      <c r="M55" s="5"/>
      <c r="N55" s="5"/>
      <c r="O55" s="5"/>
      <c r="P55" s="88"/>
      <c r="Q55" s="95"/>
    </row>
    <row r="56" spans="4:17" s="2" customFormat="1" ht="12" customHeight="1">
      <c r="D56" s="22"/>
      <c r="E56" s="22"/>
      <c r="J56" s="5"/>
      <c r="K56" s="5"/>
      <c r="L56" s="5"/>
      <c r="M56" s="5"/>
      <c r="N56" s="5"/>
      <c r="O56" s="5"/>
      <c r="P56" s="88"/>
      <c r="Q56" s="95"/>
    </row>
    <row r="57" spans="4:17" s="2" customFormat="1" ht="12" customHeight="1">
      <c r="D57" s="22"/>
      <c r="E57" s="22"/>
      <c r="J57" s="5"/>
      <c r="K57" s="5"/>
      <c r="L57" s="5"/>
      <c r="M57" s="5"/>
      <c r="N57" s="5"/>
      <c r="O57" s="5"/>
      <c r="P57" s="88"/>
      <c r="Q57" s="95"/>
    </row>
    <row r="58" spans="4:17" s="2" customFormat="1" ht="12" customHeight="1">
      <c r="D58" s="22"/>
      <c r="E58" s="22"/>
      <c r="J58" s="5"/>
      <c r="K58" s="5"/>
      <c r="L58" s="5"/>
      <c r="M58" s="5"/>
      <c r="N58" s="5"/>
      <c r="O58" s="5"/>
      <c r="P58" s="88"/>
      <c r="Q58" s="95"/>
    </row>
    <row r="59" spans="4:17" s="2" customFormat="1" ht="12" customHeight="1">
      <c r="D59" s="22"/>
      <c r="E59" s="22"/>
      <c r="J59" s="5"/>
      <c r="K59" s="5"/>
      <c r="L59" s="5"/>
      <c r="M59" s="5"/>
      <c r="N59" s="5"/>
      <c r="O59" s="5"/>
      <c r="P59" s="88"/>
      <c r="Q59" s="95"/>
    </row>
    <row r="60" spans="4:17" s="2" customFormat="1" ht="12" customHeight="1">
      <c r="D60" s="22"/>
      <c r="E60" s="22"/>
      <c r="J60" s="5"/>
      <c r="K60" s="5"/>
      <c r="L60" s="5"/>
      <c r="M60" s="5"/>
      <c r="N60" s="5"/>
      <c r="O60" s="5"/>
      <c r="P60" s="88"/>
      <c r="Q60" s="95"/>
    </row>
    <row r="61" spans="4:17" s="2" customFormat="1" ht="12" customHeight="1">
      <c r="D61" s="22"/>
      <c r="E61" s="22"/>
      <c r="J61" s="5"/>
      <c r="K61" s="5"/>
      <c r="L61" s="5"/>
      <c r="M61" s="5"/>
      <c r="N61" s="5"/>
      <c r="O61" s="5"/>
      <c r="P61" s="88"/>
      <c r="Q61" s="95"/>
    </row>
    <row r="62" spans="4:17" s="2" customFormat="1" ht="12" customHeight="1">
      <c r="D62" s="22"/>
      <c r="E62" s="22"/>
      <c r="J62" s="5"/>
      <c r="K62" s="5"/>
      <c r="L62" s="5"/>
      <c r="M62" s="5"/>
      <c r="N62" s="5"/>
      <c r="O62" s="5"/>
      <c r="P62" s="88"/>
      <c r="Q62" s="95"/>
    </row>
    <row r="63" spans="4:17" s="2" customFormat="1" ht="12" customHeight="1">
      <c r="D63" s="22"/>
      <c r="E63" s="22"/>
      <c r="J63" s="5"/>
      <c r="K63" s="5"/>
      <c r="L63" s="5"/>
      <c r="M63" s="5"/>
      <c r="N63" s="5"/>
      <c r="O63" s="5"/>
      <c r="P63" s="88"/>
      <c r="Q63" s="96"/>
    </row>
    <row r="64" spans="4:17" s="2" customFormat="1" ht="12" customHeight="1">
      <c r="D64" s="22"/>
      <c r="E64" s="22"/>
      <c r="J64" s="5"/>
      <c r="K64" s="5"/>
      <c r="L64" s="5"/>
      <c r="M64" s="5"/>
      <c r="N64" s="5"/>
      <c r="O64" s="5"/>
      <c r="P64" s="88"/>
      <c r="Q64" s="96"/>
    </row>
    <row r="65" spans="1:17" s="2" customFormat="1" ht="12" customHeight="1">
      <c r="D65" s="22"/>
      <c r="E65" s="22"/>
      <c r="J65" s="5"/>
      <c r="K65" s="5"/>
      <c r="L65" s="5"/>
      <c r="M65" s="5"/>
      <c r="N65" s="5"/>
      <c r="O65" s="5"/>
      <c r="P65" s="88"/>
      <c r="Q65" s="96"/>
    </row>
    <row r="66" spans="1:17" s="2" customFormat="1" ht="12" customHeight="1">
      <c r="D66" s="22"/>
      <c r="E66" s="22"/>
      <c r="J66" s="5"/>
      <c r="K66" s="5"/>
      <c r="L66" s="5"/>
      <c r="M66" s="5"/>
      <c r="N66" s="5"/>
      <c r="O66" s="5"/>
      <c r="P66" s="88"/>
      <c r="Q66" s="96"/>
    </row>
    <row r="67" spans="1:17" s="2" customFormat="1" ht="12" customHeight="1">
      <c r="A67"/>
      <c r="B67"/>
      <c r="C67"/>
      <c r="D67" s="23"/>
      <c r="E67" s="23"/>
      <c r="F67"/>
      <c r="G67"/>
      <c r="H67"/>
      <c r="I67"/>
      <c r="J67" s="19"/>
      <c r="K67" s="19"/>
      <c r="L67" s="19"/>
      <c r="M67" s="19"/>
      <c r="N67" s="19"/>
      <c r="O67" s="19"/>
      <c r="P67" s="90"/>
      <c r="Q67" s="96"/>
    </row>
    <row r="68" spans="1:17" s="2" customFormat="1" ht="12" customHeight="1">
      <c r="A68"/>
      <c r="B68"/>
      <c r="C68"/>
      <c r="D68" s="23"/>
      <c r="E68" s="23"/>
      <c r="F68"/>
      <c r="G68"/>
      <c r="H68"/>
      <c r="I68"/>
      <c r="J68" s="19"/>
      <c r="K68" s="19"/>
      <c r="L68" s="19"/>
      <c r="M68" s="19"/>
      <c r="N68" s="19"/>
      <c r="O68" s="19"/>
      <c r="P68" s="90"/>
      <c r="Q68" s="96"/>
    </row>
    <row r="69" spans="1:17" s="2" customFormat="1" ht="12" customHeight="1">
      <c r="A69"/>
      <c r="B69"/>
      <c r="C69"/>
      <c r="D69" s="23"/>
      <c r="E69" s="23"/>
      <c r="F69"/>
      <c r="G69"/>
      <c r="H69"/>
      <c r="I69"/>
      <c r="J69" s="19"/>
      <c r="K69" s="19"/>
      <c r="L69" s="19"/>
      <c r="M69" s="19"/>
      <c r="N69" s="19"/>
      <c r="O69" s="19"/>
      <c r="P69" s="90"/>
      <c r="Q69" s="96"/>
    </row>
    <row r="70" spans="1:17" s="2" customFormat="1" ht="12" customHeight="1">
      <c r="A70"/>
      <c r="B70"/>
      <c r="C70"/>
      <c r="D70" s="23"/>
      <c r="E70" s="23"/>
      <c r="F70"/>
      <c r="G70"/>
      <c r="H70"/>
      <c r="I70"/>
      <c r="J70" s="19"/>
      <c r="K70" s="19"/>
      <c r="L70" s="19"/>
      <c r="M70" s="19"/>
      <c r="N70" s="19"/>
      <c r="O70" s="19"/>
      <c r="P70" s="90"/>
      <c r="Q70" s="96"/>
    </row>
    <row r="71" spans="1:17" s="2" customFormat="1" ht="12" customHeight="1">
      <c r="A71"/>
      <c r="B71"/>
      <c r="C71"/>
      <c r="D71" s="23"/>
      <c r="E71" s="23"/>
      <c r="F71"/>
      <c r="G71"/>
      <c r="H71"/>
      <c r="I71"/>
      <c r="J71" s="19"/>
      <c r="K71" s="19"/>
      <c r="L71" s="19"/>
      <c r="M71" s="19"/>
      <c r="N71" s="19"/>
      <c r="O71" s="19"/>
      <c r="P71" s="90"/>
      <c r="Q71" s="96"/>
    </row>
    <row r="72" spans="1:17">
      <c r="Q72" s="96"/>
    </row>
    <row r="73" spans="1:17">
      <c r="Q73" s="96"/>
    </row>
    <row r="74" spans="1:17">
      <c r="Q74" s="96"/>
    </row>
    <row r="75" spans="1:17">
      <c r="Q75" s="96"/>
    </row>
    <row r="76" spans="1:17">
      <c r="Q76" s="96"/>
    </row>
    <row r="77" spans="1:17">
      <c r="Q77" s="96"/>
    </row>
    <row r="78" spans="1:17">
      <c r="Q78" s="96"/>
    </row>
    <row r="79" spans="1:17">
      <c r="Q79" s="96"/>
    </row>
    <row r="80" spans="1:17">
      <c r="Q80" s="96"/>
    </row>
    <row r="81" spans="17:17">
      <c r="Q81" s="96"/>
    </row>
    <row r="82" spans="17:17">
      <c r="Q82" s="96"/>
    </row>
    <row r="83" spans="17:17">
      <c r="Q83" s="96"/>
    </row>
    <row r="84" spans="17:17">
      <c r="Q84" s="96"/>
    </row>
    <row r="85" spans="17:17">
      <c r="Q85" s="96"/>
    </row>
    <row r="86" spans="17:17">
      <c r="Q86" s="96"/>
    </row>
    <row r="87" spans="17:17">
      <c r="Q87" s="96"/>
    </row>
    <row r="88" spans="17:17">
      <c r="Q88" s="96"/>
    </row>
    <row r="89" spans="17:17">
      <c r="Q89" s="96"/>
    </row>
    <row r="90" spans="17:17">
      <c r="Q90" s="96"/>
    </row>
    <row r="91" spans="17:17">
      <c r="Q91" s="96"/>
    </row>
    <row r="128" ht="12" customHeight="1"/>
    <row r="129" ht="12" customHeight="1"/>
    <row r="130" ht="12" customHeight="1"/>
    <row r="131" ht="12" customHeight="1"/>
    <row r="132" ht="12" customHeight="1"/>
    <row r="133" ht="12" customHeight="1"/>
    <row r="134" ht="12" customHeight="1"/>
    <row r="135" ht="12" customHeight="1"/>
    <row r="136" ht="12" customHeight="1"/>
    <row r="137" ht="12" customHeight="1"/>
    <row r="138" ht="12" customHeight="1"/>
    <row r="139" ht="12" customHeight="1"/>
    <row r="140" ht="12" customHeight="1"/>
    <row r="141" ht="12" customHeight="1"/>
    <row r="142" ht="12" customHeight="1"/>
    <row r="143" ht="12" customHeight="1"/>
    <row r="144" ht="12" customHeight="1"/>
    <row r="145" ht="12" customHeight="1"/>
    <row r="146" ht="12" customHeight="1"/>
    <row r="147" ht="12" customHeight="1"/>
    <row r="148" ht="12" customHeight="1"/>
    <row r="149" ht="12" customHeight="1"/>
    <row r="150" ht="12" customHeight="1"/>
    <row r="151" ht="12" customHeight="1"/>
    <row r="152" ht="12" customHeight="1"/>
    <row r="153" ht="12" customHeight="1"/>
    <row r="154" ht="12" customHeight="1"/>
    <row r="155" ht="12" customHeight="1"/>
    <row r="156" ht="12" customHeight="1"/>
    <row r="157" ht="12" customHeight="1"/>
    <row r="158" ht="12" customHeight="1"/>
    <row r="159" ht="12" customHeight="1"/>
    <row r="160" ht="12" customHeight="1"/>
    <row r="161" ht="12" customHeight="1"/>
    <row r="162" ht="12" customHeight="1"/>
    <row r="163" ht="12" customHeight="1"/>
    <row r="164" ht="12" customHeight="1"/>
    <row r="165" ht="12" customHeight="1"/>
    <row r="166" ht="12" customHeight="1"/>
    <row r="167" ht="12" customHeight="1"/>
    <row r="168" ht="12" customHeight="1"/>
    <row r="169" ht="12" customHeight="1"/>
    <row r="170" ht="12" customHeight="1"/>
    <row r="171" ht="12" customHeight="1"/>
    <row r="172" ht="12" customHeight="1"/>
    <row r="173" ht="12" customHeight="1"/>
    <row r="174" ht="12" customHeight="1"/>
    <row r="175" ht="12" customHeight="1"/>
    <row r="176" ht="12" customHeight="1"/>
    <row r="177" ht="12" customHeight="1"/>
  </sheetData>
  <mergeCells count="27">
    <mergeCell ref="D24:E24"/>
    <mergeCell ref="H24:I24"/>
    <mergeCell ref="D22:E22"/>
    <mergeCell ref="H22:I22"/>
    <mergeCell ref="D23:E23"/>
    <mergeCell ref="D21:E21"/>
    <mergeCell ref="D15:E15"/>
    <mergeCell ref="H15:I15"/>
    <mergeCell ref="D12:E12"/>
    <mergeCell ref="D16:E16"/>
    <mergeCell ref="D17:E17"/>
    <mergeCell ref="D18:E18"/>
    <mergeCell ref="D19:E19"/>
    <mergeCell ref="D20:E20"/>
    <mergeCell ref="D13:E13"/>
    <mergeCell ref="D14:E14"/>
    <mergeCell ref="D10:E10"/>
    <mergeCell ref="D11:E11"/>
    <mergeCell ref="D5:E5"/>
    <mergeCell ref="D6:E6"/>
    <mergeCell ref="D7:E7"/>
    <mergeCell ref="D8:E8"/>
    <mergeCell ref="D1:E1"/>
    <mergeCell ref="D4:E4"/>
    <mergeCell ref="H4:I4"/>
    <mergeCell ref="D9:E9"/>
    <mergeCell ref="H9:I9"/>
  </mergeCells>
  <conditionalFormatting sqref="M5:M8 M10:M14">
    <cfRule type="cellIs" dxfId="178" priority="3" stopIfTrue="1" operator="lessThanOrEqual">
      <formula>$L5</formula>
    </cfRule>
    <cfRule type="cellIs" dxfId="177" priority="4" operator="greaterThan">
      <formula>L5</formula>
    </cfRule>
  </conditionalFormatting>
  <conditionalFormatting sqref="M16:M21">
    <cfRule type="cellIs" dxfId="176" priority="5" stopIfTrue="1" operator="lessThanOrEqual">
      <formula>$L16</formula>
    </cfRule>
    <cfRule type="cellIs" dxfId="175" priority="6" operator="greaterThan">
      <formula>L16</formula>
    </cfRule>
  </conditionalFormatting>
  <conditionalFormatting sqref="M23">
    <cfRule type="cellIs" dxfId="174" priority="1" stopIfTrue="1" operator="lessThanOrEqual">
      <formula>$L23</formula>
    </cfRule>
    <cfRule type="cellIs" dxfId="173" priority="2" operator="greaterThan">
      <formula>L23</formula>
    </cfRule>
  </conditionalFormatting>
  <pageMargins left="0.7" right="0.7" top="0.75" bottom="0.75" header="0.3" footer="0.3"/>
  <pageSetup paperSize="3" fitToHeight="0" orientation="landscape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 xr:uid="{03861977-E49A-403C-B83A-66E9F7A3E0B4}">
          <x14:formula1>
            <xm:f>Bolts!$A:$A</xm:f>
          </x14:formula1>
          <xm:sqref>C16:C21</xm:sqref>
        </x14:dataValidation>
        <x14:dataValidation type="list" allowBlank="1" showInputMessage="1" showErrorMessage="1" xr:uid="{C7BB778D-A32D-401B-8581-453538C4A3B6}">
          <x14:formula1>
            <xm:f>Purchased!$A:$A</xm:f>
          </x14:formula1>
          <xm:sqref>C10:C14</xm:sqref>
        </x14:dataValidation>
        <x14:dataValidation type="list" allowBlank="1" showInputMessage="1" showErrorMessage="1" xr:uid="{6B5398B3-6C1D-40A7-8B5D-14251EDA4250}">
          <x14:formula1>
            <xm:f>Extrusion!$B:$B</xm:f>
          </x14:formula1>
          <xm:sqref>C23</xm:sqref>
        </x14:dataValidation>
        <x14:dataValidation type="list" allowBlank="1" showInputMessage="1" showErrorMessage="1" xr:uid="{05FCB435-C62B-4AD9-A7F0-F2BEA9A1AA4F}">
          <x14:formula1>
            <xm:f>Machined!$C:$C</xm:f>
          </x14:formula1>
          <xm:sqref>C5:C8</xm:sqref>
        </x14:dataValidation>
      </x14:dataValidations>
    </ext>
  </extLst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0DA3E5-576D-4499-AC35-5319DEC7EB4D}">
  <sheetPr codeName="Sheet137">
    <tabColor theme="3" tint="0.59999389629810485"/>
    <pageSetUpPr fitToPage="1"/>
  </sheetPr>
  <dimension ref="A1:Q170"/>
  <sheetViews>
    <sheetView zoomScaleNormal="100" workbookViewId="0">
      <selection activeCell="K30" sqref="K30"/>
    </sheetView>
  </sheetViews>
  <sheetFormatPr defaultColWidth="9.140625" defaultRowHeight="15"/>
  <cols>
    <col min="1" max="1" width="5.7109375" customWidth="1"/>
    <col min="2" max="2" width="5.42578125" bestFit="1" customWidth="1"/>
    <col min="3" max="3" width="30.7109375" customWidth="1"/>
    <col min="4" max="5" width="20.7109375" style="23" customWidth="1"/>
    <col min="6" max="6" width="16.85546875" bestFit="1" customWidth="1"/>
    <col min="7" max="7" width="9.7109375" customWidth="1"/>
    <col min="8" max="8" width="8.7109375" customWidth="1"/>
    <col min="9" max="9" width="20.7109375" customWidth="1"/>
    <col min="10" max="13" width="11.7109375" style="19" customWidth="1"/>
    <col min="14" max="14" width="11.85546875" style="19" bestFit="1" customWidth="1"/>
    <col min="15" max="15" width="7.7109375" style="19" customWidth="1"/>
    <col min="16" max="16" width="10.7109375" style="90" customWidth="1"/>
    <col min="17" max="17" width="10.7109375" style="97" customWidth="1"/>
  </cols>
  <sheetData>
    <row r="1" spans="1:17" s="55" customFormat="1" ht="12" customHeight="1">
      <c r="A1" s="68" t="s">
        <v>0</v>
      </c>
      <c r="B1" s="69"/>
      <c r="C1" s="69"/>
      <c r="D1" s="262" t="s">
        <v>1</v>
      </c>
      <c r="E1" s="263"/>
      <c r="F1" s="70"/>
      <c r="G1" s="69"/>
      <c r="H1" s="70"/>
      <c r="I1" s="71"/>
      <c r="J1" s="72"/>
      <c r="K1" s="72"/>
      <c r="L1" s="72"/>
      <c r="M1" s="72"/>
      <c r="N1" s="72"/>
      <c r="O1" s="72"/>
      <c r="P1" s="85"/>
      <c r="Q1" s="91"/>
    </row>
    <row r="2" spans="1:17" s="55" customFormat="1" ht="12" customHeight="1">
      <c r="A2" s="74" t="s">
        <v>48</v>
      </c>
      <c r="B2" s="58"/>
      <c r="C2" s="57" t="e">
        <f ca="1">VLOOKUP(E3,Assemblies!B:F,4,0)</f>
        <v>#VALUE!</v>
      </c>
      <c r="D2" s="75" t="s">
        <v>3</v>
      </c>
      <c r="E2" s="76" t="e">
        <f ca="1">'GF12'!E2</f>
        <v>#VALUE!</v>
      </c>
      <c r="F2" s="77" t="s">
        <v>4</v>
      </c>
      <c r="G2" s="58" t="str">
        <f>'GF12'!G2</f>
        <v>GH</v>
      </c>
      <c r="H2" s="77" t="s">
        <v>6</v>
      </c>
      <c r="I2" s="59">
        <f>'GF12'!I2</f>
        <v>44775</v>
      </c>
      <c r="J2" s="39"/>
      <c r="K2" s="40" t="s">
        <v>49</v>
      </c>
      <c r="L2" s="41" t="e">
        <f ca="1">VLOOKUP(C2,Assemblies!E:G,3,0)</f>
        <v>#VALUE!</v>
      </c>
      <c r="M2" s="78"/>
      <c r="N2" s="78"/>
      <c r="O2" s="78"/>
      <c r="P2" s="86"/>
      <c r="Q2" s="92"/>
    </row>
    <row r="3" spans="1:17" s="55" customFormat="1" ht="12" customHeight="1" thickBot="1">
      <c r="A3" s="74" t="s">
        <v>7</v>
      </c>
      <c r="B3" s="58"/>
      <c r="C3" s="57" t="e">
        <f ca="1">VLOOKUP(E3,Assemblies!B:F,5,0)</f>
        <v>#VALUE!</v>
      </c>
      <c r="D3" s="75" t="s">
        <v>50</v>
      </c>
      <c r="E3" s="76" t="e">
        <f ca="1">MID(CELL("filename",A1),FIND("]",CELL("filename",A1))+1,256)</f>
        <v>#VALUE!</v>
      </c>
      <c r="F3" s="77" t="s">
        <v>11</v>
      </c>
      <c r="G3" s="58" t="str">
        <f>'GF12'!G3</f>
        <v>GH</v>
      </c>
      <c r="H3" s="77" t="s">
        <v>6</v>
      </c>
      <c r="I3" s="59">
        <f>'GF12'!I3</f>
        <v>44775</v>
      </c>
      <c r="J3" s="78"/>
      <c r="K3" s="78"/>
      <c r="L3" s="78"/>
      <c r="M3" s="78"/>
      <c r="N3" s="78"/>
      <c r="O3" s="78"/>
      <c r="P3" s="86"/>
      <c r="Q3" s="92"/>
    </row>
    <row r="4" spans="1:17" s="56" customFormat="1" ht="12.75" customHeight="1" thickBot="1">
      <c r="A4" s="80" t="s">
        <v>12</v>
      </c>
      <c r="B4" s="81" t="s">
        <v>13</v>
      </c>
      <c r="C4" s="81" t="s">
        <v>14</v>
      </c>
      <c r="D4" s="270" t="s">
        <v>15</v>
      </c>
      <c r="E4" s="271"/>
      <c r="F4" s="104" t="s">
        <v>16</v>
      </c>
      <c r="G4" s="81" t="s">
        <v>17</v>
      </c>
      <c r="H4" s="260" t="s">
        <v>18</v>
      </c>
      <c r="I4" s="261"/>
      <c r="J4" s="81" t="s">
        <v>51</v>
      </c>
      <c r="K4" s="81" t="s">
        <v>20</v>
      </c>
      <c r="L4" s="81" t="s">
        <v>21</v>
      </c>
      <c r="M4" s="81" t="s">
        <v>52</v>
      </c>
      <c r="N4" s="81" t="s">
        <v>22</v>
      </c>
      <c r="O4" s="81" t="s">
        <v>53</v>
      </c>
      <c r="P4" s="107" t="s">
        <v>26</v>
      </c>
      <c r="Q4" s="82" t="s">
        <v>27</v>
      </c>
    </row>
    <row r="5" spans="1:17" s="2" customFormat="1" ht="12.75" customHeight="1">
      <c r="A5" s="127">
        <v>1</v>
      </c>
      <c r="B5" s="21">
        <v>4</v>
      </c>
      <c r="C5" s="108" t="s">
        <v>1340</v>
      </c>
      <c r="D5" s="277" t="str">
        <f>VLOOKUP(C5,Machined!C:Q,2,0)</f>
        <v>ACTUATOR MOUNT PLATE</v>
      </c>
      <c r="E5" s="278"/>
      <c r="F5" s="131" t="str">
        <f>VLOOKUP(C5,Machined!C:R,7,0)</f>
        <v>AISI 1020 Steel, Cold Rolled</v>
      </c>
      <c r="G5" s="131" t="str">
        <f>VLOOKUP(C5,Machined!C:R,10,0)</f>
        <v>NULINE</v>
      </c>
      <c r="H5" s="131" t="str">
        <f>VLOOKUP(C5,Machined!C:R,11,0)</f>
        <v xml:space="preserve">  </v>
      </c>
      <c r="I5" s="131"/>
      <c r="J5" s="42" t="str">
        <f>VLOOKUP(C5,Machined!C:R,12,0)</f>
        <v>N/A</v>
      </c>
      <c r="K5" s="42" t="str">
        <f>VLOOKUP(C5,Machined!C:R,13,0)</f>
        <v>N/A</v>
      </c>
      <c r="L5" s="42" t="str">
        <f>VLOOKUP(C5,Machined!C:R,14,0)</f>
        <v>N/A</v>
      </c>
      <c r="M5" s="42" t="str">
        <f>VLOOKUP(C5,Machined!C:R,15,0)</f>
        <v>N/A</v>
      </c>
      <c r="N5" s="43" t="str">
        <f>VLOOKUP(C5,Machined!C:R,16,0)</f>
        <v>N/A</v>
      </c>
      <c r="O5" s="43" t="e">
        <f t="shared" ref="O5" ca="1" si="0">B5*$L$2</f>
        <v>#VALUE!</v>
      </c>
      <c r="P5" s="47">
        <f>IFERROR(VLOOKUP(C5,Machined!C:F,3,0),"")</f>
        <v>0</v>
      </c>
      <c r="Q5" s="48">
        <f t="shared" ref="Q5" si="1">IFERROR(B5*P5,"")</f>
        <v>0</v>
      </c>
    </row>
    <row r="6" spans="1:17" s="2" customFormat="1" ht="12.75" customHeight="1">
      <c r="A6" s="143"/>
      <c r="B6" s="26"/>
      <c r="C6" s="26"/>
      <c r="D6" s="272"/>
      <c r="E6" s="273"/>
      <c r="F6" s="26"/>
      <c r="G6" s="26"/>
      <c r="H6" s="274"/>
      <c r="I6" s="275"/>
      <c r="J6" s="27"/>
      <c r="K6" s="27"/>
      <c r="L6" s="27"/>
      <c r="M6" s="28"/>
      <c r="N6" s="29"/>
      <c r="O6" s="29"/>
      <c r="P6" s="141"/>
      <c r="Q6" s="142"/>
    </row>
    <row r="7" spans="1:17" s="2" customFormat="1" ht="12.75" customHeight="1">
      <c r="A7" s="4">
        <v>301</v>
      </c>
      <c r="B7" s="2">
        <v>8</v>
      </c>
      <c r="C7" s="114" t="s">
        <v>262</v>
      </c>
      <c r="D7" s="268" t="str">
        <f>VLOOKUP(C7,Purchased!A:B,2,0)</f>
        <v>BRX GOTO T-NUT 10 M6</v>
      </c>
      <c r="E7" s="269"/>
      <c r="F7" s="112" t="str">
        <f>VLOOKUP(C7,Purchased!A:Q,9,0)</f>
        <v>BRX</v>
      </c>
      <c r="G7" s="112" t="str">
        <f>VLOOKUP(C7,Purchased!A:Q,10,0)</f>
        <v>AAP</v>
      </c>
      <c r="H7" s="112" t="str">
        <f>VLOOKUP(C7,Purchased!A:Q,12,0)</f>
        <v xml:space="preserve">  </v>
      </c>
      <c r="I7" s="113"/>
      <c r="J7" s="44">
        <f>VLOOKUP(C7,Purchased!A:Q,13,0)</f>
        <v>45104</v>
      </c>
      <c r="K7" s="44">
        <f>VLOOKUP(C7,Purchased!A:Q,14,0)</f>
        <v>45105</v>
      </c>
      <c r="L7" s="44">
        <f>VLOOKUP(C7,Purchased!A:Q,15,0)</f>
        <v>45133</v>
      </c>
      <c r="M7" s="44">
        <f>VLOOKUP(C7,Purchased!A:Q,16,0)</f>
        <v>45133</v>
      </c>
      <c r="N7" s="45" t="str">
        <f>VLOOKUP(C7,Purchased!A:Q,17,0)</f>
        <v>54968, 55147, 55270</v>
      </c>
      <c r="O7" s="45" t="e">
        <f t="shared" ref="O7:O11" ca="1" si="2">B7*$L$2</f>
        <v>#VALUE!</v>
      </c>
      <c r="P7" s="49">
        <f>IFERROR(VLOOKUP(C7,Purchased!A:E,3,FALSE),"")</f>
        <v>0.64290000000000003</v>
      </c>
      <c r="Q7" s="50">
        <f t="shared" ref="Q7:Q11" si="3">IFERROR(B7*P7,"")</f>
        <v>5.1432000000000002</v>
      </c>
    </row>
    <row r="8" spans="1:17" s="2" customFormat="1" ht="12" customHeight="1">
      <c r="A8" s="4">
        <f t="shared" ref="A8:A11" si="4">A7+1</f>
        <v>302</v>
      </c>
      <c r="B8" s="2">
        <v>8</v>
      </c>
      <c r="C8" s="114" t="s">
        <v>1341</v>
      </c>
      <c r="D8" s="268" t="str">
        <f>VLOOKUP(C8,Purchased!A:B,2,0)</f>
        <v>BRL Clamping Fixture - CKx-110, -145</v>
      </c>
      <c r="E8" s="269"/>
      <c r="F8" s="112" t="str">
        <f>VLOOKUP(C8,Purchased!A:Q,9,0)</f>
        <v>BRL</v>
      </c>
      <c r="G8" s="112" t="str">
        <f>VLOOKUP(C8,Purchased!A:Q,10,0)</f>
        <v>AAP</v>
      </c>
      <c r="H8" s="112" t="str">
        <f>VLOOKUP(C8,Purchased!A:Q,12,0)</f>
        <v xml:space="preserve"> </v>
      </c>
      <c r="I8" s="113"/>
      <c r="J8" s="44" t="str">
        <f>VLOOKUP(C8,Purchased!A:Q,13,0)</f>
        <v>N/A</v>
      </c>
      <c r="K8" s="44">
        <f>VLOOKUP(C8,Purchased!A:Q,14,0)</f>
        <v>45162</v>
      </c>
      <c r="L8" s="44">
        <f>VLOOKUP(C8,Purchased!A:Q,15,0)</f>
        <v>45184</v>
      </c>
      <c r="M8" s="44">
        <f>VLOOKUP(C8,Purchased!A:Q,16,0)</f>
        <v>45197</v>
      </c>
      <c r="N8" s="45">
        <f>VLOOKUP(C8,Purchased!A:Q,17,0)</f>
        <v>55073</v>
      </c>
      <c r="O8" s="45" t="e">
        <f t="shared" ca="1" si="2"/>
        <v>#VALUE!</v>
      </c>
      <c r="P8" s="49">
        <f>IFERROR(VLOOKUP(C8,Purchased!A:E,3,FALSE),"")</f>
        <v>10.4533</v>
      </c>
      <c r="Q8" s="50">
        <f t="shared" si="3"/>
        <v>83.626400000000004</v>
      </c>
    </row>
    <row r="9" spans="1:17" s="2" customFormat="1" ht="12" customHeight="1">
      <c r="A9" s="4">
        <f t="shared" si="4"/>
        <v>303</v>
      </c>
      <c r="B9" s="2">
        <v>1</v>
      </c>
      <c r="C9" s="114" t="s">
        <v>1342</v>
      </c>
      <c r="D9" s="268" t="str">
        <f>VLOOKUP(C9,Purchased!A:B,2,0)</f>
        <v>BRL CKR-090-NN-1-1496mm-MG10-01-08-02-15-00 Belt Driven Linear Actuator</v>
      </c>
      <c r="E9" s="269"/>
      <c r="F9" s="112" t="str">
        <f>VLOOKUP(C9,Purchased!A:Q,9,0)</f>
        <v>BRL</v>
      </c>
      <c r="G9" s="112" t="str">
        <f>VLOOKUP(C9,Purchased!A:Q,10,0)</f>
        <v>AAP</v>
      </c>
      <c r="H9" s="112" t="str">
        <f>VLOOKUP(C9,Purchased!A:Q,12,0)</f>
        <v xml:space="preserve"> </v>
      </c>
      <c r="I9" s="113"/>
      <c r="J9" s="44" t="str">
        <f>VLOOKUP(C9,Purchased!A:Q,13,0)</f>
        <v>N/A</v>
      </c>
      <c r="K9" s="44">
        <f>VLOOKUP(C9,Purchased!A:Q,14,0)</f>
        <v>45000</v>
      </c>
      <c r="L9" s="44">
        <f>VLOOKUP(C9,Purchased!A:Q,15,0)</f>
        <v>45085</v>
      </c>
      <c r="M9" s="44">
        <f>VLOOKUP(C9,Purchased!A:Q,16,0)</f>
        <v>45085</v>
      </c>
      <c r="N9" s="45">
        <f>VLOOKUP(C9,Purchased!A:Q,17,0)</f>
        <v>54800</v>
      </c>
      <c r="O9" s="45" t="e">
        <f t="shared" ca="1" si="2"/>
        <v>#VALUE!</v>
      </c>
      <c r="P9" s="49">
        <f>IFERROR(VLOOKUP(C9,Purchased!A:E,3,FALSE),"")</f>
        <v>6260.44</v>
      </c>
      <c r="Q9" s="50">
        <f t="shared" si="3"/>
        <v>6260.44</v>
      </c>
    </row>
    <row r="10" spans="1:17" s="2" customFormat="1" ht="12" customHeight="1">
      <c r="A10" s="4">
        <f t="shared" si="4"/>
        <v>304</v>
      </c>
      <c r="B10" s="2">
        <v>1</v>
      </c>
      <c r="C10" s="114" t="s">
        <v>1099</v>
      </c>
      <c r="D10" s="268" t="str">
        <f>VLOOKUP(C10,Purchased!A:B,2,0)</f>
        <v>BRC RH2-021DBB-NN-015,0 - 15m Hybrid Servo Cable</v>
      </c>
      <c r="E10" s="269"/>
      <c r="F10" s="112" t="str">
        <f>VLOOKUP(C10,Purchased!A:Q,9,0)</f>
        <v>BRC</v>
      </c>
      <c r="G10" s="112" t="str">
        <f>VLOOKUP(C10,Purchased!A:Q,10,0)</f>
        <v>AAP</v>
      </c>
      <c r="H10" s="112" t="str">
        <f>VLOOKUP(C10,Purchased!A:Q,12,0)</f>
        <v>conveyor, flying knife and side Seals (4 in stock)</v>
      </c>
      <c r="I10" s="113"/>
      <c r="J10" s="44" t="str">
        <f>VLOOKUP(C10,Purchased!A:Q,13,0)</f>
        <v>IN STOCK</v>
      </c>
      <c r="K10" s="44" t="str">
        <f>VLOOKUP(C10,Purchased!A:Q,14,0)</f>
        <v>IN STOCK</v>
      </c>
      <c r="L10" s="44" t="str">
        <f>VLOOKUP(C10,Purchased!A:Q,15,0)</f>
        <v>IN STOCK</v>
      </c>
      <c r="M10" s="44">
        <f>VLOOKUP(C10,Purchased!A:Q,16,0)</f>
        <v>45155</v>
      </c>
      <c r="N10" s="45" t="str">
        <f>VLOOKUP(C10,Purchased!A:Q,17,0)</f>
        <v>IN STOCK</v>
      </c>
      <c r="O10" s="45" t="e">
        <f t="shared" ca="1" si="2"/>
        <v>#VALUE!</v>
      </c>
      <c r="P10" s="49">
        <f>IFERROR(VLOOKUP(C10,Purchased!A:E,3,FALSE),"")</f>
        <v>475.95030000000003</v>
      </c>
      <c r="Q10" s="50">
        <f t="shared" si="3"/>
        <v>475.95030000000003</v>
      </c>
    </row>
    <row r="11" spans="1:17" s="2" customFormat="1" ht="12" customHeight="1">
      <c r="A11" s="4">
        <f t="shared" si="4"/>
        <v>305</v>
      </c>
      <c r="B11" s="2">
        <v>1</v>
      </c>
      <c r="C11" s="114" t="s">
        <v>1343</v>
      </c>
      <c r="D11" s="268" t="str">
        <f>VLOOKUP(C11,Purchased!A:B,2,0)</f>
        <v>BRC MS2N03-B0BYN-CMSH0-NNNNN-NN Servomotor</v>
      </c>
      <c r="E11" s="269"/>
      <c r="F11" s="112" t="str">
        <f>VLOOKUP(C11,Purchased!A:Q,9,0)</f>
        <v>BRC</v>
      </c>
      <c r="G11" s="112" t="str">
        <f>VLOOKUP(C11,Purchased!A:Q,10,0)</f>
        <v>AAP</v>
      </c>
      <c r="H11" s="112" t="str">
        <f>VLOOKUP(C11,Purchased!A:Q,12,0)</f>
        <v xml:space="preserve"> </v>
      </c>
      <c r="I11" s="113"/>
      <c r="J11" s="44" t="str">
        <f>VLOOKUP(C11,Purchased!A:Q,13,0)</f>
        <v>N/A</v>
      </c>
      <c r="K11" s="44">
        <f>VLOOKUP(C11,Purchased!A:Q,14,0)</f>
        <v>44881</v>
      </c>
      <c r="L11" s="44">
        <f>VLOOKUP(C11,Purchased!A:Q,15,0)</f>
        <v>44986</v>
      </c>
      <c r="M11" s="44">
        <f>VLOOKUP(C11,Purchased!A:Q,16,0)</f>
        <v>44986</v>
      </c>
      <c r="N11" s="45">
        <f>VLOOKUP(C11,Purchased!A:Q,17,0)</f>
        <v>54563</v>
      </c>
      <c r="O11" s="45" t="e">
        <f t="shared" ca="1" si="2"/>
        <v>#VALUE!</v>
      </c>
      <c r="P11" s="49">
        <f>IFERROR(VLOOKUP(C11,Purchased!A:E,3,FALSE),"")</f>
        <v>1474.1541</v>
      </c>
      <c r="Q11" s="50">
        <f t="shared" si="3"/>
        <v>1474.1541</v>
      </c>
    </row>
    <row r="12" spans="1:17" s="2" customFormat="1" ht="12.75" customHeight="1">
      <c r="A12" s="25"/>
      <c r="B12" s="26"/>
      <c r="C12" s="26"/>
      <c r="D12" s="272"/>
      <c r="E12" s="273"/>
      <c r="F12" s="26"/>
      <c r="G12" s="26"/>
      <c r="H12" s="274"/>
      <c r="I12" s="275"/>
      <c r="J12" s="27"/>
      <c r="K12" s="27"/>
      <c r="L12" s="27"/>
      <c r="M12" s="28"/>
      <c r="N12" s="29"/>
      <c r="O12" s="29"/>
      <c r="P12" s="141"/>
      <c r="Q12" s="142"/>
    </row>
    <row r="13" spans="1:17" s="2" customFormat="1" ht="12.75" customHeight="1">
      <c r="A13" s="4">
        <v>501</v>
      </c>
      <c r="B13" s="2">
        <v>16</v>
      </c>
      <c r="C13" s="110" t="s">
        <v>278</v>
      </c>
      <c r="D13" s="268"/>
      <c r="E13" s="276"/>
      <c r="F13" s="112" t="str">
        <f>VLOOKUP(C13,Bolts!A:L,5,0)</f>
        <v xml:space="preserve">  </v>
      </c>
      <c r="G13" s="112" t="str">
        <f>VLOOKUP(C13,Bolts!A:L,6,0)</f>
        <v>Monroe Fasteners</v>
      </c>
      <c r="H13" s="112" t="str">
        <f>VLOOKUP(C13,Bolts!A:L,7,0)</f>
        <v xml:space="preserve">  </v>
      </c>
      <c r="I13" s="112"/>
      <c r="J13" s="44" t="str">
        <f>VLOOKUP(C13,Bolts!A:L,8,0)</f>
        <v xml:space="preserve"> </v>
      </c>
      <c r="K13" s="44" t="str">
        <f>VLOOKUP(C13,Bolts!A:L,9,0)</f>
        <v xml:space="preserve"> </v>
      </c>
      <c r="L13" s="44" t="str">
        <f>VLOOKUP(C13,Bolts!A:L,10,0)</f>
        <v xml:space="preserve"> </v>
      </c>
      <c r="M13" s="44" t="str">
        <f>VLOOKUP(C13,Bolts!A:L,11,0)</f>
        <v xml:space="preserve"> </v>
      </c>
      <c r="N13" s="45" t="str">
        <f>VLOOKUP(C13,Bolts!A:L,12,0)</f>
        <v xml:space="preserve"> </v>
      </c>
      <c r="O13" s="45" t="e">
        <f t="shared" ref="O13:O14" ca="1" si="5">B13*$L$2</f>
        <v>#VALUE!</v>
      </c>
      <c r="P13" s="49" t="str">
        <f>IFERROR(VLOOKUP(C13,Bolts!A:B,2,FALSE),"")</f>
        <v xml:space="preserve"> </v>
      </c>
      <c r="Q13" s="50" t="str">
        <f t="shared" ref="Q13:Q14" si="6">IFERROR(B13*P13,"")</f>
        <v/>
      </c>
    </row>
    <row r="14" spans="1:17" s="2" customFormat="1" ht="12.75" customHeight="1">
      <c r="A14" s="4">
        <f t="shared" ref="A14:A16" si="7">A13+1</f>
        <v>502</v>
      </c>
      <c r="B14" s="2">
        <v>8</v>
      </c>
      <c r="C14" s="110" t="s">
        <v>1344</v>
      </c>
      <c r="D14" s="268"/>
      <c r="E14" s="276"/>
      <c r="F14" s="112" t="str">
        <f>VLOOKUP(C14,Bolts!A:L,5,0)</f>
        <v xml:space="preserve">  </v>
      </c>
      <c r="G14" s="112" t="str">
        <f>VLOOKUP(C14,Bolts!A:L,6,0)</f>
        <v>Monroe Fasteners</v>
      </c>
      <c r="H14" s="112" t="str">
        <f>VLOOKUP(C14,Bolts!A:L,7,0)</f>
        <v xml:space="preserve">  </v>
      </c>
      <c r="I14" s="112"/>
      <c r="J14" s="44" t="str">
        <f>VLOOKUP(C14,Bolts!A:L,8,0)</f>
        <v xml:space="preserve"> </v>
      </c>
      <c r="K14" s="44" t="str">
        <f>VLOOKUP(C14,Bolts!A:L,9,0)</f>
        <v xml:space="preserve"> </v>
      </c>
      <c r="L14" s="44" t="str">
        <f>VLOOKUP(C14,Bolts!A:L,10,0)</f>
        <v xml:space="preserve"> </v>
      </c>
      <c r="M14" s="44" t="str">
        <f>VLOOKUP(C14,Bolts!A:L,11,0)</f>
        <v xml:space="preserve"> </v>
      </c>
      <c r="N14" s="45" t="str">
        <f>VLOOKUP(C14,Bolts!A:L,12,0)</f>
        <v xml:space="preserve"> </v>
      </c>
      <c r="O14" s="45" t="e">
        <f t="shared" ca="1" si="5"/>
        <v>#VALUE!</v>
      </c>
      <c r="P14" s="49" t="str">
        <f>IFERROR(VLOOKUP(C14,Bolts!A:B,2,FALSE),"")</f>
        <v xml:space="preserve"> </v>
      </c>
      <c r="Q14" s="50" t="str">
        <f t="shared" si="6"/>
        <v/>
      </c>
    </row>
    <row r="15" spans="1:17" s="2" customFormat="1" ht="12.75" customHeight="1">
      <c r="A15" s="4">
        <f t="shared" si="7"/>
        <v>503</v>
      </c>
      <c r="B15" s="2">
        <v>4</v>
      </c>
      <c r="C15" s="110" t="s">
        <v>454</v>
      </c>
      <c r="D15" s="268"/>
      <c r="E15" s="276"/>
      <c r="F15" s="112" t="str">
        <f>VLOOKUP(C15,Bolts!A:L,5,0)</f>
        <v xml:space="preserve">  </v>
      </c>
      <c r="G15" s="112" t="str">
        <f>VLOOKUP(C15,Bolts!A:L,6,0)</f>
        <v>Monroe Fasteners</v>
      </c>
      <c r="H15" s="112" t="str">
        <f>VLOOKUP(C15,Bolts!A:L,7,0)</f>
        <v xml:space="preserve">  </v>
      </c>
      <c r="I15" s="112"/>
      <c r="J15" s="44" t="str">
        <f>VLOOKUP(C15,Bolts!A:L,8,0)</f>
        <v xml:space="preserve"> </v>
      </c>
      <c r="K15" s="44" t="str">
        <f>VLOOKUP(C15,Bolts!A:L,9,0)</f>
        <v xml:space="preserve"> </v>
      </c>
      <c r="L15" s="44" t="str">
        <f>VLOOKUP(C15,Bolts!A:L,10,0)</f>
        <v xml:space="preserve"> </v>
      </c>
      <c r="M15" s="44" t="str">
        <f>VLOOKUP(C15,Bolts!A:L,11,0)</f>
        <v xml:space="preserve"> </v>
      </c>
      <c r="N15" s="45" t="str">
        <f>VLOOKUP(C15,Bolts!A:L,12,0)</f>
        <v xml:space="preserve"> </v>
      </c>
      <c r="O15" s="45" t="e">
        <f t="shared" ref="O15:O16" ca="1" si="8">B15*$L$2</f>
        <v>#VALUE!</v>
      </c>
      <c r="P15" s="49" t="str">
        <f>IFERROR(VLOOKUP(C15,Bolts!A:B,2,FALSE),"")</f>
        <v xml:space="preserve"> </v>
      </c>
      <c r="Q15" s="50" t="str">
        <f t="shared" ref="Q15:Q16" si="9">IFERROR(B15*P15,"")</f>
        <v/>
      </c>
    </row>
    <row r="16" spans="1:17" s="2" customFormat="1" ht="12.75" customHeight="1" thickBot="1">
      <c r="A16" s="4">
        <f t="shared" si="7"/>
        <v>504</v>
      </c>
      <c r="B16" s="2">
        <v>4</v>
      </c>
      <c r="C16" s="110" t="s">
        <v>337</v>
      </c>
      <c r="D16" s="268"/>
      <c r="E16" s="276"/>
      <c r="F16" s="112" t="str">
        <f>VLOOKUP(C16,Bolts!A:L,5,0)</f>
        <v xml:space="preserve">  </v>
      </c>
      <c r="G16" s="112" t="str">
        <f>VLOOKUP(C16,Bolts!A:L,6,0)</f>
        <v>Monroe Fasteners</v>
      </c>
      <c r="H16" s="112" t="str">
        <f>VLOOKUP(C16,Bolts!A:L,7,0)</f>
        <v xml:space="preserve">  </v>
      </c>
      <c r="I16" s="112"/>
      <c r="J16" s="44" t="str">
        <f>VLOOKUP(C16,Bolts!A:L,8,0)</f>
        <v xml:space="preserve"> </v>
      </c>
      <c r="K16" s="44" t="str">
        <f>VLOOKUP(C16,Bolts!A:L,9,0)</f>
        <v xml:space="preserve"> </v>
      </c>
      <c r="L16" s="44" t="str">
        <f>VLOOKUP(C16,Bolts!A:L,10,0)</f>
        <v xml:space="preserve"> </v>
      </c>
      <c r="M16" s="44" t="str">
        <f>VLOOKUP(C16,Bolts!A:L,11,0)</f>
        <v xml:space="preserve"> </v>
      </c>
      <c r="N16" s="45" t="str">
        <f>VLOOKUP(C16,Bolts!A:L,12,0)</f>
        <v xml:space="preserve"> </v>
      </c>
      <c r="O16" s="45" t="e">
        <f t="shared" ca="1" si="8"/>
        <v>#VALUE!</v>
      </c>
      <c r="P16" s="49" t="str">
        <f>IFERROR(VLOOKUP(C16,Bolts!A:B,2,FALSE),"")</f>
        <v xml:space="preserve"> </v>
      </c>
      <c r="Q16" s="50" t="str">
        <f t="shared" si="9"/>
        <v/>
      </c>
    </row>
    <row r="17" spans="1:17" s="2" customFormat="1" ht="12.75" customHeight="1" thickBot="1">
      <c r="A17" s="34"/>
      <c r="B17" s="35"/>
      <c r="C17" s="35"/>
      <c r="D17" s="256"/>
      <c r="E17" s="257"/>
      <c r="F17" s="35"/>
      <c r="G17" s="35"/>
      <c r="H17" s="294"/>
      <c r="I17" s="295"/>
      <c r="J17" s="36"/>
      <c r="K17" s="36"/>
      <c r="L17" s="36"/>
      <c r="M17" s="37"/>
      <c r="N17" s="38"/>
      <c r="O17" s="38"/>
      <c r="P17" s="89" t="s">
        <v>43</v>
      </c>
      <c r="Q17" s="94">
        <f>SUM(Q5:Q16)</f>
        <v>8299.3140000000003</v>
      </c>
    </row>
    <row r="18" spans="1:17" s="2" customFormat="1" ht="12" customHeight="1">
      <c r="D18" s="22"/>
      <c r="E18" s="22"/>
      <c r="J18" s="8"/>
      <c r="K18" s="8"/>
      <c r="L18" s="8"/>
      <c r="M18" s="8"/>
      <c r="N18" s="5"/>
      <c r="O18" s="5"/>
      <c r="P18" s="88"/>
      <c r="Q18" s="95"/>
    </row>
    <row r="19" spans="1:17" s="2" customFormat="1" ht="12" customHeight="1">
      <c r="D19" s="22"/>
      <c r="E19" s="22"/>
      <c r="J19" s="5"/>
      <c r="K19" s="5"/>
      <c r="L19" s="5"/>
      <c r="M19" s="5"/>
      <c r="N19" s="5"/>
      <c r="O19" s="5"/>
      <c r="P19" s="88"/>
      <c r="Q19" s="95"/>
    </row>
    <row r="20" spans="1:17" s="2" customFormat="1" ht="12" customHeight="1">
      <c r="D20" s="22"/>
      <c r="E20" s="22"/>
      <c r="J20" s="5"/>
      <c r="K20" s="5"/>
      <c r="L20" s="5"/>
      <c r="M20" s="5"/>
      <c r="N20" s="5"/>
      <c r="O20" s="5"/>
      <c r="P20" s="88"/>
      <c r="Q20" s="95"/>
    </row>
    <row r="21" spans="1:17" s="2" customFormat="1" ht="12" customHeight="1">
      <c r="D21" s="22"/>
      <c r="E21" s="22"/>
      <c r="J21" s="5"/>
      <c r="K21" s="5"/>
      <c r="L21" s="5"/>
      <c r="M21" s="5"/>
      <c r="N21" s="5"/>
      <c r="O21" s="5"/>
      <c r="P21" s="88"/>
      <c r="Q21" s="95"/>
    </row>
    <row r="22" spans="1:17" s="2" customFormat="1" ht="12" customHeight="1">
      <c r="D22" s="22"/>
      <c r="E22" s="22"/>
      <c r="J22" s="5"/>
      <c r="K22" s="5"/>
      <c r="L22" s="5"/>
      <c r="M22" s="5"/>
      <c r="N22" s="5"/>
      <c r="O22" s="5"/>
      <c r="P22" s="88"/>
      <c r="Q22" s="95"/>
    </row>
    <row r="23" spans="1:17" s="2" customFormat="1" ht="12" customHeight="1">
      <c r="D23" s="22"/>
      <c r="E23" s="22"/>
      <c r="J23" s="5"/>
      <c r="K23" s="5"/>
      <c r="L23" s="5"/>
      <c r="M23" s="5"/>
      <c r="N23" s="5"/>
      <c r="O23" s="5"/>
      <c r="P23" s="88"/>
      <c r="Q23" s="95"/>
    </row>
    <row r="24" spans="1:17" s="2" customFormat="1" ht="12" customHeight="1">
      <c r="D24" s="22"/>
      <c r="E24" s="22"/>
      <c r="J24" s="5"/>
      <c r="K24" s="5"/>
      <c r="L24" s="5"/>
      <c r="M24" s="5"/>
      <c r="N24" s="5"/>
      <c r="O24" s="5"/>
      <c r="P24" s="88"/>
      <c r="Q24" s="95"/>
    </row>
    <row r="25" spans="1:17" s="2" customFormat="1" ht="12" customHeight="1">
      <c r="D25" s="22"/>
      <c r="E25" s="22"/>
      <c r="J25" s="5"/>
      <c r="K25" s="5"/>
      <c r="L25" s="5"/>
      <c r="M25" s="5"/>
      <c r="N25" s="5"/>
      <c r="O25" s="5"/>
      <c r="P25" s="88"/>
      <c r="Q25" s="95"/>
    </row>
    <row r="26" spans="1:17" s="2" customFormat="1" ht="12" customHeight="1">
      <c r="D26" s="22"/>
      <c r="E26" s="22"/>
      <c r="J26" s="5"/>
      <c r="K26" s="5"/>
      <c r="L26" s="5"/>
      <c r="M26" s="5"/>
      <c r="N26" s="5"/>
      <c r="O26" s="5"/>
      <c r="P26" s="88"/>
      <c r="Q26" s="95"/>
    </row>
    <row r="27" spans="1:17" s="2" customFormat="1" ht="12" customHeight="1">
      <c r="D27" s="22"/>
      <c r="E27" s="22"/>
      <c r="J27" s="5"/>
      <c r="K27" s="5"/>
      <c r="L27" s="5"/>
      <c r="M27" s="5"/>
      <c r="N27" s="5"/>
      <c r="O27" s="5"/>
      <c r="P27" s="88"/>
      <c r="Q27" s="95"/>
    </row>
    <row r="28" spans="1:17" s="2" customFormat="1" ht="12" customHeight="1">
      <c r="D28" s="22"/>
      <c r="E28" s="22"/>
      <c r="J28" s="5"/>
      <c r="K28" s="5"/>
      <c r="L28" s="5"/>
      <c r="M28" s="5"/>
      <c r="N28" s="5"/>
      <c r="O28" s="5"/>
      <c r="P28" s="88"/>
      <c r="Q28" s="95"/>
    </row>
    <row r="29" spans="1:17" s="2" customFormat="1" ht="12" customHeight="1">
      <c r="D29" s="22"/>
      <c r="E29" s="22"/>
      <c r="J29" s="5"/>
      <c r="K29" s="5"/>
      <c r="L29" s="5"/>
      <c r="M29" s="5"/>
      <c r="N29" s="5"/>
      <c r="O29" s="5"/>
      <c r="P29" s="88"/>
      <c r="Q29" s="95"/>
    </row>
    <row r="30" spans="1:17" s="2" customFormat="1" ht="12" customHeight="1">
      <c r="D30" s="22"/>
      <c r="E30" s="22"/>
      <c r="J30" s="5"/>
      <c r="K30" s="5"/>
      <c r="L30" s="5"/>
      <c r="M30" s="5"/>
      <c r="N30" s="5"/>
      <c r="O30" s="5"/>
      <c r="P30" s="88"/>
      <c r="Q30" s="95"/>
    </row>
    <row r="31" spans="1:17" s="2" customFormat="1" ht="12" customHeight="1">
      <c r="D31" s="22"/>
      <c r="E31" s="22"/>
      <c r="J31" s="5"/>
      <c r="K31" s="5"/>
      <c r="L31" s="5"/>
      <c r="M31" s="5"/>
      <c r="N31" s="5"/>
      <c r="O31" s="5"/>
      <c r="P31" s="88"/>
      <c r="Q31" s="95"/>
    </row>
    <row r="32" spans="1:17" s="2" customFormat="1" ht="12" customHeight="1">
      <c r="D32" s="22"/>
      <c r="E32" s="22"/>
      <c r="J32" s="5"/>
      <c r="K32" s="5"/>
      <c r="L32" s="5"/>
      <c r="M32" s="5"/>
      <c r="N32" s="5"/>
      <c r="O32" s="5"/>
      <c r="P32" s="88"/>
      <c r="Q32" s="95"/>
    </row>
    <row r="33" spans="4:17" s="2" customFormat="1" ht="12" customHeight="1">
      <c r="D33" s="22"/>
      <c r="E33" s="22"/>
      <c r="J33" s="5"/>
      <c r="K33" s="5"/>
      <c r="L33" s="5"/>
      <c r="M33" s="5"/>
      <c r="N33" s="5"/>
      <c r="O33" s="5"/>
      <c r="P33" s="88"/>
      <c r="Q33" s="95"/>
    </row>
    <row r="34" spans="4:17" s="2" customFormat="1" ht="12" customHeight="1">
      <c r="D34" s="22"/>
      <c r="E34" s="22"/>
      <c r="J34" s="5"/>
      <c r="K34" s="5"/>
      <c r="L34" s="5"/>
      <c r="M34" s="5"/>
      <c r="N34" s="5"/>
      <c r="O34" s="5"/>
      <c r="P34" s="88"/>
      <c r="Q34" s="95"/>
    </row>
    <row r="35" spans="4:17" s="2" customFormat="1" ht="12" customHeight="1">
      <c r="D35" s="22"/>
      <c r="E35" s="22"/>
      <c r="J35" s="5"/>
      <c r="K35" s="5"/>
      <c r="L35" s="5"/>
      <c r="M35" s="5"/>
      <c r="N35" s="5"/>
      <c r="O35" s="5"/>
      <c r="P35" s="88"/>
      <c r="Q35" s="95"/>
    </row>
    <row r="36" spans="4:17" s="2" customFormat="1" ht="12" customHeight="1">
      <c r="D36" s="22"/>
      <c r="E36" s="22"/>
      <c r="J36" s="5"/>
      <c r="K36" s="5"/>
      <c r="L36" s="5"/>
      <c r="M36" s="5"/>
      <c r="N36" s="5"/>
      <c r="O36" s="5"/>
      <c r="P36" s="88"/>
      <c r="Q36" s="95"/>
    </row>
    <row r="37" spans="4:17" s="2" customFormat="1" ht="12" customHeight="1">
      <c r="D37" s="22"/>
      <c r="E37" s="22"/>
      <c r="J37" s="5"/>
      <c r="K37" s="5"/>
      <c r="L37" s="5"/>
      <c r="M37" s="5"/>
      <c r="N37" s="5"/>
      <c r="O37" s="5"/>
      <c r="P37" s="88"/>
      <c r="Q37" s="95"/>
    </row>
    <row r="38" spans="4:17" s="2" customFormat="1" ht="12" customHeight="1">
      <c r="D38" s="22"/>
      <c r="E38" s="22"/>
      <c r="J38" s="5"/>
      <c r="K38" s="5"/>
      <c r="L38" s="5"/>
      <c r="M38" s="5"/>
      <c r="N38" s="5"/>
      <c r="O38" s="5"/>
      <c r="P38" s="88"/>
      <c r="Q38" s="95"/>
    </row>
    <row r="39" spans="4:17" s="2" customFormat="1" ht="12" customHeight="1">
      <c r="D39" s="22"/>
      <c r="E39" s="22"/>
      <c r="J39" s="5"/>
      <c r="K39" s="5"/>
      <c r="L39" s="5"/>
      <c r="M39" s="5"/>
      <c r="N39" s="5"/>
      <c r="O39" s="5"/>
      <c r="P39" s="88"/>
      <c r="Q39" s="95"/>
    </row>
    <row r="40" spans="4:17" s="2" customFormat="1" ht="12" customHeight="1">
      <c r="D40" s="22"/>
      <c r="E40" s="22"/>
      <c r="J40" s="5"/>
      <c r="K40" s="5"/>
      <c r="L40" s="5"/>
      <c r="M40" s="5"/>
      <c r="N40" s="5"/>
      <c r="O40" s="5"/>
      <c r="P40" s="88"/>
      <c r="Q40" s="95"/>
    </row>
    <row r="41" spans="4:17" s="2" customFormat="1" ht="12" customHeight="1">
      <c r="D41" s="22"/>
      <c r="E41" s="22"/>
      <c r="J41" s="5"/>
      <c r="K41" s="5"/>
      <c r="L41" s="5"/>
      <c r="M41" s="5"/>
      <c r="N41" s="5"/>
      <c r="O41" s="5"/>
      <c r="P41" s="88"/>
      <c r="Q41" s="95"/>
    </row>
    <row r="42" spans="4:17" s="2" customFormat="1" ht="12" customHeight="1">
      <c r="D42" s="22"/>
      <c r="E42" s="22"/>
      <c r="J42" s="5"/>
      <c r="K42" s="5"/>
      <c r="L42" s="5"/>
      <c r="M42" s="5"/>
      <c r="N42" s="5"/>
      <c r="O42" s="5"/>
      <c r="P42" s="88"/>
      <c r="Q42" s="95"/>
    </row>
    <row r="43" spans="4:17" s="2" customFormat="1" ht="12" customHeight="1">
      <c r="D43" s="22"/>
      <c r="E43" s="22"/>
      <c r="J43" s="5"/>
      <c r="K43" s="5"/>
      <c r="L43" s="5"/>
      <c r="M43" s="5"/>
      <c r="N43" s="5"/>
      <c r="O43" s="5"/>
      <c r="P43" s="88"/>
      <c r="Q43" s="95"/>
    </row>
    <row r="44" spans="4:17" s="2" customFormat="1" ht="12" customHeight="1">
      <c r="D44" s="22"/>
      <c r="E44" s="22"/>
      <c r="J44" s="5"/>
      <c r="K44" s="5"/>
      <c r="L44" s="5"/>
      <c r="M44" s="5"/>
      <c r="N44" s="5"/>
      <c r="O44" s="5"/>
      <c r="P44" s="88"/>
      <c r="Q44" s="95"/>
    </row>
    <row r="45" spans="4:17" s="2" customFormat="1" ht="12" customHeight="1">
      <c r="D45" s="22"/>
      <c r="E45" s="22"/>
      <c r="J45" s="5"/>
      <c r="K45" s="5"/>
      <c r="L45" s="5"/>
      <c r="M45" s="5"/>
      <c r="N45" s="5"/>
      <c r="O45" s="5"/>
      <c r="P45" s="88"/>
      <c r="Q45" s="95"/>
    </row>
    <row r="46" spans="4:17" s="2" customFormat="1" ht="12" customHeight="1">
      <c r="D46" s="22"/>
      <c r="E46" s="22"/>
      <c r="J46" s="5"/>
      <c r="K46" s="5"/>
      <c r="L46" s="5"/>
      <c r="M46" s="5"/>
      <c r="N46" s="5"/>
      <c r="O46" s="5"/>
      <c r="P46" s="88"/>
      <c r="Q46" s="95"/>
    </row>
    <row r="47" spans="4:17" s="2" customFormat="1" ht="12" customHeight="1">
      <c r="D47" s="22"/>
      <c r="E47" s="22"/>
      <c r="J47" s="5"/>
      <c r="K47" s="5"/>
      <c r="L47" s="5"/>
      <c r="M47" s="5"/>
      <c r="N47" s="5"/>
      <c r="O47" s="5"/>
      <c r="P47" s="88"/>
      <c r="Q47" s="95"/>
    </row>
    <row r="48" spans="4:17" s="2" customFormat="1" ht="12" customHeight="1">
      <c r="D48" s="22"/>
      <c r="E48" s="22"/>
      <c r="J48" s="5"/>
      <c r="K48" s="5"/>
      <c r="L48" s="5"/>
      <c r="M48" s="5"/>
      <c r="N48" s="5"/>
      <c r="O48" s="5"/>
      <c r="P48" s="88"/>
      <c r="Q48" s="95"/>
    </row>
    <row r="49" spans="1:17" s="2" customFormat="1" ht="12" customHeight="1">
      <c r="D49" s="22"/>
      <c r="E49" s="22"/>
      <c r="J49" s="5"/>
      <c r="K49" s="5"/>
      <c r="L49" s="5"/>
      <c r="M49" s="5"/>
      <c r="N49" s="5"/>
      <c r="O49" s="5"/>
      <c r="P49" s="88"/>
      <c r="Q49" s="95"/>
    </row>
    <row r="50" spans="1:17" s="2" customFormat="1" ht="12" customHeight="1">
      <c r="D50" s="22"/>
      <c r="E50" s="22"/>
      <c r="J50" s="5"/>
      <c r="K50" s="5"/>
      <c r="L50" s="5"/>
      <c r="M50" s="5"/>
      <c r="N50" s="5"/>
      <c r="O50" s="5"/>
      <c r="P50" s="88"/>
      <c r="Q50" s="95"/>
    </row>
    <row r="51" spans="1:17" s="2" customFormat="1" ht="12" customHeight="1">
      <c r="D51" s="22"/>
      <c r="E51" s="22"/>
      <c r="J51" s="5"/>
      <c r="K51" s="5"/>
      <c r="L51" s="5"/>
      <c r="M51" s="5"/>
      <c r="N51" s="5"/>
      <c r="O51" s="5"/>
      <c r="P51" s="88"/>
      <c r="Q51" s="95"/>
    </row>
    <row r="52" spans="1:17" s="2" customFormat="1" ht="12" customHeight="1">
      <c r="D52" s="22"/>
      <c r="E52" s="22"/>
      <c r="J52" s="5"/>
      <c r="K52" s="5"/>
      <c r="L52" s="5"/>
      <c r="M52" s="5"/>
      <c r="N52" s="5"/>
      <c r="O52" s="5"/>
      <c r="P52" s="88"/>
      <c r="Q52" s="95"/>
    </row>
    <row r="53" spans="1:17" s="2" customFormat="1" ht="12" customHeight="1">
      <c r="D53" s="22"/>
      <c r="E53" s="22"/>
      <c r="J53" s="5"/>
      <c r="K53" s="5"/>
      <c r="L53" s="5"/>
      <c r="M53" s="5"/>
      <c r="N53" s="5"/>
      <c r="O53" s="5"/>
      <c r="P53" s="88"/>
      <c r="Q53" s="95"/>
    </row>
    <row r="54" spans="1:17" s="2" customFormat="1" ht="12" customHeight="1">
      <c r="D54" s="22"/>
      <c r="E54" s="22"/>
      <c r="J54" s="5"/>
      <c r="K54" s="5"/>
      <c r="L54" s="5"/>
      <c r="M54" s="5"/>
      <c r="N54" s="5"/>
      <c r="O54" s="5"/>
      <c r="P54" s="88"/>
      <c r="Q54" s="95"/>
    </row>
    <row r="55" spans="1:17" s="2" customFormat="1" ht="12" customHeight="1">
      <c r="D55" s="22"/>
      <c r="E55" s="22"/>
      <c r="J55" s="5"/>
      <c r="K55" s="5"/>
      <c r="L55" s="5"/>
      <c r="M55" s="5"/>
      <c r="N55" s="5"/>
      <c r="O55" s="5"/>
      <c r="P55" s="88"/>
      <c r="Q55" s="95"/>
    </row>
    <row r="56" spans="1:17" s="2" customFormat="1" ht="12" customHeight="1">
      <c r="D56" s="22"/>
      <c r="E56" s="22"/>
      <c r="J56" s="5"/>
      <c r="K56" s="5"/>
      <c r="L56" s="5"/>
      <c r="M56" s="5"/>
      <c r="N56" s="5"/>
      <c r="O56" s="5"/>
      <c r="P56" s="88"/>
      <c r="Q56" s="96"/>
    </row>
    <row r="57" spans="1:17" s="2" customFormat="1" ht="12" customHeight="1">
      <c r="D57" s="22"/>
      <c r="E57" s="22"/>
      <c r="J57" s="5"/>
      <c r="K57" s="5"/>
      <c r="L57" s="5"/>
      <c r="M57" s="5"/>
      <c r="N57" s="5"/>
      <c r="O57" s="5"/>
      <c r="P57" s="88"/>
      <c r="Q57" s="96"/>
    </row>
    <row r="58" spans="1:17" s="2" customFormat="1" ht="12" customHeight="1">
      <c r="D58" s="22"/>
      <c r="E58" s="22"/>
      <c r="J58" s="5"/>
      <c r="K58" s="5"/>
      <c r="L58" s="5"/>
      <c r="M58" s="5"/>
      <c r="N58" s="5"/>
      <c r="O58" s="5"/>
      <c r="P58" s="88"/>
      <c r="Q58" s="96"/>
    </row>
    <row r="59" spans="1:17" s="2" customFormat="1" ht="12" customHeight="1">
      <c r="D59" s="22"/>
      <c r="E59" s="22"/>
      <c r="J59" s="5"/>
      <c r="K59" s="5"/>
      <c r="L59" s="5"/>
      <c r="M59" s="5"/>
      <c r="N59" s="5"/>
      <c r="O59" s="5"/>
      <c r="P59" s="88"/>
      <c r="Q59" s="96"/>
    </row>
    <row r="60" spans="1:17" s="2" customFormat="1" ht="12" customHeight="1">
      <c r="A60"/>
      <c r="B60"/>
      <c r="C60"/>
      <c r="D60" s="23"/>
      <c r="E60" s="23"/>
      <c r="F60"/>
      <c r="G60"/>
      <c r="H60"/>
      <c r="I60"/>
      <c r="J60" s="19"/>
      <c r="K60" s="19"/>
      <c r="L60" s="19"/>
      <c r="M60" s="19"/>
      <c r="N60" s="19"/>
      <c r="O60" s="19"/>
      <c r="P60" s="90"/>
      <c r="Q60" s="96"/>
    </row>
    <row r="61" spans="1:17" s="2" customFormat="1" ht="12" customHeight="1">
      <c r="A61"/>
      <c r="B61"/>
      <c r="C61"/>
      <c r="D61" s="23"/>
      <c r="E61" s="23"/>
      <c r="F61"/>
      <c r="G61"/>
      <c r="H61"/>
      <c r="I61"/>
      <c r="J61" s="19"/>
      <c r="K61" s="19"/>
      <c r="L61" s="19"/>
      <c r="M61" s="19"/>
      <c r="N61" s="19"/>
      <c r="O61" s="19"/>
      <c r="P61" s="90"/>
      <c r="Q61" s="96"/>
    </row>
    <row r="62" spans="1:17" s="2" customFormat="1" ht="12" customHeight="1">
      <c r="A62"/>
      <c r="B62"/>
      <c r="C62"/>
      <c r="D62" s="23"/>
      <c r="E62" s="23"/>
      <c r="F62"/>
      <c r="G62"/>
      <c r="H62"/>
      <c r="I62"/>
      <c r="J62" s="19"/>
      <c r="K62" s="19"/>
      <c r="L62" s="19"/>
      <c r="M62" s="19"/>
      <c r="N62" s="19"/>
      <c r="O62" s="19"/>
      <c r="P62" s="90"/>
      <c r="Q62" s="96"/>
    </row>
    <row r="63" spans="1:17" s="2" customFormat="1" ht="12" customHeight="1">
      <c r="A63"/>
      <c r="B63"/>
      <c r="C63"/>
      <c r="D63" s="23"/>
      <c r="E63" s="23"/>
      <c r="F63"/>
      <c r="G63"/>
      <c r="H63"/>
      <c r="I63"/>
      <c r="J63" s="19"/>
      <c r="K63" s="19"/>
      <c r="L63" s="19"/>
      <c r="M63" s="19"/>
      <c r="N63" s="19"/>
      <c r="O63" s="19"/>
      <c r="P63" s="90"/>
      <c r="Q63" s="96"/>
    </row>
    <row r="64" spans="1:17" s="2" customFormat="1" ht="12" customHeight="1">
      <c r="A64"/>
      <c r="B64"/>
      <c r="C64"/>
      <c r="D64" s="23"/>
      <c r="E64" s="23"/>
      <c r="F64"/>
      <c r="G64"/>
      <c r="H64"/>
      <c r="I64"/>
      <c r="J64" s="19"/>
      <c r="K64" s="19"/>
      <c r="L64" s="19"/>
      <c r="M64" s="19"/>
      <c r="N64" s="19"/>
      <c r="O64" s="19"/>
      <c r="P64" s="90"/>
      <c r="Q64" s="96"/>
    </row>
    <row r="65" spans="17:17">
      <c r="Q65" s="96"/>
    </row>
    <row r="66" spans="17:17">
      <c r="Q66" s="96"/>
    </row>
    <row r="67" spans="17:17">
      <c r="Q67" s="96"/>
    </row>
    <row r="68" spans="17:17">
      <c r="Q68" s="96"/>
    </row>
    <row r="69" spans="17:17">
      <c r="Q69" s="96"/>
    </row>
    <row r="70" spans="17:17">
      <c r="Q70" s="96"/>
    </row>
    <row r="71" spans="17:17">
      <c r="Q71" s="96"/>
    </row>
    <row r="72" spans="17:17">
      <c r="Q72" s="96"/>
    </row>
    <row r="73" spans="17:17">
      <c r="Q73" s="96"/>
    </row>
    <row r="74" spans="17:17">
      <c r="Q74" s="96"/>
    </row>
    <row r="75" spans="17:17">
      <c r="Q75" s="96"/>
    </row>
    <row r="76" spans="17:17">
      <c r="Q76" s="96"/>
    </row>
    <row r="77" spans="17:17">
      <c r="Q77" s="96"/>
    </row>
    <row r="78" spans="17:17">
      <c r="Q78" s="96"/>
    </row>
    <row r="79" spans="17:17">
      <c r="Q79" s="96"/>
    </row>
    <row r="80" spans="17:17">
      <c r="Q80" s="96"/>
    </row>
    <row r="81" spans="17:17">
      <c r="Q81" s="96"/>
    </row>
    <row r="82" spans="17:17">
      <c r="Q82" s="96"/>
    </row>
    <row r="83" spans="17:17">
      <c r="Q83" s="96"/>
    </row>
    <row r="84" spans="17:17">
      <c r="Q84" s="96"/>
    </row>
    <row r="121" ht="12" customHeight="1"/>
    <row r="122" ht="12" customHeight="1"/>
    <row r="123" ht="12" customHeight="1"/>
    <row r="124" ht="12" customHeight="1"/>
    <row r="125" ht="12" customHeight="1"/>
    <row r="126" ht="12" customHeight="1"/>
    <row r="127" ht="12" customHeight="1"/>
    <row r="128" ht="12" customHeight="1"/>
    <row r="129" ht="12" customHeight="1"/>
    <row r="130" ht="12" customHeight="1"/>
    <row r="131" ht="12" customHeight="1"/>
    <row r="132" ht="12" customHeight="1"/>
    <row r="133" ht="12" customHeight="1"/>
    <row r="134" ht="12" customHeight="1"/>
    <row r="135" ht="12" customHeight="1"/>
    <row r="136" ht="12" customHeight="1"/>
    <row r="137" ht="12" customHeight="1"/>
    <row r="138" ht="12" customHeight="1"/>
    <row r="139" ht="12" customHeight="1"/>
    <row r="140" ht="12" customHeight="1"/>
    <row r="141" ht="12" customHeight="1"/>
    <row r="142" ht="12" customHeight="1"/>
    <row r="143" ht="12" customHeight="1"/>
    <row r="144" ht="12" customHeight="1"/>
    <row r="145" ht="12" customHeight="1"/>
    <row r="146" ht="12" customHeight="1"/>
    <row r="147" ht="12" customHeight="1"/>
    <row r="148" ht="12" customHeight="1"/>
    <row r="149" ht="12" customHeight="1"/>
    <row r="150" ht="12" customHeight="1"/>
    <row r="151" ht="12" customHeight="1"/>
    <row r="152" ht="12" customHeight="1"/>
    <row r="153" ht="12" customHeight="1"/>
    <row r="154" ht="12" customHeight="1"/>
    <row r="155" ht="12" customHeight="1"/>
    <row r="156" ht="12" customHeight="1"/>
    <row r="157" ht="12" customHeight="1"/>
    <row r="158" ht="12" customHeight="1"/>
    <row r="159" ht="12" customHeight="1"/>
    <row r="160" ht="12" customHeight="1"/>
    <row r="161" ht="12" customHeight="1"/>
    <row r="162" ht="12" customHeight="1"/>
    <row r="163" ht="12" customHeight="1"/>
    <row r="164" ht="12" customHeight="1"/>
    <row r="165" ht="12" customHeight="1"/>
    <row r="166" ht="12" customHeight="1"/>
    <row r="167" ht="12" customHeight="1"/>
    <row r="168" ht="12" customHeight="1"/>
    <row r="169" ht="12" customHeight="1"/>
    <row r="170" ht="12" customHeight="1"/>
  </sheetData>
  <mergeCells count="19">
    <mergeCell ref="H12:I12"/>
    <mergeCell ref="D13:E13"/>
    <mergeCell ref="D14:E14"/>
    <mergeCell ref="D12:E12"/>
    <mergeCell ref="D17:E17"/>
    <mergeCell ref="H17:I17"/>
    <mergeCell ref="D15:E15"/>
    <mergeCell ref="D16:E16"/>
    <mergeCell ref="D7:E7"/>
    <mergeCell ref="D8:E8"/>
    <mergeCell ref="D9:E9"/>
    <mergeCell ref="D10:E10"/>
    <mergeCell ref="D11:E11"/>
    <mergeCell ref="D1:E1"/>
    <mergeCell ref="D4:E4"/>
    <mergeCell ref="H4:I4"/>
    <mergeCell ref="D5:E5"/>
    <mergeCell ref="D6:E6"/>
    <mergeCell ref="H6:I6"/>
  </mergeCells>
  <conditionalFormatting sqref="M5 M7:M11 M13:M16">
    <cfRule type="cellIs" dxfId="172" priority="1" stopIfTrue="1" operator="lessThanOrEqual">
      <formula>$L5</formula>
    </cfRule>
    <cfRule type="cellIs" dxfId="171" priority="2" operator="greaterThan">
      <formula>L5</formula>
    </cfRule>
  </conditionalFormatting>
  <pageMargins left="0.7" right="0.7" top="0.75" bottom="0.75" header="0.3" footer="0.3"/>
  <pageSetup paperSize="3" fitToHeight="0" orientation="landscape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D211FDD-F3DB-45E5-BE42-1A1146AE131C}">
          <x14:formula1>
            <xm:f>Bolts!$A:$A</xm:f>
          </x14:formula1>
          <xm:sqref>C13:C16</xm:sqref>
        </x14:dataValidation>
        <x14:dataValidation type="list" allowBlank="1" showInputMessage="1" showErrorMessage="1" xr:uid="{F80E20C6-A856-4881-9A5F-FBDB17F55FFD}">
          <x14:formula1>
            <xm:f>Purchased!$A:$A</xm:f>
          </x14:formula1>
          <xm:sqref>C7:C11</xm:sqref>
        </x14:dataValidation>
        <x14:dataValidation type="list" allowBlank="1" showInputMessage="1" showErrorMessage="1" xr:uid="{3BFE0CE6-06BF-4E7A-BAB0-DEDFD8998500}">
          <x14:formula1>
            <xm:f>Machined!$C:$C</xm:f>
          </x14:formula1>
          <xm:sqref>C5</xm:sqref>
        </x14:dataValidation>
      </x14:dataValidations>
    </ext>
  </extLst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9E342-0DB0-4D32-BBDB-30964EF92A54}">
  <sheetPr codeName="Sheet138">
    <tabColor theme="3" tint="0.59999389629810485"/>
    <pageSetUpPr fitToPage="1"/>
  </sheetPr>
  <dimension ref="A1:Q171"/>
  <sheetViews>
    <sheetView zoomScaleNormal="100" workbookViewId="0">
      <selection activeCell="R16" sqref="R16"/>
    </sheetView>
  </sheetViews>
  <sheetFormatPr defaultColWidth="9.140625" defaultRowHeight="15"/>
  <cols>
    <col min="1" max="1" width="5.7109375" customWidth="1"/>
    <col min="2" max="2" width="5.42578125" bestFit="1" customWidth="1"/>
    <col min="3" max="3" width="30.7109375" customWidth="1"/>
    <col min="4" max="5" width="20.7109375" style="23" customWidth="1"/>
    <col min="6" max="6" width="16.85546875" bestFit="1" customWidth="1"/>
    <col min="7" max="7" width="9.7109375" customWidth="1"/>
    <col min="8" max="8" width="8.7109375" customWidth="1"/>
    <col min="9" max="9" width="20.7109375" customWidth="1"/>
    <col min="10" max="13" width="11.7109375" style="19" customWidth="1"/>
    <col min="14" max="14" width="11.85546875" style="19" bestFit="1" customWidth="1"/>
    <col min="15" max="15" width="7.7109375" style="19" customWidth="1"/>
    <col min="16" max="16" width="10.7109375" style="90" customWidth="1"/>
    <col min="17" max="17" width="10.7109375" style="97" customWidth="1"/>
  </cols>
  <sheetData>
    <row r="1" spans="1:17" s="55" customFormat="1" ht="12" customHeight="1">
      <c r="A1" s="68" t="s">
        <v>0</v>
      </c>
      <c r="B1" s="69"/>
      <c r="C1" s="69"/>
      <c r="D1" s="262" t="s">
        <v>1</v>
      </c>
      <c r="E1" s="263"/>
      <c r="F1" s="70"/>
      <c r="G1" s="69"/>
      <c r="H1" s="70"/>
      <c r="I1" s="71"/>
      <c r="J1" s="72"/>
      <c r="K1" s="72"/>
      <c r="L1" s="72"/>
      <c r="M1" s="72"/>
      <c r="N1" s="72"/>
      <c r="O1" s="72"/>
      <c r="P1" s="85"/>
      <c r="Q1" s="91"/>
    </row>
    <row r="2" spans="1:17" s="55" customFormat="1" ht="12" customHeight="1">
      <c r="A2" s="74" t="s">
        <v>48</v>
      </c>
      <c r="B2" s="58"/>
      <c r="C2" s="57" t="e">
        <f ca="1">VLOOKUP(E3,Assemblies!B:F,4,0)</f>
        <v>#VALUE!</v>
      </c>
      <c r="D2" s="75" t="s">
        <v>3</v>
      </c>
      <c r="E2" s="76" t="e">
        <f ca="1">'GF12'!E2</f>
        <v>#VALUE!</v>
      </c>
      <c r="F2" s="77" t="s">
        <v>4</v>
      </c>
      <c r="G2" s="58" t="str">
        <f>'GF12'!G2</f>
        <v>GH</v>
      </c>
      <c r="H2" s="77" t="s">
        <v>6</v>
      </c>
      <c r="I2" s="59">
        <f>'GF12'!I2</f>
        <v>44775</v>
      </c>
      <c r="J2" s="39"/>
      <c r="K2" s="40" t="s">
        <v>49</v>
      </c>
      <c r="L2" s="41" t="e">
        <f ca="1">VLOOKUP(C2,Assemblies!E:G,3,0)</f>
        <v>#VALUE!</v>
      </c>
      <c r="M2" s="78"/>
      <c r="N2" s="78"/>
      <c r="O2" s="78"/>
      <c r="P2" s="86"/>
      <c r="Q2" s="92"/>
    </row>
    <row r="3" spans="1:17" s="55" customFormat="1" ht="12" customHeight="1" thickBot="1">
      <c r="A3" s="74" t="s">
        <v>7</v>
      </c>
      <c r="B3" s="58"/>
      <c r="C3" s="57" t="e">
        <f ca="1">VLOOKUP(E3,Assemblies!B:F,5,0)</f>
        <v>#VALUE!</v>
      </c>
      <c r="D3" s="75" t="s">
        <v>50</v>
      </c>
      <c r="E3" s="76" t="e">
        <f ca="1">MID(CELL("filename",A1),FIND("]",CELL("filename",A1))+1,256)</f>
        <v>#VALUE!</v>
      </c>
      <c r="F3" s="77" t="s">
        <v>11</v>
      </c>
      <c r="G3" s="58" t="str">
        <f>'GF12'!G3</f>
        <v>GH</v>
      </c>
      <c r="H3" s="77" t="s">
        <v>6</v>
      </c>
      <c r="I3" s="59">
        <f>'GF12'!I3</f>
        <v>44775</v>
      </c>
      <c r="J3" s="78"/>
      <c r="K3" s="78"/>
      <c r="L3" s="78"/>
      <c r="M3" s="78"/>
      <c r="N3" s="78"/>
      <c r="O3" s="78"/>
      <c r="P3" s="86"/>
      <c r="Q3" s="92"/>
    </row>
    <row r="4" spans="1:17" s="56" customFormat="1" ht="12.75" customHeight="1" thickBot="1">
      <c r="A4" s="80" t="s">
        <v>12</v>
      </c>
      <c r="B4" s="81" t="s">
        <v>13</v>
      </c>
      <c r="C4" s="81" t="s">
        <v>14</v>
      </c>
      <c r="D4" s="270" t="s">
        <v>15</v>
      </c>
      <c r="E4" s="271"/>
      <c r="F4" s="104" t="s">
        <v>16</v>
      </c>
      <c r="G4" s="81" t="s">
        <v>17</v>
      </c>
      <c r="H4" s="260" t="s">
        <v>18</v>
      </c>
      <c r="I4" s="261"/>
      <c r="J4" s="81" t="s">
        <v>51</v>
      </c>
      <c r="K4" s="81" t="s">
        <v>20</v>
      </c>
      <c r="L4" s="81" t="s">
        <v>21</v>
      </c>
      <c r="M4" s="81" t="s">
        <v>52</v>
      </c>
      <c r="N4" s="81" t="s">
        <v>22</v>
      </c>
      <c r="O4" s="81" t="s">
        <v>53</v>
      </c>
      <c r="P4" s="107" t="s">
        <v>26</v>
      </c>
      <c r="Q4" s="82" t="s">
        <v>27</v>
      </c>
    </row>
    <row r="5" spans="1:17" s="2" customFormat="1" ht="12.75" customHeight="1">
      <c r="A5" s="127">
        <v>1</v>
      </c>
      <c r="B5" s="21">
        <v>1</v>
      </c>
      <c r="C5" s="108" t="s">
        <v>1345</v>
      </c>
      <c r="D5" s="277" t="str">
        <f>VLOOKUP(C5,Machined!C:Q,2,0)</f>
        <v>KNIFE MOUNT PLATE</v>
      </c>
      <c r="E5" s="278"/>
      <c r="F5" s="131" t="str">
        <f>VLOOKUP(C5,Machined!C:R,7,0)</f>
        <v>6061-T6 Alum</v>
      </c>
      <c r="G5" s="131" t="str">
        <f>VLOOKUP(C5,Machined!C:R,10,0)</f>
        <v>NULINE</v>
      </c>
      <c r="H5" s="131" t="str">
        <f>VLOOKUP(C5,Machined!C:R,11,0)</f>
        <v xml:space="preserve">  </v>
      </c>
      <c r="I5" s="131"/>
      <c r="J5" s="42" t="str">
        <f>VLOOKUP(C5,Machined!C:R,12,0)</f>
        <v>N/A</v>
      </c>
      <c r="K5" s="42" t="str">
        <f>VLOOKUP(C5,Machined!C:R,13,0)</f>
        <v>N/A</v>
      </c>
      <c r="L5" s="42" t="str">
        <f>VLOOKUP(C5,Machined!C:R,14,0)</f>
        <v>N/A</v>
      </c>
      <c r="M5" s="42" t="str">
        <f>VLOOKUP(C5,Machined!C:R,15,0)</f>
        <v>N/A</v>
      </c>
      <c r="N5" s="43" t="str">
        <f>VLOOKUP(C5,Machined!C:R,16,0)</f>
        <v>N/A</v>
      </c>
      <c r="O5" s="43" t="e">
        <f t="shared" ref="O5:O7" ca="1" si="0">B5*$L$2</f>
        <v>#VALUE!</v>
      </c>
      <c r="P5" s="47">
        <f>IFERROR(VLOOKUP(C5,Machined!C:F,3,0),"")</f>
        <v>0</v>
      </c>
      <c r="Q5" s="48">
        <f t="shared" ref="Q5:Q7" si="1">IFERROR(B5*P5,"")</f>
        <v>0</v>
      </c>
    </row>
    <row r="6" spans="1:17" s="2" customFormat="1" ht="12.75" customHeight="1">
      <c r="A6" s="127">
        <v>2</v>
      </c>
      <c r="B6" s="21">
        <v>1</v>
      </c>
      <c r="C6" s="108" t="s">
        <v>1346</v>
      </c>
      <c r="D6" s="277" t="str">
        <f>VLOOKUP(C6,Machined!C:Q,2,0)</f>
        <v>KNIFE MOUNT WEDGE</v>
      </c>
      <c r="E6" s="278"/>
      <c r="F6" s="131" t="str">
        <f>VLOOKUP(C6,Machined!C:R,7,0)</f>
        <v>AISI 1020 Steel, Cold Rolled</v>
      </c>
      <c r="G6" s="131" t="str">
        <f>VLOOKUP(C6,Machined!C:R,10,0)</f>
        <v>NULINE</v>
      </c>
      <c r="H6" s="131" t="str">
        <f>VLOOKUP(C6,Machined!C:R,11,0)</f>
        <v xml:space="preserve">  </v>
      </c>
      <c r="I6" s="131"/>
      <c r="J6" s="42" t="str">
        <f>VLOOKUP(C6,Machined!C:R,12,0)</f>
        <v>N/A</v>
      </c>
      <c r="K6" s="42" t="str">
        <f>VLOOKUP(C6,Machined!C:R,13,0)</f>
        <v>N/A</v>
      </c>
      <c r="L6" s="42" t="str">
        <f>VLOOKUP(C6,Machined!C:R,14,0)</f>
        <v>N/A</v>
      </c>
      <c r="M6" s="42" t="str">
        <f>VLOOKUP(C6,Machined!C:R,15,0)</f>
        <v>N/A</v>
      </c>
      <c r="N6" s="43" t="str">
        <f>VLOOKUP(C6,Machined!C:R,16,0)</f>
        <v>N/A</v>
      </c>
      <c r="O6" s="43" t="e">
        <f t="shared" ca="1" si="0"/>
        <v>#VALUE!</v>
      </c>
      <c r="P6" s="47">
        <f>IFERROR(VLOOKUP(C6,Machined!C:F,3,0),"")</f>
        <v>0</v>
      </c>
      <c r="Q6" s="48">
        <f t="shared" si="1"/>
        <v>0</v>
      </c>
    </row>
    <row r="7" spans="1:17" s="2" customFormat="1" ht="12.75" customHeight="1">
      <c r="A7" s="127">
        <v>3</v>
      </c>
      <c r="B7" s="21">
        <v>1</v>
      </c>
      <c r="C7" s="108" t="s">
        <v>1347</v>
      </c>
      <c r="D7" s="277" t="str">
        <f>VLOOKUP(C7,Machined!C:Q,2,0)</f>
        <v>E-CHAIN SUPPORT</v>
      </c>
      <c r="E7" s="278"/>
      <c r="F7" s="131" t="str">
        <f>VLOOKUP(C7,Machined!C:R,7,0)</f>
        <v>AISI 304, 12 Gauge #2 Brushed</v>
      </c>
      <c r="G7" s="131" t="str">
        <f>VLOOKUP(C7,Machined!C:R,10,0)</f>
        <v>WESCO BHT</v>
      </c>
      <c r="H7" s="131" t="str">
        <f>VLOOKUP(C7,Machined!C:R,11,0)</f>
        <v xml:space="preserve">  </v>
      </c>
      <c r="I7" s="131"/>
      <c r="J7" s="42">
        <f>VLOOKUP(C7,Machined!C:R,12,0)</f>
        <v>45159</v>
      </c>
      <c r="K7" s="42">
        <f>VLOOKUP(C7,Machined!C:R,13,0)</f>
        <v>45161</v>
      </c>
      <c r="L7" s="42">
        <f>VLOOKUP(C7,Machined!C:R,14,0)</f>
        <v>45191</v>
      </c>
      <c r="M7" s="42">
        <f>VLOOKUP(C7,Machined!C:R,15,0)</f>
        <v>45191</v>
      </c>
      <c r="N7" s="43">
        <f>VLOOKUP(C7,Machined!C:R,16,0)</f>
        <v>55092</v>
      </c>
      <c r="O7" s="43" t="e">
        <f t="shared" ca="1" si="0"/>
        <v>#VALUE!</v>
      </c>
      <c r="P7" s="47">
        <f>IFERROR(VLOOKUP(C7,Machined!C:F,3,0),"")</f>
        <v>208.81</v>
      </c>
      <c r="Q7" s="48">
        <f t="shared" si="1"/>
        <v>208.81</v>
      </c>
    </row>
    <row r="8" spans="1:17" s="2" customFormat="1" ht="12.75" customHeight="1">
      <c r="A8" s="143"/>
      <c r="B8" s="26"/>
      <c r="C8" s="26"/>
      <c r="D8" s="272"/>
      <c r="E8" s="273"/>
      <c r="F8" s="26"/>
      <c r="G8" s="26"/>
      <c r="H8" s="274"/>
      <c r="I8" s="275"/>
      <c r="J8" s="27"/>
      <c r="K8" s="27"/>
      <c r="L8" s="27"/>
      <c r="M8" s="28"/>
      <c r="N8" s="29"/>
      <c r="O8" s="29"/>
      <c r="P8" s="141"/>
      <c r="Q8" s="142"/>
    </row>
    <row r="9" spans="1:17" s="2" customFormat="1" ht="12.75" customHeight="1">
      <c r="A9" s="4">
        <v>301</v>
      </c>
      <c r="B9" s="2">
        <v>1</v>
      </c>
      <c r="C9" s="114" t="s">
        <v>1348</v>
      </c>
      <c r="D9" s="268" t="str">
        <f>VLOOKUP(C9,Purchased!A:B,2,0)</f>
        <v>Dienes 02023-01 PQAS 1/2″ SCORE CUT KNIFE HOLDER WITH SET SCREW</v>
      </c>
      <c r="E9" s="269"/>
      <c r="F9" s="112" t="str">
        <f>VLOOKUP(C9,Purchased!A:Q,9,0)</f>
        <v>DIENES</v>
      </c>
      <c r="G9" s="112" t="str">
        <f>VLOOKUP(C9,Purchased!A:Q,10,0)</f>
        <v>DIENES</v>
      </c>
      <c r="H9" s="112" t="str">
        <f>VLOOKUP(C9,Purchased!A:Q,12,0)</f>
        <v xml:space="preserve"> </v>
      </c>
      <c r="I9" s="113"/>
      <c r="J9" s="44">
        <f>VLOOKUP(C9,Purchased!A:Q,13,0)</f>
        <v>45125</v>
      </c>
      <c r="K9" s="44">
        <f>VLOOKUP(C9,Purchased!A:Q,14,0)</f>
        <v>45149</v>
      </c>
      <c r="L9" s="44">
        <f>VLOOKUP(C9,Purchased!A:Q,15,0)</f>
        <v>45177</v>
      </c>
      <c r="M9" s="44">
        <f>VLOOKUP(C9,Purchased!A:Q,16,0)</f>
        <v>45156</v>
      </c>
      <c r="N9" s="45">
        <f>VLOOKUP(C9,Purchased!A:Q,17,0)</f>
        <v>55052</v>
      </c>
      <c r="O9" s="45" t="e">
        <f t="shared" ref="O9:O11" ca="1" si="2">B9*$L$2</f>
        <v>#VALUE!</v>
      </c>
      <c r="P9" s="49">
        <f>IFERROR(VLOOKUP(C9,Purchased!A:E,3,FALSE),"")</f>
        <v>177.61</v>
      </c>
      <c r="Q9" s="50">
        <f t="shared" ref="Q9:Q11" si="3">IFERROR(B9*P9,"")</f>
        <v>177.61</v>
      </c>
    </row>
    <row r="10" spans="1:17" s="2" customFormat="1" ht="12" customHeight="1">
      <c r="A10" s="4">
        <f t="shared" ref="A10:A11" si="4">A9+1</f>
        <v>302</v>
      </c>
      <c r="B10" s="2">
        <v>1</v>
      </c>
      <c r="C10" s="114" t="s">
        <v>1349</v>
      </c>
      <c r="D10" s="268" t="str">
        <f>VLOOKUP(C10,Purchased!A:B,2,0)</f>
        <v>Dienes 022198 MALE/FEMALE ADAPTER</v>
      </c>
      <c r="E10" s="269"/>
      <c r="F10" s="112" t="str">
        <f>VLOOKUP(C10,Purchased!A:Q,9,0)</f>
        <v>DIENES</v>
      </c>
      <c r="G10" s="112" t="str">
        <f>VLOOKUP(C10,Purchased!A:Q,10,0)</f>
        <v>DIENES</v>
      </c>
      <c r="H10" s="112" t="str">
        <f>VLOOKUP(C10,Purchased!A:Q,12,0)</f>
        <v xml:space="preserve"> </v>
      </c>
      <c r="I10" s="113"/>
      <c r="J10" s="44">
        <f>VLOOKUP(C10,Purchased!A:Q,13,0)</f>
        <v>45125</v>
      </c>
      <c r="K10" s="44">
        <f>VLOOKUP(C10,Purchased!A:Q,14,0)</f>
        <v>45149</v>
      </c>
      <c r="L10" s="44">
        <f>VLOOKUP(C10,Purchased!A:Q,15,0)</f>
        <v>45177</v>
      </c>
      <c r="M10" s="44">
        <f>VLOOKUP(C10,Purchased!A:Q,16,0)</f>
        <v>45156</v>
      </c>
      <c r="N10" s="45">
        <f>VLOOKUP(C10,Purchased!A:Q,17,0)</f>
        <v>55052</v>
      </c>
      <c r="O10" s="45" t="e">
        <f t="shared" ca="1" si="2"/>
        <v>#VALUE!</v>
      </c>
      <c r="P10" s="49">
        <f>IFERROR(VLOOKUP(C10,Purchased!A:E,3,FALSE),"")</f>
        <v>20.21</v>
      </c>
      <c r="Q10" s="50">
        <f t="shared" si="3"/>
        <v>20.21</v>
      </c>
    </row>
    <row r="11" spans="1:17" s="2" customFormat="1" ht="12" customHeight="1">
      <c r="A11" s="4">
        <f t="shared" si="4"/>
        <v>303</v>
      </c>
      <c r="B11" s="2">
        <v>1</v>
      </c>
      <c r="C11" s="114" t="s">
        <v>186</v>
      </c>
      <c r="D11" s="268" t="str">
        <f>VLOOKUP(C11,Purchased!A:B,2,0)</f>
        <v>SMC FITTING, MALE ELBOW</v>
      </c>
      <c r="E11" s="269"/>
      <c r="F11" s="112" t="str">
        <f>VLOOKUP(C11,Purchased!A:Q,9,0)</f>
        <v>SMC</v>
      </c>
      <c r="G11" s="112" t="str">
        <f>VLOOKUP(C11,Purchased!A:Q,10,0)</f>
        <v>AAP</v>
      </c>
      <c r="H11" s="112" t="str">
        <f>VLOOKUP(C11,Purchased!A:Q,12,0)</f>
        <v xml:space="preserve">  </v>
      </c>
      <c r="I11" s="113"/>
      <c r="J11" s="44" t="str">
        <f>VLOOKUP(C11,Purchased!A:Q,13,0)</f>
        <v>N/A</v>
      </c>
      <c r="K11" s="44">
        <f>VLOOKUP(C11,Purchased!A:Q,14,0)</f>
        <v>45162</v>
      </c>
      <c r="L11" s="44">
        <f>VLOOKUP(C11,Purchased!A:Q,15,0)</f>
        <v>45184</v>
      </c>
      <c r="M11" s="44">
        <f>VLOOKUP(C11,Purchased!A:Q,16,0)</f>
        <v>45180</v>
      </c>
      <c r="N11" s="45">
        <f>VLOOKUP(C11,Purchased!A:Q,17,0)</f>
        <v>55037</v>
      </c>
      <c r="O11" s="45" t="e">
        <f t="shared" ca="1" si="2"/>
        <v>#VALUE!</v>
      </c>
      <c r="P11" s="49">
        <f>IFERROR(VLOOKUP(C11,Purchased!A:E,3,FALSE),"")</f>
        <v>1.4248000000000001</v>
      </c>
      <c r="Q11" s="50">
        <f t="shared" si="3"/>
        <v>1.4248000000000001</v>
      </c>
    </row>
    <row r="12" spans="1:17" s="2" customFormat="1" ht="12.75" customHeight="1">
      <c r="A12" s="25"/>
      <c r="B12" s="26"/>
      <c r="C12" s="26"/>
      <c r="D12" s="272"/>
      <c r="E12" s="273"/>
      <c r="F12" s="26"/>
      <c r="G12" s="26"/>
      <c r="H12" s="274"/>
      <c r="I12" s="275"/>
      <c r="J12" s="27"/>
      <c r="K12" s="27"/>
      <c r="L12" s="27"/>
      <c r="M12" s="28"/>
      <c r="N12" s="29"/>
      <c r="O12" s="29"/>
      <c r="P12" s="141"/>
      <c r="Q12" s="142"/>
    </row>
    <row r="13" spans="1:17" s="2" customFormat="1" ht="12.75" customHeight="1">
      <c r="A13" s="4">
        <v>501</v>
      </c>
      <c r="B13" s="2">
        <v>2</v>
      </c>
      <c r="C13" s="110" t="s">
        <v>266</v>
      </c>
      <c r="D13" s="268"/>
      <c r="E13" s="276"/>
      <c r="F13" s="112" t="str">
        <f>VLOOKUP(C13,Bolts!A:L,5,0)</f>
        <v xml:space="preserve">  </v>
      </c>
      <c r="G13" s="112" t="str">
        <f>VLOOKUP(C13,Bolts!A:L,6,0)</f>
        <v>Monroe Fasteners</v>
      </c>
      <c r="H13" s="112" t="str">
        <f>VLOOKUP(C13,Bolts!A:L,7,0)</f>
        <v xml:space="preserve">  </v>
      </c>
      <c r="I13" s="112"/>
      <c r="J13" s="44" t="str">
        <f>VLOOKUP(C13,Bolts!A:L,8,0)</f>
        <v xml:space="preserve"> </v>
      </c>
      <c r="K13" s="44" t="str">
        <f>VLOOKUP(C13,Bolts!A:L,9,0)</f>
        <v xml:space="preserve"> </v>
      </c>
      <c r="L13" s="44" t="str">
        <f>VLOOKUP(C13,Bolts!A:L,10,0)</f>
        <v xml:space="preserve"> </v>
      </c>
      <c r="M13" s="44" t="str">
        <f>VLOOKUP(C13,Bolts!A:L,11,0)</f>
        <v xml:space="preserve"> </v>
      </c>
      <c r="N13" s="45" t="str">
        <f>VLOOKUP(C13,Bolts!A:L,12,0)</f>
        <v xml:space="preserve"> </v>
      </c>
      <c r="O13" s="45" t="e">
        <f t="shared" ref="O13:O16" ca="1" si="5">B13*$L$2</f>
        <v>#VALUE!</v>
      </c>
      <c r="P13" s="49" t="str">
        <f>IFERROR(VLOOKUP(C13,Bolts!A:B,2,FALSE),"")</f>
        <v xml:space="preserve"> </v>
      </c>
      <c r="Q13" s="50" t="str">
        <f t="shared" ref="Q13:Q16" si="6">IFERROR(B13*P13,"")</f>
        <v/>
      </c>
    </row>
    <row r="14" spans="1:17" s="2" customFormat="1" ht="12.75" customHeight="1">
      <c r="A14" s="4">
        <f t="shared" ref="A14:A17" si="7">A13+1</f>
        <v>502</v>
      </c>
      <c r="B14" s="2">
        <v>3</v>
      </c>
      <c r="C14" s="110" t="s">
        <v>342</v>
      </c>
      <c r="D14" s="268"/>
      <c r="E14" s="276"/>
      <c r="F14" s="112" t="str">
        <f>VLOOKUP(C14,Bolts!A:L,5,0)</f>
        <v xml:space="preserve">  </v>
      </c>
      <c r="G14" s="112" t="str">
        <f>VLOOKUP(C14,Bolts!A:L,6,0)</f>
        <v>Monroe Fasteners</v>
      </c>
      <c r="H14" s="112" t="str">
        <f>VLOOKUP(C14,Bolts!A:L,7,0)</f>
        <v xml:space="preserve">  </v>
      </c>
      <c r="I14" s="112"/>
      <c r="J14" s="44" t="str">
        <f>VLOOKUP(C14,Bolts!A:L,8,0)</f>
        <v xml:space="preserve"> </v>
      </c>
      <c r="K14" s="44" t="str">
        <f>VLOOKUP(C14,Bolts!A:L,9,0)</f>
        <v xml:space="preserve"> </v>
      </c>
      <c r="L14" s="44" t="str">
        <f>VLOOKUP(C14,Bolts!A:L,10,0)</f>
        <v xml:space="preserve"> </v>
      </c>
      <c r="M14" s="44" t="str">
        <f>VLOOKUP(C14,Bolts!A:L,11,0)</f>
        <v xml:space="preserve"> </v>
      </c>
      <c r="N14" s="45" t="str">
        <f>VLOOKUP(C14,Bolts!A:L,12,0)</f>
        <v xml:space="preserve"> </v>
      </c>
      <c r="O14" s="45" t="e">
        <f t="shared" ca="1" si="5"/>
        <v>#VALUE!</v>
      </c>
      <c r="P14" s="49" t="str">
        <f>IFERROR(VLOOKUP(C14,Bolts!A:B,2,FALSE),"")</f>
        <v xml:space="preserve"> </v>
      </c>
      <c r="Q14" s="50" t="str">
        <f t="shared" si="6"/>
        <v/>
      </c>
    </row>
    <row r="15" spans="1:17" s="2" customFormat="1" ht="12" customHeight="1">
      <c r="A15" s="4">
        <f t="shared" si="7"/>
        <v>503</v>
      </c>
      <c r="B15" s="2">
        <v>2</v>
      </c>
      <c r="C15" s="110" t="s">
        <v>827</v>
      </c>
      <c r="D15" s="268"/>
      <c r="E15" s="276"/>
      <c r="F15" s="112" t="str">
        <f>VLOOKUP(C15,Bolts!A:L,5,0)</f>
        <v xml:space="preserve">  </v>
      </c>
      <c r="G15" s="112" t="str">
        <f>VLOOKUP(C15,Bolts!A:L,6,0)</f>
        <v>Monroe Fasteners</v>
      </c>
      <c r="H15" s="112" t="str">
        <f>VLOOKUP(C15,Bolts!A:L,7,0)</f>
        <v xml:space="preserve">  </v>
      </c>
      <c r="I15" s="112"/>
      <c r="J15" s="44" t="str">
        <f>VLOOKUP(C15,Bolts!A:L,8,0)</f>
        <v xml:space="preserve"> </v>
      </c>
      <c r="K15" s="44" t="str">
        <f>VLOOKUP(C15,Bolts!A:L,9,0)</f>
        <v xml:space="preserve"> </v>
      </c>
      <c r="L15" s="44" t="str">
        <f>VLOOKUP(C15,Bolts!A:L,10,0)</f>
        <v xml:space="preserve"> </v>
      </c>
      <c r="M15" s="44" t="str">
        <f>VLOOKUP(C15,Bolts!A:L,11,0)</f>
        <v xml:space="preserve"> </v>
      </c>
      <c r="N15" s="45" t="str">
        <f>VLOOKUP(C15,Bolts!A:L,12,0)</f>
        <v xml:space="preserve"> </v>
      </c>
      <c r="O15" s="45" t="e">
        <f t="shared" ref="O15" ca="1" si="8">B15*$L$2</f>
        <v>#VALUE!</v>
      </c>
      <c r="P15" s="49" t="str">
        <f>IFERROR(VLOOKUP(C15,Bolts!A:B,2,FALSE),"")</f>
        <v xml:space="preserve"> </v>
      </c>
      <c r="Q15" s="50" t="str">
        <f t="shared" ref="Q15" si="9">IFERROR(B15*P15,"")</f>
        <v/>
      </c>
    </row>
    <row r="16" spans="1:17" s="2" customFormat="1" ht="12" customHeight="1">
      <c r="A16" s="4">
        <f t="shared" si="7"/>
        <v>504</v>
      </c>
      <c r="B16" s="2">
        <v>8</v>
      </c>
      <c r="C16" s="110" t="s">
        <v>265</v>
      </c>
      <c r="D16" s="268"/>
      <c r="E16" s="276"/>
      <c r="F16" s="112" t="str">
        <f>VLOOKUP(C16,Bolts!A:L,5,0)</f>
        <v xml:space="preserve">  </v>
      </c>
      <c r="G16" s="112" t="str">
        <f>VLOOKUP(C16,Bolts!A:L,6,0)</f>
        <v>Monroe Fasteners</v>
      </c>
      <c r="H16" s="112" t="str">
        <f>VLOOKUP(C16,Bolts!A:L,7,0)</f>
        <v xml:space="preserve">  </v>
      </c>
      <c r="I16" s="112"/>
      <c r="J16" s="44" t="str">
        <f>VLOOKUP(C16,Bolts!A:L,8,0)</f>
        <v xml:space="preserve"> </v>
      </c>
      <c r="K16" s="44" t="str">
        <f>VLOOKUP(C16,Bolts!A:L,9,0)</f>
        <v xml:space="preserve"> </v>
      </c>
      <c r="L16" s="44" t="str">
        <f>VLOOKUP(C16,Bolts!A:L,10,0)</f>
        <v xml:space="preserve"> </v>
      </c>
      <c r="M16" s="44" t="str">
        <f>VLOOKUP(C16,Bolts!A:L,11,0)</f>
        <v xml:space="preserve"> </v>
      </c>
      <c r="N16" s="45" t="str">
        <f>VLOOKUP(C16,Bolts!A:L,12,0)</f>
        <v xml:space="preserve"> </v>
      </c>
      <c r="O16" s="45" t="e">
        <f t="shared" ca="1" si="5"/>
        <v>#VALUE!</v>
      </c>
      <c r="P16" s="49" t="str">
        <f>IFERROR(VLOOKUP(C16,Bolts!A:B,2,FALSE),"")</f>
        <v xml:space="preserve"> </v>
      </c>
      <c r="Q16" s="50" t="str">
        <f t="shared" si="6"/>
        <v/>
      </c>
    </row>
    <row r="17" spans="1:17" s="2" customFormat="1" ht="12" customHeight="1" thickBot="1">
      <c r="A17" s="4">
        <f t="shared" si="7"/>
        <v>505</v>
      </c>
      <c r="B17" s="2">
        <v>3</v>
      </c>
      <c r="C17" s="110" t="s">
        <v>595</v>
      </c>
      <c r="D17" s="268"/>
      <c r="E17" s="276"/>
      <c r="F17" s="112" t="str">
        <f>VLOOKUP(C17,Bolts!A:L,5,0)</f>
        <v xml:space="preserve">  </v>
      </c>
      <c r="G17" s="112" t="str">
        <f>VLOOKUP(C17,Bolts!A:L,6,0)</f>
        <v>Monroe Fasteners</v>
      </c>
      <c r="H17" s="112" t="str">
        <f>VLOOKUP(C17,Bolts!A:L,7,0)</f>
        <v xml:space="preserve">  </v>
      </c>
      <c r="I17" s="112"/>
      <c r="J17" s="44" t="str">
        <f>VLOOKUP(C17,Bolts!A:L,8,0)</f>
        <v xml:space="preserve"> </v>
      </c>
      <c r="K17" s="44" t="str">
        <f>VLOOKUP(C17,Bolts!A:L,9,0)</f>
        <v xml:space="preserve"> </v>
      </c>
      <c r="L17" s="44" t="str">
        <f>VLOOKUP(C17,Bolts!A:L,10,0)</f>
        <v xml:space="preserve"> </v>
      </c>
      <c r="M17" s="44" t="str">
        <f>VLOOKUP(C17,Bolts!A:L,11,0)</f>
        <v xml:space="preserve"> </v>
      </c>
      <c r="N17" s="45" t="str">
        <f>VLOOKUP(C17,Bolts!A:L,12,0)</f>
        <v xml:space="preserve"> </v>
      </c>
      <c r="O17" s="45" t="e">
        <f t="shared" ref="O17" ca="1" si="10">B17*$L$2</f>
        <v>#VALUE!</v>
      </c>
      <c r="P17" s="49" t="str">
        <f>IFERROR(VLOOKUP(C17,Bolts!A:B,2,FALSE),"")</f>
        <v xml:space="preserve"> </v>
      </c>
      <c r="Q17" s="50" t="str">
        <f t="shared" ref="Q17" si="11">IFERROR(B17*P17,"")</f>
        <v/>
      </c>
    </row>
    <row r="18" spans="1:17" s="2" customFormat="1" ht="12.75" customHeight="1" thickBot="1">
      <c r="A18" s="34"/>
      <c r="B18" s="35"/>
      <c r="C18" s="35"/>
      <c r="D18" s="256"/>
      <c r="E18" s="257"/>
      <c r="F18" s="35"/>
      <c r="G18" s="35"/>
      <c r="H18" s="294"/>
      <c r="I18" s="295"/>
      <c r="J18" s="36"/>
      <c r="K18" s="36"/>
      <c r="L18" s="36"/>
      <c r="M18" s="37"/>
      <c r="N18" s="38"/>
      <c r="O18" s="38"/>
      <c r="P18" s="89" t="s">
        <v>43</v>
      </c>
      <c r="Q18" s="94">
        <f>SUM(Q5:Q17)</f>
        <v>408.0548</v>
      </c>
    </row>
    <row r="19" spans="1:17" s="2" customFormat="1" ht="12" customHeight="1">
      <c r="D19" s="22"/>
      <c r="E19" s="22"/>
      <c r="J19" s="8"/>
      <c r="K19" s="8"/>
      <c r="L19" s="8"/>
      <c r="M19" s="8"/>
      <c r="N19" s="5"/>
      <c r="O19" s="5"/>
      <c r="P19" s="88"/>
      <c r="Q19" s="95"/>
    </row>
    <row r="20" spans="1:17" s="2" customFormat="1" ht="12" customHeight="1">
      <c r="D20" s="22"/>
      <c r="E20" s="22"/>
      <c r="J20" s="5"/>
      <c r="K20" s="5"/>
      <c r="L20" s="5"/>
      <c r="M20" s="5"/>
      <c r="N20" s="5"/>
      <c r="O20" s="5"/>
      <c r="P20" s="88"/>
      <c r="Q20" s="95"/>
    </row>
    <row r="21" spans="1:17" s="2" customFormat="1" ht="12" customHeight="1">
      <c r="D21" s="22"/>
      <c r="E21" s="22"/>
      <c r="J21" s="5"/>
      <c r="K21" s="5"/>
      <c r="L21" s="5"/>
      <c r="M21" s="5"/>
      <c r="N21" s="5"/>
      <c r="O21" s="5"/>
      <c r="P21" s="88"/>
      <c r="Q21" s="95"/>
    </row>
    <row r="22" spans="1:17" s="2" customFormat="1" ht="12" customHeight="1">
      <c r="D22" s="22"/>
      <c r="E22" s="22"/>
      <c r="J22" s="5"/>
      <c r="K22" s="5"/>
      <c r="L22" s="5"/>
      <c r="M22" s="5"/>
      <c r="N22" s="5"/>
      <c r="O22" s="5"/>
      <c r="P22" s="88"/>
      <c r="Q22" s="95"/>
    </row>
    <row r="23" spans="1:17" s="2" customFormat="1" ht="12" customHeight="1">
      <c r="D23" s="22"/>
      <c r="E23" s="22"/>
      <c r="J23" s="5"/>
      <c r="K23" s="5"/>
      <c r="L23" s="5"/>
      <c r="M23" s="5"/>
      <c r="N23" s="5"/>
      <c r="O23" s="5"/>
      <c r="P23" s="88"/>
      <c r="Q23" s="95"/>
    </row>
    <row r="24" spans="1:17" s="2" customFormat="1" ht="12" customHeight="1">
      <c r="D24" s="22"/>
      <c r="E24" s="22"/>
      <c r="J24" s="5"/>
      <c r="K24" s="5"/>
      <c r="L24" s="5"/>
      <c r="M24" s="5"/>
      <c r="N24" s="5"/>
      <c r="O24" s="5"/>
      <c r="P24" s="88"/>
      <c r="Q24" s="95"/>
    </row>
    <row r="25" spans="1:17" s="2" customFormat="1" ht="12" customHeight="1">
      <c r="D25" s="22"/>
      <c r="E25" s="22"/>
      <c r="J25" s="5"/>
      <c r="K25" s="5"/>
      <c r="L25" s="5"/>
      <c r="M25" s="5"/>
      <c r="N25" s="5"/>
      <c r="O25" s="5"/>
      <c r="P25" s="88"/>
      <c r="Q25" s="95"/>
    </row>
    <row r="26" spans="1:17" s="2" customFormat="1" ht="12" customHeight="1">
      <c r="D26" s="22"/>
      <c r="E26" s="22"/>
      <c r="J26" s="5"/>
      <c r="K26" s="5"/>
      <c r="L26" s="5"/>
      <c r="M26" s="5"/>
      <c r="N26" s="5"/>
      <c r="O26" s="5"/>
      <c r="P26" s="88"/>
      <c r="Q26" s="95"/>
    </row>
    <row r="27" spans="1:17" s="2" customFormat="1" ht="12" customHeight="1">
      <c r="D27" s="22"/>
      <c r="E27" s="22"/>
      <c r="J27" s="5"/>
      <c r="K27" s="5"/>
      <c r="L27" s="5"/>
      <c r="M27" s="5"/>
      <c r="N27" s="5"/>
      <c r="O27" s="5"/>
      <c r="P27" s="88"/>
      <c r="Q27" s="95"/>
    </row>
    <row r="28" spans="1:17" s="2" customFormat="1" ht="12" customHeight="1">
      <c r="D28" s="22"/>
      <c r="E28" s="22"/>
      <c r="J28" s="5"/>
      <c r="K28" s="5"/>
      <c r="L28" s="5"/>
      <c r="M28" s="5"/>
      <c r="N28" s="5"/>
      <c r="O28" s="5"/>
      <c r="P28" s="88"/>
      <c r="Q28" s="95"/>
    </row>
    <row r="29" spans="1:17" s="2" customFormat="1" ht="12" customHeight="1">
      <c r="D29" s="22"/>
      <c r="E29" s="22"/>
      <c r="J29" s="5"/>
      <c r="K29" s="5"/>
      <c r="L29" s="5"/>
      <c r="M29" s="5"/>
      <c r="N29" s="5"/>
      <c r="O29" s="5"/>
      <c r="P29" s="88"/>
      <c r="Q29" s="95"/>
    </row>
    <row r="30" spans="1:17" s="2" customFormat="1" ht="12" customHeight="1">
      <c r="D30" s="22"/>
      <c r="E30" s="22"/>
      <c r="J30" s="5"/>
      <c r="K30" s="5"/>
      <c r="L30" s="5"/>
      <c r="M30" s="5"/>
      <c r="N30" s="5"/>
      <c r="O30" s="5"/>
      <c r="P30" s="88"/>
      <c r="Q30" s="95"/>
    </row>
    <row r="31" spans="1:17" s="2" customFormat="1" ht="12" customHeight="1">
      <c r="D31" s="22"/>
      <c r="E31" s="22"/>
      <c r="J31" s="5"/>
      <c r="K31" s="5"/>
      <c r="L31" s="5"/>
      <c r="M31" s="5"/>
      <c r="N31" s="5"/>
      <c r="O31" s="5"/>
      <c r="P31" s="88"/>
      <c r="Q31" s="95"/>
    </row>
    <row r="32" spans="1:17" s="2" customFormat="1" ht="12" customHeight="1">
      <c r="D32" s="22"/>
      <c r="E32" s="22"/>
      <c r="J32" s="5"/>
      <c r="K32" s="5"/>
      <c r="L32" s="5"/>
      <c r="M32" s="5"/>
      <c r="N32" s="5"/>
      <c r="O32" s="5"/>
      <c r="P32" s="88"/>
      <c r="Q32" s="95"/>
    </row>
    <row r="33" spans="4:17" s="2" customFormat="1" ht="12" customHeight="1">
      <c r="D33" s="22"/>
      <c r="E33" s="22"/>
      <c r="J33" s="5"/>
      <c r="K33" s="5"/>
      <c r="L33" s="5"/>
      <c r="M33" s="5"/>
      <c r="N33" s="5"/>
      <c r="O33" s="5"/>
      <c r="P33" s="88"/>
      <c r="Q33" s="95"/>
    </row>
    <row r="34" spans="4:17" s="2" customFormat="1" ht="12" customHeight="1">
      <c r="D34" s="22"/>
      <c r="E34" s="22"/>
      <c r="J34" s="5"/>
      <c r="K34" s="5"/>
      <c r="L34" s="5"/>
      <c r="M34" s="5"/>
      <c r="N34" s="5"/>
      <c r="O34" s="5"/>
      <c r="P34" s="88"/>
      <c r="Q34" s="95"/>
    </row>
    <row r="35" spans="4:17" s="2" customFormat="1" ht="12" customHeight="1">
      <c r="D35" s="22"/>
      <c r="E35" s="22"/>
      <c r="J35" s="5"/>
      <c r="K35" s="5"/>
      <c r="L35" s="5"/>
      <c r="M35" s="5"/>
      <c r="N35" s="5"/>
      <c r="O35" s="5"/>
      <c r="P35" s="88"/>
      <c r="Q35" s="95"/>
    </row>
    <row r="36" spans="4:17" s="2" customFormat="1" ht="12" customHeight="1">
      <c r="D36" s="22"/>
      <c r="E36" s="22"/>
      <c r="J36" s="5"/>
      <c r="K36" s="5"/>
      <c r="L36" s="5"/>
      <c r="M36" s="5"/>
      <c r="N36" s="5"/>
      <c r="O36" s="5"/>
      <c r="P36" s="88"/>
      <c r="Q36" s="95"/>
    </row>
    <row r="37" spans="4:17" s="2" customFormat="1" ht="12" customHeight="1">
      <c r="D37" s="22"/>
      <c r="E37" s="22"/>
      <c r="J37" s="5"/>
      <c r="K37" s="5"/>
      <c r="L37" s="5"/>
      <c r="M37" s="5"/>
      <c r="N37" s="5"/>
      <c r="O37" s="5"/>
      <c r="P37" s="88"/>
      <c r="Q37" s="95"/>
    </row>
    <row r="38" spans="4:17" s="2" customFormat="1" ht="12" customHeight="1">
      <c r="D38" s="22"/>
      <c r="E38" s="22"/>
      <c r="J38" s="5"/>
      <c r="K38" s="5"/>
      <c r="L38" s="5"/>
      <c r="M38" s="5"/>
      <c r="N38" s="5"/>
      <c r="O38" s="5"/>
      <c r="P38" s="88"/>
      <c r="Q38" s="95"/>
    </row>
    <row r="39" spans="4:17" s="2" customFormat="1" ht="12" customHeight="1">
      <c r="D39" s="22"/>
      <c r="E39" s="22"/>
      <c r="J39" s="5"/>
      <c r="K39" s="5"/>
      <c r="L39" s="5"/>
      <c r="M39" s="5"/>
      <c r="N39" s="5"/>
      <c r="O39" s="5"/>
      <c r="P39" s="88"/>
      <c r="Q39" s="95"/>
    </row>
    <row r="40" spans="4:17" s="2" customFormat="1" ht="12" customHeight="1">
      <c r="D40" s="22"/>
      <c r="E40" s="22"/>
      <c r="J40" s="5"/>
      <c r="K40" s="5"/>
      <c r="L40" s="5"/>
      <c r="M40" s="5"/>
      <c r="N40" s="5"/>
      <c r="O40" s="5"/>
      <c r="P40" s="88"/>
      <c r="Q40" s="95"/>
    </row>
    <row r="41" spans="4:17" s="2" customFormat="1" ht="12" customHeight="1">
      <c r="D41" s="22"/>
      <c r="E41" s="22"/>
      <c r="J41" s="5"/>
      <c r="K41" s="5"/>
      <c r="L41" s="5"/>
      <c r="M41" s="5"/>
      <c r="N41" s="5"/>
      <c r="O41" s="5"/>
      <c r="P41" s="88"/>
      <c r="Q41" s="95"/>
    </row>
    <row r="42" spans="4:17" s="2" customFormat="1" ht="12" customHeight="1">
      <c r="D42" s="22"/>
      <c r="E42" s="22"/>
      <c r="J42" s="5"/>
      <c r="K42" s="5"/>
      <c r="L42" s="5"/>
      <c r="M42" s="5"/>
      <c r="N42" s="5"/>
      <c r="O42" s="5"/>
      <c r="P42" s="88"/>
      <c r="Q42" s="95"/>
    </row>
    <row r="43" spans="4:17" s="2" customFormat="1" ht="12" customHeight="1">
      <c r="D43" s="22"/>
      <c r="E43" s="22"/>
      <c r="J43" s="5"/>
      <c r="K43" s="5"/>
      <c r="L43" s="5"/>
      <c r="M43" s="5"/>
      <c r="N43" s="5"/>
      <c r="O43" s="5"/>
      <c r="P43" s="88"/>
      <c r="Q43" s="95"/>
    </row>
    <row r="44" spans="4:17" s="2" customFormat="1" ht="12" customHeight="1">
      <c r="D44" s="22"/>
      <c r="E44" s="22"/>
      <c r="J44" s="5"/>
      <c r="K44" s="5"/>
      <c r="L44" s="5"/>
      <c r="M44" s="5"/>
      <c r="N44" s="5"/>
      <c r="O44" s="5"/>
      <c r="P44" s="88"/>
      <c r="Q44" s="95"/>
    </row>
    <row r="45" spans="4:17" s="2" customFormat="1" ht="12" customHeight="1">
      <c r="D45" s="22"/>
      <c r="E45" s="22"/>
      <c r="J45" s="5"/>
      <c r="K45" s="5"/>
      <c r="L45" s="5"/>
      <c r="M45" s="5"/>
      <c r="N45" s="5"/>
      <c r="O45" s="5"/>
      <c r="P45" s="88"/>
      <c r="Q45" s="95"/>
    </row>
    <row r="46" spans="4:17" s="2" customFormat="1" ht="12" customHeight="1">
      <c r="D46" s="22"/>
      <c r="E46" s="22"/>
      <c r="J46" s="5"/>
      <c r="K46" s="5"/>
      <c r="L46" s="5"/>
      <c r="M46" s="5"/>
      <c r="N46" s="5"/>
      <c r="O46" s="5"/>
      <c r="P46" s="88"/>
      <c r="Q46" s="95"/>
    </row>
    <row r="47" spans="4:17" s="2" customFormat="1" ht="12" customHeight="1">
      <c r="D47" s="22"/>
      <c r="E47" s="22"/>
      <c r="J47" s="5"/>
      <c r="K47" s="5"/>
      <c r="L47" s="5"/>
      <c r="M47" s="5"/>
      <c r="N47" s="5"/>
      <c r="O47" s="5"/>
      <c r="P47" s="88"/>
      <c r="Q47" s="95"/>
    </row>
    <row r="48" spans="4:17" s="2" customFormat="1" ht="12" customHeight="1">
      <c r="D48" s="22"/>
      <c r="E48" s="22"/>
      <c r="J48" s="5"/>
      <c r="K48" s="5"/>
      <c r="L48" s="5"/>
      <c r="M48" s="5"/>
      <c r="N48" s="5"/>
      <c r="O48" s="5"/>
      <c r="P48" s="88"/>
      <c r="Q48" s="95"/>
    </row>
    <row r="49" spans="1:17" s="2" customFormat="1" ht="12" customHeight="1">
      <c r="D49" s="22"/>
      <c r="E49" s="22"/>
      <c r="J49" s="5"/>
      <c r="K49" s="5"/>
      <c r="L49" s="5"/>
      <c r="M49" s="5"/>
      <c r="N49" s="5"/>
      <c r="O49" s="5"/>
      <c r="P49" s="88"/>
      <c r="Q49" s="95"/>
    </row>
    <row r="50" spans="1:17" s="2" customFormat="1" ht="12" customHeight="1">
      <c r="D50" s="22"/>
      <c r="E50" s="22"/>
      <c r="J50" s="5"/>
      <c r="K50" s="5"/>
      <c r="L50" s="5"/>
      <c r="M50" s="5"/>
      <c r="N50" s="5"/>
      <c r="O50" s="5"/>
      <c r="P50" s="88"/>
      <c r="Q50" s="95"/>
    </row>
    <row r="51" spans="1:17" s="2" customFormat="1" ht="12" customHeight="1">
      <c r="D51" s="22"/>
      <c r="E51" s="22"/>
      <c r="J51" s="5"/>
      <c r="K51" s="5"/>
      <c r="L51" s="5"/>
      <c r="M51" s="5"/>
      <c r="N51" s="5"/>
      <c r="O51" s="5"/>
      <c r="P51" s="88"/>
      <c r="Q51" s="95"/>
    </row>
    <row r="52" spans="1:17" s="2" customFormat="1" ht="12" customHeight="1">
      <c r="D52" s="22"/>
      <c r="E52" s="22"/>
      <c r="J52" s="5"/>
      <c r="K52" s="5"/>
      <c r="L52" s="5"/>
      <c r="M52" s="5"/>
      <c r="N52" s="5"/>
      <c r="O52" s="5"/>
      <c r="P52" s="88"/>
      <c r="Q52" s="95"/>
    </row>
    <row r="53" spans="1:17" s="2" customFormat="1" ht="12" customHeight="1">
      <c r="D53" s="22"/>
      <c r="E53" s="22"/>
      <c r="J53" s="5"/>
      <c r="K53" s="5"/>
      <c r="L53" s="5"/>
      <c r="M53" s="5"/>
      <c r="N53" s="5"/>
      <c r="O53" s="5"/>
      <c r="P53" s="88"/>
      <c r="Q53" s="95"/>
    </row>
    <row r="54" spans="1:17" s="2" customFormat="1" ht="12" customHeight="1">
      <c r="D54" s="22"/>
      <c r="E54" s="22"/>
      <c r="J54" s="5"/>
      <c r="K54" s="5"/>
      <c r="L54" s="5"/>
      <c r="M54" s="5"/>
      <c r="N54" s="5"/>
      <c r="O54" s="5"/>
      <c r="P54" s="88"/>
      <c r="Q54" s="95"/>
    </row>
    <row r="55" spans="1:17" s="2" customFormat="1" ht="12" customHeight="1">
      <c r="D55" s="22"/>
      <c r="E55" s="22"/>
      <c r="J55" s="5"/>
      <c r="K55" s="5"/>
      <c r="L55" s="5"/>
      <c r="M55" s="5"/>
      <c r="N55" s="5"/>
      <c r="O55" s="5"/>
      <c r="P55" s="88"/>
      <c r="Q55" s="95"/>
    </row>
    <row r="56" spans="1:17" s="2" customFormat="1" ht="12" customHeight="1">
      <c r="D56" s="22"/>
      <c r="E56" s="22"/>
      <c r="J56" s="5"/>
      <c r="K56" s="5"/>
      <c r="L56" s="5"/>
      <c r="M56" s="5"/>
      <c r="N56" s="5"/>
      <c r="O56" s="5"/>
      <c r="P56" s="88"/>
      <c r="Q56" s="95"/>
    </row>
    <row r="57" spans="1:17" s="2" customFormat="1" ht="12" customHeight="1">
      <c r="D57" s="22"/>
      <c r="E57" s="22"/>
      <c r="J57" s="5"/>
      <c r="K57" s="5"/>
      <c r="L57" s="5"/>
      <c r="M57" s="5"/>
      <c r="N57" s="5"/>
      <c r="O57" s="5"/>
      <c r="P57" s="88"/>
      <c r="Q57" s="96"/>
    </row>
    <row r="58" spans="1:17" s="2" customFormat="1" ht="12" customHeight="1">
      <c r="D58" s="22"/>
      <c r="E58" s="22"/>
      <c r="J58" s="5"/>
      <c r="K58" s="5"/>
      <c r="L58" s="5"/>
      <c r="M58" s="5"/>
      <c r="N58" s="5"/>
      <c r="O58" s="5"/>
      <c r="P58" s="88"/>
      <c r="Q58" s="96"/>
    </row>
    <row r="59" spans="1:17" s="2" customFormat="1" ht="12" customHeight="1">
      <c r="D59" s="22"/>
      <c r="E59" s="22"/>
      <c r="J59" s="5"/>
      <c r="K59" s="5"/>
      <c r="L59" s="5"/>
      <c r="M59" s="5"/>
      <c r="N59" s="5"/>
      <c r="O59" s="5"/>
      <c r="P59" s="88"/>
      <c r="Q59" s="96"/>
    </row>
    <row r="60" spans="1:17" s="2" customFormat="1" ht="12" customHeight="1">
      <c r="D60" s="22"/>
      <c r="E60" s="22"/>
      <c r="J60" s="5"/>
      <c r="K60" s="5"/>
      <c r="L60" s="5"/>
      <c r="M60" s="5"/>
      <c r="N60" s="5"/>
      <c r="O60" s="5"/>
      <c r="P60" s="88"/>
      <c r="Q60" s="96"/>
    </row>
    <row r="61" spans="1:17" s="2" customFormat="1" ht="12" customHeight="1">
      <c r="A61"/>
      <c r="B61"/>
      <c r="C61"/>
      <c r="D61" s="23"/>
      <c r="E61" s="23"/>
      <c r="F61"/>
      <c r="G61"/>
      <c r="H61"/>
      <c r="I61"/>
      <c r="J61" s="19"/>
      <c r="K61" s="19"/>
      <c r="L61" s="19"/>
      <c r="M61" s="19"/>
      <c r="N61" s="19"/>
      <c r="O61" s="19"/>
      <c r="P61" s="90"/>
      <c r="Q61" s="96"/>
    </row>
    <row r="62" spans="1:17" s="2" customFormat="1" ht="12" customHeight="1">
      <c r="A62"/>
      <c r="B62"/>
      <c r="C62"/>
      <c r="D62" s="23"/>
      <c r="E62" s="23"/>
      <c r="F62"/>
      <c r="G62"/>
      <c r="H62"/>
      <c r="I62"/>
      <c r="J62" s="19"/>
      <c r="K62" s="19"/>
      <c r="L62" s="19"/>
      <c r="M62" s="19"/>
      <c r="N62" s="19"/>
      <c r="O62" s="19"/>
      <c r="P62" s="90"/>
      <c r="Q62" s="96"/>
    </row>
    <row r="63" spans="1:17" s="2" customFormat="1" ht="12" customHeight="1">
      <c r="A63"/>
      <c r="B63"/>
      <c r="C63"/>
      <c r="D63" s="23"/>
      <c r="E63" s="23"/>
      <c r="F63"/>
      <c r="G63"/>
      <c r="H63"/>
      <c r="I63"/>
      <c r="J63" s="19"/>
      <c r="K63" s="19"/>
      <c r="L63" s="19"/>
      <c r="M63" s="19"/>
      <c r="N63" s="19"/>
      <c r="O63" s="19"/>
      <c r="P63" s="90"/>
      <c r="Q63" s="96"/>
    </row>
    <row r="64" spans="1:17" s="2" customFormat="1" ht="12" customHeight="1">
      <c r="A64"/>
      <c r="B64"/>
      <c r="C64"/>
      <c r="D64" s="23"/>
      <c r="E64" s="23"/>
      <c r="F64"/>
      <c r="G64"/>
      <c r="H64"/>
      <c r="I64"/>
      <c r="J64" s="19"/>
      <c r="K64" s="19"/>
      <c r="L64" s="19"/>
      <c r="M64" s="19"/>
      <c r="N64" s="19"/>
      <c r="O64" s="19"/>
      <c r="P64" s="90"/>
      <c r="Q64" s="96"/>
    </row>
    <row r="65" spans="1:17" s="2" customFormat="1" ht="12" customHeight="1">
      <c r="A65"/>
      <c r="B65"/>
      <c r="C65"/>
      <c r="D65" s="23"/>
      <c r="E65" s="23"/>
      <c r="F65"/>
      <c r="G65"/>
      <c r="H65"/>
      <c r="I65"/>
      <c r="J65" s="19"/>
      <c r="K65" s="19"/>
      <c r="L65" s="19"/>
      <c r="M65" s="19"/>
      <c r="N65" s="19"/>
      <c r="O65" s="19"/>
      <c r="P65" s="90"/>
      <c r="Q65" s="96"/>
    </row>
    <row r="66" spans="1:17">
      <c r="Q66" s="96"/>
    </row>
    <row r="67" spans="1:17">
      <c r="Q67" s="96"/>
    </row>
    <row r="68" spans="1:17">
      <c r="Q68" s="96"/>
    </row>
    <row r="69" spans="1:17">
      <c r="Q69" s="96"/>
    </row>
    <row r="70" spans="1:17">
      <c r="Q70" s="96"/>
    </row>
    <row r="71" spans="1:17">
      <c r="Q71" s="96"/>
    </row>
    <row r="72" spans="1:17">
      <c r="Q72" s="96"/>
    </row>
    <row r="73" spans="1:17">
      <c r="Q73" s="96"/>
    </row>
    <row r="74" spans="1:17">
      <c r="Q74" s="96"/>
    </row>
    <row r="75" spans="1:17">
      <c r="Q75" s="96"/>
    </row>
    <row r="76" spans="1:17">
      <c r="Q76" s="96"/>
    </row>
    <row r="77" spans="1:17">
      <c r="Q77" s="96"/>
    </row>
    <row r="78" spans="1:17">
      <c r="Q78" s="96"/>
    </row>
    <row r="79" spans="1:17">
      <c r="Q79" s="96"/>
    </row>
    <row r="80" spans="1:17">
      <c r="Q80" s="96"/>
    </row>
    <row r="81" spans="17:17">
      <c r="Q81" s="96"/>
    </row>
    <row r="82" spans="17:17">
      <c r="Q82" s="96"/>
    </row>
    <row r="83" spans="17:17">
      <c r="Q83" s="96"/>
    </row>
    <row r="84" spans="17:17">
      <c r="Q84" s="96"/>
    </row>
    <row r="85" spans="17:17">
      <c r="Q85" s="96"/>
    </row>
    <row r="122" ht="12" customHeight="1"/>
    <row r="123" ht="12" customHeight="1"/>
    <row r="124" ht="12" customHeight="1"/>
    <row r="125" ht="12" customHeight="1"/>
    <row r="126" ht="12" customHeight="1"/>
    <row r="127" ht="12" customHeight="1"/>
    <row r="128" ht="12" customHeight="1"/>
    <row r="129" ht="12" customHeight="1"/>
    <row r="130" ht="12" customHeight="1"/>
    <row r="131" ht="12" customHeight="1"/>
    <row r="132" ht="12" customHeight="1"/>
    <row r="133" ht="12" customHeight="1"/>
    <row r="134" ht="12" customHeight="1"/>
    <row r="135" ht="12" customHeight="1"/>
    <row r="136" ht="12" customHeight="1"/>
    <row r="137" ht="12" customHeight="1"/>
    <row r="138" ht="12" customHeight="1"/>
    <row r="139" ht="12" customHeight="1"/>
    <row r="140" ht="12" customHeight="1"/>
    <row r="141" ht="12" customHeight="1"/>
    <row r="142" ht="12" customHeight="1"/>
    <row r="143" ht="12" customHeight="1"/>
    <row r="144" ht="12" customHeight="1"/>
    <row r="145" ht="12" customHeight="1"/>
    <row r="146" ht="12" customHeight="1"/>
    <row r="147" ht="12" customHeight="1"/>
    <row r="148" ht="12" customHeight="1"/>
    <row r="149" ht="12" customHeight="1"/>
    <row r="150" ht="12" customHeight="1"/>
    <row r="151" ht="12" customHeight="1"/>
    <row r="152" ht="12" customHeight="1"/>
    <row r="153" ht="12" customHeight="1"/>
    <row r="154" ht="12" customHeight="1"/>
    <row r="155" ht="12" customHeight="1"/>
    <row r="156" ht="12" customHeight="1"/>
    <row r="157" ht="12" customHeight="1"/>
    <row r="158" ht="12" customHeight="1"/>
    <row r="159" ht="12" customHeight="1"/>
    <row r="160" ht="12" customHeight="1"/>
    <row r="161" ht="12" customHeight="1"/>
    <row r="162" ht="12" customHeight="1"/>
    <row r="163" ht="12" customHeight="1"/>
    <row r="164" ht="12" customHeight="1"/>
    <row r="165" ht="12" customHeight="1"/>
    <row r="166" ht="12" customHeight="1"/>
    <row r="167" ht="12" customHeight="1"/>
    <row r="168" ht="12" customHeight="1"/>
    <row r="169" ht="12" customHeight="1"/>
    <row r="170" ht="12" customHeight="1"/>
    <row r="171" ht="12" customHeight="1"/>
  </sheetData>
  <mergeCells count="20">
    <mergeCell ref="D11:E11"/>
    <mergeCell ref="D18:E18"/>
    <mergeCell ref="H18:I18"/>
    <mergeCell ref="H12:I12"/>
    <mergeCell ref="D13:E13"/>
    <mergeCell ref="D14:E14"/>
    <mergeCell ref="D16:E16"/>
    <mergeCell ref="D12:E12"/>
    <mergeCell ref="D15:E15"/>
    <mergeCell ref="D17:E17"/>
    <mergeCell ref="D7:E7"/>
    <mergeCell ref="D8:E8"/>
    <mergeCell ref="H8:I8"/>
    <mergeCell ref="D9:E9"/>
    <mergeCell ref="D10:E10"/>
    <mergeCell ref="D1:E1"/>
    <mergeCell ref="D4:E4"/>
    <mergeCell ref="H4:I4"/>
    <mergeCell ref="D5:E5"/>
    <mergeCell ref="D6:E6"/>
  </mergeCells>
  <conditionalFormatting sqref="M5:M7 M9:M11">
    <cfRule type="cellIs" dxfId="170" priority="1" stopIfTrue="1" operator="lessThanOrEqual">
      <formula>$L5</formula>
    </cfRule>
    <cfRule type="cellIs" dxfId="169" priority="2" operator="greaterThan">
      <formula>L5</formula>
    </cfRule>
  </conditionalFormatting>
  <conditionalFormatting sqref="M13:M17">
    <cfRule type="cellIs" dxfId="168" priority="5" stopIfTrue="1" operator="lessThanOrEqual">
      <formula>$L13</formula>
    </cfRule>
    <cfRule type="cellIs" dxfId="167" priority="6" operator="greaterThan">
      <formula>L13</formula>
    </cfRule>
  </conditionalFormatting>
  <pageMargins left="0.7" right="0.7" top="0.75" bottom="0.75" header="0.3" footer="0.3"/>
  <pageSetup paperSize="3" fitToHeight="0" orientation="landscape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6F56D597-0CBD-4247-8DFC-B3AF640C7FF9}">
          <x14:formula1>
            <xm:f>Bolts!$A:$A</xm:f>
          </x14:formula1>
          <xm:sqref>C13:C17</xm:sqref>
        </x14:dataValidation>
        <x14:dataValidation type="list" allowBlank="1" showInputMessage="1" showErrorMessage="1" xr:uid="{C36864A5-EA27-4F92-AA5A-166ED40E48F8}">
          <x14:formula1>
            <xm:f>Purchased!$A:$A</xm:f>
          </x14:formula1>
          <xm:sqref>C9:C11</xm:sqref>
        </x14:dataValidation>
        <x14:dataValidation type="list" allowBlank="1" showInputMessage="1" showErrorMessage="1" xr:uid="{35F8D835-3EE7-4593-8C58-09BA9270A3A9}">
          <x14:formula1>
            <xm:f>Machined!$C:$C</xm:f>
          </x14:formula1>
          <xm:sqref>C5:C7</xm:sqref>
        </x14:dataValidation>
      </x14:dataValidations>
    </ext>
  </extLst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7CA159-A510-467D-9851-C1672FB22E61}">
  <sheetPr codeName="Sheet139">
    <tabColor theme="3" tint="0.59999389629810485"/>
    <pageSetUpPr fitToPage="1"/>
  </sheetPr>
  <dimension ref="A1:Q173"/>
  <sheetViews>
    <sheetView zoomScaleNormal="100" workbookViewId="0">
      <selection activeCell="D26" sqref="D26"/>
    </sheetView>
  </sheetViews>
  <sheetFormatPr defaultColWidth="9.140625" defaultRowHeight="15"/>
  <cols>
    <col min="1" max="1" width="5.7109375" customWidth="1"/>
    <col min="2" max="2" width="5.42578125" bestFit="1" customWidth="1"/>
    <col min="3" max="3" width="30.7109375" customWidth="1"/>
    <col min="4" max="5" width="20.7109375" style="23" customWidth="1"/>
    <col min="6" max="6" width="16.85546875" bestFit="1" customWidth="1"/>
    <col min="7" max="7" width="9.7109375" customWidth="1"/>
    <col min="8" max="8" width="8.7109375" customWidth="1"/>
    <col min="9" max="9" width="20.7109375" customWidth="1"/>
    <col min="10" max="13" width="11.7109375" style="19" customWidth="1"/>
    <col min="14" max="14" width="11.85546875" style="19" bestFit="1" customWidth="1"/>
    <col min="15" max="15" width="7.7109375" style="19" customWidth="1"/>
    <col min="16" max="16" width="10.7109375" style="90" customWidth="1"/>
    <col min="17" max="17" width="10.7109375" style="97" customWidth="1"/>
  </cols>
  <sheetData>
    <row r="1" spans="1:17" s="55" customFormat="1" ht="12" customHeight="1">
      <c r="A1" s="68" t="s">
        <v>0</v>
      </c>
      <c r="B1" s="69"/>
      <c r="C1" s="69"/>
      <c r="D1" s="262" t="s">
        <v>1</v>
      </c>
      <c r="E1" s="263"/>
      <c r="F1" s="70"/>
      <c r="G1" s="69"/>
      <c r="H1" s="70"/>
      <c r="I1" s="71"/>
      <c r="J1" s="72"/>
      <c r="K1" s="72"/>
      <c r="L1" s="72"/>
      <c r="M1" s="72"/>
      <c r="N1" s="72"/>
      <c r="O1" s="72"/>
      <c r="P1" s="85"/>
      <c r="Q1" s="91"/>
    </row>
    <row r="2" spans="1:17" s="55" customFormat="1" ht="12" customHeight="1">
      <c r="A2" s="74" t="s">
        <v>48</v>
      </c>
      <c r="B2" s="58"/>
      <c r="C2" s="57" t="e">
        <f ca="1">VLOOKUP(E3,Assemblies!B:F,4,0)</f>
        <v>#VALUE!</v>
      </c>
      <c r="D2" s="75" t="s">
        <v>3</v>
      </c>
      <c r="E2" s="76" t="e">
        <f ca="1">'GF12'!E2</f>
        <v>#VALUE!</v>
      </c>
      <c r="F2" s="77" t="s">
        <v>4</v>
      </c>
      <c r="G2" s="58" t="str">
        <f>'GF12'!G2</f>
        <v>GH</v>
      </c>
      <c r="H2" s="77" t="s">
        <v>6</v>
      </c>
      <c r="I2" s="59">
        <f>'GF12'!I2</f>
        <v>44775</v>
      </c>
      <c r="J2" s="39"/>
      <c r="K2" s="40" t="s">
        <v>49</v>
      </c>
      <c r="L2" s="41" t="e">
        <f ca="1">VLOOKUP(C2,Assemblies!E:G,3,0)</f>
        <v>#VALUE!</v>
      </c>
      <c r="M2" s="78"/>
      <c r="N2" s="78"/>
      <c r="O2" s="78"/>
      <c r="P2" s="86"/>
      <c r="Q2" s="92"/>
    </row>
    <row r="3" spans="1:17" s="55" customFormat="1" ht="12" customHeight="1" thickBot="1">
      <c r="A3" s="74" t="s">
        <v>7</v>
      </c>
      <c r="B3" s="58"/>
      <c r="C3" s="57" t="e">
        <f ca="1">VLOOKUP(E3,Assemblies!B:F,5,0)</f>
        <v>#VALUE!</v>
      </c>
      <c r="D3" s="75" t="s">
        <v>50</v>
      </c>
      <c r="E3" s="76" t="e">
        <f ca="1">MID(CELL("filename",A1),FIND("]",CELL("filename",A1))+1,256)</f>
        <v>#VALUE!</v>
      </c>
      <c r="F3" s="77" t="s">
        <v>11</v>
      </c>
      <c r="G3" s="58" t="str">
        <f>'GF12'!G3</f>
        <v>GH</v>
      </c>
      <c r="H3" s="77" t="s">
        <v>6</v>
      </c>
      <c r="I3" s="59">
        <f>'GF12'!I3</f>
        <v>44775</v>
      </c>
      <c r="J3" s="78"/>
      <c r="K3" s="78"/>
      <c r="L3" s="78"/>
      <c r="M3" s="78"/>
      <c r="N3" s="78"/>
      <c r="O3" s="78"/>
      <c r="P3" s="86"/>
      <c r="Q3" s="92"/>
    </row>
    <row r="4" spans="1:17" s="56" customFormat="1" ht="12.75" customHeight="1" thickBot="1">
      <c r="A4" s="80" t="s">
        <v>12</v>
      </c>
      <c r="B4" s="81" t="s">
        <v>13</v>
      </c>
      <c r="C4" s="81" t="s">
        <v>14</v>
      </c>
      <c r="D4" s="270" t="s">
        <v>15</v>
      </c>
      <c r="E4" s="271"/>
      <c r="F4" s="104" t="s">
        <v>16</v>
      </c>
      <c r="G4" s="81" t="s">
        <v>17</v>
      </c>
      <c r="H4" s="260" t="s">
        <v>18</v>
      </c>
      <c r="I4" s="261"/>
      <c r="J4" s="81" t="s">
        <v>51</v>
      </c>
      <c r="K4" s="81" t="s">
        <v>20</v>
      </c>
      <c r="L4" s="81" t="s">
        <v>21</v>
      </c>
      <c r="M4" s="81" t="s">
        <v>52</v>
      </c>
      <c r="N4" s="81" t="s">
        <v>22</v>
      </c>
      <c r="O4" s="81" t="s">
        <v>53</v>
      </c>
      <c r="P4" s="107" t="s">
        <v>26</v>
      </c>
      <c r="Q4" s="82" t="s">
        <v>27</v>
      </c>
    </row>
    <row r="5" spans="1:17" s="2" customFormat="1" ht="12.75" customHeight="1">
      <c r="A5" s="127">
        <v>1</v>
      </c>
      <c r="B5" s="21">
        <v>1</v>
      </c>
      <c r="C5" s="108" t="s">
        <v>1350</v>
      </c>
      <c r="D5" s="277" t="str">
        <f>VLOOKUP(C5,Machined!C:Q,2,0)</f>
        <v>HOLD DOWN MOUNT</v>
      </c>
      <c r="E5" s="278"/>
      <c r="F5" s="131" t="str">
        <f>VLOOKUP(C5,Machined!C:R,7,0)</f>
        <v xml:space="preserve">AISI 304, 6? Gauge </v>
      </c>
      <c r="G5" s="131" t="str">
        <f>VLOOKUP(C5,Machined!C:R,10,0)</f>
        <v>WESCO BHT</v>
      </c>
      <c r="H5" s="131" t="str">
        <f>VLOOKUP(C5,Machined!C:R,11,0)</f>
        <v xml:space="preserve">  </v>
      </c>
      <c r="I5" s="131"/>
      <c r="J5" s="42">
        <f>VLOOKUP(C5,Machined!C:R,12,0)</f>
        <v>45159</v>
      </c>
      <c r="K5" s="42">
        <f>VLOOKUP(C5,Machined!C:R,13,0)</f>
        <v>45161</v>
      </c>
      <c r="L5" s="42">
        <f>VLOOKUP(C5,Machined!C:R,14,0)</f>
        <v>45191</v>
      </c>
      <c r="M5" s="42">
        <f>VLOOKUP(C5,Machined!C:R,15,0)</f>
        <v>45191</v>
      </c>
      <c r="N5" s="43">
        <f>VLOOKUP(C5,Machined!C:R,16,0)</f>
        <v>55092</v>
      </c>
      <c r="O5" s="43" t="e">
        <f t="shared" ref="O5:O7" ca="1" si="0">B5*$L$2</f>
        <v>#VALUE!</v>
      </c>
      <c r="P5" s="47">
        <f>IFERROR(VLOOKUP(C5,Machined!C:F,3,0),"")</f>
        <v>121.54</v>
      </c>
      <c r="Q5" s="48">
        <f t="shared" ref="Q5:Q7" si="1">IFERROR(B5*P5,"")</f>
        <v>121.54</v>
      </c>
    </row>
    <row r="6" spans="1:17" s="2" customFormat="1" ht="12.75" customHeight="1">
      <c r="A6" s="127">
        <v>2</v>
      </c>
      <c r="B6" s="21">
        <v>1</v>
      </c>
      <c r="C6" s="108" t="s">
        <v>1351</v>
      </c>
      <c r="D6" s="277" t="str">
        <f>VLOOKUP(C6,Machined!C:Q,2,0)</f>
        <v>HOLD DOWN</v>
      </c>
      <c r="E6" s="278"/>
      <c r="F6" s="131" t="str">
        <f>VLOOKUP(C6,Machined!C:R,7,0)</f>
        <v>AISI 1020 Steel, Cold Rolled</v>
      </c>
      <c r="G6" s="131" t="str">
        <f>VLOOKUP(C6,Machined!C:R,10,0)</f>
        <v>BIG SKY</v>
      </c>
      <c r="H6" s="131" t="str">
        <f>VLOOKUP(C6,Machined!C:R,11,0)</f>
        <v xml:space="preserve">  </v>
      </c>
      <c r="I6" s="131"/>
      <c r="J6" s="42">
        <f>VLOOKUP(C6,Machined!C:R,12,0)</f>
        <v>45161</v>
      </c>
      <c r="K6" s="42">
        <f>VLOOKUP(C6,Machined!C:R,13,0)</f>
        <v>45161</v>
      </c>
      <c r="L6" s="42">
        <f>VLOOKUP(C6,Machined!C:R,14,0)</f>
        <v>45184</v>
      </c>
      <c r="M6" s="42">
        <f>VLOOKUP(C6,Machined!C:R,15,0)</f>
        <v>45184</v>
      </c>
      <c r="N6" s="43">
        <f>VLOOKUP(C6,Machined!C:R,16,0)</f>
        <v>55093</v>
      </c>
      <c r="O6" s="43" t="e">
        <f t="shared" ca="1" si="0"/>
        <v>#VALUE!</v>
      </c>
      <c r="P6" s="47">
        <f>IFERROR(VLOOKUP(C6,Machined!C:F,3,0),"")</f>
        <v>0</v>
      </c>
      <c r="Q6" s="48">
        <f t="shared" si="1"/>
        <v>0</v>
      </c>
    </row>
    <row r="7" spans="1:17" s="2" customFormat="1" ht="12.75" customHeight="1">
      <c r="A7" s="127">
        <v>3</v>
      </c>
      <c r="B7" s="21">
        <v>1</v>
      </c>
      <c r="C7" s="108" t="s">
        <v>1352</v>
      </c>
      <c r="D7" s="277" t="str">
        <f>VLOOKUP(C7,Machined!C:Q,2,0)</f>
        <v>KNIFE CLAMP RUBBER</v>
      </c>
      <c r="E7" s="278"/>
      <c r="F7" s="131" t="str">
        <f>VLOOKUP(C7,Machined!C:R,7,0)</f>
        <v>Silicone</v>
      </c>
      <c r="G7" s="131" t="str">
        <f>VLOOKUP(C7,Machined!C:R,10,0)</f>
        <v>NULINE</v>
      </c>
      <c r="H7" s="131" t="str">
        <f>VLOOKUP(C7,Machined!C:R,11,0)</f>
        <v xml:space="preserve">  </v>
      </c>
      <c r="I7" s="131"/>
      <c r="J7" s="42" t="str">
        <f>VLOOKUP(C7,Machined!C:R,12,0)</f>
        <v>N/A</v>
      </c>
      <c r="K7" s="42" t="str">
        <f>VLOOKUP(C7,Machined!C:R,13,0)</f>
        <v>N/A</v>
      </c>
      <c r="L7" s="42" t="str">
        <f>VLOOKUP(C7,Machined!C:R,14,0)</f>
        <v>N/A</v>
      </c>
      <c r="M7" s="42" t="str">
        <f>VLOOKUP(C7,Machined!C:R,15,0)</f>
        <v>N/A</v>
      </c>
      <c r="N7" s="43" t="str">
        <f>VLOOKUP(C7,Machined!C:R,16,0)</f>
        <v>N/A</v>
      </c>
      <c r="O7" s="43" t="e">
        <f t="shared" ca="1" si="0"/>
        <v>#VALUE!</v>
      </c>
      <c r="P7" s="47">
        <f>IFERROR(VLOOKUP(C7,Machined!C:F,3,0),"")</f>
        <v>0</v>
      </c>
      <c r="Q7" s="48">
        <f t="shared" si="1"/>
        <v>0</v>
      </c>
    </row>
    <row r="8" spans="1:17" s="2" customFormat="1" ht="12.75" customHeight="1">
      <c r="A8" s="143"/>
      <c r="B8" s="26"/>
      <c r="C8" s="26"/>
      <c r="D8" s="272"/>
      <c r="E8" s="273"/>
      <c r="F8" s="26"/>
      <c r="G8" s="26"/>
      <c r="H8" s="274"/>
      <c r="I8" s="275"/>
      <c r="J8" s="27"/>
      <c r="K8" s="27"/>
      <c r="L8" s="27"/>
      <c r="M8" s="28"/>
      <c r="N8" s="29"/>
      <c r="O8" s="29"/>
      <c r="P8" s="141"/>
      <c r="Q8" s="142"/>
    </row>
    <row r="9" spans="1:17" s="2" customFormat="1" ht="12.75" customHeight="1">
      <c r="A9" s="4">
        <v>301</v>
      </c>
      <c r="B9" s="2">
        <v>1</v>
      </c>
      <c r="C9" s="114" t="s">
        <v>594</v>
      </c>
      <c r="D9" s="268" t="str">
        <f>VLOOKUP(C9,Purchased!A:B,2,0)</f>
        <v>BRX GOTO T-SLOT STONE 10 M6</v>
      </c>
      <c r="E9" s="269"/>
      <c r="F9" s="112" t="str">
        <f>VLOOKUP(C9,Purchased!A:Q,9,0)</f>
        <v>BRX</v>
      </c>
      <c r="G9" s="112" t="str">
        <f>VLOOKUP(C9,Purchased!A:Q,10,0)</f>
        <v>AAP</v>
      </c>
      <c r="H9" s="112" t="str">
        <f>VLOOKUP(C9,Purchased!A:Q,12,0)</f>
        <v xml:space="preserve"> </v>
      </c>
      <c r="I9" s="113"/>
      <c r="J9" s="44">
        <f>VLOOKUP(C9,Purchased!A:Q,13,0)</f>
        <v>45104</v>
      </c>
      <c r="K9" s="44">
        <f>VLOOKUP(C9,Purchased!A:Q,14,0)</f>
        <v>45105</v>
      </c>
      <c r="L9" s="44">
        <f>VLOOKUP(C9,Purchased!A:Q,15,0)</f>
        <v>45133</v>
      </c>
      <c r="M9" s="44">
        <f>VLOOKUP(C9,Purchased!A:Q,16,0)</f>
        <v>45133</v>
      </c>
      <c r="N9" s="45">
        <f>VLOOKUP(C9,Purchased!A:Q,17,0)</f>
        <v>54968</v>
      </c>
      <c r="O9" s="45" t="e">
        <f t="shared" ref="O9:O14" ca="1" si="2">B9*$L$2</f>
        <v>#VALUE!</v>
      </c>
      <c r="P9" s="49">
        <f>IFERROR(VLOOKUP(C9,Purchased!A:E,3,FALSE),"")</f>
        <v>0.98570000000000002</v>
      </c>
      <c r="Q9" s="50">
        <f t="shared" ref="Q9:Q14" si="3">IFERROR(B9*P9,"")</f>
        <v>0.98570000000000002</v>
      </c>
    </row>
    <row r="10" spans="1:17" s="2" customFormat="1" ht="12" customHeight="1">
      <c r="A10" s="4">
        <f t="shared" ref="A10:A15" si="4">A9+1</f>
        <v>302</v>
      </c>
      <c r="B10" s="2">
        <v>1</v>
      </c>
      <c r="C10" s="114" t="s">
        <v>1353</v>
      </c>
      <c r="D10" s="268" t="str">
        <f>VLOOKUP(C10,Purchased!A:B,2,0)</f>
        <v>ELESA GN 300-30-M6-16-SW (GN.15956) twist lock handle</v>
      </c>
      <c r="E10" s="269"/>
      <c r="F10" s="112" t="str">
        <f>VLOOKUP(C10,Purchased!A:Q,9,0)</f>
        <v>ELESA</v>
      </c>
      <c r="G10" s="112" t="str">
        <f>VLOOKUP(C10,Purchased!A:Q,10,0)</f>
        <v>ELESA</v>
      </c>
      <c r="H10" s="112" t="str">
        <f>VLOOKUP(C10,Purchased!A:Q,12,0)</f>
        <v xml:space="preserve"> </v>
      </c>
      <c r="I10" s="113"/>
      <c r="J10" s="44">
        <f>VLOOKUP(C10,Purchased!A:Q,13,0)</f>
        <v>45125</v>
      </c>
      <c r="K10" s="44">
        <f>VLOOKUP(C10,Purchased!A:Q,14,0)</f>
        <v>45162</v>
      </c>
      <c r="L10" s="44">
        <f>VLOOKUP(C10,Purchased!A:Q,15,0)</f>
        <v>45184</v>
      </c>
      <c r="M10" s="44">
        <f>VLOOKUP(C10,Purchased!A:Q,16,0)</f>
        <v>45184</v>
      </c>
      <c r="N10" s="45">
        <f>VLOOKUP(C10,Purchased!A:Q,17,0)</f>
        <v>55036</v>
      </c>
      <c r="O10" s="45" t="e">
        <f t="shared" ca="1" si="2"/>
        <v>#VALUE!</v>
      </c>
      <c r="P10" s="49">
        <f>IFERROR(VLOOKUP(C10,Purchased!A:E,3,FALSE),"")</f>
        <v>3.56</v>
      </c>
      <c r="Q10" s="50">
        <f t="shared" si="3"/>
        <v>3.56</v>
      </c>
    </row>
    <row r="11" spans="1:17" s="2" customFormat="1" ht="12" customHeight="1">
      <c r="A11" s="4">
        <f t="shared" si="4"/>
        <v>303</v>
      </c>
      <c r="B11" s="2">
        <v>2</v>
      </c>
      <c r="C11" s="114" t="s">
        <v>1354</v>
      </c>
      <c r="D11" s="268" t="str">
        <f>VLOOKUP(C11,Purchased!A:B,2,0)</f>
        <v>Dowel Pin 52100 Alloy Steel, 10 mm Diameter, 16 mm Long, 10pk</v>
      </c>
      <c r="E11" s="269"/>
      <c r="F11" s="112" t="str">
        <f>VLOOKUP(C11,Purchased!A:Q,9,0)</f>
        <v>MCM</v>
      </c>
      <c r="G11" s="112" t="str">
        <f>VLOOKUP(C11,Purchased!A:Q,10,0)</f>
        <v>MCM</v>
      </c>
      <c r="H11" s="112" t="str">
        <f>VLOOKUP(C11,Purchased!A:Q,12,0)</f>
        <v>Pack of 10</v>
      </c>
      <c r="I11" s="113"/>
      <c r="J11" s="44" t="str">
        <f>VLOOKUP(C11,Purchased!A:Q,13,0)</f>
        <v>N/A</v>
      </c>
      <c r="K11" s="44">
        <f>VLOOKUP(C11,Purchased!A:Q,14,0)</f>
        <v>45162</v>
      </c>
      <c r="L11" s="44">
        <f>VLOOKUP(C11,Purchased!A:Q,15,0)</f>
        <v>45184</v>
      </c>
      <c r="M11" s="44">
        <f>VLOOKUP(C11,Purchased!A:Q,16,0)</f>
        <v>45163</v>
      </c>
      <c r="N11" s="45">
        <f>VLOOKUP(C11,Purchased!A:Q,17,0)</f>
        <v>55088</v>
      </c>
      <c r="O11" s="45" t="e">
        <f ca="1">B11*$L$2</f>
        <v>#VALUE!</v>
      </c>
      <c r="P11" s="49">
        <f>IFERROR(VLOOKUP(C11,Purchased!A:E,3,FALSE),"")</f>
        <v>17.350000000000001</v>
      </c>
      <c r="Q11" s="50">
        <f>IFERROR(B11*P11,"")</f>
        <v>34.700000000000003</v>
      </c>
    </row>
    <row r="12" spans="1:17" s="2" customFormat="1" ht="12" customHeight="1">
      <c r="A12" s="4">
        <f t="shared" si="4"/>
        <v>304</v>
      </c>
      <c r="B12" s="2">
        <v>2</v>
      </c>
      <c r="C12" s="114" t="s">
        <v>793</v>
      </c>
      <c r="D12" s="268" t="str">
        <f>VLOOKUP(C12,Purchased!A:B,2,0)</f>
        <v>SMC FITTING, MALE CONNECTOR</v>
      </c>
      <c r="E12" s="269"/>
      <c r="F12" s="112" t="str">
        <f>VLOOKUP(C12,Purchased!A:Q,9,0)</f>
        <v>SMC</v>
      </c>
      <c r="G12" s="112" t="str">
        <f>VLOOKUP(C12,Purchased!A:Q,10,0)</f>
        <v>AAP</v>
      </c>
      <c r="H12" s="112" t="str">
        <f>VLOOKUP(C12,Purchased!A:Q,12,0)</f>
        <v xml:space="preserve">  </v>
      </c>
      <c r="I12" s="113"/>
      <c r="J12" s="44" t="str">
        <f>VLOOKUP(C12,Purchased!A:Q,13,0)</f>
        <v>N/A</v>
      </c>
      <c r="K12" s="44">
        <f>VLOOKUP(C12,Purchased!A:Q,14,0)</f>
        <v>45162</v>
      </c>
      <c r="L12" s="44">
        <f>VLOOKUP(C12,Purchased!A:Q,15,0)</f>
        <v>45184</v>
      </c>
      <c r="M12" s="44">
        <f>VLOOKUP(C12,Purchased!A:Q,16,0)</f>
        <v>45180</v>
      </c>
      <c r="N12" s="45">
        <f>VLOOKUP(C12,Purchased!A:Q,17,0)</f>
        <v>55037</v>
      </c>
      <c r="O12" s="45" t="e">
        <f ca="1">B12*$L$2</f>
        <v>#VALUE!</v>
      </c>
      <c r="P12" s="49">
        <f>IFERROR(VLOOKUP(C12,Purchased!A:E,3,FALSE),"")</f>
        <v>0.84379999999999999</v>
      </c>
      <c r="Q12" s="50">
        <f>IFERROR(B12*P12,"")</f>
        <v>1.6876</v>
      </c>
    </row>
    <row r="13" spans="1:17" s="2" customFormat="1" ht="12" customHeight="1">
      <c r="A13" s="4">
        <f t="shared" si="4"/>
        <v>305</v>
      </c>
      <c r="B13" s="2">
        <v>1</v>
      </c>
      <c r="C13" s="114" t="s">
        <v>1355</v>
      </c>
      <c r="D13" s="268" t="str">
        <f>VLOOKUP(C13,Purchased!A:B,2,0)</f>
        <v>SMC Compact Cylinder, CQ2-Z</v>
      </c>
      <c r="E13" s="269"/>
      <c r="F13" s="112" t="str">
        <f>VLOOKUP(C13,Purchased!A:Q,9,0)</f>
        <v>SMC</v>
      </c>
      <c r="G13" s="112" t="str">
        <f>VLOOKUP(C13,Purchased!A:Q,10,0)</f>
        <v>AAP</v>
      </c>
      <c r="H13" s="112" t="str">
        <f>VLOOKUP(C13,Purchased!A:Q,12,0)</f>
        <v>Knife hold down cylinders</v>
      </c>
      <c r="I13" s="113"/>
      <c r="J13" s="44" t="str">
        <f>VLOOKUP(C13,Purchased!A:Q,13,0)</f>
        <v>N/A</v>
      </c>
      <c r="K13" s="44">
        <f>VLOOKUP(C13,Purchased!A:Q,14,0)</f>
        <v>45162</v>
      </c>
      <c r="L13" s="44">
        <f>VLOOKUP(C13,Purchased!A:Q,15,0)</f>
        <v>45184</v>
      </c>
      <c r="M13" s="44">
        <f>VLOOKUP(C13,Purchased!A:Q,16,0)</f>
        <v>45180</v>
      </c>
      <c r="N13" s="45">
        <f>VLOOKUP(C13,Purchased!A:Q,17,0)</f>
        <v>55037</v>
      </c>
      <c r="O13" s="45" t="e">
        <f ca="1">B13*$L$2</f>
        <v>#VALUE!</v>
      </c>
      <c r="P13" s="49">
        <f>IFERROR(VLOOKUP(C13,Purchased!A:E,3,FALSE),"")</f>
        <v>26.891999999999999</v>
      </c>
      <c r="Q13" s="50">
        <f>IFERROR(B13*P13,"")</f>
        <v>26.891999999999999</v>
      </c>
    </row>
    <row r="14" spans="1:17" s="2" customFormat="1" ht="12" customHeight="1">
      <c r="A14" s="4">
        <f t="shared" si="4"/>
        <v>306</v>
      </c>
      <c r="B14" s="2">
        <v>0.5</v>
      </c>
      <c r="C14" s="114" t="s">
        <v>476</v>
      </c>
      <c r="D14" s="268" t="str">
        <f>VLOOKUP(C14,Purchased!A:B,2,0)</f>
        <v>SMC Inline Solid PNP Direct</v>
      </c>
      <c r="E14" s="269"/>
      <c r="F14" s="112" t="str">
        <f>VLOOKUP(C14,Purchased!A:Q,9,0)</f>
        <v>SMC</v>
      </c>
      <c r="G14" s="112" t="str">
        <f>VLOOKUP(C14,Purchased!A:Q,10,0)</f>
        <v>AAP</v>
      </c>
      <c r="H14" s="112" t="str">
        <f>VLOOKUP(C14,Purchased!A:Q,12,0)</f>
        <v xml:space="preserve"> </v>
      </c>
      <c r="I14" s="113"/>
      <c r="J14" s="44" t="str">
        <f>VLOOKUP(C14,Purchased!A:Q,13,0)</f>
        <v>N/A</v>
      </c>
      <c r="K14" s="44">
        <f>VLOOKUP(C14,Purchased!A:Q,14,0)</f>
        <v>45162</v>
      </c>
      <c r="L14" s="44">
        <f>VLOOKUP(C14,Purchased!A:Q,15,0)</f>
        <v>45184</v>
      </c>
      <c r="M14" s="44">
        <f>VLOOKUP(C14,Purchased!A:Q,16,0)</f>
        <v>45180</v>
      </c>
      <c r="N14" s="45">
        <f>VLOOKUP(C14,Purchased!A:Q,17,0)</f>
        <v>55037</v>
      </c>
      <c r="O14" s="45" t="e">
        <f t="shared" ca="1" si="2"/>
        <v>#VALUE!</v>
      </c>
      <c r="P14" s="49">
        <f>IFERROR(VLOOKUP(C14,Purchased!A:E,3,FALSE),"")</f>
        <v>37.226700000000001</v>
      </c>
      <c r="Q14" s="50">
        <f t="shared" si="3"/>
        <v>18.613350000000001</v>
      </c>
    </row>
    <row r="15" spans="1:17" s="2" customFormat="1" ht="12" customHeight="1">
      <c r="A15" s="4">
        <f t="shared" si="4"/>
        <v>307</v>
      </c>
      <c r="B15" s="2">
        <v>0.5</v>
      </c>
      <c r="C15" s="114" t="s">
        <v>477</v>
      </c>
      <c r="D15" s="268" t="str">
        <f>VLOOKUP(C15,Purchased!A:B,2,0)</f>
        <v>MURR M8 Female, 0deg A-Coded, 3-Pin, w/ Cable</v>
      </c>
      <c r="E15" s="269"/>
      <c r="F15" s="112" t="str">
        <f>VLOOKUP(C15,Purchased!A:Q,9,0)</f>
        <v>MURR</v>
      </c>
      <c r="G15" s="112" t="str">
        <f>VLOOKUP(C15,Purchased!A:Q,10,0)</f>
        <v>MURR</v>
      </c>
      <c r="H15" s="112" t="str">
        <f>VLOOKUP(C15,Purchased!A:Q,12,0)</f>
        <v xml:space="preserve">  </v>
      </c>
      <c r="I15" s="113"/>
      <c r="J15" s="44">
        <f>VLOOKUP(C15,Purchased!A:Q,13,0)</f>
        <v>45161</v>
      </c>
      <c r="K15" s="44">
        <f>VLOOKUP(C15,Purchased!A:Q,14,0)</f>
        <v>45162</v>
      </c>
      <c r="L15" s="44">
        <f>VLOOKUP(C15,Purchased!A:Q,15,0)</f>
        <v>45184</v>
      </c>
      <c r="M15" s="44">
        <f>VLOOKUP(C15,Purchased!A:Q,16,0)</f>
        <v>45184</v>
      </c>
      <c r="N15" s="45">
        <f>VLOOKUP(C15,Purchased!A:Q,17,0)</f>
        <v>55080</v>
      </c>
      <c r="O15" s="45" t="e">
        <f t="shared" ref="O15" ca="1" si="5">B15*$L$2</f>
        <v>#VALUE!</v>
      </c>
      <c r="P15" s="49">
        <f>IFERROR(VLOOKUP(C15,Purchased!A:E,3,FALSE),"")</f>
        <v>21.52</v>
      </c>
      <c r="Q15" s="50">
        <f t="shared" ref="Q15" si="6">IFERROR(B15*P15,"")</f>
        <v>10.76</v>
      </c>
    </row>
    <row r="16" spans="1:17" s="2" customFormat="1" ht="12.75" customHeight="1">
      <c r="A16" s="25"/>
      <c r="B16" s="26"/>
      <c r="C16" s="26"/>
      <c r="D16" s="272"/>
      <c r="E16" s="273"/>
      <c r="F16" s="26"/>
      <c r="G16" s="26"/>
      <c r="H16" s="274"/>
      <c r="I16" s="275"/>
      <c r="J16" s="27"/>
      <c r="K16" s="27"/>
      <c r="L16" s="27"/>
      <c r="M16" s="28"/>
      <c r="N16" s="29"/>
      <c r="O16" s="29" t="e">
        <f t="shared" ref="O16:O18" ca="1" si="7">B16*$L$2</f>
        <v>#VALUE!</v>
      </c>
      <c r="P16" s="141"/>
      <c r="Q16" s="142"/>
    </row>
    <row r="17" spans="1:17" s="2" customFormat="1" ht="12.75" customHeight="1">
      <c r="A17" s="4">
        <v>501</v>
      </c>
      <c r="B17" s="2">
        <v>1</v>
      </c>
      <c r="C17" s="110" t="s">
        <v>1356</v>
      </c>
      <c r="D17" s="268"/>
      <c r="E17" s="276"/>
      <c r="F17" s="112" t="str">
        <f>VLOOKUP(C17,Bolts!A:L,5,0)</f>
        <v xml:space="preserve">  </v>
      </c>
      <c r="G17" s="112" t="str">
        <f>VLOOKUP(C17,Bolts!A:L,6,0)</f>
        <v>Monroe Fasteners</v>
      </c>
      <c r="H17" s="112" t="str">
        <f>VLOOKUP(C17,Bolts!A:L,7,0)</f>
        <v xml:space="preserve">  </v>
      </c>
      <c r="I17" s="112"/>
      <c r="J17" s="44" t="str">
        <f>VLOOKUP(C17,Bolts!A:L,8,0)</f>
        <v xml:space="preserve"> </v>
      </c>
      <c r="K17" s="44" t="str">
        <f>VLOOKUP(C17,Bolts!A:L,9,0)</f>
        <v xml:space="preserve"> </v>
      </c>
      <c r="L17" s="44" t="str">
        <f>VLOOKUP(C17,Bolts!A:L,10,0)</f>
        <v xml:space="preserve"> </v>
      </c>
      <c r="M17" s="44" t="str">
        <f>VLOOKUP(C17,Bolts!A:L,11,0)</f>
        <v xml:space="preserve"> </v>
      </c>
      <c r="N17" s="45" t="str">
        <f>VLOOKUP(C17,Bolts!A:L,12,0)</f>
        <v xml:space="preserve"> </v>
      </c>
      <c r="O17" s="45" t="e">
        <f t="shared" ca="1" si="7"/>
        <v>#VALUE!</v>
      </c>
      <c r="P17" s="49" t="str">
        <f>IFERROR(VLOOKUP(C17,Bolts!A:B,2,FALSE),"")</f>
        <v xml:space="preserve"> </v>
      </c>
      <c r="Q17" s="50" t="str">
        <f t="shared" ref="Q17:Q18" si="8">IFERROR(B17*P17,"")</f>
        <v/>
      </c>
    </row>
    <row r="18" spans="1:17" s="2" customFormat="1" ht="12.75" customHeight="1">
      <c r="A18" s="4">
        <f t="shared" ref="A18:A19" si="9">A17+1</f>
        <v>502</v>
      </c>
      <c r="B18" s="2">
        <v>2</v>
      </c>
      <c r="C18" s="110" t="s">
        <v>278</v>
      </c>
      <c r="D18" s="268"/>
      <c r="E18" s="276"/>
      <c r="F18" s="112" t="str">
        <f>VLOOKUP(C18,Bolts!A:L,5,0)</f>
        <v xml:space="preserve">  </v>
      </c>
      <c r="G18" s="112" t="str">
        <f>VLOOKUP(C18,Bolts!A:L,6,0)</f>
        <v>Monroe Fasteners</v>
      </c>
      <c r="H18" s="112" t="str">
        <f>VLOOKUP(C18,Bolts!A:L,7,0)</f>
        <v xml:space="preserve">  </v>
      </c>
      <c r="I18" s="112"/>
      <c r="J18" s="44" t="str">
        <f>VLOOKUP(C18,Bolts!A:L,8,0)</f>
        <v xml:space="preserve"> </v>
      </c>
      <c r="K18" s="44" t="str">
        <f>VLOOKUP(C18,Bolts!A:L,9,0)</f>
        <v xml:space="preserve"> </v>
      </c>
      <c r="L18" s="44" t="str">
        <f>VLOOKUP(C18,Bolts!A:L,10,0)</f>
        <v xml:space="preserve"> </v>
      </c>
      <c r="M18" s="44" t="str">
        <f>VLOOKUP(C18,Bolts!A:L,11,0)</f>
        <v xml:space="preserve"> </v>
      </c>
      <c r="N18" s="45" t="str">
        <f>VLOOKUP(C18,Bolts!A:L,12,0)</f>
        <v xml:space="preserve"> </v>
      </c>
      <c r="O18" s="45" t="e">
        <f t="shared" ca="1" si="7"/>
        <v>#VALUE!</v>
      </c>
      <c r="P18" s="49" t="str">
        <f>IFERROR(VLOOKUP(C18,Bolts!A:B,2,FALSE),"")</f>
        <v xml:space="preserve"> </v>
      </c>
      <c r="Q18" s="50" t="str">
        <f t="shared" si="8"/>
        <v/>
      </c>
    </row>
    <row r="19" spans="1:17" s="2" customFormat="1" ht="12.75" customHeight="1" thickBot="1">
      <c r="A19" s="4">
        <f t="shared" si="9"/>
        <v>503</v>
      </c>
      <c r="B19" s="2">
        <v>2</v>
      </c>
      <c r="C19" s="110" t="s">
        <v>595</v>
      </c>
      <c r="D19" s="268"/>
      <c r="E19" s="276"/>
      <c r="F19" s="112" t="str">
        <f>VLOOKUP(C19,Bolts!A:L,5,0)</f>
        <v xml:space="preserve">  </v>
      </c>
      <c r="G19" s="112" t="str">
        <f>VLOOKUP(C19,Bolts!A:L,6,0)</f>
        <v>Monroe Fasteners</v>
      </c>
      <c r="H19" s="112" t="str">
        <f>VLOOKUP(C19,Bolts!A:L,7,0)</f>
        <v xml:space="preserve">  </v>
      </c>
      <c r="I19" s="112"/>
      <c r="J19" s="44" t="str">
        <f>VLOOKUP(C19,Bolts!A:L,8,0)</f>
        <v xml:space="preserve"> </v>
      </c>
      <c r="K19" s="44" t="str">
        <f>VLOOKUP(C19,Bolts!A:L,9,0)</f>
        <v xml:space="preserve"> </v>
      </c>
      <c r="L19" s="44" t="str">
        <f>VLOOKUP(C19,Bolts!A:L,10,0)</f>
        <v xml:space="preserve"> </v>
      </c>
      <c r="M19" s="44" t="str">
        <f>VLOOKUP(C19,Bolts!A:L,11,0)</f>
        <v xml:space="preserve"> </v>
      </c>
      <c r="N19" s="45" t="str">
        <f>VLOOKUP(C19,Bolts!A:L,12,0)</f>
        <v xml:space="preserve"> </v>
      </c>
      <c r="O19" s="45" t="e">
        <f t="shared" ref="O19" ca="1" si="10">B19*$L$2</f>
        <v>#VALUE!</v>
      </c>
      <c r="P19" s="49" t="str">
        <f>IFERROR(VLOOKUP(C19,Bolts!A:B,2,FALSE),"")</f>
        <v xml:space="preserve"> </v>
      </c>
      <c r="Q19" s="50" t="str">
        <f t="shared" ref="Q19" si="11">IFERROR(B19*P19,"")</f>
        <v/>
      </c>
    </row>
    <row r="20" spans="1:17" s="2" customFormat="1" ht="12.75" customHeight="1" thickBot="1">
      <c r="A20" s="34"/>
      <c r="B20" s="35"/>
      <c r="C20" s="35"/>
      <c r="D20" s="256"/>
      <c r="E20" s="257"/>
      <c r="F20" s="35"/>
      <c r="G20" s="35"/>
      <c r="H20" s="294"/>
      <c r="I20" s="295"/>
      <c r="J20" s="36"/>
      <c r="K20" s="36"/>
      <c r="L20" s="36"/>
      <c r="M20" s="37"/>
      <c r="N20" s="38"/>
      <c r="O20" s="38"/>
      <c r="P20" s="89" t="s">
        <v>43</v>
      </c>
      <c r="Q20" s="94">
        <f>SUM(Q5:Q19)</f>
        <v>218.73865000000001</v>
      </c>
    </row>
    <row r="21" spans="1:17" s="2" customFormat="1" ht="12" customHeight="1">
      <c r="D21" s="22"/>
      <c r="E21" s="22"/>
      <c r="J21" s="8"/>
      <c r="K21" s="8"/>
      <c r="L21" s="8"/>
      <c r="M21" s="8"/>
      <c r="N21" s="5"/>
      <c r="O21" s="5"/>
      <c r="P21" s="88"/>
      <c r="Q21" s="95"/>
    </row>
    <row r="22" spans="1:17" s="2" customFormat="1" ht="12" customHeight="1">
      <c r="D22" s="22"/>
      <c r="E22" s="22"/>
      <c r="J22" s="5"/>
      <c r="K22" s="5"/>
      <c r="L22" s="5"/>
      <c r="M22" s="5"/>
      <c r="N22" s="5"/>
      <c r="O22" s="5"/>
      <c r="P22" s="88"/>
      <c r="Q22" s="95"/>
    </row>
    <row r="23" spans="1:17" s="2" customFormat="1" ht="12" customHeight="1">
      <c r="D23" s="22"/>
      <c r="E23" s="22"/>
      <c r="J23" s="5"/>
      <c r="K23" s="5"/>
      <c r="L23" s="5"/>
      <c r="M23" s="5"/>
      <c r="N23" s="5"/>
      <c r="O23" s="5"/>
      <c r="P23" s="88"/>
      <c r="Q23" s="95"/>
    </row>
    <row r="24" spans="1:17" s="2" customFormat="1" ht="12" customHeight="1">
      <c r="D24" s="22"/>
      <c r="E24" s="22"/>
      <c r="J24" s="5"/>
      <c r="K24" s="5"/>
      <c r="L24" s="5"/>
      <c r="M24" s="5"/>
      <c r="N24" s="5"/>
      <c r="O24" s="5"/>
      <c r="P24" s="88"/>
      <c r="Q24" s="95"/>
    </row>
    <row r="25" spans="1:17" s="2" customFormat="1" ht="12" customHeight="1">
      <c r="D25" s="22"/>
      <c r="E25" s="22"/>
      <c r="J25" s="5"/>
      <c r="K25" s="5"/>
      <c r="L25" s="5"/>
      <c r="M25" s="5"/>
      <c r="N25" s="5"/>
      <c r="O25" s="5"/>
      <c r="P25" s="88"/>
      <c r="Q25" s="95"/>
    </row>
    <row r="26" spans="1:17" s="2" customFormat="1" ht="12" customHeight="1">
      <c r="D26" s="22"/>
      <c r="E26" s="22"/>
      <c r="J26" s="5"/>
      <c r="K26" s="5"/>
      <c r="L26" s="5"/>
      <c r="M26" s="5"/>
      <c r="N26" s="5"/>
      <c r="O26" s="5"/>
      <c r="P26" s="88"/>
      <c r="Q26" s="95"/>
    </row>
    <row r="27" spans="1:17" s="2" customFormat="1" ht="12" customHeight="1">
      <c r="D27" s="22"/>
      <c r="E27" s="22"/>
      <c r="J27" s="5"/>
      <c r="K27" s="5"/>
      <c r="L27" s="5"/>
      <c r="M27" s="5"/>
      <c r="N27" s="5"/>
      <c r="O27" s="5"/>
      <c r="P27" s="88"/>
      <c r="Q27" s="95"/>
    </row>
    <row r="28" spans="1:17" s="2" customFormat="1" ht="12" customHeight="1">
      <c r="D28" s="22"/>
      <c r="E28" s="22"/>
      <c r="J28" s="5"/>
      <c r="K28" s="5"/>
      <c r="L28" s="5"/>
      <c r="M28" s="5"/>
      <c r="N28" s="5"/>
      <c r="O28" s="5"/>
      <c r="P28" s="88"/>
      <c r="Q28" s="95"/>
    </row>
    <row r="29" spans="1:17" s="2" customFormat="1" ht="12" customHeight="1">
      <c r="D29" s="22"/>
      <c r="E29" s="22"/>
      <c r="J29" s="5"/>
      <c r="K29" s="5"/>
      <c r="L29" s="5"/>
      <c r="M29" s="5"/>
      <c r="N29" s="5"/>
      <c r="O29" s="5"/>
      <c r="P29" s="88"/>
      <c r="Q29" s="95"/>
    </row>
    <row r="30" spans="1:17" s="2" customFormat="1" ht="12" customHeight="1">
      <c r="D30" s="22"/>
      <c r="E30" s="22"/>
      <c r="J30" s="5"/>
      <c r="K30" s="5"/>
      <c r="L30" s="5"/>
      <c r="M30" s="5"/>
      <c r="N30" s="5"/>
      <c r="O30" s="5"/>
      <c r="P30" s="88"/>
      <c r="Q30" s="95"/>
    </row>
    <row r="31" spans="1:17" s="2" customFormat="1" ht="12" customHeight="1">
      <c r="D31" s="22"/>
      <c r="E31" s="22"/>
      <c r="J31" s="5"/>
      <c r="K31" s="5"/>
      <c r="L31" s="5"/>
      <c r="M31" s="5"/>
      <c r="N31" s="5"/>
      <c r="O31" s="5"/>
      <c r="P31" s="88"/>
      <c r="Q31" s="95"/>
    </row>
    <row r="32" spans="1:17" s="2" customFormat="1" ht="12" customHeight="1">
      <c r="D32" s="22"/>
      <c r="E32" s="22"/>
      <c r="J32" s="5"/>
      <c r="K32" s="5"/>
      <c r="L32" s="5"/>
      <c r="M32" s="5"/>
      <c r="N32" s="5"/>
      <c r="O32" s="5"/>
      <c r="P32" s="88"/>
      <c r="Q32" s="95"/>
    </row>
    <row r="33" spans="4:17" s="2" customFormat="1" ht="12" customHeight="1">
      <c r="D33" s="22"/>
      <c r="E33" s="22"/>
      <c r="J33" s="5"/>
      <c r="K33" s="5"/>
      <c r="L33" s="5"/>
      <c r="M33" s="5"/>
      <c r="N33" s="5"/>
      <c r="O33" s="5"/>
      <c r="P33" s="88"/>
      <c r="Q33" s="95"/>
    </row>
    <row r="34" spans="4:17" s="2" customFormat="1" ht="12" customHeight="1">
      <c r="D34" s="22"/>
      <c r="E34" s="22"/>
      <c r="J34" s="5"/>
      <c r="K34" s="5"/>
      <c r="L34" s="5"/>
      <c r="M34" s="5"/>
      <c r="N34" s="5"/>
      <c r="O34" s="5"/>
      <c r="P34" s="88"/>
      <c r="Q34" s="95"/>
    </row>
    <row r="35" spans="4:17" s="2" customFormat="1" ht="12" customHeight="1">
      <c r="D35" s="22"/>
      <c r="E35" s="22"/>
      <c r="J35" s="5"/>
      <c r="K35" s="5"/>
      <c r="L35" s="5"/>
      <c r="M35" s="5"/>
      <c r="N35" s="5"/>
      <c r="O35" s="5"/>
      <c r="P35" s="88"/>
      <c r="Q35" s="95"/>
    </row>
    <row r="36" spans="4:17" s="2" customFormat="1" ht="12" customHeight="1">
      <c r="D36" s="22"/>
      <c r="E36" s="22"/>
      <c r="J36" s="5"/>
      <c r="K36" s="5"/>
      <c r="L36" s="5"/>
      <c r="M36" s="5"/>
      <c r="N36" s="5"/>
      <c r="O36" s="5"/>
      <c r="P36" s="88"/>
      <c r="Q36" s="95"/>
    </row>
    <row r="37" spans="4:17" s="2" customFormat="1" ht="12" customHeight="1">
      <c r="D37" s="22"/>
      <c r="E37" s="22"/>
      <c r="J37" s="5"/>
      <c r="K37" s="5"/>
      <c r="L37" s="5"/>
      <c r="M37" s="5"/>
      <c r="N37" s="5"/>
      <c r="O37" s="5"/>
      <c r="P37" s="88"/>
      <c r="Q37" s="95"/>
    </row>
    <row r="38" spans="4:17" s="2" customFormat="1" ht="12" customHeight="1">
      <c r="D38" s="22"/>
      <c r="E38" s="22"/>
      <c r="J38" s="5"/>
      <c r="K38" s="5"/>
      <c r="L38" s="5"/>
      <c r="M38" s="5"/>
      <c r="N38" s="5"/>
      <c r="O38" s="5"/>
      <c r="P38" s="88"/>
      <c r="Q38" s="95"/>
    </row>
    <row r="39" spans="4:17" s="2" customFormat="1" ht="12" customHeight="1">
      <c r="D39" s="22"/>
      <c r="E39" s="22"/>
      <c r="J39" s="5"/>
      <c r="K39" s="5"/>
      <c r="L39" s="5"/>
      <c r="M39" s="5"/>
      <c r="N39" s="5"/>
      <c r="O39" s="5"/>
      <c r="P39" s="88"/>
      <c r="Q39" s="95"/>
    </row>
    <row r="40" spans="4:17" s="2" customFormat="1" ht="12" customHeight="1">
      <c r="D40" s="22"/>
      <c r="E40" s="22"/>
      <c r="J40" s="5"/>
      <c r="K40" s="5"/>
      <c r="L40" s="5"/>
      <c r="M40" s="5"/>
      <c r="N40" s="5"/>
      <c r="O40" s="5"/>
      <c r="P40" s="88"/>
      <c r="Q40" s="95"/>
    </row>
    <row r="41" spans="4:17" s="2" customFormat="1" ht="12" customHeight="1">
      <c r="D41" s="22"/>
      <c r="E41" s="22"/>
      <c r="J41" s="5"/>
      <c r="K41" s="5"/>
      <c r="L41" s="5"/>
      <c r="M41" s="5"/>
      <c r="N41" s="5"/>
      <c r="O41" s="5"/>
      <c r="P41" s="88"/>
      <c r="Q41" s="95"/>
    </row>
    <row r="42" spans="4:17" s="2" customFormat="1" ht="12" customHeight="1">
      <c r="D42" s="22"/>
      <c r="E42" s="22"/>
      <c r="J42" s="5"/>
      <c r="K42" s="5"/>
      <c r="L42" s="5"/>
      <c r="M42" s="5"/>
      <c r="N42" s="5"/>
      <c r="O42" s="5"/>
      <c r="P42" s="88"/>
      <c r="Q42" s="95"/>
    </row>
    <row r="43" spans="4:17" s="2" customFormat="1" ht="12" customHeight="1">
      <c r="D43" s="22"/>
      <c r="E43" s="22"/>
      <c r="J43" s="5"/>
      <c r="K43" s="5"/>
      <c r="L43" s="5"/>
      <c r="M43" s="5"/>
      <c r="N43" s="5"/>
      <c r="O43" s="5"/>
      <c r="P43" s="88"/>
      <c r="Q43" s="95"/>
    </row>
    <row r="44" spans="4:17" s="2" customFormat="1" ht="12" customHeight="1">
      <c r="D44" s="22"/>
      <c r="E44" s="22"/>
      <c r="J44" s="5"/>
      <c r="K44" s="5"/>
      <c r="L44" s="5"/>
      <c r="M44" s="5"/>
      <c r="N44" s="5"/>
      <c r="O44" s="5"/>
      <c r="P44" s="88"/>
      <c r="Q44" s="95"/>
    </row>
    <row r="45" spans="4:17" s="2" customFormat="1" ht="12" customHeight="1">
      <c r="D45" s="22"/>
      <c r="E45" s="22"/>
      <c r="J45" s="5"/>
      <c r="K45" s="5"/>
      <c r="L45" s="5"/>
      <c r="M45" s="5"/>
      <c r="N45" s="5"/>
      <c r="O45" s="5"/>
      <c r="P45" s="88"/>
      <c r="Q45" s="95"/>
    </row>
    <row r="46" spans="4:17" s="2" customFormat="1" ht="12" customHeight="1">
      <c r="D46" s="22"/>
      <c r="E46" s="22"/>
      <c r="J46" s="5"/>
      <c r="K46" s="5"/>
      <c r="L46" s="5"/>
      <c r="M46" s="5"/>
      <c r="N46" s="5"/>
      <c r="O46" s="5"/>
      <c r="P46" s="88"/>
      <c r="Q46" s="95"/>
    </row>
    <row r="47" spans="4:17" s="2" customFormat="1" ht="12" customHeight="1">
      <c r="D47" s="22"/>
      <c r="E47" s="22"/>
      <c r="J47" s="5"/>
      <c r="K47" s="5"/>
      <c r="L47" s="5"/>
      <c r="M47" s="5"/>
      <c r="N47" s="5"/>
      <c r="O47" s="5"/>
      <c r="P47" s="88"/>
      <c r="Q47" s="95"/>
    </row>
    <row r="48" spans="4:17" s="2" customFormat="1" ht="12" customHeight="1">
      <c r="D48" s="22"/>
      <c r="E48" s="22"/>
      <c r="J48" s="5"/>
      <c r="K48" s="5"/>
      <c r="L48" s="5"/>
      <c r="M48" s="5"/>
      <c r="N48" s="5"/>
      <c r="O48" s="5"/>
      <c r="P48" s="88"/>
      <c r="Q48" s="95"/>
    </row>
    <row r="49" spans="1:17" s="2" customFormat="1" ht="12" customHeight="1">
      <c r="D49" s="22"/>
      <c r="E49" s="22"/>
      <c r="J49" s="5"/>
      <c r="K49" s="5"/>
      <c r="L49" s="5"/>
      <c r="M49" s="5"/>
      <c r="N49" s="5"/>
      <c r="O49" s="5"/>
      <c r="P49" s="88"/>
      <c r="Q49" s="95"/>
    </row>
    <row r="50" spans="1:17" s="2" customFormat="1" ht="12" customHeight="1">
      <c r="D50" s="22"/>
      <c r="E50" s="22"/>
      <c r="J50" s="5"/>
      <c r="K50" s="5"/>
      <c r="L50" s="5"/>
      <c r="M50" s="5"/>
      <c r="N50" s="5"/>
      <c r="O50" s="5"/>
      <c r="P50" s="88"/>
      <c r="Q50" s="95"/>
    </row>
    <row r="51" spans="1:17" s="2" customFormat="1" ht="12" customHeight="1">
      <c r="D51" s="22"/>
      <c r="E51" s="22"/>
      <c r="J51" s="5"/>
      <c r="K51" s="5"/>
      <c r="L51" s="5"/>
      <c r="M51" s="5"/>
      <c r="N51" s="5"/>
      <c r="O51" s="5"/>
      <c r="P51" s="88"/>
      <c r="Q51" s="95"/>
    </row>
    <row r="52" spans="1:17" s="2" customFormat="1" ht="12" customHeight="1">
      <c r="D52" s="22"/>
      <c r="E52" s="22"/>
      <c r="J52" s="5"/>
      <c r="K52" s="5"/>
      <c r="L52" s="5"/>
      <c r="M52" s="5"/>
      <c r="N52" s="5"/>
      <c r="O52" s="5"/>
      <c r="P52" s="88"/>
      <c r="Q52" s="95"/>
    </row>
    <row r="53" spans="1:17" s="2" customFormat="1" ht="12" customHeight="1">
      <c r="D53" s="22"/>
      <c r="E53" s="22"/>
      <c r="J53" s="5"/>
      <c r="K53" s="5"/>
      <c r="L53" s="5"/>
      <c r="M53" s="5"/>
      <c r="N53" s="5"/>
      <c r="O53" s="5"/>
      <c r="P53" s="88"/>
      <c r="Q53" s="95"/>
    </row>
    <row r="54" spans="1:17" s="2" customFormat="1" ht="12" customHeight="1">
      <c r="D54" s="22"/>
      <c r="E54" s="22"/>
      <c r="J54" s="5"/>
      <c r="K54" s="5"/>
      <c r="L54" s="5"/>
      <c r="M54" s="5"/>
      <c r="N54" s="5"/>
      <c r="O54" s="5"/>
      <c r="P54" s="88"/>
      <c r="Q54" s="95"/>
    </row>
    <row r="55" spans="1:17" s="2" customFormat="1" ht="12" customHeight="1">
      <c r="D55" s="22"/>
      <c r="E55" s="22"/>
      <c r="J55" s="5"/>
      <c r="K55" s="5"/>
      <c r="L55" s="5"/>
      <c r="M55" s="5"/>
      <c r="N55" s="5"/>
      <c r="O55" s="5"/>
      <c r="P55" s="88"/>
      <c r="Q55" s="95"/>
    </row>
    <row r="56" spans="1:17" s="2" customFormat="1" ht="12" customHeight="1">
      <c r="D56" s="22"/>
      <c r="E56" s="22"/>
      <c r="J56" s="5"/>
      <c r="K56" s="5"/>
      <c r="L56" s="5"/>
      <c r="M56" s="5"/>
      <c r="N56" s="5"/>
      <c r="O56" s="5"/>
      <c r="P56" s="88"/>
      <c r="Q56" s="95"/>
    </row>
    <row r="57" spans="1:17" s="2" customFormat="1" ht="12" customHeight="1">
      <c r="D57" s="22"/>
      <c r="E57" s="22"/>
      <c r="J57" s="5"/>
      <c r="K57" s="5"/>
      <c r="L57" s="5"/>
      <c r="M57" s="5"/>
      <c r="N57" s="5"/>
      <c r="O57" s="5"/>
      <c r="P57" s="88"/>
      <c r="Q57" s="95"/>
    </row>
    <row r="58" spans="1:17" s="2" customFormat="1" ht="12" customHeight="1">
      <c r="D58" s="22"/>
      <c r="E58" s="22"/>
      <c r="J58" s="5"/>
      <c r="K58" s="5"/>
      <c r="L58" s="5"/>
      <c r="M58" s="5"/>
      <c r="N58" s="5"/>
      <c r="O58" s="5"/>
      <c r="P58" s="88"/>
      <c r="Q58" s="95"/>
    </row>
    <row r="59" spans="1:17" s="2" customFormat="1" ht="12" customHeight="1">
      <c r="D59" s="22"/>
      <c r="E59" s="22"/>
      <c r="J59" s="5"/>
      <c r="K59" s="5"/>
      <c r="L59" s="5"/>
      <c r="M59" s="5"/>
      <c r="N59" s="5"/>
      <c r="O59" s="5"/>
      <c r="P59" s="88"/>
      <c r="Q59" s="96"/>
    </row>
    <row r="60" spans="1:17" s="2" customFormat="1" ht="12" customHeight="1">
      <c r="D60" s="22"/>
      <c r="E60" s="22"/>
      <c r="J60" s="5"/>
      <c r="K60" s="5"/>
      <c r="L60" s="5"/>
      <c r="M60" s="5"/>
      <c r="N60" s="5"/>
      <c r="O60" s="5"/>
      <c r="P60" s="88"/>
      <c r="Q60" s="96"/>
    </row>
    <row r="61" spans="1:17" s="2" customFormat="1" ht="12" customHeight="1">
      <c r="D61" s="22"/>
      <c r="E61" s="22"/>
      <c r="J61" s="5"/>
      <c r="K61" s="5"/>
      <c r="L61" s="5"/>
      <c r="M61" s="5"/>
      <c r="N61" s="5"/>
      <c r="O61" s="5"/>
      <c r="P61" s="88"/>
      <c r="Q61" s="96"/>
    </row>
    <row r="62" spans="1:17" s="2" customFormat="1" ht="12" customHeight="1">
      <c r="D62" s="22"/>
      <c r="E62" s="22"/>
      <c r="J62" s="5"/>
      <c r="K62" s="5"/>
      <c r="L62" s="5"/>
      <c r="M62" s="5"/>
      <c r="N62" s="5"/>
      <c r="O62" s="5"/>
      <c r="P62" s="88"/>
      <c r="Q62" s="96"/>
    </row>
    <row r="63" spans="1:17" s="2" customFormat="1" ht="12" customHeight="1">
      <c r="A63"/>
      <c r="B63"/>
      <c r="C63"/>
      <c r="D63" s="23"/>
      <c r="E63" s="23"/>
      <c r="F63"/>
      <c r="G63"/>
      <c r="H63"/>
      <c r="I63"/>
      <c r="J63" s="19"/>
      <c r="K63" s="19"/>
      <c r="L63" s="19"/>
      <c r="M63" s="19"/>
      <c r="N63" s="19"/>
      <c r="O63" s="19"/>
      <c r="P63" s="90"/>
      <c r="Q63" s="96"/>
    </row>
    <row r="64" spans="1:17" s="2" customFormat="1" ht="12" customHeight="1">
      <c r="A64"/>
      <c r="B64"/>
      <c r="C64"/>
      <c r="D64" s="23"/>
      <c r="E64" s="23"/>
      <c r="F64"/>
      <c r="G64"/>
      <c r="H64"/>
      <c r="I64"/>
      <c r="J64" s="19"/>
      <c r="K64" s="19"/>
      <c r="L64" s="19"/>
      <c r="M64" s="19"/>
      <c r="N64" s="19"/>
      <c r="O64" s="19"/>
      <c r="P64" s="90"/>
      <c r="Q64" s="96"/>
    </row>
    <row r="65" spans="1:17" s="2" customFormat="1" ht="12" customHeight="1">
      <c r="A65"/>
      <c r="B65"/>
      <c r="C65"/>
      <c r="D65" s="23"/>
      <c r="E65" s="23"/>
      <c r="F65"/>
      <c r="G65"/>
      <c r="H65"/>
      <c r="I65"/>
      <c r="J65" s="19"/>
      <c r="K65" s="19"/>
      <c r="L65" s="19"/>
      <c r="M65" s="19"/>
      <c r="N65" s="19"/>
      <c r="O65" s="19"/>
      <c r="P65" s="90"/>
      <c r="Q65" s="96"/>
    </row>
    <row r="66" spans="1:17" s="2" customFormat="1" ht="12" customHeight="1">
      <c r="A66"/>
      <c r="B66"/>
      <c r="C66"/>
      <c r="D66" s="23"/>
      <c r="E66" s="23"/>
      <c r="F66"/>
      <c r="G66"/>
      <c r="H66"/>
      <c r="I66"/>
      <c r="J66" s="19"/>
      <c r="K66" s="19"/>
      <c r="L66" s="19"/>
      <c r="M66" s="19"/>
      <c r="N66" s="19"/>
      <c r="O66" s="19"/>
      <c r="P66" s="90"/>
      <c r="Q66" s="96"/>
    </row>
    <row r="67" spans="1:17" s="2" customFormat="1" ht="12" customHeight="1">
      <c r="A67"/>
      <c r="B67"/>
      <c r="C67"/>
      <c r="D67" s="23"/>
      <c r="E67" s="23"/>
      <c r="F67"/>
      <c r="G67"/>
      <c r="H67"/>
      <c r="I67"/>
      <c r="J67" s="19"/>
      <c r="K67" s="19"/>
      <c r="L67" s="19"/>
      <c r="M67" s="19"/>
      <c r="N67" s="19"/>
      <c r="O67" s="19"/>
      <c r="P67" s="90"/>
      <c r="Q67" s="96"/>
    </row>
    <row r="68" spans="1:17">
      <c r="Q68" s="96"/>
    </row>
    <row r="69" spans="1:17">
      <c r="Q69" s="96"/>
    </row>
    <row r="70" spans="1:17">
      <c r="Q70" s="96"/>
    </row>
    <row r="71" spans="1:17">
      <c r="Q71" s="96"/>
    </row>
    <row r="72" spans="1:17">
      <c r="Q72" s="96"/>
    </row>
    <row r="73" spans="1:17">
      <c r="Q73" s="96"/>
    </row>
    <row r="74" spans="1:17">
      <c r="Q74" s="96"/>
    </row>
    <row r="75" spans="1:17">
      <c r="Q75" s="96"/>
    </row>
    <row r="76" spans="1:17">
      <c r="Q76" s="96"/>
    </row>
    <row r="77" spans="1:17">
      <c r="Q77" s="96"/>
    </row>
    <row r="78" spans="1:17">
      <c r="Q78" s="96"/>
    </row>
    <row r="79" spans="1:17">
      <c r="Q79" s="96"/>
    </row>
    <row r="80" spans="1:17">
      <c r="Q80" s="96"/>
    </row>
    <row r="81" spans="17:17">
      <c r="Q81" s="96"/>
    </row>
    <row r="82" spans="17:17">
      <c r="Q82" s="96"/>
    </row>
    <row r="83" spans="17:17">
      <c r="Q83" s="96"/>
    </row>
    <row r="84" spans="17:17">
      <c r="Q84" s="96"/>
    </row>
    <row r="85" spans="17:17">
      <c r="Q85" s="96"/>
    </row>
    <row r="86" spans="17:17">
      <c r="Q86" s="96"/>
    </row>
    <row r="87" spans="17:17">
      <c r="Q87" s="96"/>
    </row>
    <row r="124" ht="12" customHeight="1"/>
    <row r="125" ht="12" customHeight="1"/>
    <row r="126" ht="12" customHeight="1"/>
    <row r="127" ht="12" customHeight="1"/>
    <row r="128" ht="12" customHeight="1"/>
    <row r="129" ht="12" customHeight="1"/>
    <row r="130" ht="12" customHeight="1"/>
    <row r="131" ht="12" customHeight="1"/>
    <row r="132" ht="12" customHeight="1"/>
    <row r="133" ht="12" customHeight="1"/>
    <row r="134" ht="12" customHeight="1"/>
    <row r="135" ht="12" customHeight="1"/>
    <row r="136" ht="12" customHeight="1"/>
    <row r="137" ht="12" customHeight="1"/>
    <row r="138" ht="12" customHeight="1"/>
    <row r="139" ht="12" customHeight="1"/>
    <row r="140" ht="12" customHeight="1"/>
    <row r="141" ht="12" customHeight="1"/>
    <row r="142" ht="12" customHeight="1"/>
    <row r="143" ht="12" customHeight="1"/>
    <row r="144" ht="12" customHeight="1"/>
    <row r="145" ht="12" customHeight="1"/>
    <row r="146" ht="12" customHeight="1"/>
    <row r="147" ht="12" customHeight="1"/>
    <row r="148" ht="12" customHeight="1"/>
    <row r="149" ht="12" customHeight="1"/>
    <row r="150" ht="12" customHeight="1"/>
    <row r="151" ht="12" customHeight="1"/>
    <row r="152" ht="12" customHeight="1"/>
    <row r="153" ht="12" customHeight="1"/>
    <row r="154" ht="12" customHeight="1"/>
    <row r="155" ht="12" customHeight="1"/>
    <row r="156" ht="12" customHeight="1"/>
    <row r="157" ht="12" customHeight="1"/>
    <row r="158" ht="12" customHeight="1"/>
    <row r="159" ht="12" customHeight="1"/>
    <row r="160" ht="12" customHeight="1"/>
    <row r="161" ht="12" customHeight="1"/>
    <row r="162" ht="12" customHeight="1"/>
    <row r="163" ht="12" customHeight="1"/>
    <row r="164" ht="12" customHeight="1"/>
    <row r="165" ht="12" customHeight="1"/>
    <row r="166" ht="12" customHeight="1"/>
    <row r="167" ht="12" customHeight="1"/>
    <row r="168" ht="12" customHeight="1"/>
    <row r="169" ht="12" customHeight="1"/>
    <row r="170" ht="12" customHeight="1"/>
    <row r="171" ht="12" customHeight="1"/>
    <row r="172" ht="12" customHeight="1"/>
    <row r="173" ht="12" customHeight="1"/>
  </sheetData>
  <mergeCells count="22">
    <mergeCell ref="D15:E15"/>
    <mergeCell ref="D20:E20"/>
    <mergeCell ref="H20:I20"/>
    <mergeCell ref="D17:E17"/>
    <mergeCell ref="D18:E18"/>
    <mergeCell ref="D16:E16"/>
    <mergeCell ref="H16:I16"/>
    <mergeCell ref="D19:E19"/>
    <mergeCell ref="D9:E9"/>
    <mergeCell ref="D10:E10"/>
    <mergeCell ref="D14:E14"/>
    <mergeCell ref="D12:E12"/>
    <mergeCell ref="D11:E11"/>
    <mergeCell ref="D13:E13"/>
    <mergeCell ref="D7:E7"/>
    <mergeCell ref="D8:E8"/>
    <mergeCell ref="H8:I8"/>
    <mergeCell ref="D1:E1"/>
    <mergeCell ref="D4:E4"/>
    <mergeCell ref="H4:I4"/>
    <mergeCell ref="D5:E5"/>
    <mergeCell ref="D6:E6"/>
  </mergeCells>
  <conditionalFormatting sqref="M5:M7 M17:M19">
    <cfRule type="cellIs" dxfId="166" priority="1" stopIfTrue="1" operator="lessThanOrEqual">
      <formula>$L5</formula>
    </cfRule>
    <cfRule type="cellIs" dxfId="165" priority="2" operator="greaterThan">
      <formula>L5</formula>
    </cfRule>
  </conditionalFormatting>
  <conditionalFormatting sqref="M9:M15">
    <cfRule type="cellIs" dxfId="164" priority="5" stopIfTrue="1" operator="lessThanOrEqual">
      <formula>$L9</formula>
    </cfRule>
    <cfRule type="cellIs" dxfId="163" priority="6" operator="greaterThan">
      <formula>L9</formula>
    </cfRule>
  </conditionalFormatting>
  <pageMargins left="0.7" right="0.7" top="0.75" bottom="0.75" header="0.3" footer="0.3"/>
  <pageSetup paperSize="3" fitToHeight="0" orientation="landscape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B94A22E-8E95-4C3F-8792-9170F2300F9F}">
          <x14:formula1>
            <xm:f>Bolts!$A:$A</xm:f>
          </x14:formula1>
          <xm:sqref>C17:C19</xm:sqref>
        </x14:dataValidation>
        <x14:dataValidation type="list" allowBlank="1" showInputMessage="1" showErrorMessage="1" xr:uid="{7665DB58-0934-43D5-B12C-7051AA21C2B9}">
          <x14:formula1>
            <xm:f>Purchased!$A:$A</xm:f>
          </x14:formula1>
          <xm:sqref>C9:C15</xm:sqref>
        </x14:dataValidation>
        <x14:dataValidation type="list" allowBlank="1" showInputMessage="1" showErrorMessage="1" xr:uid="{E321DF4A-5D24-4B67-8403-11F9C223AD12}">
          <x14:formula1>
            <xm:f>Machined!$C:$C</xm:f>
          </x14:formula1>
          <xm:sqref>C5:C7</xm:sqref>
        </x14:dataValidation>
      </x14:dataValidations>
    </ext>
  </extLst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12076D-7942-4545-91F9-DDF8D1BABDF7}">
  <sheetPr codeName="Sheet140">
    <tabColor theme="3" tint="0.59999389629810485"/>
    <pageSetUpPr fitToPage="1"/>
  </sheetPr>
  <dimension ref="A1:Q182"/>
  <sheetViews>
    <sheetView zoomScaleNormal="100" workbookViewId="0">
      <selection activeCell="C22" sqref="C22"/>
    </sheetView>
  </sheetViews>
  <sheetFormatPr defaultColWidth="9.140625" defaultRowHeight="15"/>
  <cols>
    <col min="1" max="1" width="5.7109375" customWidth="1"/>
    <col min="2" max="2" width="5.42578125" bestFit="1" customWidth="1"/>
    <col min="3" max="3" width="30.7109375" customWidth="1"/>
    <col min="4" max="5" width="20.7109375" style="23" customWidth="1"/>
    <col min="6" max="6" width="16.85546875" bestFit="1" customWidth="1"/>
    <col min="7" max="7" width="9.7109375" customWidth="1"/>
    <col min="8" max="8" width="8.7109375" customWidth="1"/>
    <col min="9" max="9" width="20.7109375" customWidth="1"/>
    <col min="10" max="13" width="11.7109375" style="19" customWidth="1"/>
    <col min="14" max="14" width="11.85546875" style="19" bestFit="1" customWidth="1"/>
    <col min="15" max="15" width="7.7109375" style="19" customWidth="1"/>
    <col min="16" max="16" width="10.7109375" style="90" customWidth="1"/>
    <col min="17" max="17" width="10.7109375" style="97" customWidth="1"/>
  </cols>
  <sheetData>
    <row r="1" spans="1:17" s="55" customFormat="1" ht="12" customHeight="1">
      <c r="A1" s="68" t="s">
        <v>0</v>
      </c>
      <c r="B1" s="69"/>
      <c r="C1" s="69"/>
      <c r="D1" s="262" t="s">
        <v>1</v>
      </c>
      <c r="E1" s="263"/>
      <c r="F1" s="70"/>
      <c r="G1" s="69"/>
      <c r="H1" s="70"/>
      <c r="I1" s="71"/>
      <c r="J1" s="72"/>
      <c r="K1" s="72"/>
      <c r="L1" s="72"/>
      <c r="M1" s="72"/>
      <c r="N1" s="72"/>
      <c r="O1" s="72"/>
      <c r="P1" s="85"/>
      <c r="Q1" s="91"/>
    </row>
    <row r="2" spans="1:17" s="55" customFormat="1" ht="12" customHeight="1">
      <c r="A2" s="74" t="s">
        <v>48</v>
      </c>
      <c r="B2" s="58"/>
      <c r="C2" s="57" t="e">
        <f ca="1">VLOOKUP(E3,Assemblies!B:F,4,0)</f>
        <v>#VALUE!</v>
      </c>
      <c r="D2" s="75" t="s">
        <v>3</v>
      </c>
      <c r="E2" s="76" t="e">
        <f ca="1">'GF12'!E2</f>
        <v>#VALUE!</v>
      </c>
      <c r="F2" s="77" t="s">
        <v>4</v>
      </c>
      <c r="G2" s="58" t="str">
        <f>'GF12'!G2</f>
        <v>GH</v>
      </c>
      <c r="H2" s="77" t="s">
        <v>6</v>
      </c>
      <c r="I2" s="59">
        <f>'GF12'!I2</f>
        <v>44775</v>
      </c>
      <c r="J2" s="39"/>
      <c r="K2" s="40" t="s">
        <v>49</v>
      </c>
      <c r="L2" s="41" t="e">
        <f ca="1">VLOOKUP(C2,Assemblies!E:G,3,0)</f>
        <v>#VALUE!</v>
      </c>
      <c r="M2" s="78"/>
      <c r="N2" s="78"/>
      <c r="O2" s="78"/>
      <c r="P2" s="86"/>
      <c r="Q2" s="92"/>
    </row>
    <row r="3" spans="1:17" s="55" customFormat="1" ht="12" customHeight="1" thickBot="1">
      <c r="A3" s="74" t="s">
        <v>7</v>
      </c>
      <c r="B3" s="58"/>
      <c r="C3" s="57" t="e">
        <f ca="1">VLOOKUP(E3,Assemblies!B:F,5,0)</f>
        <v>#VALUE!</v>
      </c>
      <c r="D3" s="75" t="s">
        <v>50</v>
      </c>
      <c r="E3" s="76" t="e">
        <f ca="1">MID(CELL("filename",A1),FIND("]",CELL("filename",A1))+1,256)</f>
        <v>#VALUE!</v>
      </c>
      <c r="F3" s="77" t="s">
        <v>11</v>
      </c>
      <c r="G3" s="58" t="str">
        <f>'GF12'!G3</f>
        <v>GH</v>
      </c>
      <c r="H3" s="77" t="s">
        <v>6</v>
      </c>
      <c r="I3" s="59">
        <f>'GF12'!I3</f>
        <v>44775</v>
      </c>
      <c r="J3" s="78"/>
      <c r="K3" s="78"/>
      <c r="L3" s="78"/>
      <c r="M3" s="78"/>
      <c r="N3" s="78"/>
      <c r="O3" s="78"/>
      <c r="P3" s="86"/>
      <c r="Q3" s="92"/>
    </row>
    <row r="4" spans="1:17" s="56" customFormat="1" ht="12.75" customHeight="1" thickBot="1">
      <c r="A4" s="80" t="s">
        <v>12</v>
      </c>
      <c r="B4" s="81" t="s">
        <v>13</v>
      </c>
      <c r="C4" s="81" t="s">
        <v>14</v>
      </c>
      <c r="D4" s="270" t="s">
        <v>15</v>
      </c>
      <c r="E4" s="271"/>
      <c r="F4" s="104" t="s">
        <v>16</v>
      </c>
      <c r="G4" s="81" t="s">
        <v>17</v>
      </c>
      <c r="H4" s="260" t="s">
        <v>18</v>
      </c>
      <c r="I4" s="261"/>
      <c r="J4" s="81" t="s">
        <v>51</v>
      </c>
      <c r="K4" s="81" t="s">
        <v>20</v>
      </c>
      <c r="L4" s="81" t="s">
        <v>21</v>
      </c>
      <c r="M4" s="81" t="s">
        <v>52</v>
      </c>
      <c r="N4" s="81" t="s">
        <v>22</v>
      </c>
      <c r="O4" s="81" t="s">
        <v>53</v>
      </c>
      <c r="P4" s="107" t="s">
        <v>26</v>
      </c>
      <c r="Q4" s="82" t="s">
        <v>27</v>
      </c>
    </row>
    <row r="5" spans="1:17" s="2" customFormat="1" ht="12.75" customHeight="1">
      <c r="A5" s="127">
        <v>1</v>
      </c>
      <c r="B5" s="21">
        <v>1</v>
      </c>
      <c r="C5" s="108" t="s">
        <v>1357</v>
      </c>
      <c r="D5" s="277" t="str">
        <f>VLOOKUP(C5,Machined!C:Q,2,0)</f>
        <v>KNIFE MANIFOLD MOUNTING PLATE</v>
      </c>
      <c r="E5" s="278"/>
      <c r="F5" s="131" t="str">
        <f>VLOOKUP(C5,Machined!C:R,7,0)</f>
        <v>6061-T6 Alum</v>
      </c>
      <c r="G5" s="131" t="str">
        <f>VLOOKUP(C5,Machined!C:R,10,0)</f>
        <v>NULINE</v>
      </c>
      <c r="H5" s="131" t="str">
        <f>VLOOKUP(C5,Machined!C:R,11,0)</f>
        <v xml:space="preserve">  </v>
      </c>
      <c r="I5" s="131"/>
      <c r="J5" s="42" t="str">
        <f>VLOOKUP(C5,Machined!C:R,12,0)</f>
        <v>N/A</v>
      </c>
      <c r="K5" s="42" t="str">
        <f>VLOOKUP(C5,Machined!C:R,13,0)</f>
        <v>N/A</v>
      </c>
      <c r="L5" s="42" t="str">
        <f>VLOOKUP(C5,Machined!C:R,14,0)</f>
        <v>N/A</v>
      </c>
      <c r="M5" s="42" t="str">
        <f>VLOOKUP(C5,Machined!C:R,15,0)</f>
        <v>N/A</v>
      </c>
      <c r="N5" s="43" t="str">
        <f>VLOOKUP(C5,Machined!C:R,16,0)</f>
        <v>N/A</v>
      </c>
      <c r="O5" s="43" t="e">
        <f t="shared" ref="O5" ca="1" si="0">B5*$L$2</f>
        <v>#VALUE!</v>
      </c>
      <c r="P5" s="47">
        <f>IFERROR(VLOOKUP(C5,Machined!C:F,3,0),"")</f>
        <v>0</v>
      </c>
      <c r="Q5" s="48">
        <f t="shared" ref="Q5" si="1">IFERROR(B5*P5,"")</f>
        <v>0</v>
      </c>
    </row>
    <row r="6" spans="1:17" s="2" customFormat="1" ht="12.75" customHeight="1">
      <c r="A6" s="143"/>
      <c r="B6" s="26"/>
      <c r="C6" s="26"/>
      <c r="D6" s="272"/>
      <c r="E6" s="273"/>
      <c r="F6" s="26"/>
      <c r="G6" s="26"/>
      <c r="H6" s="274"/>
      <c r="I6" s="275"/>
      <c r="J6" s="27"/>
      <c r="K6" s="27"/>
      <c r="L6" s="27"/>
      <c r="M6" s="28"/>
      <c r="N6" s="29"/>
      <c r="O6" s="29"/>
      <c r="P6" s="141"/>
      <c r="Q6" s="142"/>
    </row>
    <row r="7" spans="1:17" s="2" customFormat="1" ht="12.75" customHeight="1">
      <c r="A7" s="4">
        <v>301</v>
      </c>
      <c r="B7" s="2">
        <v>1</v>
      </c>
      <c r="C7" s="114" t="s">
        <v>169</v>
      </c>
      <c r="D7" s="268" t="str">
        <f>VLOOKUP(C7,Purchased!A:B,2,0)</f>
        <v>SMC SS5Y5 D SIDE END PLATE</v>
      </c>
      <c r="E7" s="269"/>
      <c r="F7" s="112" t="str">
        <f>VLOOKUP(C7,Purchased!A:Q,9,0)</f>
        <v>SMC</v>
      </c>
      <c r="G7" s="112" t="str">
        <f>VLOOKUP(C7,Purchased!A:Q,10,0)</f>
        <v>AAP</v>
      </c>
      <c r="H7" s="112" t="str">
        <f>VLOOKUP(C7,Purchased!A:Q,12,0)</f>
        <v xml:space="preserve">  </v>
      </c>
      <c r="I7" s="113"/>
      <c r="J7" s="44" t="str">
        <f>VLOOKUP(C7,Purchased!A:Q,13,0)</f>
        <v>N/A</v>
      </c>
      <c r="K7" s="44">
        <f>VLOOKUP(C7,Purchased!A:Q,14,0)</f>
        <v>45086</v>
      </c>
      <c r="L7" s="44">
        <f>VLOOKUP(C7,Purchased!A:Q,15,0)</f>
        <v>45103</v>
      </c>
      <c r="M7" s="44">
        <f>VLOOKUP(C7,Purchased!A:Q,16,0)</f>
        <v>45103</v>
      </c>
      <c r="N7" s="45">
        <f>VLOOKUP(C7,Purchased!A:Q,17,0)</f>
        <v>54926</v>
      </c>
      <c r="O7" s="45" t="e">
        <f t="shared" ref="O7:O14" ca="1" si="2">B7*$L$2</f>
        <v>#VALUE!</v>
      </c>
      <c r="P7" s="49">
        <f>IFERROR(VLOOKUP(C7,Purchased!A:E,3,FALSE),"")</f>
        <v>49.398800000000001</v>
      </c>
      <c r="Q7" s="50">
        <f t="shared" ref="Q7:Q14" si="3">IFERROR(B7*P7,"")</f>
        <v>49.398800000000001</v>
      </c>
    </row>
    <row r="8" spans="1:17" s="2" customFormat="1" ht="12" customHeight="1">
      <c r="A8" s="4">
        <f>A7+1</f>
        <v>302</v>
      </c>
      <c r="B8" s="2">
        <v>5</v>
      </c>
      <c r="C8" s="114" t="s">
        <v>170</v>
      </c>
      <c r="D8" s="268" t="str">
        <f>VLOOKUP(C8,Purchased!A:B,2,0)</f>
        <v>SMC BLOCK ASSY</v>
      </c>
      <c r="E8" s="269"/>
      <c r="F8" s="112" t="str">
        <f>VLOOKUP(C8,Purchased!A:Q,9,0)</f>
        <v>SMC</v>
      </c>
      <c r="G8" s="112" t="str">
        <f>VLOOKUP(C8,Purchased!A:Q,10,0)</f>
        <v>AAP</v>
      </c>
      <c r="H8" s="112" t="str">
        <f>VLOOKUP(C8,Purchased!A:Q,12,0)</f>
        <v xml:space="preserve">  </v>
      </c>
      <c r="I8" s="113"/>
      <c r="J8" s="44" t="str">
        <f>VLOOKUP(C8,Purchased!A:Q,13,0)</f>
        <v>N/A</v>
      </c>
      <c r="K8" s="44">
        <f>VLOOKUP(C8,Purchased!A:Q,14,0)</f>
        <v>45086</v>
      </c>
      <c r="L8" s="44">
        <f>VLOOKUP(C8,Purchased!A:Q,15,0)</f>
        <v>45103</v>
      </c>
      <c r="M8" s="44">
        <f>VLOOKUP(C8,Purchased!A:Q,16,0)</f>
        <v>45103</v>
      </c>
      <c r="N8" s="45">
        <f>VLOOKUP(C8,Purchased!A:Q,17,0)</f>
        <v>54926</v>
      </c>
      <c r="O8" s="45" t="e">
        <f t="shared" ref="O8:O12" ca="1" si="4">B8*$L$2</f>
        <v>#VALUE!</v>
      </c>
      <c r="P8" s="49">
        <f>IFERROR(VLOOKUP(C8,Purchased!A:E,3,FALSE),"")</f>
        <v>17.9833</v>
      </c>
      <c r="Q8" s="50">
        <f t="shared" ref="Q8:Q12" si="5">IFERROR(B8*P8,"")</f>
        <v>89.916499999999999</v>
      </c>
    </row>
    <row r="9" spans="1:17" s="2" customFormat="1" ht="12" customHeight="1">
      <c r="A9" s="4">
        <f t="shared" ref="A9:A24" si="6">A8+1</f>
        <v>303</v>
      </c>
      <c r="B9" s="2">
        <v>1</v>
      </c>
      <c r="C9" s="114" t="s">
        <v>200</v>
      </c>
      <c r="D9" s="268" t="str">
        <f>VLOOKUP(C9,Purchased!A:B,2,0)</f>
        <v>SMC Valve, 5 Port Solenoid</v>
      </c>
      <c r="E9" s="269"/>
      <c r="F9" s="112" t="str">
        <f>VLOOKUP(C9,Purchased!A:Q,9,0)</f>
        <v>SMC</v>
      </c>
      <c r="G9" s="112" t="str">
        <f>VLOOKUP(C9,Purchased!A:Q,10,0)</f>
        <v>AAP</v>
      </c>
      <c r="H9" s="112" t="str">
        <f>VLOOKUP(C9,Purchased!A:Q,12,0)</f>
        <v xml:space="preserve"> </v>
      </c>
      <c r="I9" s="113"/>
      <c r="J9" s="44" t="str">
        <f>VLOOKUP(C9,Purchased!A:Q,13,0)</f>
        <v>N/A</v>
      </c>
      <c r="K9" s="44">
        <f>VLOOKUP(C9,Purchased!A:Q,14,0)</f>
        <v>45086</v>
      </c>
      <c r="L9" s="44">
        <f>VLOOKUP(C9,Purchased!A:Q,15,0)</f>
        <v>45103</v>
      </c>
      <c r="M9" s="44">
        <f>VLOOKUP(C9,Purchased!A:Q,16,0)</f>
        <v>45103</v>
      </c>
      <c r="N9" s="45">
        <f>VLOOKUP(C9,Purchased!A:Q,17,0)</f>
        <v>54926</v>
      </c>
      <c r="O9" s="45" t="e">
        <f t="shared" ca="1" si="4"/>
        <v>#VALUE!</v>
      </c>
      <c r="P9" s="49">
        <f>IFERROR(VLOOKUP(C9,Purchased!A:E,3,FALSE),"")</f>
        <v>53.659500000000001</v>
      </c>
      <c r="Q9" s="50">
        <f t="shared" si="5"/>
        <v>53.659500000000001</v>
      </c>
    </row>
    <row r="10" spans="1:17" s="2" customFormat="1" ht="12.75" customHeight="1">
      <c r="A10" s="4">
        <f t="shared" si="6"/>
        <v>304</v>
      </c>
      <c r="B10" s="2">
        <v>2</v>
      </c>
      <c r="C10" s="114" t="s">
        <v>172</v>
      </c>
      <c r="D10" s="268" t="str">
        <f>VLOOKUP(C10,Purchased!A:B,2,0)</f>
        <v>SMC Valve, 5 Port Solenoid</v>
      </c>
      <c r="E10" s="269"/>
      <c r="F10" s="112" t="str">
        <f>VLOOKUP(C10,Purchased!A:Q,9,0)</f>
        <v>SMC</v>
      </c>
      <c r="G10" s="112" t="str">
        <f>VLOOKUP(C10,Purchased!A:Q,10,0)</f>
        <v>AAP</v>
      </c>
      <c r="H10" s="112" t="str">
        <f>VLOOKUP(C10,Purchased!A:Q,12,0)</f>
        <v xml:space="preserve"> </v>
      </c>
      <c r="I10" s="113"/>
      <c r="J10" s="44" t="str">
        <f>VLOOKUP(C10,Purchased!A:Q,13,0)</f>
        <v>N/A</v>
      </c>
      <c r="K10" s="44">
        <f>VLOOKUP(C10,Purchased!A:Q,14,0)</f>
        <v>45086</v>
      </c>
      <c r="L10" s="44">
        <f>VLOOKUP(C10,Purchased!A:Q,15,0)</f>
        <v>45103</v>
      </c>
      <c r="M10" s="44">
        <f>VLOOKUP(C10,Purchased!A:Q,16,0)</f>
        <v>45103</v>
      </c>
      <c r="N10" s="45">
        <f>VLOOKUP(C10,Purchased!A:Q,17,0)</f>
        <v>54926</v>
      </c>
      <c r="O10" s="45" t="e">
        <f t="shared" ca="1" si="4"/>
        <v>#VALUE!</v>
      </c>
      <c r="P10" s="49">
        <f>IFERROR(VLOOKUP(C10,Purchased!A:E,3,FALSE),"")</f>
        <v>83.1798</v>
      </c>
      <c r="Q10" s="50">
        <f t="shared" si="5"/>
        <v>166.3596</v>
      </c>
    </row>
    <row r="11" spans="1:17" s="2" customFormat="1" ht="12" customHeight="1">
      <c r="A11" s="4">
        <f t="shared" si="6"/>
        <v>305</v>
      </c>
      <c r="B11" s="2">
        <v>2</v>
      </c>
      <c r="C11" s="114" t="s">
        <v>402</v>
      </c>
      <c r="D11" s="268" t="str">
        <f>VLOOKUP(C11,Purchased!A:B,2,0)</f>
        <v>SMC BLANKING PLATE ASSY</v>
      </c>
      <c r="E11" s="269"/>
      <c r="F11" s="112" t="str">
        <f>VLOOKUP(C11,Purchased!A:Q,9,0)</f>
        <v>SMC</v>
      </c>
      <c r="G11" s="112" t="str">
        <f>VLOOKUP(C11,Purchased!A:Q,10,0)</f>
        <v>AAP</v>
      </c>
      <c r="H11" s="112" t="str">
        <f>VLOOKUP(C11,Purchased!A:Q,12,0)</f>
        <v xml:space="preserve">  </v>
      </c>
      <c r="I11" s="113"/>
      <c r="J11" s="44" t="str">
        <f>VLOOKUP(C11,Purchased!A:Q,13,0)</f>
        <v>N/A</v>
      </c>
      <c r="K11" s="44">
        <f>VLOOKUP(C11,Purchased!A:Q,14,0)</f>
        <v>45086</v>
      </c>
      <c r="L11" s="44">
        <f>VLOOKUP(C11,Purchased!A:Q,15,0)</f>
        <v>45103</v>
      </c>
      <c r="M11" s="44">
        <f>VLOOKUP(C11,Purchased!A:Q,16,0)</f>
        <v>45103</v>
      </c>
      <c r="N11" s="45">
        <f>VLOOKUP(C11,Purchased!A:Q,17,0)</f>
        <v>54926</v>
      </c>
      <c r="O11" s="45" t="e">
        <f t="shared" ca="1" si="4"/>
        <v>#VALUE!</v>
      </c>
      <c r="P11" s="49">
        <f>IFERROR(VLOOKUP(C11,Purchased!A:E,3,FALSE),"")</f>
        <v>5.6577999999999999</v>
      </c>
      <c r="Q11" s="50">
        <f t="shared" si="5"/>
        <v>11.3156</v>
      </c>
    </row>
    <row r="12" spans="1:17" s="2" customFormat="1" ht="12" customHeight="1">
      <c r="A12" s="4">
        <f t="shared" si="6"/>
        <v>306</v>
      </c>
      <c r="B12" s="2">
        <v>1</v>
      </c>
      <c r="C12" s="114" t="s">
        <v>403</v>
      </c>
      <c r="D12" s="268" t="str">
        <f>VLOOKUP(C12,Purchased!A:B,2,0)</f>
        <v>SMC SS5Y5 U SIDE END PLATE</v>
      </c>
      <c r="E12" s="269"/>
      <c r="F12" s="112" t="str">
        <f>VLOOKUP(C12,Purchased!A:Q,9,0)</f>
        <v>SMC</v>
      </c>
      <c r="G12" s="112" t="str">
        <f>VLOOKUP(C12,Purchased!A:Q,10,0)</f>
        <v>AAP</v>
      </c>
      <c r="H12" s="112" t="str">
        <f>VLOOKUP(C12,Purchased!A:Q,12,0)</f>
        <v xml:space="preserve"> </v>
      </c>
      <c r="I12" s="113"/>
      <c r="J12" s="44" t="str">
        <f>VLOOKUP(C12,Purchased!A:Q,13,0)</f>
        <v>N/A</v>
      </c>
      <c r="K12" s="44">
        <f>VLOOKUP(C12,Purchased!A:Q,14,0)</f>
        <v>45086</v>
      </c>
      <c r="L12" s="44">
        <f>VLOOKUP(C12,Purchased!A:Q,15,0)</f>
        <v>45103</v>
      </c>
      <c r="M12" s="44">
        <f>VLOOKUP(C12,Purchased!A:Q,16,0)</f>
        <v>45103</v>
      </c>
      <c r="N12" s="45">
        <f>VLOOKUP(C12,Purchased!A:Q,17,0)</f>
        <v>54926</v>
      </c>
      <c r="O12" s="45" t="e">
        <f t="shared" ca="1" si="4"/>
        <v>#VALUE!</v>
      </c>
      <c r="P12" s="49">
        <f>IFERROR(VLOOKUP(C12,Purchased!A:E,3,FALSE),"")</f>
        <v>32.0242</v>
      </c>
      <c r="Q12" s="50">
        <f t="shared" si="5"/>
        <v>32.0242</v>
      </c>
    </row>
    <row r="13" spans="1:17" s="2" customFormat="1" ht="12" customHeight="1">
      <c r="A13" s="4">
        <f t="shared" si="6"/>
        <v>307</v>
      </c>
      <c r="B13" s="2">
        <v>3</v>
      </c>
      <c r="C13" s="114" t="s">
        <v>1358</v>
      </c>
      <c r="D13" s="268" t="str">
        <f>VLOOKUP(C13,Purchased!A:B,2,0)</f>
        <v>SMC TIE ROD</v>
      </c>
      <c r="E13" s="269"/>
      <c r="F13" s="112" t="str">
        <f>VLOOKUP(C13,Purchased!A:Q,9,0)</f>
        <v>SMC</v>
      </c>
      <c r="G13" s="112" t="str">
        <f>VLOOKUP(C13,Purchased!A:Q,10,0)</f>
        <v>AAP</v>
      </c>
      <c r="H13" s="112" t="str">
        <f>VLOOKUP(C13,Purchased!A:Q,12,0)</f>
        <v xml:space="preserve"> </v>
      </c>
      <c r="I13" s="113"/>
      <c r="J13" s="44" t="str">
        <f>VLOOKUP(C13,Purchased!A:Q,13,0)</f>
        <v>N/A</v>
      </c>
      <c r="K13" s="44">
        <f>VLOOKUP(C13,Purchased!A:Q,14,0)</f>
        <v>45086</v>
      </c>
      <c r="L13" s="44">
        <f>VLOOKUP(C13,Purchased!A:Q,15,0)</f>
        <v>45103</v>
      </c>
      <c r="M13" s="44">
        <f>VLOOKUP(C13,Purchased!A:Q,16,0)</f>
        <v>45103</v>
      </c>
      <c r="N13" s="45">
        <f>VLOOKUP(C13,Purchased!A:Q,17,0)</f>
        <v>54926</v>
      </c>
      <c r="O13" s="45" t="e">
        <f t="shared" ca="1" si="2"/>
        <v>#VALUE!</v>
      </c>
      <c r="P13" s="49">
        <f>IFERROR(VLOOKUP(C13,Purchased!A:E,3,FALSE),"")</f>
        <v>3.569</v>
      </c>
      <c r="Q13" s="50">
        <f t="shared" si="3"/>
        <v>10.707000000000001</v>
      </c>
    </row>
    <row r="14" spans="1:17" s="2" customFormat="1" ht="12" customHeight="1">
      <c r="A14" s="4">
        <f t="shared" si="6"/>
        <v>308</v>
      </c>
      <c r="B14" s="2">
        <v>2</v>
      </c>
      <c r="C14" s="114" t="s">
        <v>175</v>
      </c>
      <c r="D14" s="268" t="str">
        <f>VLOOKUP(C14,Purchased!A:B,2,0)</f>
        <v>SMC FITTING ASSY</v>
      </c>
      <c r="E14" s="269"/>
      <c r="F14" s="112" t="str">
        <f>VLOOKUP(C14,Purchased!A:Q,9,0)</f>
        <v>SMC</v>
      </c>
      <c r="G14" s="112" t="str">
        <f>VLOOKUP(C14,Purchased!A:Q,10,0)</f>
        <v>AAP</v>
      </c>
      <c r="H14" s="112" t="str">
        <f>VLOOKUP(C14,Purchased!A:Q,12,0)</f>
        <v xml:space="preserve"> </v>
      </c>
      <c r="I14" s="113"/>
      <c r="J14" s="44" t="str">
        <f>VLOOKUP(C14,Purchased!A:Q,13,0)</f>
        <v>N/A</v>
      </c>
      <c r="K14" s="44">
        <f>VLOOKUP(C14,Purchased!A:Q,14,0)</f>
        <v>45086</v>
      </c>
      <c r="L14" s="44">
        <f>VLOOKUP(C14,Purchased!A:Q,15,0)</f>
        <v>45103</v>
      </c>
      <c r="M14" s="44">
        <f>VLOOKUP(C14,Purchased!A:Q,16,0)</f>
        <v>45103</v>
      </c>
      <c r="N14" s="45">
        <f>VLOOKUP(C14,Purchased!A:Q,17,0)</f>
        <v>54926</v>
      </c>
      <c r="O14" s="45" t="e">
        <f t="shared" ca="1" si="2"/>
        <v>#VALUE!</v>
      </c>
      <c r="P14" s="49">
        <f>IFERROR(VLOOKUP(C14,Purchased!A:E,3,FALSE),"")</f>
        <v>3.3892000000000002</v>
      </c>
      <c r="Q14" s="50">
        <f t="shared" si="3"/>
        <v>6.7784000000000004</v>
      </c>
    </row>
    <row r="15" spans="1:17" s="2" customFormat="1" ht="12.75" customHeight="1">
      <c r="A15" s="4">
        <f t="shared" si="6"/>
        <v>309</v>
      </c>
      <c r="B15" s="170">
        <v>5</v>
      </c>
      <c r="C15" s="114" t="s">
        <v>820</v>
      </c>
      <c r="D15" s="268" t="str">
        <f>VLOOKUP(C15,Purchased!A:B,2,0)</f>
        <v>SMC SPEED CONTROLLER</v>
      </c>
      <c r="E15" s="269"/>
      <c r="F15" s="112" t="str">
        <f>VLOOKUP(C15,Purchased!A:Q,9,0)</f>
        <v>SMC</v>
      </c>
      <c r="G15" s="112" t="str">
        <f>VLOOKUP(C15,Purchased!A:Q,10,0)</f>
        <v>AAP</v>
      </c>
      <c r="H15" s="112" t="str">
        <f>VLOOKUP(C15,Purchased!A:Q,12,0)</f>
        <v xml:space="preserve"> </v>
      </c>
      <c r="I15" s="113"/>
      <c r="J15" s="44" t="str">
        <f>VLOOKUP(C15,Purchased!A:Q,13,0)</f>
        <v>N/A</v>
      </c>
      <c r="K15" s="44">
        <f>VLOOKUP(C15,Purchased!A:Q,14,0)</f>
        <v>45162</v>
      </c>
      <c r="L15" s="44">
        <f>VLOOKUP(C15,Purchased!A:Q,15,0)</f>
        <v>45184</v>
      </c>
      <c r="M15" s="44">
        <f>VLOOKUP(C15,Purchased!A:Q,16,0)</f>
        <v>45180</v>
      </c>
      <c r="N15" s="45">
        <f>VLOOKUP(C15,Purchased!A:Q,17,0)</f>
        <v>55037</v>
      </c>
      <c r="O15" s="45" t="e">
        <f t="shared" ref="O15:O28" ca="1" si="7">B15*$L$2</f>
        <v>#VALUE!</v>
      </c>
      <c r="P15" s="49">
        <f>IFERROR(VLOOKUP(C15,Purchased!A:E,3,FALSE),"")</f>
        <v>20.3764</v>
      </c>
      <c r="Q15" s="50">
        <f t="shared" ref="Q15:Q20" si="8">IFERROR(B15*P15,"")</f>
        <v>101.88200000000001</v>
      </c>
    </row>
    <row r="16" spans="1:17" s="2" customFormat="1" ht="12" customHeight="1">
      <c r="A16" s="4">
        <f t="shared" si="6"/>
        <v>310</v>
      </c>
      <c r="B16" s="170">
        <v>4</v>
      </c>
      <c r="C16" s="114" t="s">
        <v>957</v>
      </c>
      <c r="D16" s="268" t="str">
        <f>VLOOKUP(C16,Purchased!A:B,2,0)</f>
        <v>SMC FITTING ,DIFF DIA UNION TEE</v>
      </c>
      <c r="E16" s="269"/>
      <c r="F16" s="112" t="str">
        <f>VLOOKUP(C16,Purchased!A:Q,9,0)</f>
        <v>SMC</v>
      </c>
      <c r="G16" s="112" t="str">
        <f>VLOOKUP(C16,Purchased!A:Q,10,0)</f>
        <v>AAP</v>
      </c>
      <c r="H16" s="112" t="str">
        <f>VLOOKUP(C16,Purchased!A:Q,12,0)</f>
        <v xml:space="preserve"> </v>
      </c>
      <c r="I16" s="113"/>
      <c r="J16" s="44" t="str">
        <f>VLOOKUP(C16,Purchased!A:Q,13,0)</f>
        <v>N/A</v>
      </c>
      <c r="K16" s="44">
        <f>VLOOKUP(C16,Purchased!A:Q,14,0)</f>
        <v>45162</v>
      </c>
      <c r="L16" s="44">
        <f>VLOOKUP(C16,Purchased!A:Q,15,0)</f>
        <v>45184</v>
      </c>
      <c r="M16" s="44">
        <f>VLOOKUP(C16,Purchased!A:Q,16,0)</f>
        <v>45180</v>
      </c>
      <c r="N16" s="45">
        <f>VLOOKUP(C16,Purchased!A:Q,17,0)</f>
        <v>55037</v>
      </c>
      <c r="O16" s="45" t="e">
        <f t="shared" ca="1" si="7"/>
        <v>#VALUE!</v>
      </c>
      <c r="P16" s="49">
        <f>IFERROR(VLOOKUP(C16,Purchased!A:E,3,FALSE),"")</f>
        <v>2.3932000000000002</v>
      </c>
      <c r="Q16" s="50">
        <f t="shared" si="8"/>
        <v>9.5728000000000009</v>
      </c>
    </row>
    <row r="17" spans="1:17" s="2" customFormat="1" ht="12" customHeight="1">
      <c r="A17" s="4">
        <f t="shared" si="6"/>
        <v>311</v>
      </c>
      <c r="B17" s="170">
        <v>4</v>
      </c>
      <c r="C17" s="114" t="s">
        <v>1359</v>
      </c>
      <c r="D17" s="268" t="str">
        <f>VLOOKUP(C17,Purchased!A:B,2,0)</f>
        <v>SMC FITTING, PLUG-IN REDUCER</v>
      </c>
      <c r="E17" s="269"/>
      <c r="F17" s="112" t="str">
        <f>VLOOKUP(C17,Purchased!A:Q,9,0)</f>
        <v>SMC</v>
      </c>
      <c r="G17" s="112" t="str">
        <f>VLOOKUP(C17,Purchased!A:Q,10,0)</f>
        <v>AAP</v>
      </c>
      <c r="H17" s="112" t="str">
        <f>VLOOKUP(C17,Purchased!A:Q,12,0)</f>
        <v xml:space="preserve"> </v>
      </c>
      <c r="I17" s="113"/>
      <c r="J17" s="44" t="str">
        <f>VLOOKUP(C17,Purchased!A:Q,13,0)</f>
        <v>N/A</v>
      </c>
      <c r="K17" s="44">
        <f>VLOOKUP(C17,Purchased!A:Q,14,0)</f>
        <v>45162</v>
      </c>
      <c r="L17" s="44">
        <f>VLOOKUP(C17,Purchased!A:Q,15,0)</f>
        <v>45184</v>
      </c>
      <c r="M17" s="44">
        <f>VLOOKUP(C17,Purchased!A:Q,16,0)</f>
        <v>45180</v>
      </c>
      <c r="N17" s="45" t="str">
        <f>VLOOKUP(C17,Purchased!A:Q,17,0)</f>
        <v>10x55037, 20x 55270</v>
      </c>
      <c r="O17" s="45" t="e">
        <f t="shared" ca="1" si="7"/>
        <v>#VALUE!</v>
      </c>
      <c r="P17" s="49">
        <f>IFERROR(VLOOKUP(C17,Purchased!A:E,3,FALSE),"")</f>
        <v>1.0375000000000001</v>
      </c>
      <c r="Q17" s="50">
        <f t="shared" si="8"/>
        <v>4.1500000000000004</v>
      </c>
    </row>
    <row r="18" spans="1:17" s="2" customFormat="1" ht="12" customHeight="1">
      <c r="A18" s="4">
        <f t="shared" si="6"/>
        <v>312</v>
      </c>
      <c r="B18" s="170">
        <v>2</v>
      </c>
      <c r="C18" s="114" t="s">
        <v>262</v>
      </c>
      <c r="D18" s="268" t="str">
        <f>VLOOKUP(C18,Purchased!A:B,2,0)</f>
        <v>BRX GOTO T-NUT 10 M6</v>
      </c>
      <c r="E18" s="269"/>
      <c r="F18" s="112" t="str">
        <f>VLOOKUP(C18,Purchased!A:Q,9,0)</f>
        <v>BRX</v>
      </c>
      <c r="G18" s="112" t="str">
        <f>VLOOKUP(C18,Purchased!A:Q,10,0)</f>
        <v>AAP</v>
      </c>
      <c r="H18" s="112" t="str">
        <f>VLOOKUP(C18,Purchased!A:Q,12,0)</f>
        <v xml:space="preserve">  </v>
      </c>
      <c r="I18" s="113"/>
      <c r="J18" s="44">
        <f>VLOOKUP(C18,Purchased!A:Q,13,0)</f>
        <v>45104</v>
      </c>
      <c r="K18" s="44">
        <f>VLOOKUP(C18,Purchased!A:Q,14,0)</f>
        <v>45105</v>
      </c>
      <c r="L18" s="44">
        <f>VLOOKUP(C18,Purchased!A:Q,15,0)</f>
        <v>45133</v>
      </c>
      <c r="M18" s="44">
        <f>VLOOKUP(C18,Purchased!A:Q,16,0)</f>
        <v>45133</v>
      </c>
      <c r="N18" s="45" t="str">
        <f>VLOOKUP(C18,Purchased!A:Q,17,0)</f>
        <v>54968, 55147, 55270</v>
      </c>
      <c r="O18" s="45" t="e">
        <f t="shared" ref="O18:O19" ca="1" si="9">B18*$L$2</f>
        <v>#VALUE!</v>
      </c>
      <c r="P18" s="49">
        <f>IFERROR(VLOOKUP(C18,Purchased!A:E,3,FALSE),"")</f>
        <v>0.64290000000000003</v>
      </c>
      <c r="Q18" s="50">
        <f t="shared" ref="Q18:Q19" si="10">IFERROR(B18*P18,"")</f>
        <v>1.2858000000000001</v>
      </c>
    </row>
    <row r="19" spans="1:17" s="2" customFormat="1" ht="12" customHeight="1">
      <c r="A19" s="4">
        <f t="shared" si="6"/>
        <v>313</v>
      </c>
      <c r="B19" s="170">
        <v>2</v>
      </c>
      <c r="C19" s="114" t="s">
        <v>1360</v>
      </c>
      <c r="D19" s="268" t="str">
        <f>VLOOKUP(C19,Purchased!A:B,2,0)</f>
        <v>SMC KQ2U06-00A fitting, union y, KQ2 FITTING</v>
      </c>
      <c r="E19" s="269"/>
      <c r="F19" s="112" t="str">
        <f>VLOOKUP(C19,Purchased!A:Q,9,0)</f>
        <v>SMC</v>
      </c>
      <c r="G19" s="112" t="str">
        <f>VLOOKUP(C19,Purchased!A:Q,10,0)</f>
        <v>AAP</v>
      </c>
      <c r="H19" s="112" t="str">
        <f>VLOOKUP(C19,Purchased!A:Q,12,0)</f>
        <v xml:space="preserve">  </v>
      </c>
      <c r="I19" s="113"/>
      <c r="J19" s="44" t="str">
        <f>VLOOKUP(C19,Purchased!A:Q,13,0)</f>
        <v>N/A</v>
      </c>
      <c r="K19" s="44">
        <f>VLOOKUP(C19,Purchased!A:Q,14,0)</f>
        <v>45162</v>
      </c>
      <c r="L19" s="44">
        <f>VLOOKUP(C19,Purchased!A:Q,15,0)</f>
        <v>45184</v>
      </c>
      <c r="M19" s="44">
        <f>VLOOKUP(C19,Purchased!A:Q,16,0)</f>
        <v>45184</v>
      </c>
      <c r="N19" s="45">
        <f>VLOOKUP(C19,Purchased!A:Q,17,0)</f>
        <v>55098</v>
      </c>
      <c r="O19" s="45" t="e">
        <f t="shared" ca="1" si="9"/>
        <v>#VALUE!</v>
      </c>
      <c r="P19" s="49">
        <f>IFERROR(VLOOKUP(C19,Purchased!A:E,3,FALSE),"")</f>
        <v>2.4346999999999999</v>
      </c>
      <c r="Q19" s="50">
        <f t="shared" si="10"/>
        <v>4.8693999999999997</v>
      </c>
    </row>
    <row r="20" spans="1:17" s="2" customFormat="1" ht="12" customHeight="1">
      <c r="A20" s="4">
        <f t="shared" si="6"/>
        <v>314</v>
      </c>
      <c r="B20" s="170">
        <v>1</v>
      </c>
      <c r="C20" s="114" t="s">
        <v>447</v>
      </c>
      <c r="D20" s="268" t="str">
        <f>VLOOKUP(C20,Purchased!A:B,2,0)</f>
        <v>SMC AR20-02BE-B Air Regulator 1/4 NPT port</v>
      </c>
      <c r="E20" s="269"/>
      <c r="F20" s="112" t="str">
        <f>VLOOKUP(C20,Purchased!A:Q,9,0)</f>
        <v>SMC</v>
      </c>
      <c r="G20" s="112" t="str">
        <f>VLOOKUP(C20,Purchased!A:Q,10,0)</f>
        <v>AAP</v>
      </c>
      <c r="H20" s="112" t="str">
        <f>VLOOKUP(C20,Purchased!A:Q,12,0)</f>
        <v xml:space="preserve"> </v>
      </c>
      <c r="I20" s="113"/>
      <c r="J20" s="44" t="str">
        <f>VLOOKUP(C20,Purchased!A:Q,13,0)</f>
        <v>N/A</v>
      </c>
      <c r="K20" s="44">
        <f>VLOOKUP(C20,Purchased!A:Q,14,0)</f>
        <v>45162</v>
      </c>
      <c r="L20" s="44">
        <f>VLOOKUP(C20,Purchased!A:Q,15,0)</f>
        <v>45184</v>
      </c>
      <c r="M20" s="44">
        <f>VLOOKUP(C20,Purchased!A:Q,16,0)</f>
        <v>45180</v>
      </c>
      <c r="N20" s="45">
        <f>VLOOKUP(C20,Purchased!A:Q,17,0)</f>
        <v>55037</v>
      </c>
      <c r="O20" s="45" t="e">
        <f t="shared" ca="1" si="7"/>
        <v>#VALUE!</v>
      </c>
      <c r="P20" s="49">
        <f>IFERROR(VLOOKUP(C20,Purchased!A:E,3,FALSE),"")</f>
        <v>19.0623</v>
      </c>
      <c r="Q20" s="50">
        <f t="shared" si="8"/>
        <v>19.0623</v>
      </c>
    </row>
    <row r="21" spans="1:17" s="2" customFormat="1" ht="12" customHeight="1">
      <c r="A21" s="4">
        <f t="shared" si="6"/>
        <v>315</v>
      </c>
      <c r="B21" s="170">
        <v>2</v>
      </c>
      <c r="C21" s="114" t="s">
        <v>290</v>
      </c>
      <c r="D21" s="268" t="str">
        <f>VLOOKUP(C21,Purchased!A:B,2,0)</f>
        <v>SMC FITTING, UNIFIT</v>
      </c>
      <c r="E21" s="269"/>
      <c r="F21" s="112" t="str">
        <f>VLOOKUP(C21,Purchased!A:Q,9,0)</f>
        <v>SMC</v>
      </c>
      <c r="G21" s="112" t="str">
        <f>VLOOKUP(C21,Purchased!A:Q,10,0)</f>
        <v>AAP</v>
      </c>
      <c r="H21" s="112" t="str">
        <f>VLOOKUP(C21,Purchased!A:Q,12,0)</f>
        <v xml:space="preserve"> </v>
      </c>
      <c r="I21" s="113"/>
      <c r="J21" s="44" t="str">
        <f>VLOOKUP(C21,Purchased!A:Q,13,0)</f>
        <v>N/A</v>
      </c>
      <c r="K21" s="44">
        <f>VLOOKUP(C21,Purchased!A:Q,14,0)</f>
        <v>45162</v>
      </c>
      <c r="L21" s="44">
        <f>VLOOKUP(C21,Purchased!A:Q,15,0)</f>
        <v>45184</v>
      </c>
      <c r="M21" s="44">
        <f>VLOOKUP(C21,Purchased!A:Q,16,0)</f>
        <v>45180</v>
      </c>
      <c r="N21" s="45" t="str">
        <f>VLOOKUP(C21,Purchased!A:Q,17,0)</f>
        <v>20x55037, 10x55270</v>
      </c>
      <c r="O21" s="45" t="e">
        <f ca="1">B21*$L$2</f>
        <v>#VALUE!</v>
      </c>
      <c r="P21" s="49">
        <f>IFERROR(VLOOKUP(C21,Purchased!A:E,3,FALSE),"")</f>
        <v>1.6323000000000001</v>
      </c>
      <c r="Q21" s="50">
        <f>IFERROR(B21*P21,"")</f>
        <v>3.2646000000000002</v>
      </c>
    </row>
    <row r="22" spans="1:17" s="2" customFormat="1" ht="12" customHeight="1">
      <c r="A22" s="4">
        <f t="shared" si="6"/>
        <v>316</v>
      </c>
      <c r="B22" s="170">
        <v>2</v>
      </c>
      <c r="C22" s="114" t="s">
        <v>958</v>
      </c>
      <c r="D22" s="268" t="str">
        <f>VLOOKUP(C22,Purchased!A:B,2,0)</f>
        <v>SMC FITTING DIFF DIA Y UNION</v>
      </c>
      <c r="E22" s="269"/>
      <c r="F22" s="112" t="str">
        <f>VLOOKUP(C22,Purchased!A:Q,9,0)</f>
        <v>SMC</v>
      </c>
      <c r="G22" s="112" t="str">
        <f>VLOOKUP(C22,Purchased!A:Q,10,0)</f>
        <v>AAP</v>
      </c>
      <c r="H22" s="112" t="str">
        <f>VLOOKUP(C22,Purchased!A:Q,12,0)</f>
        <v xml:space="preserve"> </v>
      </c>
      <c r="I22" s="113"/>
      <c r="J22" s="44" t="str">
        <f>VLOOKUP(C22,Purchased!A:Q,13,0)</f>
        <v>N/A</v>
      </c>
      <c r="K22" s="44">
        <f>VLOOKUP(C22,Purchased!A:Q,14,0)</f>
        <v>45162</v>
      </c>
      <c r="L22" s="44">
        <f>VLOOKUP(C22,Purchased!A:Q,15,0)</f>
        <v>45184</v>
      </c>
      <c r="M22" s="44">
        <f>VLOOKUP(C22,Purchased!A:Q,16,0)</f>
        <v>45197</v>
      </c>
      <c r="N22" s="45">
        <f>VLOOKUP(C22,Purchased!A:Q,17,0)</f>
        <v>55073</v>
      </c>
      <c r="O22" s="45" t="e">
        <f ca="1">B22*$L$2</f>
        <v>#VALUE!</v>
      </c>
      <c r="P22" s="49">
        <f>IFERROR(VLOOKUP(C22,Purchased!A:E,3,FALSE),"")</f>
        <v>2.9603000000000002</v>
      </c>
      <c r="Q22" s="50">
        <f>IFERROR(B22*P22,"")</f>
        <v>5.9206000000000003</v>
      </c>
    </row>
    <row r="23" spans="1:17" s="2" customFormat="1" ht="12" customHeight="1">
      <c r="A23" s="4">
        <f t="shared" si="6"/>
        <v>317</v>
      </c>
      <c r="B23" s="170">
        <v>2</v>
      </c>
      <c r="C23" s="114" t="s">
        <v>1361</v>
      </c>
      <c r="D23" s="268" t="str">
        <f>VLOOKUP(C23,Purchased!A:B,2,0)</f>
        <v>SMC Plug in reducer 8mm to 4mm</v>
      </c>
      <c r="E23" s="269"/>
      <c r="F23" s="112" t="str">
        <f>VLOOKUP(C23,Purchased!A:Q,9,0)</f>
        <v>SMC</v>
      </c>
      <c r="G23" s="112" t="str">
        <f>VLOOKUP(C23,Purchased!A:Q,10,0)</f>
        <v>AAP</v>
      </c>
      <c r="H23" s="112" t="str">
        <f>VLOOKUP(C23,Purchased!A:Q,12,0)</f>
        <v xml:space="preserve">  </v>
      </c>
      <c r="I23" s="113"/>
      <c r="J23" s="44" t="str">
        <f>VLOOKUP(C23,Purchased!A:Q,13,0)</f>
        <v>N/A</v>
      </c>
      <c r="K23" s="44">
        <f>VLOOKUP(C23,Purchased!A:Q,14,0)</f>
        <v>45162</v>
      </c>
      <c r="L23" s="44">
        <f>VLOOKUP(C23,Purchased!A:Q,15,0)</f>
        <v>45184</v>
      </c>
      <c r="M23" s="44">
        <f>VLOOKUP(C23,Purchased!A:Q,16,0)</f>
        <v>45184</v>
      </c>
      <c r="N23" s="45">
        <f>VLOOKUP(C23,Purchased!A:Q,17,0)</f>
        <v>55098</v>
      </c>
      <c r="O23" s="45" t="e">
        <f t="shared" ref="O23" ca="1" si="11">B23*$L$2</f>
        <v>#VALUE!</v>
      </c>
      <c r="P23" s="49">
        <f>IFERROR(VLOOKUP(C23,Purchased!A:E,3,FALSE),"")</f>
        <v>1.0237000000000001</v>
      </c>
      <c r="Q23" s="50">
        <f t="shared" ref="Q23" si="12">IFERROR(B23*P23,"")</f>
        <v>2.0474000000000001</v>
      </c>
    </row>
    <row r="24" spans="1:17" s="2" customFormat="1" ht="12" customHeight="1">
      <c r="A24" s="4">
        <f t="shared" si="6"/>
        <v>318</v>
      </c>
      <c r="B24" s="170">
        <v>1</v>
      </c>
      <c r="C24" s="114" t="s">
        <v>448</v>
      </c>
      <c r="D24" s="268" t="str">
        <f>VLOOKUP(C24,Purchased!A:B,2,0)</f>
        <v>SMC F TYPE CONNECTOR, 15M LENGTH</v>
      </c>
      <c r="E24" s="269"/>
      <c r="F24" s="112" t="str">
        <f>VLOOKUP(C24,Purchased!A:Q,9,0)</f>
        <v>SMC</v>
      </c>
      <c r="G24" s="112" t="str">
        <f>VLOOKUP(C24,Purchased!A:Q,10,0)</f>
        <v>AAP</v>
      </c>
      <c r="H24" s="112">
        <f>VLOOKUP(C24,Purchased!A:Q,12,0)</f>
        <v>0</v>
      </c>
      <c r="I24" s="113"/>
      <c r="J24" s="44">
        <f>VLOOKUP(C24,Purchased!A:Q,13,0)</f>
        <v>45089</v>
      </c>
      <c r="K24" s="44">
        <f>VLOOKUP(C24,Purchased!A:Q,14,0)</f>
        <v>45167</v>
      </c>
      <c r="L24" s="44">
        <f>VLOOKUP(C24,Purchased!A:Q,15,0)</f>
        <v>45184</v>
      </c>
      <c r="M24" s="44">
        <f>VLOOKUP(C24,Purchased!A:Q,16,0)</f>
        <v>45184</v>
      </c>
      <c r="N24" s="45">
        <f>VLOOKUP(C24,Purchased!A:Q,17,0)</f>
        <v>55114</v>
      </c>
      <c r="O24" s="45" t="e">
        <f t="shared" ref="O24" ca="1" si="13">B24*$L$2</f>
        <v>#VALUE!</v>
      </c>
      <c r="P24" s="49">
        <f>IFERROR(VLOOKUP(C24,Purchased!A:E,3,FALSE),"")</f>
        <v>234.11529999999999</v>
      </c>
      <c r="Q24" s="50">
        <f t="shared" ref="Q24" si="14">IFERROR(B24*P24,"")</f>
        <v>234.11529999999999</v>
      </c>
    </row>
    <row r="25" spans="1:17" s="2" customFormat="1" ht="12" customHeight="1">
      <c r="A25" s="241">
        <v>319</v>
      </c>
      <c r="B25" s="244">
        <v>2</v>
      </c>
      <c r="C25" s="114" t="s">
        <v>177</v>
      </c>
      <c r="D25" s="268" t="str">
        <f>VLOOKUP(C25,Purchased!A:B,2,0)</f>
        <v>SMC COVER ASSY</v>
      </c>
      <c r="E25" s="269"/>
      <c r="F25" s="112" t="str">
        <f>VLOOKUP(C25,Purchased!A:Q,9,0)</f>
        <v>SMC</v>
      </c>
      <c r="G25" s="112" t="str">
        <f>VLOOKUP(C25,Purchased!A:Q,10,0)</f>
        <v>AAP</v>
      </c>
      <c r="H25" s="112" t="str">
        <f>VLOOKUP(C25,Purchased!A:Q,12,0)</f>
        <v xml:space="preserve"> </v>
      </c>
      <c r="I25" s="113"/>
      <c r="J25" s="44" t="str">
        <f>VLOOKUP(C25,Purchased!A:Q,13,0)</f>
        <v>N/A</v>
      </c>
      <c r="K25" s="44">
        <f>VLOOKUP(C25,Purchased!A:Q,14,0)</f>
        <v>45086</v>
      </c>
      <c r="L25" s="44">
        <f>VLOOKUP(C25,Purchased!A:Q,15,0)</f>
        <v>45103</v>
      </c>
      <c r="M25" s="44">
        <f>VLOOKUP(C25,Purchased!A:Q,16,0)</f>
        <v>45103</v>
      </c>
      <c r="N25" s="45" t="str">
        <f>VLOOKUP(C25,Purchased!A:Q,17,0)</f>
        <v>4x54926, 5x55260</v>
      </c>
      <c r="O25" s="45" t="e">
        <f t="shared" ref="O25" ca="1" si="15">B25*$L$2</f>
        <v>#VALUE!</v>
      </c>
      <c r="P25" s="49">
        <f>IFERROR(VLOOKUP(C25,Purchased!A:E,3,FALSE),"")</f>
        <v>1.7153</v>
      </c>
      <c r="Q25" s="50">
        <f t="shared" ref="Q25" si="16">IFERROR(B25*P25,"")</f>
        <v>3.4306000000000001</v>
      </c>
    </row>
    <row r="26" spans="1:17" s="2" customFormat="1" ht="12.75" customHeight="1">
      <c r="A26" s="25"/>
      <c r="B26" s="26"/>
      <c r="C26" s="26"/>
      <c r="D26" s="272"/>
      <c r="E26" s="273"/>
      <c r="F26" s="26"/>
      <c r="G26" s="26"/>
      <c r="H26" s="274"/>
      <c r="I26" s="275"/>
      <c r="J26" s="27"/>
      <c r="K26" s="27"/>
      <c r="L26" s="27"/>
      <c r="M26" s="28"/>
      <c r="N26" s="29"/>
      <c r="O26" s="29" t="e">
        <f t="shared" ca="1" si="7"/>
        <v>#VALUE!</v>
      </c>
      <c r="P26" s="141"/>
      <c r="Q26" s="142"/>
    </row>
    <row r="27" spans="1:17" s="2" customFormat="1" ht="12.75" customHeight="1">
      <c r="A27" s="4">
        <v>501</v>
      </c>
      <c r="B27" s="2">
        <v>4</v>
      </c>
      <c r="C27" s="110" t="s">
        <v>454</v>
      </c>
      <c r="D27" s="268"/>
      <c r="E27" s="276"/>
      <c r="F27" s="112" t="str">
        <f>VLOOKUP(C27,Bolts!A:L,5,0)</f>
        <v xml:space="preserve">  </v>
      </c>
      <c r="G27" s="112" t="str">
        <f>VLOOKUP(C27,Bolts!A:L,6,0)</f>
        <v>Monroe Fasteners</v>
      </c>
      <c r="H27" s="112" t="str">
        <f>VLOOKUP(C27,Bolts!A:L,7,0)</f>
        <v xml:space="preserve">  </v>
      </c>
      <c r="I27" s="112"/>
      <c r="J27" s="44" t="str">
        <f>VLOOKUP(C27,Bolts!A:L,8,0)</f>
        <v xml:space="preserve"> </v>
      </c>
      <c r="K27" s="44" t="str">
        <f>VLOOKUP(C27,Bolts!A:L,9,0)</f>
        <v xml:space="preserve"> </v>
      </c>
      <c r="L27" s="44" t="str">
        <f>VLOOKUP(C27,Bolts!A:L,10,0)</f>
        <v xml:space="preserve"> </v>
      </c>
      <c r="M27" s="44" t="str">
        <f>VLOOKUP(C27,Bolts!A:L,11,0)</f>
        <v xml:space="preserve"> </v>
      </c>
      <c r="N27" s="45" t="str">
        <f>VLOOKUP(C27,Bolts!A:L,12,0)</f>
        <v xml:space="preserve"> </v>
      </c>
      <c r="O27" s="45" t="e">
        <f t="shared" ca="1" si="7"/>
        <v>#VALUE!</v>
      </c>
      <c r="P27" s="49" t="str">
        <f>IFERROR(VLOOKUP(C27,Bolts!A:B,2,FALSE),"")</f>
        <v xml:space="preserve"> </v>
      </c>
      <c r="Q27" s="50" t="str">
        <f t="shared" ref="Q27:Q28" si="17">IFERROR(B27*P27,"")</f>
        <v/>
      </c>
    </row>
    <row r="28" spans="1:17" s="2" customFormat="1" ht="12.75" customHeight="1" thickBot="1">
      <c r="A28" s="4">
        <f t="shared" ref="A28" si="18">A27+1</f>
        <v>502</v>
      </c>
      <c r="B28" s="2">
        <v>2</v>
      </c>
      <c r="C28" s="110" t="s">
        <v>669</v>
      </c>
      <c r="D28" s="268"/>
      <c r="E28" s="276"/>
      <c r="F28" s="112" t="str">
        <f>VLOOKUP(C28,Bolts!A:L,5,0)</f>
        <v xml:space="preserve">  </v>
      </c>
      <c r="G28" s="112" t="str">
        <f>VLOOKUP(C28,Bolts!A:L,6,0)</f>
        <v>Monroe Fasteners</v>
      </c>
      <c r="H28" s="112" t="str">
        <f>VLOOKUP(C28,Bolts!A:L,7,0)</f>
        <v xml:space="preserve">  </v>
      </c>
      <c r="I28" s="112"/>
      <c r="J28" s="44" t="str">
        <f>VLOOKUP(C28,Bolts!A:L,8,0)</f>
        <v xml:space="preserve"> </v>
      </c>
      <c r="K28" s="44" t="str">
        <f>VLOOKUP(C28,Bolts!A:L,9,0)</f>
        <v xml:space="preserve"> </v>
      </c>
      <c r="L28" s="44" t="str">
        <f>VLOOKUP(C28,Bolts!A:L,10,0)</f>
        <v xml:space="preserve"> </v>
      </c>
      <c r="M28" s="44" t="str">
        <f>VLOOKUP(C28,Bolts!A:L,11,0)</f>
        <v xml:space="preserve"> </v>
      </c>
      <c r="N28" s="45" t="str">
        <f>VLOOKUP(C28,Bolts!A:L,12,0)</f>
        <v xml:space="preserve"> </v>
      </c>
      <c r="O28" s="45" t="e">
        <f t="shared" ca="1" si="7"/>
        <v>#VALUE!</v>
      </c>
      <c r="P28" s="49" t="str">
        <f>IFERROR(VLOOKUP(C28,Bolts!A:B,2,FALSE),"")</f>
        <v xml:space="preserve"> </v>
      </c>
      <c r="Q28" s="50" t="str">
        <f t="shared" si="17"/>
        <v/>
      </c>
    </row>
    <row r="29" spans="1:17" s="2" customFormat="1" ht="12.75" customHeight="1" thickBot="1">
      <c r="A29" s="34"/>
      <c r="B29" s="35"/>
      <c r="C29" s="35"/>
      <c r="D29" s="256"/>
      <c r="E29" s="257"/>
      <c r="F29" s="35"/>
      <c r="G29" s="35"/>
      <c r="H29" s="294"/>
      <c r="I29" s="295"/>
      <c r="J29" s="36"/>
      <c r="K29" s="36"/>
      <c r="L29" s="36"/>
      <c r="M29" s="37"/>
      <c r="N29" s="38"/>
      <c r="O29" s="38"/>
      <c r="P29" s="89" t="s">
        <v>43</v>
      </c>
      <c r="Q29" s="94">
        <f>SUM(Q5:Q28)</f>
        <v>809.76040000000023</v>
      </c>
    </row>
    <row r="30" spans="1:17" s="2" customFormat="1" ht="12" customHeight="1">
      <c r="D30" s="22"/>
      <c r="E30" s="22"/>
      <c r="J30" s="8"/>
      <c r="K30" s="8"/>
      <c r="L30" s="8"/>
      <c r="M30" s="8"/>
      <c r="N30" s="5"/>
      <c r="O30" s="5"/>
      <c r="P30" s="88"/>
      <c r="Q30" s="95"/>
    </row>
    <row r="31" spans="1:17" s="2" customFormat="1" ht="12" customHeight="1">
      <c r="D31" s="22"/>
      <c r="E31" s="22"/>
      <c r="J31" s="5"/>
      <c r="K31" s="5"/>
      <c r="L31" s="5"/>
      <c r="M31" s="5"/>
      <c r="N31" s="5"/>
      <c r="O31" s="5"/>
      <c r="P31" s="88"/>
      <c r="Q31" s="95"/>
    </row>
    <row r="32" spans="1:17" s="2" customFormat="1" ht="12" customHeight="1">
      <c r="C32" s="22"/>
      <c r="H32" s="5"/>
      <c r="I32" s="5"/>
      <c r="J32" s="5"/>
      <c r="K32" s="5"/>
      <c r="L32" s="5"/>
      <c r="M32" s="5"/>
      <c r="N32" s="88"/>
      <c r="O32" s="95"/>
    </row>
    <row r="33" spans="4:17" s="2" customFormat="1" ht="12" customHeight="1">
      <c r="D33" s="22"/>
      <c r="E33" s="22"/>
      <c r="J33" s="5"/>
      <c r="K33" s="5"/>
      <c r="L33" s="5"/>
      <c r="M33" s="5"/>
      <c r="N33" s="5"/>
      <c r="O33" s="5"/>
      <c r="P33" s="88"/>
      <c r="Q33" s="95"/>
    </row>
    <row r="34" spans="4:17" s="2" customFormat="1" ht="12" customHeight="1">
      <c r="D34" s="22"/>
      <c r="E34" s="22"/>
      <c r="J34" s="5"/>
      <c r="K34" s="5"/>
      <c r="L34" s="5"/>
      <c r="M34" s="5"/>
      <c r="N34" s="5"/>
      <c r="O34" s="5"/>
      <c r="P34" s="88"/>
      <c r="Q34" s="95"/>
    </row>
    <row r="35" spans="4:17" s="2" customFormat="1" ht="12" customHeight="1">
      <c r="D35" s="22"/>
      <c r="E35" s="22"/>
      <c r="J35" s="5"/>
      <c r="K35" s="5"/>
      <c r="L35" s="5"/>
      <c r="M35" s="5"/>
      <c r="N35" s="5"/>
      <c r="O35" s="5"/>
      <c r="P35" s="88"/>
      <c r="Q35" s="95"/>
    </row>
    <row r="36" spans="4:17" s="2" customFormat="1" ht="12" customHeight="1">
      <c r="D36" s="22"/>
      <c r="E36" s="22"/>
      <c r="J36" s="5"/>
      <c r="K36" s="5"/>
      <c r="L36" s="5"/>
      <c r="M36" s="5"/>
      <c r="N36" s="5"/>
      <c r="O36" s="5"/>
      <c r="P36" s="88"/>
      <c r="Q36" s="95"/>
    </row>
    <row r="37" spans="4:17" s="2" customFormat="1" ht="12" customHeight="1">
      <c r="D37" s="22"/>
      <c r="E37" s="22"/>
      <c r="J37" s="5"/>
      <c r="K37" s="5"/>
      <c r="L37" s="5"/>
      <c r="M37" s="5"/>
      <c r="N37" s="5"/>
      <c r="O37" s="5"/>
      <c r="P37" s="88"/>
      <c r="Q37" s="95"/>
    </row>
    <row r="38" spans="4:17" s="2" customFormat="1" ht="12" customHeight="1">
      <c r="D38" s="22"/>
      <c r="E38" s="22"/>
      <c r="J38" s="5"/>
      <c r="K38" s="5"/>
      <c r="L38" s="5"/>
      <c r="M38" s="5"/>
      <c r="N38" s="5"/>
      <c r="O38" s="5"/>
      <c r="P38" s="88"/>
      <c r="Q38" s="95"/>
    </row>
    <row r="39" spans="4:17" s="2" customFormat="1" ht="12" customHeight="1">
      <c r="D39" s="22"/>
      <c r="E39" s="22"/>
      <c r="J39" s="5"/>
      <c r="K39" s="5"/>
      <c r="L39" s="5"/>
      <c r="M39" s="5"/>
      <c r="N39" s="5"/>
      <c r="O39" s="5"/>
      <c r="P39" s="88"/>
      <c r="Q39" s="95"/>
    </row>
    <row r="40" spans="4:17" s="2" customFormat="1" ht="12" customHeight="1">
      <c r="D40" s="22"/>
      <c r="E40" s="22"/>
      <c r="J40" s="5"/>
      <c r="K40" s="5"/>
      <c r="L40" s="5"/>
      <c r="M40" s="5"/>
      <c r="N40" s="5"/>
      <c r="O40" s="5"/>
      <c r="P40" s="88"/>
      <c r="Q40" s="95"/>
    </row>
    <row r="41" spans="4:17" s="2" customFormat="1" ht="12" customHeight="1">
      <c r="D41" s="22"/>
      <c r="E41" s="22"/>
      <c r="J41" s="5"/>
      <c r="K41" s="5"/>
      <c r="L41" s="5"/>
      <c r="M41" s="5"/>
      <c r="N41" s="5"/>
      <c r="O41" s="5"/>
      <c r="P41" s="88"/>
      <c r="Q41" s="95"/>
    </row>
    <row r="42" spans="4:17" s="2" customFormat="1" ht="12" customHeight="1">
      <c r="D42" s="22"/>
      <c r="E42" s="22"/>
      <c r="J42" s="5"/>
      <c r="K42" s="5"/>
      <c r="L42" s="5"/>
      <c r="M42" s="5"/>
      <c r="N42" s="5"/>
      <c r="O42" s="5"/>
      <c r="P42" s="88"/>
      <c r="Q42" s="95"/>
    </row>
    <row r="43" spans="4:17" s="2" customFormat="1" ht="12" customHeight="1">
      <c r="D43" s="22"/>
      <c r="E43" s="22"/>
      <c r="J43" s="5"/>
      <c r="K43" s="5"/>
      <c r="L43" s="5"/>
      <c r="M43" s="5"/>
      <c r="N43" s="5"/>
      <c r="O43" s="5"/>
      <c r="P43" s="88"/>
      <c r="Q43" s="95"/>
    </row>
    <row r="44" spans="4:17" s="2" customFormat="1" ht="12" customHeight="1">
      <c r="D44" s="22"/>
      <c r="E44" s="22"/>
      <c r="J44" s="5"/>
      <c r="K44" s="5"/>
      <c r="L44" s="5"/>
      <c r="M44" s="5"/>
      <c r="N44" s="5"/>
      <c r="O44" s="5"/>
      <c r="P44" s="88"/>
      <c r="Q44" s="95"/>
    </row>
    <row r="45" spans="4:17" s="2" customFormat="1" ht="12" customHeight="1">
      <c r="D45" s="22"/>
      <c r="E45" s="22"/>
      <c r="J45" s="5"/>
      <c r="K45" s="5"/>
      <c r="L45" s="5"/>
      <c r="M45" s="5"/>
      <c r="N45" s="5"/>
      <c r="O45" s="5"/>
      <c r="P45" s="88"/>
      <c r="Q45" s="95"/>
    </row>
    <row r="46" spans="4:17" s="2" customFormat="1" ht="12" customHeight="1">
      <c r="D46" s="22"/>
      <c r="E46" s="22"/>
      <c r="J46" s="5"/>
      <c r="K46" s="5"/>
      <c r="L46" s="5"/>
      <c r="M46" s="5"/>
      <c r="N46" s="5"/>
      <c r="O46" s="5"/>
      <c r="P46" s="88"/>
      <c r="Q46" s="95"/>
    </row>
    <row r="47" spans="4:17" s="2" customFormat="1" ht="12" customHeight="1">
      <c r="D47" s="22"/>
      <c r="E47" s="22"/>
      <c r="J47" s="5"/>
      <c r="K47" s="5"/>
      <c r="L47" s="5"/>
      <c r="M47" s="5"/>
      <c r="N47" s="5"/>
      <c r="O47" s="5"/>
      <c r="P47" s="88"/>
      <c r="Q47" s="95"/>
    </row>
    <row r="48" spans="4:17" s="2" customFormat="1" ht="12" customHeight="1">
      <c r="D48" s="22"/>
      <c r="E48" s="22"/>
      <c r="J48" s="5"/>
      <c r="K48" s="5"/>
      <c r="L48" s="5"/>
      <c r="M48" s="5"/>
      <c r="N48" s="5"/>
      <c r="O48" s="5"/>
      <c r="P48" s="88"/>
      <c r="Q48" s="95"/>
    </row>
    <row r="49" spans="4:17" s="2" customFormat="1" ht="12" customHeight="1">
      <c r="D49" s="22"/>
      <c r="E49" s="22"/>
      <c r="J49" s="5"/>
      <c r="K49" s="5"/>
      <c r="L49" s="5"/>
      <c r="M49" s="5"/>
      <c r="N49" s="5"/>
      <c r="O49" s="5"/>
      <c r="P49" s="88"/>
      <c r="Q49" s="95"/>
    </row>
    <row r="50" spans="4:17" s="2" customFormat="1" ht="12" customHeight="1">
      <c r="D50" s="22"/>
      <c r="E50" s="22"/>
      <c r="J50" s="5"/>
      <c r="K50" s="5"/>
      <c r="L50" s="5"/>
      <c r="M50" s="5"/>
      <c r="N50" s="5"/>
      <c r="O50" s="5"/>
      <c r="P50" s="88"/>
      <c r="Q50" s="95"/>
    </row>
    <row r="51" spans="4:17" s="2" customFormat="1" ht="12" customHeight="1">
      <c r="D51" s="22"/>
      <c r="E51" s="22"/>
      <c r="J51" s="5"/>
      <c r="K51" s="5"/>
      <c r="L51" s="5"/>
      <c r="M51" s="5"/>
      <c r="N51" s="5"/>
      <c r="O51" s="5"/>
      <c r="P51" s="88"/>
      <c r="Q51" s="95"/>
    </row>
    <row r="52" spans="4:17" s="2" customFormat="1" ht="12" customHeight="1">
      <c r="D52" s="22"/>
      <c r="E52" s="22"/>
      <c r="J52" s="5"/>
      <c r="K52" s="5"/>
      <c r="L52" s="5"/>
      <c r="M52" s="5"/>
      <c r="N52" s="5"/>
      <c r="O52" s="5"/>
      <c r="P52" s="88"/>
      <c r="Q52" s="95"/>
    </row>
    <row r="53" spans="4:17" s="2" customFormat="1" ht="12" customHeight="1">
      <c r="D53" s="22"/>
      <c r="E53" s="22"/>
      <c r="J53" s="5"/>
      <c r="K53" s="5"/>
      <c r="L53" s="5"/>
      <c r="M53" s="5"/>
      <c r="N53" s="5"/>
      <c r="O53" s="5"/>
      <c r="P53" s="88"/>
      <c r="Q53" s="95"/>
    </row>
    <row r="54" spans="4:17" s="2" customFormat="1" ht="12" customHeight="1">
      <c r="D54" s="22"/>
      <c r="E54" s="22"/>
      <c r="J54" s="5"/>
      <c r="K54" s="5"/>
      <c r="L54" s="5"/>
      <c r="M54" s="5"/>
      <c r="N54" s="5"/>
      <c r="O54" s="5"/>
      <c r="P54" s="88"/>
      <c r="Q54" s="95"/>
    </row>
    <row r="55" spans="4:17" s="2" customFormat="1" ht="12" customHeight="1">
      <c r="D55" s="22"/>
      <c r="E55" s="22"/>
      <c r="J55" s="5"/>
      <c r="K55" s="5"/>
      <c r="L55" s="5"/>
      <c r="M55" s="5"/>
      <c r="N55" s="5"/>
      <c r="O55" s="5"/>
      <c r="P55" s="88"/>
      <c r="Q55" s="95"/>
    </row>
    <row r="56" spans="4:17" s="2" customFormat="1" ht="12" customHeight="1">
      <c r="D56" s="22"/>
      <c r="E56" s="22"/>
      <c r="J56" s="5"/>
      <c r="K56" s="5"/>
      <c r="L56" s="5"/>
      <c r="M56" s="5"/>
      <c r="N56" s="5"/>
      <c r="O56" s="5"/>
      <c r="P56" s="88"/>
      <c r="Q56" s="95"/>
    </row>
    <row r="57" spans="4:17" s="2" customFormat="1" ht="12" customHeight="1">
      <c r="D57" s="22"/>
      <c r="E57" s="22"/>
      <c r="J57" s="5"/>
      <c r="K57" s="5"/>
      <c r="L57" s="5"/>
      <c r="M57" s="5"/>
      <c r="N57" s="5"/>
      <c r="O57" s="5"/>
      <c r="P57" s="88"/>
      <c r="Q57" s="95"/>
    </row>
    <row r="58" spans="4:17" s="2" customFormat="1" ht="12" customHeight="1">
      <c r="D58" s="22"/>
      <c r="E58" s="22"/>
      <c r="J58" s="5"/>
      <c r="K58" s="5"/>
      <c r="L58" s="5"/>
      <c r="M58" s="5"/>
      <c r="N58" s="5"/>
      <c r="O58" s="5"/>
      <c r="P58" s="88"/>
      <c r="Q58" s="95"/>
    </row>
    <row r="59" spans="4:17" s="2" customFormat="1" ht="12" customHeight="1">
      <c r="D59" s="22"/>
      <c r="E59" s="22"/>
      <c r="J59" s="5"/>
      <c r="K59" s="5"/>
      <c r="L59" s="5"/>
      <c r="M59" s="5"/>
      <c r="N59" s="5"/>
      <c r="O59" s="5"/>
      <c r="P59" s="88"/>
      <c r="Q59" s="95"/>
    </row>
    <row r="60" spans="4:17" s="2" customFormat="1" ht="12" customHeight="1">
      <c r="D60" s="22"/>
      <c r="E60" s="22"/>
      <c r="J60" s="5"/>
      <c r="K60" s="5"/>
      <c r="L60" s="5"/>
      <c r="M60" s="5"/>
      <c r="N60" s="5"/>
      <c r="O60" s="5"/>
      <c r="P60" s="88"/>
      <c r="Q60" s="95"/>
    </row>
    <row r="61" spans="4:17" s="2" customFormat="1" ht="12" customHeight="1">
      <c r="D61" s="22"/>
      <c r="E61" s="22"/>
      <c r="J61" s="5"/>
      <c r="K61" s="5"/>
      <c r="L61" s="5"/>
      <c r="M61" s="5"/>
      <c r="N61" s="5"/>
      <c r="O61" s="5"/>
      <c r="P61" s="88"/>
      <c r="Q61" s="95"/>
    </row>
    <row r="62" spans="4:17" s="2" customFormat="1" ht="12" customHeight="1">
      <c r="D62" s="22"/>
      <c r="E62" s="22"/>
      <c r="J62" s="5"/>
      <c r="K62" s="5"/>
      <c r="L62" s="5"/>
      <c r="M62" s="5"/>
      <c r="N62" s="5"/>
      <c r="O62" s="5"/>
      <c r="P62" s="88"/>
      <c r="Q62" s="95"/>
    </row>
    <row r="63" spans="4:17" s="2" customFormat="1" ht="12" customHeight="1">
      <c r="D63" s="22"/>
      <c r="E63" s="22"/>
      <c r="J63" s="5"/>
      <c r="K63" s="5"/>
      <c r="L63" s="5"/>
      <c r="M63" s="5"/>
      <c r="N63" s="5"/>
      <c r="O63" s="5"/>
      <c r="P63" s="88"/>
      <c r="Q63" s="95"/>
    </row>
    <row r="64" spans="4:17" s="2" customFormat="1" ht="12" customHeight="1">
      <c r="D64" s="22"/>
      <c r="E64" s="22"/>
      <c r="J64" s="5"/>
      <c r="K64" s="5"/>
      <c r="L64" s="5"/>
      <c r="M64" s="5"/>
      <c r="N64" s="5"/>
      <c r="O64" s="5"/>
      <c r="P64" s="88"/>
      <c r="Q64" s="95"/>
    </row>
    <row r="65" spans="1:17" s="2" customFormat="1" ht="12" customHeight="1">
      <c r="D65" s="22"/>
      <c r="E65" s="22"/>
      <c r="J65" s="5"/>
      <c r="K65" s="5"/>
      <c r="L65" s="5"/>
      <c r="M65" s="5"/>
      <c r="N65" s="5"/>
      <c r="O65" s="5"/>
      <c r="P65" s="88"/>
      <c r="Q65" s="95"/>
    </row>
    <row r="66" spans="1:17" s="2" customFormat="1" ht="12" customHeight="1">
      <c r="D66" s="22"/>
      <c r="E66" s="22"/>
      <c r="J66" s="5"/>
      <c r="K66" s="5"/>
      <c r="L66" s="5"/>
      <c r="M66" s="5"/>
      <c r="N66" s="5"/>
      <c r="O66" s="5"/>
      <c r="P66" s="88"/>
      <c r="Q66" s="95"/>
    </row>
    <row r="67" spans="1:17" s="2" customFormat="1" ht="12" customHeight="1">
      <c r="D67" s="22"/>
      <c r="E67" s="22"/>
      <c r="J67" s="5"/>
      <c r="K67" s="5"/>
      <c r="L67" s="5"/>
      <c r="M67" s="5"/>
      <c r="N67" s="5"/>
      <c r="O67" s="5"/>
      <c r="P67" s="88"/>
      <c r="Q67" s="95"/>
    </row>
    <row r="68" spans="1:17" s="2" customFormat="1" ht="12" customHeight="1">
      <c r="D68" s="22"/>
      <c r="E68" s="22"/>
      <c r="J68" s="5"/>
      <c r="K68" s="5"/>
      <c r="L68" s="5"/>
      <c r="M68" s="5"/>
      <c r="N68" s="5"/>
      <c r="O68" s="5"/>
      <c r="P68" s="88"/>
      <c r="Q68" s="96"/>
    </row>
    <row r="69" spans="1:17" s="2" customFormat="1" ht="12" customHeight="1">
      <c r="D69" s="22"/>
      <c r="E69" s="22"/>
      <c r="J69" s="5"/>
      <c r="K69" s="5"/>
      <c r="L69" s="5"/>
      <c r="M69" s="5"/>
      <c r="N69" s="5"/>
      <c r="O69" s="5"/>
      <c r="P69" s="88"/>
      <c r="Q69" s="96"/>
    </row>
    <row r="70" spans="1:17" s="2" customFormat="1" ht="12" customHeight="1">
      <c r="D70" s="22"/>
      <c r="E70" s="22"/>
      <c r="J70" s="5"/>
      <c r="K70" s="5"/>
      <c r="L70" s="5"/>
      <c r="M70" s="5"/>
      <c r="N70" s="5"/>
      <c r="O70" s="5"/>
      <c r="P70" s="88"/>
      <c r="Q70" s="96"/>
    </row>
    <row r="71" spans="1:17" s="2" customFormat="1" ht="12" customHeight="1">
      <c r="D71" s="22"/>
      <c r="E71" s="22"/>
      <c r="J71" s="5"/>
      <c r="K71" s="5"/>
      <c r="L71" s="5"/>
      <c r="M71" s="5"/>
      <c r="N71" s="5"/>
      <c r="O71" s="5"/>
      <c r="P71" s="88"/>
      <c r="Q71" s="96"/>
    </row>
    <row r="72" spans="1:17" s="2" customFormat="1" ht="12" customHeight="1">
      <c r="A72"/>
      <c r="B72"/>
      <c r="C72"/>
      <c r="D72" s="23"/>
      <c r="E72" s="23"/>
      <c r="F72"/>
      <c r="G72"/>
      <c r="H72"/>
      <c r="I72"/>
      <c r="J72" s="19"/>
      <c r="K72" s="19"/>
      <c r="L72" s="19"/>
      <c r="M72" s="19"/>
      <c r="N72" s="19"/>
      <c r="O72" s="19"/>
      <c r="P72" s="90"/>
      <c r="Q72" s="96"/>
    </row>
    <row r="73" spans="1:17" s="2" customFormat="1" ht="12" customHeight="1">
      <c r="A73"/>
      <c r="B73"/>
      <c r="C73"/>
      <c r="D73" s="23"/>
      <c r="E73" s="23"/>
      <c r="F73"/>
      <c r="G73"/>
      <c r="H73"/>
      <c r="I73"/>
      <c r="J73" s="19"/>
      <c r="K73" s="19"/>
      <c r="L73" s="19"/>
      <c r="M73" s="19"/>
      <c r="N73" s="19"/>
      <c r="O73" s="19"/>
      <c r="P73" s="90"/>
      <c r="Q73" s="96"/>
    </row>
    <row r="74" spans="1:17" s="2" customFormat="1" ht="12" customHeight="1">
      <c r="A74"/>
      <c r="B74"/>
      <c r="C74"/>
      <c r="D74" s="23"/>
      <c r="E74" s="23"/>
      <c r="F74"/>
      <c r="G74"/>
      <c r="H74"/>
      <c r="I74"/>
      <c r="J74" s="19"/>
      <c r="K74" s="19"/>
      <c r="L74" s="19"/>
      <c r="M74" s="19"/>
      <c r="N74" s="19"/>
      <c r="O74" s="19"/>
      <c r="P74" s="90"/>
      <c r="Q74" s="96"/>
    </row>
    <row r="75" spans="1:17" s="2" customFormat="1" ht="12" customHeight="1">
      <c r="A75"/>
      <c r="B75"/>
      <c r="C75"/>
      <c r="D75" s="23"/>
      <c r="E75" s="23"/>
      <c r="F75"/>
      <c r="G75"/>
      <c r="H75"/>
      <c r="I75"/>
      <c r="J75" s="19"/>
      <c r="K75" s="19"/>
      <c r="L75" s="19"/>
      <c r="M75" s="19"/>
      <c r="N75" s="19"/>
      <c r="O75" s="19"/>
      <c r="P75" s="90"/>
      <c r="Q75" s="96"/>
    </row>
    <row r="76" spans="1:17" s="2" customFormat="1" ht="12" customHeight="1">
      <c r="A76"/>
      <c r="B76"/>
      <c r="C76"/>
      <c r="D76" s="23"/>
      <c r="E76" s="23"/>
      <c r="F76"/>
      <c r="G76"/>
      <c r="H76"/>
      <c r="I76"/>
      <c r="J76" s="19"/>
      <c r="K76" s="19"/>
      <c r="L76" s="19"/>
      <c r="M76" s="19"/>
      <c r="N76" s="19"/>
      <c r="O76" s="19"/>
      <c r="P76" s="90"/>
      <c r="Q76" s="96"/>
    </row>
    <row r="77" spans="1:17">
      <c r="Q77" s="96"/>
    </row>
    <row r="78" spans="1:17">
      <c r="Q78" s="96"/>
    </row>
    <row r="79" spans="1:17">
      <c r="Q79" s="96"/>
    </row>
    <row r="80" spans="1:17">
      <c r="Q80" s="96"/>
    </row>
    <row r="81" spans="17:17">
      <c r="Q81" s="96"/>
    </row>
    <row r="82" spans="17:17">
      <c r="Q82" s="96"/>
    </row>
    <row r="83" spans="17:17">
      <c r="Q83" s="96"/>
    </row>
    <row r="84" spans="17:17">
      <c r="Q84" s="96"/>
    </row>
    <row r="85" spans="17:17">
      <c r="Q85" s="96"/>
    </row>
    <row r="86" spans="17:17">
      <c r="Q86" s="96"/>
    </row>
    <row r="87" spans="17:17">
      <c r="Q87" s="96"/>
    </row>
    <row r="88" spans="17:17">
      <c r="Q88" s="96"/>
    </row>
    <row r="89" spans="17:17">
      <c r="Q89" s="96"/>
    </row>
    <row r="90" spans="17:17">
      <c r="Q90" s="96"/>
    </row>
    <row r="91" spans="17:17">
      <c r="Q91" s="96"/>
    </row>
    <row r="92" spans="17:17">
      <c r="Q92" s="96"/>
    </row>
    <row r="93" spans="17:17">
      <c r="Q93" s="96"/>
    </row>
    <row r="94" spans="17:17">
      <c r="Q94" s="96"/>
    </row>
    <row r="95" spans="17:17">
      <c r="Q95" s="96"/>
    </row>
    <row r="96" spans="17:17">
      <c r="Q96" s="96"/>
    </row>
    <row r="133" ht="12" customHeight="1"/>
    <row r="134" ht="12" customHeight="1"/>
    <row r="135" ht="12" customHeight="1"/>
    <row r="136" ht="12" customHeight="1"/>
    <row r="137" ht="12" customHeight="1"/>
    <row r="138" ht="12" customHeight="1"/>
    <row r="139" ht="12" customHeight="1"/>
    <row r="140" ht="12" customHeight="1"/>
    <row r="141" ht="12" customHeight="1"/>
    <row r="142" ht="12" customHeight="1"/>
    <row r="143" ht="12" customHeight="1"/>
    <row r="144" ht="12" customHeight="1"/>
    <row r="145" ht="12" customHeight="1"/>
    <row r="146" ht="12" customHeight="1"/>
    <row r="147" ht="12" customHeight="1"/>
    <row r="148" ht="12" customHeight="1"/>
    <row r="149" ht="12" customHeight="1"/>
    <row r="150" ht="12" customHeight="1"/>
    <row r="151" ht="12" customHeight="1"/>
    <row r="152" ht="12" customHeight="1"/>
    <row r="153" ht="12" customHeight="1"/>
    <row r="154" ht="12" customHeight="1"/>
    <row r="155" ht="12" customHeight="1"/>
    <row r="156" ht="12" customHeight="1"/>
    <row r="157" ht="12" customHeight="1"/>
    <row r="158" ht="12" customHeight="1"/>
    <row r="159" ht="12" customHeight="1"/>
    <row r="160" ht="12" customHeight="1"/>
    <row r="161" ht="12" customHeight="1"/>
    <row r="162" ht="12" customHeight="1"/>
    <row r="163" ht="12" customHeight="1"/>
    <row r="164" ht="12" customHeight="1"/>
    <row r="165" ht="12" customHeight="1"/>
    <row r="166" ht="12" customHeight="1"/>
    <row r="167" ht="12" customHeight="1"/>
    <row r="168" ht="12" customHeight="1"/>
    <row r="169" ht="12" customHeight="1"/>
    <row r="170" ht="12" customHeight="1"/>
    <row r="171" ht="12" customHeight="1"/>
    <row r="172" ht="12" customHeight="1"/>
    <row r="173" ht="12" customHeight="1"/>
    <row r="174" ht="12" customHeight="1"/>
    <row r="175" ht="12" customHeight="1"/>
    <row r="176" ht="12" customHeight="1"/>
    <row r="177" ht="12" customHeight="1"/>
    <row r="178" ht="12" customHeight="1"/>
    <row r="179" ht="12" customHeight="1"/>
    <row r="180" ht="12" customHeight="1"/>
    <row r="181" ht="12" customHeight="1"/>
    <row r="182" ht="12" customHeight="1"/>
  </sheetData>
  <mergeCells count="31">
    <mergeCell ref="D1:E1"/>
    <mergeCell ref="D4:E4"/>
    <mergeCell ref="D24:E24"/>
    <mergeCell ref="D23:E23"/>
    <mergeCell ref="D20:E20"/>
    <mergeCell ref="D18:E18"/>
    <mergeCell ref="D19:E19"/>
    <mergeCell ref="D29:E29"/>
    <mergeCell ref="H29:I29"/>
    <mergeCell ref="D7:E7"/>
    <mergeCell ref="D13:E13"/>
    <mergeCell ref="D14:E14"/>
    <mergeCell ref="D8:E8"/>
    <mergeCell ref="D9:E9"/>
    <mergeCell ref="D10:E10"/>
    <mergeCell ref="D11:E11"/>
    <mergeCell ref="D17:E17"/>
    <mergeCell ref="D26:E26"/>
    <mergeCell ref="H26:I26"/>
    <mergeCell ref="D15:E15"/>
    <mergeCell ref="D21:E21"/>
    <mergeCell ref="D22:E22"/>
    <mergeCell ref="D27:E27"/>
    <mergeCell ref="D28:E28"/>
    <mergeCell ref="D16:E16"/>
    <mergeCell ref="D12:E12"/>
    <mergeCell ref="H4:I4"/>
    <mergeCell ref="D5:E5"/>
    <mergeCell ref="D6:E6"/>
    <mergeCell ref="H6:I6"/>
    <mergeCell ref="D25:E25"/>
  </mergeCells>
  <conditionalFormatting sqref="M5 M27:M28 M7:M25">
    <cfRule type="cellIs" dxfId="162" priority="2" stopIfTrue="1" operator="lessThanOrEqual">
      <formula>$L5</formula>
    </cfRule>
    <cfRule type="cellIs" dxfId="161" priority="3" operator="greaterThan">
      <formula>L5</formula>
    </cfRule>
  </conditionalFormatting>
  <pageMargins left="0.7" right="0.7" top="0.75" bottom="0.75" header="0.3" footer="0.3"/>
  <pageSetup paperSize="3" fitToHeight="0" orientation="landscape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E2B2660-01CF-46E7-BD2F-6846F3C4C689}">
          <x14:formula1>
            <xm:f>Bolts!$A:$A</xm:f>
          </x14:formula1>
          <xm:sqref>C27:C28</xm:sqref>
        </x14:dataValidation>
        <x14:dataValidation type="list" allowBlank="1" showInputMessage="1" showErrorMessage="1" xr:uid="{2E403FF2-B2A6-43A6-B7BB-EECD1312232C}">
          <x14:formula1>
            <xm:f>Purchased!$A:$A</xm:f>
          </x14:formula1>
          <xm:sqref>C7:C25</xm:sqref>
        </x14:dataValidation>
        <x14:dataValidation type="list" allowBlank="1" showInputMessage="1" showErrorMessage="1" xr:uid="{DAC7A936-8165-479F-B04B-84B99835110F}">
          <x14:formula1>
            <xm:f>Machined!$C:$C</xm:f>
          </x14:formula1>
          <xm:sqref>C5</xm:sqref>
        </x14:dataValidation>
      </x14:dataValidations>
    </ext>
  </extLst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85A55F-17D2-4323-B698-7C0479DF5EDE}">
  <sheetPr codeName="Sheet141">
    <tabColor theme="3" tint="0.39997558519241921"/>
    <pageSetUpPr fitToPage="1"/>
  </sheetPr>
  <dimension ref="A1:Q161"/>
  <sheetViews>
    <sheetView zoomScaleNormal="100" workbookViewId="0">
      <selection activeCell="Q8" sqref="Q8"/>
    </sheetView>
  </sheetViews>
  <sheetFormatPr defaultColWidth="9.140625" defaultRowHeight="15"/>
  <cols>
    <col min="1" max="1" width="5.7109375" customWidth="1"/>
    <col min="2" max="2" width="5.42578125" bestFit="1" customWidth="1"/>
    <col min="3" max="3" width="30.7109375" customWidth="1"/>
    <col min="4" max="5" width="20.7109375" style="23" customWidth="1"/>
    <col min="6" max="6" width="16.85546875" bestFit="1" customWidth="1"/>
    <col min="7" max="7" width="9.7109375" customWidth="1"/>
    <col min="8" max="8" width="8.7109375" customWidth="1"/>
    <col min="9" max="9" width="20.7109375" customWidth="1"/>
    <col min="10" max="13" width="11.7109375" style="19" customWidth="1"/>
    <col min="14" max="14" width="11.85546875" style="19" bestFit="1" customWidth="1"/>
    <col min="15" max="15" width="7.7109375" style="19" customWidth="1"/>
    <col min="16" max="16" width="10.7109375" style="90" customWidth="1"/>
    <col min="17" max="17" width="10.7109375" style="97" customWidth="1"/>
  </cols>
  <sheetData>
    <row r="1" spans="1:17" s="55" customFormat="1" ht="12" customHeight="1">
      <c r="A1" s="68" t="s">
        <v>0</v>
      </c>
      <c r="B1" s="69"/>
      <c r="C1" s="69"/>
      <c r="D1" s="262" t="s">
        <v>1</v>
      </c>
      <c r="E1" s="263"/>
      <c r="F1" s="70"/>
      <c r="G1" s="69"/>
      <c r="H1" s="70"/>
      <c r="I1" s="71"/>
      <c r="J1" s="72"/>
      <c r="K1" s="72"/>
      <c r="L1" s="72"/>
      <c r="M1" s="72"/>
      <c r="N1" s="72"/>
      <c r="O1" s="72"/>
      <c r="P1" s="85"/>
      <c r="Q1" s="91"/>
    </row>
    <row r="2" spans="1:17" s="55" customFormat="1" ht="12" customHeight="1">
      <c r="A2" s="74" t="s">
        <v>48</v>
      </c>
      <c r="B2" s="58"/>
      <c r="C2" s="57" t="e">
        <f ca="1">VLOOKUP(E3,Assemblies!B:F,4,0)</f>
        <v>#VALUE!</v>
      </c>
      <c r="D2" s="75" t="s">
        <v>3</v>
      </c>
      <c r="E2" s="76" t="e">
        <f ca="1">'GF12'!E2</f>
        <v>#VALUE!</v>
      </c>
      <c r="F2" s="77" t="s">
        <v>4</v>
      </c>
      <c r="G2" s="58" t="str">
        <f>'GF12'!G2</f>
        <v>GH</v>
      </c>
      <c r="H2" s="77" t="s">
        <v>6</v>
      </c>
      <c r="I2" s="59">
        <f>'GF12'!I2</f>
        <v>44775</v>
      </c>
      <c r="J2" s="39"/>
      <c r="K2" s="40" t="s">
        <v>49</v>
      </c>
      <c r="L2" s="41" t="e">
        <f ca="1">VLOOKUP(C2,Assemblies!E:G,3,0)</f>
        <v>#VALUE!</v>
      </c>
      <c r="M2" s="78"/>
      <c r="N2" s="78"/>
      <c r="O2" s="78"/>
      <c r="P2" s="86"/>
      <c r="Q2" s="92"/>
    </row>
    <row r="3" spans="1:17" s="55" customFormat="1" ht="12" customHeight="1" thickBot="1">
      <c r="A3" s="74" t="s">
        <v>7</v>
      </c>
      <c r="B3" s="58"/>
      <c r="C3" s="57" t="e">
        <f ca="1">VLOOKUP(E3,Assemblies!B:F,5,0)</f>
        <v>#VALUE!</v>
      </c>
      <c r="D3" s="75" t="s">
        <v>50</v>
      </c>
      <c r="E3" s="76" t="e">
        <f ca="1">MID(CELL("filename",A1),FIND("]",CELL("filename",A1))+1,256)</f>
        <v>#VALUE!</v>
      </c>
      <c r="F3" s="77" t="s">
        <v>11</v>
      </c>
      <c r="G3" s="58" t="str">
        <f>'GF12'!G3</f>
        <v>GH</v>
      </c>
      <c r="H3" s="77" t="s">
        <v>6</v>
      </c>
      <c r="I3" s="59">
        <f>'GF12'!I3</f>
        <v>44775</v>
      </c>
      <c r="J3" s="78"/>
      <c r="K3" s="78"/>
      <c r="L3" s="78"/>
      <c r="M3" s="78"/>
      <c r="N3" s="78"/>
      <c r="O3" s="78"/>
      <c r="P3" s="86"/>
      <c r="Q3" s="92"/>
    </row>
    <row r="4" spans="1:17" s="56" customFormat="1" ht="12.75" customHeight="1" thickBot="1">
      <c r="A4" s="80" t="s">
        <v>12</v>
      </c>
      <c r="B4" s="81" t="s">
        <v>13</v>
      </c>
      <c r="C4" s="81" t="s">
        <v>14</v>
      </c>
      <c r="D4" s="270" t="s">
        <v>15</v>
      </c>
      <c r="E4" s="271"/>
      <c r="F4" s="104" t="s">
        <v>16</v>
      </c>
      <c r="G4" s="81" t="s">
        <v>17</v>
      </c>
      <c r="H4" s="260" t="s">
        <v>18</v>
      </c>
      <c r="I4" s="261"/>
      <c r="J4" s="81" t="s">
        <v>51</v>
      </c>
      <c r="K4" s="81" t="s">
        <v>20</v>
      </c>
      <c r="L4" s="81" t="s">
        <v>21</v>
      </c>
      <c r="M4" s="81" t="s">
        <v>52</v>
      </c>
      <c r="N4" s="81" t="s">
        <v>22</v>
      </c>
      <c r="O4" s="81" t="s">
        <v>53</v>
      </c>
      <c r="P4" s="107" t="s">
        <v>26</v>
      </c>
      <c r="Q4" s="82" t="s">
        <v>27</v>
      </c>
    </row>
    <row r="5" spans="1:17" s="21" customFormat="1" ht="12.75" customHeight="1">
      <c r="A5" s="66" t="s">
        <v>54</v>
      </c>
      <c r="B5" s="1">
        <v>1</v>
      </c>
      <c r="C5" s="67" t="s">
        <v>1362</v>
      </c>
      <c r="D5" s="277" t="e">
        <f ca="1">VLOOKUP(C5,Assemblies!E:S,2,0)</f>
        <v>#N/A</v>
      </c>
      <c r="E5" s="278"/>
      <c r="F5" s="32"/>
      <c r="G5" s="32"/>
      <c r="H5" s="292"/>
      <c r="I5" s="293"/>
      <c r="J5" s="28"/>
      <c r="K5" s="28"/>
      <c r="L5" s="28"/>
      <c r="M5" s="28"/>
      <c r="N5" s="33"/>
      <c r="O5" s="46" t="e">
        <f t="shared" ref="O5:O7" ca="1" si="0">B5*$L$2</f>
        <v>#VALUE!</v>
      </c>
      <c r="P5" s="87">
        <f>'810'!Q16</f>
        <v>2216.4891330666669</v>
      </c>
      <c r="Q5" s="93">
        <f t="shared" ref="Q5:Q7" si="1">B5*P5</f>
        <v>2216.4891330666669</v>
      </c>
    </row>
    <row r="6" spans="1:17" s="21" customFormat="1" ht="12.75" customHeight="1">
      <c r="A6" s="66" t="s">
        <v>56</v>
      </c>
      <c r="B6" s="1">
        <v>1</v>
      </c>
      <c r="C6" s="67" t="s">
        <v>1363</v>
      </c>
      <c r="D6" s="277" t="e">
        <f ca="1">VLOOKUP(C6,Assemblies!E:S,2,0)</f>
        <v>#N/A</v>
      </c>
      <c r="E6" s="278"/>
      <c r="F6" s="32"/>
      <c r="G6" s="32"/>
      <c r="H6" s="292"/>
      <c r="I6" s="293"/>
      <c r="J6" s="28"/>
      <c r="K6" s="28"/>
      <c r="L6" s="28"/>
      <c r="M6" s="28"/>
      <c r="N6" s="33"/>
      <c r="O6" s="46" t="e">
        <f t="shared" ca="1" si="0"/>
        <v>#VALUE!</v>
      </c>
      <c r="P6" s="87">
        <f>'820'!Q11</f>
        <v>10014.9516</v>
      </c>
      <c r="Q6" s="93">
        <f t="shared" si="1"/>
        <v>10014.9516</v>
      </c>
    </row>
    <row r="7" spans="1:17" s="21" customFormat="1" ht="12.75" customHeight="1" thickBot="1">
      <c r="A7" s="66" t="s">
        <v>58</v>
      </c>
      <c r="B7" s="1">
        <v>2</v>
      </c>
      <c r="C7" s="67" t="s">
        <v>227</v>
      </c>
      <c r="D7" s="277" t="e">
        <f ca="1">VLOOKUP(C7,Assemblies!E:S,2,0)</f>
        <v>#N/A</v>
      </c>
      <c r="E7" s="278"/>
      <c r="F7" s="32"/>
      <c r="G7" s="32"/>
      <c r="H7" s="292"/>
      <c r="I7" s="293"/>
      <c r="J7" s="28"/>
      <c r="K7" s="28"/>
      <c r="L7" s="28"/>
      <c r="M7" s="28"/>
      <c r="N7" s="33"/>
      <c r="O7" s="46" t="e">
        <f t="shared" ca="1" si="0"/>
        <v>#VALUE!</v>
      </c>
      <c r="P7" s="87">
        <f>'112'!Q10</f>
        <v>78.143200000000007</v>
      </c>
      <c r="Q7" s="93">
        <f t="shared" si="1"/>
        <v>156.28640000000001</v>
      </c>
    </row>
    <row r="8" spans="1:17" s="2" customFormat="1" ht="12.75" customHeight="1" thickBot="1">
      <c r="A8" s="34"/>
      <c r="B8" s="35"/>
      <c r="C8" s="35"/>
      <c r="D8" s="256"/>
      <c r="E8" s="257"/>
      <c r="F8" s="35"/>
      <c r="G8" s="35"/>
      <c r="H8" s="294"/>
      <c r="I8" s="295"/>
      <c r="J8" s="36"/>
      <c r="K8" s="36"/>
      <c r="L8" s="36"/>
      <c r="M8" s="37"/>
      <c r="N8" s="38"/>
      <c r="O8" s="38"/>
      <c r="P8" s="89" t="s">
        <v>43</v>
      </c>
      <c r="Q8" s="94">
        <f>SUM(Q5:Q7)</f>
        <v>12387.727133066668</v>
      </c>
    </row>
    <row r="9" spans="1:17" s="2" customFormat="1" ht="12" customHeight="1">
      <c r="D9" s="22"/>
      <c r="E9" s="22"/>
      <c r="J9" s="8"/>
      <c r="K9" s="8"/>
      <c r="L9" s="8"/>
      <c r="M9" s="8"/>
      <c r="N9" s="5"/>
      <c r="O9" s="5"/>
      <c r="P9" s="88"/>
      <c r="Q9" s="95"/>
    </row>
    <row r="10" spans="1:17" s="2" customFormat="1" ht="12" customHeight="1">
      <c r="D10" s="22"/>
      <c r="E10" s="22"/>
      <c r="J10" s="5"/>
      <c r="K10" s="5"/>
      <c r="L10" s="5"/>
      <c r="M10" s="5"/>
      <c r="N10" s="5"/>
      <c r="O10" s="5"/>
      <c r="P10" s="88"/>
      <c r="Q10" s="95"/>
    </row>
    <row r="11" spans="1:17" s="2" customFormat="1" ht="12" customHeight="1">
      <c r="D11" s="22"/>
      <c r="E11" s="22"/>
      <c r="J11" s="5"/>
      <c r="K11" s="5"/>
      <c r="L11" s="5"/>
      <c r="M11" s="5"/>
      <c r="N11" s="5"/>
      <c r="O11" s="5"/>
      <c r="P11" s="88"/>
      <c r="Q11" s="95"/>
    </row>
    <row r="12" spans="1:17" s="2" customFormat="1" ht="12" customHeight="1">
      <c r="D12" s="22"/>
      <c r="E12" s="22"/>
      <c r="J12" s="5"/>
      <c r="K12" s="5"/>
      <c r="L12" s="5"/>
      <c r="M12" s="5"/>
      <c r="N12" s="5"/>
      <c r="O12" s="5"/>
      <c r="P12" s="88"/>
      <c r="Q12" s="95"/>
    </row>
    <row r="13" spans="1:17" s="2" customFormat="1" ht="12" customHeight="1">
      <c r="D13" s="22"/>
      <c r="E13" s="22"/>
      <c r="J13" s="5"/>
      <c r="K13" s="5"/>
      <c r="L13" s="5"/>
      <c r="M13" s="5"/>
      <c r="N13" s="5"/>
      <c r="O13" s="5"/>
      <c r="P13" s="88"/>
      <c r="Q13" s="95"/>
    </row>
    <row r="14" spans="1:17" s="2" customFormat="1" ht="12" customHeight="1">
      <c r="D14" s="22"/>
      <c r="E14" s="22"/>
      <c r="J14" s="5"/>
      <c r="K14" s="5"/>
      <c r="L14" s="5"/>
      <c r="M14" s="5"/>
      <c r="N14" s="5"/>
      <c r="O14" s="5"/>
      <c r="P14" s="88"/>
      <c r="Q14" s="95"/>
    </row>
    <row r="15" spans="1:17" s="2" customFormat="1" ht="12" customHeight="1">
      <c r="D15" s="22"/>
      <c r="E15" s="22"/>
      <c r="J15" s="5"/>
      <c r="K15" s="5"/>
      <c r="L15" s="5"/>
      <c r="M15" s="5"/>
      <c r="N15" s="5"/>
      <c r="O15" s="5"/>
      <c r="P15" s="88"/>
      <c r="Q15" s="95"/>
    </row>
    <row r="16" spans="1:17" s="2" customFormat="1" ht="12" customHeight="1">
      <c r="D16" s="22"/>
      <c r="E16" s="22"/>
      <c r="J16" s="5"/>
      <c r="K16" s="5"/>
      <c r="L16" s="5"/>
      <c r="M16" s="5"/>
      <c r="N16" s="5"/>
      <c r="O16" s="5"/>
      <c r="P16" s="88"/>
      <c r="Q16" s="95"/>
    </row>
    <row r="17" spans="4:17" s="2" customFormat="1" ht="12" customHeight="1">
      <c r="D17" s="22"/>
      <c r="E17" s="22"/>
      <c r="J17" s="5"/>
      <c r="K17" s="5"/>
      <c r="L17" s="5"/>
      <c r="M17" s="5"/>
      <c r="N17" s="5"/>
      <c r="O17" s="5"/>
      <c r="P17" s="88"/>
      <c r="Q17" s="95"/>
    </row>
    <row r="18" spans="4:17" s="2" customFormat="1" ht="12" customHeight="1">
      <c r="D18" s="22"/>
      <c r="E18" s="22"/>
      <c r="J18" s="5"/>
      <c r="K18" s="5"/>
      <c r="L18" s="5"/>
      <c r="M18" s="5"/>
      <c r="N18" s="5"/>
      <c r="O18" s="5"/>
      <c r="P18" s="88"/>
      <c r="Q18" s="95"/>
    </row>
    <row r="19" spans="4:17" s="2" customFormat="1" ht="12" customHeight="1">
      <c r="D19" s="22"/>
      <c r="E19" s="22"/>
      <c r="J19" s="5"/>
      <c r="K19" s="5"/>
      <c r="L19" s="5"/>
      <c r="M19" s="5"/>
      <c r="N19" s="5"/>
      <c r="O19" s="5"/>
      <c r="P19" s="88"/>
      <c r="Q19" s="95"/>
    </row>
    <row r="20" spans="4:17" s="2" customFormat="1" ht="12" customHeight="1">
      <c r="D20" s="22"/>
      <c r="E20" s="22"/>
      <c r="J20" s="5"/>
      <c r="K20" s="5"/>
      <c r="L20" s="5"/>
      <c r="M20" s="5"/>
      <c r="N20" s="5"/>
      <c r="O20" s="5"/>
      <c r="P20" s="88"/>
      <c r="Q20" s="95"/>
    </row>
    <row r="21" spans="4:17" s="2" customFormat="1" ht="12" customHeight="1">
      <c r="D21" s="22"/>
      <c r="E21" s="22"/>
      <c r="J21" s="5"/>
      <c r="K21" s="5"/>
      <c r="L21" s="5"/>
      <c r="M21" s="5"/>
      <c r="N21" s="5"/>
      <c r="O21" s="5"/>
      <c r="P21" s="88"/>
      <c r="Q21" s="95"/>
    </row>
    <row r="22" spans="4:17" s="2" customFormat="1" ht="12" customHeight="1">
      <c r="D22" s="22"/>
      <c r="E22" s="22"/>
      <c r="J22" s="5"/>
      <c r="K22" s="5"/>
      <c r="L22" s="5"/>
      <c r="M22" s="5"/>
      <c r="N22" s="5"/>
      <c r="O22" s="5"/>
      <c r="P22" s="88"/>
      <c r="Q22" s="95"/>
    </row>
    <row r="23" spans="4:17" s="2" customFormat="1" ht="12" customHeight="1">
      <c r="D23" s="22"/>
      <c r="E23" s="22"/>
      <c r="J23" s="5"/>
      <c r="K23" s="5"/>
      <c r="L23" s="5"/>
      <c r="M23" s="5"/>
      <c r="N23" s="5"/>
      <c r="O23" s="5"/>
      <c r="P23" s="88"/>
      <c r="Q23" s="95"/>
    </row>
    <row r="24" spans="4:17" s="2" customFormat="1" ht="12" customHeight="1">
      <c r="D24" s="22"/>
      <c r="E24" s="22"/>
      <c r="J24" s="5"/>
      <c r="K24" s="5"/>
      <c r="L24" s="5"/>
      <c r="M24" s="5"/>
      <c r="N24" s="5"/>
      <c r="O24" s="5"/>
      <c r="P24" s="88"/>
      <c r="Q24" s="95"/>
    </row>
    <row r="25" spans="4:17" s="2" customFormat="1" ht="12" customHeight="1">
      <c r="D25" s="22"/>
      <c r="E25" s="22"/>
      <c r="J25" s="5"/>
      <c r="K25" s="5"/>
      <c r="L25" s="5"/>
      <c r="M25" s="5"/>
      <c r="N25" s="5"/>
      <c r="O25" s="5"/>
      <c r="P25" s="88"/>
      <c r="Q25" s="95"/>
    </row>
    <row r="26" spans="4:17" s="2" customFormat="1" ht="12" customHeight="1">
      <c r="D26" s="22"/>
      <c r="E26" s="22"/>
      <c r="J26" s="5"/>
      <c r="K26" s="5"/>
      <c r="L26" s="5"/>
      <c r="M26" s="5"/>
      <c r="N26" s="5"/>
      <c r="O26" s="5"/>
      <c r="P26" s="88"/>
      <c r="Q26" s="95"/>
    </row>
    <row r="27" spans="4:17" s="2" customFormat="1" ht="12" customHeight="1">
      <c r="D27" s="22"/>
      <c r="E27" s="22"/>
      <c r="J27" s="5"/>
      <c r="K27" s="5"/>
      <c r="L27" s="5"/>
      <c r="M27" s="5"/>
      <c r="N27" s="5"/>
      <c r="O27" s="5"/>
      <c r="P27" s="88"/>
      <c r="Q27" s="95"/>
    </row>
    <row r="28" spans="4:17" s="2" customFormat="1" ht="12" customHeight="1">
      <c r="D28" s="22"/>
      <c r="E28" s="22"/>
      <c r="J28" s="5"/>
      <c r="K28" s="5"/>
      <c r="L28" s="5"/>
      <c r="M28" s="5"/>
      <c r="N28" s="5"/>
      <c r="O28" s="5"/>
      <c r="P28" s="88"/>
      <c r="Q28" s="95"/>
    </row>
    <row r="29" spans="4:17" s="2" customFormat="1" ht="12" customHeight="1">
      <c r="D29" s="22"/>
      <c r="E29" s="22"/>
      <c r="J29" s="5"/>
      <c r="K29" s="5"/>
      <c r="L29" s="5"/>
      <c r="M29" s="5"/>
      <c r="N29" s="5"/>
      <c r="O29" s="5"/>
      <c r="P29" s="88"/>
      <c r="Q29" s="95"/>
    </row>
    <row r="30" spans="4:17" s="2" customFormat="1" ht="12" customHeight="1">
      <c r="D30" s="22"/>
      <c r="E30" s="22"/>
      <c r="J30" s="5"/>
      <c r="K30" s="5"/>
      <c r="L30" s="5"/>
      <c r="M30" s="5"/>
      <c r="N30" s="5"/>
      <c r="O30" s="5"/>
      <c r="P30" s="88"/>
      <c r="Q30" s="95"/>
    </row>
    <row r="31" spans="4:17" s="2" customFormat="1" ht="12" customHeight="1">
      <c r="D31" s="22"/>
      <c r="E31" s="22"/>
      <c r="J31" s="5"/>
      <c r="K31" s="5"/>
      <c r="L31" s="5"/>
      <c r="M31" s="5"/>
      <c r="N31" s="5"/>
      <c r="O31" s="5"/>
      <c r="P31" s="88"/>
      <c r="Q31" s="95"/>
    </row>
    <row r="32" spans="4:17" s="2" customFormat="1" ht="12" customHeight="1">
      <c r="D32" s="22"/>
      <c r="E32" s="22"/>
      <c r="J32" s="5"/>
      <c r="K32" s="5"/>
      <c r="L32" s="5"/>
      <c r="M32" s="5"/>
      <c r="N32" s="5"/>
      <c r="O32" s="5"/>
      <c r="P32" s="88"/>
      <c r="Q32" s="95"/>
    </row>
    <row r="33" spans="4:17" s="2" customFormat="1" ht="12" customHeight="1">
      <c r="D33" s="22"/>
      <c r="E33" s="22"/>
      <c r="J33" s="5"/>
      <c r="K33" s="5"/>
      <c r="L33" s="5"/>
      <c r="M33" s="5"/>
      <c r="N33" s="5"/>
      <c r="O33" s="5"/>
      <c r="P33" s="88"/>
      <c r="Q33" s="95"/>
    </row>
    <row r="34" spans="4:17" s="2" customFormat="1" ht="12" customHeight="1">
      <c r="D34" s="22"/>
      <c r="E34" s="22"/>
      <c r="J34" s="5"/>
      <c r="K34" s="5"/>
      <c r="L34" s="5"/>
      <c r="M34" s="5"/>
      <c r="N34" s="5"/>
      <c r="O34" s="5"/>
      <c r="P34" s="88"/>
      <c r="Q34" s="95"/>
    </row>
    <row r="35" spans="4:17" s="2" customFormat="1" ht="12" customHeight="1">
      <c r="D35" s="22"/>
      <c r="E35" s="22"/>
      <c r="J35" s="5"/>
      <c r="K35" s="5"/>
      <c r="L35" s="5"/>
      <c r="M35" s="5"/>
      <c r="N35" s="5"/>
      <c r="O35" s="5"/>
      <c r="P35" s="88"/>
      <c r="Q35" s="95"/>
    </row>
    <row r="36" spans="4:17" s="2" customFormat="1" ht="12" customHeight="1">
      <c r="D36" s="22"/>
      <c r="E36" s="22"/>
      <c r="J36" s="5"/>
      <c r="K36" s="5"/>
      <c r="L36" s="5"/>
      <c r="M36" s="5"/>
      <c r="N36" s="5"/>
      <c r="O36" s="5"/>
      <c r="P36" s="88"/>
      <c r="Q36" s="95"/>
    </row>
    <row r="37" spans="4:17" s="2" customFormat="1" ht="12" customHeight="1">
      <c r="D37" s="22"/>
      <c r="E37" s="22"/>
      <c r="J37" s="5"/>
      <c r="K37" s="5"/>
      <c r="L37" s="5"/>
      <c r="M37" s="5"/>
      <c r="N37" s="5"/>
      <c r="O37" s="5"/>
      <c r="P37" s="88"/>
      <c r="Q37" s="95"/>
    </row>
    <row r="38" spans="4:17" s="2" customFormat="1" ht="12" customHeight="1">
      <c r="D38" s="22"/>
      <c r="E38" s="22"/>
      <c r="J38" s="5"/>
      <c r="K38" s="5"/>
      <c r="L38" s="5"/>
      <c r="M38" s="5"/>
      <c r="N38" s="5"/>
      <c r="O38" s="5"/>
      <c r="P38" s="88"/>
      <c r="Q38" s="95"/>
    </row>
    <row r="39" spans="4:17" s="2" customFormat="1" ht="12" customHeight="1">
      <c r="D39" s="22"/>
      <c r="E39" s="22"/>
      <c r="J39" s="5"/>
      <c r="K39" s="5"/>
      <c r="L39" s="5"/>
      <c r="M39" s="5"/>
      <c r="N39" s="5"/>
      <c r="O39" s="5"/>
      <c r="P39" s="88"/>
      <c r="Q39" s="95"/>
    </row>
    <row r="40" spans="4:17" s="2" customFormat="1" ht="12" customHeight="1">
      <c r="D40" s="22"/>
      <c r="E40" s="22"/>
      <c r="J40" s="5"/>
      <c r="K40" s="5"/>
      <c r="L40" s="5"/>
      <c r="M40" s="5"/>
      <c r="N40" s="5"/>
      <c r="O40" s="5"/>
      <c r="P40" s="88"/>
      <c r="Q40" s="95"/>
    </row>
    <row r="41" spans="4:17" s="2" customFormat="1" ht="12" customHeight="1">
      <c r="D41" s="22"/>
      <c r="E41" s="22"/>
      <c r="J41" s="5"/>
      <c r="K41" s="5"/>
      <c r="L41" s="5"/>
      <c r="M41" s="5"/>
      <c r="N41" s="5"/>
      <c r="O41" s="5"/>
      <c r="P41" s="88"/>
      <c r="Q41" s="95"/>
    </row>
    <row r="42" spans="4:17" s="2" customFormat="1" ht="12" customHeight="1">
      <c r="D42" s="22"/>
      <c r="E42" s="22"/>
      <c r="J42" s="5"/>
      <c r="K42" s="5"/>
      <c r="L42" s="5"/>
      <c r="M42" s="5"/>
      <c r="N42" s="5"/>
      <c r="O42" s="5"/>
      <c r="P42" s="88"/>
      <c r="Q42" s="95"/>
    </row>
    <row r="43" spans="4:17" s="2" customFormat="1" ht="12" customHeight="1">
      <c r="D43" s="22"/>
      <c r="E43" s="22"/>
      <c r="J43" s="5"/>
      <c r="K43" s="5"/>
      <c r="L43" s="5"/>
      <c r="M43" s="5"/>
      <c r="N43" s="5"/>
      <c r="O43" s="5"/>
      <c r="P43" s="88"/>
      <c r="Q43" s="95"/>
    </row>
    <row r="44" spans="4:17" s="2" customFormat="1" ht="12" customHeight="1">
      <c r="D44" s="22"/>
      <c r="E44" s="22"/>
      <c r="J44" s="5"/>
      <c r="K44" s="5"/>
      <c r="L44" s="5"/>
      <c r="M44" s="5"/>
      <c r="N44" s="5"/>
      <c r="O44" s="5"/>
      <c r="P44" s="88"/>
      <c r="Q44" s="95"/>
    </row>
    <row r="45" spans="4:17" s="2" customFormat="1" ht="12" customHeight="1">
      <c r="D45" s="22"/>
      <c r="E45" s="22"/>
      <c r="J45" s="5"/>
      <c r="K45" s="5"/>
      <c r="L45" s="5"/>
      <c r="M45" s="5"/>
      <c r="N45" s="5"/>
      <c r="O45" s="5"/>
      <c r="P45" s="88"/>
      <c r="Q45" s="95"/>
    </row>
    <row r="46" spans="4:17" s="2" customFormat="1" ht="12" customHeight="1">
      <c r="D46" s="22"/>
      <c r="E46" s="22"/>
      <c r="J46" s="5"/>
      <c r="K46" s="5"/>
      <c r="L46" s="5"/>
      <c r="M46" s="5"/>
      <c r="N46" s="5"/>
      <c r="O46" s="5"/>
      <c r="P46" s="88"/>
      <c r="Q46" s="95"/>
    </row>
    <row r="47" spans="4:17" s="2" customFormat="1" ht="12" customHeight="1">
      <c r="D47" s="22"/>
      <c r="E47" s="22"/>
      <c r="J47" s="5"/>
      <c r="K47" s="5"/>
      <c r="L47" s="5"/>
      <c r="M47" s="5"/>
      <c r="N47" s="5"/>
      <c r="O47" s="5"/>
      <c r="P47" s="88"/>
      <c r="Q47" s="96"/>
    </row>
    <row r="48" spans="4:17" s="2" customFormat="1" ht="12" customHeight="1">
      <c r="D48" s="22"/>
      <c r="E48" s="22"/>
      <c r="J48" s="5"/>
      <c r="K48" s="5"/>
      <c r="L48" s="5"/>
      <c r="M48" s="5"/>
      <c r="N48" s="5"/>
      <c r="O48" s="5"/>
      <c r="P48" s="88"/>
      <c r="Q48" s="96"/>
    </row>
    <row r="49" spans="1:17" s="2" customFormat="1" ht="12" customHeight="1">
      <c r="D49" s="22"/>
      <c r="E49" s="22"/>
      <c r="J49" s="5"/>
      <c r="K49" s="5"/>
      <c r="L49" s="5"/>
      <c r="M49" s="5"/>
      <c r="N49" s="5"/>
      <c r="O49" s="5"/>
      <c r="P49" s="88"/>
      <c r="Q49" s="96"/>
    </row>
    <row r="50" spans="1:17" s="2" customFormat="1" ht="12" customHeight="1">
      <c r="D50" s="22"/>
      <c r="E50" s="22"/>
      <c r="J50" s="5"/>
      <c r="K50" s="5"/>
      <c r="L50" s="5"/>
      <c r="M50" s="5"/>
      <c r="N50" s="5"/>
      <c r="O50" s="5"/>
      <c r="P50" s="88"/>
      <c r="Q50" s="96"/>
    </row>
    <row r="51" spans="1:17" s="2" customFormat="1" ht="12" customHeight="1">
      <c r="A51"/>
      <c r="B51"/>
      <c r="C51"/>
      <c r="D51" s="23"/>
      <c r="E51" s="23"/>
      <c r="F51"/>
      <c r="G51"/>
      <c r="H51"/>
      <c r="I51"/>
      <c r="J51" s="19"/>
      <c r="K51" s="19"/>
      <c r="L51" s="19"/>
      <c r="M51" s="19"/>
      <c r="N51" s="19"/>
      <c r="O51" s="19"/>
      <c r="P51" s="90"/>
      <c r="Q51" s="96"/>
    </row>
    <row r="52" spans="1:17" s="2" customFormat="1" ht="12" customHeight="1">
      <c r="A52"/>
      <c r="B52"/>
      <c r="C52"/>
      <c r="D52" s="23"/>
      <c r="E52" s="23"/>
      <c r="F52"/>
      <c r="G52"/>
      <c r="H52"/>
      <c r="I52"/>
      <c r="J52" s="19"/>
      <c r="K52" s="19"/>
      <c r="L52" s="19"/>
      <c r="M52" s="19"/>
      <c r="N52" s="19"/>
      <c r="O52" s="19"/>
      <c r="P52" s="90"/>
      <c r="Q52" s="96"/>
    </row>
    <row r="53" spans="1:17" s="2" customFormat="1" ht="12" customHeight="1">
      <c r="A53"/>
      <c r="B53"/>
      <c r="C53"/>
      <c r="D53" s="23"/>
      <c r="E53" s="23"/>
      <c r="F53"/>
      <c r="G53"/>
      <c r="H53"/>
      <c r="I53"/>
      <c r="J53" s="19"/>
      <c r="K53" s="19"/>
      <c r="L53" s="19"/>
      <c r="M53" s="19"/>
      <c r="N53" s="19"/>
      <c r="O53" s="19"/>
      <c r="P53" s="90"/>
      <c r="Q53" s="96"/>
    </row>
    <row r="54" spans="1:17" s="2" customFormat="1" ht="12" customHeight="1">
      <c r="A54"/>
      <c r="B54"/>
      <c r="C54"/>
      <c r="D54" s="23"/>
      <c r="E54" s="23"/>
      <c r="F54"/>
      <c r="G54"/>
      <c r="H54"/>
      <c r="I54"/>
      <c r="J54" s="19"/>
      <c r="K54" s="19"/>
      <c r="L54" s="19"/>
      <c r="M54" s="19"/>
      <c r="N54" s="19"/>
      <c r="O54" s="19"/>
      <c r="P54" s="90"/>
      <c r="Q54" s="96"/>
    </row>
    <row r="55" spans="1:17" s="2" customFormat="1" ht="12" customHeight="1">
      <c r="A55"/>
      <c r="B55"/>
      <c r="C55"/>
      <c r="D55" s="23"/>
      <c r="E55" s="23"/>
      <c r="F55"/>
      <c r="G55"/>
      <c r="H55"/>
      <c r="I55"/>
      <c r="J55" s="19"/>
      <c r="K55" s="19"/>
      <c r="L55" s="19"/>
      <c r="M55" s="19"/>
      <c r="N55" s="19"/>
      <c r="O55" s="19"/>
      <c r="P55" s="90"/>
      <c r="Q55" s="96"/>
    </row>
    <row r="56" spans="1:17">
      <c r="Q56" s="96"/>
    </row>
    <row r="57" spans="1:17">
      <c r="Q57" s="96"/>
    </row>
    <row r="58" spans="1:17">
      <c r="Q58" s="96"/>
    </row>
    <row r="59" spans="1:17">
      <c r="Q59" s="96"/>
    </row>
    <row r="60" spans="1:17">
      <c r="Q60" s="96"/>
    </row>
    <row r="61" spans="1:17">
      <c r="Q61" s="96"/>
    </row>
    <row r="62" spans="1:17">
      <c r="Q62" s="96"/>
    </row>
    <row r="63" spans="1:17">
      <c r="Q63" s="96"/>
    </row>
    <row r="64" spans="1:17">
      <c r="Q64" s="96"/>
    </row>
    <row r="65" spans="17:17">
      <c r="Q65" s="96"/>
    </row>
    <row r="66" spans="17:17">
      <c r="Q66" s="96"/>
    </row>
    <row r="67" spans="17:17">
      <c r="Q67" s="96"/>
    </row>
    <row r="68" spans="17:17">
      <c r="Q68" s="96"/>
    </row>
    <row r="69" spans="17:17">
      <c r="Q69" s="96"/>
    </row>
    <row r="70" spans="17:17">
      <c r="Q70" s="96"/>
    </row>
    <row r="71" spans="17:17">
      <c r="Q71" s="96"/>
    </row>
    <row r="72" spans="17:17">
      <c r="Q72" s="96"/>
    </row>
    <row r="73" spans="17:17">
      <c r="Q73" s="96"/>
    </row>
    <row r="74" spans="17:17">
      <c r="Q74" s="96"/>
    </row>
    <row r="75" spans="17:17">
      <c r="Q75" s="96"/>
    </row>
    <row r="112" ht="12" customHeight="1"/>
    <row r="113" ht="12" customHeight="1"/>
    <row r="114" ht="12" customHeight="1"/>
    <row r="115" ht="12" customHeight="1"/>
    <row r="116" ht="12" customHeight="1"/>
    <row r="117" ht="12" customHeight="1"/>
    <row r="118" ht="12" customHeight="1"/>
    <row r="119" ht="12" customHeight="1"/>
    <row r="120" ht="12" customHeight="1"/>
    <row r="121" ht="12" customHeight="1"/>
    <row r="122" ht="12" customHeight="1"/>
    <row r="123" ht="12" customHeight="1"/>
    <row r="124" ht="12" customHeight="1"/>
    <row r="125" ht="12" customHeight="1"/>
    <row r="126" ht="12" customHeight="1"/>
    <row r="127" ht="12" customHeight="1"/>
    <row r="128" ht="12" customHeight="1"/>
    <row r="129" ht="12" customHeight="1"/>
    <row r="130" ht="12" customHeight="1"/>
    <row r="131" ht="12" customHeight="1"/>
    <row r="132" ht="12" customHeight="1"/>
    <row r="133" ht="12" customHeight="1"/>
    <row r="134" ht="12" customHeight="1"/>
    <row r="135" ht="12" customHeight="1"/>
    <row r="136" ht="12" customHeight="1"/>
    <row r="137" ht="12" customHeight="1"/>
    <row r="138" ht="12" customHeight="1"/>
    <row r="139" ht="12" customHeight="1"/>
    <row r="140" ht="12" customHeight="1"/>
    <row r="141" ht="12" customHeight="1"/>
    <row r="142" ht="12" customHeight="1"/>
    <row r="143" ht="12" customHeight="1"/>
    <row r="144" ht="12" customHeight="1"/>
    <row r="145" ht="12" customHeight="1"/>
    <row r="146" ht="12" customHeight="1"/>
    <row r="147" ht="12" customHeight="1"/>
    <row r="148" ht="12" customHeight="1"/>
    <row r="149" ht="12" customHeight="1"/>
    <row r="150" ht="12" customHeight="1"/>
    <row r="151" ht="12" customHeight="1"/>
    <row r="152" ht="12" customHeight="1"/>
    <row r="153" ht="12" customHeight="1"/>
    <row r="154" ht="12" customHeight="1"/>
    <row r="155" ht="12" customHeight="1"/>
    <row r="156" ht="12" customHeight="1"/>
    <row r="157" ht="12" customHeight="1"/>
    <row r="158" ht="12" customHeight="1"/>
    <row r="159" ht="12" customHeight="1"/>
    <row r="160" ht="12" customHeight="1"/>
    <row r="161" ht="12" customHeight="1"/>
  </sheetData>
  <mergeCells count="11">
    <mergeCell ref="D6:E6"/>
    <mergeCell ref="H6:I6"/>
    <mergeCell ref="D7:E7"/>
    <mergeCell ref="H7:I7"/>
    <mergeCell ref="D8:E8"/>
    <mergeCell ref="H8:I8"/>
    <mergeCell ref="D1:E1"/>
    <mergeCell ref="D4:E4"/>
    <mergeCell ref="H4:I4"/>
    <mergeCell ref="D5:E5"/>
    <mergeCell ref="H5:I5"/>
  </mergeCells>
  <pageMargins left="0.7" right="0.7" top="0.75" bottom="0.75" header="0.3" footer="0.3"/>
  <pageSetup paperSize="3" fitToHeight="0" orientation="landscape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7035EE8-F4A0-4421-8BC3-30D310654F08}">
          <x14:formula1>
            <xm:f>Assemblies!$E:$E</xm:f>
          </x14:formula1>
          <xm:sqref>C5:C7</xm:sqref>
        </x14:dataValidation>
      </x14:dataValidations>
    </ext>
  </extLst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0B9572-71ED-410E-94AC-91877BEDD070}">
  <sheetPr codeName="Sheet142">
    <tabColor theme="3" tint="0.59999389629810485"/>
    <pageSetUpPr fitToPage="1"/>
  </sheetPr>
  <dimension ref="A1:Q169"/>
  <sheetViews>
    <sheetView zoomScaleNormal="100" workbookViewId="0">
      <selection activeCell="L28" sqref="L28"/>
    </sheetView>
  </sheetViews>
  <sheetFormatPr defaultColWidth="9.140625" defaultRowHeight="15"/>
  <cols>
    <col min="1" max="1" width="5.7109375" customWidth="1"/>
    <col min="2" max="2" width="5.42578125" bestFit="1" customWidth="1"/>
    <col min="3" max="3" width="30.7109375" customWidth="1"/>
    <col min="4" max="5" width="20.7109375" style="23" customWidth="1"/>
    <col min="6" max="6" width="16.85546875" bestFit="1" customWidth="1"/>
    <col min="7" max="7" width="9.7109375" customWidth="1"/>
    <col min="8" max="8" width="8.7109375" customWidth="1"/>
    <col min="9" max="9" width="20.7109375" customWidth="1"/>
    <col min="10" max="13" width="11.7109375" style="19" customWidth="1"/>
    <col min="14" max="14" width="11.85546875" style="19" bestFit="1" customWidth="1"/>
    <col min="15" max="15" width="7.7109375" style="19" customWidth="1"/>
    <col min="16" max="16" width="10.7109375" style="90" customWidth="1"/>
    <col min="17" max="17" width="10.7109375" style="97" customWidth="1"/>
  </cols>
  <sheetData>
    <row r="1" spans="1:17" s="55" customFormat="1" ht="12" customHeight="1">
      <c r="A1" s="68" t="s">
        <v>0</v>
      </c>
      <c r="B1" s="69"/>
      <c r="C1" s="69"/>
      <c r="D1" s="262" t="s">
        <v>1</v>
      </c>
      <c r="E1" s="263"/>
      <c r="F1" s="70"/>
      <c r="G1" s="69"/>
      <c r="H1" s="70"/>
      <c r="I1" s="71"/>
      <c r="J1" s="72"/>
      <c r="K1" s="72"/>
      <c r="L1" s="72"/>
      <c r="M1" s="72"/>
      <c r="N1" s="72"/>
      <c r="O1" s="72"/>
      <c r="P1" s="85"/>
      <c r="Q1" s="91"/>
    </row>
    <row r="2" spans="1:17" s="55" customFormat="1" ht="12" customHeight="1">
      <c r="A2" s="74" t="s">
        <v>48</v>
      </c>
      <c r="B2" s="58"/>
      <c r="C2" s="57" t="e">
        <f ca="1">VLOOKUP(E3,Assemblies!B:F,4,0)</f>
        <v>#VALUE!</v>
      </c>
      <c r="D2" s="75" t="s">
        <v>3</v>
      </c>
      <c r="E2" s="76" t="e">
        <f ca="1">'GF12'!E2</f>
        <v>#VALUE!</v>
      </c>
      <c r="F2" s="77" t="s">
        <v>4</v>
      </c>
      <c r="G2" s="58" t="str">
        <f>'GF12'!G2</f>
        <v>GH</v>
      </c>
      <c r="H2" s="77" t="s">
        <v>6</v>
      </c>
      <c r="I2" s="59">
        <f>'GF12'!I2</f>
        <v>44775</v>
      </c>
      <c r="J2" s="39"/>
      <c r="K2" s="40" t="s">
        <v>49</v>
      </c>
      <c r="L2" s="41" t="e">
        <f ca="1">VLOOKUP(C2,Assemblies!E:G,3,0)</f>
        <v>#VALUE!</v>
      </c>
      <c r="M2" s="78"/>
      <c r="N2" s="78"/>
      <c r="O2" s="78"/>
      <c r="P2" s="86"/>
      <c r="Q2" s="92"/>
    </row>
    <row r="3" spans="1:17" s="55" customFormat="1" ht="12" customHeight="1" thickBot="1">
      <c r="A3" s="74" t="s">
        <v>7</v>
      </c>
      <c r="B3" s="58"/>
      <c r="C3" s="57" t="e">
        <f ca="1">VLOOKUP(E3,Assemblies!B:F,5,0)</f>
        <v>#VALUE!</v>
      </c>
      <c r="D3" s="75" t="s">
        <v>50</v>
      </c>
      <c r="E3" s="76" t="e">
        <f ca="1">MID(CELL("filename",A1),FIND("]",CELL("filename",A1))+1,256)</f>
        <v>#VALUE!</v>
      </c>
      <c r="F3" s="77" t="s">
        <v>11</v>
      </c>
      <c r="G3" s="58" t="str">
        <f>'GF12'!G3</f>
        <v>GH</v>
      </c>
      <c r="H3" s="77" t="s">
        <v>6</v>
      </c>
      <c r="I3" s="59">
        <f>'GF12'!I3</f>
        <v>44775</v>
      </c>
      <c r="J3" s="78"/>
      <c r="K3" s="78"/>
      <c r="L3" s="78"/>
      <c r="M3" s="78"/>
      <c r="N3" s="78"/>
      <c r="O3" s="78"/>
      <c r="P3" s="86"/>
      <c r="Q3" s="92"/>
    </row>
    <row r="4" spans="1:17" s="56" customFormat="1" ht="12.75" customHeight="1" thickBot="1">
      <c r="A4" s="80" t="s">
        <v>12</v>
      </c>
      <c r="B4" s="81" t="s">
        <v>13</v>
      </c>
      <c r="C4" s="81" t="s">
        <v>14</v>
      </c>
      <c r="D4" s="270" t="s">
        <v>15</v>
      </c>
      <c r="E4" s="271"/>
      <c r="F4" s="104" t="s">
        <v>16</v>
      </c>
      <c r="G4" s="81" t="s">
        <v>17</v>
      </c>
      <c r="H4" s="260" t="s">
        <v>18</v>
      </c>
      <c r="I4" s="261"/>
      <c r="J4" s="81" t="s">
        <v>51</v>
      </c>
      <c r="K4" s="81" t="s">
        <v>20</v>
      </c>
      <c r="L4" s="81" t="s">
        <v>21</v>
      </c>
      <c r="M4" s="81" t="s">
        <v>52</v>
      </c>
      <c r="N4" s="81" t="s">
        <v>22</v>
      </c>
      <c r="O4" s="81" t="s">
        <v>53</v>
      </c>
      <c r="P4" s="107" t="s">
        <v>26</v>
      </c>
      <c r="Q4" s="82" t="s">
        <v>27</v>
      </c>
    </row>
    <row r="5" spans="1:17" s="21" customFormat="1" ht="12.75" customHeight="1">
      <c r="A5" s="66" t="s">
        <v>54</v>
      </c>
      <c r="B5" s="1">
        <v>4</v>
      </c>
      <c r="C5" s="67" t="s">
        <v>1364</v>
      </c>
      <c r="D5" s="277" t="e">
        <f ca="1">VLOOKUP(C5,Assemblies!E:S,2,0)</f>
        <v>#N/A</v>
      </c>
      <c r="E5" s="278"/>
      <c r="F5" s="32"/>
      <c r="G5" s="32"/>
      <c r="H5" s="292"/>
      <c r="I5" s="293"/>
      <c r="J5" s="28"/>
      <c r="K5" s="28"/>
      <c r="L5" s="28"/>
      <c r="M5" s="28"/>
      <c r="N5" s="33"/>
      <c r="O5" s="46" t="e">
        <f t="shared" ref="O5:O6" ca="1" si="0">B5*$L$2</f>
        <v>#VALUE!</v>
      </c>
      <c r="P5" s="87">
        <f>'811'!Q13</f>
        <v>157.39849999999998</v>
      </c>
      <c r="Q5" s="93">
        <f t="shared" ref="Q5:Q6" si="1">B5*P5</f>
        <v>629.59399999999994</v>
      </c>
    </row>
    <row r="6" spans="1:17" s="21" customFormat="1" ht="12.75" customHeight="1">
      <c r="A6" s="66" t="s">
        <v>56</v>
      </c>
      <c r="B6" s="1">
        <v>4</v>
      </c>
      <c r="C6" s="67" t="s">
        <v>782</v>
      </c>
      <c r="D6" s="277" t="e">
        <f ca="1">VLOOKUP(C6,Assemblies!E:S,2,0)</f>
        <v>#N/A</v>
      </c>
      <c r="E6" s="278"/>
      <c r="F6" s="32"/>
      <c r="G6" s="32"/>
      <c r="H6" s="292"/>
      <c r="I6" s="293"/>
      <c r="J6" s="28"/>
      <c r="K6" s="28"/>
      <c r="L6" s="28"/>
      <c r="M6" s="28"/>
      <c r="N6" s="33"/>
      <c r="O6" s="46" t="e">
        <f t="shared" ca="1" si="0"/>
        <v>#VALUE!</v>
      </c>
      <c r="P6" s="87">
        <f>'311'!Q10</f>
        <v>58.879999999999995</v>
      </c>
      <c r="Q6" s="93">
        <f t="shared" si="1"/>
        <v>235.51999999999998</v>
      </c>
    </row>
    <row r="7" spans="1:17" s="2" customFormat="1" ht="12.75" customHeight="1">
      <c r="A7" s="143"/>
      <c r="B7" s="26"/>
      <c r="C7" s="26"/>
      <c r="D7" s="272"/>
      <c r="E7" s="273"/>
      <c r="F7" s="26"/>
      <c r="G7" s="26"/>
      <c r="H7" s="274"/>
      <c r="I7" s="275"/>
      <c r="J7" s="27"/>
      <c r="K7" s="27"/>
      <c r="L7" s="27"/>
      <c r="M7" s="28"/>
      <c r="N7" s="29"/>
      <c r="O7" s="29"/>
      <c r="P7" s="141"/>
      <c r="Q7" s="142"/>
    </row>
    <row r="8" spans="1:17" s="2" customFormat="1" ht="12.75" customHeight="1">
      <c r="A8" s="4">
        <v>301</v>
      </c>
      <c r="B8" s="2">
        <v>4</v>
      </c>
      <c r="C8" s="114" t="s">
        <v>245</v>
      </c>
      <c r="D8" s="268" t="str">
        <f>VLOOKUP(C8,Purchased!A:B,2,0)</f>
        <v>BRX 3842548758 Cover Cap 90x90 Grey</v>
      </c>
      <c r="E8" s="269"/>
      <c r="F8" s="112" t="str">
        <f>VLOOKUP(C8,Purchased!A:Q,9,0)</f>
        <v>BRX</v>
      </c>
      <c r="G8" s="112" t="str">
        <f>VLOOKUP(C8,Purchased!A:Q,10,0)</f>
        <v>AAP</v>
      </c>
      <c r="H8" s="112" t="str">
        <f>VLOOKUP(C8,Purchased!A:Q,12,0)</f>
        <v xml:space="preserve"> </v>
      </c>
      <c r="I8" s="113"/>
      <c r="J8" s="44" t="str">
        <f>VLOOKUP(C8,Purchased!A:Q,13,0)</f>
        <v>N/A</v>
      </c>
      <c r="K8" s="44">
        <f>VLOOKUP(C8,Purchased!A:Q,14,0)</f>
        <v>45162</v>
      </c>
      <c r="L8" s="44">
        <f>VLOOKUP(C8,Purchased!A:Q,15,0)</f>
        <v>45184</v>
      </c>
      <c r="M8" s="44">
        <f>VLOOKUP(C8,Purchased!A:Q,16,0)</f>
        <v>45197</v>
      </c>
      <c r="N8" s="45">
        <f>VLOOKUP(C8,Purchased!A:Q,17,0)</f>
        <v>55073</v>
      </c>
      <c r="O8" s="45" t="e">
        <f t="shared" ref="O8:O10" ca="1" si="2">B8*$L$2</f>
        <v>#VALUE!</v>
      </c>
      <c r="P8" s="49">
        <f>IFERROR(VLOOKUP(C8,Purchased!A:E,3,FALSE),"")</f>
        <v>3.2429000000000001</v>
      </c>
      <c r="Q8" s="50">
        <f t="shared" ref="Q8:Q10" si="3">IFERROR(B8*P8,"")</f>
        <v>12.9716</v>
      </c>
    </row>
    <row r="9" spans="1:17" s="2" customFormat="1" ht="12" customHeight="1">
      <c r="A9" s="4">
        <f t="shared" ref="A9:A10" si="4">A8+1</f>
        <v>302</v>
      </c>
      <c r="B9" s="2">
        <v>48</v>
      </c>
      <c r="C9" s="114" t="s">
        <v>244</v>
      </c>
      <c r="D9" s="268" t="str">
        <f>VLOOKUP(C9,Purchased!A:B,2,0)</f>
        <v>BRX GOTO QUICK CONNECTOR N10 0°</v>
      </c>
      <c r="E9" s="269"/>
      <c r="F9" s="112" t="str">
        <f>VLOOKUP(C9,Purchased!A:Q,9,0)</f>
        <v>BRX</v>
      </c>
      <c r="G9" s="112" t="str">
        <f>VLOOKUP(C9,Purchased!A:Q,10,0)</f>
        <v>AAP</v>
      </c>
      <c r="H9" s="112" t="str">
        <f>VLOOKUP(C9,Purchased!A:Q,12,0)</f>
        <v>17 in stock</v>
      </c>
      <c r="I9" s="113"/>
      <c r="J9" s="44" t="str">
        <f>VLOOKUP(C9,Purchased!A:Q,13,0)</f>
        <v>N/A</v>
      </c>
      <c r="K9" s="44">
        <f>VLOOKUP(C9,Purchased!A:Q,14,0)</f>
        <v>45089</v>
      </c>
      <c r="L9" s="44">
        <f>VLOOKUP(C9,Purchased!A:Q,15,0)</f>
        <v>45124</v>
      </c>
      <c r="M9" s="44">
        <f>VLOOKUP(C9,Purchased!A:Q,16,0)</f>
        <v>45124</v>
      </c>
      <c r="N9" s="45" t="str">
        <f>VLOOKUP(C9,Purchased!A:Q,17,0)</f>
        <v>500x54927, 500x55060</v>
      </c>
      <c r="O9" s="45" t="e">
        <f t="shared" ca="1" si="2"/>
        <v>#VALUE!</v>
      </c>
      <c r="P9" s="49">
        <f>IFERROR(VLOOKUP(C9,Purchased!A:E,3,FALSE),"")</f>
        <v>5.2857000000000003</v>
      </c>
      <c r="Q9" s="50">
        <f t="shared" si="3"/>
        <v>253.71360000000001</v>
      </c>
    </row>
    <row r="10" spans="1:17" s="2" customFormat="1" ht="12" customHeight="1">
      <c r="A10" s="4">
        <f t="shared" si="4"/>
        <v>303</v>
      </c>
      <c r="B10" s="2">
        <v>16</v>
      </c>
      <c r="C10" s="114" t="s">
        <v>243</v>
      </c>
      <c r="D10" s="268" t="str">
        <f>VLOOKUP(C10,Purchased!A:B,2,0)</f>
        <v>BRX GOTO QUICK CONNECTOR N10 90°</v>
      </c>
      <c r="E10" s="269"/>
      <c r="F10" s="112" t="str">
        <f>VLOOKUP(C10,Purchased!A:Q,9,0)</f>
        <v>BRX</v>
      </c>
      <c r="G10" s="112" t="str">
        <f>VLOOKUP(C10,Purchased!A:Q,10,0)</f>
        <v>AAP</v>
      </c>
      <c r="H10" s="112" t="str">
        <f>VLOOKUP(C10,Purchased!A:Q,12,0)</f>
        <v xml:space="preserve">  </v>
      </c>
      <c r="I10" s="113"/>
      <c r="J10" s="44" t="str">
        <f>VLOOKUP(C10,Purchased!A:Q,13,0)</f>
        <v>N/A</v>
      </c>
      <c r="K10" s="44">
        <f>VLOOKUP(C10,Purchased!A:Q,14,0)</f>
        <v>45089</v>
      </c>
      <c r="L10" s="44">
        <f>VLOOKUP(C10,Purchased!A:Q,15,0)</f>
        <v>45124</v>
      </c>
      <c r="M10" s="44">
        <f>VLOOKUP(C10,Purchased!A:Q,16,0)</f>
        <v>45124</v>
      </c>
      <c r="N10" s="45">
        <f>VLOOKUP(C10,Purchased!A:Q,17,0)</f>
        <v>54927</v>
      </c>
      <c r="O10" s="45" t="e">
        <f t="shared" ca="1" si="2"/>
        <v>#VALUE!</v>
      </c>
      <c r="P10" s="49">
        <f>IFERROR(VLOOKUP(C10,Purchased!A:E,3,FALSE),"")</f>
        <v>5.2857000000000003</v>
      </c>
      <c r="Q10" s="50">
        <f t="shared" si="3"/>
        <v>84.571200000000005</v>
      </c>
    </row>
    <row r="11" spans="1:17" s="2" customFormat="1" ht="12.75" customHeight="1">
      <c r="A11" s="25"/>
      <c r="B11" s="26"/>
      <c r="C11" s="26"/>
      <c r="D11" s="272"/>
      <c r="E11" s="273"/>
      <c r="F11" s="26"/>
      <c r="G11" s="26"/>
      <c r="H11" s="274"/>
      <c r="I11" s="275"/>
      <c r="J11" s="27"/>
      <c r="K11" s="27"/>
      <c r="L11" s="27"/>
      <c r="M11" s="28"/>
      <c r="N11" s="29"/>
      <c r="O11" s="29"/>
      <c r="P11" s="141"/>
      <c r="Q11" s="142"/>
    </row>
    <row r="12" spans="1:17" s="2" customFormat="1" ht="12.75" customHeight="1">
      <c r="A12" s="4">
        <v>701</v>
      </c>
      <c r="B12" s="2">
        <v>2</v>
      </c>
      <c r="C12" s="111" t="s">
        <v>1365</v>
      </c>
      <c r="D12" s="268" t="str">
        <f>VLOOKUP(C12,Extrusion!B:C,2,0)</f>
        <v>Assy .810</v>
      </c>
      <c r="E12" s="269"/>
      <c r="F12" s="112" t="str">
        <f>VLOOKUP(C12,Extrusion!B:M,6,0)</f>
        <v>BOSCH</v>
      </c>
      <c r="G12" s="112" t="str">
        <f>VLOOKUP(C12,Extrusion!B:M,7,0)</f>
        <v>NULINE</v>
      </c>
      <c r="H12" s="112" t="str">
        <f>VLOOKUP(C12,Extrusion!B:M,8,0)</f>
        <v xml:space="preserve"> </v>
      </c>
      <c r="I12" s="113"/>
      <c r="J12" s="44" t="str">
        <f>VLOOKUP(C12,Extrusion!B:M,9,0)</f>
        <v>N/A</v>
      </c>
      <c r="K12" s="44">
        <f>VLOOKUP(C12,Extrusion!B:M,10,0)</f>
        <v>44894</v>
      </c>
      <c r="L12" s="44">
        <f>VLOOKUP(C12,Extrusion!B:M,11,0)</f>
        <v>44970</v>
      </c>
      <c r="M12" s="44">
        <f>VLOOKUP(C12,Extrusion!B:M,12,0)</f>
        <v>44970</v>
      </c>
      <c r="N12" s="45">
        <f>VLOOKUP(C12,Extrusion!B:N,13,0)</f>
        <v>54598</v>
      </c>
      <c r="O12" s="45" t="e">
        <f t="shared" ref="O12:O15" ca="1" si="5">B12*$L$2</f>
        <v>#VALUE!</v>
      </c>
      <c r="P12" s="49">
        <f>IFERROR(VLOOKUP(C12,Extrusion!B:F,5,0),"")</f>
        <v>75.165063666666668</v>
      </c>
      <c r="Q12" s="50">
        <f t="shared" ref="Q12:Q15" si="6">IFERROR(B12*P12,"")</f>
        <v>150.33012733333334</v>
      </c>
    </row>
    <row r="13" spans="1:17" s="2" customFormat="1" ht="12" customHeight="1">
      <c r="A13" s="4">
        <f t="shared" ref="A13:A15" si="7">A12+1</f>
        <v>702</v>
      </c>
      <c r="B13" s="2">
        <v>4</v>
      </c>
      <c r="C13" s="111" t="s">
        <v>1366</v>
      </c>
      <c r="D13" s="268" t="str">
        <f>VLOOKUP(C13,Extrusion!B:C,2,0)</f>
        <v>Assy .810</v>
      </c>
      <c r="E13" s="269"/>
      <c r="F13" s="112" t="str">
        <f>VLOOKUP(C13,Extrusion!B:M,6,0)</f>
        <v>BOSCH</v>
      </c>
      <c r="G13" s="112" t="str">
        <f>VLOOKUP(C13,Extrusion!B:M,7,0)</f>
        <v>NULINE</v>
      </c>
      <c r="H13" s="112" t="str">
        <f>VLOOKUP(C13,Extrusion!B:M,8,0)</f>
        <v xml:space="preserve"> </v>
      </c>
      <c r="I13" s="113"/>
      <c r="J13" s="44" t="str">
        <f>VLOOKUP(C13,Extrusion!B:M,9,0)</f>
        <v>N/A</v>
      </c>
      <c r="K13" s="44">
        <f>VLOOKUP(C13,Extrusion!B:M,10,0)</f>
        <v>44894</v>
      </c>
      <c r="L13" s="44">
        <f>VLOOKUP(C13,Extrusion!B:M,11,0)</f>
        <v>44970</v>
      </c>
      <c r="M13" s="44">
        <f>VLOOKUP(C13,Extrusion!B:M,12,0)</f>
        <v>44970</v>
      </c>
      <c r="N13" s="45">
        <f>VLOOKUP(C13,Extrusion!B:N,13,0)</f>
        <v>54598</v>
      </c>
      <c r="O13" s="45" t="e">
        <f t="shared" ca="1" si="5"/>
        <v>#VALUE!</v>
      </c>
      <c r="P13" s="49">
        <f>IFERROR(VLOOKUP(C13,Extrusion!B:F,5,0),"")</f>
        <v>115.84066926666668</v>
      </c>
      <c r="Q13" s="50">
        <f t="shared" si="6"/>
        <v>463.36267706666672</v>
      </c>
    </row>
    <row r="14" spans="1:17" s="2" customFormat="1" ht="12" customHeight="1">
      <c r="A14" s="4">
        <f t="shared" si="7"/>
        <v>703</v>
      </c>
      <c r="B14" s="2">
        <v>2</v>
      </c>
      <c r="C14" s="111" t="s">
        <v>1367</v>
      </c>
      <c r="D14" s="268" t="str">
        <f>VLOOKUP(C14,Extrusion!B:C,2,0)</f>
        <v>Assy .810</v>
      </c>
      <c r="E14" s="269"/>
      <c r="F14" s="112" t="str">
        <f>VLOOKUP(C14,Extrusion!B:M,6,0)</f>
        <v>BOSCH</v>
      </c>
      <c r="G14" s="112" t="str">
        <f>VLOOKUP(C14,Extrusion!B:M,7,0)</f>
        <v>NULINE</v>
      </c>
      <c r="H14" s="112" t="str">
        <f>VLOOKUP(C14,Extrusion!B:M,8,0)</f>
        <v xml:space="preserve"> </v>
      </c>
      <c r="I14" s="113"/>
      <c r="J14" s="44" t="str">
        <f>VLOOKUP(C14,Extrusion!B:M,9,0)</f>
        <v>N/A</v>
      </c>
      <c r="K14" s="44">
        <f>VLOOKUP(C14,Extrusion!B:M,10,0)</f>
        <v>44894</v>
      </c>
      <c r="L14" s="44">
        <f>VLOOKUP(C14,Extrusion!B:M,11,0)</f>
        <v>44970</v>
      </c>
      <c r="M14" s="44">
        <f>VLOOKUP(C14,Extrusion!B:M,12,0)</f>
        <v>44970</v>
      </c>
      <c r="N14" s="45">
        <f>VLOOKUP(C14,Extrusion!B:N,13,0)</f>
        <v>54598</v>
      </c>
      <c r="O14" s="45" t="e">
        <f t="shared" ca="1" si="5"/>
        <v>#VALUE!</v>
      </c>
      <c r="P14" s="49">
        <f>IFERROR(VLOOKUP(C14,Extrusion!B:F,5,0),"")</f>
        <v>60.638061666666673</v>
      </c>
      <c r="Q14" s="50">
        <f t="shared" si="6"/>
        <v>121.27612333333335</v>
      </c>
    </row>
    <row r="15" spans="1:17" s="2" customFormat="1" ht="12" customHeight="1" thickBot="1">
      <c r="A15" s="4">
        <f t="shared" si="7"/>
        <v>704</v>
      </c>
      <c r="B15" s="2">
        <v>4</v>
      </c>
      <c r="C15" s="111" t="s">
        <v>1368</v>
      </c>
      <c r="D15" s="268" t="str">
        <f>VLOOKUP(C15,Extrusion!B:C,2,0)</f>
        <v>Assy .810</v>
      </c>
      <c r="E15" s="269"/>
      <c r="F15" s="112" t="str">
        <f>VLOOKUP(C15,Extrusion!B:M,6,0)</f>
        <v>BOSCH</v>
      </c>
      <c r="G15" s="112" t="str">
        <f>VLOOKUP(C15,Extrusion!B:M,7,0)</f>
        <v>NULINE</v>
      </c>
      <c r="H15" s="112" t="str">
        <f>VLOOKUP(C15,Extrusion!B:M,8,0)</f>
        <v xml:space="preserve"> </v>
      </c>
      <c r="I15" s="113"/>
      <c r="J15" s="44" t="str">
        <f>VLOOKUP(C15,Extrusion!B:M,9,0)</f>
        <v>N/A</v>
      </c>
      <c r="K15" s="44">
        <f>VLOOKUP(C15,Extrusion!B:M,10,0)</f>
        <v>44894</v>
      </c>
      <c r="L15" s="44">
        <f>VLOOKUP(C15,Extrusion!B:M,11,0)</f>
        <v>44970</v>
      </c>
      <c r="M15" s="44">
        <f>VLOOKUP(C15,Extrusion!B:M,12,0)</f>
        <v>44970</v>
      </c>
      <c r="N15" s="45">
        <f>VLOOKUP(C15,Extrusion!B:N,13,0)</f>
        <v>54598</v>
      </c>
      <c r="O15" s="45" t="e">
        <f t="shared" ca="1" si="5"/>
        <v>#VALUE!</v>
      </c>
      <c r="P15" s="49">
        <f>IFERROR(VLOOKUP(C15,Extrusion!B:F,5,0),"")</f>
        <v>66.287451333333337</v>
      </c>
      <c r="Q15" s="50">
        <f t="shared" si="6"/>
        <v>265.14980533333335</v>
      </c>
    </row>
    <row r="16" spans="1:17" s="2" customFormat="1" ht="12.75" customHeight="1" thickBot="1">
      <c r="A16" s="34"/>
      <c r="B16" s="35"/>
      <c r="C16" s="35"/>
      <c r="D16" s="256"/>
      <c r="E16" s="257"/>
      <c r="F16" s="35"/>
      <c r="G16" s="35"/>
      <c r="H16" s="294"/>
      <c r="I16" s="295"/>
      <c r="J16" s="36"/>
      <c r="K16" s="36"/>
      <c r="L16" s="36"/>
      <c r="M16" s="37"/>
      <c r="N16" s="38"/>
      <c r="O16" s="38"/>
      <c r="P16" s="89" t="s">
        <v>43</v>
      </c>
      <c r="Q16" s="94">
        <f>SUM(Q5:Q15)</f>
        <v>2216.4891330666669</v>
      </c>
    </row>
    <row r="17" spans="4:17" s="2" customFormat="1" ht="12" customHeight="1">
      <c r="D17" s="22"/>
      <c r="E17" s="22"/>
      <c r="J17" s="8"/>
      <c r="K17" s="8"/>
      <c r="L17" s="8"/>
      <c r="M17" s="8"/>
      <c r="N17" s="5"/>
      <c r="O17" s="5"/>
      <c r="P17" s="88"/>
      <c r="Q17" s="95"/>
    </row>
    <row r="18" spans="4:17" s="2" customFormat="1" ht="12" customHeight="1">
      <c r="D18" s="22"/>
      <c r="E18" s="22"/>
      <c r="J18" s="5"/>
      <c r="K18" s="5"/>
      <c r="L18" s="5"/>
      <c r="M18" s="5"/>
      <c r="N18" s="5"/>
      <c r="O18" s="5"/>
      <c r="P18" s="88"/>
      <c r="Q18" s="95"/>
    </row>
    <row r="19" spans="4:17" s="2" customFormat="1" ht="12" customHeight="1">
      <c r="D19" s="22"/>
      <c r="E19" s="22"/>
      <c r="J19" s="5"/>
      <c r="K19" s="5"/>
      <c r="L19" s="5"/>
      <c r="M19" s="5"/>
      <c r="N19" s="5"/>
      <c r="O19" s="5"/>
      <c r="P19" s="88"/>
      <c r="Q19" s="95"/>
    </row>
    <row r="20" spans="4:17" s="2" customFormat="1" ht="12" customHeight="1">
      <c r="D20" s="22"/>
      <c r="E20" s="22"/>
      <c r="J20" s="5"/>
      <c r="K20" s="5"/>
      <c r="L20" s="5"/>
      <c r="M20" s="5"/>
      <c r="N20" s="5"/>
      <c r="O20" s="5"/>
      <c r="P20" s="88"/>
      <c r="Q20" s="95"/>
    </row>
    <row r="21" spans="4:17" s="2" customFormat="1" ht="12" customHeight="1">
      <c r="D21" s="22"/>
      <c r="E21" s="22"/>
      <c r="J21" s="5"/>
      <c r="K21" s="5"/>
      <c r="L21" s="5"/>
      <c r="M21" s="5"/>
      <c r="N21" s="5"/>
      <c r="O21" s="5"/>
      <c r="P21" s="88"/>
      <c r="Q21" s="95"/>
    </row>
    <row r="22" spans="4:17" s="2" customFormat="1" ht="12" customHeight="1">
      <c r="D22" s="22"/>
      <c r="E22" s="22"/>
      <c r="J22" s="5"/>
      <c r="K22" s="5"/>
      <c r="L22" s="5"/>
      <c r="M22" s="5"/>
      <c r="N22" s="5"/>
      <c r="O22" s="5"/>
      <c r="P22" s="88"/>
      <c r="Q22" s="95"/>
    </row>
    <row r="23" spans="4:17" s="2" customFormat="1" ht="12" customHeight="1">
      <c r="D23" s="22"/>
      <c r="E23" s="22"/>
      <c r="J23" s="5"/>
      <c r="K23" s="5"/>
      <c r="L23" s="5"/>
      <c r="M23" s="5"/>
      <c r="N23" s="5"/>
      <c r="O23" s="5"/>
      <c r="P23" s="88"/>
      <c r="Q23" s="95"/>
    </row>
    <row r="24" spans="4:17" s="2" customFormat="1" ht="12" customHeight="1">
      <c r="D24" s="22"/>
      <c r="E24" s="22"/>
      <c r="J24" s="5"/>
      <c r="K24" s="5"/>
      <c r="L24" s="5"/>
      <c r="M24" s="5"/>
      <c r="N24" s="5"/>
      <c r="O24" s="5"/>
      <c r="P24" s="88"/>
      <c r="Q24" s="95"/>
    </row>
    <row r="25" spans="4:17" s="2" customFormat="1" ht="12" customHeight="1">
      <c r="D25" s="22"/>
      <c r="E25" s="22"/>
      <c r="J25" s="5"/>
      <c r="K25" s="5"/>
      <c r="L25" s="5"/>
      <c r="M25" s="5"/>
      <c r="N25" s="5"/>
      <c r="O25" s="5"/>
      <c r="P25" s="88"/>
      <c r="Q25" s="95"/>
    </row>
    <row r="26" spans="4:17" s="2" customFormat="1" ht="12" customHeight="1">
      <c r="D26" s="22"/>
      <c r="E26" s="22"/>
      <c r="J26" s="5"/>
      <c r="K26" s="5"/>
      <c r="L26" s="5"/>
      <c r="M26" s="5"/>
      <c r="N26" s="5"/>
      <c r="O26" s="5"/>
      <c r="P26" s="88"/>
      <c r="Q26" s="95"/>
    </row>
    <row r="27" spans="4:17" s="2" customFormat="1" ht="12" customHeight="1">
      <c r="D27" s="22"/>
      <c r="E27" s="22"/>
      <c r="J27" s="5"/>
      <c r="K27" s="5"/>
      <c r="L27" s="5"/>
      <c r="M27" s="5"/>
      <c r="N27" s="5"/>
      <c r="O27" s="5"/>
      <c r="P27" s="88"/>
      <c r="Q27" s="95"/>
    </row>
    <row r="28" spans="4:17" s="2" customFormat="1" ht="12" customHeight="1">
      <c r="D28" s="22"/>
      <c r="E28" s="22"/>
      <c r="J28" s="5"/>
      <c r="K28" s="5"/>
      <c r="L28" s="5"/>
      <c r="M28" s="5"/>
      <c r="N28" s="5"/>
      <c r="O28" s="5"/>
      <c r="P28" s="88"/>
      <c r="Q28" s="95"/>
    </row>
    <row r="29" spans="4:17" s="2" customFormat="1" ht="12" customHeight="1">
      <c r="D29" s="22"/>
      <c r="E29" s="22"/>
      <c r="J29" s="5"/>
      <c r="K29" s="5"/>
      <c r="L29" s="5"/>
      <c r="M29" s="5"/>
      <c r="N29" s="5"/>
      <c r="O29" s="5"/>
      <c r="P29" s="88"/>
      <c r="Q29" s="95"/>
    </row>
    <row r="30" spans="4:17" s="2" customFormat="1" ht="12" customHeight="1">
      <c r="D30" s="22"/>
      <c r="E30" s="22"/>
      <c r="J30" s="5"/>
      <c r="K30" s="5"/>
      <c r="L30" s="5"/>
      <c r="M30" s="5"/>
      <c r="N30" s="5"/>
      <c r="O30" s="5"/>
      <c r="P30" s="88"/>
      <c r="Q30" s="95"/>
    </row>
    <row r="31" spans="4:17" s="2" customFormat="1" ht="12" customHeight="1">
      <c r="D31" s="22"/>
      <c r="E31" s="22"/>
      <c r="J31" s="5"/>
      <c r="K31" s="5"/>
      <c r="L31" s="5"/>
      <c r="M31" s="5"/>
      <c r="N31" s="5"/>
      <c r="O31" s="5"/>
      <c r="P31" s="88"/>
      <c r="Q31" s="95"/>
    </row>
    <row r="32" spans="4:17" s="2" customFormat="1" ht="12" customHeight="1">
      <c r="D32" s="22"/>
      <c r="E32" s="22"/>
      <c r="J32" s="5"/>
      <c r="K32" s="5"/>
      <c r="L32" s="5"/>
      <c r="M32" s="5"/>
      <c r="N32" s="5"/>
      <c r="O32" s="5"/>
      <c r="P32" s="88"/>
      <c r="Q32" s="95"/>
    </row>
    <row r="33" spans="4:17" s="2" customFormat="1" ht="12" customHeight="1">
      <c r="D33" s="22"/>
      <c r="E33" s="22"/>
      <c r="J33" s="5"/>
      <c r="K33" s="5"/>
      <c r="L33" s="5"/>
      <c r="M33" s="5"/>
      <c r="N33" s="5"/>
      <c r="O33" s="5"/>
      <c r="P33" s="88"/>
      <c r="Q33" s="95"/>
    </row>
    <row r="34" spans="4:17" s="2" customFormat="1" ht="12" customHeight="1">
      <c r="D34" s="22"/>
      <c r="E34" s="22"/>
      <c r="J34" s="5"/>
      <c r="K34" s="5"/>
      <c r="L34" s="5"/>
      <c r="M34" s="5"/>
      <c r="N34" s="5"/>
      <c r="O34" s="5"/>
      <c r="P34" s="88"/>
      <c r="Q34" s="95"/>
    </row>
    <row r="35" spans="4:17" s="2" customFormat="1" ht="12" customHeight="1">
      <c r="D35" s="22"/>
      <c r="E35" s="22"/>
      <c r="J35" s="5"/>
      <c r="K35" s="5"/>
      <c r="L35" s="5"/>
      <c r="M35" s="5"/>
      <c r="N35" s="5"/>
      <c r="O35" s="5"/>
      <c r="P35" s="88"/>
      <c r="Q35" s="95"/>
    </row>
    <row r="36" spans="4:17" s="2" customFormat="1" ht="12" customHeight="1">
      <c r="D36" s="22"/>
      <c r="E36" s="22"/>
      <c r="J36" s="5"/>
      <c r="K36" s="5"/>
      <c r="L36" s="5"/>
      <c r="M36" s="5"/>
      <c r="N36" s="5"/>
      <c r="O36" s="5"/>
      <c r="P36" s="88"/>
      <c r="Q36" s="95"/>
    </row>
    <row r="37" spans="4:17" s="2" customFormat="1" ht="12" customHeight="1">
      <c r="D37" s="22"/>
      <c r="E37" s="22"/>
      <c r="J37" s="5"/>
      <c r="K37" s="5"/>
      <c r="L37" s="5"/>
      <c r="M37" s="5"/>
      <c r="N37" s="5"/>
      <c r="O37" s="5"/>
      <c r="P37" s="88"/>
      <c r="Q37" s="95"/>
    </row>
    <row r="38" spans="4:17" s="2" customFormat="1" ht="12" customHeight="1">
      <c r="D38" s="22"/>
      <c r="E38" s="22"/>
      <c r="J38" s="5"/>
      <c r="K38" s="5"/>
      <c r="L38" s="5"/>
      <c r="M38" s="5"/>
      <c r="N38" s="5"/>
      <c r="O38" s="5"/>
      <c r="P38" s="88"/>
      <c r="Q38" s="95"/>
    </row>
    <row r="39" spans="4:17" s="2" customFormat="1" ht="12" customHeight="1">
      <c r="D39" s="22"/>
      <c r="E39" s="22"/>
      <c r="J39" s="5"/>
      <c r="K39" s="5"/>
      <c r="L39" s="5"/>
      <c r="M39" s="5"/>
      <c r="N39" s="5"/>
      <c r="O39" s="5"/>
      <c r="P39" s="88"/>
      <c r="Q39" s="95"/>
    </row>
    <row r="40" spans="4:17" s="2" customFormat="1" ht="12" customHeight="1">
      <c r="D40" s="22"/>
      <c r="E40" s="22"/>
      <c r="J40" s="5"/>
      <c r="K40" s="5"/>
      <c r="L40" s="5"/>
      <c r="M40" s="5"/>
      <c r="N40" s="5"/>
      <c r="O40" s="5"/>
      <c r="P40" s="88"/>
      <c r="Q40" s="95"/>
    </row>
    <row r="41" spans="4:17" s="2" customFormat="1" ht="12" customHeight="1">
      <c r="D41" s="22"/>
      <c r="E41" s="22"/>
      <c r="J41" s="5"/>
      <c r="K41" s="5"/>
      <c r="L41" s="5"/>
      <c r="M41" s="5"/>
      <c r="N41" s="5"/>
      <c r="O41" s="5"/>
      <c r="P41" s="88"/>
      <c r="Q41" s="95"/>
    </row>
    <row r="42" spans="4:17" s="2" customFormat="1" ht="12" customHeight="1">
      <c r="D42" s="22"/>
      <c r="E42" s="22"/>
      <c r="J42" s="5"/>
      <c r="K42" s="5"/>
      <c r="L42" s="5"/>
      <c r="M42" s="5"/>
      <c r="N42" s="5"/>
      <c r="O42" s="5"/>
      <c r="P42" s="88"/>
      <c r="Q42" s="95"/>
    </row>
    <row r="43" spans="4:17" s="2" customFormat="1" ht="12" customHeight="1">
      <c r="D43" s="22"/>
      <c r="E43" s="22"/>
      <c r="J43" s="5"/>
      <c r="K43" s="5"/>
      <c r="L43" s="5"/>
      <c r="M43" s="5"/>
      <c r="N43" s="5"/>
      <c r="O43" s="5"/>
      <c r="P43" s="88"/>
      <c r="Q43" s="95"/>
    </row>
    <row r="44" spans="4:17" s="2" customFormat="1" ht="12" customHeight="1">
      <c r="D44" s="22"/>
      <c r="E44" s="22"/>
      <c r="J44" s="5"/>
      <c r="K44" s="5"/>
      <c r="L44" s="5"/>
      <c r="M44" s="5"/>
      <c r="N44" s="5"/>
      <c r="O44" s="5"/>
      <c r="P44" s="88"/>
      <c r="Q44" s="95"/>
    </row>
    <row r="45" spans="4:17" s="2" customFormat="1" ht="12" customHeight="1">
      <c r="D45" s="22"/>
      <c r="E45" s="22"/>
      <c r="J45" s="5"/>
      <c r="K45" s="5"/>
      <c r="L45" s="5"/>
      <c r="M45" s="5"/>
      <c r="N45" s="5"/>
      <c r="O45" s="5"/>
      <c r="P45" s="88"/>
      <c r="Q45" s="95"/>
    </row>
    <row r="46" spans="4:17" s="2" customFormat="1" ht="12" customHeight="1">
      <c r="D46" s="22"/>
      <c r="E46" s="22"/>
      <c r="J46" s="5"/>
      <c r="K46" s="5"/>
      <c r="L46" s="5"/>
      <c r="M46" s="5"/>
      <c r="N46" s="5"/>
      <c r="O46" s="5"/>
      <c r="P46" s="88"/>
      <c r="Q46" s="95"/>
    </row>
    <row r="47" spans="4:17" s="2" customFormat="1" ht="12" customHeight="1">
      <c r="D47" s="22"/>
      <c r="E47" s="22"/>
      <c r="J47" s="5"/>
      <c r="K47" s="5"/>
      <c r="L47" s="5"/>
      <c r="M47" s="5"/>
      <c r="N47" s="5"/>
      <c r="O47" s="5"/>
      <c r="P47" s="88"/>
      <c r="Q47" s="95"/>
    </row>
    <row r="48" spans="4:17" s="2" customFormat="1" ht="12" customHeight="1">
      <c r="D48" s="22"/>
      <c r="E48" s="22"/>
      <c r="J48" s="5"/>
      <c r="K48" s="5"/>
      <c r="L48" s="5"/>
      <c r="M48" s="5"/>
      <c r="N48" s="5"/>
      <c r="O48" s="5"/>
      <c r="P48" s="88"/>
      <c r="Q48" s="95"/>
    </row>
    <row r="49" spans="1:17" s="2" customFormat="1" ht="12" customHeight="1">
      <c r="D49" s="22"/>
      <c r="E49" s="22"/>
      <c r="J49" s="5"/>
      <c r="K49" s="5"/>
      <c r="L49" s="5"/>
      <c r="M49" s="5"/>
      <c r="N49" s="5"/>
      <c r="O49" s="5"/>
      <c r="P49" s="88"/>
      <c r="Q49" s="95"/>
    </row>
    <row r="50" spans="1:17" s="2" customFormat="1" ht="12" customHeight="1">
      <c r="D50" s="22"/>
      <c r="E50" s="22"/>
      <c r="J50" s="5"/>
      <c r="K50" s="5"/>
      <c r="L50" s="5"/>
      <c r="M50" s="5"/>
      <c r="N50" s="5"/>
      <c r="O50" s="5"/>
      <c r="P50" s="88"/>
      <c r="Q50" s="95"/>
    </row>
    <row r="51" spans="1:17" s="2" customFormat="1" ht="12" customHeight="1">
      <c r="D51" s="22"/>
      <c r="E51" s="22"/>
      <c r="J51" s="5"/>
      <c r="K51" s="5"/>
      <c r="L51" s="5"/>
      <c r="M51" s="5"/>
      <c r="N51" s="5"/>
      <c r="O51" s="5"/>
      <c r="P51" s="88"/>
      <c r="Q51" s="95"/>
    </row>
    <row r="52" spans="1:17" s="2" customFormat="1" ht="12" customHeight="1">
      <c r="D52" s="22"/>
      <c r="E52" s="22"/>
      <c r="J52" s="5"/>
      <c r="K52" s="5"/>
      <c r="L52" s="5"/>
      <c r="M52" s="5"/>
      <c r="N52" s="5"/>
      <c r="O52" s="5"/>
      <c r="P52" s="88"/>
      <c r="Q52" s="95"/>
    </row>
    <row r="53" spans="1:17" s="2" customFormat="1" ht="12" customHeight="1">
      <c r="D53" s="22"/>
      <c r="E53" s="22"/>
      <c r="J53" s="5"/>
      <c r="K53" s="5"/>
      <c r="L53" s="5"/>
      <c r="M53" s="5"/>
      <c r="N53" s="5"/>
      <c r="O53" s="5"/>
      <c r="P53" s="88"/>
      <c r="Q53" s="95"/>
    </row>
    <row r="54" spans="1:17" s="2" customFormat="1" ht="12" customHeight="1">
      <c r="D54" s="22"/>
      <c r="E54" s="22"/>
      <c r="J54" s="5"/>
      <c r="K54" s="5"/>
      <c r="L54" s="5"/>
      <c r="M54" s="5"/>
      <c r="N54" s="5"/>
      <c r="O54" s="5"/>
      <c r="P54" s="88"/>
      <c r="Q54" s="95"/>
    </row>
    <row r="55" spans="1:17" s="2" customFormat="1" ht="12" customHeight="1">
      <c r="D55" s="22"/>
      <c r="E55" s="22"/>
      <c r="J55" s="5"/>
      <c r="K55" s="5"/>
      <c r="L55" s="5"/>
      <c r="M55" s="5"/>
      <c r="N55" s="5"/>
      <c r="O55" s="5"/>
      <c r="P55" s="88"/>
      <c r="Q55" s="96"/>
    </row>
    <row r="56" spans="1:17" s="2" customFormat="1" ht="12" customHeight="1">
      <c r="D56" s="22"/>
      <c r="E56" s="22"/>
      <c r="J56" s="5"/>
      <c r="K56" s="5"/>
      <c r="L56" s="5"/>
      <c r="M56" s="5"/>
      <c r="N56" s="5"/>
      <c r="O56" s="5"/>
      <c r="P56" s="88"/>
      <c r="Q56" s="96"/>
    </row>
    <row r="57" spans="1:17" s="2" customFormat="1" ht="12" customHeight="1">
      <c r="D57" s="22"/>
      <c r="E57" s="22"/>
      <c r="J57" s="5"/>
      <c r="K57" s="5"/>
      <c r="L57" s="5"/>
      <c r="M57" s="5"/>
      <c r="N57" s="5"/>
      <c r="O57" s="5"/>
      <c r="P57" s="88"/>
      <c r="Q57" s="96"/>
    </row>
    <row r="58" spans="1:17" s="2" customFormat="1" ht="12" customHeight="1">
      <c r="D58" s="22"/>
      <c r="E58" s="22"/>
      <c r="J58" s="5"/>
      <c r="K58" s="5"/>
      <c r="L58" s="5"/>
      <c r="M58" s="5"/>
      <c r="N58" s="5"/>
      <c r="O58" s="5"/>
      <c r="P58" s="88"/>
      <c r="Q58" s="96"/>
    </row>
    <row r="59" spans="1:17" s="2" customFormat="1" ht="12" customHeight="1">
      <c r="A59"/>
      <c r="B59"/>
      <c r="C59"/>
      <c r="D59" s="23"/>
      <c r="E59" s="23"/>
      <c r="F59"/>
      <c r="G59"/>
      <c r="H59"/>
      <c r="I59"/>
      <c r="J59" s="19"/>
      <c r="K59" s="19"/>
      <c r="L59" s="19"/>
      <c r="M59" s="19"/>
      <c r="N59" s="19"/>
      <c r="O59" s="19"/>
      <c r="P59" s="90"/>
      <c r="Q59" s="96"/>
    </row>
    <row r="60" spans="1:17" s="2" customFormat="1" ht="12" customHeight="1">
      <c r="A60"/>
      <c r="B60"/>
      <c r="C60"/>
      <c r="D60" s="23"/>
      <c r="E60" s="23"/>
      <c r="F60"/>
      <c r="G60"/>
      <c r="H60"/>
      <c r="I60"/>
      <c r="J60" s="19"/>
      <c r="K60" s="19"/>
      <c r="L60" s="19"/>
      <c r="M60" s="19"/>
      <c r="N60" s="19"/>
      <c r="O60" s="19"/>
      <c r="P60" s="90"/>
      <c r="Q60" s="96"/>
    </row>
    <row r="61" spans="1:17" s="2" customFormat="1" ht="12" customHeight="1">
      <c r="A61"/>
      <c r="B61"/>
      <c r="C61"/>
      <c r="D61" s="23"/>
      <c r="E61" s="23"/>
      <c r="F61"/>
      <c r="G61"/>
      <c r="H61"/>
      <c r="I61"/>
      <c r="J61" s="19"/>
      <c r="K61" s="19"/>
      <c r="L61" s="19"/>
      <c r="M61" s="19"/>
      <c r="N61" s="19"/>
      <c r="O61" s="19"/>
      <c r="P61" s="90"/>
      <c r="Q61" s="96"/>
    </row>
    <row r="62" spans="1:17" s="2" customFormat="1" ht="12" customHeight="1">
      <c r="A62"/>
      <c r="B62"/>
      <c r="C62"/>
      <c r="D62" s="23"/>
      <c r="E62" s="23"/>
      <c r="F62"/>
      <c r="G62"/>
      <c r="H62"/>
      <c r="I62"/>
      <c r="J62" s="19"/>
      <c r="K62" s="19"/>
      <c r="L62" s="19"/>
      <c r="M62" s="19"/>
      <c r="N62" s="19"/>
      <c r="O62" s="19"/>
      <c r="P62" s="90"/>
      <c r="Q62" s="96"/>
    </row>
    <row r="63" spans="1:17" s="2" customFormat="1" ht="12" customHeight="1">
      <c r="A63"/>
      <c r="B63"/>
      <c r="C63"/>
      <c r="D63" s="23"/>
      <c r="E63" s="23"/>
      <c r="F63"/>
      <c r="G63"/>
      <c r="H63"/>
      <c r="I63"/>
      <c r="J63" s="19"/>
      <c r="K63" s="19"/>
      <c r="L63" s="19"/>
      <c r="M63" s="19"/>
      <c r="N63" s="19"/>
      <c r="O63" s="19"/>
      <c r="P63" s="90"/>
      <c r="Q63" s="96"/>
    </row>
    <row r="64" spans="1:17">
      <c r="Q64" s="96"/>
    </row>
    <row r="65" spans="17:17">
      <c r="Q65" s="96"/>
    </row>
    <row r="66" spans="17:17">
      <c r="Q66" s="96"/>
    </row>
    <row r="67" spans="17:17">
      <c r="Q67" s="96"/>
    </row>
    <row r="68" spans="17:17">
      <c r="Q68" s="96"/>
    </row>
    <row r="69" spans="17:17">
      <c r="Q69" s="96"/>
    </row>
    <row r="70" spans="17:17">
      <c r="Q70" s="96"/>
    </row>
    <row r="71" spans="17:17">
      <c r="Q71" s="96"/>
    </row>
    <row r="72" spans="17:17">
      <c r="Q72" s="96"/>
    </row>
    <row r="73" spans="17:17">
      <c r="Q73" s="96"/>
    </row>
    <row r="74" spans="17:17">
      <c r="Q74" s="96"/>
    </row>
    <row r="75" spans="17:17">
      <c r="Q75" s="96"/>
    </row>
    <row r="76" spans="17:17">
      <c r="Q76" s="96"/>
    </row>
    <row r="77" spans="17:17">
      <c r="Q77" s="96"/>
    </row>
    <row r="78" spans="17:17">
      <c r="Q78" s="96"/>
    </row>
    <row r="79" spans="17:17">
      <c r="Q79" s="96"/>
    </row>
    <row r="80" spans="17:17">
      <c r="Q80" s="96"/>
    </row>
    <row r="81" spans="17:17">
      <c r="Q81" s="96"/>
    </row>
    <row r="82" spans="17:17">
      <c r="Q82" s="96"/>
    </row>
    <row r="83" spans="17:17">
      <c r="Q83" s="96"/>
    </row>
    <row r="120" ht="12" customHeight="1"/>
    <row r="121" ht="12" customHeight="1"/>
    <row r="122" ht="12" customHeight="1"/>
    <row r="123" ht="12" customHeight="1"/>
    <row r="124" ht="12" customHeight="1"/>
    <row r="125" ht="12" customHeight="1"/>
    <row r="126" ht="12" customHeight="1"/>
    <row r="127" ht="12" customHeight="1"/>
    <row r="128" ht="12" customHeight="1"/>
    <row r="129" ht="12" customHeight="1"/>
    <row r="130" ht="12" customHeight="1"/>
    <row r="131" ht="12" customHeight="1"/>
    <row r="132" ht="12" customHeight="1"/>
    <row r="133" ht="12" customHeight="1"/>
    <row r="134" ht="12" customHeight="1"/>
    <row r="135" ht="12" customHeight="1"/>
    <row r="136" ht="12" customHeight="1"/>
    <row r="137" ht="12" customHeight="1"/>
    <row r="138" ht="12" customHeight="1"/>
    <row r="139" ht="12" customHeight="1"/>
    <row r="140" ht="12" customHeight="1"/>
    <row r="141" ht="12" customHeight="1"/>
    <row r="142" ht="12" customHeight="1"/>
    <row r="143" ht="12" customHeight="1"/>
    <row r="144" ht="12" customHeight="1"/>
    <row r="145" ht="12" customHeight="1"/>
    <row r="146" ht="12" customHeight="1"/>
    <row r="147" ht="12" customHeight="1"/>
    <row r="148" ht="12" customHeight="1"/>
    <row r="149" ht="12" customHeight="1"/>
    <row r="150" ht="12" customHeight="1"/>
    <row r="151" ht="12" customHeight="1"/>
    <row r="152" ht="12" customHeight="1"/>
    <row r="153" ht="12" customHeight="1"/>
    <row r="154" ht="12" customHeight="1"/>
    <row r="155" ht="12" customHeight="1"/>
    <row r="156" ht="12" customHeight="1"/>
    <row r="157" ht="12" customHeight="1"/>
    <row r="158" ht="12" customHeight="1"/>
    <row r="159" ht="12" customHeight="1"/>
    <row r="160" ht="12" customHeight="1"/>
    <row r="161" ht="12" customHeight="1"/>
    <row r="162" ht="12" customHeight="1"/>
    <row r="163" ht="12" customHeight="1"/>
    <row r="164" ht="12" customHeight="1"/>
    <row r="165" ht="12" customHeight="1"/>
    <row r="166" ht="12" customHeight="1"/>
    <row r="167" ht="12" customHeight="1"/>
    <row r="168" ht="12" customHeight="1"/>
    <row r="169" ht="12" customHeight="1"/>
  </sheetData>
  <mergeCells count="20">
    <mergeCell ref="D16:E16"/>
    <mergeCell ref="H16:I16"/>
    <mergeCell ref="D11:E11"/>
    <mergeCell ref="H11:I11"/>
    <mergeCell ref="D12:E12"/>
    <mergeCell ref="D13:E13"/>
    <mergeCell ref="D14:E14"/>
    <mergeCell ref="D15:E15"/>
    <mergeCell ref="D6:E6"/>
    <mergeCell ref="H6:I6"/>
    <mergeCell ref="H7:I7"/>
    <mergeCell ref="D8:E8"/>
    <mergeCell ref="D10:E10"/>
    <mergeCell ref="D9:E9"/>
    <mergeCell ref="D7:E7"/>
    <mergeCell ref="D1:E1"/>
    <mergeCell ref="D4:E4"/>
    <mergeCell ref="H4:I4"/>
    <mergeCell ref="D5:E5"/>
    <mergeCell ref="H5:I5"/>
  </mergeCells>
  <conditionalFormatting sqref="M8:M10">
    <cfRule type="cellIs" dxfId="160" priority="3" stopIfTrue="1" operator="lessThanOrEqual">
      <formula>$L8</formula>
    </cfRule>
    <cfRule type="cellIs" dxfId="159" priority="4" operator="greaterThan">
      <formula>L8</formula>
    </cfRule>
  </conditionalFormatting>
  <conditionalFormatting sqref="M12:M15">
    <cfRule type="cellIs" dxfId="158" priority="1" stopIfTrue="1" operator="lessThanOrEqual">
      <formula>$L12</formula>
    </cfRule>
    <cfRule type="cellIs" dxfId="157" priority="2" operator="greaterThan">
      <formula>L12</formula>
    </cfRule>
  </conditionalFormatting>
  <pageMargins left="0.7" right="0.7" top="0.75" bottom="0.75" header="0.3" footer="0.3"/>
  <pageSetup paperSize="3" fitToHeight="0" orientation="landscape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E56CDC1A-19DF-4EE3-A75C-97770A084194}">
          <x14:formula1>
            <xm:f>Assemblies!$E:$E</xm:f>
          </x14:formula1>
          <xm:sqref>C5:C6</xm:sqref>
        </x14:dataValidation>
        <x14:dataValidation type="list" allowBlank="1" showInputMessage="1" showErrorMessage="1" xr:uid="{839C00B6-DAA9-4289-ACA4-E8435BAD78A8}">
          <x14:formula1>
            <xm:f>Purchased!$A:$A</xm:f>
          </x14:formula1>
          <xm:sqref>C8:C10</xm:sqref>
        </x14:dataValidation>
        <x14:dataValidation type="list" allowBlank="1" showInputMessage="1" showErrorMessage="1" xr:uid="{109E09CC-A8E3-4D50-889F-C1CC220C5383}">
          <x14:formula1>
            <xm:f>Extrusion!$B:$B</xm:f>
          </x14:formula1>
          <xm:sqref>C12:C15</xm:sqref>
        </x14:dataValidation>
      </x14:dataValidations>
    </ext>
  </extLst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3B6BC4-7893-4E02-9F59-52ED560C033E}">
  <sheetPr codeName="Sheet143">
    <tabColor theme="3" tint="0.79998168889431442"/>
    <pageSetUpPr fitToPage="1"/>
  </sheetPr>
  <dimension ref="A1:Q166"/>
  <sheetViews>
    <sheetView zoomScaleNormal="100" workbookViewId="0">
      <selection activeCell="J25" sqref="J25"/>
    </sheetView>
  </sheetViews>
  <sheetFormatPr defaultColWidth="9.140625" defaultRowHeight="15"/>
  <cols>
    <col min="1" max="1" width="5.7109375" customWidth="1"/>
    <col min="2" max="2" width="5.42578125" bestFit="1" customWidth="1"/>
    <col min="3" max="3" width="30.7109375" customWidth="1"/>
    <col min="4" max="5" width="20.7109375" style="23" customWidth="1"/>
    <col min="6" max="6" width="16.85546875" bestFit="1" customWidth="1"/>
    <col min="7" max="7" width="9.7109375" customWidth="1"/>
    <col min="8" max="8" width="8.7109375" customWidth="1"/>
    <col min="9" max="9" width="20.7109375" customWidth="1"/>
    <col min="10" max="13" width="11.7109375" style="19" customWidth="1"/>
    <col min="14" max="14" width="11.85546875" style="19" bestFit="1" customWidth="1"/>
    <col min="15" max="15" width="7.7109375" style="19" customWidth="1"/>
    <col min="16" max="16" width="10.7109375" style="90" customWidth="1"/>
    <col min="17" max="17" width="10.7109375" style="97" customWidth="1"/>
  </cols>
  <sheetData>
    <row r="1" spans="1:17" s="55" customFormat="1" ht="12" customHeight="1">
      <c r="A1" s="68" t="s">
        <v>0</v>
      </c>
      <c r="B1" s="69"/>
      <c r="C1" s="69"/>
      <c r="D1" s="262" t="s">
        <v>1</v>
      </c>
      <c r="E1" s="263"/>
      <c r="F1" s="70"/>
      <c r="G1" s="69"/>
      <c r="H1" s="70"/>
      <c r="I1" s="71"/>
      <c r="J1" s="72"/>
      <c r="K1" s="72"/>
      <c r="L1" s="72"/>
      <c r="M1" s="72"/>
      <c r="N1" s="72"/>
      <c r="O1" s="72"/>
      <c r="P1" s="85"/>
      <c r="Q1" s="91"/>
    </row>
    <row r="2" spans="1:17" s="55" customFormat="1" ht="12" customHeight="1">
      <c r="A2" s="74" t="s">
        <v>48</v>
      </c>
      <c r="B2" s="58"/>
      <c r="C2" s="57" t="e">
        <f ca="1">VLOOKUP(E3,Assemblies!B:F,4,0)</f>
        <v>#VALUE!</v>
      </c>
      <c r="D2" s="75" t="s">
        <v>3</v>
      </c>
      <c r="E2" s="76" t="e">
        <f ca="1">'GF12'!E2</f>
        <v>#VALUE!</v>
      </c>
      <c r="F2" s="77" t="s">
        <v>4</v>
      </c>
      <c r="G2" s="58" t="str">
        <f>'GF12'!G2</f>
        <v>GH</v>
      </c>
      <c r="H2" s="77" t="s">
        <v>6</v>
      </c>
      <c r="I2" s="59">
        <f>'GF12'!I2</f>
        <v>44775</v>
      </c>
      <c r="J2" s="39"/>
      <c r="K2" s="40" t="s">
        <v>49</v>
      </c>
      <c r="L2" s="41" t="e">
        <f ca="1">VLOOKUP(C2,Assemblies!E:G,3,0)</f>
        <v>#VALUE!</v>
      </c>
      <c r="M2" s="78"/>
      <c r="N2" s="78"/>
      <c r="O2" s="78"/>
      <c r="P2" s="86"/>
      <c r="Q2" s="92"/>
    </row>
    <row r="3" spans="1:17" s="55" customFormat="1" ht="12" customHeight="1" thickBot="1">
      <c r="A3" s="74" t="s">
        <v>7</v>
      </c>
      <c r="B3" s="58"/>
      <c r="C3" s="57" t="e">
        <f ca="1">VLOOKUP(E3,Assemblies!B:F,5,0)</f>
        <v>#VALUE!</v>
      </c>
      <c r="D3" s="75" t="s">
        <v>50</v>
      </c>
      <c r="E3" s="76" t="e">
        <f ca="1">MID(CELL("filename",A1),FIND("]",CELL("filename",A1))+1,256)</f>
        <v>#VALUE!</v>
      </c>
      <c r="F3" s="77" t="s">
        <v>11</v>
      </c>
      <c r="G3" s="58" t="str">
        <f>'GF12'!G3</f>
        <v>GH</v>
      </c>
      <c r="H3" s="77" t="s">
        <v>6</v>
      </c>
      <c r="I3" s="59">
        <f>'GF12'!I3</f>
        <v>44775</v>
      </c>
      <c r="J3" s="78"/>
      <c r="K3" s="78"/>
      <c r="L3" s="78"/>
      <c r="M3" s="78"/>
      <c r="N3" s="78"/>
      <c r="O3" s="78"/>
      <c r="P3" s="86"/>
      <c r="Q3" s="92"/>
    </row>
    <row r="4" spans="1:17" s="56" customFormat="1" ht="12.75" customHeight="1" thickBot="1">
      <c r="A4" s="80" t="s">
        <v>12</v>
      </c>
      <c r="B4" s="81" t="s">
        <v>13</v>
      </c>
      <c r="C4" s="81" t="s">
        <v>14</v>
      </c>
      <c r="D4" s="270" t="s">
        <v>15</v>
      </c>
      <c r="E4" s="271"/>
      <c r="F4" s="104" t="s">
        <v>16</v>
      </c>
      <c r="G4" s="81" t="s">
        <v>17</v>
      </c>
      <c r="H4" s="260" t="s">
        <v>18</v>
      </c>
      <c r="I4" s="261"/>
      <c r="J4" s="81" t="s">
        <v>51</v>
      </c>
      <c r="K4" s="81" t="s">
        <v>20</v>
      </c>
      <c r="L4" s="81" t="s">
        <v>21</v>
      </c>
      <c r="M4" s="81" t="s">
        <v>52</v>
      </c>
      <c r="N4" s="81" t="s">
        <v>22</v>
      </c>
      <c r="O4" s="81" t="s">
        <v>53</v>
      </c>
      <c r="P4" s="107" t="s">
        <v>26</v>
      </c>
      <c r="Q4" s="82" t="s">
        <v>27</v>
      </c>
    </row>
    <row r="5" spans="1:17" s="2" customFormat="1" ht="12.75" customHeight="1">
      <c r="A5" s="127">
        <v>1</v>
      </c>
      <c r="B5" s="21">
        <v>1</v>
      </c>
      <c r="C5" s="108" t="s">
        <v>1369</v>
      </c>
      <c r="D5" s="277" t="str">
        <f>VLOOKUP(C5,Machined!C:Q,2,0)</f>
        <v>DELIV CONVEYOR MOUNT PLATE</v>
      </c>
      <c r="E5" s="278"/>
      <c r="F5" s="131" t="str">
        <f>VLOOKUP(C5,Machined!C:R,7,0)</f>
        <v>6061-T6 Alum</v>
      </c>
      <c r="G5" s="131" t="str">
        <f>VLOOKUP(C5,Machined!C:R,10,0)</f>
        <v>NULINE</v>
      </c>
      <c r="H5" s="131" t="str">
        <f>VLOOKUP(C5,Machined!C:R,11,0)</f>
        <v xml:space="preserve">  </v>
      </c>
      <c r="I5" s="131"/>
      <c r="J5" s="42" t="str">
        <f>VLOOKUP(C5,Machined!C:R,12,0)</f>
        <v>N/A</v>
      </c>
      <c r="K5" s="42" t="str">
        <f>VLOOKUP(C5,Machined!C:R,13,0)</f>
        <v>N/A</v>
      </c>
      <c r="L5" s="42" t="str">
        <f>VLOOKUP(C5,Machined!C:R,14,0)</f>
        <v>N/A</v>
      </c>
      <c r="M5" s="42" t="str">
        <f>VLOOKUP(C5,Machined!C:R,15,0)</f>
        <v>N/A</v>
      </c>
      <c r="N5" s="43" t="str">
        <f>VLOOKUP(C5,Machined!C:R,16,0)</f>
        <v>N/A</v>
      </c>
      <c r="O5" s="43" t="e">
        <f t="shared" ref="O5" ca="1" si="0">B5*$L$2</f>
        <v>#VALUE!</v>
      </c>
      <c r="P5" s="47">
        <f>IFERROR(VLOOKUP(C5,Machined!C:F,3,0),"")</f>
        <v>0</v>
      </c>
      <c r="Q5" s="48">
        <f t="shared" ref="Q5" si="1">IFERROR(B5*P5,"")</f>
        <v>0</v>
      </c>
    </row>
    <row r="6" spans="1:17" s="2" customFormat="1" ht="12.75" customHeight="1">
      <c r="A6" s="143"/>
      <c r="B6" s="26"/>
      <c r="C6" s="26"/>
      <c r="D6" s="272"/>
      <c r="E6" s="273"/>
      <c r="F6" s="26"/>
      <c r="G6" s="26"/>
      <c r="H6" s="274"/>
      <c r="I6" s="275"/>
      <c r="J6" s="27"/>
      <c r="K6" s="27"/>
      <c r="L6" s="27"/>
      <c r="M6" s="28"/>
      <c r="N6" s="29"/>
      <c r="O6" s="29"/>
      <c r="P6" s="141"/>
      <c r="Q6" s="142"/>
    </row>
    <row r="7" spans="1:17" s="2" customFormat="1" ht="12.75" customHeight="1">
      <c r="A7" s="4">
        <v>301</v>
      </c>
      <c r="B7" s="2">
        <v>1</v>
      </c>
      <c r="C7" s="114" t="s">
        <v>1370</v>
      </c>
      <c r="D7" s="268" t="str">
        <f>VLOOKUP(C7,Purchased!A:B,2,0)</f>
        <v>Dorner Conveyor L Bracket</v>
      </c>
      <c r="E7" s="269"/>
      <c r="F7" s="112" t="str">
        <f>VLOOKUP(C7,Purchased!A:Q,9,0)</f>
        <v>DORNER</v>
      </c>
      <c r="G7" s="112" t="str">
        <f>VLOOKUP(C7,Purchased!A:Q,10,0)</f>
        <v>AAP</v>
      </c>
      <c r="H7" s="112" t="str">
        <f>VLOOKUP(C7,Purchased!A:Q,12,0)</f>
        <v xml:space="preserve"> </v>
      </c>
      <c r="I7" s="113"/>
      <c r="J7" s="44" t="str">
        <f>VLOOKUP(C7,Purchased!A:Q,13,0)</f>
        <v>N/A</v>
      </c>
      <c r="K7" s="44">
        <f>VLOOKUP(C7,Purchased!A:Q,14,0)</f>
        <v>45162</v>
      </c>
      <c r="L7" s="44">
        <f>VLOOKUP(C7,Purchased!A:Q,15,0)</f>
        <v>45184</v>
      </c>
      <c r="M7" s="44">
        <f>VLOOKUP(C7,Purchased!A:Q,16,0)</f>
        <v>45197</v>
      </c>
      <c r="N7" s="45">
        <f>VLOOKUP(C7,Purchased!A:Q,17,0)</f>
        <v>55073</v>
      </c>
      <c r="O7" s="45" t="e">
        <f t="shared" ref="O7:O12" ca="1" si="2">B7*$L$2</f>
        <v>#VALUE!</v>
      </c>
      <c r="P7" s="49">
        <f>IFERROR(VLOOKUP(C7,Purchased!A:E,3,FALSE),"")</f>
        <v>154.82689999999999</v>
      </c>
      <c r="Q7" s="50">
        <f t="shared" ref="Q7:Q8" si="3">IFERROR(B7*P7,"")</f>
        <v>154.82689999999999</v>
      </c>
    </row>
    <row r="8" spans="1:17" s="2" customFormat="1" ht="12" customHeight="1">
      <c r="A8" s="4">
        <f t="shared" ref="A8" si="4">A7+1</f>
        <v>302</v>
      </c>
      <c r="B8" s="2">
        <v>4</v>
      </c>
      <c r="C8" s="114" t="s">
        <v>262</v>
      </c>
      <c r="D8" s="268" t="str">
        <f>VLOOKUP(C8,Purchased!A:B,2,0)</f>
        <v>BRX GOTO T-NUT 10 M6</v>
      </c>
      <c r="E8" s="269"/>
      <c r="F8" s="112" t="str">
        <f>VLOOKUP(C8,Purchased!A:Q,9,0)</f>
        <v>BRX</v>
      </c>
      <c r="G8" s="112" t="str">
        <f>VLOOKUP(C8,Purchased!A:Q,10,0)</f>
        <v>AAP</v>
      </c>
      <c r="H8" s="112" t="str">
        <f>VLOOKUP(C8,Purchased!A:Q,12,0)</f>
        <v xml:space="preserve">  </v>
      </c>
      <c r="I8" s="113"/>
      <c r="J8" s="44">
        <f>VLOOKUP(C8,Purchased!A:Q,13,0)</f>
        <v>45104</v>
      </c>
      <c r="K8" s="44">
        <f>VLOOKUP(C8,Purchased!A:Q,14,0)</f>
        <v>45105</v>
      </c>
      <c r="L8" s="44">
        <f>VLOOKUP(C8,Purchased!A:Q,15,0)</f>
        <v>45133</v>
      </c>
      <c r="M8" s="44">
        <f>VLOOKUP(C8,Purchased!A:Q,16,0)</f>
        <v>45133</v>
      </c>
      <c r="N8" s="45" t="str">
        <f>VLOOKUP(C8,Purchased!A:Q,17,0)</f>
        <v>54968, 55147, 55270</v>
      </c>
      <c r="O8" s="45" t="e">
        <f t="shared" ca="1" si="2"/>
        <v>#VALUE!</v>
      </c>
      <c r="P8" s="49">
        <f>IFERROR(VLOOKUP(C8,Purchased!A:E,3,FALSE),"")</f>
        <v>0.64290000000000003</v>
      </c>
      <c r="Q8" s="50">
        <f t="shared" si="3"/>
        <v>2.5716000000000001</v>
      </c>
    </row>
    <row r="9" spans="1:17" s="2" customFormat="1" ht="12.75" customHeight="1">
      <c r="A9" s="25"/>
      <c r="B9" s="26"/>
      <c r="C9" s="26"/>
      <c r="D9" s="272"/>
      <c r="E9" s="273"/>
      <c r="F9" s="26"/>
      <c r="G9" s="26"/>
      <c r="H9" s="274"/>
      <c r="I9" s="275"/>
      <c r="J9" s="27"/>
      <c r="K9" s="27"/>
      <c r="L9" s="27"/>
      <c r="M9" s="28"/>
      <c r="N9" s="29"/>
      <c r="O9" s="29" t="e">
        <f t="shared" ca="1" si="2"/>
        <v>#VALUE!</v>
      </c>
      <c r="P9" s="141"/>
      <c r="Q9" s="142"/>
    </row>
    <row r="10" spans="1:17" s="2" customFormat="1" ht="12.75" customHeight="1">
      <c r="A10" s="4">
        <v>501</v>
      </c>
      <c r="B10" s="2">
        <v>4</v>
      </c>
      <c r="C10" s="110" t="s">
        <v>828</v>
      </c>
      <c r="D10" s="268"/>
      <c r="E10" s="276"/>
      <c r="F10" s="112" t="str">
        <f>VLOOKUP(C10,Bolts!A:L,5,0)</f>
        <v xml:space="preserve">  </v>
      </c>
      <c r="G10" s="112" t="str">
        <f>VLOOKUP(C10,Bolts!A:L,6,0)</f>
        <v>Monroe Fasteners</v>
      </c>
      <c r="H10" s="112" t="str">
        <f>VLOOKUP(C10,Bolts!A:L,7,0)</f>
        <v xml:space="preserve">  </v>
      </c>
      <c r="I10" s="112"/>
      <c r="J10" s="44" t="str">
        <f>VLOOKUP(C10,Bolts!A:L,8,0)</f>
        <v xml:space="preserve"> </v>
      </c>
      <c r="K10" s="44" t="str">
        <f>VLOOKUP(C10,Bolts!A:L,9,0)</f>
        <v xml:space="preserve"> </v>
      </c>
      <c r="L10" s="44" t="str">
        <f>VLOOKUP(C10,Bolts!A:L,10,0)</f>
        <v xml:space="preserve"> </v>
      </c>
      <c r="M10" s="44" t="str">
        <f>VLOOKUP(C10,Bolts!A:L,11,0)</f>
        <v xml:space="preserve"> </v>
      </c>
      <c r="N10" s="45" t="str">
        <f>VLOOKUP(C10,Bolts!A:L,12,0)</f>
        <v xml:space="preserve"> </v>
      </c>
      <c r="O10" s="45" t="e">
        <f t="shared" ca="1" si="2"/>
        <v>#VALUE!</v>
      </c>
      <c r="P10" s="49" t="str">
        <f>IFERROR(VLOOKUP(C10,Bolts!A:B,2,FALSE),"")</f>
        <v xml:space="preserve"> </v>
      </c>
      <c r="Q10" s="50" t="str">
        <f t="shared" ref="Q10:Q12" si="5">IFERROR(B10*P10,"")</f>
        <v/>
      </c>
    </row>
    <row r="11" spans="1:17" s="2" customFormat="1" ht="12.75" customHeight="1">
      <c r="A11" s="4">
        <f t="shared" ref="A11:A12" si="6">A10+1</f>
        <v>502</v>
      </c>
      <c r="B11" s="2">
        <v>6</v>
      </c>
      <c r="C11" s="110" t="s">
        <v>595</v>
      </c>
      <c r="D11" s="268"/>
      <c r="E11" s="276"/>
      <c r="F11" s="112" t="str">
        <f>VLOOKUP(C11,Bolts!A:L,5,0)</f>
        <v xml:space="preserve">  </v>
      </c>
      <c r="G11" s="112" t="str">
        <f>VLOOKUP(C11,Bolts!A:L,6,0)</f>
        <v>Monroe Fasteners</v>
      </c>
      <c r="H11" s="112" t="str">
        <f>VLOOKUP(C11,Bolts!A:L,7,0)</f>
        <v xml:space="preserve">  </v>
      </c>
      <c r="I11" s="112"/>
      <c r="J11" s="44" t="str">
        <f>VLOOKUP(C11,Bolts!A:L,8,0)</f>
        <v xml:space="preserve"> </v>
      </c>
      <c r="K11" s="44" t="str">
        <f>VLOOKUP(C11,Bolts!A:L,9,0)</f>
        <v xml:space="preserve"> </v>
      </c>
      <c r="L11" s="44" t="str">
        <f>VLOOKUP(C11,Bolts!A:L,10,0)</f>
        <v xml:space="preserve"> </v>
      </c>
      <c r="M11" s="44" t="str">
        <f>VLOOKUP(C11,Bolts!A:L,11,0)</f>
        <v xml:space="preserve"> </v>
      </c>
      <c r="N11" s="45" t="str">
        <f>VLOOKUP(C11,Bolts!A:L,12,0)</f>
        <v xml:space="preserve"> </v>
      </c>
      <c r="O11" s="45" t="e">
        <f t="shared" ca="1" si="2"/>
        <v>#VALUE!</v>
      </c>
      <c r="P11" s="49" t="str">
        <f>IFERROR(VLOOKUP(C11,Bolts!A:B,2,FALSE),"")</f>
        <v xml:space="preserve"> </v>
      </c>
      <c r="Q11" s="50" t="str">
        <f t="shared" si="5"/>
        <v/>
      </c>
    </row>
    <row r="12" spans="1:17" s="2" customFormat="1" ht="12" customHeight="1" thickBot="1">
      <c r="A12" s="4">
        <f t="shared" si="6"/>
        <v>503</v>
      </c>
      <c r="B12" s="2">
        <v>2</v>
      </c>
      <c r="C12" s="110" t="s">
        <v>342</v>
      </c>
      <c r="D12" s="268"/>
      <c r="E12" s="276"/>
      <c r="F12" s="112" t="str">
        <f>VLOOKUP(C12,Bolts!A:L,5,0)</f>
        <v xml:space="preserve">  </v>
      </c>
      <c r="G12" s="112" t="str">
        <f>VLOOKUP(C12,Bolts!A:L,6,0)</f>
        <v>Monroe Fasteners</v>
      </c>
      <c r="H12" s="112" t="str">
        <f>VLOOKUP(C12,Bolts!A:L,7,0)</f>
        <v xml:space="preserve">  </v>
      </c>
      <c r="I12" s="112"/>
      <c r="J12" s="44" t="str">
        <f>VLOOKUP(C12,Bolts!A:L,8,0)</f>
        <v xml:space="preserve"> </v>
      </c>
      <c r="K12" s="44" t="str">
        <f>VLOOKUP(C12,Bolts!A:L,9,0)</f>
        <v xml:space="preserve"> </v>
      </c>
      <c r="L12" s="44" t="str">
        <f>VLOOKUP(C12,Bolts!A:L,10,0)</f>
        <v xml:space="preserve"> </v>
      </c>
      <c r="M12" s="44" t="str">
        <f>VLOOKUP(C12,Bolts!A:L,11,0)</f>
        <v xml:space="preserve"> </v>
      </c>
      <c r="N12" s="45" t="str">
        <f>VLOOKUP(C12,Bolts!A:L,12,0)</f>
        <v xml:space="preserve"> </v>
      </c>
      <c r="O12" s="45" t="e">
        <f t="shared" ca="1" si="2"/>
        <v>#VALUE!</v>
      </c>
      <c r="P12" s="49" t="str">
        <f>IFERROR(VLOOKUP(C12,Bolts!A:B,2,FALSE),"")</f>
        <v xml:space="preserve"> </v>
      </c>
      <c r="Q12" s="50" t="str">
        <f t="shared" si="5"/>
        <v/>
      </c>
    </row>
    <row r="13" spans="1:17" s="2" customFormat="1" ht="12.75" customHeight="1" thickBot="1">
      <c r="A13" s="34"/>
      <c r="B13" s="35"/>
      <c r="C13" s="35"/>
      <c r="D13" s="256"/>
      <c r="E13" s="257"/>
      <c r="F13" s="35"/>
      <c r="G13" s="35"/>
      <c r="H13" s="294"/>
      <c r="I13" s="295"/>
      <c r="J13" s="36"/>
      <c r="K13" s="36"/>
      <c r="L13" s="36"/>
      <c r="M13" s="37"/>
      <c r="N13" s="38"/>
      <c r="O13" s="38"/>
      <c r="P13" s="89" t="s">
        <v>43</v>
      </c>
      <c r="Q13" s="94">
        <f>SUM(Q5:Q12)</f>
        <v>157.39849999999998</v>
      </c>
    </row>
    <row r="14" spans="1:17" s="2" customFormat="1" ht="12" customHeight="1">
      <c r="D14" s="22"/>
      <c r="E14" s="22"/>
      <c r="J14" s="8"/>
      <c r="K14" s="8"/>
      <c r="L14" s="8"/>
      <c r="M14" s="8"/>
      <c r="N14" s="5"/>
      <c r="O14" s="5"/>
      <c r="P14" s="88"/>
      <c r="Q14" s="95"/>
    </row>
    <row r="15" spans="1:17" s="2" customFormat="1" ht="12" customHeight="1">
      <c r="D15" s="22"/>
      <c r="E15" s="22"/>
      <c r="J15" s="5"/>
      <c r="K15" s="5"/>
      <c r="L15" s="5"/>
      <c r="M15" s="5"/>
      <c r="N15" s="5"/>
      <c r="O15" s="5"/>
      <c r="P15" s="88"/>
      <c r="Q15" s="95"/>
    </row>
    <row r="16" spans="1:17" s="2" customFormat="1" ht="12" customHeight="1">
      <c r="D16" s="22"/>
      <c r="E16" s="22"/>
      <c r="J16" s="5"/>
      <c r="K16" s="5"/>
      <c r="L16" s="5"/>
      <c r="M16" s="5"/>
      <c r="N16" s="5"/>
      <c r="O16" s="5"/>
      <c r="P16" s="88"/>
      <c r="Q16" s="95"/>
    </row>
    <row r="17" spans="4:17" s="2" customFormat="1" ht="12" customHeight="1">
      <c r="D17" s="22"/>
      <c r="E17" s="22"/>
      <c r="J17" s="5"/>
      <c r="K17" s="5"/>
      <c r="L17" s="5"/>
      <c r="M17" s="5"/>
      <c r="N17" s="5"/>
      <c r="O17" s="5"/>
      <c r="P17" s="88"/>
      <c r="Q17" s="95"/>
    </row>
    <row r="18" spans="4:17" s="2" customFormat="1" ht="12" customHeight="1">
      <c r="D18" s="22"/>
      <c r="E18" s="22"/>
      <c r="J18" s="5"/>
      <c r="K18" s="5"/>
      <c r="L18" s="5"/>
      <c r="M18" s="5"/>
      <c r="N18" s="5"/>
      <c r="O18" s="5"/>
      <c r="P18" s="88"/>
      <c r="Q18" s="95"/>
    </row>
    <row r="19" spans="4:17" s="2" customFormat="1" ht="12" customHeight="1">
      <c r="D19" s="22"/>
      <c r="E19" s="22"/>
      <c r="J19" s="5"/>
      <c r="K19" s="5"/>
      <c r="L19" s="5"/>
      <c r="M19" s="5"/>
      <c r="N19" s="5"/>
      <c r="O19" s="5"/>
      <c r="P19" s="88"/>
      <c r="Q19" s="95"/>
    </row>
    <row r="20" spans="4:17" s="2" customFormat="1" ht="12" customHeight="1">
      <c r="D20" s="22"/>
      <c r="E20" s="22"/>
      <c r="J20" s="5"/>
      <c r="K20" s="5"/>
      <c r="L20" s="5"/>
      <c r="M20" s="5"/>
      <c r="N20" s="5"/>
      <c r="O20" s="5"/>
      <c r="P20" s="88"/>
      <c r="Q20" s="95"/>
    </row>
    <row r="21" spans="4:17" s="2" customFormat="1" ht="12" customHeight="1">
      <c r="D21" s="22"/>
      <c r="E21" s="22"/>
      <c r="J21" s="5"/>
      <c r="K21" s="5"/>
      <c r="L21" s="5"/>
      <c r="M21" s="5"/>
      <c r="N21" s="5"/>
      <c r="O21" s="5"/>
      <c r="P21" s="88"/>
      <c r="Q21" s="95"/>
    </row>
    <row r="22" spans="4:17" s="2" customFormat="1" ht="12" customHeight="1">
      <c r="D22" s="22"/>
      <c r="E22" s="22"/>
      <c r="J22" s="5"/>
      <c r="K22" s="5"/>
      <c r="L22" s="5"/>
      <c r="M22" s="5"/>
      <c r="N22" s="5"/>
      <c r="O22" s="5"/>
      <c r="P22" s="88"/>
      <c r="Q22" s="95"/>
    </row>
    <row r="23" spans="4:17" s="2" customFormat="1" ht="12" customHeight="1">
      <c r="D23" s="22"/>
      <c r="E23" s="22"/>
      <c r="J23" s="5"/>
      <c r="K23" s="5"/>
      <c r="L23" s="5"/>
      <c r="M23" s="5"/>
      <c r="N23" s="5"/>
      <c r="O23" s="5"/>
      <c r="P23" s="88"/>
      <c r="Q23" s="95"/>
    </row>
    <row r="24" spans="4:17" s="2" customFormat="1" ht="12" customHeight="1">
      <c r="D24" s="22"/>
      <c r="E24" s="22"/>
      <c r="J24" s="5"/>
      <c r="K24" s="5"/>
      <c r="L24" s="5"/>
      <c r="M24" s="5"/>
      <c r="N24" s="5"/>
      <c r="O24" s="5"/>
      <c r="P24" s="88"/>
      <c r="Q24" s="95"/>
    </row>
    <row r="25" spans="4:17" s="2" customFormat="1" ht="12" customHeight="1">
      <c r="D25" s="22"/>
      <c r="E25" s="22"/>
      <c r="J25" s="5"/>
      <c r="K25" s="5"/>
      <c r="L25" s="5"/>
      <c r="M25" s="5"/>
      <c r="N25" s="5"/>
      <c r="O25" s="5"/>
      <c r="P25" s="88"/>
      <c r="Q25" s="95"/>
    </row>
    <row r="26" spans="4:17" s="2" customFormat="1" ht="12" customHeight="1">
      <c r="D26" s="22"/>
      <c r="E26" s="22"/>
      <c r="J26" s="5"/>
      <c r="K26" s="5"/>
      <c r="L26" s="5"/>
      <c r="M26" s="5"/>
      <c r="N26" s="5"/>
      <c r="O26" s="5"/>
      <c r="P26" s="88"/>
      <c r="Q26" s="95"/>
    </row>
    <row r="27" spans="4:17" s="2" customFormat="1" ht="12" customHeight="1">
      <c r="D27" s="22"/>
      <c r="E27" s="22"/>
      <c r="J27" s="5"/>
      <c r="K27" s="5"/>
      <c r="L27" s="5"/>
      <c r="M27" s="5"/>
      <c r="N27" s="5"/>
      <c r="O27" s="5"/>
      <c r="P27" s="88"/>
      <c r="Q27" s="95"/>
    </row>
    <row r="28" spans="4:17" s="2" customFormat="1" ht="12" customHeight="1">
      <c r="D28" s="22"/>
      <c r="E28" s="22"/>
      <c r="J28" s="5"/>
      <c r="K28" s="5"/>
      <c r="L28" s="5"/>
      <c r="M28" s="5"/>
      <c r="N28" s="5"/>
      <c r="O28" s="5"/>
      <c r="P28" s="88"/>
      <c r="Q28" s="95"/>
    </row>
    <row r="29" spans="4:17" s="2" customFormat="1" ht="12" customHeight="1">
      <c r="D29" s="22"/>
      <c r="E29" s="22"/>
      <c r="J29" s="5"/>
      <c r="K29" s="5"/>
      <c r="L29" s="5"/>
      <c r="M29" s="5"/>
      <c r="N29" s="5"/>
      <c r="O29" s="5"/>
      <c r="P29" s="88"/>
      <c r="Q29" s="95"/>
    </row>
    <row r="30" spans="4:17" s="2" customFormat="1" ht="12" customHeight="1">
      <c r="D30" s="22"/>
      <c r="E30" s="22"/>
      <c r="J30" s="5"/>
      <c r="K30" s="5"/>
      <c r="L30" s="5"/>
      <c r="M30" s="5"/>
      <c r="N30" s="5"/>
      <c r="O30" s="5"/>
      <c r="P30" s="88"/>
      <c r="Q30" s="95"/>
    </row>
    <row r="31" spans="4:17" s="2" customFormat="1" ht="12" customHeight="1">
      <c r="D31" s="22"/>
      <c r="E31" s="22"/>
      <c r="J31" s="5"/>
      <c r="K31" s="5"/>
      <c r="L31" s="5"/>
      <c r="M31" s="5"/>
      <c r="N31" s="5"/>
      <c r="O31" s="5"/>
      <c r="P31" s="88"/>
      <c r="Q31" s="95"/>
    </row>
    <row r="32" spans="4:17" s="2" customFormat="1" ht="12" customHeight="1">
      <c r="D32" s="22"/>
      <c r="E32" s="22"/>
      <c r="J32" s="5"/>
      <c r="K32" s="5"/>
      <c r="L32" s="5"/>
      <c r="M32" s="5"/>
      <c r="N32" s="5"/>
      <c r="O32" s="5"/>
      <c r="P32" s="88"/>
      <c r="Q32" s="95"/>
    </row>
    <row r="33" spans="4:17" s="2" customFormat="1" ht="12" customHeight="1">
      <c r="D33" s="22"/>
      <c r="E33" s="22"/>
      <c r="J33" s="5"/>
      <c r="K33" s="5"/>
      <c r="L33" s="5"/>
      <c r="M33" s="5"/>
      <c r="N33" s="5"/>
      <c r="O33" s="5"/>
      <c r="P33" s="88"/>
      <c r="Q33" s="95"/>
    </row>
    <row r="34" spans="4:17" s="2" customFormat="1" ht="12" customHeight="1">
      <c r="D34" s="22"/>
      <c r="E34" s="22"/>
      <c r="J34" s="5"/>
      <c r="K34" s="5"/>
      <c r="L34" s="5"/>
      <c r="M34" s="5"/>
      <c r="N34" s="5"/>
      <c r="O34" s="5"/>
      <c r="P34" s="88"/>
      <c r="Q34" s="95"/>
    </row>
    <row r="35" spans="4:17" s="2" customFormat="1" ht="12" customHeight="1">
      <c r="D35" s="22"/>
      <c r="E35" s="22"/>
      <c r="J35" s="5"/>
      <c r="K35" s="5"/>
      <c r="L35" s="5"/>
      <c r="M35" s="5"/>
      <c r="N35" s="5"/>
      <c r="O35" s="5"/>
      <c r="P35" s="88"/>
      <c r="Q35" s="95"/>
    </row>
    <row r="36" spans="4:17" s="2" customFormat="1" ht="12" customHeight="1">
      <c r="D36" s="22"/>
      <c r="E36" s="22"/>
      <c r="J36" s="5"/>
      <c r="K36" s="5"/>
      <c r="L36" s="5"/>
      <c r="M36" s="5"/>
      <c r="N36" s="5"/>
      <c r="O36" s="5"/>
      <c r="P36" s="88"/>
      <c r="Q36" s="95"/>
    </row>
    <row r="37" spans="4:17" s="2" customFormat="1" ht="12" customHeight="1">
      <c r="D37" s="22"/>
      <c r="E37" s="22"/>
      <c r="J37" s="5"/>
      <c r="K37" s="5"/>
      <c r="L37" s="5"/>
      <c r="M37" s="5"/>
      <c r="N37" s="5"/>
      <c r="O37" s="5"/>
      <c r="P37" s="88"/>
      <c r="Q37" s="95"/>
    </row>
    <row r="38" spans="4:17" s="2" customFormat="1" ht="12" customHeight="1">
      <c r="D38" s="22"/>
      <c r="E38" s="22"/>
      <c r="J38" s="5"/>
      <c r="K38" s="5"/>
      <c r="L38" s="5"/>
      <c r="M38" s="5"/>
      <c r="N38" s="5"/>
      <c r="O38" s="5"/>
      <c r="P38" s="88"/>
      <c r="Q38" s="95"/>
    </row>
    <row r="39" spans="4:17" s="2" customFormat="1" ht="12" customHeight="1">
      <c r="D39" s="22"/>
      <c r="E39" s="22"/>
      <c r="J39" s="5"/>
      <c r="K39" s="5"/>
      <c r="L39" s="5"/>
      <c r="M39" s="5"/>
      <c r="N39" s="5"/>
      <c r="O39" s="5"/>
      <c r="P39" s="88"/>
      <c r="Q39" s="95"/>
    </row>
    <row r="40" spans="4:17" s="2" customFormat="1" ht="12" customHeight="1">
      <c r="D40" s="22"/>
      <c r="E40" s="22"/>
      <c r="J40" s="5"/>
      <c r="K40" s="5"/>
      <c r="L40" s="5"/>
      <c r="M40" s="5"/>
      <c r="N40" s="5"/>
      <c r="O40" s="5"/>
      <c r="P40" s="88"/>
      <c r="Q40" s="95"/>
    </row>
    <row r="41" spans="4:17" s="2" customFormat="1" ht="12" customHeight="1">
      <c r="D41" s="22"/>
      <c r="E41" s="22"/>
      <c r="J41" s="5"/>
      <c r="K41" s="5"/>
      <c r="L41" s="5"/>
      <c r="M41" s="5"/>
      <c r="N41" s="5"/>
      <c r="O41" s="5"/>
      <c r="P41" s="88"/>
      <c r="Q41" s="95"/>
    </row>
    <row r="42" spans="4:17" s="2" customFormat="1" ht="12" customHeight="1">
      <c r="D42" s="22"/>
      <c r="E42" s="22"/>
      <c r="J42" s="5"/>
      <c r="K42" s="5"/>
      <c r="L42" s="5"/>
      <c r="M42" s="5"/>
      <c r="N42" s="5"/>
      <c r="O42" s="5"/>
      <c r="P42" s="88"/>
      <c r="Q42" s="95"/>
    </row>
    <row r="43" spans="4:17" s="2" customFormat="1" ht="12" customHeight="1">
      <c r="D43" s="22"/>
      <c r="E43" s="22"/>
      <c r="J43" s="5"/>
      <c r="K43" s="5"/>
      <c r="L43" s="5"/>
      <c r="M43" s="5"/>
      <c r="N43" s="5"/>
      <c r="O43" s="5"/>
      <c r="P43" s="88"/>
      <c r="Q43" s="95"/>
    </row>
    <row r="44" spans="4:17" s="2" customFormat="1" ht="12" customHeight="1">
      <c r="D44" s="22"/>
      <c r="E44" s="22"/>
      <c r="J44" s="5"/>
      <c r="K44" s="5"/>
      <c r="L44" s="5"/>
      <c r="M44" s="5"/>
      <c r="N44" s="5"/>
      <c r="O44" s="5"/>
      <c r="P44" s="88"/>
      <c r="Q44" s="95"/>
    </row>
    <row r="45" spans="4:17" s="2" customFormat="1" ht="12" customHeight="1">
      <c r="D45" s="22"/>
      <c r="E45" s="22"/>
      <c r="J45" s="5"/>
      <c r="K45" s="5"/>
      <c r="L45" s="5"/>
      <c r="M45" s="5"/>
      <c r="N45" s="5"/>
      <c r="O45" s="5"/>
      <c r="P45" s="88"/>
      <c r="Q45" s="95"/>
    </row>
    <row r="46" spans="4:17" s="2" customFormat="1" ht="12" customHeight="1">
      <c r="D46" s="22"/>
      <c r="E46" s="22"/>
      <c r="J46" s="5"/>
      <c r="K46" s="5"/>
      <c r="L46" s="5"/>
      <c r="M46" s="5"/>
      <c r="N46" s="5"/>
      <c r="O46" s="5"/>
      <c r="P46" s="88"/>
      <c r="Q46" s="95"/>
    </row>
    <row r="47" spans="4:17" s="2" customFormat="1" ht="12" customHeight="1">
      <c r="D47" s="22"/>
      <c r="E47" s="22"/>
      <c r="J47" s="5"/>
      <c r="K47" s="5"/>
      <c r="L47" s="5"/>
      <c r="M47" s="5"/>
      <c r="N47" s="5"/>
      <c r="O47" s="5"/>
      <c r="P47" s="88"/>
      <c r="Q47" s="95"/>
    </row>
    <row r="48" spans="4:17" s="2" customFormat="1" ht="12" customHeight="1">
      <c r="D48" s="22"/>
      <c r="E48" s="22"/>
      <c r="J48" s="5"/>
      <c r="K48" s="5"/>
      <c r="L48" s="5"/>
      <c r="M48" s="5"/>
      <c r="N48" s="5"/>
      <c r="O48" s="5"/>
      <c r="P48" s="88"/>
      <c r="Q48" s="95"/>
    </row>
    <row r="49" spans="1:17" s="2" customFormat="1" ht="12" customHeight="1">
      <c r="D49" s="22"/>
      <c r="E49" s="22"/>
      <c r="J49" s="5"/>
      <c r="K49" s="5"/>
      <c r="L49" s="5"/>
      <c r="M49" s="5"/>
      <c r="N49" s="5"/>
      <c r="O49" s="5"/>
      <c r="P49" s="88"/>
      <c r="Q49" s="95"/>
    </row>
    <row r="50" spans="1:17" s="2" customFormat="1" ht="12" customHeight="1">
      <c r="D50" s="22"/>
      <c r="E50" s="22"/>
      <c r="J50" s="5"/>
      <c r="K50" s="5"/>
      <c r="L50" s="5"/>
      <c r="M50" s="5"/>
      <c r="N50" s="5"/>
      <c r="O50" s="5"/>
      <c r="P50" s="88"/>
      <c r="Q50" s="95"/>
    </row>
    <row r="51" spans="1:17" s="2" customFormat="1" ht="12" customHeight="1">
      <c r="D51" s="22"/>
      <c r="E51" s="22"/>
      <c r="J51" s="5"/>
      <c r="K51" s="5"/>
      <c r="L51" s="5"/>
      <c r="M51" s="5"/>
      <c r="N51" s="5"/>
      <c r="O51" s="5"/>
      <c r="P51" s="88"/>
      <c r="Q51" s="95"/>
    </row>
    <row r="52" spans="1:17" s="2" customFormat="1" ht="12" customHeight="1">
      <c r="D52" s="22"/>
      <c r="E52" s="22"/>
      <c r="J52" s="5"/>
      <c r="K52" s="5"/>
      <c r="L52" s="5"/>
      <c r="M52" s="5"/>
      <c r="N52" s="5"/>
      <c r="O52" s="5"/>
      <c r="P52" s="88"/>
      <c r="Q52" s="96"/>
    </row>
    <row r="53" spans="1:17" s="2" customFormat="1" ht="12" customHeight="1">
      <c r="D53" s="22"/>
      <c r="E53" s="22"/>
      <c r="J53" s="5"/>
      <c r="K53" s="5"/>
      <c r="L53" s="5"/>
      <c r="M53" s="5"/>
      <c r="N53" s="5"/>
      <c r="O53" s="5"/>
      <c r="P53" s="88"/>
      <c r="Q53" s="96"/>
    </row>
    <row r="54" spans="1:17" s="2" customFormat="1" ht="12" customHeight="1">
      <c r="D54" s="22"/>
      <c r="E54" s="22"/>
      <c r="J54" s="5"/>
      <c r="K54" s="5"/>
      <c r="L54" s="5"/>
      <c r="M54" s="5"/>
      <c r="N54" s="5"/>
      <c r="O54" s="5"/>
      <c r="P54" s="88"/>
      <c r="Q54" s="96"/>
    </row>
    <row r="55" spans="1:17" s="2" customFormat="1" ht="12" customHeight="1">
      <c r="D55" s="22"/>
      <c r="E55" s="22"/>
      <c r="J55" s="5"/>
      <c r="K55" s="5"/>
      <c r="L55" s="5"/>
      <c r="M55" s="5"/>
      <c r="N55" s="5"/>
      <c r="O55" s="5"/>
      <c r="P55" s="88"/>
      <c r="Q55" s="96"/>
    </row>
    <row r="56" spans="1:17" s="2" customFormat="1" ht="12" customHeight="1">
      <c r="A56"/>
      <c r="B56"/>
      <c r="C56"/>
      <c r="D56" s="23"/>
      <c r="E56" s="23"/>
      <c r="F56"/>
      <c r="G56"/>
      <c r="H56"/>
      <c r="I56"/>
      <c r="J56" s="19"/>
      <c r="K56" s="19"/>
      <c r="L56" s="19"/>
      <c r="M56" s="19"/>
      <c r="N56" s="19"/>
      <c r="O56" s="19"/>
      <c r="P56" s="90"/>
      <c r="Q56" s="96"/>
    </row>
    <row r="57" spans="1:17" s="2" customFormat="1" ht="12" customHeight="1">
      <c r="A57"/>
      <c r="B57"/>
      <c r="C57"/>
      <c r="D57" s="23"/>
      <c r="E57" s="23"/>
      <c r="F57"/>
      <c r="G57"/>
      <c r="H57"/>
      <c r="I57"/>
      <c r="J57" s="19"/>
      <c r="K57" s="19"/>
      <c r="L57" s="19"/>
      <c r="M57" s="19"/>
      <c r="N57" s="19"/>
      <c r="O57" s="19"/>
      <c r="P57" s="90"/>
      <c r="Q57" s="96"/>
    </row>
    <row r="58" spans="1:17" s="2" customFormat="1" ht="12" customHeight="1">
      <c r="A58"/>
      <c r="B58"/>
      <c r="C58"/>
      <c r="D58" s="23"/>
      <c r="E58" s="23"/>
      <c r="F58"/>
      <c r="G58"/>
      <c r="H58"/>
      <c r="I58"/>
      <c r="J58" s="19"/>
      <c r="K58" s="19"/>
      <c r="L58" s="19"/>
      <c r="M58" s="19"/>
      <c r="N58" s="19"/>
      <c r="O58" s="19"/>
      <c r="P58" s="90"/>
      <c r="Q58" s="96"/>
    </row>
    <row r="59" spans="1:17" s="2" customFormat="1" ht="12" customHeight="1">
      <c r="A59"/>
      <c r="B59"/>
      <c r="C59"/>
      <c r="D59" s="23"/>
      <c r="E59" s="23"/>
      <c r="F59"/>
      <c r="G59"/>
      <c r="H59"/>
      <c r="I59"/>
      <c r="J59" s="19"/>
      <c r="K59" s="19"/>
      <c r="L59" s="19"/>
      <c r="M59" s="19"/>
      <c r="N59" s="19"/>
      <c r="O59" s="19"/>
      <c r="P59" s="90"/>
      <c r="Q59" s="96"/>
    </row>
    <row r="60" spans="1:17" s="2" customFormat="1" ht="12" customHeight="1">
      <c r="A60"/>
      <c r="B60"/>
      <c r="C60"/>
      <c r="D60" s="23"/>
      <c r="E60" s="23"/>
      <c r="F60"/>
      <c r="G60"/>
      <c r="H60"/>
      <c r="I60"/>
      <c r="J60" s="19"/>
      <c r="K60" s="19"/>
      <c r="L60" s="19"/>
      <c r="M60" s="19"/>
      <c r="N60" s="19"/>
      <c r="O60" s="19"/>
      <c r="P60" s="90"/>
      <c r="Q60" s="96"/>
    </row>
    <row r="61" spans="1:17">
      <c r="Q61" s="96"/>
    </row>
    <row r="62" spans="1:17">
      <c r="Q62" s="96"/>
    </row>
    <row r="63" spans="1:17">
      <c r="Q63" s="96"/>
    </row>
    <row r="64" spans="1:17">
      <c r="Q64" s="96"/>
    </row>
    <row r="65" spans="17:17">
      <c r="Q65" s="96"/>
    </row>
    <row r="66" spans="17:17">
      <c r="Q66" s="96"/>
    </row>
    <row r="67" spans="17:17">
      <c r="Q67" s="96"/>
    </row>
    <row r="68" spans="17:17">
      <c r="Q68" s="96"/>
    </row>
    <row r="69" spans="17:17">
      <c r="Q69" s="96"/>
    </row>
    <row r="70" spans="17:17">
      <c r="Q70" s="96"/>
    </row>
    <row r="71" spans="17:17">
      <c r="Q71" s="96"/>
    </row>
    <row r="72" spans="17:17">
      <c r="Q72" s="96"/>
    </row>
    <row r="73" spans="17:17">
      <c r="Q73" s="96"/>
    </row>
    <row r="74" spans="17:17">
      <c r="Q74" s="96"/>
    </row>
    <row r="75" spans="17:17">
      <c r="Q75" s="96"/>
    </row>
    <row r="76" spans="17:17">
      <c r="Q76" s="96"/>
    </row>
    <row r="77" spans="17:17">
      <c r="Q77" s="96"/>
    </row>
    <row r="78" spans="17:17">
      <c r="Q78" s="96"/>
    </row>
    <row r="79" spans="17:17">
      <c r="Q79" s="96"/>
    </row>
    <row r="80" spans="17:17">
      <c r="Q80" s="96"/>
    </row>
    <row r="117" ht="12" customHeight="1"/>
    <row r="118" ht="12" customHeight="1"/>
    <row r="119" ht="12" customHeight="1"/>
    <row r="120" ht="12" customHeight="1"/>
    <row r="121" ht="12" customHeight="1"/>
    <row r="122" ht="12" customHeight="1"/>
    <row r="123" ht="12" customHeight="1"/>
    <row r="124" ht="12" customHeight="1"/>
    <row r="125" ht="12" customHeight="1"/>
    <row r="126" ht="12" customHeight="1"/>
    <row r="127" ht="12" customHeight="1"/>
    <row r="128" ht="12" customHeight="1"/>
    <row r="129" ht="12" customHeight="1"/>
    <row r="130" ht="12" customHeight="1"/>
    <row r="131" ht="12" customHeight="1"/>
    <row r="132" ht="12" customHeight="1"/>
    <row r="133" ht="12" customHeight="1"/>
    <row r="134" ht="12" customHeight="1"/>
    <row r="135" ht="12" customHeight="1"/>
    <row r="136" ht="12" customHeight="1"/>
    <row r="137" ht="12" customHeight="1"/>
    <row r="138" ht="12" customHeight="1"/>
    <row r="139" ht="12" customHeight="1"/>
    <row r="140" ht="12" customHeight="1"/>
    <row r="141" ht="12" customHeight="1"/>
    <row r="142" ht="12" customHeight="1"/>
    <row r="143" ht="12" customHeight="1"/>
    <row r="144" ht="12" customHeight="1"/>
    <row r="145" ht="12" customHeight="1"/>
    <row r="146" ht="12" customHeight="1"/>
    <row r="147" ht="12" customHeight="1"/>
    <row r="148" ht="12" customHeight="1"/>
    <row r="149" ht="12" customHeight="1"/>
    <row r="150" ht="12" customHeight="1"/>
    <row r="151" ht="12" customHeight="1"/>
    <row r="152" ht="12" customHeight="1"/>
    <row r="153" ht="12" customHeight="1"/>
    <row r="154" ht="12" customHeight="1"/>
    <row r="155" ht="12" customHeight="1"/>
    <row r="156" ht="12" customHeight="1"/>
    <row r="157" ht="12" customHeight="1"/>
    <row r="158" ht="12" customHeight="1"/>
    <row r="159" ht="12" customHeight="1"/>
    <row r="160" ht="12" customHeight="1"/>
    <row r="161" ht="12" customHeight="1"/>
    <row r="162" ht="12" customHeight="1"/>
    <row r="163" ht="12" customHeight="1"/>
    <row r="164" ht="12" customHeight="1"/>
    <row r="165" ht="12" customHeight="1"/>
    <row r="166" ht="12" customHeight="1"/>
  </sheetData>
  <mergeCells count="15">
    <mergeCell ref="D6:E6"/>
    <mergeCell ref="H6:I6"/>
    <mergeCell ref="D7:E7"/>
    <mergeCell ref="D8:E8"/>
    <mergeCell ref="D1:E1"/>
    <mergeCell ref="D4:E4"/>
    <mergeCell ref="H4:I4"/>
    <mergeCell ref="D5:E5"/>
    <mergeCell ref="D13:E13"/>
    <mergeCell ref="H13:I13"/>
    <mergeCell ref="H9:I9"/>
    <mergeCell ref="D10:E10"/>
    <mergeCell ref="D11:E11"/>
    <mergeCell ref="D12:E12"/>
    <mergeCell ref="D9:E9"/>
  </mergeCells>
  <conditionalFormatting sqref="M5 M7:M8 M10:M12">
    <cfRule type="cellIs" dxfId="156" priority="3" stopIfTrue="1" operator="lessThanOrEqual">
      <formula>$L5</formula>
    </cfRule>
    <cfRule type="cellIs" dxfId="155" priority="4" operator="greaterThan">
      <formula>L5</formula>
    </cfRule>
  </conditionalFormatting>
  <pageMargins left="0.7" right="0.7" top="0.75" bottom="0.75" header="0.3" footer="0.3"/>
  <pageSetup paperSize="3" fitToHeight="0" orientation="landscape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34F79BC-06B6-4591-9A9F-FBDF9D20EF65}">
          <x14:formula1>
            <xm:f>Bolts!$A:$A</xm:f>
          </x14:formula1>
          <xm:sqref>C10:C12</xm:sqref>
        </x14:dataValidation>
        <x14:dataValidation type="list" allowBlank="1" showInputMessage="1" showErrorMessage="1" xr:uid="{22A567ED-3F0D-4DB1-A638-C246306211BF}">
          <x14:formula1>
            <xm:f>Purchased!$A:$A</xm:f>
          </x14:formula1>
          <xm:sqref>C7:C8</xm:sqref>
        </x14:dataValidation>
        <x14:dataValidation type="list" allowBlank="1" showInputMessage="1" showErrorMessage="1" xr:uid="{EBA70B10-E5C6-4E37-9C39-0F0269FAD007}">
          <x14:formula1>
            <xm:f>Machined!$C:$C</xm:f>
          </x14:formula1>
          <xm:sqref>C5</xm:sqref>
        </x14:dataValidation>
      </x14:dataValidations>
    </ext>
  </extLst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7817B4-735A-490E-9094-62B5B1DD818C}">
  <sheetPr codeName="Sheet144">
    <tabColor theme="3" tint="0.59999389629810485"/>
    <pageSetUpPr fitToPage="1"/>
  </sheetPr>
  <dimension ref="A1:Q164"/>
  <sheetViews>
    <sheetView zoomScaleNormal="100" workbookViewId="0">
      <selection activeCell="R9" sqref="R9"/>
    </sheetView>
  </sheetViews>
  <sheetFormatPr defaultColWidth="9.140625" defaultRowHeight="15"/>
  <cols>
    <col min="1" max="1" width="5.7109375" customWidth="1"/>
    <col min="2" max="2" width="5.42578125" bestFit="1" customWidth="1"/>
    <col min="3" max="3" width="30.7109375" customWidth="1"/>
    <col min="4" max="5" width="20.7109375" style="23" customWidth="1"/>
    <col min="6" max="6" width="16.85546875" bestFit="1" customWidth="1"/>
    <col min="7" max="7" width="9.7109375" customWidth="1"/>
    <col min="8" max="8" width="8.7109375" customWidth="1"/>
    <col min="9" max="9" width="20.7109375" customWidth="1"/>
    <col min="10" max="13" width="11.7109375" style="19" customWidth="1"/>
    <col min="14" max="14" width="11.85546875" style="19" bestFit="1" customWidth="1"/>
    <col min="15" max="15" width="7.7109375" style="19" customWidth="1"/>
    <col min="16" max="16" width="10.7109375" style="90" customWidth="1"/>
    <col min="17" max="17" width="10.7109375" style="97" customWidth="1"/>
  </cols>
  <sheetData>
    <row r="1" spans="1:17" s="55" customFormat="1" ht="12" customHeight="1">
      <c r="A1" s="68" t="s">
        <v>0</v>
      </c>
      <c r="B1" s="69"/>
      <c r="C1" s="69"/>
      <c r="D1" s="262" t="s">
        <v>1</v>
      </c>
      <c r="E1" s="263"/>
      <c r="F1" s="70"/>
      <c r="G1" s="69"/>
      <c r="H1" s="70"/>
      <c r="I1" s="71"/>
      <c r="J1" s="72"/>
      <c r="K1" s="72"/>
      <c r="L1" s="72"/>
      <c r="M1" s="72"/>
      <c r="N1" s="72"/>
      <c r="O1" s="72"/>
      <c r="P1" s="85"/>
      <c r="Q1" s="91"/>
    </row>
    <row r="2" spans="1:17" s="55" customFormat="1" ht="12" customHeight="1">
      <c r="A2" s="74" t="s">
        <v>48</v>
      </c>
      <c r="B2" s="58"/>
      <c r="C2" s="57" t="e">
        <f ca="1">VLOOKUP(E3,Assemblies!B:F,4,0)</f>
        <v>#VALUE!</v>
      </c>
      <c r="D2" s="75" t="s">
        <v>3</v>
      </c>
      <c r="E2" s="76" t="e">
        <f ca="1">'GF12'!E2</f>
        <v>#VALUE!</v>
      </c>
      <c r="F2" s="77" t="s">
        <v>4</v>
      </c>
      <c r="G2" s="58" t="str">
        <f>'GF12'!G2</f>
        <v>GH</v>
      </c>
      <c r="H2" s="77" t="s">
        <v>6</v>
      </c>
      <c r="I2" s="59">
        <f>'GF12'!I2</f>
        <v>44775</v>
      </c>
      <c r="J2" s="39"/>
      <c r="K2" s="40" t="s">
        <v>49</v>
      </c>
      <c r="L2" s="41" t="e">
        <f ca="1">VLOOKUP(C2,Assemblies!E:G,3,0)</f>
        <v>#VALUE!</v>
      </c>
      <c r="M2" s="78"/>
      <c r="N2" s="78"/>
      <c r="O2" s="78"/>
      <c r="P2" s="86"/>
      <c r="Q2" s="92"/>
    </row>
    <row r="3" spans="1:17" s="55" customFormat="1" ht="12" customHeight="1" thickBot="1">
      <c r="A3" s="74" t="s">
        <v>7</v>
      </c>
      <c r="B3" s="58"/>
      <c r="C3" s="57" t="e">
        <f ca="1">VLOOKUP(E3,Assemblies!B:F,5,0)</f>
        <v>#VALUE!</v>
      </c>
      <c r="D3" s="75" t="s">
        <v>50</v>
      </c>
      <c r="E3" s="76" t="e">
        <f ca="1">MID(CELL("filename",A1),FIND("]",CELL("filename",A1))+1,256)</f>
        <v>#VALUE!</v>
      </c>
      <c r="F3" s="77" t="s">
        <v>11</v>
      </c>
      <c r="G3" s="58" t="str">
        <f>'GF12'!G3</f>
        <v>GH</v>
      </c>
      <c r="H3" s="77" t="s">
        <v>6</v>
      </c>
      <c r="I3" s="59">
        <f>'GF12'!I3</f>
        <v>44775</v>
      </c>
      <c r="J3" s="78"/>
      <c r="K3" s="78"/>
      <c r="L3" s="78"/>
      <c r="M3" s="78"/>
      <c r="N3" s="78"/>
      <c r="O3" s="78"/>
      <c r="P3" s="86"/>
      <c r="Q3" s="92"/>
    </row>
    <row r="4" spans="1:17" s="56" customFormat="1" ht="12.75" customHeight="1" thickBot="1">
      <c r="A4" s="80" t="s">
        <v>12</v>
      </c>
      <c r="B4" s="81" t="s">
        <v>13</v>
      </c>
      <c r="C4" s="81" t="s">
        <v>14</v>
      </c>
      <c r="D4" s="270" t="s">
        <v>15</v>
      </c>
      <c r="E4" s="271"/>
      <c r="F4" s="104" t="s">
        <v>16</v>
      </c>
      <c r="G4" s="81" t="s">
        <v>17</v>
      </c>
      <c r="H4" s="260" t="s">
        <v>18</v>
      </c>
      <c r="I4" s="261"/>
      <c r="J4" s="81" t="s">
        <v>51</v>
      </c>
      <c r="K4" s="81" t="s">
        <v>20</v>
      </c>
      <c r="L4" s="81" t="s">
        <v>21</v>
      </c>
      <c r="M4" s="81" t="s">
        <v>52</v>
      </c>
      <c r="N4" s="81" t="s">
        <v>22</v>
      </c>
      <c r="O4" s="81" t="s">
        <v>53</v>
      </c>
      <c r="P4" s="107" t="s">
        <v>26</v>
      </c>
      <c r="Q4" s="82" t="s">
        <v>27</v>
      </c>
    </row>
    <row r="5" spans="1:17" s="2" customFormat="1" ht="12.75" customHeight="1">
      <c r="A5" s="4">
        <v>301</v>
      </c>
      <c r="B5" s="2">
        <v>1</v>
      </c>
      <c r="C5" s="177" t="s">
        <v>1371</v>
      </c>
      <c r="D5" s="268" t="str">
        <f>VLOOKUP(C5,Purchased!A:B,2,0)</f>
        <v>STOBER P231SPSS0100ME GEARBOX</v>
      </c>
      <c r="E5" s="269"/>
      <c r="F5" s="112" t="str">
        <f>VLOOKUP(C5,Purchased!A:Q,9,0)</f>
        <v>STOBER</v>
      </c>
      <c r="G5" s="112" t="str">
        <f>VLOOKUP(C5,Purchased!A:Q,10,0)</f>
        <v>AAP</v>
      </c>
      <c r="H5" s="112" t="str">
        <f>VLOOKUP(C5,Purchased!A:Q,12,0)</f>
        <v xml:space="preserve"> </v>
      </c>
      <c r="I5" s="113"/>
      <c r="J5" s="44" t="str">
        <f>VLOOKUP(C5,Purchased!A:Q,13,0)</f>
        <v>N/A</v>
      </c>
      <c r="K5" s="44">
        <f>VLOOKUP(C5,Purchased!A:Q,16,0)</f>
        <v>45110</v>
      </c>
      <c r="L5" s="44">
        <f>VLOOKUP(C5,Purchased!A:Q,15,0)</f>
        <v>45110</v>
      </c>
      <c r="M5" s="44">
        <f>VLOOKUP(C5,Purchased!A:Q,16,0)</f>
        <v>45110</v>
      </c>
      <c r="N5" s="45">
        <f>VLOOKUP(C5,Purchased!A:Q,17,0)</f>
        <v>54937</v>
      </c>
      <c r="O5" s="45" t="e">
        <f t="shared" ref="O5:O8" ca="1" si="0">B5*$L$2</f>
        <v>#VALUE!</v>
      </c>
      <c r="P5" s="49">
        <f>IFERROR(VLOOKUP(C5,Purchased!A:E,3,FALSE),"")</f>
        <v>2926.1097</v>
      </c>
      <c r="Q5" s="50">
        <f t="shared" ref="Q5:Q8" si="1">IFERROR(B5*P5,"")</f>
        <v>2926.1097</v>
      </c>
    </row>
    <row r="6" spans="1:17" s="2" customFormat="1" ht="12" customHeight="1">
      <c r="A6" s="4">
        <f t="shared" ref="A6:A10" si="2">A5+1</f>
        <v>302</v>
      </c>
      <c r="B6" s="2">
        <v>1</v>
      </c>
      <c r="C6" s="114" t="s">
        <v>1099</v>
      </c>
      <c r="D6" s="268" t="str">
        <f>VLOOKUP(C6,Purchased!A:B,2,0)</f>
        <v>BRC RH2-021DBB-NN-015,0 - 15m Hybrid Servo Cable</v>
      </c>
      <c r="E6" s="269"/>
      <c r="F6" s="112" t="str">
        <f>VLOOKUP(C6,Purchased!A:Q,9,0)</f>
        <v>BRC</v>
      </c>
      <c r="G6" s="112" t="str">
        <f>VLOOKUP(C6,Purchased!A:Q,10,0)</f>
        <v>AAP</v>
      </c>
      <c r="H6" s="112" t="str">
        <f>VLOOKUP(C6,Purchased!A:Q,12,0)</f>
        <v>conveyor, flying knife and side Seals (4 in stock)</v>
      </c>
      <c r="I6" s="113"/>
      <c r="J6" s="44" t="str">
        <f>VLOOKUP(C6,Purchased!A:Q,13,0)</f>
        <v>IN STOCK</v>
      </c>
      <c r="K6" s="44">
        <f>VLOOKUP(C6,Purchased!A:Q,16,0)</f>
        <v>45155</v>
      </c>
      <c r="L6" s="44" t="str">
        <f>VLOOKUP(C6,Purchased!A:Q,15,0)</f>
        <v>IN STOCK</v>
      </c>
      <c r="M6" s="44">
        <f>VLOOKUP(C6,Purchased!A:Q,16,0)</f>
        <v>45155</v>
      </c>
      <c r="N6" s="45" t="str">
        <f>VLOOKUP(C6,Purchased!A:Q,17,0)</f>
        <v>IN STOCK</v>
      </c>
      <c r="O6" s="45" t="e">
        <f t="shared" ca="1" si="0"/>
        <v>#VALUE!</v>
      </c>
      <c r="P6" s="49">
        <f>IFERROR(VLOOKUP(C6,Purchased!A:E,3,FALSE),"")</f>
        <v>475.95030000000003</v>
      </c>
      <c r="Q6" s="50">
        <f t="shared" si="1"/>
        <v>475.95030000000003</v>
      </c>
    </row>
    <row r="7" spans="1:17" s="2" customFormat="1" ht="12" customHeight="1">
      <c r="A7" s="4">
        <f t="shared" si="2"/>
        <v>303</v>
      </c>
      <c r="B7" s="2">
        <v>1</v>
      </c>
      <c r="C7" s="177" t="s">
        <v>1372</v>
      </c>
      <c r="D7" s="268" t="str">
        <f>VLOOKUP(C7,Purchased!A:B,2,0)</f>
        <v>Dorner Belted End Drive Conveyor (Delivery)
3200 Series Belted end drive conveyor with
V-guide belt tracking, standard 3" pulley drive
tail, output shaft A side idler tail , 48" (1219mm)
wide belt x 3' (914mm) long, output shaft in
position A with low side profile and type 02
standard general purpo</v>
      </c>
      <c r="E7" s="269"/>
      <c r="F7" s="112" t="str">
        <f>VLOOKUP(C7,Purchased!A:Q,9,0)</f>
        <v>Dorner</v>
      </c>
      <c r="G7" s="112" t="str">
        <f>VLOOKUP(C7,Purchased!A:Q,10,0)</f>
        <v>AAP</v>
      </c>
      <c r="H7" s="112" t="str">
        <f>VLOOKUP(C7,Purchased!A:Q,12,0)</f>
        <v xml:space="preserve"> </v>
      </c>
      <c r="I7" s="113"/>
      <c r="J7" s="44" t="str">
        <f>VLOOKUP(C7,Purchased!A:Q,13,0)</f>
        <v>N/A</v>
      </c>
      <c r="K7" s="44">
        <f>VLOOKUP(C7,Purchased!A:Q,16,0)</f>
        <v>45110</v>
      </c>
      <c r="L7" s="44">
        <f>VLOOKUP(C7,Purchased!A:Q,15,0)</f>
        <v>45110</v>
      </c>
      <c r="M7" s="44">
        <f>VLOOKUP(C7,Purchased!A:Q,16,0)</f>
        <v>45110</v>
      </c>
      <c r="N7" s="45">
        <f>VLOOKUP(C7,Purchased!A:Q,17,0)</f>
        <v>54924</v>
      </c>
      <c r="O7" s="45" t="e">
        <f t="shared" ca="1" si="0"/>
        <v>#VALUE!</v>
      </c>
      <c r="P7" s="49">
        <f>IFERROR(VLOOKUP(C7,Purchased!A:E,3,FALSE),"")</f>
        <v>4472.6625000000004</v>
      </c>
      <c r="Q7" s="50">
        <f t="shared" si="1"/>
        <v>4472.6625000000004</v>
      </c>
    </row>
    <row r="8" spans="1:17" s="2" customFormat="1" ht="12" customHeight="1">
      <c r="A8" s="4">
        <f t="shared" si="2"/>
        <v>304</v>
      </c>
      <c r="B8" s="2">
        <v>1</v>
      </c>
      <c r="C8" s="177" t="s">
        <v>1373</v>
      </c>
      <c r="D8" s="268" t="str">
        <f>VLOOKUP(C8,Purchased!A:B,2,0)</f>
        <v>3200 &amp; LPZ Series standard load bottom mounting package for end drive conveyor, mounted in the A position, 20:16 pulley ratio.</v>
      </c>
      <c r="E8" s="269"/>
      <c r="F8" s="112" t="str">
        <f>VLOOKUP(C8,Purchased!A:Q,9,0)</f>
        <v>Dorner</v>
      </c>
      <c r="G8" s="112" t="str">
        <f>VLOOKUP(C8,Purchased!A:Q,10,0)</f>
        <v>AAP</v>
      </c>
      <c r="H8" s="112" t="str">
        <f>VLOOKUP(C8,Purchased!A:Q,12,0)</f>
        <v xml:space="preserve"> </v>
      </c>
      <c r="I8" s="113"/>
      <c r="J8" s="44" t="str">
        <f>VLOOKUP(C8,Purchased!A:Q,13,0)</f>
        <v>N/A</v>
      </c>
      <c r="K8" s="44">
        <f>VLOOKUP(C8,Purchased!A:Q,16,0)</f>
        <v>45110</v>
      </c>
      <c r="L8" s="44">
        <f>VLOOKUP(C8,Purchased!A:Q,15,0)</f>
        <v>45110</v>
      </c>
      <c r="M8" s="44">
        <f>VLOOKUP(C8,Purchased!A:Q,16,0)</f>
        <v>45110</v>
      </c>
      <c r="N8" s="45">
        <f>VLOOKUP(C8,Purchased!A:Q,17,0)</f>
        <v>54924</v>
      </c>
      <c r="O8" s="45" t="e">
        <f t="shared" ca="1" si="0"/>
        <v>#VALUE!</v>
      </c>
      <c r="P8" s="49">
        <f>IFERROR(VLOOKUP(C8,Purchased!A:E,3,FALSE),"")</f>
        <v>666.07500000000005</v>
      </c>
      <c r="Q8" s="50">
        <f t="shared" si="1"/>
        <v>666.07500000000005</v>
      </c>
    </row>
    <row r="9" spans="1:17" s="2" customFormat="1" ht="12" customHeight="1">
      <c r="A9" s="4">
        <f t="shared" si="2"/>
        <v>305</v>
      </c>
      <c r="B9" s="2">
        <v>1</v>
      </c>
      <c r="C9" s="177" t="s">
        <v>1343</v>
      </c>
      <c r="D9" s="268" t="str">
        <f>VLOOKUP(C9,Purchased!A:B,2,0)</f>
        <v>BRC MS2N03-B0BYN-CMSH0-NNNNN-NN Servomotor</v>
      </c>
      <c r="E9" s="269"/>
      <c r="F9" s="112" t="str">
        <f>VLOOKUP(C9,Purchased!A:Q,9,0)</f>
        <v>BRC</v>
      </c>
      <c r="G9" s="112" t="str">
        <f>VLOOKUP(C9,Purchased!A:Q,10,0)</f>
        <v>AAP</v>
      </c>
      <c r="H9" s="112" t="str">
        <f>VLOOKUP(C9,Purchased!A:Q,12,0)</f>
        <v xml:space="preserve"> </v>
      </c>
      <c r="I9" s="113"/>
      <c r="J9" s="44" t="str">
        <f>VLOOKUP(C9,Purchased!A:Q,13,0)</f>
        <v>N/A</v>
      </c>
      <c r="K9" s="44">
        <f>VLOOKUP(C9,Purchased!A:Q,16,0)</f>
        <v>44986</v>
      </c>
      <c r="L9" s="44">
        <f>VLOOKUP(C9,Purchased!A:Q,15,0)</f>
        <v>44986</v>
      </c>
      <c r="M9" s="44">
        <f>VLOOKUP(C9,Purchased!A:Q,16,0)</f>
        <v>44986</v>
      </c>
      <c r="N9" s="45">
        <f>VLOOKUP(C9,Purchased!A:Q,17,0)</f>
        <v>54563</v>
      </c>
      <c r="O9" s="45" t="e">
        <f t="shared" ref="O9" ca="1" si="3">B9*$L$2</f>
        <v>#VALUE!</v>
      </c>
      <c r="P9" s="49">
        <f>IFERROR(VLOOKUP(C9,Purchased!A:E,3,FALSE),"")</f>
        <v>1474.1541</v>
      </c>
      <c r="Q9" s="50">
        <f t="shared" ref="Q9" si="4">IFERROR(B9*P9,"")</f>
        <v>1474.1541</v>
      </c>
    </row>
    <row r="10" spans="1:17" s="2" customFormat="1" ht="12" customHeight="1" thickBot="1">
      <c r="A10" s="4">
        <f t="shared" si="2"/>
        <v>306</v>
      </c>
      <c r="B10" s="2">
        <v>1</v>
      </c>
      <c r="C10" s="177" t="s">
        <v>1374</v>
      </c>
      <c r="D10" s="268" t="str">
        <f>VLOOKUP(C10,Purchased!A:B,2,0)</f>
        <v>STOBER BUSHING ADAPTER 9MM TO 11MM</v>
      </c>
      <c r="E10" s="269"/>
      <c r="F10" s="112" t="str">
        <f>VLOOKUP(C10,Purchased!A:Q,9,0)</f>
        <v>STOBER</v>
      </c>
      <c r="G10" s="112" t="str">
        <f>VLOOKUP(C10,Purchased!A:Q,10,0)</f>
        <v>AAP</v>
      </c>
      <c r="H10" s="112">
        <f>VLOOKUP(C10,Purchased!A:Q,12,0)</f>
        <v>0</v>
      </c>
      <c r="I10" s="113"/>
      <c r="J10" s="44">
        <f>VLOOKUP(C10,Purchased!A:Q,13,0)</f>
        <v>45216</v>
      </c>
      <c r="K10" s="44">
        <f>VLOOKUP(C10,Purchased!A:Q,16,0)</f>
        <v>45224</v>
      </c>
      <c r="L10" s="44">
        <f>VLOOKUP(C10,Purchased!A:Q,15,0)</f>
        <v>45224</v>
      </c>
      <c r="M10" s="44">
        <f>VLOOKUP(C10,Purchased!A:Q,16,0)</f>
        <v>45224</v>
      </c>
      <c r="N10" s="45">
        <f>VLOOKUP(C10,Purchased!A:Q,17,0)</f>
        <v>55217</v>
      </c>
      <c r="O10" s="45" t="e">
        <f t="shared" ref="O10" ca="1" si="5">B10*$L$2</f>
        <v>#VALUE!</v>
      </c>
      <c r="P10" s="49">
        <f>IFERROR(VLOOKUP(C10,Purchased!A:E,3,FALSE),"")</f>
        <v>25.411799999999999</v>
      </c>
      <c r="Q10" s="50">
        <f t="shared" ref="Q10" si="6">IFERROR(B10*P10,"")</f>
        <v>25.411799999999999</v>
      </c>
    </row>
    <row r="11" spans="1:17" s="2" customFormat="1" ht="12.75" customHeight="1" thickBot="1">
      <c r="A11" s="34"/>
      <c r="B11" s="35"/>
      <c r="C11" s="35"/>
      <c r="D11" s="256"/>
      <c r="E11" s="257"/>
      <c r="F11" s="35"/>
      <c r="G11" s="35"/>
      <c r="H11" s="294"/>
      <c r="I11" s="295"/>
      <c r="J11" s="36"/>
      <c r="K11" s="36"/>
      <c r="L11" s="36"/>
      <c r="M11" s="37"/>
      <c r="N11" s="38"/>
      <c r="O11" s="38"/>
      <c r="P11" s="89" t="s">
        <v>43</v>
      </c>
      <c r="Q11" s="94">
        <f>SUM(Q5:Q9)</f>
        <v>10014.9516</v>
      </c>
    </row>
    <row r="12" spans="1:17" s="2" customFormat="1" ht="12" customHeight="1">
      <c r="D12" s="22"/>
      <c r="E12" s="22"/>
      <c r="J12" s="8"/>
      <c r="K12" s="8"/>
      <c r="L12" s="8"/>
      <c r="M12" s="8"/>
      <c r="N12" s="5"/>
      <c r="O12" s="5"/>
      <c r="P12" s="88"/>
      <c r="Q12" s="95"/>
    </row>
    <row r="13" spans="1:17" s="2" customFormat="1" ht="12" customHeight="1">
      <c r="D13" s="22"/>
      <c r="E13" s="22"/>
      <c r="J13" s="5"/>
      <c r="K13" s="5"/>
      <c r="L13" s="5"/>
      <c r="M13" s="5"/>
      <c r="N13" s="5"/>
      <c r="O13" s="5"/>
      <c r="P13" s="88"/>
      <c r="Q13" s="95"/>
    </row>
    <row r="14" spans="1:17" s="2" customFormat="1" ht="12" customHeight="1">
      <c r="D14" s="22"/>
      <c r="E14" s="22"/>
      <c r="J14" s="5"/>
      <c r="K14" s="5"/>
      <c r="L14" s="5"/>
      <c r="M14" s="5"/>
      <c r="N14" s="5"/>
      <c r="O14" s="5"/>
      <c r="P14" s="88"/>
      <c r="Q14" s="95"/>
    </row>
    <row r="15" spans="1:17" s="2" customFormat="1" ht="12" customHeight="1">
      <c r="D15" s="22"/>
      <c r="E15" s="22"/>
      <c r="J15" s="5"/>
      <c r="K15" s="5"/>
      <c r="L15" s="5"/>
      <c r="M15" s="5"/>
      <c r="N15" s="5"/>
      <c r="O15" s="5"/>
      <c r="P15" s="88"/>
      <c r="Q15" s="95"/>
    </row>
    <row r="16" spans="1:17" s="2" customFormat="1" ht="12" customHeight="1">
      <c r="D16" s="22"/>
      <c r="E16" s="22"/>
      <c r="J16" s="5"/>
      <c r="K16" s="5"/>
      <c r="L16" s="5"/>
      <c r="M16" s="5"/>
      <c r="N16" s="5"/>
      <c r="O16" s="5"/>
      <c r="P16" s="88"/>
      <c r="Q16" s="95"/>
    </row>
    <row r="17" spans="4:17" s="2" customFormat="1" ht="12" customHeight="1">
      <c r="D17" s="22"/>
      <c r="E17" s="22"/>
      <c r="J17" s="5"/>
      <c r="K17" s="5"/>
      <c r="L17" s="5"/>
      <c r="M17" s="5"/>
      <c r="N17" s="5"/>
      <c r="O17" s="5"/>
      <c r="P17" s="88"/>
      <c r="Q17" s="95"/>
    </row>
    <row r="18" spans="4:17" s="2" customFormat="1" ht="12" customHeight="1">
      <c r="D18" s="22"/>
      <c r="E18" s="22"/>
      <c r="J18" s="5"/>
      <c r="K18" s="5"/>
      <c r="L18" s="5"/>
      <c r="M18" s="5"/>
      <c r="N18" s="5"/>
      <c r="O18" s="5"/>
      <c r="P18" s="88"/>
      <c r="Q18" s="95"/>
    </row>
    <row r="19" spans="4:17" s="2" customFormat="1" ht="12" customHeight="1">
      <c r="D19" s="22"/>
      <c r="E19" s="22"/>
      <c r="J19" s="5"/>
      <c r="K19" s="5"/>
      <c r="L19" s="5"/>
      <c r="M19" s="5"/>
      <c r="N19" s="5"/>
      <c r="O19" s="5"/>
      <c r="P19" s="88"/>
      <c r="Q19" s="95"/>
    </row>
    <row r="20" spans="4:17" s="2" customFormat="1" ht="12" customHeight="1">
      <c r="D20" s="22"/>
      <c r="E20" s="22"/>
      <c r="J20" s="5"/>
      <c r="K20" s="5"/>
      <c r="L20" s="5"/>
      <c r="M20" s="5"/>
      <c r="N20" s="5"/>
      <c r="O20" s="5"/>
      <c r="P20" s="88"/>
      <c r="Q20" s="95"/>
    </row>
    <row r="21" spans="4:17" s="2" customFormat="1" ht="12" customHeight="1">
      <c r="D21" s="22"/>
      <c r="E21" s="22"/>
      <c r="J21" s="5"/>
      <c r="K21" s="5"/>
      <c r="L21" s="5"/>
      <c r="M21" s="5"/>
      <c r="N21" s="5"/>
      <c r="O21" s="5"/>
      <c r="P21" s="88"/>
      <c r="Q21" s="95"/>
    </row>
    <row r="22" spans="4:17" s="2" customFormat="1" ht="12" customHeight="1">
      <c r="D22" s="22"/>
      <c r="E22" s="22"/>
      <c r="J22" s="5"/>
      <c r="K22" s="5"/>
      <c r="L22" s="5"/>
      <c r="M22" s="5"/>
      <c r="N22" s="5"/>
      <c r="O22" s="5"/>
      <c r="P22" s="88"/>
      <c r="Q22" s="95"/>
    </row>
    <row r="23" spans="4:17" s="2" customFormat="1" ht="12" customHeight="1">
      <c r="D23" s="22"/>
      <c r="E23" s="22"/>
      <c r="J23" s="5"/>
      <c r="K23" s="5"/>
      <c r="L23" s="5"/>
      <c r="M23" s="5"/>
      <c r="N23" s="5"/>
      <c r="O23" s="5"/>
      <c r="P23" s="88"/>
      <c r="Q23" s="95"/>
    </row>
    <row r="24" spans="4:17" s="2" customFormat="1" ht="12" customHeight="1">
      <c r="D24" s="22"/>
      <c r="E24" s="22"/>
      <c r="J24" s="5"/>
      <c r="K24" s="5"/>
      <c r="L24" s="5"/>
      <c r="M24" s="5"/>
      <c r="N24" s="5"/>
      <c r="O24" s="5"/>
      <c r="P24" s="88"/>
      <c r="Q24" s="95"/>
    </row>
    <row r="25" spans="4:17" s="2" customFormat="1" ht="12" customHeight="1">
      <c r="D25" s="22"/>
      <c r="E25" s="22"/>
      <c r="J25" s="5"/>
      <c r="K25" s="5"/>
      <c r="L25" s="5"/>
      <c r="M25" s="5"/>
      <c r="N25" s="5"/>
      <c r="O25" s="5"/>
      <c r="P25" s="88"/>
      <c r="Q25" s="95"/>
    </row>
    <row r="26" spans="4:17" s="2" customFormat="1" ht="12" customHeight="1">
      <c r="D26" s="22"/>
      <c r="E26" s="22"/>
      <c r="J26" s="5"/>
      <c r="K26" s="5"/>
      <c r="L26" s="5"/>
      <c r="M26" s="5"/>
      <c r="N26" s="5"/>
      <c r="O26" s="5"/>
      <c r="P26" s="88"/>
      <c r="Q26" s="95"/>
    </row>
    <row r="27" spans="4:17" s="2" customFormat="1" ht="12" customHeight="1">
      <c r="D27" s="22"/>
      <c r="E27" s="22"/>
      <c r="J27" s="5"/>
      <c r="K27" s="5"/>
      <c r="L27" s="5"/>
      <c r="M27" s="5"/>
      <c r="N27" s="5"/>
      <c r="O27" s="5"/>
      <c r="P27" s="88"/>
      <c r="Q27" s="95"/>
    </row>
    <row r="28" spans="4:17" s="2" customFormat="1" ht="12" customHeight="1">
      <c r="D28" s="22"/>
      <c r="E28" s="22"/>
      <c r="J28" s="5"/>
      <c r="K28" s="5"/>
      <c r="L28" s="5"/>
      <c r="M28" s="5"/>
      <c r="N28" s="5"/>
      <c r="O28" s="5"/>
      <c r="P28" s="88"/>
      <c r="Q28" s="95"/>
    </row>
    <row r="29" spans="4:17" s="2" customFormat="1" ht="12" customHeight="1">
      <c r="D29" s="22"/>
      <c r="E29" s="22"/>
      <c r="J29" s="5"/>
      <c r="K29" s="5"/>
      <c r="L29" s="5"/>
      <c r="M29" s="5"/>
      <c r="N29" s="5"/>
      <c r="O29" s="5"/>
      <c r="P29" s="88"/>
      <c r="Q29" s="95"/>
    </row>
    <row r="30" spans="4:17" s="2" customFormat="1" ht="12" customHeight="1">
      <c r="D30" s="22"/>
      <c r="E30" s="22"/>
      <c r="J30" s="5"/>
      <c r="K30" s="5"/>
      <c r="L30" s="5"/>
      <c r="M30" s="5"/>
      <c r="N30" s="5"/>
      <c r="O30" s="5"/>
      <c r="P30" s="88"/>
      <c r="Q30" s="95"/>
    </row>
    <row r="31" spans="4:17" s="2" customFormat="1" ht="12" customHeight="1">
      <c r="D31" s="22"/>
      <c r="E31" s="22"/>
      <c r="J31" s="5"/>
      <c r="K31" s="5"/>
      <c r="L31" s="5"/>
      <c r="M31" s="5"/>
      <c r="N31" s="5"/>
      <c r="O31" s="5"/>
      <c r="P31" s="88"/>
      <c r="Q31" s="95"/>
    </row>
    <row r="32" spans="4:17" s="2" customFormat="1" ht="12" customHeight="1">
      <c r="D32" s="22"/>
      <c r="E32" s="22"/>
      <c r="J32" s="5"/>
      <c r="K32" s="5"/>
      <c r="L32" s="5"/>
      <c r="M32" s="5"/>
      <c r="N32" s="5"/>
      <c r="O32" s="5"/>
      <c r="P32" s="88"/>
      <c r="Q32" s="95"/>
    </row>
    <row r="33" spans="4:17" s="2" customFormat="1" ht="12" customHeight="1">
      <c r="D33" s="22"/>
      <c r="E33" s="22"/>
      <c r="J33" s="5"/>
      <c r="K33" s="5"/>
      <c r="L33" s="5"/>
      <c r="M33" s="5"/>
      <c r="N33" s="5"/>
      <c r="O33" s="5"/>
      <c r="P33" s="88"/>
      <c r="Q33" s="95"/>
    </row>
    <row r="34" spans="4:17" s="2" customFormat="1" ht="12" customHeight="1">
      <c r="D34" s="22"/>
      <c r="E34" s="22"/>
      <c r="J34" s="5"/>
      <c r="K34" s="5"/>
      <c r="L34" s="5"/>
      <c r="M34" s="5"/>
      <c r="N34" s="5"/>
      <c r="O34" s="5"/>
      <c r="P34" s="88"/>
      <c r="Q34" s="95"/>
    </row>
    <row r="35" spans="4:17" s="2" customFormat="1" ht="12" customHeight="1">
      <c r="D35" s="22"/>
      <c r="E35" s="22"/>
      <c r="J35" s="5"/>
      <c r="K35" s="5"/>
      <c r="L35" s="5"/>
      <c r="M35" s="5"/>
      <c r="N35" s="5"/>
      <c r="O35" s="5"/>
      <c r="P35" s="88"/>
      <c r="Q35" s="95"/>
    </row>
    <row r="36" spans="4:17" s="2" customFormat="1" ht="12" customHeight="1">
      <c r="D36" s="22"/>
      <c r="E36" s="22"/>
      <c r="J36" s="5"/>
      <c r="K36" s="5"/>
      <c r="L36" s="5"/>
      <c r="M36" s="5"/>
      <c r="N36" s="5"/>
      <c r="O36" s="5"/>
      <c r="P36" s="88"/>
      <c r="Q36" s="95"/>
    </row>
    <row r="37" spans="4:17" s="2" customFormat="1" ht="12" customHeight="1">
      <c r="D37" s="22"/>
      <c r="E37" s="22"/>
      <c r="J37" s="5"/>
      <c r="K37" s="5"/>
      <c r="L37" s="5"/>
      <c r="M37" s="5"/>
      <c r="N37" s="5"/>
      <c r="O37" s="5"/>
      <c r="P37" s="88"/>
      <c r="Q37" s="95"/>
    </row>
    <row r="38" spans="4:17" s="2" customFormat="1" ht="12" customHeight="1">
      <c r="D38" s="22"/>
      <c r="E38" s="22"/>
      <c r="J38" s="5"/>
      <c r="K38" s="5"/>
      <c r="L38" s="5"/>
      <c r="M38" s="5"/>
      <c r="N38" s="5"/>
      <c r="O38" s="5"/>
      <c r="P38" s="88"/>
      <c r="Q38" s="95"/>
    </row>
    <row r="39" spans="4:17" s="2" customFormat="1" ht="12" customHeight="1">
      <c r="D39" s="22"/>
      <c r="E39" s="22"/>
      <c r="J39" s="5"/>
      <c r="K39" s="5"/>
      <c r="L39" s="5"/>
      <c r="M39" s="5"/>
      <c r="N39" s="5"/>
      <c r="O39" s="5"/>
      <c r="P39" s="88"/>
      <c r="Q39" s="95"/>
    </row>
    <row r="40" spans="4:17" s="2" customFormat="1" ht="12" customHeight="1">
      <c r="D40" s="22"/>
      <c r="E40" s="22"/>
      <c r="J40" s="5"/>
      <c r="K40" s="5"/>
      <c r="L40" s="5"/>
      <c r="M40" s="5"/>
      <c r="N40" s="5"/>
      <c r="O40" s="5"/>
      <c r="P40" s="88"/>
      <c r="Q40" s="95"/>
    </row>
    <row r="41" spans="4:17" s="2" customFormat="1" ht="12" customHeight="1">
      <c r="D41" s="22"/>
      <c r="E41" s="22"/>
      <c r="J41" s="5"/>
      <c r="K41" s="5"/>
      <c r="L41" s="5"/>
      <c r="M41" s="5"/>
      <c r="N41" s="5"/>
      <c r="O41" s="5"/>
      <c r="P41" s="88"/>
      <c r="Q41" s="95"/>
    </row>
    <row r="42" spans="4:17" s="2" customFormat="1" ht="12" customHeight="1">
      <c r="D42" s="22"/>
      <c r="E42" s="22"/>
      <c r="J42" s="5"/>
      <c r="K42" s="5"/>
      <c r="L42" s="5"/>
      <c r="M42" s="5"/>
      <c r="N42" s="5"/>
      <c r="O42" s="5"/>
      <c r="P42" s="88"/>
      <c r="Q42" s="95"/>
    </row>
    <row r="43" spans="4:17" s="2" customFormat="1" ht="12" customHeight="1">
      <c r="D43" s="22"/>
      <c r="E43" s="22"/>
      <c r="J43" s="5"/>
      <c r="K43" s="5"/>
      <c r="L43" s="5"/>
      <c r="M43" s="5"/>
      <c r="N43" s="5"/>
      <c r="O43" s="5"/>
      <c r="P43" s="88"/>
      <c r="Q43" s="95"/>
    </row>
    <row r="44" spans="4:17" s="2" customFormat="1" ht="12" customHeight="1">
      <c r="D44" s="22"/>
      <c r="E44" s="22"/>
      <c r="J44" s="5"/>
      <c r="K44" s="5"/>
      <c r="L44" s="5"/>
      <c r="M44" s="5"/>
      <c r="N44" s="5"/>
      <c r="O44" s="5"/>
      <c r="P44" s="88"/>
      <c r="Q44" s="95"/>
    </row>
    <row r="45" spans="4:17" s="2" customFormat="1" ht="12" customHeight="1">
      <c r="D45" s="22"/>
      <c r="E45" s="22"/>
      <c r="J45" s="5"/>
      <c r="K45" s="5"/>
      <c r="L45" s="5"/>
      <c r="M45" s="5"/>
      <c r="N45" s="5"/>
      <c r="O45" s="5"/>
      <c r="P45" s="88"/>
      <c r="Q45" s="95"/>
    </row>
    <row r="46" spans="4:17" s="2" customFormat="1" ht="12" customHeight="1">
      <c r="D46" s="22"/>
      <c r="E46" s="22"/>
      <c r="J46" s="5"/>
      <c r="K46" s="5"/>
      <c r="L46" s="5"/>
      <c r="M46" s="5"/>
      <c r="N46" s="5"/>
      <c r="O46" s="5"/>
      <c r="P46" s="88"/>
      <c r="Q46" s="95"/>
    </row>
    <row r="47" spans="4:17" s="2" customFormat="1" ht="12" customHeight="1">
      <c r="D47" s="22"/>
      <c r="E47" s="22"/>
      <c r="J47" s="5"/>
      <c r="K47" s="5"/>
      <c r="L47" s="5"/>
      <c r="M47" s="5"/>
      <c r="N47" s="5"/>
      <c r="O47" s="5"/>
      <c r="P47" s="88"/>
      <c r="Q47" s="95"/>
    </row>
    <row r="48" spans="4:17" s="2" customFormat="1" ht="12" customHeight="1">
      <c r="D48" s="22"/>
      <c r="E48" s="22"/>
      <c r="J48" s="5"/>
      <c r="K48" s="5"/>
      <c r="L48" s="5"/>
      <c r="M48" s="5"/>
      <c r="N48" s="5"/>
      <c r="O48" s="5"/>
      <c r="P48" s="88"/>
      <c r="Q48" s="95"/>
    </row>
    <row r="49" spans="1:17" s="2" customFormat="1" ht="12" customHeight="1">
      <c r="D49" s="22"/>
      <c r="E49" s="22"/>
      <c r="J49" s="5"/>
      <c r="K49" s="5"/>
      <c r="L49" s="5"/>
      <c r="M49" s="5"/>
      <c r="N49" s="5"/>
      <c r="O49" s="5"/>
      <c r="P49" s="88"/>
      <c r="Q49" s="95"/>
    </row>
    <row r="50" spans="1:17" s="2" customFormat="1" ht="12" customHeight="1">
      <c r="D50" s="22"/>
      <c r="E50" s="22"/>
      <c r="J50" s="5"/>
      <c r="K50" s="5"/>
      <c r="L50" s="5"/>
      <c r="M50" s="5"/>
      <c r="N50" s="5"/>
      <c r="O50" s="5"/>
      <c r="P50" s="88"/>
      <c r="Q50" s="96"/>
    </row>
    <row r="51" spans="1:17" s="2" customFormat="1" ht="12" customHeight="1">
      <c r="D51" s="22"/>
      <c r="E51" s="22"/>
      <c r="J51" s="5"/>
      <c r="K51" s="5"/>
      <c r="L51" s="5"/>
      <c r="M51" s="5"/>
      <c r="N51" s="5"/>
      <c r="O51" s="5"/>
      <c r="P51" s="88"/>
      <c r="Q51" s="96"/>
    </row>
    <row r="52" spans="1:17" s="2" customFormat="1" ht="12" customHeight="1">
      <c r="D52" s="22"/>
      <c r="E52" s="22"/>
      <c r="J52" s="5"/>
      <c r="K52" s="5"/>
      <c r="L52" s="5"/>
      <c r="M52" s="5"/>
      <c r="N52" s="5"/>
      <c r="O52" s="5"/>
      <c r="P52" s="88"/>
      <c r="Q52" s="96"/>
    </row>
    <row r="53" spans="1:17" s="2" customFormat="1" ht="12" customHeight="1">
      <c r="D53" s="22"/>
      <c r="E53" s="22"/>
      <c r="J53" s="5"/>
      <c r="K53" s="5"/>
      <c r="L53" s="5"/>
      <c r="M53" s="5"/>
      <c r="N53" s="5"/>
      <c r="O53" s="5"/>
      <c r="P53" s="88"/>
      <c r="Q53" s="96"/>
    </row>
    <row r="54" spans="1:17" s="2" customFormat="1" ht="12" customHeight="1">
      <c r="A54"/>
      <c r="B54"/>
      <c r="C54"/>
      <c r="D54" s="23"/>
      <c r="E54" s="23"/>
      <c r="F54"/>
      <c r="G54"/>
      <c r="H54"/>
      <c r="I54"/>
      <c r="J54" s="19"/>
      <c r="K54" s="19"/>
      <c r="L54" s="19"/>
      <c r="M54" s="19"/>
      <c r="N54" s="19"/>
      <c r="O54" s="19"/>
      <c r="P54" s="90"/>
      <c r="Q54" s="96"/>
    </row>
    <row r="55" spans="1:17" s="2" customFormat="1" ht="12" customHeight="1">
      <c r="A55"/>
      <c r="B55"/>
      <c r="C55"/>
      <c r="D55" s="23"/>
      <c r="E55" s="23"/>
      <c r="F55"/>
      <c r="G55"/>
      <c r="H55"/>
      <c r="I55"/>
      <c r="J55" s="19"/>
      <c r="K55" s="19"/>
      <c r="L55" s="19"/>
      <c r="M55" s="19"/>
      <c r="N55" s="19"/>
      <c r="O55" s="19"/>
      <c r="P55" s="90"/>
      <c r="Q55" s="96"/>
    </row>
    <row r="56" spans="1:17" s="2" customFormat="1" ht="12" customHeight="1">
      <c r="A56"/>
      <c r="B56"/>
      <c r="C56"/>
      <c r="D56" s="23"/>
      <c r="E56" s="23"/>
      <c r="F56"/>
      <c r="G56"/>
      <c r="H56"/>
      <c r="I56"/>
      <c r="J56" s="19"/>
      <c r="K56" s="19"/>
      <c r="L56" s="19"/>
      <c r="M56" s="19"/>
      <c r="N56" s="19"/>
      <c r="O56" s="19"/>
      <c r="P56" s="90"/>
      <c r="Q56" s="96"/>
    </row>
    <row r="57" spans="1:17" s="2" customFormat="1" ht="12" customHeight="1">
      <c r="A57"/>
      <c r="B57"/>
      <c r="C57"/>
      <c r="D57" s="23"/>
      <c r="E57" s="23"/>
      <c r="F57"/>
      <c r="G57"/>
      <c r="H57"/>
      <c r="I57"/>
      <c r="J57" s="19"/>
      <c r="K57" s="19"/>
      <c r="L57" s="19"/>
      <c r="M57" s="19"/>
      <c r="N57" s="19"/>
      <c r="O57" s="19"/>
      <c r="P57" s="90"/>
      <c r="Q57" s="96"/>
    </row>
    <row r="58" spans="1:17" s="2" customFormat="1" ht="12" customHeight="1">
      <c r="A58"/>
      <c r="B58"/>
      <c r="C58"/>
      <c r="D58" s="23"/>
      <c r="E58" s="23"/>
      <c r="F58"/>
      <c r="G58"/>
      <c r="H58"/>
      <c r="I58"/>
      <c r="J58" s="19"/>
      <c r="K58" s="19"/>
      <c r="L58" s="19"/>
      <c r="M58" s="19"/>
      <c r="N58" s="19"/>
      <c r="O58" s="19"/>
      <c r="P58" s="90"/>
      <c r="Q58" s="96"/>
    </row>
    <row r="59" spans="1:17">
      <c r="Q59" s="96"/>
    </row>
    <row r="60" spans="1:17">
      <c r="Q60" s="96"/>
    </row>
    <row r="61" spans="1:17">
      <c r="Q61" s="96"/>
    </row>
    <row r="62" spans="1:17">
      <c r="Q62" s="96"/>
    </row>
    <row r="63" spans="1:17">
      <c r="Q63" s="96"/>
    </row>
    <row r="64" spans="1:17">
      <c r="Q64" s="96"/>
    </row>
    <row r="65" spans="17:17">
      <c r="Q65" s="96"/>
    </row>
    <row r="66" spans="17:17">
      <c r="Q66" s="96"/>
    </row>
    <row r="67" spans="17:17">
      <c r="Q67" s="96"/>
    </row>
    <row r="68" spans="17:17">
      <c r="Q68" s="96"/>
    </row>
    <row r="69" spans="17:17">
      <c r="Q69" s="96"/>
    </row>
    <row r="70" spans="17:17">
      <c r="Q70" s="96"/>
    </row>
    <row r="71" spans="17:17">
      <c r="Q71" s="96"/>
    </row>
    <row r="72" spans="17:17">
      <c r="Q72" s="96"/>
    </row>
    <row r="73" spans="17:17">
      <c r="Q73" s="96"/>
    </row>
    <row r="74" spans="17:17">
      <c r="Q74" s="96"/>
    </row>
    <row r="75" spans="17:17">
      <c r="Q75" s="96"/>
    </row>
    <row r="76" spans="17:17">
      <c r="Q76" s="96"/>
    </row>
    <row r="77" spans="17:17">
      <c r="Q77" s="96"/>
    </row>
    <row r="78" spans="17:17">
      <c r="Q78" s="96"/>
    </row>
    <row r="115" ht="12" customHeight="1"/>
    <row r="116" ht="12" customHeight="1"/>
    <row r="117" ht="12" customHeight="1"/>
    <row r="118" ht="12" customHeight="1"/>
    <row r="119" ht="12" customHeight="1"/>
    <row r="120" ht="12" customHeight="1"/>
    <row r="121" ht="12" customHeight="1"/>
    <row r="122" ht="12" customHeight="1"/>
    <row r="123" ht="12" customHeight="1"/>
    <row r="124" ht="12" customHeight="1"/>
    <row r="125" ht="12" customHeight="1"/>
    <row r="126" ht="12" customHeight="1"/>
    <row r="127" ht="12" customHeight="1"/>
    <row r="128" ht="12" customHeight="1"/>
    <row r="129" ht="12" customHeight="1"/>
    <row r="130" ht="12" customHeight="1"/>
    <row r="131" ht="12" customHeight="1"/>
    <row r="132" ht="12" customHeight="1"/>
    <row r="133" ht="12" customHeight="1"/>
    <row r="134" ht="12" customHeight="1"/>
    <row r="135" ht="12" customHeight="1"/>
    <row r="136" ht="12" customHeight="1"/>
    <row r="137" ht="12" customHeight="1"/>
    <row r="138" ht="12" customHeight="1"/>
    <row r="139" ht="12" customHeight="1"/>
    <row r="140" ht="12" customHeight="1"/>
    <row r="141" ht="12" customHeight="1"/>
    <row r="142" ht="12" customHeight="1"/>
    <row r="143" ht="12" customHeight="1"/>
    <row r="144" ht="12" customHeight="1"/>
    <row r="145" ht="12" customHeight="1"/>
    <row r="146" ht="12" customHeight="1"/>
    <row r="147" ht="12" customHeight="1"/>
    <row r="148" ht="12" customHeight="1"/>
    <row r="149" ht="12" customHeight="1"/>
    <row r="150" ht="12" customHeight="1"/>
    <row r="151" ht="12" customHeight="1"/>
    <row r="152" ht="12" customHeight="1"/>
    <row r="153" ht="12" customHeight="1"/>
    <row r="154" ht="12" customHeight="1"/>
    <row r="155" ht="12" customHeight="1"/>
    <row r="156" ht="12" customHeight="1"/>
    <row r="157" ht="12" customHeight="1"/>
    <row r="158" ht="12" customHeight="1"/>
    <row r="159" ht="12" customHeight="1"/>
    <row r="160" ht="12" customHeight="1"/>
    <row r="161" ht="12" customHeight="1"/>
    <row r="162" ht="12" customHeight="1"/>
    <row r="163" ht="12" customHeight="1"/>
    <row r="164" ht="12" customHeight="1"/>
  </sheetData>
  <mergeCells count="11">
    <mergeCell ref="D11:E11"/>
    <mergeCell ref="H11:I11"/>
    <mergeCell ref="D1:E1"/>
    <mergeCell ref="D4:E4"/>
    <mergeCell ref="H4:I4"/>
    <mergeCell ref="D8:E8"/>
    <mergeCell ref="D5:E5"/>
    <mergeCell ref="D6:E6"/>
    <mergeCell ref="D7:E7"/>
    <mergeCell ref="D9:E9"/>
    <mergeCell ref="D10:E10"/>
  </mergeCells>
  <conditionalFormatting sqref="M5:M10">
    <cfRule type="cellIs" dxfId="154" priority="3" stopIfTrue="1" operator="lessThanOrEqual">
      <formula>$L5</formula>
    </cfRule>
    <cfRule type="cellIs" dxfId="153" priority="4" operator="greaterThan">
      <formula>L5</formula>
    </cfRule>
  </conditionalFormatting>
  <pageMargins left="0.7" right="0.7" top="0.75" bottom="0.75" header="0.3" footer="0.3"/>
  <pageSetup paperSize="3" fitToHeight="0" orientation="landscape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C5E354F-390A-44E9-94F5-398C16ADE8C0}">
          <x14:formula1>
            <xm:f>Purchased!$A:$A</xm:f>
          </x14:formula1>
          <xm:sqref>C5:C10</xm:sqref>
        </x14:dataValidation>
      </x14:dataValidations>
    </ext>
  </extLst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1B3C3B-50E5-4DFF-A981-0447D8F56F34}">
  <sheetPr codeName="Sheet145">
    <tabColor theme="3" tint="0.39997558519241921"/>
    <pageSetUpPr fitToPage="1"/>
  </sheetPr>
  <dimension ref="A1:R198"/>
  <sheetViews>
    <sheetView zoomScaleNormal="100" workbookViewId="0">
      <selection activeCell="C43" sqref="C43"/>
    </sheetView>
  </sheetViews>
  <sheetFormatPr defaultColWidth="9.140625" defaultRowHeight="15"/>
  <cols>
    <col min="1" max="1" width="5.7109375" customWidth="1"/>
    <col min="2" max="2" width="5.42578125" bestFit="1" customWidth="1"/>
    <col min="3" max="3" width="30.7109375" customWidth="1"/>
    <col min="4" max="5" width="20.7109375" style="23" customWidth="1"/>
    <col min="6" max="6" width="16.85546875" bestFit="1" customWidth="1"/>
    <col min="7" max="7" width="9.7109375" customWidth="1"/>
    <col min="8" max="8" width="8.7109375" customWidth="1"/>
    <col min="9" max="9" width="20.7109375" customWidth="1"/>
    <col min="10" max="13" width="11.7109375" style="19" customWidth="1"/>
    <col min="14" max="14" width="11.85546875" style="19" bestFit="1" customWidth="1"/>
    <col min="15" max="15" width="7.7109375" style="19" customWidth="1"/>
    <col min="16" max="16" width="10.7109375" style="90" customWidth="1"/>
    <col min="17" max="17" width="10.7109375" style="97" customWidth="1"/>
  </cols>
  <sheetData>
    <row r="1" spans="1:18" s="55" customFormat="1" ht="12" customHeight="1">
      <c r="A1" s="68" t="s">
        <v>0</v>
      </c>
      <c r="B1" s="69"/>
      <c r="C1" s="69"/>
      <c r="D1" s="262" t="s">
        <v>1</v>
      </c>
      <c r="E1" s="263"/>
      <c r="F1" s="70"/>
      <c r="G1" s="69"/>
      <c r="H1" s="70"/>
      <c r="I1" s="71"/>
      <c r="J1" s="72"/>
      <c r="K1" s="72"/>
      <c r="L1" s="72"/>
      <c r="M1" s="72"/>
      <c r="N1" s="72"/>
      <c r="O1" s="72"/>
      <c r="P1" s="85"/>
      <c r="Q1" s="91"/>
    </row>
    <row r="2" spans="1:18" s="55" customFormat="1" ht="12" customHeight="1">
      <c r="A2" s="74" t="s">
        <v>48</v>
      </c>
      <c r="B2" s="58"/>
      <c r="C2" s="57" t="e">
        <f ca="1">VLOOKUP(E3,Assemblies!B:F,4,0)</f>
        <v>#VALUE!</v>
      </c>
      <c r="D2" s="75" t="s">
        <v>3</v>
      </c>
      <c r="E2" s="76" t="e">
        <f ca="1">'GF12'!E2</f>
        <v>#VALUE!</v>
      </c>
      <c r="F2" s="77" t="s">
        <v>4</v>
      </c>
      <c r="G2" s="58" t="str">
        <f>'GF12'!G2</f>
        <v>GH</v>
      </c>
      <c r="H2" s="77" t="s">
        <v>6</v>
      </c>
      <c r="I2" s="59">
        <f>'GF12'!I2</f>
        <v>44775</v>
      </c>
      <c r="J2" s="39"/>
      <c r="K2" s="40" t="s">
        <v>49</v>
      </c>
      <c r="L2" s="41" t="e">
        <f ca="1">VLOOKUP(C2,Assemblies!E:G,3,0)</f>
        <v>#VALUE!</v>
      </c>
      <c r="M2" s="78"/>
      <c r="N2" s="78"/>
      <c r="O2" s="78"/>
      <c r="P2" s="86"/>
      <c r="Q2" s="92"/>
    </row>
    <row r="3" spans="1:18" s="55" customFormat="1" ht="12" customHeight="1" thickBot="1">
      <c r="A3" s="74" t="s">
        <v>7</v>
      </c>
      <c r="B3" s="58"/>
      <c r="C3" s="57" t="e">
        <f ca="1">VLOOKUP(E3,Assemblies!B:F,5,0)</f>
        <v>#VALUE!</v>
      </c>
      <c r="D3" s="75" t="s">
        <v>50</v>
      </c>
      <c r="E3" s="76" t="e">
        <f ca="1">MID(CELL("filename",A1),FIND("]",CELL("filename",A1))+1,256)</f>
        <v>#VALUE!</v>
      </c>
      <c r="F3" s="77" t="s">
        <v>11</v>
      </c>
      <c r="G3" s="58" t="str">
        <f>'GF12'!G3</f>
        <v>GH</v>
      </c>
      <c r="H3" s="77" t="s">
        <v>6</v>
      </c>
      <c r="I3" s="59">
        <f>'GF12'!I3</f>
        <v>44775</v>
      </c>
      <c r="J3" s="78"/>
      <c r="K3" s="78"/>
      <c r="L3" s="78"/>
      <c r="M3" s="78"/>
      <c r="N3" s="78"/>
      <c r="O3" s="78"/>
      <c r="P3" s="86"/>
      <c r="Q3" s="92"/>
    </row>
    <row r="4" spans="1:18" s="56" customFormat="1" ht="12.75" customHeight="1" thickBot="1">
      <c r="A4" s="80" t="s">
        <v>12</v>
      </c>
      <c r="B4" s="81" t="s">
        <v>13</v>
      </c>
      <c r="C4" s="81" t="s">
        <v>14</v>
      </c>
      <c r="D4" s="270" t="s">
        <v>15</v>
      </c>
      <c r="E4" s="271"/>
      <c r="F4" s="104" t="s">
        <v>16</v>
      </c>
      <c r="G4" s="81" t="s">
        <v>17</v>
      </c>
      <c r="H4" s="260" t="s">
        <v>18</v>
      </c>
      <c r="I4" s="261"/>
      <c r="J4" s="81" t="s">
        <v>51</v>
      </c>
      <c r="K4" s="81" t="s">
        <v>20</v>
      </c>
      <c r="L4" s="81" t="s">
        <v>21</v>
      </c>
      <c r="M4" s="81" t="s">
        <v>52</v>
      </c>
      <c r="N4" s="81" t="s">
        <v>22</v>
      </c>
      <c r="O4" s="81" t="s">
        <v>53</v>
      </c>
      <c r="P4" s="107" t="s">
        <v>26</v>
      </c>
      <c r="Q4" s="82" t="s">
        <v>27</v>
      </c>
    </row>
    <row r="5" spans="1:18" s="21" customFormat="1" ht="12.75" customHeight="1">
      <c r="A5" s="66" t="s">
        <v>54</v>
      </c>
      <c r="B5" s="1"/>
      <c r="C5" s="67"/>
      <c r="D5" s="277" t="e">
        <f ca="1">VLOOKUP(C5,Assemblies!E:S,2,0)</f>
        <v>#N/A</v>
      </c>
      <c r="E5" s="278"/>
      <c r="F5" s="32"/>
      <c r="G5" s="32"/>
      <c r="H5" s="292"/>
      <c r="I5" s="293"/>
      <c r="J5" s="28"/>
      <c r="K5" s="28"/>
      <c r="L5" s="28"/>
      <c r="M5" s="28"/>
      <c r="N5" s="33"/>
      <c r="O5" s="46" t="e">
        <f t="shared" ref="O5:O9" ca="1" si="0">B5*$L$2</f>
        <v>#VALUE!</v>
      </c>
      <c r="P5" s="87"/>
      <c r="Q5" s="93">
        <f t="shared" ref="Q5:Q9" si="1">B5*P5</f>
        <v>0</v>
      </c>
    </row>
    <row r="6" spans="1:18" s="21" customFormat="1" ht="12.75" customHeight="1">
      <c r="A6" s="66" t="s">
        <v>56</v>
      </c>
      <c r="B6" s="1"/>
      <c r="C6" s="67"/>
      <c r="D6" s="277" t="e">
        <f ca="1">VLOOKUP(C6,Assemblies!E:S,2,0)</f>
        <v>#N/A</v>
      </c>
      <c r="E6" s="278"/>
      <c r="F6" s="32"/>
      <c r="G6" s="32"/>
      <c r="H6" s="292"/>
      <c r="I6" s="293"/>
      <c r="J6" s="28"/>
      <c r="K6" s="28"/>
      <c r="L6" s="28"/>
      <c r="M6" s="28"/>
      <c r="N6" s="33"/>
      <c r="O6" s="46" t="e">
        <f t="shared" ca="1" si="0"/>
        <v>#VALUE!</v>
      </c>
      <c r="P6" s="87"/>
      <c r="Q6" s="93">
        <f t="shared" si="1"/>
        <v>0</v>
      </c>
    </row>
    <row r="7" spans="1:18" s="21" customFormat="1" ht="12.75" customHeight="1">
      <c r="A7" s="66" t="s">
        <v>58</v>
      </c>
      <c r="B7" s="1"/>
      <c r="C7" s="67"/>
      <c r="D7" s="277" t="e">
        <f ca="1">VLOOKUP(C7,Assemblies!E:S,2,0)</f>
        <v>#N/A</v>
      </c>
      <c r="E7" s="278"/>
      <c r="F7" s="32"/>
      <c r="G7" s="32"/>
      <c r="H7" s="292"/>
      <c r="I7" s="293"/>
      <c r="J7" s="28"/>
      <c r="K7" s="28"/>
      <c r="L7" s="28"/>
      <c r="M7" s="28"/>
      <c r="N7" s="33"/>
      <c r="O7" s="46" t="e">
        <f t="shared" ca="1" si="0"/>
        <v>#VALUE!</v>
      </c>
      <c r="P7" s="87"/>
      <c r="Q7" s="93">
        <f t="shared" si="1"/>
        <v>0</v>
      </c>
    </row>
    <row r="8" spans="1:18" s="21" customFormat="1" ht="12.75" customHeight="1">
      <c r="A8" s="66" t="s">
        <v>60</v>
      </c>
      <c r="B8" s="1"/>
      <c r="C8" s="67"/>
      <c r="D8" s="277" t="e">
        <f ca="1">VLOOKUP(C8,Assemblies!E:S,2,0)</f>
        <v>#N/A</v>
      </c>
      <c r="E8" s="278"/>
      <c r="F8" s="32"/>
      <c r="G8" s="32"/>
      <c r="H8" s="292"/>
      <c r="I8" s="293"/>
      <c r="J8" s="28"/>
      <c r="K8" s="28"/>
      <c r="L8" s="28"/>
      <c r="M8" s="28"/>
      <c r="N8" s="33"/>
      <c r="O8" s="46" t="e">
        <f t="shared" ca="1" si="0"/>
        <v>#VALUE!</v>
      </c>
      <c r="P8" s="87"/>
      <c r="Q8" s="93">
        <f t="shared" si="1"/>
        <v>0</v>
      </c>
    </row>
    <row r="9" spans="1:18" s="21" customFormat="1" ht="12.75" customHeight="1">
      <c r="A9" s="66" t="s">
        <v>62</v>
      </c>
      <c r="B9" s="1"/>
      <c r="C9" s="67"/>
      <c r="D9" s="277" t="e">
        <f ca="1">VLOOKUP(C9,Assemblies!E:S,2,0)</f>
        <v>#N/A</v>
      </c>
      <c r="E9" s="278"/>
      <c r="F9" s="32"/>
      <c r="G9" s="32"/>
      <c r="H9" s="292"/>
      <c r="I9" s="293"/>
      <c r="J9" s="28"/>
      <c r="K9" s="28"/>
      <c r="L9" s="28"/>
      <c r="M9" s="28"/>
      <c r="N9" s="33"/>
      <c r="O9" s="46" t="e">
        <f t="shared" ca="1" si="0"/>
        <v>#VALUE!</v>
      </c>
      <c r="P9" s="87"/>
      <c r="Q9" s="93">
        <f t="shared" si="1"/>
        <v>0</v>
      </c>
    </row>
    <row r="10" spans="1:18" s="21" customFormat="1" ht="12.75" customHeight="1">
      <c r="A10" s="25"/>
      <c r="B10" s="26"/>
      <c r="C10" s="26"/>
      <c r="D10" s="272"/>
      <c r="E10" s="273"/>
      <c r="F10" s="26"/>
      <c r="G10" s="26"/>
      <c r="H10" s="274"/>
      <c r="I10" s="275"/>
      <c r="J10" s="27"/>
      <c r="K10" s="27"/>
      <c r="L10" s="27"/>
      <c r="M10" s="28"/>
      <c r="N10" s="29"/>
      <c r="O10" s="29"/>
      <c r="P10" s="141"/>
      <c r="Q10" s="142"/>
      <c r="R10" s="20"/>
    </row>
    <row r="11" spans="1:18" s="2" customFormat="1" ht="12.75" customHeight="1">
      <c r="A11" s="127">
        <v>1</v>
      </c>
      <c r="B11" s="21"/>
      <c r="C11" s="108"/>
      <c r="D11" s="277" t="e">
        <f>VLOOKUP(C11,Machined!C:Q,2,0)</f>
        <v>#N/A</v>
      </c>
      <c r="E11" s="278"/>
      <c r="F11" s="131" t="e">
        <f>VLOOKUP(C11,Machined!C:R,7,0)</f>
        <v>#N/A</v>
      </c>
      <c r="G11" s="131" t="e">
        <f>VLOOKUP(C11,Machined!C:R,10,0)</f>
        <v>#N/A</v>
      </c>
      <c r="H11" s="131" t="e">
        <f>VLOOKUP(C11,Machined!C:R,11,0)</f>
        <v>#N/A</v>
      </c>
      <c r="I11" s="131"/>
      <c r="J11" s="42" t="e">
        <f>VLOOKUP(C11,Machined!C:R,12,0)</f>
        <v>#N/A</v>
      </c>
      <c r="K11" s="42" t="e">
        <f>VLOOKUP(C11,Machined!C:R,13,0)</f>
        <v>#N/A</v>
      </c>
      <c r="L11" s="42" t="e">
        <f>VLOOKUP(C11,Machined!C:R,14,0)</f>
        <v>#N/A</v>
      </c>
      <c r="M11" s="42" t="e">
        <f>VLOOKUP(C11,Machined!C:R,15,0)</f>
        <v>#N/A</v>
      </c>
      <c r="N11" s="43" t="e">
        <f>VLOOKUP(C11,Machined!C:R,16,0)</f>
        <v>#N/A</v>
      </c>
      <c r="O11" s="43" t="e">
        <f t="shared" ref="O11:O20" ca="1" si="2">B11*$L$2</f>
        <v>#VALUE!</v>
      </c>
      <c r="P11" s="47" t="str">
        <f>IFERROR(VLOOKUP(C11,Machined!C:F,3,0),"")</f>
        <v/>
      </c>
      <c r="Q11" s="48" t="str">
        <f t="shared" ref="Q11:Q20" si="3">IFERROR(B11*P11,"")</f>
        <v/>
      </c>
    </row>
    <row r="12" spans="1:18" s="2" customFormat="1" ht="12.75" customHeight="1">
      <c r="A12" s="127">
        <v>2</v>
      </c>
      <c r="B12" s="21"/>
      <c r="C12" s="108"/>
      <c r="D12" s="277" t="e">
        <f>VLOOKUP(C12,Machined!C:Q,2,0)</f>
        <v>#N/A</v>
      </c>
      <c r="E12" s="278"/>
      <c r="F12" s="131" t="e">
        <f>VLOOKUP(C12,Machined!C:R,7,0)</f>
        <v>#N/A</v>
      </c>
      <c r="G12" s="131" t="e">
        <f>VLOOKUP(C12,Machined!C:R,10,0)</f>
        <v>#N/A</v>
      </c>
      <c r="H12" s="131" t="e">
        <f>VLOOKUP(C12,Machined!C:R,11,0)</f>
        <v>#N/A</v>
      </c>
      <c r="I12" s="131"/>
      <c r="J12" s="42" t="e">
        <f>VLOOKUP(C12,Machined!C:R,12,0)</f>
        <v>#N/A</v>
      </c>
      <c r="K12" s="42" t="e">
        <f>VLOOKUP(C12,Machined!C:R,13,0)</f>
        <v>#N/A</v>
      </c>
      <c r="L12" s="42" t="e">
        <f>VLOOKUP(C12,Machined!C:R,14,0)</f>
        <v>#N/A</v>
      </c>
      <c r="M12" s="42" t="e">
        <f>VLOOKUP(C12,Machined!C:R,15,0)</f>
        <v>#N/A</v>
      </c>
      <c r="N12" s="43" t="e">
        <f>VLOOKUP(C12,Machined!C:R,16,0)</f>
        <v>#N/A</v>
      </c>
      <c r="O12" s="43" t="e">
        <f t="shared" ca="1" si="2"/>
        <v>#VALUE!</v>
      </c>
      <c r="P12" s="47" t="str">
        <f>IFERROR(VLOOKUP(C12,Machined!C:F,3,0),"")</f>
        <v/>
      </c>
      <c r="Q12" s="48" t="str">
        <f t="shared" si="3"/>
        <v/>
      </c>
    </row>
    <row r="13" spans="1:18" s="2" customFormat="1" ht="12.75" customHeight="1">
      <c r="A13" s="127">
        <v>3</v>
      </c>
      <c r="B13" s="21"/>
      <c r="C13" s="108"/>
      <c r="D13" s="277" t="e">
        <f>VLOOKUP(C13,Machined!C:Q,2,0)</f>
        <v>#N/A</v>
      </c>
      <c r="E13" s="278"/>
      <c r="F13" s="131" t="e">
        <f>VLOOKUP(C13,Machined!C:R,7,0)</f>
        <v>#N/A</v>
      </c>
      <c r="G13" s="131" t="e">
        <f>VLOOKUP(C13,Machined!C:R,10,0)</f>
        <v>#N/A</v>
      </c>
      <c r="H13" s="131" t="e">
        <f>VLOOKUP(C13,Machined!C:R,11,0)</f>
        <v>#N/A</v>
      </c>
      <c r="I13" s="131"/>
      <c r="J13" s="42" t="e">
        <f>VLOOKUP(C13,Machined!C:R,12,0)</f>
        <v>#N/A</v>
      </c>
      <c r="K13" s="42" t="e">
        <f>VLOOKUP(C13,Machined!C:R,13,0)</f>
        <v>#N/A</v>
      </c>
      <c r="L13" s="42" t="e">
        <f>VLOOKUP(C13,Machined!C:R,14,0)</f>
        <v>#N/A</v>
      </c>
      <c r="M13" s="42" t="e">
        <f>VLOOKUP(C13,Machined!C:R,15,0)</f>
        <v>#N/A</v>
      </c>
      <c r="N13" s="43" t="e">
        <f>VLOOKUP(C13,Machined!C:R,16,0)</f>
        <v>#N/A</v>
      </c>
      <c r="O13" s="43" t="e">
        <f t="shared" ca="1" si="2"/>
        <v>#VALUE!</v>
      </c>
      <c r="P13" s="47" t="str">
        <f>IFERROR(VLOOKUP(C13,Machined!C:F,3,0),"")</f>
        <v/>
      </c>
      <c r="Q13" s="48" t="str">
        <f t="shared" si="3"/>
        <v/>
      </c>
    </row>
    <row r="14" spans="1:18" s="2" customFormat="1" ht="12.75" customHeight="1">
      <c r="A14" s="127">
        <v>4</v>
      </c>
      <c r="B14" s="21"/>
      <c r="C14" s="108"/>
      <c r="D14" s="277" t="e">
        <f>VLOOKUP(C14,Machined!C:Q,2,0)</f>
        <v>#N/A</v>
      </c>
      <c r="E14" s="278"/>
      <c r="F14" s="131" t="e">
        <f>VLOOKUP(C14,Machined!C:R,7,0)</f>
        <v>#N/A</v>
      </c>
      <c r="G14" s="131" t="e">
        <f>VLOOKUP(C14,Machined!C:R,10,0)</f>
        <v>#N/A</v>
      </c>
      <c r="H14" s="131" t="e">
        <f>VLOOKUP(C14,Machined!C:R,11,0)</f>
        <v>#N/A</v>
      </c>
      <c r="I14" s="131"/>
      <c r="J14" s="42" t="e">
        <f>VLOOKUP(C14,Machined!C:R,12,0)</f>
        <v>#N/A</v>
      </c>
      <c r="K14" s="42" t="e">
        <f>VLOOKUP(C14,Machined!C:R,13,0)</f>
        <v>#N/A</v>
      </c>
      <c r="L14" s="42" t="e">
        <f>VLOOKUP(C14,Machined!C:R,14,0)</f>
        <v>#N/A</v>
      </c>
      <c r="M14" s="42" t="e">
        <f>VLOOKUP(C14,Machined!C:R,15,0)</f>
        <v>#N/A</v>
      </c>
      <c r="N14" s="43" t="e">
        <f>VLOOKUP(C14,Machined!C:R,16,0)</f>
        <v>#N/A</v>
      </c>
      <c r="O14" s="43" t="e">
        <f t="shared" ca="1" si="2"/>
        <v>#VALUE!</v>
      </c>
      <c r="P14" s="47" t="str">
        <f>IFERROR(VLOOKUP(C14,Machined!C:F,3,0),"")</f>
        <v/>
      </c>
      <c r="Q14" s="48" t="str">
        <f t="shared" si="3"/>
        <v/>
      </c>
    </row>
    <row r="15" spans="1:18" s="2" customFormat="1" ht="12.75" customHeight="1">
      <c r="A15" s="127">
        <v>5</v>
      </c>
      <c r="B15" s="21"/>
      <c r="C15" s="108"/>
      <c r="D15" s="277" t="e">
        <f>VLOOKUP(C15,Machined!C:Q,2,0)</f>
        <v>#N/A</v>
      </c>
      <c r="E15" s="278"/>
      <c r="F15" s="131" t="e">
        <f>VLOOKUP(C15,Machined!C:R,7,0)</f>
        <v>#N/A</v>
      </c>
      <c r="G15" s="131" t="e">
        <f>VLOOKUP(C15,Machined!C:R,10,0)</f>
        <v>#N/A</v>
      </c>
      <c r="H15" s="131" t="e">
        <f>VLOOKUP(C15,Machined!C:R,11,0)</f>
        <v>#N/A</v>
      </c>
      <c r="I15" s="131"/>
      <c r="J15" s="42" t="e">
        <f>VLOOKUP(C15,Machined!C:R,12,0)</f>
        <v>#N/A</v>
      </c>
      <c r="K15" s="42" t="e">
        <f>VLOOKUP(C15,Machined!C:R,13,0)</f>
        <v>#N/A</v>
      </c>
      <c r="L15" s="42" t="e">
        <f>VLOOKUP(C15,Machined!C:R,14,0)</f>
        <v>#N/A</v>
      </c>
      <c r="M15" s="42" t="e">
        <f>VLOOKUP(C15,Machined!C:R,15,0)</f>
        <v>#N/A</v>
      </c>
      <c r="N15" s="43" t="e">
        <f>VLOOKUP(C15,Machined!C:R,16,0)</f>
        <v>#N/A</v>
      </c>
      <c r="O15" s="43" t="e">
        <f t="shared" ca="1" si="2"/>
        <v>#VALUE!</v>
      </c>
      <c r="P15" s="47" t="str">
        <f>IFERROR(VLOOKUP(C15,Machined!C:F,3,0),"")</f>
        <v/>
      </c>
      <c r="Q15" s="48" t="str">
        <f t="shared" si="3"/>
        <v/>
      </c>
    </row>
    <row r="16" spans="1:18" s="2" customFormat="1" ht="12.75" customHeight="1">
      <c r="A16" s="127">
        <v>6</v>
      </c>
      <c r="B16" s="21"/>
      <c r="C16" s="108"/>
      <c r="D16" s="277" t="e">
        <f>VLOOKUP(C16,Machined!C:Q,2,0)</f>
        <v>#N/A</v>
      </c>
      <c r="E16" s="278"/>
      <c r="F16" s="131" t="e">
        <f>VLOOKUP(C16,Machined!C:R,7,0)</f>
        <v>#N/A</v>
      </c>
      <c r="G16" s="131" t="e">
        <f>VLOOKUP(C16,Machined!C:R,10,0)</f>
        <v>#N/A</v>
      </c>
      <c r="H16" s="131" t="e">
        <f>VLOOKUP(C16,Machined!C:R,11,0)</f>
        <v>#N/A</v>
      </c>
      <c r="I16" s="131"/>
      <c r="J16" s="42" t="e">
        <f>VLOOKUP(C16,Machined!C:R,12,0)</f>
        <v>#N/A</v>
      </c>
      <c r="K16" s="42" t="e">
        <f>VLOOKUP(C16,Machined!C:R,13,0)</f>
        <v>#N/A</v>
      </c>
      <c r="L16" s="42" t="e">
        <f>VLOOKUP(C16,Machined!C:R,14,0)</f>
        <v>#N/A</v>
      </c>
      <c r="M16" s="42" t="e">
        <f>VLOOKUP(C16,Machined!C:R,15,0)</f>
        <v>#N/A</v>
      </c>
      <c r="N16" s="43" t="e">
        <f>VLOOKUP(C16,Machined!C:R,16,0)</f>
        <v>#N/A</v>
      </c>
      <c r="O16" s="43" t="e">
        <f t="shared" ca="1" si="2"/>
        <v>#VALUE!</v>
      </c>
      <c r="P16" s="47" t="str">
        <f>IFERROR(VLOOKUP(C16,Machined!C:F,3,0),"")</f>
        <v/>
      </c>
      <c r="Q16" s="48" t="str">
        <f t="shared" si="3"/>
        <v/>
      </c>
    </row>
    <row r="17" spans="1:17" s="2" customFormat="1" ht="12.75" customHeight="1">
      <c r="A17" s="127">
        <v>7</v>
      </c>
      <c r="B17" s="21"/>
      <c r="C17" s="108"/>
      <c r="D17" s="277" t="e">
        <f>VLOOKUP(C17,Machined!C:Q,2,0)</f>
        <v>#N/A</v>
      </c>
      <c r="E17" s="278"/>
      <c r="F17" s="131" t="e">
        <f>VLOOKUP(C17,Machined!C:R,7,0)</f>
        <v>#N/A</v>
      </c>
      <c r="G17" s="131" t="e">
        <f>VLOOKUP(C17,Machined!C:R,10,0)</f>
        <v>#N/A</v>
      </c>
      <c r="H17" s="131" t="e">
        <f>VLOOKUP(C17,Machined!C:R,11,0)</f>
        <v>#N/A</v>
      </c>
      <c r="I17" s="131"/>
      <c r="J17" s="42" t="e">
        <f>VLOOKUP(C17,Machined!C:R,12,0)</f>
        <v>#N/A</v>
      </c>
      <c r="K17" s="42" t="e">
        <f>VLOOKUP(C17,Machined!C:R,13,0)</f>
        <v>#N/A</v>
      </c>
      <c r="L17" s="42" t="e">
        <f>VLOOKUP(C17,Machined!C:R,14,0)</f>
        <v>#N/A</v>
      </c>
      <c r="M17" s="42" t="e">
        <f>VLOOKUP(C17,Machined!C:R,15,0)</f>
        <v>#N/A</v>
      </c>
      <c r="N17" s="43" t="e">
        <f>VLOOKUP(C17,Machined!C:R,16,0)</f>
        <v>#N/A</v>
      </c>
      <c r="O17" s="43" t="e">
        <f t="shared" ca="1" si="2"/>
        <v>#VALUE!</v>
      </c>
      <c r="P17" s="47" t="str">
        <f>IFERROR(VLOOKUP(C17,Machined!C:F,3,0),"")</f>
        <v/>
      </c>
      <c r="Q17" s="48" t="str">
        <f t="shared" si="3"/>
        <v/>
      </c>
    </row>
    <row r="18" spans="1:17" s="2" customFormat="1" ht="12.75" customHeight="1">
      <c r="A18" s="127">
        <v>8</v>
      </c>
      <c r="B18" s="21"/>
      <c r="C18" s="108"/>
      <c r="D18" s="277" t="e">
        <f>VLOOKUP(C18,Machined!C:Q,2,0)</f>
        <v>#N/A</v>
      </c>
      <c r="E18" s="278"/>
      <c r="F18" s="131" t="e">
        <f>VLOOKUP(C18,Machined!C:R,7,0)</f>
        <v>#N/A</v>
      </c>
      <c r="G18" s="131" t="e">
        <f>VLOOKUP(C18,Machined!C:R,10,0)</f>
        <v>#N/A</v>
      </c>
      <c r="H18" s="131" t="e">
        <f>VLOOKUP(C18,Machined!C:R,11,0)</f>
        <v>#N/A</v>
      </c>
      <c r="I18" s="131"/>
      <c r="J18" s="42" t="e">
        <f>VLOOKUP(C18,Machined!C:R,12,0)</f>
        <v>#N/A</v>
      </c>
      <c r="K18" s="42" t="e">
        <f>VLOOKUP(C18,Machined!C:R,13,0)</f>
        <v>#N/A</v>
      </c>
      <c r="L18" s="42" t="e">
        <f>VLOOKUP(C18,Machined!C:R,14,0)</f>
        <v>#N/A</v>
      </c>
      <c r="M18" s="42" t="e">
        <f>VLOOKUP(C18,Machined!C:R,15,0)</f>
        <v>#N/A</v>
      </c>
      <c r="N18" s="43" t="e">
        <f>VLOOKUP(C18,Machined!C:R,16,0)</f>
        <v>#N/A</v>
      </c>
      <c r="O18" s="43" t="e">
        <f t="shared" ca="1" si="2"/>
        <v>#VALUE!</v>
      </c>
      <c r="P18" s="47" t="str">
        <f>IFERROR(VLOOKUP(C18,Machined!C:F,3,0),"")</f>
        <v/>
      </c>
      <c r="Q18" s="48" t="str">
        <f t="shared" si="3"/>
        <v/>
      </c>
    </row>
    <row r="19" spans="1:17" s="2" customFormat="1" ht="12.75" customHeight="1">
      <c r="A19" s="127">
        <v>9</v>
      </c>
      <c r="B19" s="21"/>
      <c r="C19" s="108"/>
      <c r="D19" s="277" t="e">
        <f>VLOOKUP(C19,Machined!C:Q,2,0)</f>
        <v>#N/A</v>
      </c>
      <c r="E19" s="278"/>
      <c r="F19" s="131" t="e">
        <f>VLOOKUP(C19,Machined!C:R,7,0)</f>
        <v>#N/A</v>
      </c>
      <c r="G19" s="131" t="e">
        <f>VLOOKUP(C19,Machined!C:R,10,0)</f>
        <v>#N/A</v>
      </c>
      <c r="H19" s="131" t="e">
        <f>VLOOKUP(C19,Machined!C:R,11,0)</f>
        <v>#N/A</v>
      </c>
      <c r="I19" s="131"/>
      <c r="J19" s="42" t="e">
        <f>VLOOKUP(C19,Machined!C:R,12,0)</f>
        <v>#N/A</v>
      </c>
      <c r="K19" s="42" t="e">
        <f>VLOOKUP(C19,Machined!C:R,13,0)</f>
        <v>#N/A</v>
      </c>
      <c r="L19" s="42" t="e">
        <f>VLOOKUP(C19,Machined!C:R,14,0)</f>
        <v>#N/A</v>
      </c>
      <c r="M19" s="42" t="e">
        <f>VLOOKUP(C19,Machined!C:R,15,0)</f>
        <v>#N/A</v>
      </c>
      <c r="N19" s="43" t="e">
        <f>VLOOKUP(C19,Machined!C:R,16,0)</f>
        <v>#N/A</v>
      </c>
      <c r="O19" s="43" t="e">
        <f t="shared" ca="1" si="2"/>
        <v>#VALUE!</v>
      </c>
      <c r="P19" s="47" t="str">
        <f>IFERROR(VLOOKUP(C19,Machined!C:F,3,0),"")</f>
        <v/>
      </c>
      <c r="Q19" s="48" t="str">
        <f t="shared" si="3"/>
        <v/>
      </c>
    </row>
    <row r="20" spans="1:17" s="2" customFormat="1" ht="12.75" customHeight="1">
      <c r="A20" s="127">
        <v>10</v>
      </c>
      <c r="B20" s="21"/>
      <c r="C20" s="108"/>
      <c r="D20" s="277" t="e">
        <f>VLOOKUP(C20,Machined!C:Q,2,0)</f>
        <v>#N/A</v>
      </c>
      <c r="E20" s="278"/>
      <c r="F20" s="131" t="e">
        <f>VLOOKUP(C20,Machined!C:R,7,0)</f>
        <v>#N/A</v>
      </c>
      <c r="G20" s="131" t="e">
        <f>VLOOKUP(C20,Machined!C:R,10,0)</f>
        <v>#N/A</v>
      </c>
      <c r="H20" s="131" t="e">
        <f>VLOOKUP(C20,Machined!C:R,11,0)</f>
        <v>#N/A</v>
      </c>
      <c r="I20" s="131"/>
      <c r="J20" s="42" t="e">
        <f>VLOOKUP(C20,Machined!C:R,12,0)</f>
        <v>#N/A</v>
      </c>
      <c r="K20" s="42" t="e">
        <f>VLOOKUP(C20,Machined!C:R,13,0)</f>
        <v>#N/A</v>
      </c>
      <c r="L20" s="42" t="e">
        <f>VLOOKUP(C20,Machined!C:R,14,0)</f>
        <v>#N/A</v>
      </c>
      <c r="M20" s="42" t="e">
        <f>VLOOKUP(C20,Machined!C:R,15,0)</f>
        <v>#N/A</v>
      </c>
      <c r="N20" s="43" t="e">
        <f>VLOOKUP(C20,Machined!C:R,16,0)</f>
        <v>#N/A</v>
      </c>
      <c r="O20" s="43" t="e">
        <f t="shared" ca="1" si="2"/>
        <v>#VALUE!</v>
      </c>
      <c r="P20" s="47" t="str">
        <f>IFERROR(VLOOKUP(C20,Machined!C:F,3,0),"")</f>
        <v/>
      </c>
      <c r="Q20" s="48" t="str">
        <f t="shared" si="3"/>
        <v/>
      </c>
    </row>
    <row r="21" spans="1:17" s="2" customFormat="1" ht="12.75" customHeight="1">
      <c r="A21" s="143"/>
      <c r="B21" s="26"/>
      <c r="C21" s="26"/>
      <c r="D21" s="272"/>
      <c r="E21" s="273"/>
      <c r="F21" s="26"/>
      <c r="G21" s="26"/>
      <c r="H21" s="274"/>
      <c r="I21" s="275"/>
      <c r="J21" s="27"/>
      <c r="K21" s="27"/>
      <c r="L21" s="27"/>
      <c r="M21" s="28"/>
      <c r="N21" s="29"/>
      <c r="O21" s="29"/>
      <c r="P21" s="141"/>
      <c r="Q21" s="142"/>
    </row>
    <row r="22" spans="1:17" s="2" customFormat="1" ht="12.75" customHeight="1">
      <c r="A22" s="4">
        <v>301</v>
      </c>
      <c r="C22" s="114"/>
      <c r="D22" s="268" t="e">
        <f>VLOOKUP(C22,Purchased!A:B,2,0)</f>
        <v>#N/A</v>
      </c>
      <c r="E22" s="269"/>
      <c r="F22" s="112" t="e">
        <f>VLOOKUP(C22,Purchased!A:Q,9,0)</f>
        <v>#N/A</v>
      </c>
      <c r="G22" s="112" t="e">
        <f>VLOOKUP(C22,Purchased!A:Q,10,0)</f>
        <v>#N/A</v>
      </c>
      <c r="H22" s="112" t="e">
        <f>VLOOKUP(C22,Purchased!A:Q,12,0)</f>
        <v>#N/A</v>
      </c>
      <c r="I22" s="113"/>
      <c r="J22" s="44" t="e">
        <f>VLOOKUP(C22,Purchased!A:Q,13,0)</f>
        <v>#N/A</v>
      </c>
      <c r="K22" s="44" t="e">
        <f>VLOOKUP(C22,Purchased!A:Q,16,0)</f>
        <v>#N/A</v>
      </c>
      <c r="L22" s="44" t="e">
        <f>VLOOKUP(C22,Purchased!A:Q,15,0)</f>
        <v>#N/A</v>
      </c>
      <c r="M22" s="44" t="e">
        <f>VLOOKUP(C22,Purchased!A:Q,16,0)</f>
        <v>#N/A</v>
      </c>
      <c r="N22" s="45" t="e">
        <f>VLOOKUP(C22,Purchased!A:Q,17,0)</f>
        <v>#N/A</v>
      </c>
      <c r="O22" s="45" t="e">
        <f t="shared" ref="O22:O31" ca="1" si="4">B22*$L$2</f>
        <v>#VALUE!</v>
      </c>
      <c r="P22" s="49" t="str">
        <f>IFERROR(VLOOKUP(C22,Purchased!A:E,3,FALSE),"")</f>
        <v/>
      </c>
      <c r="Q22" s="50" t="str">
        <f t="shared" ref="Q22:Q31" si="5">IFERROR(B22*P22,"")</f>
        <v/>
      </c>
    </row>
    <row r="23" spans="1:17" s="2" customFormat="1" ht="12" customHeight="1">
      <c r="A23" s="4">
        <f t="shared" ref="A23:A31" si="6">A22+1</f>
        <v>302</v>
      </c>
      <c r="C23" s="114"/>
      <c r="D23" s="268" t="e">
        <f>VLOOKUP(C23,Purchased!A:B,2,0)</f>
        <v>#N/A</v>
      </c>
      <c r="E23" s="269"/>
      <c r="F23" s="112" t="e">
        <f>VLOOKUP(C23,Purchased!A:Q,9,0)</f>
        <v>#N/A</v>
      </c>
      <c r="G23" s="112" t="e">
        <f>VLOOKUP(C23,Purchased!A:Q,10,0)</f>
        <v>#N/A</v>
      </c>
      <c r="H23" s="112" t="e">
        <f>VLOOKUP(C23,Purchased!A:Q,12,0)</f>
        <v>#N/A</v>
      </c>
      <c r="I23" s="113"/>
      <c r="J23" s="44" t="e">
        <f>VLOOKUP(C23,Purchased!A:Q,13,0)</f>
        <v>#N/A</v>
      </c>
      <c r="K23" s="44" t="e">
        <f>VLOOKUP(C23,Purchased!A:Q,16,0)</f>
        <v>#N/A</v>
      </c>
      <c r="L23" s="44" t="e">
        <f>VLOOKUP(C23,Purchased!A:Q,15,0)</f>
        <v>#N/A</v>
      </c>
      <c r="M23" s="44" t="e">
        <f>VLOOKUP(C23,Purchased!A:Q,16,0)</f>
        <v>#N/A</v>
      </c>
      <c r="N23" s="45" t="e">
        <f>VLOOKUP(C23,Purchased!A:Q,17,0)</f>
        <v>#N/A</v>
      </c>
      <c r="O23" s="45" t="e">
        <f t="shared" ca="1" si="4"/>
        <v>#VALUE!</v>
      </c>
      <c r="P23" s="49" t="str">
        <f>IFERROR(VLOOKUP(C23,Purchased!A:E,3,FALSE),"")</f>
        <v/>
      </c>
      <c r="Q23" s="50" t="str">
        <f t="shared" si="5"/>
        <v/>
      </c>
    </row>
    <row r="24" spans="1:17" s="2" customFormat="1" ht="12" customHeight="1">
      <c r="A24" s="4">
        <f t="shared" si="6"/>
        <v>303</v>
      </c>
      <c r="C24" s="114"/>
      <c r="D24" s="268" t="e">
        <f>VLOOKUP(C24,Purchased!A:B,2,0)</f>
        <v>#N/A</v>
      </c>
      <c r="E24" s="269"/>
      <c r="F24" s="112" t="e">
        <f>VLOOKUP(C24,Purchased!A:Q,9,0)</f>
        <v>#N/A</v>
      </c>
      <c r="G24" s="112" t="e">
        <f>VLOOKUP(C24,Purchased!A:Q,10,0)</f>
        <v>#N/A</v>
      </c>
      <c r="H24" s="112" t="e">
        <f>VLOOKUP(C24,Purchased!A:Q,12,0)</f>
        <v>#N/A</v>
      </c>
      <c r="I24" s="113"/>
      <c r="J24" s="44" t="e">
        <f>VLOOKUP(C24,Purchased!A:Q,13,0)</f>
        <v>#N/A</v>
      </c>
      <c r="K24" s="44" t="e">
        <f>VLOOKUP(C24,Purchased!A:Q,16,0)</f>
        <v>#N/A</v>
      </c>
      <c r="L24" s="44" t="e">
        <f>VLOOKUP(C24,Purchased!A:Q,15,0)</f>
        <v>#N/A</v>
      </c>
      <c r="M24" s="44" t="e">
        <f>VLOOKUP(C24,Purchased!A:Q,16,0)</f>
        <v>#N/A</v>
      </c>
      <c r="N24" s="45" t="e">
        <f>VLOOKUP(C24,Purchased!A:Q,17,0)</f>
        <v>#N/A</v>
      </c>
      <c r="O24" s="45" t="e">
        <f t="shared" ca="1" si="4"/>
        <v>#VALUE!</v>
      </c>
      <c r="P24" s="49" t="str">
        <f>IFERROR(VLOOKUP(C24,Purchased!A:E,3,FALSE),"")</f>
        <v/>
      </c>
      <c r="Q24" s="50" t="str">
        <f t="shared" si="5"/>
        <v/>
      </c>
    </row>
    <row r="25" spans="1:17" s="2" customFormat="1" ht="12" customHeight="1">
      <c r="A25" s="4">
        <f t="shared" si="6"/>
        <v>304</v>
      </c>
      <c r="C25" s="114"/>
      <c r="D25" s="268" t="e">
        <f>VLOOKUP(C25,Purchased!A:B,2,0)</f>
        <v>#N/A</v>
      </c>
      <c r="E25" s="269"/>
      <c r="F25" s="112" t="e">
        <f>VLOOKUP(C25,Purchased!A:Q,9,0)</f>
        <v>#N/A</v>
      </c>
      <c r="G25" s="112" t="e">
        <f>VLOOKUP(C25,Purchased!A:Q,10,0)</f>
        <v>#N/A</v>
      </c>
      <c r="H25" s="112" t="e">
        <f>VLOOKUP(C25,Purchased!A:Q,12,0)</f>
        <v>#N/A</v>
      </c>
      <c r="I25" s="113"/>
      <c r="J25" s="44" t="e">
        <f>VLOOKUP(C25,Purchased!A:Q,13,0)</f>
        <v>#N/A</v>
      </c>
      <c r="K25" s="44" t="e">
        <f>VLOOKUP(C25,Purchased!A:Q,16,0)</f>
        <v>#N/A</v>
      </c>
      <c r="L25" s="44" t="e">
        <f>VLOOKUP(C25,Purchased!A:Q,15,0)</f>
        <v>#N/A</v>
      </c>
      <c r="M25" s="44" t="e">
        <f>VLOOKUP(C25,Purchased!A:Q,16,0)</f>
        <v>#N/A</v>
      </c>
      <c r="N25" s="45" t="e">
        <f>VLOOKUP(C25,Purchased!A:Q,17,0)</f>
        <v>#N/A</v>
      </c>
      <c r="O25" s="45" t="e">
        <f t="shared" ca="1" si="4"/>
        <v>#VALUE!</v>
      </c>
      <c r="P25" s="49" t="str">
        <f>IFERROR(VLOOKUP(C25,Purchased!A:E,3,FALSE),"")</f>
        <v/>
      </c>
      <c r="Q25" s="50" t="str">
        <f t="shared" si="5"/>
        <v/>
      </c>
    </row>
    <row r="26" spans="1:17" s="2" customFormat="1" ht="12" customHeight="1">
      <c r="A26" s="4">
        <f t="shared" si="6"/>
        <v>305</v>
      </c>
      <c r="C26" s="114"/>
      <c r="D26" s="268" t="e">
        <f>VLOOKUP(C26,Purchased!A:B,2,0)</f>
        <v>#N/A</v>
      </c>
      <c r="E26" s="269"/>
      <c r="F26" s="112" t="e">
        <f>VLOOKUP(C26,Purchased!A:Q,9,0)</f>
        <v>#N/A</v>
      </c>
      <c r="G26" s="112" t="e">
        <f>VLOOKUP(C26,Purchased!A:Q,10,0)</f>
        <v>#N/A</v>
      </c>
      <c r="H26" s="112" t="e">
        <f>VLOOKUP(C26,Purchased!A:Q,12,0)</f>
        <v>#N/A</v>
      </c>
      <c r="I26" s="113"/>
      <c r="J26" s="44" t="e">
        <f>VLOOKUP(C26,Purchased!A:Q,13,0)</f>
        <v>#N/A</v>
      </c>
      <c r="K26" s="44" t="e">
        <f>VLOOKUP(C26,Purchased!A:Q,16,0)</f>
        <v>#N/A</v>
      </c>
      <c r="L26" s="44" t="e">
        <f>VLOOKUP(C26,Purchased!A:Q,15,0)</f>
        <v>#N/A</v>
      </c>
      <c r="M26" s="44" t="e">
        <f>VLOOKUP(C26,Purchased!A:Q,16,0)</f>
        <v>#N/A</v>
      </c>
      <c r="N26" s="45" t="e">
        <f>VLOOKUP(C26,Purchased!A:Q,17,0)</f>
        <v>#N/A</v>
      </c>
      <c r="O26" s="45" t="e">
        <f t="shared" ca="1" si="4"/>
        <v>#VALUE!</v>
      </c>
      <c r="P26" s="49" t="str">
        <f>IFERROR(VLOOKUP(C26,Purchased!A:E,3,FALSE),"")</f>
        <v/>
      </c>
      <c r="Q26" s="50" t="str">
        <f t="shared" si="5"/>
        <v/>
      </c>
    </row>
    <row r="27" spans="1:17" s="2" customFormat="1" ht="12" customHeight="1">
      <c r="A27" s="4">
        <f t="shared" si="6"/>
        <v>306</v>
      </c>
      <c r="C27" s="114"/>
      <c r="D27" s="268" t="e">
        <f>VLOOKUP(C27,Purchased!A:B,2,0)</f>
        <v>#N/A</v>
      </c>
      <c r="E27" s="269"/>
      <c r="F27" s="112" t="e">
        <f>VLOOKUP(C27,Purchased!A:Q,9,0)</f>
        <v>#N/A</v>
      </c>
      <c r="G27" s="112" t="e">
        <f>VLOOKUP(C27,Purchased!A:Q,10,0)</f>
        <v>#N/A</v>
      </c>
      <c r="H27" s="112" t="e">
        <f>VLOOKUP(C27,Purchased!A:Q,12,0)</f>
        <v>#N/A</v>
      </c>
      <c r="I27" s="113"/>
      <c r="J27" s="44" t="e">
        <f>VLOOKUP(C27,Purchased!A:Q,13,0)</f>
        <v>#N/A</v>
      </c>
      <c r="K27" s="44" t="e">
        <f>VLOOKUP(C27,Purchased!A:Q,16,0)</f>
        <v>#N/A</v>
      </c>
      <c r="L27" s="44" t="e">
        <f>VLOOKUP(C27,Purchased!A:Q,15,0)</f>
        <v>#N/A</v>
      </c>
      <c r="M27" s="44" t="e">
        <f>VLOOKUP(C27,Purchased!A:Q,16,0)</f>
        <v>#N/A</v>
      </c>
      <c r="N27" s="45" t="e">
        <f>VLOOKUP(C27,Purchased!A:Q,17,0)</f>
        <v>#N/A</v>
      </c>
      <c r="O27" s="45" t="e">
        <f t="shared" ca="1" si="4"/>
        <v>#VALUE!</v>
      </c>
      <c r="P27" s="49" t="str">
        <f>IFERROR(VLOOKUP(C27,Purchased!A:E,3,FALSE),"")</f>
        <v/>
      </c>
      <c r="Q27" s="50" t="str">
        <f t="shared" si="5"/>
        <v/>
      </c>
    </row>
    <row r="28" spans="1:17" s="2" customFormat="1" ht="12" customHeight="1">
      <c r="A28" s="4">
        <f t="shared" si="6"/>
        <v>307</v>
      </c>
      <c r="C28" s="114"/>
      <c r="D28" s="268" t="e">
        <f>VLOOKUP(C28,Purchased!A:B,2,0)</f>
        <v>#N/A</v>
      </c>
      <c r="E28" s="269"/>
      <c r="F28" s="112" t="e">
        <f>VLOOKUP(C28,Purchased!A:Q,9,0)</f>
        <v>#N/A</v>
      </c>
      <c r="G28" s="112" t="e">
        <f>VLOOKUP(C28,Purchased!A:Q,10,0)</f>
        <v>#N/A</v>
      </c>
      <c r="H28" s="112" t="e">
        <f>VLOOKUP(C28,Purchased!A:Q,12,0)</f>
        <v>#N/A</v>
      </c>
      <c r="I28" s="113"/>
      <c r="J28" s="44" t="e">
        <f>VLOOKUP(C28,Purchased!A:Q,13,0)</f>
        <v>#N/A</v>
      </c>
      <c r="K28" s="44" t="e">
        <f>VLOOKUP(C28,Purchased!A:Q,16,0)</f>
        <v>#N/A</v>
      </c>
      <c r="L28" s="44" t="e">
        <f>VLOOKUP(C28,Purchased!A:Q,15,0)</f>
        <v>#N/A</v>
      </c>
      <c r="M28" s="44" t="e">
        <f>VLOOKUP(C28,Purchased!A:Q,16,0)</f>
        <v>#N/A</v>
      </c>
      <c r="N28" s="45" t="e">
        <f>VLOOKUP(C28,Purchased!A:Q,17,0)</f>
        <v>#N/A</v>
      </c>
      <c r="O28" s="45" t="e">
        <f t="shared" ca="1" si="4"/>
        <v>#VALUE!</v>
      </c>
      <c r="P28" s="49" t="str">
        <f>IFERROR(VLOOKUP(C28,Purchased!A:E,3,FALSE),"")</f>
        <v/>
      </c>
      <c r="Q28" s="50" t="str">
        <f t="shared" si="5"/>
        <v/>
      </c>
    </row>
    <row r="29" spans="1:17" s="2" customFormat="1" ht="12" customHeight="1">
      <c r="A29" s="4">
        <f t="shared" si="6"/>
        <v>308</v>
      </c>
      <c r="C29" s="114"/>
      <c r="D29" s="268" t="e">
        <f>VLOOKUP(C29,Purchased!A:B,2,0)</f>
        <v>#N/A</v>
      </c>
      <c r="E29" s="269"/>
      <c r="F29" s="112" t="e">
        <f>VLOOKUP(C29,Purchased!A:Q,9,0)</f>
        <v>#N/A</v>
      </c>
      <c r="G29" s="112" t="e">
        <f>VLOOKUP(C29,Purchased!A:Q,10,0)</f>
        <v>#N/A</v>
      </c>
      <c r="H29" s="112" t="e">
        <f>VLOOKUP(C29,Purchased!A:Q,12,0)</f>
        <v>#N/A</v>
      </c>
      <c r="I29" s="113"/>
      <c r="J29" s="44" t="e">
        <f>VLOOKUP(C29,Purchased!A:Q,13,0)</f>
        <v>#N/A</v>
      </c>
      <c r="K29" s="44" t="e">
        <f>VLOOKUP(C29,Purchased!A:Q,16,0)</f>
        <v>#N/A</v>
      </c>
      <c r="L29" s="44" t="e">
        <f>VLOOKUP(C29,Purchased!A:Q,15,0)</f>
        <v>#N/A</v>
      </c>
      <c r="M29" s="44" t="e">
        <f>VLOOKUP(C29,Purchased!A:Q,16,0)</f>
        <v>#N/A</v>
      </c>
      <c r="N29" s="45" t="e">
        <f>VLOOKUP(C29,Purchased!A:Q,17,0)</f>
        <v>#N/A</v>
      </c>
      <c r="O29" s="45" t="e">
        <f t="shared" ca="1" si="4"/>
        <v>#VALUE!</v>
      </c>
      <c r="P29" s="49" t="str">
        <f>IFERROR(VLOOKUP(C29,Purchased!A:E,3,FALSE),"")</f>
        <v/>
      </c>
      <c r="Q29" s="50" t="str">
        <f t="shared" si="5"/>
        <v/>
      </c>
    </row>
    <row r="30" spans="1:17" s="2" customFormat="1" ht="12" customHeight="1">
      <c r="A30" s="4">
        <f t="shared" si="6"/>
        <v>309</v>
      </c>
      <c r="C30" s="114"/>
      <c r="D30" s="268" t="e">
        <f>VLOOKUP(C30,Purchased!A:B,2,0)</f>
        <v>#N/A</v>
      </c>
      <c r="E30" s="269"/>
      <c r="F30" s="112" t="e">
        <f>VLOOKUP(C30,Purchased!A:Q,9,0)</f>
        <v>#N/A</v>
      </c>
      <c r="G30" s="112" t="e">
        <f>VLOOKUP(C30,Purchased!A:Q,10,0)</f>
        <v>#N/A</v>
      </c>
      <c r="H30" s="112" t="e">
        <f>VLOOKUP(C30,Purchased!A:Q,12,0)</f>
        <v>#N/A</v>
      </c>
      <c r="I30" s="113"/>
      <c r="J30" s="44" t="e">
        <f>VLOOKUP(C30,Purchased!A:Q,13,0)</f>
        <v>#N/A</v>
      </c>
      <c r="K30" s="44" t="e">
        <f>VLOOKUP(C30,Purchased!A:Q,16,0)</f>
        <v>#N/A</v>
      </c>
      <c r="L30" s="44" t="e">
        <f>VLOOKUP(C30,Purchased!A:Q,15,0)</f>
        <v>#N/A</v>
      </c>
      <c r="M30" s="44" t="e">
        <f>VLOOKUP(C30,Purchased!A:Q,16,0)</f>
        <v>#N/A</v>
      </c>
      <c r="N30" s="45" t="e">
        <f>VLOOKUP(C30,Purchased!A:Q,17,0)</f>
        <v>#N/A</v>
      </c>
      <c r="O30" s="45" t="e">
        <f t="shared" ca="1" si="4"/>
        <v>#VALUE!</v>
      </c>
      <c r="P30" s="49" t="str">
        <f>IFERROR(VLOOKUP(C30,Purchased!A:E,3,FALSE),"")</f>
        <v/>
      </c>
      <c r="Q30" s="50" t="str">
        <f t="shared" si="5"/>
        <v/>
      </c>
    </row>
    <row r="31" spans="1:17" s="2" customFormat="1" ht="12" customHeight="1">
      <c r="A31" s="4">
        <f t="shared" si="6"/>
        <v>310</v>
      </c>
      <c r="C31" s="114"/>
      <c r="D31" s="268" t="e">
        <f>VLOOKUP(C31,Purchased!A:B,2,0)</f>
        <v>#N/A</v>
      </c>
      <c r="E31" s="269"/>
      <c r="F31" s="112" t="e">
        <f>VLOOKUP(C31,Purchased!A:Q,9,0)</f>
        <v>#N/A</v>
      </c>
      <c r="G31" s="112" t="e">
        <f>VLOOKUP(C31,Purchased!A:Q,10,0)</f>
        <v>#N/A</v>
      </c>
      <c r="H31" s="112" t="e">
        <f>VLOOKUP(C31,Purchased!A:Q,12,0)</f>
        <v>#N/A</v>
      </c>
      <c r="I31" s="113"/>
      <c r="J31" s="44" t="e">
        <f>VLOOKUP(C31,Purchased!A:Q,13,0)</f>
        <v>#N/A</v>
      </c>
      <c r="K31" s="44" t="e">
        <f>VLOOKUP(C31,Purchased!A:Q,16,0)</f>
        <v>#N/A</v>
      </c>
      <c r="L31" s="44" t="e">
        <f>VLOOKUP(C31,Purchased!A:Q,15,0)</f>
        <v>#N/A</v>
      </c>
      <c r="M31" s="44" t="e">
        <f>VLOOKUP(C31,Purchased!A:Q,16,0)</f>
        <v>#N/A</v>
      </c>
      <c r="N31" s="45" t="e">
        <f>VLOOKUP(C31,Purchased!A:Q,17,0)</f>
        <v>#N/A</v>
      </c>
      <c r="O31" s="45" t="e">
        <f t="shared" ca="1" si="4"/>
        <v>#VALUE!</v>
      </c>
      <c r="P31" s="49" t="str">
        <f>IFERROR(VLOOKUP(C31,Purchased!A:E,3,FALSE),"")</f>
        <v/>
      </c>
      <c r="Q31" s="50" t="str">
        <f t="shared" si="5"/>
        <v/>
      </c>
    </row>
    <row r="32" spans="1:17" s="2" customFormat="1" ht="12.75" customHeight="1">
      <c r="A32" s="25"/>
      <c r="B32" s="26"/>
      <c r="C32" s="26"/>
      <c r="D32" s="272"/>
      <c r="E32" s="273"/>
      <c r="F32" s="26"/>
      <c r="G32" s="26"/>
      <c r="H32" s="274"/>
      <c r="I32" s="275"/>
      <c r="J32" s="27"/>
      <c r="K32" s="27"/>
      <c r="L32" s="27"/>
      <c r="M32" s="28"/>
      <c r="N32" s="29"/>
      <c r="O32" s="29" t="e">
        <f t="shared" ref="O32:O38" ca="1" si="7">B32*$L$2</f>
        <v>#VALUE!</v>
      </c>
      <c r="P32" s="141"/>
      <c r="Q32" s="142"/>
    </row>
    <row r="33" spans="1:17" s="2" customFormat="1" ht="12.75" customHeight="1">
      <c r="A33" s="4">
        <v>501</v>
      </c>
      <c r="C33" s="110"/>
      <c r="D33" s="268"/>
      <c r="E33" s="276"/>
      <c r="F33" s="112" t="e">
        <f>VLOOKUP(C33,Bolts!A:L,5,0)</f>
        <v>#N/A</v>
      </c>
      <c r="G33" s="112" t="e">
        <f>VLOOKUP(C33,Bolts!A:L,6,0)</f>
        <v>#N/A</v>
      </c>
      <c r="H33" s="112" t="e">
        <f>VLOOKUP(C33,Bolts!A:L,7,0)</f>
        <v>#N/A</v>
      </c>
      <c r="I33" s="112"/>
      <c r="J33" s="44" t="e">
        <f>VLOOKUP(C33,Bolts!A:L,8,0)</f>
        <v>#N/A</v>
      </c>
      <c r="K33" s="44" t="e">
        <f>VLOOKUP(C33,Bolts!A:L,9,0)</f>
        <v>#N/A</v>
      </c>
      <c r="L33" s="44" t="e">
        <f>VLOOKUP(C33,Bolts!A:L,10,0)</f>
        <v>#N/A</v>
      </c>
      <c r="M33" s="44" t="e">
        <f>VLOOKUP(C33,Bolts!A:L,11,0)</f>
        <v>#N/A</v>
      </c>
      <c r="N33" s="45" t="e">
        <f>VLOOKUP(C33,Bolts!A:L,12,0)</f>
        <v>#N/A</v>
      </c>
      <c r="O33" s="45" t="e">
        <f t="shared" ca="1" si="7"/>
        <v>#VALUE!</v>
      </c>
      <c r="P33" s="49" t="str">
        <f>IFERROR(VLOOKUP(C33,Bolts!A:B,2,FALSE),"")</f>
        <v/>
      </c>
      <c r="Q33" s="50" t="str">
        <f t="shared" ref="Q33:Q38" si="8">IFERROR(B33*P33,"")</f>
        <v/>
      </c>
    </row>
    <row r="34" spans="1:17" s="2" customFormat="1" ht="12.75" customHeight="1">
      <c r="A34" s="4">
        <f t="shared" ref="A34:A38" si="9">A33+1</f>
        <v>502</v>
      </c>
      <c r="C34" s="110"/>
      <c r="D34" s="268"/>
      <c r="E34" s="276"/>
      <c r="F34" s="112" t="e">
        <f>VLOOKUP(C34,Bolts!A:L,5,0)</f>
        <v>#N/A</v>
      </c>
      <c r="G34" s="112" t="e">
        <f>VLOOKUP(C34,Bolts!A:L,6,0)</f>
        <v>#N/A</v>
      </c>
      <c r="H34" s="112" t="e">
        <f>VLOOKUP(C34,Bolts!A:L,7,0)</f>
        <v>#N/A</v>
      </c>
      <c r="I34" s="112"/>
      <c r="J34" s="44" t="e">
        <f>VLOOKUP(C34,Bolts!A:L,8,0)</f>
        <v>#N/A</v>
      </c>
      <c r="K34" s="44" t="e">
        <f>VLOOKUP(C34,Bolts!A:L,9,0)</f>
        <v>#N/A</v>
      </c>
      <c r="L34" s="44" t="e">
        <f>VLOOKUP(C34,Bolts!A:L,10,0)</f>
        <v>#N/A</v>
      </c>
      <c r="M34" s="44" t="e">
        <f>VLOOKUP(C34,Bolts!A:L,11,0)</f>
        <v>#N/A</v>
      </c>
      <c r="N34" s="45" t="e">
        <f>VLOOKUP(C34,Bolts!A:L,12,0)</f>
        <v>#N/A</v>
      </c>
      <c r="O34" s="45" t="e">
        <f t="shared" ca="1" si="7"/>
        <v>#VALUE!</v>
      </c>
      <c r="P34" s="49" t="str">
        <f>IFERROR(VLOOKUP(C34,Bolts!A:B,2,FALSE),"")</f>
        <v/>
      </c>
      <c r="Q34" s="50" t="str">
        <f t="shared" si="8"/>
        <v/>
      </c>
    </row>
    <row r="35" spans="1:17" s="2" customFormat="1" ht="12" customHeight="1">
      <c r="A35" s="4">
        <f t="shared" si="9"/>
        <v>503</v>
      </c>
      <c r="C35" s="110"/>
      <c r="D35" s="268"/>
      <c r="E35" s="276"/>
      <c r="F35" s="112" t="e">
        <f>VLOOKUP(C35,Bolts!A:L,5,0)</f>
        <v>#N/A</v>
      </c>
      <c r="G35" s="112" t="e">
        <f>VLOOKUP(C35,Bolts!A:L,6,0)</f>
        <v>#N/A</v>
      </c>
      <c r="H35" s="112" t="e">
        <f>VLOOKUP(C35,Bolts!A:L,7,0)</f>
        <v>#N/A</v>
      </c>
      <c r="I35" s="112"/>
      <c r="J35" s="44" t="e">
        <f>VLOOKUP(C35,Bolts!A:L,8,0)</f>
        <v>#N/A</v>
      </c>
      <c r="K35" s="44" t="e">
        <f>VLOOKUP(C35,Bolts!A:L,9,0)</f>
        <v>#N/A</v>
      </c>
      <c r="L35" s="44" t="e">
        <f>VLOOKUP(C35,Bolts!A:L,10,0)</f>
        <v>#N/A</v>
      </c>
      <c r="M35" s="44" t="e">
        <f>VLOOKUP(C35,Bolts!A:L,11,0)</f>
        <v>#N/A</v>
      </c>
      <c r="N35" s="45" t="e">
        <f>VLOOKUP(C35,Bolts!A:L,12,0)</f>
        <v>#N/A</v>
      </c>
      <c r="O35" s="45" t="e">
        <f t="shared" ca="1" si="7"/>
        <v>#VALUE!</v>
      </c>
      <c r="P35" s="49" t="str">
        <f>IFERROR(VLOOKUP(C35,Bolts!A:B,2,FALSE),"")</f>
        <v/>
      </c>
      <c r="Q35" s="50" t="str">
        <f t="shared" si="8"/>
        <v/>
      </c>
    </row>
    <row r="36" spans="1:17" s="2" customFormat="1" ht="12" customHeight="1">
      <c r="A36" s="4">
        <f t="shared" si="9"/>
        <v>504</v>
      </c>
      <c r="C36" s="110"/>
      <c r="D36" s="268"/>
      <c r="E36" s="276"/>
      <c r="F36" s="112" t="e">
        <f>VLOOKUP(C36,Bolts!A:L,5,0)</f>
        <v>#N/A</v>
      </c>
      <c r="G36" s="112" t="e">
        <f>VLOOKUP(C36,Bolts!A:L,6,0)</f>
        <v>#N/A</v>
      </c>
      <c r="H36" s="112" t="e">
        <f>VLOOKUP(C36,Bolts!A:L,7,0)</f>
        <v>#N/A</v>
      </c>
      <c r="I36" s="112"/>
      <c r="J36" s="44" t="e">
        <f>VLOOKUP(C36,Bolts!A:L,8,0)</f>
        <v>#N/A</v>
      </c>
      <c r="K36" s="44" t="e">
        <f>VLOOKUP(C36,Bolts!A:L,9,0)</f>
        <v>#N/A</v>
      </c>
      <c r="L36" s="44" t="e">
        <f>VLOOKUP(C36,Bolts!A:L,10,0)</f>
        <v>#N/A</v>
      </c>
      <c r="M36" s="44" t="e">
        <f>VLOOKUP(C36,Bolts!A:L,11,0)</f>
        <v>#N/A</v>
      </c>
      <c r="N36" s="45" t="e">
        <f>VLOOKUP(C36,Bolts!A:L,12,0)</f>
        <v>#N/A</v>
      </c>
      <c r="O36" s="45" t="e">
        <f t="shared" ca="1" si="7"/>
        <v>#VALUE!</v>
      </c>
      <c r="P36" s="49" t="str">
        <f>IFERROR(VLOOKUP(C36,Bolts!A:B,2,FALSE),"")</f>
        <v/>
      </c>
      <c r="Q36" s="50" t="str">
        <f t="shared" si="8"/>
        <v/>
      </c>
    </row>
    <row r="37" spans="1:17" s="2" customFormat="1" ht="12" customHeight="1">
      <c r="A37" s="4">
        <f t="shared" si="9"/>
        <v>505</v>
      </c>
      <c r="C37" s="110"/>
      <c r="D37" s="268"/>
      <c r="E37" s="276"/>
      <c r="F37" s="112" t="e">
        <f>VLOOKUP(C37,Bolts!A:L,5,0)</f>
        <v>#N/A</v>
      </c>
      <c r="G37" s="112" t="e">
        <f>VLOOKUP(C37,Bolts!A:L,6,0)</f>
        <v>#N/A</v>
      </c>
      <c r="H37" s="112" t="e">
        <f>VLOOKUP(C37,Bolts!A:L,7,0)</f>
        <v>#N/A</v>
      </c>
      <c r="I37" s="112"/>
      <c r="J37" s="44" t="e">
        <f>VLOOKUP(C37,Bolts!A:L,8,0)</f>
        <v>#N/A</v>
      </c>
      <c r="K37" s="44" t="e">
        <f>VLOOKUP(C37,Bolts!A:L,9,0)</f>
        <v>#N/A</v>
      </c>
      <c r="L37" s="44" t="e">
        <f>VLOOKUP(C37,Bolts!A:L,10,0)</f>
        <v>#N/A</v>
      </c>
      <c r="M37" s="44" t="e">
        <f>VLOOKUP(C37,Bolts!A:L,11,0)</f>
        <v>#N/A</v>
      </c>
      <c r="N37" s="45" t="e">
        <f>VLOOKUP(C37,Bolts!A:L,12,0)</f>
        <v>#N/A</v>
      </c>
      <c r="O37" s="45" t="e">
        <f t="shared" ca="1" si="7"/>
        <v>#VALUE!</v>
      </c>
      <c r="P37" s="49" t="str">
        <f>IFERROR(VLOOKUP(C37,Bolts!A:B,2,FALSE),"")</f>
        <v/>
      </c>
      <c r="Q37" s="50" t="str">
        <f t="shared" si="8"/>
        <v/>
      </c>
    </row>
    <row r="38" spans="1:17" s="2" customFormat="1" ht="12" customHeight="1">
      <c r="A38" s="4">
        <f t="shared" si="9"/>
        <v>506</v>
      </c>
      <c r="C38" s="110"/>
      <c r="D38" s="268"/>
      <c r="E38" s="276"/>
      <c r="F38" s="112" t="e">
        <f>VLOOKUP(C38,Bolts!A:L,5,0)</f>
        <v>#N/A</v>
      </c>
      <c r="G38" s="112" t="e">
        <f>VLOOKUP(C38,Bolts!A:L,6,0)</f>
        <v>#N/A</v>
      </c>
      <c r="H38" s="112" t="e">
        <f>VLOOKUP(C38,Bolts!A:L,7,0)</f>
        <v>#N/A</v>
      </c>
      <c r="I38" s="112"/>
      <c r="J38" s="44" t="e">
        <f>VLOOKUP(C38,Bolts!A:L,8,0)</f>
        <v>#N/A</v>
      </c>
      <c r="K38" s="44" t="e">
        <f>VLOOKUP(C38,Bolts!A:L,9,0)</f>
        <v>#N/A</v>
      </c>
      <c r="L38" s="44" t="e">
        <f>VLOOKUP(C38,Bolts!A:L,10,0)</f>
        <v>#N/A</v>
      </c>
      <c r="M38" s="44" t="e">
        <f>VLOOKUP(C38,Bolts!A:L,11,0)</f>
        <v>#N/A</v>
      </c>
      <c r="N38" s="45" t="e">
        <f>VLOOKUP(C38,Bolts!A:L,12,0)</f>
        <v>#N/A</v>
      </c>
      <c r="O38" s="45" t="e">
        <f t="shared" ca="1" si="7"/>
        <v>#VALUE!</v>
      </c>
      <c r="P38" s="49" t="str">
        <f>IFERROR(VLOOKUP(C38,Bolts!A:B,2,FALSE),"")</f>
        <v/>
      </c>
      <c r="Q38" s="50" t="str">
        <f t="shared" si="8"/>
        <v/>
      </c>
    </row>
    <row r="39" spans="1:17" s="2" customFormat="1" ht="12.75" customHeight="1">
      <c r="A39" s="25"/>
      <c r="B39" s="26"/>
      <c r="C39" s="26"/>
      <c r="D39" s="272"/>
      <c r="E39" s="273"/>
      <c r="F39" s="26"/>
      <c r="G39" s="26"/>
      <c r="H39" s="274"/>
      <c r="I39" s="275"/>
      <c r="J39" s="27"/>
      <c r="K39" s="27"/>
      <c r="L39" s="27"/>
      <c r="M39" s="28"/>
      <c r="N39" s="29"/>
      <c r="O39" s="29"/>
      <c r="P39" s="141"/>
      <c r="Q39" s="142"/>
    </row>
    <row r="40" spans="1:17" s="2" customFormat="1" ht="12.75" customHeight="1">
      <c r="A40" s="4">
        <v>701</v>
      </c>
      <c r="C40" s="111"/>
      <c r="D40" s="268" t="e">
        <f>VLOOKUP(C40,Extrusion!B:C,2,0)</f>
        <v>#N/A</v>
      </c>
      <c r="E40" s="269"/>
      <c r="F40" s="112" t="e">
        <f>VLOOKUP(C40,Extrusion!B:M,6,0)</f>
        <v>#N/A</v>
      </c>
      <c r="G40" s="112" t="e">
        <f>VLOOKUP(C40,Extrusion!B:M,7,0)</f>
        <v>#N/A</v>
      </c>
      <c r="H40" s="112" t="e">
        <f>VLOOKUP(C40,Extrusion!B:M,8,0)</f>
        <v>#N/A</v>
      </c>
      <c r="I40" s="113"/>
      <c r="J40" s="44" t="e">
        <f>VLOOKUP(C40,Extrusion!B:M,9,0)</f>
        <v>#N/A</v>
      </c>
      <c r="K40" s="44" t="e">
        <f>VLOOKUP(C40,Extrusion!B:M,10,0)</f>
        <v>#N/A</v>
      </c>
      <c r="L40" s="44" t="e">
        <f>VLOOKUP(C40,Extrusion!B:M,11,0)</f>
        <v>#N/A</v>
      </c>
      <c r="M40" s="44" t="e">
        <f>VLOOKUP(C40,Extrusion!B:M,12,0)</f>
        <v>#N/A</v>
      </c>
      <c r="N40" s="45" t="e">
        <f>VLOOKUP(C40,Extrusion!B:N,13,0)</f>
        <v>#N/A</v>
      </c>
      <c r="O40" s="45" t="e">
        <f t="shared" ref="O40:O44" ca="1" si="10">B40*$L$2</f>
        <v>#VALUE!</v>
      </c>
      <c r="P40" s="49" t="str">
        <f>IFERROR(VLOOKUP(C40,Extrusion!B:F,5,0),"")</f>
        <v/>
      </c>
      <c r="Q40" s="50" t="str">
        <f t="shared" ref="Q40:Q44" si="11">IFERROR(B40*P40,"")</f>
        <v/>
      </c>
    </row>
    <row r="41" spans="1:17" s="2" customFormat="1" ht="12" customHeight="1">
      <c r="A41" s="4">
        <f t="shared" ref="A41:A44" si="12">A40+1</f>
        <v>702</v>
      </c>
      <c r="C41" s="111"/>
      <c r="D41" s="268" t="e">
        <f>VLOOKUP(C41,Extrusion!B:C,2,0)</f>
        <v>#N/A</v>
      </c>
      <c r="E41" s="269"/>
      <c r="F41" s="112" t="e">
        <f>VLOOKUP(C41,Extrusion!B:M,6,0)</f>
        <v>#N/A</v>
      </c>
      <c r="G41" s="112" t="e">
        <f>VLOOKUP(C41,Extrusion!B:M,7,0)</f>
        <v>#N/A</v>
      </c>
      <c r="H41" s="112" t="e">
        <f>VLOOKUP(C41,Extrusion!B:M,8,0)</f>
        <v>#N/A</v>
      </c>
      <c r="I41" s="113"/>
      <c r="J41" s="44" t="e">
        <f>VLOOKUP(C41,Extrusion!B:M,9,0)</f>
        <v>#N/A</v>
      </c>
      <c r="K41" s="44" t="e">
        <f>VLOOKUP(C41,Extrusion!B:M,10,0)</f>
        <v>#N/A</v>
      </c>
      <c r="L41" s="44" t="e">
        <f>VLOOKUP(C41,Extrusion!B:M,11,0)</f>
        <v>#N/A</v>
      </c>
      <c r="M41" s="44" t="e">
        <f>VLOOKUP(C41,Extrusion!B:M,12,0)</f>
        <v>#N/A</v>
      </c>
      <c r="N41" s="45" t="e">
        <f>VLOOKUP(C41,Extrusion!B:N,13,0)</f>
        <v>#N/A</v>
      </c>
      <c r="O41" s="45" t="e">
        <f t="shared" ca="1" si="10"/>
        <v>#VALUE!</v>
      </c>
      <c r="P41" s="49" t="str">
        <f>IFERROR(VLOOKUP(C41,Extrusion!B:F,5,0),"")</f>
        <v/>
      </c>
      <c r="Q41" s="50" t="str">
        <f t="shared" si="11"/>
        <v/>
      </c>
    </row>
    <row r="42" spans="1:17" s="2" customFormat="1" ht="12" customHeight="1">
      <c r="A42" s="4">
        <f t="shared" si="12"/>
        <v>703</v>
      </c>
      <c r="C42" s="111"/>
      <c r="D42" s="268" t="e">
        <f>VLOOKUP(C42,Extrusion!B:C,2,0)</f>
        <v>#N/A</v>
      </c>
      <c r="E42" s="269"/>
      <c r="F42" s="112" t="e">
        <f>VLOOKUP(C42,Extrusion!B:M,6,0)</f>
        <v>#N/A</v>
      </c>
      <c r="G42" s="112" t="e">
        <f>VLOOKUP(C42,Extrusion!B:M,7,0)</f>
        <v>#N/A</v>
      </c>
      <c r="H42" s="112" t="e">
        <f>VLOOKUP(C42,Extrusion!B:M,8,0)</f>
        <v>#N/A</v>
      </c>
      <c r="I42" s="113"/>
      <c r="J42" s="44" t="e">
        <f>VLOOKUP(C42,Extrusion!B:M,9,0)</f>
        <v>#N/A</v>
      </c>
      <c r="K42" s="44" t="e">
        <f>VLOOKUP(C42,Extrusion!B:M,10,0)</f>
        <v>#N/A</v>
      </c>
      <c r="L42" s="44" t="e">
        <f>VLOOKUP(C42,Extrusion!B:M,11,0)</f>
        <v>#N/A</v>
      </c>
      <c r="M42" s="44" t="e">
        <f>VLOOKUP(C42,Extrusion!B:M,12,0)</f>
        <v>#N/A</v>
      </c>
      <c r="N42" s="45" t="e">
        <f>VLOOKUP(C42,Extrusion!B:N,13,0)</f>
        <v>#N/A</v>
      </c>
      <c r="O42" s="45" t="e">
        <f t="shared" ca="1" si="10"/>
        <v>#VALUE!</v>
      </c>
      <c r="P42" s="49" t="str">
        <f>IFERROR(VLOOKUP(C42,Extrusion!B:F,5,0),"")</f>
        <v/>
      </c>
      <c r="Q42" s="50" t="str">
        <f t="shared" si="11"/>
        <v/>
      </c>
    </row>
    <row r="43" spans="1:17" s="2" customFormat="1" ht="12" customHeight="1">
      <c r="A43" s="4">
        <f t="shared" si="12"/>
        <v>704</v>
      </c>
      <c r="C43" s="111"/>
      <c r="D43" s="268" t="e">
        <f>VLOOKUP(C43,Extrusion!B:C,2,0)</f>
        <v>#N/A</v>
      </c>
      <c r="E43" s="269"/>
      <c r="F43" s="112" t="e">
        <f>VLOOKUP(C43,Extrusion!B:M,6,0)</f>
        <v>#N/A</v>
      </c>
      <c r="G43" s="112" t="e">
        <f>VLOOKUP(C43,Extrusion!B:M,7,0)</f>
        <v>#N/A</v>
      </c>
      <c r="H43" s="112" t="e">
        <f>VLOOKUP(C43,Extrusion!B:M,8,0)</f>
        <v>#N/A</v>
      </c>
      <c r="I43" s="113"/>
      <c r="J43" s="44" t="e">
        <f>VLOOKUP(C43,Extrusion!B:M,9,0)</f>
        <v>#N/A</v>
      </c>
      <c r="K43" s="44" t="e">
        <f>VLOOKUP(C43,Extrusion!B:M,10,0)</f>
        <v>#N/A</v>
      </c>
      <c r="L43" s="44" t="e">
        <f>VLOOKUP(C43,Extrusion!B:M,11,0)</f>
        <v>#N/A</v>
      </c>
      <c r="M43" s="44" t="e">
        <f>VLOOKUP(C43,Extrusion!B:M,12,0)</f>
        <v>#N/A</v>
      </c>
      <c r="N43" s="45" t="e">
        <f>VLOOKUP(C43,Extrusion!B:N,13,0)</f>
        <v>#N/A</v>
      </c>
      <c r="O43" s="45" t="e">
        <f t="shared" ca="1" si="10"/>
        <v>#VALUE!</v>
      </c>
      <c r="P43" s="49" t="str">
        <f>IFERROR(VLOOKUP(C43,Extrusion!B:F,5,0),"")</f>
        <v/>
      </c>
      <c r="Q43" s="50" t="str">
        <f t="shared" si="11"/>
        <v/>
      </c>
    </row>
    <row r="44" spans="1:17" s="2" customFormat="1" ht="12" customHeight="1" thickBot="1">
      <c r="A44" s="4">
        <f t="shared" si="12"/>
        <v>705</v>
      </c>
      <c r="C44" s="111"/>
      <c r="D44" s="268" t="e">
        <f>VLOOKUP(C44,Extrusion!B:C,2,0)</f>
        <v>#N/A</v>
      </c>
      <c r="E44" s="269"/>
      <c r="F44" s="112" t="e">
        <f>VLOOKUP(C44,Extrusion!B:M,6,0)</f>
        <v>#N/A</v>
      </c>
      <c r="G44" s="112" t="e">
        <f>VLOOKUP(C44,Extrusion!B:M,7,0)</f>
        <v>#N/A</v>
      </c>
      <c r="H44" s="112" t="e">
        <f>VLOOKUP(C44,Extrusion!B:M,8,0)</f>
        <v>#N/A</v>
      </c>
      <c r="I44" s="113"/>
      <c r="J44" s="44" t="e">
        <f>VLOOKUP(C44,Extrusion!B:M,9,0)</f>
        <v>#N/A</v>
      </c>
      <c r="K44" s="44" t="e">
        <f>VLOOKUP(C44,Extrusion!B:M,10,0)</f>
        <v>#N/A</v>
      </c>
      <c r="L44" s="44" t="e">
        <f>VLOOKUP(C44,Extrusion!B:M,11,0)</f>
        <v>#N/A</v>
      </c>
      <c r="M44" s="44" t="e">
        <f>VLOOKUP(C44,Extrusion!B:M,12,0)</f>
        <v>#N/A</v>
      </c>
      <c r="N44" s="45" t="e">
        <f>VLOOKUP(C44,Extrusion!B:N,13,0)</f>
        <v>#N/A</v>
      </c>
      <c r="O44" s="45" t="e">
        <f t="shared" ca="1" si="10"/>
        <v>#VALUE!</v>
      </c>
      <c r="P44" s="49" t="str">
        <f>IFERROR(VLOOKUP(C44,Extrusion!B:F,5,0),"")</f>
        <v/>
      </c>
      <c r="Q44" s="50" t="str">
        <f t="shared" si="11"/>
        <v/>
      </c>
    </row>
    <row r="45" spans="1:17" s="2" customFormat="1" ht="12.75" customHeight="1" thickBot="1">
      <c r="A45" s="34"/>
      <c r="B45" s="35"/>
      <c r="C45" s="35"/>
      <c r="D45" s="256"/>
      <c r="E45" s="257"/>
      <c r="F45" s="35"/>
      <c r="G45" s="35"/>
      <c r="H45" s="294"/>
      <c r="I45" s="295"/>
      <c r="J45" s="36"/>
      <c r="K45" s="36"/>
      <c r="L45" s="36"/>
      <c r="M45" s="37"/>
      <c r="N45" s="38"/>
      <c r="O45" s="38"/>
      <c r="P45" s="89" t="s">
        <v>43</v>
      </c>
      <c r="Q45" s="94">
        <f>SUM(Q5:Q44)</f>
        <v>0</v>
      </c>
    </row>
    <row r="46" spans="1:17" s="2" customFormat="1" ht="12" customHeight="1">
      <c r="D46" s="22"/>
      <c r="E46" s="22"/>
      <c r="J46" s="8"/>
      <c r="K46" s="8"/>
      <c r="L46" s="8"/>
      <c r="M46" s="8"/>
      <c r="N46" s="5"/>
      <c r="O46" s="5"/>
      <c r="P46" s="88"/>
      <c r="Q46" s="95"/>
    </row>
    <row r="47" spans="1:17" s="2" customFormat="1" ht="12" customHeight="1">
      <c r="D47" s="22"/>
      <c r="E47" s="22"/>
      <c r="J47" s="5"/>
      <c r="K47" s="5"/>
      <c r="L47" s="5"/>
      <c r="M47" s="5"/>
      <c r="N47" s="5"/>
      <c r="O47" s="5"/>
      <c r="P47" s="88"/>
      <c r="Q47" s="95"/>
    </row>
    <row r="48" spans="1:17" s="2" customFormat="1" ht="12" customHeight="1">
      <c r="D48" s="22"/>
      <c r="E48" s="22"/>
      <c r="J48" s="5"/>
      <c r="K48" s="5"/>
      <c r="L48" s="5"/>
      <c r="M48" s="5"/>
      <c r="N48" s="5"/>
      <c r="O48" s="5"/>
      <c r="P48" s="88"/>
      <c r="Q48" s="95"/>
    </row>
    <row r="49" spans="4:17" s="2" customFormat="1" ht="12" customHeight="1">
      <c r="D49" s="22"/>
      <c r="E49" s="22"/>
      <c r="J49" s="5"/>
      <c r="K49" s="5"/>
      <c r="L49" s="5"/>
      <c r="M49" s="5"/>
      <c r="N49" s="5"/>
      <c r="O49" s="5"/>
      <c r="P49" s="88"/>
      <c r="Q49" s="95"/>
    </row>
    <row r="50" spans="4:17" s="2" customFormat="1" ht="12" customHeight="1">
      <c r="D50" s="22"/>
      <c r="E50" s="22"/>
      <c r="J50" s="5"/>
      <c r="K50" s="5"/>
      <c r="L50" s="5"/>
      <c r="M50" s="5"/>
      <c r="N50" s="5"/>
      <c r="O50" s="5"/>
      <c r="P50" s="88"/>
      <c r="Q50" s="95"/>
    </row>
    <row r="51" spans="4:17" s="2" customFormat="1" ht="12" customHeight="1">
      <c r="D51" s="22"/>
      <c r="E51" s="22"/>
      <c r="J51" s="5"/>
      <c r="K51" s="5"/>
      <c r="L51" s="5"/>
      <c r="M51" s="5"/>
      <c r="N51" s="5"/>
      <c r="O51" s="5"/>
      <c r="P51" s="88"/>
      <c r="Q51" s="95"/>
    </row>
    <row r="52" spans="4:17" s="2" customFormat="1" ht="12" customHeight="1">
      <c r="D52" s="22"/>
      <c r="E52" s="22"/>
      <c r="J52" s="5"/>
      <c r="K52" s="5"/>
      <c r="L52" s="5"/>
      <c r="M52" s="5"/>
      <c r="N52" s="5"/>
      <c r="O52" s="5"/>
      <c r="P52" s="88"/>
      <c r="Q52" s="95"/>
    </row>
    <row r="53" spans="4:17" s="2" customFormat="1" ht="12" customHeight="1">
      <c r="D53" s="22"/>
      <c r="E53" s="22"/>
      <c r="J53" s="5"/>
      <c r="K53" s="5"/>
      <c r="L53" s="5"/>
      <c r="M53" s="5"/>
      <c r="N53" s="5"/>
      <c r="O53" s="5"/>
      <c r="P53" s="88"/>
      <c r="Q53" s="95"/>
    </row>
    <row r="54" spans="4:17" s="2" customFormat="1" ht="12" customHeight="1">
      <c r="D54" s="22"/>
      <c r="E54" s="22"/>
      <c r="J54" s="5"/>
      <c r="K54" s="5"/>
      <c r="L54" s="5"/>
      <c r="M54" s="5"/>
      <c r="N54" s="5"/>
      <c r="O54" s="5"/>
      <c r="P54" s="88"/>
      <c r="Q54" s="95"/>
    </row>
    <row r="55" spans="4:17" s="2" customFormat="1" ht="12" customHeight="1">
      <c r="D55" s="22"/>
      <c r="E55" s="22"/>
      <c r="J55" s="5"/>
      <c r="K55" s="5"/>
      <c r="L55" s="5"/>
      <c r="M55" s="5"/>
      <c r="N55" s="5"/>
      <c r="O55" s="5"/>
      <c r="P55" s="88"/>
      <c r="Q55" s="95"/>
    </row>
    <row r="56" spans="4:17" s="2" customFormat="1" ht="12" customHeight="1">
      <c r="D56" s="22"/>
      <c r="E56" s="22"/>
      <c r="J56" s="5"/>
      <c r="K56" s="5"/>
      <c r="L56" s="5"/>
      <c r="M56" s="5"/>
      <c r="N56" s="5"/>
      <c r="O56" s="5"/>
      <c r="P56" s="88"/>
      <c r="Q56" s="95"/>
    </row>
    <row r="57" spans="4:17" s="2" customFormat="1" ht="12" customHeight="1">
      <c r="D57" s="22"/>
      <c r="E57" s="22"/>
      <c r="J57" s="5"/>
      <c r="K57" s="5"/>
      <c r="L57" s="5"/>
      <c r="M57" s="5"/>
      <c r="N57" s="5"/>
      <c r="O57" s="5"/>
      <c r="P57" s="88"/>
      <c r="Q57" s="95"/>
    </row>
    <row r="58" spans="4:17" s="2" customFormat="1" ht="12" customHeight="1">
      <c r="D58" s="22"/>
      <c r="E58" s="22"/>
      <c r="J58" s="5"/>
      <c r="K58" s="5"/>
      <c r="L58" s="5"/>
      <c r="M58" s="5"/>
      <c r="N58" s="5"/>
      <c r="O58" s="5"/>
      <c r="P58" s="88"/>
      <c r="Q58" s="95"/>
    </row>
    <row r="59" spans="4:17" s="2" customFormat="1" ht="12" customHeight="1">
      <c r="D59" s="22"/>
      <c r="E59" s="22"/>
      <c r="J59" s="5"/>
      <c r="K59" s="5"/>
      <c r="L59" s="5"/>
      <c r="M59" s="5"/>
      <c r="N59" s="5"/>
      <c r="O59" s="5"/>
      <c r="P59" s="88"/>
      <c r="Q59" s="95"/>
    </row>
    <row r="60" spans="4:17" s="2" customFormat="1" ht="12" customHeight="1">
      <c r="D60" s="22"/>
      <c r="E60" s="22"/>
      <c r="J60" s="5"/>
      <c r="K60" s="5"/>
      <c r="L60" s="5"/>
      <c r="M60" s="5"/>
      <c r="N60" s="5"/>
      <c r="O60" s="5"/>
      <c r="P60" s="88"/>
      <c r="Q60" s="95"/>
    </row>
    <row r="61" spans="4:17" s="2" customFormat="1" ht="12" customHeight="1">
      <c r="D61" s="22"/>
      <c r="E61" s="22"/>
      <c r="J61" s="5"/>
      <c r="K61" s="5"/>
      <c r="L61" s="5"/>
      <c r="M61" s="5"/>
      <c r="N61" s="5"/>
      <c r="O61" s="5"/>
      <c r="P61" s="88"/>
      <c r="Q61" s="95"/>
    </row>
    <row r="62" spans="4:17" s="2" customFormat="1" ht="12" customHeight="1">
      <c r="D62" s="22"/>
      <c r="E62" s="22"/>
      <c r="J62" s="5"/>
      <c r="K62" s="5"/>
      <c r="L62" s="5"/>
      <c r="M62" s="5"/>
      <c r="N62" s="5"/>
      <c r="O62" s="5"/>
      <c r="P62" s="88"/>
      <c r="Q62" s="95"/>
    </row>
    <row r="63" spans="4:17" s="2" customFormat="1" ht="12" customHeight="1">
      <c r="D63" s="22"/>
      <c r="E63" s="22"/>
      <c r="J63" s="5"/>
      <c r="K63" s="5"/>
      <c r="L63" s="5"/>
      <c r="M63" s="5"/>
      <c r="N63" s="5"/>
      <c r="O63" s="5"/>
      <c r="P63" s="88"/>
      <c r="Q63" s="95"/>
    </row>
    <row r="64" spans="4:17" s="2" customFormat="1" ht="12" customHeight="1">
      <c r="D64" s="22"/>
      <c r="E64" s="22"/>
      <c r="J64" s="5"/>
      <c r="K64" s="5"/>
      <c r="L64" s="5"/>
      <c r="M64" s="5"/>
      <c r="N64" s="5"/>
      <c r="O64" s="5"/>
      <c r="P64" s="88"/>
      <c r="Q64" s="95"/>
    </row>
    <row r="65" spans="4:17" s="2" customFormat="1" ht="12" customHeight="1">
      <c r="D65" s="22"/>
      <c r="E65" s="22"/>
      <c r="J65" s="5"/>
      <c r="K65" s="5"/>
      <c r="L65" s="5"/>
      <c r="M65" s="5"/>
      <c r="N65" s="5"/>
      <c r="O65" s="5"/>
      <c r="P65" s="88"/>
      <c r="Q65" s="95"/>
    </row>
    <row r="66" spans="4:17" s="2" customFormat="1" ht="12" customHeight="1">
      <c r="D66" s="22"/>
      <c r="E66" s="22"/>
      <c r="J66" s="5"/>
      <c r="K66" s="5"/>
      <c r="L66" s="5"/>
      <c r="M66" s="5"/>
      <c r="N66" s="5"/>
      <c r="O66" s="5"/>
      <c r="P66" s="88"/>
      <c r="Q66" s="95"/>
    </row>
    <row r="67" spans="4:17" s="2" customFormat="1" ht="12" customHeight="1">
      <c r="D67" s="22"/>
      <c r="E67" s="22"/>
      <c r="J67" s="5"/>
      <c r="K67" s="5"/>
      <c r="L67" s="5"/>
      <c r="M67" s="5"/>
      <c r="N67" s="5"/>
      <c r="O67" s="5"/>
      <c r="P67" s="88"/>
      <c r="Q67" s="95"/>
    </row>
    <row r="68" spans="4:17" s="2" customFormat="1" ht="12" customHeight="1">
      <c r="D68" s="22"/>
      <c r="E68" s="22"/>
      <c r="J68" s="5"/>
      <c r="K68" s="5"/>
      <c r="L68" s="5"/>
      <c r="M68" s="5"/>
      <c r="N68" s="5"/>
      <c r="O68" s="5"/>
      <c r="P68" s="88"/>
      <c r="Q68" s="95"/>
    </row>
    <row r="69" spans="4:17" s="2" customFormat="1" ht="12" customHeight="1">
      <c r="D69" s="22"/>
      <c r="E69" s="22"/>
      <c r="J69" s="5"/>
      <c r="K69" s="5"/>
      <c r="L69" s="5"/>
      <c r="M69" s="5"/>
      <c r="N69" s="5"/>
      <c r="O69" s="5"/>
      <c r="P69" s="88"/>
      <c r="Q69" s="95"/>
    </row>
    <row r="70" spans="4:17" s="2" customFormat="1" ht="12" customHeight="1">
      <c r="D70" s="22"/>
      <c r="E70" s="22"/>
      <c r="J70" s="5"/>
      <c r="K70" s="5"/>
      <c r="L70" s="5"/>
      <c r="M70" s="5"/>
      <c r="N70" s="5"/>
      <c r="O70" s="5"/>
      <c r="P70" s="88"/>
      <c r="Q70" s="95"/>
    </row>
    <row r="71" spans="4:17" s="2" customFormat="1" ht="12" customHeight="1">
      <c r="D71" s="22"/>
      <c r="E71" s="22"/>
      <c r="J71" s="5"/>
      <c r="K71" s="5"/>
      <c r="L71" s="5"/>
      <c r="M71" s="5"/>
      <c r="N71" s="5"/>
      <c r="O71" s="5"/>
      <c r="P71" s="88"/>
      <c r="Q71" s="95"/>
    </row>
    <row r="72" spans="4:17" s="2" customFormat="1" ht="12" customHeight="1">
      <c r="D72" s="22"/>
      <c r="E72" s="22"/>
      <c r="J72" s="5"/>
      <c r="K72" s="5"/>
      <c r="L72" s="5"/>
      <c r="M72" s="5"/>
      <c r="N72" s="5"/>
      <c r="O72" s="5"/>
      <c r="P72" s="88"/>
      <c r="Q72" s="95"/>
    </row>
    <row r="73" spans="4:17" s="2" customFormat="1" ht="12" customHeight="1">
      <c r="D73" s="22"/>
      <c r="E73" s="22"/>
      <c r="J73" s="5"/>
      <c r="K73" s="5"/>
      <c r="L73" s="5"/>
      <c r="M73" s="5"/>
      <c r="N73" s="5"/>
      <c r="O73" s="5"/>
      <c r="P73" s="88"/>
      <c r="Q73" s="95"/>
    </row>
    <row r="74" spans="4:17" s="2" customFormat="1" ht="12" customHeight="1">
      <c r="D74" s="22"/>
      <c r="E74" s="22"/>
      <c r="J74" s="5"/>
      <c r="K74" s="5"/>
      <c r="L74" s="5"/>
      <c r="M74" s="5"/>
      <c r="N74" s="5"/>
      <c r="O74" s="5"/>
      <c r="P74" s="88"/>
      <c r="Q74" s="95"/>
    </row>
    <row r="75" spans="4:17" s="2" customFormat="1" ht="12" customHeight="1">
      <c r="D75" s="22"/>
      <c r="E75" s="22"/>
      <c r="J75" s="5"/>
      <c r="K75" s="5"/>
      <c r="L75" s="5"/>
      <c r="M75" s="5"/>
      <c r="N75" s="5"/>
      <c r="O75" s="5"/>
      <c r="P75" s="88"/>
      <c r="Q75" s="95"/>
    </row>
    <row r="76" spans="4:17" s="2" customFormat="1" ht="12" customHeight="1">
      <c r="D76" s="22"/>
      <c r="E76" s="22"/>
      <c r="J76" s="5"/>
      <c r="K76" s="5"/>
      <c r="L76" s="5"/>
      <c r="M76" s="5"/>
      <c r="N76" s="5"/>
      <c r="O76" s="5"/>
      <c r="P76" s="88"/>
      <c r="Q76" s="95"/>
    </row>
    <row r="77" spans="4:17" s="2" customFormat="1" ht="12" customHeight="1">
      <c r="D77" s="22"/>
      <c r="E77" s="22"/>
      <c r="J77" s="5"/>
      <c r="K77" s="5"/>
      <c r="L77" s="5"/>
      <c r="M77" s="5"/>
      <c r="N77" s="5"/>
      <c r="O77" s="5"/>
      <c r="P77" s="88"/>
      <c r="Q77" s="95"/>
    </row>
    <row r="78" spans="4:17" s="2" customFormat="1" ht="12" customHeight="1">
      <c r="D78" s="22"/>
      <c r="E78" s="22"/>
      <c r="J78" s="5"/>
      <c r="K78" s="5"/>
      <c r="L78" s="5"/>
      <c r="M78" s="5"/>
      <c r="N78" s="5"/>
      <c r="O78" s="5"/>
      <c r="P78" s="88"/>
      <c r="Q78" s="95"/>
    </row>
    <row r="79" spans="4:17" s="2" customFormat="1" ht="12" customHeight="1">
      <c r="D79" s="22"/>
      <c r="E79" s="22"/>
      <c r="J79" s="5"/>
      <c r="K79" s="5"/>
      <c r="L79" s="5"/>
      <c r="M79" s="5"/>
      <c r="N79" s="5"/>
      <c r="O79" s="5"/>
      <c r="P79" s="88"/>
      <c r="Q79" s="95"/>
    </row>
    <row r="80" spans="4:17" s="2" customFormat="1" ht="12" customHeight="1">
      <c r="D80" s="22"/>
      <c r="E80" s="22"/>
      <c r="J80" s="5"/>
      <c r="K80" s="5"/>
      <c r="L80" s="5"/>
      <c r="M80" s="5"/>
      <c r="N80" s="5"/>
      <c r="O80" s="5"/>
      <c r="P80" s="88"/>
      <c r="Q80" s="95"/>
    </row>
    <row r="81" spans="1:17" s="2" customFormat="1" ht="12" customHeight="1">
      <c r="D81" s="22"/>
      <c r="E81" s="22"/>
      <c r="J81" s="5"/>
      <c r="K81" s="5"/>
      <c r="L81" s="5"/>
      <c r="M81" s="5"/>
      <c r="N81" s="5"/>
      <c r="O81" s="5"/>
      <c r="P81" s="88"/>
      <c r="Q81" s="95"/>
    </row>
    <row r="82" spans="1:17" s="2" customFormat="1" ht="12" customHeight="1">
      <c r="D82" s="22"/>
      <c r="E82" s="22"/>
      <c r="J82" s="5"/>
      <c r="K82" s="5"/>
      <c r="L82" s="5"/>
      <c r="M82" s="5"/>
      <c r="N82" s="5"/>
      <c r="O82" s="5"/>
      <c r="P82" s="88"/>
      <c r="Q82" s="95"/>
    </row>
    <row r="83" spans="1:17" s="2" customFormat="1" ht="12" customHeight="1">
      <c r="D83" s="22"/>
      <c r="E83" s="22"/>
      <c r="J83" s="5"/>
      <c r="K83" s="5"/>
      <c r="L83" s="5"/>
      <c r="M83" s="5"/>
      <c r="N83" s="5"/>
      <c r="O83" s="5"/>
      <c r="P83" s="88"/>
      <c r="Q83" s="95"/>
    </row>
    <row r="84" spans="1:17" s="2" customFormat="1" ht="12" customHeight="1">
      <c r="D84" s="22"/>
      <c r="E84" s="22"/>
      <c r="J84" s="5"/>
      <c r="K84" s="5"/>
      <c r="L84" s="5"/>
      <c r="M84" s="5"/>
      <c r="N84" s="5"/>
      <c r="O84" s="5"/>
      <c r="P84" s="88"/>
      <c r="Q84" s="96"/>
    </row>
    <row r="85" spans="1:17" s="2" customFormat="1" ht="12" customHeight="1">
      <c r="D85" s="22"/>
      <c r="E85" s="22"/>
      <c r="J85" s="5"/>
      <c r="K85" s="5"/>
      <c r="L85" s="5"/>
      <c r="M85" s="5"/>
      <c r="N85" s="5"/>
      <c r="O85" s="5"/>
      <c r="P85" s="88"/>
      <c r="Q85" s="96"/>
    </row>
    <row r="86" spans="1:17" s="2" customFormat="1" ht="12" customHeight="1">
      <c r="D86" s="22"/>
      <c r="E86" s="22"/>
      <c r="J86" s="5"/>
      <c r="K86" s="5"/>
      <c r="L86" s="5"/>
      <c r="M86" s="5"/>
      <c r="N86" s="5"/>
      <c r="O86" s="5"/>
      <c r="P86" s="88"/>
      <c r="Q86" s="96"/>
    </row>
    <row r="87" spans="1:17" s="2" customFormat="1" ht="12" customHeight="1">
      <c r="D87" s="22"/>
      <c r="E87" s="22"/>
      <c r="J87" s="5"/>
      <c r="K87" s="5"/>
      <c r="L87" s="5"/>
      <c r="M87" s="5"/>
      <c r="N87" s="5"/>
      <c r="O87" s="5"/>
      <c r="P87" s="88"/>
      <c r="Q87" s="96"/>
    </row>
    <row r="88" spans="1:17" s="2" customFormat="1" ht="12" customHeight="1">
      <c r="A88"/>
      <c r="B88"/>
      <c r="C88"/>
      <c r="D88" s="23"/>
      <c r="E88" s="23"/>
      <c r="F88"/>
      <c r="G88"/>
      <c r="H88"/>
      <c r="I88"/>
      <c r="J88" s="19"/>
      <c r="K88" s="19"/>
      <c r="L88" s="19"/>
      <c r="M88" s="19"/>
      <c r="N88" s="19"/>
      <c r="O88" s="19"/>
      <c r="P88" s="90"/>
      <c r="Q88" s="96"/>
    </row>
    <row r="89" spans="1:17" s="2" customFormat="1" ht="12" customHeight="1">
      <c r="A89"/>
      <c r="B89"/>
      <c r="C89"/>
      <c r="D89" s="23"/>
      <c r="E89" s="23"/>
      <c r="F89"/>
      <c r="G89"/>
      <c r="H89"/>
      <c r="I89"/>
      <c r="J89" s="19"/>
      <c r="K89" s="19"/>
      <c r="L89" s="19"/>
      <c r="M89" s="19"/>
      <c r="N89" s="19"/>
      <c r="O89" s="19"/>
      <c r="P89" s="90"/>
      <c r="Q89" s="96"/>
    </row>
    <row r="90" spans="1:17" s="2" customFormat="1" ht="12" customHeight="1">
      <c r="A90"/>
      <c r="B90"/>
      <c r="C90"/>
      <c r="D90" s="23"/>
      <c r="E90" s="23"/>
      <c r="F90"/>
      <c r="G90"/>
      <c r="H90"/>
      <c r="I90"/>
      <c r="J90" s="19"/>
      <c r="K90" s="19"/>
      <c r="L90" s="19"/>
      <c r="M90" s="19"/>
      <c r="N90" s="19"/>
      <c r="O90" s="19"/>
      <c r="P90" s="90"/>
      <c r="Q90" s="96"/>
    </row>
    <row r="91" spans="1:17" s="2" customFormat="1" ht="12" customHeight="1">
      <c r="A91"/>
      <c r="B91"/>
      <c r="C91"/>
      <c r="D91" s="23"/>
      <c r="E91" s="23"/>
      <c r="F91"/>
      <c r="G91"/>
      <c r="H91"/>
      <c r="I91"/>
      <c r="J91" s="19"/>
      <c r="K91" s="19"/>
      <c r="L91" s="19"/>
      <c r="M91" s="19"/>
      <c r="N91" s="19"/>
      <c r="O91" s="19"/>
      <c r="P91" s="90"/>
      <c r="Q91" s="96"/>
    </row>
    <row r="92" spans="1:17" s="2" customFormat="1" ht="12" customHeight="1">
      <c r="A92"/>
      <c r="B92"/>
      <c r="C92"/>
      <c r="D92" s="23"/>
      <c r="E92" s="23"/>
      <c r="F92"/>
      <c r="G92"/>
      <c r="H92"/>
      <c r="I92"/>
      <c r="J92" s="19"/>
      <c r="K92" s="19"/>
      <c r="L92" s="19"/>
      <c r="M92" s="19"/>
      <c r="N92" s="19"/>
      <c r="O92" s="19"/>
      <c r="P92" s="90"/>
      <c r="Q92" s="96"/>
    </row>
    <row r="93" spans="1:17">
      <c r="Q93" s="96"/>
    </row>
    <row r="94" spans="1:17">
      <c r="Q94" s="96"/>
    </row>
    <row r="95" spans="1:17">
      <c r="Q95" s="96"/>
    </row>
    <row r="96" spans="1:17">
      <c r="Q96" s="96"/>
    </row>
    <row r="97" spans="17:17">
      <c r="Q97" s="96"/>
    </row>
    <row r="98" spans="17:17">
      <c r="Q98" s="96"/>
    </row>
    <row r="99" spans="17:17">
      <c r="Q99" s="96"/>
    </row>
    <row r="100" spans="17:17">
      <c r="Q100" s="96"/>
    </row>
    <row r="101" spans="17:17">
      <c r="Q101" s="96"/>
    </row>
    <row r="102" spans="17:17">
      <c r="Q102" s="96"/>
    </row>
    <row r="103" spans="17:17">
      <c r="Q103" s="96"/>
    </row>
    <row r="104" spans="17:17">
      <c r="Q104" s="96"/>
    </row>
    <row r="105" spans="17:17">
      <c r="Q105" s="96"/>
    </row>
    <row r="106" spans="17:17">
      <c r="Q106" s="96"/>
    </row>
    <row r="107" spans="17:17">
      <c r="Q107" s="96"/>
    </row>
    <row r="108" spans="17:17">
      <c r="Q108" s="96"/>
    </row>
    <row r="109" spans="17:17">
      <c r="Q109" s="96"/>
    </row>
    <row r="110" spans="17:17">
      <c r="Q110" s="96"/>
    </row>
    <row r="111" spans="17:17">
      <c r="Q111" s="96"/>
    </row>
    <row r="112" spans="17:17">
      <c r="Q112" s="96"/>
    </row>
    <row r="149" ht="12" customHeight="1"/>
    <row r="150" ht="12" customHeight="1"/>
    <row r="151" ht="12" customHeight="1"/>
    <row r="152" ht="12" customHeight="1"/>
    <row r="153" ht="12" customHeight="1"/>
    <row r="154" ht="12" customHeight="1"/>
    <row r="155" ht="12" customHeight="1"/>
    <row r="156" ht="12" customHeight="1"/>
    <row r="157" ht="12" customHeight="1"/>
    <row r="158" ht="12" customHeight="1"/>
    <row r="159" ht="12" customHeight="1"/>
    <row r="160" ht="12" customHeight="1"/>
    <row r="161" ht="12" customHeight="1"/>
    <row r="162" ht="12" customHeight="1"/>
    <row r="163" ht="12" customHeight="1"/>
    <row r="164" ht="12" customHeight="1"/>
    <row r="165" ht="12" customHeight="1"/>
    <row r="166" ht="12" customHeight="1"/>
    <row r="167" ht="12" customHeight="1"/>
    <row r="168" ht="12" customHeight="1"/>
    <row r="169" ht="12" customHeight="1"/>
    <row r="170" ht="12" customHeight="1"/>
    <row r="171" ht="12" customHeight="1"/>
    <row r="172" ht="12" customHeight="1"/>
    <row r="173" ht="12" customHeight="1"/>
    <row r="174" ht="12" customHeight="1"/>
    <row r="175" ht="12" customHeight="1"/>
    <row r="176" ht="12" customHeight="1"/>
    <row r="177" ht="12" customHeight="1"/>
    <row r="178" ht="12" customHeight="1"/>
    <row r="179" ht="12" customHeight="1"/>
    <row r="180" ht="12" customHeight="1"/>
    <row r="181" ht="12" customHeight="1"/>
    <row r="182" ht="12" customHeight="1"/>
    <row r="183" ht="12" customHeight="1"/>
    <row r="184" ht="12" customHeight="1"/>
    <row r="185" ht="12" customHeight="1"/>
    <row r="186" ht="12" customHeight="1"/>
    <row r="187" ht="12" customHeight="1"/>
    <row r="188" ht="12" customHeight="1"/>
    <row r="189" ht="12" customHeight="1"/>
    <row r="190" ht="12" customHeight="1"/>
    <row r="191" ht="12" customHeight="1"/>
    <row r="192" ht="12" customHeight="1"/>
    <row r="193" ht="12" customHeight="1"/>
    <row r="194" ht="12" customHeight="1"/>
    <row r="195" ht="12" customHeight="1"/>
    <row r="196" ht="12" customHeight="1"/>
    <row r="197" ht="12" customHeight="1"/>
    <row r="198" ht="12" customHeight="1"/>
  </sheetData>
  <mergeCells count="54">
    <mergeCell ref="D45:E45"/>
    <mergeCell ref="H45:I45"/>
    <mergeCell ref="H39:I39"/>
    <mergeCell ref="D40:E40"/>
    <mergeCell ref="D41:E41"/>
    <mergeCell ref="D42:E42"/>
    <mergeCell ref="D43:E43"/>
    <mergeCell ref="D37:E37"/>
    <mergeCell ref="D38:E38"/>
    <mergeCell ref="D32:E32"/>
    <mergeCell ref="D44:E44"/>
    <mergeCell ref="D39:E39"/>
    <mergeCell ref="H32:I32"/>
    <mergeCell ref="D33:E33"/>
    <mergeCell ref="D34:E34"/>
    <mergeCell ref="D35:E35"/>
    <mergeCell ref="D36:E36"/>
    <mergeCell ref="H21:I21"/>
    <mergeCell ref="D22:E22"/>
    <mergeCell ref="D23:E23"/>
    <mergeCell ref="D30:E30"/>
    <mergeCell ref="D31:E31"/>
    <mergeCell ref="D24:E24"/>
    <mergeCell ref="D25:E25"/>
    <mergeCell ref="D26:E26"/>
    <mergeCell ref="D27:E27"/>
    <mergeCell ref="D28:E28"/>
    <mergeCell ref="D29:E29"/>
    <mergeCell ref="D17:E17"/>
    <mergeCell ref="D18:E18"/>
    <mergeCell ref="D19:E19"/>
    <mergeCell ref="D20:E20"/>
    <mergeCell ref="D21:E21"/>
    <mergeCell ref="D14:E14"/>
    <mergeCell ref="D15:E15"/>
    <mergeCell ref="D16:E16"/>
    <mergeCell ref="D10:E10"/>
    <mergeCell ref="H10:I10"/>
    <mergeCell ref="D6:E6"/>
    <mergeCell ref="H6:I6"/>
    <mergeCell ref="D11:E11"/>
    <mergeCell ref="D12:E12"/>
    <mergeCell ref="D13:E13"/>
    <mergeCell ref="D7:E7"/>
    <mergeCell ref="H7:I7"/>
    <mergeCell ref="D8:E8"/>
    <mergeCell ref="H8:I8"/>
    <mergeCell ref="D9:E9"/>
    <mergeCell ref="H9:I9"/>
    <mergeCell ref="D1:E1"/>
    <mergeCell ref="D4:E4"/>
    <mergeCell ref="H4:I4"/>
    <mergeCell ref="D5:E5"/>
    <mergeCell ref="H5:I5"/>
  </mergeCells>
  <conditionalFormatting sqref="M11:M20">
    <cfRule type="cellIs" dxfId="152" priority="7" stopIfTrue="1" operator="lessThanOrEqual">
      <formula>$L11</formula>
    </cfRule>
    <cfRule type="cellIs" dxfId="151" priority="8" operator="greaterThan">
      <formula>L11</formula>
    </cfRule>
  </conditionalFormatting>
  <conditionalFormatting sqref="M22:M31">
    <cfRule type="cellIs" dxfId="150" priority="5" stopIfTrue="1" operator="lessThanOrEqual">
      <formula>$L22</formula>
    </cfRule>
    <cfRule type="cellIs" dxfId="149" priority="6" operator="greaterThan">
      <formula>L22</formula>
    </cfRule>
  </conditionalFormatting>
  <conditionalFormatting sqref="M33:M38">
    <cfRule type="cellIs" dxfId="148" priority="3" stopIfTrue="1" operator="lessThanOrEqual">
      <formula>$L33</formula>
    </cfRule>
    <cfRule type="cellIs" dxfId="147" priority="4" operator="greaterThan">
      <formula>L33</formula>
    </cfRule>
  </conditionalFormatting>
  <conditionalFormatting sqref="M40:M44">
    <cfRule type="cellIs" dxfId="146" priority="1" stopIfTrue="1" operator="lessThanOrEqual">
      <formula>$L40</formula>
    </cfRule>
    <cfRule type="cellIs" dxfId="145" priority="2" operator="greaterThan">
      <formula>L40</formula>
    </cfRule>
  </conditionalFormatting>
  <pageMargins left="0.7" right="0.7" top="0.75" bottom="0.75" header="0.3" footer="0.3"/>
  <pageSetup paperSize="3" fitToHeight="0" orientation="landscape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F4C6172E-A6CD-42FE-B8EF-795AB62191BA}">
          <x14:formula1>
            <xm:f>Bolts!$A:$A</xm:f>
          </x14:formula1>
          <xm:sqref>C33:C38</xm:sqref>
        </x14:dataValidation>
        <x14:dataValidation type="list" allowBlank="1" showInputMessage="1" showErrorMessage="1" xr:uid="{53A1CA02-7653-4347-85A0-D3A2C3BA33F9}">
          <x14:formula1>
            <xm:f>Assemblies!$E:$E</xm:f>
          </x14:formula1>
          <xm:sqref>C5:C9</xm:sqref>
        </x14:dataValidation>
        <x14:dataValidation type="list" allowBlank="1" showInputMessage="1" showErrorMessage="1" xr:uid="{B2917555-11C8-46C4-812C-898355275AD8}">
          <x14:formula1>
            <xm:f>Purchased!$A:$A</xm:f>
          </x14:formula1>
          <xm:sqref>C22:C31</xm:sqref>
        </x14:dataValidation>
        <x14:dataValidation type="list" allowBlank="1" showInputMessage="1" showErrorMessage="1" xr:uid="{594DD171-47A9-420D-85F1-C3FC413415BA}">
          <x14:formula1>
            <xm:f>Extrusion!$B:$B</xm:f>
          </x14:formula1>
          <xm:sqref>C40:C44</xm:sqref>
        </x14:dataValidation>
        <x14:dataValidation type="list" allowBlank="1" showInputMessage="1" showErrorMessage="1" xr:uid="{B0295EDA-3467-4AB4-A592-63DF36C02BAC}">
          <x14:formula1>
            <xm:f>Machined!$C:$C</xm:f>
          </x14:formula1>
          <xm:sqref>C11:C20</xm:sqref>
        </x14:dataValidation>
      </x14:dataValidations>
    </ext>
  </extLst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AF27A-15BE-4E64-AD15-4849D13FB078}">
  <sheetPr codeName="Sheet146">
    <pageSetUpPr fitToPage="1"/>
  </sheetPr>
  <dimension ref="A1:O153"/>
  <sheetViews>
    <sheetView zoomScale="80" zoomScaleNormal="80" workbookViewId="0">
      <pane ySplit="1" topLeftCell="A3" activePane="bottomLeft" state="frozen"/>
      <selection pane="bottomLeft" activeCell="H3" sqref="H3"/>
      <selection activeCell="C43" sqref="C43"/>
    </sheetView>
  </sheetViews>
  <sheetFormatPr defaultColWidth="9.140625" defaultRowHeight="12.75"/>
  <cols>
    <col min="1" max="1" width="7.5703125" style="2" customWidth="1"/>
    <col min="2" max="2" width="9.85546875" style="135" customWidth="1"/>
    <col min="3" max="3" width="9.7109375" style="135" customWidth="1"/>
    <col min="4" max="4" width="8.5703125" style="115" customWidth="1"/>
    <col min="5" max="5" width="16.7109375" style="2" customWidth="1"/>
    <col min="6" max="6" width="31.5703125" style="2" bestFit="1" customWidth="1"/>
    <col min="7" max="7" width="11.28515625" style="5" customWidth="1"/>
    <col min="8" max="8" width="60.28515625" style="115" bestFit="1" customWidth="1"/>
    <col min="9" max="9" width="25.7109375" style="115" customWidth="1"/>
    <col min="10" max="10" width="28.7109375" style="2" customWidth="1"/>
    <col min="11" max="11" width="168.7109375" style="2" bestFit="1" customWidth="1"/>
    <col min="12" max="12" width="9.140625" style="5"/>
    <col min="13" max="13" width="29.85546875" style="2" customWidth="1"/>
    <col min="14" max="14" width="25.7109375" style="2" customWidth="1"/>
    <col min="15" max="16384" width="9.140625" style="2"/>
  </cols>
  <sheetData>
    <row r="1" spans="1:15" s="5" customFormat="1">
      <c r="A1" s="5" t="s">
        <v>1375</v>
      </c>
      <c r="B1" s="134" t="s">
        <v>1376</v>
      </c>
      <c r="C1" s="134" t="s">
        <v>12</v>
      </c>
      <c r="D1" s="5" t="s">
        <v>1377</v>
      </c>
      <c r="E1" s="5" t="s">
        <v>50</v>
      </c>
      <c r="F1" s="5" t="s">
        <v>15</v>
      </c>
      <c r="G1" s="5" t="s">
        <v>53</v>
      </c>
      <c r="H1" s="115" t="s">
        <v>1378</v>
      </c>
      <c r="I1" s="5" t="s">
        <v>1379</v>
      </c>
      <c r="J1" s="5" t="s">
        <v>1380</v>
      </c>
      <c r="K1" s="5" t="s">
        <v>1381</v>
      </c>
      <c r="L1" s="5" t="s">
        <v>1382</v>
      </c>
      <c r="M1" s="5" t="s">
        <v>1382</v>
      </c>
      <c r="N1" s="5" t="s">
        <v>1382</v>
      </c>
      <c r="O1" s="5" t="s">
        <v>1382</v>
      </c>
    </row>
    <row r="2" spans="1:15">
      <c r="A2" s="2" t="e">
        <f ca="1">'GF12'!$E$2</f>
        <v>#VALUE!</v>
      </c>
      <c r="B2" s="135" t="s">
        <v>1383</v>
      </c>
      <c r="C2" s="135" t="s">
        <v>1384</v>
      </c>
      <c r="D2" s="115" t="s">
        <v>54</v>
      </c>
      <c r="E2" s="2" t="e">
        <f t="shared" ref="E2:E35" ca="1" si="0">_xlfn.CONCAT(A2,".",B2,".",C2,".",D2)</f>
        <v>#VALUE!</v>
      </c>
      <c r="F2" s="2" t="s">
        <v>1385</v>
      </c>
      <c r="G2" s="5">
        <f>'000'!L2</f>
        <v>1</v>
      </c>
      <c r="H2" s="115" t="s">
        <v>1382</v>
      </c>
      <c r="L2" s="134" t="s">
        <v>1382</v>
      </c>
      <c r="M2" s="2" t="s">
        <v>1382</v>
      </c>
      <c r="N2" s="2" t="s">
        <v>1382</v>
      </c>
      <c r="O2" s="2" t="s">
        <v>1382</v>
      </c>
    </row>
    <row r="3" spans="1:15">
      <c r="A3" s="2" t="e">
        <f ca="1">'GF12'!$E$2</f>
        <v>#VALUE!</v>
      </c>
      <c r="B3" s="133" t="s">
        <v>1386</v>
      </c>
      <c r="C3" s="135" t="s">
        <v>1384</v>
      </c>
      <c r="D3" s="115" t="s">
        <v>54</v>
      </c>
      <c r="E3" s="2" t="e">
        <f t="shared" ca="1" si="0"/>
        <v>#VALUE!</v>
      </c>
      <c r="F3" s="2" t="s">
        <v>1387</v>
      </c>
      <c r="G3" s="5" cm="1">
        <f t="array" aca="1" ref="G3" ca="1">SUMPRODUCT(SUMIF(INDIRECT("'"&amp;Assemblies[Assy]&amp;"'!"&amp;"C$5:C1000"),$E3,(INDIRECT("'"&amp;Assemblies[Assy]&amp;"'!"&amp;"O$5:O1000"))))</f>
        <v>0</v>
      </c>
      <c r="H3" s="115" t="str" cm="1">
        <f t="array" aca="1" ref="H3" ca="1">TRIM(SUBSTITUTE(_xlfn.ARRAYTOTEXT(IFERROR(CONCATENATE(SUMIF(INDIRECT("'"&amp;Assemblies[Assy]&amp;"'!"&amp;"C$5:C1000"), $E3, INDIRECT("'"&amp;Assemblies[Assy]&amp;"'!"&amp;"O$5:O1000")), "x",Assemblies[Assy],".",IF(SUMIF(INDIRECT("'"&amp;Assemblies[Assy]&amp;"'!"&amp;"C$5:C1000"), $E3, INDIRECT("'"&amp;Assemblies[Assy]&amp;"'!"&amp;"B$5:B1000"))=0,NA(),SUMIF(INDIRECT("'"&amp;Assemblies[Assy]&amp;"'!"&amp;"C$5:C1000"), $E3, INDIRECT("'"&amp;Assemblies[Assy]&amp;"'!"&amp;"A$5:A1000")))),"")), " ,", ""))</f>
        <v>,</v>
      </c>
      <c r="L3" s="134" t="s">
        <v>1382</v>
      </c>
      <c r="M3" s="2" t="s">
        <v>1382</v>
      </c>
      <c r="N3" s="2" t="s">
        <v>1382</v>
      </c>
      <c r="O3" s="2" t="s">
        <v>1382</v>
      </c>
    </row>
    <row r="4" spans="1:15">
      <c r="A4" s="2" t="e">
        <f ca="1">'GF12'!$E$2</f>
        <v>#VALUE!</v>
      </c>
      <c r="B4" s="133" t="s">
        <v>1388</v>
      </c>
      <c r="C4" s="135" t="s">
        <v>1384</v>
      </c>
      <c r="D4" s="115" t="s">
        <v>54</v>
      </c>
      <c r="E4" s="2" t="e">
        <f t="shared" ca="1" si="0"/>
        <v>#VALUE!</v>
      </c>
      <c r="F4" s="2" t="s">
        <v>1389</v>
      </c>
      <c r="G4" s="5" cm="1">
        <f t="array" aca="1" ref="G4" ca="1">SUMPRODUCT(SUMIF(INDIRECT("'"&amp;Assemblies[Assy]&amp;"'!"&amp;"C$5:C1000"),$E4,(INDIRECT("'"&amp;Assemblies[Assy]&amp;"'!"&amp;"O$5:O1000"))))</f>
        <v>0</v>
      </c>
      <c r="H4" s="115" t="str" cm="1">
        <f t="array" aca="1" ref="H4" ca="1">TRIM(SUBSTITUTE(_xlfn.ARRAYTOTEXT(IFERROR(CONCATENATE(SUMIF(INDIRECT("'"&amp;Assemblies[Assy]&amp;"'!"&amp;"C$5:C1000"), $E4, INDIRECT("'"&amp;Assemblies[Assy]&amp;"'!"&amp;"O$5:O1000")), "x",Assemblies[Assy],".",IF(SUMIF(INDIRECT("'"&amp;Assemblies[Assy]&amp;"'!"&amp;"C$5:C1000"), $E4, INDIRECT("'"&amp;Assemblies[Assy]&amp;"'!"&amp;"B$5:B1000"))=0,NA(),SUMIF(INDIRECT("'"&amp;Assemblies[Assy]&amp;"'!"&amp;"C$5:C1000"), $E4, INDIRECT("'"&amp;Assemblies[Assy]&amp;"'!"&amp;"A$5:A1000")))),"")), " ,", ""))</f>
        <v>,</v>
      </c>
      <c r="L4" s="134" t="s">
        <v>1382</v>
      </c>
      <c r="M4" s="2" t="s">
        <v>1382</v>
      </c>
      <c r="N4" s="2" t="s">
        <v>1382</v>
      </c>
      <c r="O4" s="2" t="s">
        <v>1382</v>
      </c>
    </row>
    <row r="5" spans="1:15">
      <c r="A5" s="2" t="e">
        <f ca="1">'GF12'!$E$2</f>
        <v>#VALUE!</v>
      </c>
      <c r="B5" s="133" t="s">
        <v>1390</v>
      </c>
      <c r="C5" s="135" t="s">
        <v>1384</v>
      </c>
      <c r="D5" s="115" t="s">
        <v>54</v>
      </c>
      <c r="E5" s="2" t="e">
        <f t="shared" ca="1" si="0"/>
        <v>#VALUE!</v>
      </c>
      <c r="F5" s="2" t="s">
        <v>1391</v>
      </c>
      <c r="G5" s="5" cm="1">
        <f t="array" aca="1" ref="G5" ca="1">SUMPRODUCT(SUMIF(INDIRECT("'"&amp;Assemblies[Assy]&amp;"'!"&amp;"C$5:C1000"),$E5,(INDIRECT("'"&amp;Assemblies[Assy]&amp;"'!"&amp;"O$5:O1000"))))</f>
        <v>0</v>
      </c>
      <c r="H5" s="115" t="str" cm="1">
        <f t="array" aca="1" ref="H5" ca="1">TRIM(SUBSTITUTE(_xlfn.ARRAYTOTEXT(IFERROR(CONCATENATE(SUMIF(INDIRECT("'"&amp;Assemblies[Assy]&amp;"'!"&amp;"C$5:C1000"), $E5, INDIRECT("'"&amp;Assemblies[Assy]&amp;"'!"&amp;"O$5:O1000")), "x",Assemblies[Assy],".",IF(SUMIF(INDIRECT("'"&amp;Assemblies[Assy]&amp;"'!"&amp;"C$5:C1000"), $E5, INDIRECT("'"&amp;Assemblies[Assy]&amp;"'!"&amp;"B$5:B1000"))=0,NA(),SUMIF(INDIRECT("'"&amp;Assemblies[Assy]&amp;"'!"&amp;"C$5:C1000"), $E5, INDIRECT("'"&amp;Assemblies[Assy]&amp;"'!"&amp;"A$5:A1000")))),"")), " ,", ""))</f>
        <v>,</v>
      </c>
      <c r="L5" s="134" t="s">
        <v>1382</v>
      </c>
      <c r="M5" s="2" t="s">
        <v>1382</v>
      </c>
      <c r="N5" s="2" t="s">
        <v>1382</v>
      </c>
      <c r="O5" s="2" t="s">
        <v>1382</v>
      </c>
    </row>
    <row r="6" spans="1:15">
      <c r="A6" s="2" t="e">
        <f ca="1">'GF12'!$E$2</f>
        <v>#VALUE!</v>
      </c>
      <c r="B6" s="133" t="s">
        <v>1392</v>
      </c>
      <c r="C6" s="135" t="s">
        <v>1384</v>
      </c>
      <c r="D6" s="115" t="s">
        <v>54</v>
      </c>
      <c r="E6" s="2" t="e">
        <f t="shared" ca="1" si="0"/>
        <v>#VALUE!</v>
      </c>
      <c r="F6" s="2" t="s">
        <v>1393</v>
      </c>
      <c r="G6" s="5" cm="1">
        <f t="array" aca="1" ref="G6" ca="1">SUMPRODUCT(SUMIF(INDIRECT("'"&amp;Assemblies[Assy]&amp;"'!"&amp;"C$5:C1000"),$E6,(INDIRECT("'"&amp;Assemblies[Assy]&amp;"'!"&amp;"O$5:O1000"))))</f>
        <v>0</v>
      </c>
      <c r="H6" s="115" t="str" cm="1">
        <f t="array" aca="1" ref="H6" ca="1">TRIM(SUBSTITUTE(_xlfn.ARRAYTOTEXT(IFERROR(CONCATENATE(SUMIF(INDIRECT("'"&amp;Assemblies[Assy]&amp;"'!"&amp;"C$5:C1000"), $E6, INDIRECT("'"&amp;Assemblies[Assy]&amp;"'!"&amp;"O$5:O1000")), "x",Assemblies[Assy],".",IF(SUMIF(INDIRECT("'"&amp;Assemblies[Assy]&amp;"'!"&amp;"C$5:C1000"), $E6, INDIRECT("'"&amp;Assemblies[Assy]&amp;"'!"&amp;"B$5:B1000"))=0,NA(),SUMIF(INDIRECT("'"&amp;Assemblies[Assy]&amp;"'!"&amp;"C$5:C1000"), $E6, INDIRECT("'"&amp;Assemblies[Assy]&amp;"'!"&amp;"A$5:A1000")))),"")), " ,", ""))</f>
        <v>,</v>
      </c>
      <c r="L6" s="134" t="s">
        <v>1382</v>
      </c>
      <c r="M6" s="2" t="s">
        <v>1382</v>
      </c>
      <c r="N6" s="2" t="s">
        <v>1382</v>
      </c>
      <c r="O6" s="2" t="s">
        <v>1382</v>
      </c>
    </row>
    <row r="7" spans="1:15">
      <c r="A7" s="2" t="e">
        <f ca="1">'GF12'!$E$2</f>
        <v>#VALUE!</v>
      </c>
      <c r="B7" s="133" t="s">
        <v>1394</v>
      </c>
      <c r="C7" s="135" t="s">
        <v>1384</v>
      </c>
      <c r="D7" s="115" t="s">
        <v>54</v>
      </c>
      <c r="E7" s="2" t="e">
        <f t="shared" ca="1" si="0"/>
        <v>#VALUE!</v>
      </c>
      <c r="F7" s="2" t="s">
        <v>1395</v>
      </c>
      <c r="G7" s="5" cm="1">
        <f t="array" aca="1" ref="G7" ca="1">SUMPRODUCT(SUMIF(INDIRECT("'"&amp;Assemblies[Assy]&amp;"'!"&amp;"C$5:C1000"),$E7,(INDIRECT("'"&amp;Assemblies[Assy]&amp;"'!"&amp;"O$5:O1000"))))</f>
        <v>0</v>
      </c>
      <c r="H7" s="115" t="str" cm="1">
        <f t="array" aca="1" ref="H7" ca="1">TRIM(SUBSTITUTE(_xlfn.ARRAYTOTEXT(IFERROR(CONCATENATE(SUMIF(INDIRECT("'"&amp;Assemblies[Assy]&amp;"'!"&amp;"C$5:C1000"), $E7, INDIRECT("'"&amp;Assemblies[Assy]&amp;"'!"&amp;"O$5:O1000")), "x",Assemblies[Assy],".",IF(SUMIF(INDIRECT("'"&amp;Assemblies[Assy]&amp;"'!"&amp;"C$5:C1000"), $E7, INDIRECT("'"&amp;Assemblies[Assy]&amp;"'!"&amp;"B$5:B1000"))=0,NA(),SUMIF(INDIRECT("'"&amp;Assemblies[Assy]&amp;"'!"&amp;"C$5:C1000"), $E7, INDIRECT("'"&amp;Assemblies[Assy]&amp;"'!"&amp;"A$5:A1000")))),"")), " ,", ""))</f>
        <v>,</v>
      </c>
      <c r="L7" s="134" t="s">
        <v>1382</v>
      </c>
      <c r="M7" s="2" t="s">
        <v>1382</v>
      </c>
      <c r="N7" s="2" t="s">
        <v>1382</v>
      </c>
      <c r="O7" s="2" t="s">
        <v>1382</v>
      </c>
    </row>
    <row r="8" spans="1:15">
      <c r="A8" s="2" t="e">
        <f ca="1">'GF12'!$E$2</f>
        <v>#VALUE!</v>
      </c>
      <c r="B8" s="133" t="s">
        <v>1396</v>
      </c>
      <c r="C8" s="135" t="s">
        <v>1384</v>
      </c>
      <c r="D8" s="115" t="s">
        <v>54</v>
      </c>
      <c r="E8" s="2" t="e">
        <f t="shared" ca="1" si="0"/>
        <v>#VALUE!</v>
      </c>
      <c r="F8" s="2" t="s">
        <v>1397</v>
      </c>
      <c r="G8" s="5" cm="1">
        <f t="array" aca="1" ref="G8" ca="1">SUMPRODUCT(SUMIF(INDIRECT("'"&amp;Assemblies[Assy]&amp;"'!"&amp;"C$5:C1000"),$E8,(INDIRECT("'"&amp;Assemblies[Assy]&amp;"'!"&amp;"O$5:O1000"))))</f>
        <v>0</v>
      </c>
      <c r="H8" s="115" t="str" cm="1">
        <f t="array" aca="1" ref="H8" ca="1">TRIM(SUBSTITUTE(_xlfn.ARRAYTOTEXT(IFERROR(CONCATENATE(SUMIF(INDIRECT("'"&amp;Assemblies[Assy]&amp;"'!"&amp;"C$5:C1000"), $E8, INDIRECT("'"&amp;Assemblies[Assy]&amp;"'!"&amp;"O$5:O1000")), "x",Assemblies[Assy],".",IF(SUMIF(INDIRECT("'"&amp;Assemblies[Assy]&amp;"'!"&amp;"C$5:C1000"), $E8, INDIRECT("'"&amp;Assemblies[Assy]&amp;"'!"&amp;"B$5:B1000"))=0,NA(),SUMIF(INDIRECT("'"&amp;Assemblies[Assy]&amp;"'!"&amp;"C$5:C1000"), $E8, INDIRECT("'"&amp;Assemblies[Assy]&amp;"'!"&amp;"A$5:A1000")))),"")), " ,", ""))</f>
        <v>,</v>
      </c>
      <c r="L8" s="134" t="s">
        <v>1382</v>
      </c>
      <c r="M8" s="2" t="s">
        <v>1382</v>
      </c>
      <c r="N8" s="136" t="s">
        <v>1382</v>
      </c>
      <c r="O8" s="2" t="s">
        <v>1382</v>
      </c>
    </row>
    <row r="9" spans="1:15">
      <c r="A9" s="2" t="e">
        <f ca="1">'GF12'!$E$2</f>
        <v>#VALUE!</v>
      </c>
      <c r="B9" s="133" t="s">
        <v>1398</v>
      </c>
      <c r="C9" s="135" t="s">
        <v>1384</v>
      </c>
      <c r="D9" s="115" t="s">
        <v>54</v>
      </c>
      <c r="E9" s="2" t="e">
        <f t="shared" ca="1" si="0"/>
        <v>#VALUE!</v>
      </c>
      <c r="F9" s="2" t="s">
        <v>1399</v>
      </c>
      <c r="G9" s="5" cm="1">
        <f t="array" aca="1" ref="G9" ca="1">SUMPRODUCT(SUMIF(INDIRECT("'"&amp;Assemblies[Assy]&amp;"'!"&amp;"C$5:C1000"),$E9,(INDIRECT("'"&amp;Assemblies[Assy]&amp;"'!"&amp;"O$5:O1000"))))</f>
        <v>0</v>
      </c>
      <c r="H9" s="115" t="str" cm="1">
        <f t="array" aca="1" ref="H9" ca="1">TRIM(SUBSTITUTE(_xlfn.ARRAYTOTEXT(IFERROR(CONCATENATE(SUMIF(INDIRECT("'"&amp;Assemblies[Assy]&amp;"'!"&amp;"C$5:C1000"), $E9, INDIRECT("'"&amp;Assemblies[Assy]&amp;"'!"&amp;"O$5:O1000")), "x",Assemblies[Assy],".",IF(SUMIF(INDIRECT("'"&amp;Assemblies[Assy]&amp;"'!"&amp;"C$5:C1000"), $E9, INDIRECT("'"&amp;Assemblies[Assy]&amp;"'!"&amp;"B$5:B1000"))=0,NA(),SUMIF(INDIRECT("'"&amp;Assemblies[Assy]&amp;"'!"&amp;"C$5:C1000"), $E9, INDIRECT("'"&amp;Assemblies[Assy]&amp;"'!"&amp;"A$5:A1000")))),"")), " ,", ""))</f>
        <v>,</v>
      </c>
      <c r="L9" s="134" t="s">
        <v>1382</v>
      </c>
      <c r="M9" s="2" t="s">
        <v>1382</v>
      </c>
      <c r="N9" s="2" t="s">
        <v>1382</v>
      </c>
      <c r="O9" s="2" t="s">
        <v>1382</v>
      </c>
    </row>
    <row r="10" spans="1:15">
      <c r="A10" s="2" t="e">
        <f ca="1">'GF12'!$E$2</f>
        <v>#VALUE!</v>
      </c>
      <c r="B10" s="133" t="s">
        <v>1400</v>
      </c>
      <c r="C10" s="135" t="s">
        <v>1384</v>
      </c>
      <c r="D10" s="115" t="s">
        <v>54</v>
      </c>
      <c r="E10" s="2" t="e">
        <f t="shared" ca="1" si="0"/>
        <v>#VALUE!</v>
      </c>
      <c r="F10" s="2" t="s">
        <v>1401</v>
      </c>
      <c r="G10" s="5" cm="1">
        <f t="array" aca="1" ref="G10" ca="1">SUMPRODUCT(SUMIF(INDIRECT("'"&amp;Assemblies[Assy]&amp;"'!"&amp;"C$5:C1000"),$E10,(INDIRECT("'"&amp;Assemblies[Assy]&amp;"'!"&amp;"O$5:O1000"))))</f>
        <v>0</v>
      </c>
      <c r="H10" s="115" t="str" cm="1">
        <f t="array" aca="1" ref="H10" ca="1">TRIM(SUBSTITUTE(_xlfn.ARRAYTOTEXT(IFERROR(CONCATENATE(SUMIF(INDIRECT("'"&amp;Assemblies[Assy]&amp;"'!"&amp;"C$5:C1000"), $E10, INDIRECT("'"&amp;Assemblies[Assy]&amp;"'!"&amp;"O$5:O1000")), "x",Assemblies[Assy],".",IF(SUMIF(INDIRECT("'"&amp;Assemblies[Assy]&amp;"'!"&amp;"C$5:C1000"), $E10, INDIRECT("'"&amp;Assemblies[Assy]&amp;"'!"&amp;"B$5:B1000"))=0,NA(),SUMIF(INDIRECT("'"&amp;Assemblies[Assy]&amp;"'!"&amp;"C$5:C1000"), $E10, INDIRECT("'"&amp;Assemblies[Assy]&amp;"'!"&amp;"A$5:A1000")))),"")), " ,", ""))</f>
        <v>,</v>
      </c>
      <c r="L10" s="134" t="s">
        <v>1382</v>
      </c>
      <c r="M10" s="2" t="s">
        <v>1382</v>
      </c>
      <c r="N10" s="136" t="s">
        <v>1382</v>
      </c>
      <c r="O10" s="2" t="s">
        <v>1382</v>
      </c>
    </row>
    <row r="11" spans="1:15">
      <c r="A11" s="2" t="e">
        <f ca="1">'GF12'!$E$2</f>
        <v>#VALUE!</v>
      </c>
      <c r="B11" s="133" t="s">
        <v>1402</v>
      </c>
      <c r="C11" s="135" t="s">
        <v>1384</v>
      </c>
      <c r="D11" s="115" t="s">
        <v>54</v>
      </c>
      <c r="E11" s="2" t="e">
        <f t="shared" ca="1" si="0"/>
        <v>#VALUE!</v>
      </c>
      <c r="F11" s="2" t="s">
        <v>1403</v>
      </c>
      <c r="G11" s="5" cm="1">
        <f t="array" aca="1" ref="G11" ca="1">SUMPRODUCT(SUMIF(INDIRECT("'"&amp;Assemblies[Assy]&amp;"'!"&amp;"C$5:C1000"),$E11,(INDIRECT("'"&amp;Assemblies[Assy]&amp;"'!"&amp;"O$5:O1000"))))</f>
        <v>0</v>
      </c>
      <c r="H11" s="115" t="str" cm="1">
        <f t="array" aca="1" ref="H11" ca="1">TRIM(SUBSTITUTE(_xlfn.ARRAYTOTEXT(IFERROR(CONCATENATE(SUMIF(INDIRECT("'"&amp;Assemblies[Assy]&amp;"'!"&amp;"C$5:C1000"), $E11, INDIRECT("'"&amp;Assemblies[Assy]&amp;"'!"&amp;"O$5:O1000")), "x",Assemblies[Assy],".",IF(SUMIF(INDIRECT("'"&amp;Assemblies[Assy]&amp;"'!"&amp;"C$5:C1000"), $E11, INDIRECT("'"&amp;Assemblies[Assy]&amp;"'!"&amp;"B$5:B1000"))=0,NA(),SUMIF(INDIRECT("'"&amp;Assemblies[Assy]&amp;"'!"&amp;"C$5:C1000"), $E11, INDIRECT("'"&amp;Assemblies[Assy]&amp;"'!"&amp;"A$5:A1000")))),"")), " ,", ""))</f>
        <v>,</v>
      </c>
      <c r="L11" s="134" t="s">
        <v>1382</v>
      </c>
      <c r="M11" s="2" t="s">
        <v>1382</v>
      </c>
      <c r="N11" s="136" t="s">
        <v>1382</v>
      </c>
      <c r="O11" s="2" t="s">
        <v>1382</v>
      </c>
    </row>
    <row r="12" spans="1:15">
      <c r="A12" s="2" t="e">
        <f ca="1">'GF12'!$E$2</f>
        <v>#VALUE!</v>
      </c>
      <c r="B12" s="133" t="s">
        <v>1404</v>
      </c>
      <c r="C12" s="135" t="s">
        <v>1384</v>
      </c>
      <c r="D12" s="115" t="s">
        <v>54</v>
      </c>
      <c r="E12" s="2" t="e">
        <f t="shared" ca="1" si="0"/>
        <v>#VALUE!</v>
      </c>
      <c r="F12" s="2" t="s">
        <v>1405</v>
      </c>
      <c r="G12" s="5" cm="1">
        <f t="array" aca="1" ref="G12" ca="1">SUMPRODUCT(SUMIF(INDIRECT("'"&amp;Assemblies[Assy]&amp;"'!"&amp;"C$5:C1000"),$E12,(INDIRECT("'"&amp;Assemblies[Assy]&amp;"'!"&amp;"O$5:O1000"))))</f>
        <v>0</v>
      </c>
      <c r="H12" s="115" t="str" cm="1">
        <f t="array" aca="1" ref="H12" ca="1">TRIM(SUBSTITUTE(_xlfn.ARRAYTOTEXT(IFERROR(CONCATENATE(SUMIF(INDIRECT("'"&amp;Assemblies[Assy]&amp;"'!"&amp;"C$5:C1000"), $E12, INDIRECT("'"&amp;Assemblies[Assy]&amp;"'!"&amp;"O$5:O1000")), "x",Assemblies[Assy],".",IF(SUMIF(INDIRECT("'"&amp;Assemblies[Assy]&amp;"'!"&amp;"C$5:C1000"), $E12, INDIRECT("'"&amp;Assemblies[Assy]&amp;"'!"&amp;"B$5:B1000"))=0,NA(),SUMIF(INDIRECT("'"&amp;Assemblies[Assy]&amp;"'!"&amp;"C$5:C1000"), $E12, INDIRECT("'"&amp;Assemblies[Assy]&amp;"'!"&amp;"A$5:A1000")))),"")), " ,", ""))</f>
        <v>,</v>
      </c>
      <c r="I12" s="213" t="s">
        <v>1406</v>
      </c>
      <c r="J12" s="213" t="s">
        <v>1406</v>
      </c>
      <c r="K12" s="161"/>
      <c r="L12" s="134" t="s">
        <v>1382</v>
      </c>
      <c r="M12" s="2" t="s">
        <v>1382</v>
      </c>
      <c r="N12" s="136" t="s">
        <v>1382</v>
      </c>
      <c r="O12" s="2" t="s">
        <v>1382</v>
      </c>
    </row>
    <row r="13" spans="1:15">
      <c r="A13" s="2" t="e">
        <f ca="1">'GF12'!$E$2</f>
        <v>#VALUE!</v>
      </c>
      <c r="B13" s="133" t="s">
        <v>1407</v>
      </c>
      <c r="C13" s="135" t="s">
        <v>1384</v>
      </c>
      <c r="D13" s="115" t="s">
        <v>54</v>
      </c>
      <c r="E13" s="2" t="e">
        <f t="shared" ca="1" si="0"/>
        <v>#VALUE!</v>
      </c>
      <c r="F13" s="2" t="s">
        <v>1408</v>
      </c>
      <c r="G13" s="5" cm="1">
        <f t="array" aca="1" ref="G13" ca="1">SUMPRODUCT(SUMIF(INDIRECT("'"&amp;Assemblies[Assy]&amp;"'!"&amp;"C$5:C1000"),$E13,(INDIRECT("'"&amp;Assemblies[Assy]&amp;"'!"&amp;"O$5:O1000"))))</f>
        <v>0</v>
      </c>
      <c r="H13" s="115" t="str" cm="1">
        <f t="array" aca="1" ref="H13" ca="1">TRIM(SUBSTITUTE(_xlfn.ARRAYTOTEXT(IFERROR(CONCATENATE(SUMIF(INDIRECT("'"&amp;Assemblies[Assy]&amp;"'!"&amp;"C$5:C1000"), $E13, INDIRECT("'"&amp;Assemblies[Assy]&amp;"'!"&amp;"O$5:O1000")), "x",Assemblies[Assy],".",IF(SUMIF(INDIRECT("'"&amp;Assemblies[Assy]&amp;"'!"&amp;"C$5:C1000"), $E13, INDIRECT("'"&amp;Assemblies[Assy]&amp;"'!"&amp;"B$5:B1000"))=0,NA(),SUMIF(INDIRECT("'"&amp;Assemblies[Assy]&amp;"'!"&amp;"C$5:C1000"), $E13, INDIRECT("'"&amp;Assemblies[Assy]&amp;"'!"&amp;"A$5:A1000")))),"")), " ,", ""))</f>
        <v>,</v>
      </c>
      <c r="I13" s="213" t="s">
        <v>1409</v>
      </c>
      <c r="J13" s="213" t="s">
        <v>1409</v>
      </c>
      <c r="K13" s="213" t="s">
        <v>1410</v>
      </c>
      <c r="L13" s="134" t="s">
        <v>1382</v>
      </c>
      <c r="M13" s="2" t="s">
        <v>1382</v>
      </c>
      <c r="N13" s="136" t="s">
        <v>1382</v>
      </c>
      <c r="O13" s="2" t="s">
        <v>1382</v>
      </c>
    </row>
    <row r="14" spans="1:15">
      <c r="A14" s="2" t="e">
        <f ca="1">'GF12'!$E$2</f>
        <v>#VALUE!</v>
      </c>
      <c r="B14" s="133" t="s">
        <v>1411</v>
      </c>
      <c r="C14" s="135" t="s">
        <v>1384</v>
      </c>
      <c r="D14" s="115" t="s">
        <v>54</v>
      </c>
      <c r="E14" s="2" t="e">
        <f t="shared" ca="1" si="0"/>
        <v>#VALUE!</v>
      </c>
      <c r="F14" s="2" t="s">
        <v>1412</v>
      </c>
      <c r="G14" s="5" cm="1">
        <f t="array" aca="1" ref="G14" ca="1">SUMPRODUCT(SUMIF(INDIRECT("'"&amp;Assemblies[Assy]&amp;"'!"&amp;"C$5:C1000"),$E14,(INDIRECT("'"&amp;Assemblies[Assy]&amp;"'!"&amp;"O$5:O1000"))))</f>
        <v>0</v>
      </c>
      <c r="H14" s="115" t="str" cm="1">
        <f t="array" aca="1" ref="H14" ca="1">TRIM(SUBSTITUTE(_xlfn.ARRAYTOTEXT(IFERROR(CONCATENATE(SUMIF(INDIRECT("'"&amp;Assemblies[Assy]&amp;"'!"&amp;"C$5:C1000"), $E14, INDIRECT("'"&amp;Assemblies[Assy]&amp;"'!"&amp;"O$5:O1000")), "x",Assemblies[Assy],".",IF(SUMIF(INDIRECT("'"&amp;Assemblies[Assy]&amp;"'!"&amp;"C$5:C1000"), $E14, INDIRECT("'"&amp;Assemblies[Assy]&amp;"'!"&amp;"B$5:B1000"))=0,NA(),SUMIF(INDIRECT("'"&amp;Assemblies[Assy]&amp;"'!"&amp;"C$5:C1000"), $E14, INDIRECT("'"&amp;Assemblies[Assy]&amp;"'!"&amp;"A$5:A1000")))),"")), " ,", ""))</f>
        <v>,</v>
      </c>
      <c r="I14" s="213" t="s">
        <v>1409</v>
      </c>
      <c r="J14" s="213" t="s">
        <v>1409</v>
      </c>
      <c r="K14" s="213" t="s">
        <v>1410</v>
      </c>
      <c r="L14" s="134" t="s">
        <v>1382</v>
      </c>
      <c r="M14" s="2" t="s">
        <v>1382</v>
      </c>
      <c r="N14" s="2" t="s">
        <v>1382</v>
      </c>
      <c r="O14" s="2" t="s">
        <v>1382</v>
      </c>
    </row>
    <row r="15" spans="1:15">
      <c r="A15" s="2" t="e">
        <f ca="1">'GF12'!$E$2</f>
        <v>#VALUE!</v>
      </c>
      <c r="B15" s="133" t="s">
        <v>1413</v>
      </c>
      <c r="C15" s="135" t="s">
        <v>1384</v>
      </c>
      <c r="D15" s="115" t="s">
        <v>54</v>
      </c>
      <c r="E15" s="2" t="e">
        <f t="shared" ca="1" si="0"/>
        <v>#VALUE!</v>
      </c>
      <c r="F15" s="2" t="s">
        <v>1414</v>
      </c>
      <c r="G15" s="5" cm="1">
        <f t="array" aca="1" ref="G15" ca="1">SUMPRODUCT(SUMIF(INDIRECT("'"&amp;Assemblies[Assy]&amp;"'!"&amp;"C$5:C1000"),$E15,(INDIRECT("'"&amp;Assemblies[Assy]&amp;"'!"&amp;"O$5:O1000"))))</f>
        <v>0</v>
      </c>
      <c r="H15" s="115" t="str" cm="1">
        <f t="array" aca="1" ref="H15" ca="1">TRIM(SUBSTITUTE(_xlfn.ARRAYTOTEXT(IFERROR(CONCATENATE(SUMIF(INDIRECT("'"&amp;Assemblies[Assy]&amp;"'!"&amp;"C$5:C1000"), $E15, INDIRECT("'"&amp;Assemblies[Assy]&amp;"'!"&amp;"O$5:O1000")), "x",Assemblies[Assy],".",IF(SUMIF(INDIRECT("'"&amp;Assemblies[Assy]&amp;"'!"&amp;"C$5:C1000"), $E15, INDIRECT("'"&amp;Assemblies[Assy]&amp;"'!"&amp;"B$5:B1000"))=0,NA(),SUMIF(INDIRECT("'"&amp;Assemblies[Assy]&amp;"'!"&amp;"C$5:C1000"), $E15, INDIRECT("'"&amp;Assemblies[Assy]&amp;"'!"&amp;"A$5:A1000")))),"")), " ,", ""))</f>
        <v>,</v>
      </c>
      <c r="I15" s="213" t="s">
        <v>1409</v>
      </c>
      <c r="J15" s="213" t="s">
        <v>1409</v>
      </c>
      <c r="K15" s="213" t="s">
        <v>1410</v>
      </c>
      <c r="L15" s="134" t="s">
        <v>1382</v>
      </c>
      <c r="M15" s="2" t="s">
        <v>1382</v>
      </c>
      <c r="N15" s="2" t="s">
        <v>1382</v>
      </c>
      <c r="O15" s="2" t="s">
        <v>1382</v>
      </c>
    </row>
    <row r="16" spans="1:15">
      <c r="A16" s="2" t="e">
        <f ca="1">'GF12'!$E$2</f>
        <v>#VALUE!</v>
      </c>
      <c r="B16" s="133" t="s">
        <v>1415</v>
      </c>
      <c r="C16" s="135" t="s">
        <v>1384</v>
      </c>
      <c r="D16" s="115" t="s">
        <v>54</v>
      </c>
      <c r="E16" s="2" t="e">
        <f t="shared" ca="1" si="0"/>
        <v>#VALUE!</v>
      </c>
      <c r="F16" s="2" t="s">
        <v>1416</v>
      </c>
      <c r="G16" s="5" cm="1">
        <f t="array" aca="1" ref="G16" ca="1">SUMPRODUCT(SUMIF(INDIRECT("'"&amp;Assemblies[Assy]&amp;"'!"&amp;"C$5:C1000"),$E16,(INDIRECT("'"&amp;Assemblies[Assy]&amp;"'!"&amp;"O$5:O1000"))))</f>
        <v>0</v>
      </c>
      <c r="H16" s="115" t="str" cm="1">
        <f t="array" aca="1" ref="H16" ca="1">TRIM(SUBSTITUTE(_xlfn.ARRAYTOTEXT(IFERROR(CONCATENATE(SUMIF(INDIRECT("'"&amp;Assemblies[Assy]&amp;"'!"&amp;"C$5:C1000"), $E16, INDIRECT("'"&amp;Assemblies[Assy]&amp;"'!"&amp;"O$5:O1000")), "x",Assemblies[Assy],".",IF(SUMIF(INDIRECT("'"&amp;Assemblies[Assy]&amp;"'!"&amp;"C$5:C1000"), $E16, INDIRECT("'"&amp;Assemblies[Assy]&amp;"'!"&amp;"B$5:B1000"))=0,NA(),SUMIF(INDIRECT("'"&amp;Assemblies[Assy]&amp;"'!"&amp;"C$5:C1000"), $E16, INDIRECT("'"&amp;Assemblies[Assy]&amp;"'!"&amp;"A$5:A1000")))),"")), " ,", ""))</f>
        <v>,</v>
      </c>
      <c r="I16" s="213" t="s">
        <v>1417</v>
      </c>
      <c r="J16" s="213" t="s">
        <v>1409</v>
      </c>
      <c r="K16" s="213" t="s">
        <v>1410</v>
      </c>
      <c r="L16" s="134" t="s">
        <v>1382</v>
      </c>
      <c r="M16" s="2" t="s">
        <v>1382</v>
      </c>
      <c r="N16" s="2" t="s">
        <v>1382</v>
      </c>
      <c r="O16" s="2" t="s">
        <v>1382</v>
      </c>
    </row>
    <row r="17" spans="1:15">
      <c r="A17" s="2" t="e">
        <f ca="1">'GF12'!$E$2</f>
        <v>#VALUE!</v>
      </c>
      <c r="B17" s="133" t="s">
        <v>1418</v>
      </c>
      <c r="C17" s="135" t="s">
        <v>1384</v>
      </c>
      <c r="D17" s="115" t="s">
        <v>54</v>
      </c>
      <c r="E17" s="2" t="e">
        <f t="shared" ca="1" si="0"/>
        <v>#VALUE!</v>
      </c>
      <c r="F17" s="2" t="s">
        <v>1419</v>
      </c>
      <c r="G17" s="5" cm="1">
        <f t="array" aca="1" ref="G17" ca="1">SUMPRODUCT(SUMIF(INDIRECT("'"&amp;Assemblies[Assy]&amp;"'!"&amp;"C$5:C1000"),$E17,(INDIRECT("'"&amp;Assemblies[Assy]&amp;"'!"&amp;"O$5:O1000"))))</f>
        <v>0</v>
      </c>
      <c r="H17" s="115" t="str" cm="1">
        <f t="array" aca="1" ref="H17" ca="1">TRIM(SUBSTITUTE(_xlfn.ARRAYTOTEXT(IFERROR(CONCATENATE(SUMIF(INDIRECT("'"&amp;Assemblies[Assy]&amp;"'!"&amp;"C$5:C1000"), $E17, INDIRECT("'"&amp;Assemblies[Assy]&amp;"'!"&amp;"O$5:O1000")), "x",Assemblies[Assy],".",IF(SUMIF(INDIRECT("'"&amp;Assemblies[Assy]&amp;"'!"&amp;"C$5:C1000"), $E17, INDIRECT("'"&amp;Assemblies[Assy]&amp;"'!"&amp;"B$5:B1000"))=0,NA(),SUMIF(INDIRECT("'"&amp;Assemblies[Assy]&amp;"'!"&amp;"C$5:C1000"), $E17, INDIRECT("'"&amp;Assemblies[Assy]&amp;"'!"&amp;"A$5:A1000")))),"")), " ,", ""))</f>
        <v>,</v>
      </c>
      <c r="I17" s="213" t="s">
        <v>1417</v>
      </c>
      <c r="J17" s="213" t="s">
        <v>1409</v>
      </c>
      <c r="K17" s="213" t="s">
        <v>1410</v>
      </c>
      <c r="L17" s="134" t="s">
        <v>1382</v>
      </c>
      <c r="M17" s="2" t="s">
        <v>1382</v>
      </c>
      <c r="N17" s="2" t="s">
        <v>1382</v>
      </c>
      <c r="O17" s="2" t="s">
        <v>1382</v>
      </c>
    </row>
    <row r="18" spans="1:15">
      <c r="A18" s="2" t="e">
        <f ca="1">'GF12'!$E$2</f>
        <v>#VALUE!</v>
      </c>
      <c r="B18" s="133" t="s">
        <v>1420</v>
      </c>
      <c r="C18" s="135" t="s">
        <v>1384</v>
      </c>
      <c r="D18" s="115" t="s">
        <v>54</v>
      </c>
      <c r="E18" s="2" t="e">
        <f t="shared" ca="1" si="0"/>
        <v>#VALUE!</v>
      </c>
      <c r="F18" s="2" t="s">
        <v>1421</v>
      </c>
      <c r="G18" s="5" cm="1">
        <f t="array" aca="1" ref="G18" ca="1">SUMPRODUCT(SUMIF(INDIRECT("'"&amp;Assemblies[Assy]&amp;"'!"&amp;"C$5:C1000"),$E18,(INDIRECT("'"&amp;Assemblies[Assy]&amp;"'!"&amp;"O$5:O1000"))))</f>
        <v>0</v>
      </c>
      <c r="H18" s="115" t="str" cm="1">
        <f t="array" aca="1" ref="H18" ca="1">TRIM(SUBSTITUTE(_xlfn.ARRAYTOTEXT(IFERROR(CONCATENATE(SUMIF(INDIRECT("'"&amp;Assemblies[Assy]&amp;"'!"&amp;"C$5:C1000"), $E18, INDIRECT("'"&amp;Assemblies[Assy]&amp;"'!"&amp;"O$5:O1000")), "x",Assemblies[Assy],".",IF(SUMIF(INDIRECT("'"&amp;Assemblies[Assy]&amp;"'!"&amp;"C$5:C1000"), $E18, INDIRECT("'"&amp;Assemblies[Assy]&amp;"'!"&amp;"B$5:B1000"))=0,NA(),SUMIF(INDIRECT("'"&amp;Assemblies[Assy]&amp;"'!"&amp;"C$5:C1000"), $E18, INDIRECT("'"&amp;Assemblies[Assy]&amp;"'!"&amp;"A$5:A1000")))),"")), " ,", ""))</f>
        <v>,</v>
      </c>
      <c r="I18" s="213" t="s">
        <v>1417</v>
      </c>
      <c r="J18" s="213" t="s">
        <v>1409</v>
      </c>
      <c r="K18" s="213" t="s">
        <v>1410</v>
      </c>
      <c r="L18" s="134" t="s">
        <v>1382</v>
      </c>
      <c r="M18" s="2" t="s">
        <v>1382</v>
      </c>
      <c r="N18" s="2" t="s">
        <v>1382</v>
      </c>
      <c r="O18" s="2" t="s">
        <v>1382</v>
      </c>
    </row>
    <row r="19" spans="1:15">
      <c r="A19" s="2" t="e">
        <f ca="1">'GF12'!$E$2</f>
        <v>#VALUE!</v>
      </c>
      <c r="B19" s="133" t="s">
        <v>1422</v>
      </c>
      <c r="C19" s="135" t="s">
        <v>1384</v>
      </c>
      <c r="D19" s="115" t="s">
        <v>54</v>
      </c>
      <c r="E19" s="2" t="e">
        <f t="shared" ca="1" si="0"/>
        <v>#VALUE!</v>
      </c>
      <c r="F19" s="2" t="s">
        <v>1423</v>
      </c>
      <c r="G19" s="5" cm="1">
        <f t="array" aca="1" ref="G19" ca="1">SUMPRODUCT(SUMIF(INDIRECT("'"&amp;Assemblies[Assy]&amp;"'!"&amp;"C$5:C1000"),$E19,(INDIRECT("'"&amp;Assemblies[Assy]&amp;"'!"&amp;"O$5:O1000"))))</f>
        <v>0</v>
      </c>
      <c r="H19" s="115" t="str" cm="1">
        <f t="array" aca="1" ref="H19" ca="1">TRIM(SUBSTITUTE(_xlfn.ARRAYTOTEXT(IFERROR(CONCATENATE(SUMIF(INDIRECT("'"&amp;Assemblies[Assy]&amp;"'!"&amp;"C$5:C1000"), $E19, INDIRECT("'"&amp;Assemblies[Assy]&amp;"'!"&amp;"O$5:O1000")), "x",Assemblies[Assy],".",IF(SUMIF(INDIRECT("'"&amp;Assemblies[Assy]&amp;"'!"&amp;"C$5:C1000"), $E19, INDIRECT("'"&amp;Assemblies[Assy]&amp;"'!"&amp;"B$5:B1000"))=0,NA(),SUMIF(INDIRECT("'"&amp;Assemblies[Assy]&amp;"'!"&amp;"C$5:C1000"), $E19, INDIRECT("'"&amp;Assemblies[Assy]&amp;"'!"&amp;"A$5:A1000")))),"")), " ,", ""))</f>
        <v>,</v>
      </c>
      <c r="I19" s="213" t="s">
        <v>1417</v>
      </c>
      <c r="J19" s="213" t="s">
        <v>1409</v>
      </c>
      <c r="K19" s="213" t="s">
        <v>1410</v>
      </c>
      <c r="L19" s="134" t="s">
        <v>1382</v>
      </c>
      <c r="M19" s="2" t="s">
        <v>1382</v>
      </c>
      <c r="N19" s="2" t="s">
        <v>1382</v>
      </c>
      <c r="O19" s="2" t="s">
        <v>1382</v>
      </c>
    </row>
    <row r="20" spans="1:15">
      <c r="A20" s="2" t="e">
        <f ca="1">'GF12'!$E$2</f>
        <v>#VALUE!</v>
      </c>
      <c r="B20" s="133" t="s">
        <v>1424</v>
      </c>
      <c r="C20" s="135" t="s">
        <v>1384</v>
      </c>
      <c r="D20" s="115" t="s">
        <v>54</v>
      </c>
      <c r="E20" s="2" t="e">
        <f t="shared" ca="1" si="0"/>
        <v>#VALUE!</v>
      </c>
      <c r="F20" s="2" t="s">
        <v>1425</v>
      </c>
      <c r="G20" s="5" cm="1">
        <f t="array" aca="1" ref="G20" ca="1">SUMPRODUCT(SUMIF(INDIRECT("'"&amp;Assemblies[Assy]&amp;"'!"&amp;"C$5:C1000"),$E20,(INDIRECT("'"&amp;Assemblies[Assy]&amp;"'!"&amp;"O$5:O1000"))))</f>
        <v>0</v>
      </c>
      <c r="H20" s="115" t="str" cm="1">
        <f t="array" aca="1" ref="H20" ca="1">TRIM(SUBSTITUTE(_xlfn.ARRAYTOTEXT(IFERROR(CONCATENATE(SUMIF(INDIRECT("'"&amp;Assemblies[Assy]&amp;"'!"&amp;"C$5:C1000"), $E20, INDIRECT("'"&amp;Assemblies[Assy]&amp;"'!"&amp;"O$5:O1000")), "x",Assemblies[Assy],".",IF(SUMIF(INDIRECT("'"&amp;Assemblies[Assy]&amp;"'!"&amp;"C$5:C1000"), $E20, INDIRECT("'"&amp;Assemblies[Assy]&amp;"'!"&amp;"B$5:B1000"))=0,NA(),SUMIF(INDIRECT("'"&amp;Assemblies[Assy]&amp;"'!"&amp;"C$5:C1000"), $E20, INDIRECT("'"&amp;Assemblies[Assy]&amp;"'!"&amp;"A$5:A1000")))),"")), " ,", ""))</f>
        <v>,</v>
      </c>
      <c r="I20" s="213" t="s">
        <v>1417</v>
      </c>
      <c r="J20" s="213" t="s">
        <v>1409</v>
      </c>
      <c r="K20" s="213" t="s">
        <v>1410</v>
      </c>
      <c r="L20" s="134" t="s">
        <v>1382</v>
      </c>
      <c r="M20" s="2" t="s">
        <v>1382</v>
      </c>
      <c r="N20" s="2" t="s">
        <v>1382</v>
      </c>
      <c r="O20" s="2" t="s">
        <v>1382</v>
      </c>
    </row>
    <row r="21" spans="1:15">
      <c r="A21" s="2" t="e">
        <f ca="1">'GF12'!$E$2</f>
        <v>#VALUE!</v>
      </c>
      <c r="B21" s="133" t="s">
        <v>1426</v>
      </c>
      <c r="C21" s="135" t="s">
        <v>1384</v>
      </c>
      <c r="D21" s="115" t="s">
        <v>54</v>
      </c>
      <c r="E21" s="2" t="e">
        <f ca="1">_xlfn.CONCAT(A21,".",B21,".",C21,".",D21)</f>
        <v>#VALUE!</v>
      </c>
      <c r="F21" s="2" t="s">
        <v>1427</v>
      </c>
      <c r="G21" s="5" cm="1">
        <f t="array" aca="1" ref="G21" ca="1">SUMPRODUCT(SUMIF(INDIRECT("'"&amp;$B$2:$B$119&amp;"'!"&amp;"C5:C1000"),E21,(INDIRECT("'"&amp;$B$2:$B$119&amp;"'!"&amp;"O5:O1000"))))</f>
        <v>0</v>
      </c>
      <c r="H21" s="115" t="str" cm="1">
        <f t="array" aca="1" ref="H21" ca="1">TRIM(SUBSTITUTE(_xlfn.ARRAYTOTEXT(IFERROR(CONCATENATE(SUMIF(INDIRECT("'"&amp;Assemblies[Assy]&amp;"'!"&amp;"C$5:C1000"), $E21, INDIRECT("'"&amp;Assemblies[Assy]&amp;"'!"&amp;"O$5:O1000")), "x",Assemblies[Assy],".",IF(SUMIF(INDIRECT("'"&amp;Assemblies[Assy]&amp;"'!"&amp;"C$5:C1000"), $E21, INDIRECT("'"&amp;Assemblies[Assy]&amp;"'!"&amp;"B$5:B1000"))=0,NA(),SUMIF(INDIRECT("'"&amp;Assemblies[Assy]&amp;"'!"&amp;"C$5:C1000"), $E21, INDIRECT("'"&amp;Assemblies[Assy]&amp;"'!"&amp;"A$5:A1000")))),"")), " ,", ""))</f>
        <v>,</v>
      </c>
      <c r="I21" s="213"/>
      <c r="J21" s="213"/>
      <c r="K21" s="213"/>
      <c r="L21" s="134"/>
    </row>
    <row r="22" spans="1:15">
      <c r="A22" s="2" t="e">
        <f ca="1">'GF12'!$E$2</f>
        <v>#VALUE!</v>
      </c>
      <c r="B22" s="133" t="s">
        <v>1428</v>
      </c>
      <c r="C22" s="135" t="s">
        <v>1384</v>
      </c>
      <c r="D22" s="115" t="s">
        <v>54</v>
      </c>
      <c r="E22" s="2" t="e">
        <f ca="1">_xlfn.CONCAT(A22,".",B22,".",C22,".",D22)</f>
        <v>#VALUE!</v>
      </c>
      <c r="F22" s="2" t="s">
        <v>1429</v>
      </c>
      <c r="G22" s="5" cm="1">
        <f t="array" aca="1" ref="G22" ca="1">SUMPRODUCT(SUMIF(INDIRECT("'"&amp;$B$2:$B$119&amp;"'!"&amp;"C5:C1000"),E22,(INDIRECT("'"&amp;$B$2:$B$119&amp;"'!"&amp;"O5:O1000"))))</f>
        <v>0</v>
      </c>
      <c r="H22" s="115" t="str" cm="1">
        <f t="array" aca="1" ref="H22" ca="1">TRIM(SUBSTITUTE(_xlfn.ARRAYTOTEXT(IFERROR(CONCATENATE(SUMIF(INDIRECT("'"&amp;Assemblies[Assy]&amp;"'!"&amp;"C$5:C1000"), $E22, INDIRECT("'"&amp;Assemblies[Assy]&amp;"'!"&amp;"O$5:O1000")), "x",Assemblies[Assy],".",IF(SUMIF(INDIRECT("'"&amp;Assemblies[Assy]&amp;"'!"&amp;"C$5:C1000"), $E22, INDIRECT("'"&amp;Assemblies[Assy]&amp;"'!"&amp;"B$5:B1000"))=0,NA(),SUMIF(INDIRECT("'"&amp;Assemblies[Assy]&amp;"'!"&amp;"C$5:C1000"), $E22, INDIRECT("'"&amp;Assemblies[Assy]&amp;"'!"&amp;"A$5:A1000")))),"")), " ,", ""))</f>
        <v>,</v>
      </c>
      <c r="I22" s="213"/>
      <c r="J22" s="213"/>
      <c r="K22" s="213"/>
      <c r="L22" s="134"/>
    </row>
    <row r="23" spans="1:15">
      <c r="A23" s="2" t="e">
        <f ca="1">'GF12'!$E$2</f>
        <v>#VALUE!</v>
      </c>
      <c r="B23" s="133" t="s">
        <v>1430</v>
      </c>
      <c r="C23" s="135" t="s">
        <v>1384</v>
      </c>
      <c r="D23" s="115" t="s">
        <v>54</v>
      </c>
      <c r="E23" s="2" t="e">
        <f t="shared" ca="1" si="0"/>
        <v>#VALUE!</v>
      </c>
      <c r="F23" s="2" t="s">
        <v>1431</v>
      </c>
      <c r="G23" s="5" cm="1">
        <f t="array" aca="1" ref="G23" ca="1">SUMPRODUCT(SUMIF(INDIRECT("'"&amp;Assemblies[Assy]&amp;"'!"&amp;"C$5:C1000"),$E23,(INDIRECT("'"&amp;Assemblies[Assy]&amp;"'!"&amp;"O$5:O1000"))))</f>
        <v>0</v>
      </c>
      <c r="H23" s="115" t="str" cm="1">
        <f t="array" aca="1" ref="H23" ca="1">TRIM(SUBSTITUTE(_xlfn.ARRAYTOTEXT(IFERROR(CONCATENATE(SUMIF(INDIRECT("'"&amp;Assemblies[Assy]&amp;"'!"&amp;"C$5:C1000"), $E23, INDIRECT("'"&amp;Assemblies[Assy]&amp;"'!"&amp;"O$5:O1000")), "x",Assemblies[Assy],".",IF(SUMIF(INDIRECT("'"&amp;Assemblies[Assy]&amp;"'!"&amp;"C$5:C1000"), $E23, INDIRECT("'"&amp;Assemblies[Assy]&amp;"'!"&amp;"B$5:B1000"))=0,NA(),SUMIF(INDIRECT("'"&amp;Assemblies[Assy]&amp;"'!"&amp;"C$5:C1000"), $E23, INDIRECT("'"&amp;Assemblies[Assy]&amp;"'!"&amp;"A$5:A1000")))),"")), " ,", ""))</f>
        <v>,</v>
      </c>
      <c r="I23" s="213" t="s">
        <v>1406</v>
      </c>
      <c r="J23" s="213" t="s">
        <v>1406</v>
      </c>
      <c r="K23" s="2" t="s">
        <v>1432</v>
      </c>
      <c r="L23" s="134" t="s">
        <v>1382</v>
      </c>
      <c r="M23" s="2" t="s">
        <v>1382</v>
      </c>
      <c r="N23" s="2" t="s">
        <v>1382</v>
      </c>
      <c r="O23" s="2" t="s">
        <v>1382</v>
      </c>
    </row>
    <row r="24" spans="1:15">
      <c r="A24" s="2" t="e">
        <f ca="1">'GF12'!$E$2</f>
        <v>#VALUE!</v>
      </c>
      <c r="B24" s="133" t="s">
        <v>1433</v>
      </c>
      <c r="C24" s="135" t="s">
        <v>1384</v>
      </c>
      <c r="D24" s="115" t="s">
        <v>54</v>
      </c>
      <c r="E24" s="2" t="e">
        <f t="shared" ca="1" si="0"/>
        <v>#VALUE!</v>
      </c>
      <c r="F24" s="2" t="s">
        <v>1434</v>
      </c>
      <c r="G24" s="5" cm="1">
        <f t="array" aca="1" ref="G24" ca="1">SUMPRODUCT(SUMIF(INDIRECT("'"&amp;Assemblies[Assy]&amp;"'!"&amp;"C$5:C1000"),$E24,(INDIRECT("'"&amp;Assemblies[Assy]&amp;"'!"&amp;"O$5:O1000"))))</f>
        <v>0</v>
      </c>
      <c r="H24" s="115" t="str" cm="1">
        <f t="array" aca="1" ref="H24" ca="1">TRIM(SUBSTITUTE(_xlfn.ARRAYTOTEXT(IFERROR(CONCATENATE(SUMIF(INDIRECT("'"&amp;Assemblies[Assy]&amp;"'!"&amp;"C$5:C1000"), $E24, INDIRECT("'"&amp;Assemblies[Assy]&amp;"'!"&amp;"O$5:O1000")), "x",Assemblies[Assy],".",IF(SUMIF(INDIRECT("'"&amp;Assemblies[Assy]&amp;"'!"&amp;"C$5:C1000"), $E24, INDIRECT("'"&amp;Assemblies[Assy]&amp;"'!"&amp;"B$5:B1000"))=0,NA(),SUMIF(INDIRECT("'"&amp;Assemblies[Assy]&amp;"'!"&amp;"C$5:C1000"), $E24, INDIRECT("'"&amp;Assemblies[Assy]&amp;"'!"&amp;"A$5:A1000")))),"")), " ,", ""))</f>
        <v>,</v>
      </c>
      <c r="I24" s="213" t="s">
        <v>1409</v>
      </c>
      <c r="J24" s="213" t="s">
        <v>1409</v>
      </c>
      <c r="K24" s="213" t="s">
        <v>1410</v>
      </c>
      <c r="L24" s="134" t="s">
        <v>1382</v>
      </c>
      <c r="M24" s="2" t="s">
        <v>1382</v>
      </c>
      <c r="N24" s="2" t="s">
        <v>1382</v>
      </c>
      <c r="O24" s="2" t="s">
        <v>1382</v>
      </c>
    </row>
    <row r="25" spans="1:15" ht="13.15" customHeight="1">
      <c r="A25" s="2" t="e">
        <f ca="1">'GF12'!$E$2</f>
        <v>#VALUE!</v>
      </c>
      <c r="B25" s="133" t="s">
        <v>1435</v>
      </c>
      <c r="C25" s="135" t="s">
        <v>1384</v>
      </c>
      <c r="D25" s="115" t="s">
        <v>54</v>
      </c>
      <c r="E25" s="2" t="e">
        <f t="shared" ca="1" si="0"/>
        <v>#VALUE!</v>
      </c>
      <c r="F25" s="2" t="s">
        <v>1436</v>
      </c>
      <c r="G25" s="5" cm="1">
        <f t="array" aca="1" ref="G25" ca="1">SUMPRODUCT(SUMIF(INDIRECT("'"&amp;Assemblies[Assy]&amp;"'!"&amp;"C$5:C1000"),$E25,(INDIRECT("'"&amp;Assemblies[Assy]&amp;"'!"&amp;"O$5:O1000"))))</f>
        <v>0</v>
      </c>
      <c r="H25" s="115" t="str" cm="1">
        <f t="array" aca="1" ref="H25" ca="1">TRIM(SUBSTITUTE(_xlfn.ARRAYTOTEXT(IFERROR(CONCATENATE(SUMIF(INDIRECT("'"&amp;Assemblies[Assy]&amp;"'!"&amp;"C$5:C1000"), $E25, INDIRECT("'"&amp;Assemblies[Assy]&amp;"'!"&amp;"O$5:O1000")), "x",Assemblies[Assy],".",IF(SUMIF(INDIRECT("'"&amp;Assemblies[Assy]&amp;"'!"&amp;"C$5:C1000"), $E25, INDIRECT("'"&amp;Assemblies[Assy]&amp;"'!"&amp;"B$5:B1000"))=0,NA(),SUMIF(INDIRECT("'"&amp;Assemblies[Assy]&amp;"'!"&amp;"C$5:C1000"), $E25, INDIRECT("'"&amp;Assemblies[Assy]&amp;"'!"&amp;"A$5:A1000")))),"")), " ,", ""))</f>
        <v>,</v>
      </c>
      <c r="I25" s="213" t="s">
        <v>1409</v>
      </c>
      <c r="J25" s="213" t="s">
        <v>1409</v>
      </c>
      <c r="K25" s="213" t="s">
        <v>1410</v>
      </c>
      <c r="L25" s="134" t="s">
        <v>1382</v>
      </c>
      <c r="M25" s="2" t="s">
        <v>1382</v>
      </c>
      <c r="N25" s="2" t="s">
        <v>1382</v>
      </c>
      <c r="O25" s="2" t="s">
        <v>1382</v>
      </c>
    </row>
    <row r="26" spans="1:15" ht="13.15" customHeight="1">
      <c r="A26" s="2" t="e">
        <f ca="1">'GF12'!$E$2</f>
        <v>#VALUE!</v>
      </c>
      <c r="B26" s="133" t="s">
        <v>1437</v>
      </c>
      <c r="C26" s="135" t="s">
        <v>1384</v>
      </c>
      <c r="D26" s="115" t="s">
        <v>54</v>
      </c>
      <c r="E26" s="2" t="e">
        <f t="shared" ca="1" si="0"/>
        <v>#VALUE!</v>
      </c>
      <c r="F26" s="2" t="s">
        <v>1438</v>
      </c>
      <c r="G26" s="5" cm="1">
        <f t="array" aca="1" ref="G26" ca="1">SUMPRODUCT(SUMIF(INDIRECT("'"&amp;Assemblies[Assy]&amp;"'!"&amp;"C$5:C1000"),$E26,(INDIRECT("'"&amp;Assemblies[Assy]&amp;"'!"&amp;"O$5:O1000"))))</f>
        <v>0</v>
      </c>
      <c r="H26" s="115" t="str" cm="1">
        <f t="array" aca="1" ref="H26" ca="1">TRIM(SUBSTITUTE(_xlfn.ARRAYTOTEXT(IFERROR(CONCATENATE(SUMIF(INDIRECT("'"&amp;Assemblies[Assy]&amp;"'!"&amp;"C$5:C1000"), $E26, INDIRECT("'"&amp;Assemblies[Assy]&amp;"'!"&amp;"O$5:O1000")), "x",Assemblies[Assy],".",IF(SUMIF(INDIRECT("'"&amp;Assemblies[Assy]&amp;"'!"&amp;"C$5:C1000"), $E26, INDIRECT("'"&amp;Assemblies[Assy]&amp;"'!"&amp;"B$5:B1000"))=0,NA(),SUMIF(INDIRECT("'"&amp;Assemblies[Assy]&amp;"'!"&amp;"C$5:C1000"), $E26, INDIRECT("'"&amp;Assemblies[Assy]&amp;"'!"&amp;"A$5:A1000")))),"")), " ,", ""))</f>
        <v>,</v>
      </c>
      <c r="I26" s="213" t="s">
        <v>1409</v>
      </c>
      <c r="J26" s="213" t="s">
        <v>1409</v>
      </c>
      <c r="K26" s="213" t="s">
        <v>1410</v>
      </c>
      <c r="L26" s="134" t="s">
        <v>1382</v>
      </c>
      <c r="M26" s="2" t="s">
        <v>1382</v>
      </c>
      <c r="N26" s="2" t="s">
        <v>1382</v>
      </c>
      <c r="O26" s="2" t="s">
        <v>1382</v>
      </c>
    </row>
    <row r="27" spans="1:15" ht="13.15" customHeight="1">
      <c r="A27" s="2" t="e">
        <f ca="1">'GF12'!$E$2</f>
        <v>#VALUE!</v>
      </c>
      <c r="B27" s="133" t="s">
        <v>1439</v>
      </c>
      <c r="C27" s="135" t="s">
        <v>1384</v>
      </c>
      <c r="D27" s="115" t="s">
        <v>54</v>
      </c>
      <c r="E27" s="2" t="e">
        <f t="shared" ca="1" si="0"/>
        <v>#VALUE!</v>
      </c>
      <c r="F27" s="2" t="s">
        <v>1440</v>
      </c>
      <c r="G27" s="5" cm="1">
        <f t="array" aca="1" ref="G27" ca="1">SUMPRODUCT(SUMIF(INDIRECT("'"&amp;Assemblies[Assy]&amp;"'!"&amp;"C$5:C1000"),$E27,(INDIRECT("'"&amp;Assemblies[Assy]&amp;"'!"&amp;"O$5:O1000"))))</f>
        <v>0</v>
      </c>
      <c r="H27" s="115" t="str" cm="1">
        <f t="array" aca="1" ref="H27" ca="1">TRIM(SUBSTITUTE(_xlfn.ARRAYTOTEXT(IFERROR(CONCATENATE(SUMIF(INDIRECT("'"&amp;Assemblies[Assy]&amp;"'!"&amp;"C$5:C1000"), $E27, INDIRECT("'"&amp;Assemblies[Assy]&amp;"'!"&amp;"O$5:O1000")), "x",Assemblies[Assy],".",IF(SUMIF(INDIRECT("'"&amp;Assemblies[Assy]&amp;"'!"&amp;"C$5:C1000"), $E27, INDIRECT("'"&amp;Assemblies[Assy]&amp;"'!"&amp;"B$5:B1000"))=0,NA(),SUMIF(INDIRECT("'"&amp;Assemblies[Assy]&amp;"'!"&amp;"C$5:C1000"), $E27, INDIRECT("'"&amp;Assemblies[Assy]&amp;"'!"&amp;"A$5:A1000")))),"")), " ,", ""))</f>
        <v>,</v>
      </c>
      <c r="I27" s="213" t="s">
        <v>1409</v>
      </c>
      <c r="J27" s="213" t="s">
        <v>1409</v>
      </c>
      <c r="L27" s="134" t="s">
        <v>1382</v>
      </c>
      <c r="M27" s="2" t="s">
        <v>1382</v>
      </c>
      <c r="N27" s="2" t="s">
        <v>1382</v>
      </c>
      <c r="O27" s="2" t="s">
        <v>1382</v>
      </c>
    </row>
    <row r="28" spans="1:15" ht="13.15" customHeight="1">
      <c r="A28" s="2" t="e">
        <f ca="1">'GF12'!$E$2</f>
        <v>#VALUE!</v>
      </c>
      <c r="B28" s="133" t="s">
        <v>1441</v>
      </c>
      <c r="C28" s="135" t="s">
        <v>1384</v>
      </c>
      <c r="D28" s="115" t="s">
        <v>54</v>
      </c>
      <c r="E28" s="2" t="e">
        <f t="shared" ca="1" si="0"/>
        <v>#VALUE!</v>
      </c>
      <c r="F28" s="2" t="s">
        <v>1442</v>
      </c>
      <c r="G28" s="5" cm="1">
        <f t="array" aca="1" ref="G28" ca="1">SUMPRODUCT(SUMIF(INDIRECT("'"&amp;Assemblies[Assy]&amp;"'!"&amp;"C$5:C1000"),$E28,(INDIRECT("'"&amp;Assemblies[Assy]&amp;"'!"&amp;"O$5:O1000"))))</f>
        <v>0</v>
      </c>
      <c r="H28" s="115" t="str" cm="1">
        <f t="array" aca="1" ref="H28" ca="1">TRIM(SUBSTITUTE(_xlfn.ARRAYTOTEXT(IFERROR(CONCATENATE(SUMIF(INDIRECT("'"&amp;Assemblies[Assy]&amp;"'!"&amp;"C$5:C1000"), $E28, INDIRECT("'"&amp;Assemblies[Assy]&amp;"'!"&amp;"O$5:O1000")), "x",Assemblies[Assy],".",IF(SUMIF(INDIRECT("'"&amp;Assemblies[Assy]&amp;"'!"&amp;"C$5:C1000"), $E28, INDIRECT("'"&amp;Assemblies[Assy]&amp;"'!"&amp;"B$5:B1000"))=0,NA(),SUMIF(INDIRECT("'"&amp;Assemblies[Assy]&amp;"'!"&amp;"C$5:C1000"), $E28, INDIRECT("'"&amp;Assemblies[Assy]&amp;"'!"&amp;"A$5:A1000")))),"")), " ,", ""))</f>
        <v>,</v>
      </c>
      <c r="I28" s="213" t="s">
        <v>1409</v>
      </c>
      <c r="J28" s="213" t="s">
        <v>1409</v>
      </c>
      <c r="L28" s="134" t="s">
        <v>1382</v>
      </c>
      <c r="M28" s="2" t="s">
        <v>1382</v>
      </c>
      <c r="N28" s="2" t="s">
        <v>1382</v>
      </c>
      <c r="O28" s="2" t="s">
        <v>1382</v>
      </c>
    </row>
    <row r="29" spans="1:15" ht="13.15" customHeight="1">
      <c r="A29" s="2" t="e">
        <f ca="1">'GF12'!$E$2</f>
        <v>#VALUE!</v>
      </c>
      <c r="B29" s="133" t="s">
        <v>1443</v>
      </c>
      <c r="C29" s="135" t="s">
        <v>1384</v>
      </c>
      <c r="D29" s="115" t="s">
        <v>54</v>
      </c>
      <c r="E29" s="2" t="e">
        <f t="shared" ca="1" si="0"/>
        <v>#VALUE!</v>
      </c>
      <c r="F29" s="2" t="s">
        <v>1444</v>
      </c>
      <c r="G29" s="5" cm="1">
        <f t="array" aca="1" ref="G29" ca="1">SUMPRODUCT(SUMIF(INDIRECT("'"&amp;Assemblies[Assy]&amp;"'!"&amp;"C$5:C1000"),$E29,(INDIRECT("'"&amp;Assemblies[Assy]&amp;"'!"&amp;"O$5:O1000"))))</f>
        <v>0</v>
      </c>
      <c r="H29" s="115" t="str" cm="1">
        <f t="array" aca="1" ref="H29" ca="1">TRIM(SUBSTITUTE(_xlfn.ARRAYTOTEXT(IFERROR(CONCATENATE(SUMIF(INDIRECT("'"&amp;Assemblies[Assy]&amp;"'!"&amp;"C$5:C1000"), $E29, INDIRECT("'"&amp;Assemblies[Assy]&amp;"'!"&amp;"O$5:O1000")), "x",Assemblies[Assy],".",IF(SUMIF(INDIRECT("'"&amp;Assemblies[Assy]&amp;"'!"&amp;"C$5:C1000"), $E29, INDIRECT("'"&amp;Assemblies[Assy]&amp;"'!"&amp;"B$5:B1000"))=0,NA(),SUMIF(INDIRECT("'"&amp;Assemblies[Assy]&amp;"'!"&amp;"C$5:C1000"), $E29, INDIRECT("'"&amp;Assemblies[Assy]&amp;"'!"&amp;"A$5:A1000")))),"")), " ,", ""))</f>
        <v>,</v>
      </c>
      <c r="I29" s="213" t="s">
        <v>1409</v>
      </c>
      <c r="J29" s="213" t="s">
        <v>1409</v>
      </c>
      <c r="L29" s="134" t="s">
        <v>1382</v>
      </c>
      <c r="M29" s="2" t="s">
        <v>1382</v>
      </c>
      <c r="N29" s="2" t="s">
        <v>1382</v>
      </c>
      <c r="O29" s="2" t="s">
        <v>1382</v>
      </c>
    </row>
    <row r="30" spans="1:15" ht="13.15" customHeight="1">
      <c r="A30" s="2" t="e">
        <f ca="1">'GF12'!$E$2</f>
        <v>#VALUE!</v>
      </c>
      <c r="B30" s="133" t="s">
        <v>1445</v>
      </c>
      <c r="C30" s="135" t="s">
        <v>1384</v>
      </c>
      <c r="D30" s="115" t="s">
        <v>54</v>
      </c>
      <c r="E30" s="2" t="e">
        <f t="shared" ca="1" si="0"/>
        <v>#VALUE!</v>
      </c>
      <c r="F30" s="2" t="s">
        <v>1446</v>
      </c>
      <c r="G30" s="5" cm="1">
        <f t="array" aca="1" ref="G30" ca="1">SUMPRODUCT(SUMIF(INDIRECT("'"&amp;Assemblies[Assy]&amp;"'!"&amp;"C$5:C1000"),$E30,(INDIRECT("'"&amp;Assemblies[Assy]&amp;"'!"&amp;"O$5:O1000"))))</f>
        <v>0</v>
      </c>
      <c r="H30" s="115" t="str" cm="1">
        <f t="array" aca="1" ref="H30" ca="1">TRIM(SUBSTITUTE(_xlfn.ARRAYTOTEXT(IFERROR(CONCATENATE(SUMIF(INDIRECT("'"&amp;Assemblies[Assy]&amp;"'!"&amp;"C$5:C1000"), $E30, INDIRECT("'"&amp;Assemblies[Assy]&amp;"'!"&amp;"O$5:O1000")), "x",Assemblies[Assy],".",IF(SUMIF(INDIRECT("'"&amp;Assemblies[Assy]&amp;"'!"&amp;"C$5:C1000"), $E30, INDIRECT("'"&amp;Assemblies[Assy]&amp;"'!"&amp;"B$5:B1000"))=0,NA(),SUMIF(INDIRECT("'"&amp;Assemblies[Assy]&amp;"'!"&amp;"C$5:C1000"), $E30, INDIRECT("'"&amp;Assemblies[Assy]&amp;"'!"&amp;"A$5:A1000")))),"")), " ,", ""))</f>
        <v>,</v>
      </c>
      <c r="I30" s="213" t="s">
        <v>1409</v>
      </c>
      <c r="J30" s="213" t="s">
        <v>1409</v>
      </c>
      <c r="L30" s="134" t="s">
        <v>1382</v>
      </c>
      <c r="M30" s="2" t="s">
        <v>1382</v>
      </c>
      <c r="N30" s="2" t="s">
        <v>1382</v>
      </c>
      <c r="O30" s="2" t="s">
        <v>1382</v>
      </c>
    </row>
    <row r="31" spans="1:15" ht="13.15" customHeight="1">
      <c r="A31" s="2" t="e">
        <f ca="1">'GF12'!$E$2</f>
        <v>#VALUE!</v>
      </c>
      <c r="B31" s="133" t="s">
        <v>1447</v>
      </c>
      <c r="C31" s="135" t="s">
        <v>1384</v>
      </c>
      <c r="D31" s="115" t="s">
        <v>54</v>
      </c>
      <c r="E31" s="2" t="e">
        <f t="shared" ca="1" si="0"/>
        <v>#VALUE!</v>
      </c>
      <c r="F31" s="2" t="s">
        <v>1448</v>
      </c>
      <c r="G31" s="5" cm="1">
        <f t="array" aca="1" ref="G31" ca="1">SUMPRODUCT(SUMIF(INDIRECT("'"&amp;Assemblies[Assy]&amp;"'!"&amp;"C$5:C1000"),$E31,(INDIRECT("'"&amp;Assemblies[Assy]&amp;"'!"&amp;"O$5:O1000"))))</f>
        <v>0</v>
      </c>
      <c r="H31" s="115" t="str" cm="1">
        <f t="array" aca="1" ref="H31" ca="1">TRIM(SUBSTITUTE(_xlfn.ARRAYTOTEXT(IFERROR(CONCATENATE(SUMIF(INDIRECT("'"&amp;Assemblies[Assy]&amp;"'!"&amp;"C$5:C1000"), $E31, INDIRECT("'"&amp;Assemblies[Assy]&amp;"'!"&amp;"O$5:O1000")), "x",Assemblies[Assy],".",IF(SUMIF(INDIRECT("'"&amp;Assemblies[Assy]&amp;"'!"&amp;"C$5:C1000"), $E31, INDIRECT("'"&amp;Assemblies[Assy]&amp;"'!"&amp;"B$5:B1000"))=0,NA(),SUMIF(INDIRECT("'"&amp;Assemblies[Assy]&amp;"'!"&amp;"C$5:C1000"), $E31, INDIRECT("'"&amp;Assemblies[Assy]&amp;"'!"&amp;"A$5:A1000")))),"")), " ,", ""))</f>
        <v>,</v>
      </c>
      <c r="I31" s="213" t="s">
        <v>1409</v>
      </c>
      <c r="J31" s="213" t="s">
        <v>1409</v>
      </c>
      <c r="L31" s="134" t="s">
        <v>1382</v>
      </c>
      <c r="M31" s="2" t="s">
        <v>1382</v>
      </c>
      <c r="N31" s="2" t="s">
        <v>1382</v>
      </c>
      <c r="O31" s="2" t="s">
        <v>1382</v>
      </c>
    </row>
    <row r="32" spans="1:15">
      <c r="A32" s="2" t="e">
        <f ca="1">'GF12'!$E$2</f>
        <v>#VALUE!</v>
      </c>
      <c r="B32" s="133" t="s">
        <v>1449</v>
      </c>
      <c r="C32" s="135" t="s">
        <v>1384</v>
      </c>
      <c r="D32" s="115" t="s">
        <v>54</v>
      </c>
      <c r="E32" s="2" t="e">
        <f t="shared" ca="1" si="0"/>
        <v>#VALUE!</v>
      </c>
      <c r="F32" s="2" t="s">
        <v>1450</v>
      </c>
      <c r="G32" s="5" cm="1">
        <f t="array" aca="1" ref="G32" ca="1">SUMPRODUCT(SUMIF(INDIRECT("'"&amp;Assemblies[Assy]&amp;"'!"&amp;"C$5:C1000"),$E32,(INDIRECT("'"&amp;Assemblies[Assy]&amp;"'!"&amp;"O$5:O1000"))))</f>
        <v>0</v>
      </c>
      <c r="H32" s="115" t="str" cm="1">
        <f t="array" aca="1" ref="H32" ca="1">TRIM(SUBSTITUTE(_xlfn.ARRAYTOTEXT(IFERROR(CONCATENATE(SUMIF(INDIRECT("'"&amp;Assemblies[Assy]&amp;"'!"&amp;"C$5:C1000"), $E32, INDIRECT("'"&amp;Assemblies[Assy]&amp;"'!"&amp;"O$5:O1000")), "x",Assemblies[Assy],".",IF(SUMIF(INDIRECT("'"&amp;Assemblies[Assy]&amp;"'!"&amp;"C$5:C1000"), $E32, INDIRECT("'"&amp;Assemblies[Assy]&amp;"'!"&amp;"B$5:B1000"))=0,NA(),SUMIF(INDIRECT("'"&amp;Assemblies[Assy]&amp;"'!"&amp;"C$5:C1000"), $E32, INDIRECT("'"&amp;Assemblies[Assy]&amp;"'!"&amp;"A$5:A1000")))),"")), " ,", ""))</f>
        <v>,</v>
      </c>
      <c r="I32" s="213" t="s">
        <v>1451</v>
      </c>
      <c r="J32" s="213" t="s">
        <v>1409</v>
      </c>
      <c r="K32" s="213" t="s">
        <v>1410</v>
      </c>
      <c r="L32" s="134" t="s">
        <v>1382</v>
      </c>
      <c r="M32" s="2" t="s">
        <v>1382</v>
      </c>
      <c r="N32" s="2" t="s">
        <v>1382</v>
      </c>
      <c r="O32" s="2" t="s">
        <v>1382</v>
      </c>
    </row>
    <row r="33" spans="1:15">
      <c r="A33" s="2" t="e">
        <f ca="1">'GF12'!$E$2</f>
        <v>#VALUE!</v>
      </c>
      <c r="B33" s="133" t="s">
        <v>1452</v>
      </c>
      <c r="C33" s="135" t="s">
        <v>1384</v>
      </c>
      <c r="D33" s="115" t="s">
        <v>54</v>
      </c>
      <c r="E33" s="2" t="e">
        <f t="shared" ca="1" si="0"/>
        <v>#VALUE!</v>
      </c>
      <c r="F33" s="2" t="s">
        <v>1453</v>
      </c>
      <c r="G33" s="5" cm="1">
        <f t="array" aca="1" ref="G33" ca="1">SUMPRODUCT(SUMIF(INDIRECT("'"&amp;Assemblies[Assy]&amp;"'!"&amp;"C$5:C1000"),$E33,(INDIRECT("'"&amp;Assemblies[Assy]&amp;"'!"&amp;"O$5:O1000"))))</f>
        <v>0</v>
      </c>
      <c r="H33" s="115" t="str" cm="1">
        <f t="array" aca="1" ref="H33" ca="1">TRIM(SUBSTITUTE(_xlfn.ARRAYTOTEXT(IFERROR(CONCATENATE(SUMIF(INDIRECT("'"&amp;Assemblies[Assy]&amp;"'!"&amp;"C$5:C1000"), $E33, INDIRECT("'"&amp;Assemblies[Assy]&amp;"'!"&amp;"O$5:O1000")), "x",Assemblies[Assy],".",IF(SUMIF(INDIRECT("'"&amp;Assemblies[Assy]&amp;"'!"&amp;"C$5:C1000"), $E33, INDIRECT("'"&amp;Assemblies[Assy]&amp;"'!"&amp;"B$5:B1000"))=0,NA(),SUMIF(INDIRECT("'"&amp;Assemblies[Assy]&amp;"'!"&amp;"C$5:C1000"), $E33, INDIRECT("'"&amp;Assemblies[Assy]&amp;"'!"&amp;"A$5:A1000")))),"")), " ,", ""))</f>
        <v>,</v>
      </c>
      <c r="I33" s="213" t="s">
        <v>1451</v>
      </c>
      <c r="J33" s="213" t="s">
        <v>1409</v>
      </c>
      <c r="K33" s="213" t="s">
        <v>1410</v>
      </c>
      <c r="L33" s="134" t="s">
        <v>1382</v>
      </c>
      <c r="M33" s="2" t="s">
        <v>1382</v>
      </c>
      <c r="N33" s="2" t="s">
        <v>1382</v>
      </c>
      <c r="O33" s="2" t="s">
        <v>1382</v>
      </c>
    </row>
    <row r="34" spans="1:15">
      <c r="A34" s="2" t="e">
        <f ca="1">'GF12'!$E$2</f>
        <v>#VALUE!</v>
      </c>
      <c r="B34" s="133" t="s">
        <v>1454</v>
      </c>
      <c r="C34" s="135" t="s">
        <v>1384</v>
      </c>
      <c r="D34" s="115" t="s">
        <v>54</v>
      </c>
      <c r="E34" s="2" t="e">
        <f t="shared" ca="1" si="0"/>
        <v>#VALUE!</v>
      </c>
      <c r="F34" s="2" t="s">
        <v>1455</v>
      </c>
      <c r="G34" s="5" cm="1">
        <f t="array" aca="1" ref="G34" ca="1">SUMPRODUCT(SUMIF(INDIRECT("'"&amp;Assemblies[Assy]&amp;"'!"&amp;"C$5:C1000"),$E34,(INDIRECT("'"&amp;Assemblies[Assy]&amp;"'!"&amp;"O$5:O1000"))))</f>
        <v>0</v>
      </c>
      <c r="H34" s="115" t="str" cm="1">
        <f t="array" aca="1" ref="H34" ca="1">TRIM(SUBSTITUTE(_xlfn.ARRAYTOTEXT(IFERROR(CONCATENATE(SUMIF(INDIRECT("'"&amp;Assemblies[Assy]&amp;"'!"&amp;"C$5:C1000"), $E34, INDIRECT("'"&amp;Assemblies[Assy]&amp;"'!"&amp;"O$5:O1000")), "x",Assemblies[Assy],".",IF(SUMIF(INDIRECT("'"&amp;Assemblies[Assy]&amp;"'!"&amp;"C$5:C1000"), $E34, INDIRECT("'"&amp;Assemblies[Assy]&amp;"'!"&amp;"B$5:B1000"))=0,NA(),SUMIF(INDIRECT("'"&amp;Assemblies[Assy]&amp;"'!"&amp;"C$5:C1000"), $E34, INDIRECT("'"&amp;Assemblies[Assy]&amp;"'!"&amp;"A$5:A1000")))),"")), " ,", ""))</f>
        <v>,</v>
      </c>
      <c r="I34" s="213" t="s">
        <v>1451</v>
      </c>
      <c r="J34" s="213" t="s">
        <v>1409</v>
      </c>
      <c r="K34" s="213" t="s">
        <v>1456</v>
      </c>
      <c r="L34" s="134" t="s">
        <v>1382</v>
      </c>
      <c r="M34" s="2" t="s">
        <v>1382</v>
      </c>
      <c r="N34" s="2" t="s">
        <v>1382</v>
      </c>
      <c r="O34" s="2" t="s">
        <v>1382</v>
      </c>
    </row>
    <row r="35" spans="1:15">
      <c r="A35" s="2" t="e">
        <f ca="1">'GF12'!$E$2</f>
        <v>#VALUE!</v>
      </c>
      <c r="B35" s="133" t="s">
        <v>1457</v>
      </c>
      <c r="C35" s="135" t="s">
        <v>1384</v>
      </c>
      <c r="D35" s="115" t="s">
        <v>54</v>
      </c>
      <c r="E35" s="2" t="e">
        <f t="shared" ca="1" si="0"/>
        <v>#VALUE!</v>
      </c>
      <c r="F35" s="2" t="s">
        <v>1458</v>
      </c>
      <c r="G35" s="5" cm="1">
        <f t="array" aca="1" ref="G35" ca="1">SUMPRODUCT(SUMIF(INDIRECT("'"&amp;Assemblies[Assy]&amp;"'!"&amp;"C$5:C1000"),$E35,(INDIRECT("'"&amp;Assemblies[Assy]&amp;"'!"&amp;"O$5:O1000"))))</f>
        <v>0</v>
      </c>
      <c r="H35" s="115" t="str" cm="1">
        <f t="array" aca="1" ref="H35" ca="1">TRIM(SUBSTITUTE(_xlfn.ARRAYTOTEXT(IFERROR(CONCATENATE(SUMIF(INDIRECT("'"&amp;Assemblies[Assy]&amp;"'!"&amp;"C$5:C1000"), $E35, INDIRECT("'"&amp;Assemblies[Assy]&amp;"'!"&amp;"O$5:O1000")), "x",Assemblies[Assy],".",IF(SUMIF(INDIRECT("'"&amp;Assemblies[Assy]&amp;"'!"&amp;"C$5:C1000"), $E35, INDIRECT("'"&amp;Assemblies[Assy]&amp;"'!"&amp;"B$5:B1000"))=0,NA(),SUMIF(INDIRECT("'"&amp;Assemblies[Assy]&amp;"'!"&amp;"C$5:C1000"), $E35, INDIRECT("'"&amp;Assemblies[Assy]&amp;"'!"&amp;"A$5:A1000")))),"")), " ,", ""))</f>
        <v>,</v>
      </c>
      <c r="I35" s="213" t="s">
        <v>1451</v>
      </c>
      <c r="J35" s="213" t="s">
        <v>1409</v>
      </c>
      <c r="K35" s="213" t="s">
        <v>1456</v>
      </c>
      <c r="L35" s="134" t="s">
        <v>1382</v>
      </c>
      <c r="M35" s="2" t="s">
        <v>1382</v>
      </c>
      <c r="N35" s="2" t="s">
        <v>1382</v>
      </c>
      <c r="O35" s="2" t="s">
        <v>1382</v>
      </c>
    </row>
    <row r="36" spans="1:15">
      <c r="A36" s="2" t="e">
        <f ca="1">'GF12'!$E$2</f>
        <v>#VALUE!</v>
      </c>
      <c r="B36" s="135" t="s">
        <v>1459</v>
      </c>
      <c r="C36" s="135" t="s">
        <v>1384</v>
      </c>
      <c r="D36" s="115" t="s">
        <v>54</v>
      </c>
      <c r="E36" s="2" t="e">
        <f t="shared" ref="E36:E69" ca="1" si="1">_xlfn.CONCAT(A36,".",B36,".",C36,".",D36)</f>
        <v>#VALUE!</v>
      </c>
      <c r="F36" s="2" t="s">
        <v>1460</v>
      </c>
      <c r="G36" s="5" cm="1">
        <f t="array" aca="1" ref="G36" ca="1">SUMPRODUCT(SUMIF(INDIRECT("'"&amp;Assemblies[Assy]&amp;"'!"&amp;"C$5:C1000"),$E36,(INDIRECT("'"&amp;Assemblies[Assy]&amp;"'!"&amp;"O$5:O1000"))))</f>
        <v>0</v>
      </c>
      <c r="H36" s="115" t="str" cm="1">
        <f t="array" aca="1" ref="H36" ca="1">TRIM(SUBSTITUTE(_xlfn.ARRAYTOTEXT(IFERROR(CONCATENATE(SUMIF(INDIRECT("'"&amp;Assemblies[Assy]&amp;"'!"&amp;"C$5:C1000"), $E36, INDIRECT("'"&amp;Assemblies[Assy]&amp;"'!"&amp;"O$5:O1000")), "x",Assemblies[Assy],".",IF(SUMIF(INDIRECT("'"&amp;Assemblies[Assy]&amp;"'!"&amp;"C$5:C1000"), $E36, INDIRECT("'"&amp;Assemblies[Assy]&amp;"'!"&amp;"B$5:B1000"))=0,NA(),SUMIF(INDIRECT("'"&amp;Assemblies[Assy]&amp;"'!"&amp;"C$5:C1000"), $E36, INDIRECT("'"&amp;Assemblies[Assy]&amp;"'!"&amp;"A$5:A1000")))),"")), " ,", ""))</f>
        <v>,</v>
      </c>
      <c r="I36" s="213" t="s">
        <v>1451</v>
      </c>
      <c r="J36" s="213" t="s">
        <v>1409</v>
      </c>
      <c r="K36" s="213" t="s">
        <v>1461</v>
      </c>
      <c r="L36" s="134" t="s">
        <v>1382</v>
      </c>
      <c r="M36" s="2" t="s">
        <v>1382</v>
      </c>
      <c r="N36" s="2" t="s">
        <v>1382</v>
      </c>
      <c r="O36" s="2" t="s">
        <v>1382</v>
      </c>
    </row>
    <row r="37" spans="1:15">
      <c r="A37" s="2" t="e">
        <f ca="1">'GF12'!$E$2</f>
        <v>#VALUE!</v>
      </c>
      <c r="B37" s="133" t="s">
        <v>1462</v>
      </c>
      <c r="C37" s="135" t="s">
        <v>1384</v>
      </c>
      <c r="D37" s="115" t="s">
        <v>54</v>
      </c>
      <c r="E37" s="2" t="e">
        <f t="shared" ca="1" si="1"/>
        <v>#VALUE!</v>
      </c>
      <c r="F37" s="2" t="s">
        <v>1463</v>
      </c>
      <c r="G37" s="5" cm="1">
        <f t="array" aca="1" ref="G37" ca="1">SUMPRODUCT(SUMIF(INDIRECT("'"&amp;Assemblies[Assy]&amp;"'!"&amp;"C$5:C1000"),$E37,(INDIRECT("'"&amp;Assemblies[Assy]&amp;"'!"&amp;"O$5:O1000"))))</f>
        <v>0</v>
      </c>
      <c r="H37" s="115" t="str" cm="1">
        <f t="array" aca="1" ref="H37" ca="1">TRIM(SUBSTITUTE(_xlfn.ARRAYTOTEXT(IFERROR(CONCATENATE(SUMIF(INDIRECT("'"&amp;Assemblies[Assy]&amp;"'!"&amp;"C$5:C1000"), $E37, INDIRECT("'"&amp;Assemblies[Assy]&amp;"'!"&amp;"O$5:O1000")), "x",Assemblies[Assy],".",IF(SUMIF(INDIRECT("'"&amp;Assemblies[Assy]&amp;"'!"&amp;"C$5:C1000"), $E37, INDIRECT("'"&amp;Assemblies[Assy]&amp;"'!"&amp;"B$5:B1000"))=0,NA(),SUMIF(INDIRECT("'"&amp;Assemblies[Assy]&amp;"'!"&amp;"C$5:C1000"), $E37, INDIRECT("'"&amp;Assemblies[Assy]&amp;"'!"&amp;"A$5:A1000")))),"")), " ,", ""))</f>
        <v>,</v>
      </c>
      <c r="I37" s="213" t="s">
        <v>1451</v>
      </c>
      <c r="J37" s="213" t="s">
        <v>1406</v>
      </c>
      <c r="K37" s="213" t="s">
        <v>1410</v>
      </c>
      <c r="L37" s="134" t="s">
        <v>1382</v>
      </c>
      <c r="M37" s="2" t="s">
        <v>1382</v>
      </c>
      <c r="N37" s="2" t="s">
        <v>1382</v>
      </c>
      <c r="O37" s="2" t="s">
        <v>1382</v>
      </c>
    </row>
    <row r="38" spans="1:15">
      <c r="A38" s="2" t="e">
        <f ca="1">'GF12'!$E$2</f>
        <v>#VALUE!</v>
      </c>
      <c r="B38" s="133" t="s">
        <v>1464</v>
      </c>
      <c r="C38" s="135" t="s">
        <v>1384</v>
      </c>
      <c r="D38" s="115" t="s">
        <v>54</v>
      </c>
      <c r="E38" s="2" t="e">
        <f t="shared" ca="1" si="1"/>
        <v>#VALUE!</v>
      </c>
      <c r="F38" s="2" t="s">
        <v>1465</v>
      </c>
      <c r="G38" s="5" cm="1">
        <f t="array" aca="1" ref="G38" ca="1">SUMPRODUCT(SUMIF(INDIRECT("'"&amp;Assemblies[Assy]&amp;"'!"&amp;"C$5:C1000"),$E38,(INDIRECT("'"&amp;Assemblies[Assy]&amp;"'!"&amp;"O$5:O1000"))))</f>
        <v>0</v>
      </c>
      <c r="H38" s="115" t="str" cm="1">
        <f t="array" aca="1" ref="H38" ca="1">TRIM(SUBSTITUTE(_xlfn.ARRAYTOTEXT(IFERROR(CONCATENATE(SUMIF(INDIRECT("'"&amp;Assemblies[Assy]&amp;"'!"&amp;"C$5:C1000"), $E38, INDIRECT("'"&amp;Assemblies[Assy]&amp;"'!"&amp;"O$5:O1000")), "x",Assemblies[Assy],".",IF(SUMIF(INDIRECT("'"&amp;Assemblies[Assy]&amp;"'!"&amp;"C$5:C1000"), $E38, INDIRECT("'"&amp;Assemblies[Assy]&amp;"'!"&amp;"B$5:B1000"))=0,NA(),SUMIF(INDIRECT("'"&amp;Assemblies[Assy]&amp;"'!"&amp;"C$5:C1000"), $E38, INDIRECT("'"&amp;Assemblies[Assy]&amp;"'!"&amp;"A$5:A1000")))),"")), " ,", ""))</f>
        <v>,</v>
      </c>
      <c r="I38" s="213" t="s">
        <v>1451</v>
      </c>
      <c r="J38" s="213" t="s">
        <v>1406</v>
      </c>
      <c r="K38" s="2" t="s">
        <v>1466</v>
      </c>
      <c r="L38" s="134" t="s">
        <v>1382</v>
      </c>
      <c r="M38" s="2" t="s">
        <v>1382</v>
      </c>
      <c r="N38" s="2" t="s">
        <v>1382</v>
      </c>
      <c r="O38" s="2" t="s">
        <v>1382</v>
      </c>
    </row>
    <row r="39" spans="1:15">
      <c r="A39" s="2" t="e">
        <f ca="1">'GF12'!$E$2</f>
        <v>#VALUE!</v>
      </c>
      <c r="B39" s="133" t="s">
        <v>1467</v>
      </c>
      <c r="C39" s="135" t="s">
        <v>1384</v>
      </c>
      <c r="D39" s="115" t="s">
        <v>54</v>
      </c>
      <c r="E39" s="2" t="e">
        <f t="shared" ca="1" si="1"/>
        <v>#VALUE!</v>
      </c>
      <c r="F39" s="2" t="s">
        <v>1468</v>
      </c>
      <c r="G39" s="5" cm="1">
        <f t="array" aca="1" ref="G39" ca="1">SUMPRODUCT(SUMIF(INDIRECT("'"&amp;Assemblies[Assy]&amp;"'!"&amp;"C$5:C1000"),$E39,(INDIRECT("'"&amp;Assemblies[Assy]&amp;"'!"&amp;"O$5:O1000"))))</f>
        <v>0</v>
      </c>
      <c r="H39" s="115" t="str" cm="1">
        <f t="array" aca="1" ref="H39" ca="1">TRIM(SUBSTITUTE(_xlfn.ARRAYTOTEXT(IFERROR(CONCATENATE(SUMIF(INDIRECT("'"&amp;Assemblies[Assy]&amp;"'!"&amp;"C$5:C1000"), $E39, INDIRECT("'"&amp;Assemblies[Assy]&amp;"'!"&amp;"O$5:O1000")), "x",Assemblies[Assy],".",IF(SUMIF(INDIRECT("'"&amp;Assemblies[Assy]&amp;"'!"&amp;"C$5:C1000"), $E39, INDIRECT("'"&amp;Assemblies[Assy]&amp;"'!"&amp;"B$5:B1000"))=0,NA(),SUMIF(INDIRECT("'"&amp;Assemblies[Assy]&amp;"'!"&amp;"C$5:C1000"), $E39, INDIRECT("'"&amp;Assemblies[Assy]&amp;"'!"&amp;"A$5:A1000")))),"")), " ,", ""))</f>
        <v>,</v>
      </c>
      <c r="K39" s="2" t="s">
        <v>1469</v>
      </c>
      <c r="L39" s="134" t="s">
        <v>1382</v>
      </c>
      <c r="M39" s="2" t="s">
        <v>1382</v>
      </c>
      <c r="N39" s="2" t="s">
        <v>1382</v>
      </c>
      <c r="O39" s="2" t="s">
        <v>1382</v>
      </c>
    </row>
    <row r="40" spans="1:15">
      <c r="A40" s="2" t="e">
        <f ca="1">'GF12'!$E$2</f>
        <v>#VALUE!</v>
      </c>
      <c r="B40" s="135" t="s">
        <v>1470</v>
      </c>
      <c r="C40" s="135" t="s">
        <v>1384</v>
      </c>
      <c r="D40" s="115" t="s">
        <v>54</v>
      </c>
      <c r="E40" s="2" t="e">
        <f t="shared" ca="1" si="1"/>
        <v>#VALUE!</v>
      </c>
      <c r="F40" s="2" t="s">
        <v>1471</v>
      </c>
      <c r="G40" s="5" cm="1">
        <f t="array" aca="1" ref="G40" ca="1">SUMPRODUCT(SUMIF(INDIRECT("'"&amp;Assemblies[Assy]&amp;"'!"&amp;"C$5:C1000"),$E40,(INDIRECT("'"&amp;Assemblies[Assy]&amp;"'!"&amp;"O$5:O1000"))))</f>
        <v>0</v>
      </c>
      <c r="H40" s="115" t="str" cm="1">
        <f t="array" aca="1" ref="H40" ca="1">TRIM(SUBSTITUTE(_xlfn.ARRAYTOTEXT(IFERROR(CONCATENATE(SUMIF(INDIRECT("'"&amp;Assemblies[Assy]&amp;"'!"&amp;"C$5:C1000"), $E40, INDIRECT("'"&amp;Assemblies[Assy]&amp;"'!"&amp;"O$5:O1000")), "x",Assemblies[Assy],".",IF(SUMIF(INDIRECT("'"&amp;Assemblies[Assy]&amp;"'!"&amp;"C$5:C1000"), $E40, INDIRECT("'"&amp;Assemblies[Assy]&amp;"'!"&amp;"B$5:B1000"))=0,NA(),SUMIF(INDIRECT("'"&amp;Assemblies[Assy]&amp;"'!"&amp;"C$5:C1000"), $E40, INDIRECT("'"&amp;Assemblies[Assy]&amp;"'!"&amp;"A$5:A1000")))),"")), " ,", ""))</f>
        <v>,</v>
      </c>
      <c r="K40" s="2" t="s">
        <v>1472</v>
      </c>
      <c r="L40" s="134" t="s">
        <v>1382</v>
      </c>
      <c r="M40" s="2" t="s">
        <v>1382</v>
      </c>
      <c r="N40" s="2" t="s">
        <v>1382</v>
      </c>
      <c r="O40" s="2" t="s">
        <v>1382</v>
      </c>
    </row>
    <row r="41" spans="1:15">
      <c r="A41" s="2" t="e">
        <f ca="1">'GF12'!$E$2</f>
        <v>#VALUE!</v>
      </c>
      <c r="B41" s="135" t="s">
        <v>1473</v>
      </c>
      <c r="C41" s="135" t="s">
        <v>1384</v>
      </c>
      <c r="D41" s="115" t="s">
        <v>54</v>
      </c>
      <c r="E41" s="2" t="e">
        <f t="shared" ca="1" si="1"/>
        <v>#VALUE!</v>
      </c>
      <c r="F41" s="2" t="s">
        <v>1474</v>
      </c>
      <c r="G41" s="5" cm="1">
        <f t="array" aca="1" ref="G41" ca="1">SUMPRODUCT(SUMIF(INDIRECT("'"&amp;Assemblies[Assy]&amp;"'!"&amp;"C$5:C1000"),$E41,(INDIRECT("'"&amp;Assemblies[Assy]&amp;"'!"&amp;"O$5:O1000"))))</f>
        <v>0</v>
      </c>
      <c r="H41" s="115" t="str" cm="1">
        <f t="array" aca="1" ref="H41" ca="1">TRIM(SUBSTITUTE(_xlfn.ARRAYTOTEXT(IFERROR(CONCATENATE(SUMIF(INDIRECT("'"&amp;Assemblies[Assy]&amp;"'!"&amp;"C$5:C1000"), $E41, INDIRECT("'"&amp;Assemblies[Assy]&amp;"'!"&amp;"O$5:O1000")), "x",Assemblies[Assy],".",IF(SUMIF(INDIRECT("'"&amp;Assemblies[Assy]&amp;"'!"&amp;"C$5:C1000"), $E41, INDIRECT("'"&amp;Assemblies[Assy]&amp;"'!"&amp;"B$5:B1000"))=0,NA(),SUMIF(INDIRECT("'"&amp;Assemblies[Assy]&amp;"'!"&amp;"C$5:C1000"), $E41, INDIRECT("'"&amp;Assemblies[Assy]&amp;"'!"&amp;"A$5:A1000")))),"")), " ,", ""))</f>
        <v>,</v>
      </c>
      <c r="K41" s="2" t="s">
        <v>1475</v>
      </c>
      <c r="L41" s="134" t="s">
        <v>1382</v>
      </c>
      <c r="M41" s="2" t="s">
        <v>1382</v>
      </c>
      <c r="N41" s="2" t="s">
        <v>1382</v>
      </c>
      <c r="O41" s="152" t="s">
        <v>1382</v>
      </c>
    </row>
    <row r="42" spans="1:15">
      <c r="A42" s="2" t="e">
        <f ca="1">'GF12'!$E$2</f>
        <v>#VALUE!</v>
      </c>
      <c r="B42" s="135" t="s">
        <v>1476</v>
      </c>
      <c r="C42" s="135" t="s">
        <v>1384</v>
      </c>
      <c r="D42" s="115" t="s">
        <v>54</v>
      </c>
      <c r="E42" s="2" t="e">
        <f ca="1">_xlfn.CONCAT(A42,".",B42,".",C42,".",D42)</f>
        <v>#VALUE!</v>
      </c>
      <c r="F42" s="2" t="s">
        <v>1477</v>
      </c>
      <c r="G42" s="5" cm="1">
        <f t="array" aca="1" ref="G42" ca="1">SUMPRODUCT(SUMIF(INDIRECT("'"&amp;$B$2:$B$119&amp;"'!"&amp;"C5:C1000"),E42,(INDIRECT("'"&amp;$B$2:$B$119&amp;"'!"&amp;"O5:O1000"))))</f>
        <v>0</v>
      </c>
      <c r="H42" s="115" t="str" cm="1">
        <f t="array" aca="1" ref="H42" ca="1">TRIM(SUBSTITUTE(_xlfn.ARRAYTOTEXT(IFERROR(CONCATENATE(SUMIF(INDIRECT("'"&amp;Assemblies[Assy]&amp;"'!"&amp;"C$5:C1000"), $E42, INDIRECT("'"&amp;Assemblies[Assy]&amp;"'!"&amp;"O$5:O1000")), "x",Assemblies[Assy],".",IF(SUMIF(INDIRECT("'"&amp;Assemblies[Assy]&amp;"'!"&amp;"C$5:C1000"), $E42, INDIRECT("'"&amp;Assemblies[Assy]&amp;"'!"&amp;"B$5:B1000"))=0,NA(),SUMIF(INDIRECT("'"&amp;Assemblies[Assy]&amp;"'!"&amp;"C$5:C1000"), $E42, INDIRECT("'"&amp;Assemblies[Assy]&amp;"'!"&amp;"A$5:A1000")))),"")), " ,", ""))</f>
        <v>,</v>
      </c>
      <c r="L42" s="134"/>
      <c r="O42" s="239"/>
    </row>
    <row r="43" spans="1:15">
      <c r="A43" s="2" t="e">
        <f ca="1">'GF12'!$E$2</f>
        <v>#VALUE!</v>
      </c>
      <c r="B43" s="133" t="s">
        <v>1478</v>
      </c>
      <c r="C43" s="135" t="s">
        <v>1384</v>
      </c>
      <c r="D43" s="115" t="s">
        <v>54</v>
      </c>
      <c r="E43" s="2" t="e">
        <f t="shared" ca="1" si="1"/>
        <v>#VALUE!</v>
      </c>
      <c r="F43" s="2" t="s">
        <v>1479</v>
      </c>
      <c r="G43" s="5" cm="1">
        <f t="array" aca="1" ref="G43" ca="1">SUMPRODUCT(SUMIF(INDIRECT("'"&amp;Assemblies[Assy]&amp;"'!"&amp;"C$5:C1000"),$E43,(INDIRECT("'"&amp;Assemblies[Assy]&amp;"'!"&amp;"O$5:O1000"))))</f>
        <v>0</v>
      </c>
      <c r="H43" s="115" t="str" cm="1">
        <f t="array" aca="1" ref="H43" ca="1">TRIM(SUBSTITUTE(_xlfn.ARRAYTOTEXT(IFERROR(CONCATENATE(SUMIF(INDIRECT("'"&amp;Assemblies[Assy]&amp;"'!"&amp;"C$5:C1000"), $E43, INDIRECT("'"&amp;Assemblies[Assy]&amp;"'!"&amp;"O$5:O1000")), "x",Assemblies[Assy],".",IF(SUMIF(INDIRECT("'"&amp;Assemblies[Assy]&amp;"'!"&amp;"C$5:C1000"), $E43, INDIRECT("'"&amp;Assemblies[Assy]&amp;"'!"&amp;"B$5:B1000"))=0,NA(),SUMIF(INDIRECT("'"&amp;Assemblies[Assy]&amp;"'!"&amp;"C$5:C1000"), $E43, INDIRECT("'"&amp;Assemblies[Assy]&amp;"'!"&amp;"A$5:A1000")))),"")), " ,", ""))</f>
        <v>,</v>
      </c>
      <c r="I43" s="226" t="s">
        <v>1480</v>
      </c>
      <c r="J43" s="226" t="s">
        <v>1480</v>
      </c>
      <c r="K43" s="161"/>
      <c r="L43" s="134" t="s">
        <v>1382</v>
      </c>
      <c r="M43" s="2" t="s">
        <v>1382</v>
      </c>
      <c r="N43" s="2" t="s">
        <v>1382</v>
      </c>
      <c r="O43" s="2" t="s">
        <v>1382</v>
      </c>
    </row>
    <row r="44" spans="1:15">
      <c r="A44" s="2" t="e">
        <f ca="1">'GF12'!$E$2</f>
        <v>#VALUE!</v>
      </c>
      <c r="B44" s="133" t="s">
        <v>1481</v>
      </c>
      <c r="C44" s="135" t="s">
        <v>1384</v>
      </c>
      <c r="D44" s="115" t="s">
        <v>54</v>
      </c>
      <c r="E44" s="2" t="e">
        <f t="shared" ca="1" si="1"/>
        <v>#VALUE!</v>
      </c>
      <c r="F44" s="2" t="s">
        <v>1482</v>
      </c>
      <c r="G44" s="5" cm="1">
        <f t="array" aca="1" ref="G44" ca="1">SUMPRODUCT(SUMIF(INDIRECT("'"&amp;Assemblies[Assy]&amp;"'!"&amp;"C$5:C1000"),$E44,(INDIRECT("'"&amp;Assemblies[Assy]&amp;"'!"&amp;"O$5:O1000"))))</f>
        <v>0</v>
      </c>
      <c r="H44" s="115" t="str" cm="1">
        <f t="array" aca="1" ref="H44" ca="1">TRIM(SUBSTITUTE(_xlfn.ARRAYTOTEXT(IFERROR(CONCATENATE(SUMIF(INDIRECT("'"&amp;Assemblies[Assy]&amp;"'!"&amp;"C$5:C1000"), $E44, INDIRECT("'"&amp;Assemblies[Assy]&amp;"'!"&amp;"O$5:O1000")), "x",Assemblies[Assy],".",IF(SUMIF(INDIRECT("'"&amp;Assemblies[Assy]&amp;"'!"&amp;"C$5:C1000"), $E44, INDIRECT("'"&amp;Assemblies[Assy]&amp;"'!"&amp;"B$5:B1000"))=0,NA(),SUMIF(INDIRECT("'"&amp;Assemblies[Assy]&amp;"'!"&amp;"C$5:C1000"), $E44, INDIRECT("'"&amp;Assemblies[Assy]&amp;"'!"&amp;"A$5:A1000")))),"")), " ,", ""))</f>
        <v>,</v>
      </c>
      <c r="I44" s="226" t="s">
        <v>1480</v>
      </c>
      <c r="J44" s="226" t="s">
        <v>1480</v>
      </c>
      <c r="K44" s="2" t="s">
        <v>1483</v>
      </c>
      <c r="L44" s="134" t="s">
        <v>1382</v>
      </c>
      <c r="M44" s="2" t="s">
        <v>1382</v>
      </c>
      <c r="N44" s="2" t="s">
        <v>1382</v>
      </c>
      <c r="O44" s="2" t="s">
        <v>1382</v>
      </c>
    </row>
    <row r="45" spans="1:15">
      <c r="A45" s="2" t="e">
        <f ca="1">'GF12'!$E$2</f>
        <v>#VALUE!</v>
      </c>
      <c r="B45" s="133" t="s">
        <v>1484</v>
      </c>
      <c r="C45" s="135" t="s">
        <v>1384</v>
      </c>
      <c r="D45" s="115" t="s">
        <v>54</v>
      </c>
      <c r="E45" s="2" t="e">
        <f t="shared" ca="1" si="1"/>
        <v>#VALUE!</v>
      </c>
      <c r="F45" s="2" t="s">
        <v>1485</v>
      </c>
      <c r="G45" s="5" cm="1">
        <f t="array" aca="1" ref="G45" ca="1">SUMPRODUCT(SUMIF(INDIRECT("'"&amp;Assemblies[Assy]&amp;"'!"&amp;"C$5:C1000"),$E45,(INDIRECT("'"&amp;Assemblies[Assy]&amp;"'!"&amp;"O$5:O1000"))))</f>
        <v>0</v>
      </c>
      <c r="H45" s="115" t="str" cm="1">
        <f t="array" aca="1" ref="H45" ca="1">TRIM(SUBSTITUTE(_xlfn.ARRAYTOTEXT(IFERROR(CONCATENATE(SUMIF(INDIRECT("'"&amp;Assemblies[Assy]&amp;"'!"&amp;"C$5:C1000"), $E45, INDIRECT("'"&amp;Assemblies[Assy]&amp;"'!"&amp;"O$5:O1000")), "x",Assemblies[Assy],".",IF(SUMIF(INDIRECT("'"&amp;Assemblies[Assy]&amp;"'!"&amp;"C$5:C1000"), $E45, INDIRECT("'"&amp;Assemblies[Assy]&amp;"'!"&amp;"B$5:B1000"))=0,NA(),SUMIF(INDIRECT("'"&amp;Assemblies[Assy]&amp;"'!"&amp;"C$5:C1000"), $E45, INDIRECT("'"&amp;Assemblies[Assy]&amp;"'!"&amp;"A$5:A1000")))),"")), " ,", ""))</f>
        <v>,</v>
      </c>
      <c r="I45" s="213" t="s">
        <v>1417</v>
      </c>
      <c r="J45" s="213" t="s">
        <v>1406</v>
      </c>
      <c r="K45" s="213" t="s">
        <v>1461</v>
      </c>
      <c r="L45" s="134" t="s">
        <v>1382</v>
      </c>
      <c r="M45" s="2" t="s">
        <v>1382</v>
      </c>
      <c r="N45" s="2" t="s">
        <v>1382</v>
      </c>
      <c r="O45" s="2" t="s">
        <v>1382</v>
      </c>
    </row>
    <row r="46" spans="1:15">
      <c r="A46" s="2" t="e">
        <f ca="1">'GF12'!$E$2</f>
        <v>#VALUE!</v>
      </c>
      <c r="B46" s="133" t="s">
        <v>1486</v>
      </c>
      <c r="C46" s="135" t="s">
        <v>1384</v>
      </c>
      <c r="D46" s="115" t="s">
        <v>54</v>
      </c>
      <c r="E46" s="2" t="e">
        <f t="shared" ca="1" si="1"/>
        <v>#VALUE!</v>
      </c>
      <c r="F46" s="2" t="s">
        <v>1487</v>
      </c>
      <c r="G46" s="5" cm="1">
        <f t="array" aca="1" ref="G46" ca="1">SUMPRODUCT(SUMIF(INDIRECT("'"&amp;Assemblies[Assy]&amp;"'!"&amp;"C$5:C1000"),$E46,(INDIRECT("'"&amp;Assemblies[Assy]&amp;"'!"&amp;"O$5:O1000"))))</f>
        <v>0</v>
      </c>
      <c r="H46" s="115" t="str" cm="1">
        <f t="array" aca="1" ref="H46" ca="1">TRIM(SUBSTITUTE(_xlfn.ARRAYTOTEXT(IFERROR(CONCATENATE(SUMIF(INDIRECT("'"&amp;Assemblies[Assy]&amp;"'!"&amp;"C$5:C1000"), $E46, INDIRECT("'"&amp;Assemblies[Assy]&amp;"'!"&amp;"O$5:O1000")), "x",Assemblies[Assy],".",IF(SUMIF(INDIRECT("'"&amp;Assemblies[Assy]&amp;"'!"&amp;"C$5:C1000"), $E46, INDIRECT("'"&amp;Assemblies[Assy]&amp;"'!"&amp;"B$5:B1000"))=0,NA(),SUMIF(INDIRECT("'"&amp;Assemblies[Assy]&amp;"'!"&amp;"C$5:C1000"), $E46, INDIRECT("'"&amp;Assemblies[Assy]&amp;"'!"&amp;"A$5:A1000")))),"")), " ,", ""))</f>
        <v>,</v>
      </c>
      <c r="I46" s="213" t="s">
        <v>1488</v>
      </c>
      <c r="J46" s="213" t="s">
        <v>1406</v>
      </c>
      <c r="K46" s="213" t="s">
        <v>1461</v>
      </c>
      <c r="L46" s="134" t="s">
        <v>1382</v>
      </c>
      <c r="M46" s="2" t="s">
        <v>1382</v>
      </c>
      <c r="N46" s="2" t="s">
        <v>1382</v>
      </c>
      <c r="O46" s="2" t="s">
        <v>1382</v>
      </c>
    </row>
    <row r="47" spans="1:15">
      <c r="A47" s="2" t="e">
        <f ca="1">'GF12'!$E$2</f>
        <v>#VALUE!</v>
      </c>
      <c r="B47" s="133" t="s">
        <v>1489</v>
      </c>
      <c r="C47" s="135" t="s">
        <v>1384</v>
      </c>
      <c r="D47" s="115" t="s">
        <v>54</v>
      </c>
      <c r="E47" s="2" t="e">
        <f t="shared" ca="1" si="1"/>
        <v>#VALUE!</v>
      </c>
      <c r="F47" s="2" t="s">
        <v>1490</v>
      </c>
      <c r="G47" s="5" cm="1">
        <f t="array" aca="1" ref="G47" ca="1">SUMPRODUCT(SUMIF(INDIRECT("'"&amp;Assemblies[Assy]&amp;"'!"&amp;"C$5:C1000"),$E47,(INDIRECT("'"&amp;Assemblies[Assy]&amp;"'!"&amp;"O$5:O1000"))))</f>
        <v>0</v>
      </c>
      <c r="H47" s="115" t="str" cm="1">
        <f t="array" aca="1" ref="H47" ca="1">TRIM(SUBSTITUTE(_xlfn.ARRAYTOTEXT(IFERROR(CONCATENATE(SUMIF(INDIRECT("'"&amp;Assemblies[Assy]&amp;"'!"&amp;"C$5:C1000"), $E47, INDIRECT("'"&amp;Assemblies[Assy]&amp;"'!"&amp;"O$5:O1000")), "x",Assemblies[Assy],".",IF(SUMIF(INDIRECT("'"&amp;Assemblies[Assy]&amp;"'!"&amp;"C$5:C1000"), $E47, INDIRECT("'"&amp;Assemblies[Assy]&amp;"'!"&amp;"B$5:B1000"))=0,NA(),SUMIF(INDIRECT("'"&amp;Assemblies[Assy]&amp;"'!"&amp;"C$5:C1000"), $E47, INDIRECT("'"&amp;Assemblies[Assy]&amp;"'!"&amp;"A$5:A1000")))),"")), " ,", ""))</f>
        <v>,</v>
      </c>
      <c r="I47" s="213" t="s">
        <v>1417</v>
      </c>
      <c r="J47" s="213" t="s">
        <v>1406</v>
      </c>
      <c r="K47" s="2" t="s">
        <v>1491</v>
      </c>
      <c r="L47" s="134" t="s">
        <v>1382</v>
      </c>
      <c r="M47" s="2" t="s">
        <v>1382</v>
      </c>
      <c r="N47" s="2" t="s">
        <v>1382</v>
      </c>
      <c r="O47" s="2" t="s">
        <v>1382</v>
      </c>
    </row>
    <row r="48" spans="1:15">
      <c r="A48" s="2" t="e">
        <f ca="1">'GF12'!$E$2</f>
        <v>#VALUE!</v>
      </c>
      <c r="B48" s="133" t="s">
        <v>1492</v>
      </c>
      <c r="C48" s="135" t="s">
        <v>1384</v>
      </c>
      <c r="D48" s="115" t="s">
        <v>54</v>
      </c>
      <c r="E48" s="2" t="e">
        <f ca="1">_xlfn.CONCAT(A48,".",B48,".",C48,".",D48)</f>
        <v>#VALUE!</v>
      </c>
      <c r="F48" s="2" t="s">
        <v>1493</v>
      </c>
      <c r="G48" s="5" cm="1">
        <f t="array" aca="1" ref="G48" ca="1">SUMPRODUCT(SUMIF(INDIRECT("'"&amp;$B$2:$B$119&amp;"'!"&amp;"C5:C1000"),E48,(INDIRECT("'"&amp;$B$2:$B$119&amp;"'!"&amp;"O5:O1000"))))</f>
        <v>0</v>
      </c>
      <c r="H48" s="115" t="str" cm="1">
        <f t="array" aca="1" ref="H48" ca="1">TRIM(SUBSTITUTE(_xlfn.ARRAYTOTEXT(IFERROR(CONCATENATE(SUMIF(INDIRECT("'"&amp;Assemblies[Assy]&amp;"'!"&amp;"C$5:C1000"), $E48, INDIRECT("'"&amp;Assemblies[Assy]&amp;"'!"&amp;"O$5:O1000")), "x",Assemblies[Assy],".",IF(SUMIF(INDIRECT("'"&amp;Assemblies[Assy]&amp;"'!"&amp;"C$5:C1000"), $E48, INDIRECT("'"&amp;Assemblies[Assy]&amp;"'!"&amp;"B$5:B1000"))=0,NA(),SUMIF(INDIRECT("'"&amp;Assemblies[Assy]&amp;"'!"&amp;"C$5:C1000"), $E48, INDIRECT("'"&amp;Assemblies[Assy]&amp;"'!"&amp;"A$5:A1000")))),"")), " ,", ""))</f>
        <v>,</v>
      </c>
      <c r="I48" s="213"/>
      <c r="J48" s="213"/>
      <c r="L48" s="134"/>
    </row>
    <row r="49" spans="1:15">
      <c r="A49" s="2" t="e">
        <f ca="1">'GF12'!$E$2</f>
        <v>#VALUE!</v>
      </c>
      <c r="B49" s="133" t="s">
        <v>1494</v>
      </c>
      <c r="C49" s="135" t="s">
        <v>1384</v>
      </c>
      <c r="D49" s="115" t="s">
        <v>54</v>
      </c>
      <c r="E49" s="2" t="e">
        <f t="shared" ca="1" si="1"/>
        <v>#VALUE!</v>
      </c>
      <c r="F49" s="2" t="s">
        <v>1495</v>
      </c>
      <c r="G49" s="5" cm="1">
        <f t="array" aca="1" ref="G49" ca="1">SUMPRODUCT(SUMIF(INDIRECT("'"&amp;Assemblies[Assy]&amp;"'!"&amp;"C$5:C1000"),$E49,(INDIRECT("'"&amp;Assemblies[Assy]&amp;"'!"&amp;"O$5:O1000"))))</f>
        <v>0</v>
      </c>
      <c r="H49" s="115" t="str" cm="1">
        <f t="array" aca="1" ref="H49" ca="1">TRIM(SUBSTITUTE(_xlfn.ARRAYTOTEXT(IFERROR(CONCATENATE(SUMIF(INDIRECT("'"&amp;Assemblies[Assy]&amp;"'!"&amp;"C$5:C1000"), $E49, INDIRECT("'"&amp;Assemblies[Assy]&amp;"'!"&amp;"O$5:O1000")), "x",Assemblies[Assy],".",IF(SUMIF(INDIRECT("'"&amp;Assemblies[Assy]&amp;"'!"&amp;"C$5:C1000"), $E49, INDIRECT("'"&amp;Assemblies[Assy]&amp;"'!"&amp;"B$5:B1000"))=0,NA(),SUMIF(INDIRECT("'"&amp;Assemblies[Assy]&amp;"'!"&amp;"C$5:C1000"), $E49, INDIRECT("'"&amp;Assemblies[Assy]&amp;"'!"&amp;"A$5:A1000")))),"")), " ,", ""))</f>
        <v>,</v>
      </c>
      <c r="I49" s="213" t="s">
        <v>1488</v>
      </c>
      <c r="J49" s="213" t="s">
        <v>1406</v>
      </c>
      <c r="K49" s="213" t="s">
        <v>1461</v>
      </c>
      <c r="L49" s="134" t="s">
        <v>1382</v>
      </c>
      <c r="M49" s="2" t="s">
        <v>1382</v>
      </c>
      <c r="N49" s="2" t="s">
        <v>1382</v>
      </c>
      <c r="O49" s="2" t="s">
        <v>1382</v>
      </c>
    </row>
    <row r="50" spans="1:15">
      <c r="A50" s="2" t="e">
        <f ca="1">'GF12'!$E$2</f>
        <v>#VALUE!</v>
      </c>
      <c r="B50" s="133" t="s">
        <v>1496</v>
      </c>
      <c r="C50" s="135" t="s">
        <v>1384</v>
      </c>
      <c r="D50" s="115" t="s">
        <v>54</v>
      </c>
      <c r="E50" s="2" t="e">
        <f t="shared" ca="1" si="1"/>
        <v>#VALUE!</v>
      </c>
      <c r="F50" s="2" t="s">
        <v>1497</v>
      </c>
      <c r="G50" s="5" cm="1">
        <f t="array" aca="1" ref="G50" ca="1">SUMPRODUCT(SUMIF(INDIRECT("'"&amp;Assemblies[Assy]&amp;"'!"&amp;"C$5:C1000"),$E50,(INDIRECT("'"&amp;Assemblies[Assy]&amp;"'!"&amp;"O$5:O1000"))))</f>
        <v>0</v>
      </c>
      <c r="H50" s="115" t="str" cm="1">
        <f t="array" aca="1" ref="H50" ca="1">TRIM(SUBSTITUTE(_xlfn.ARRAYTOTEXT(IFERROR(CONCATENATE(SUMIF(INDIRECT("'"&amp;Assemblies[Assy]&amp;"'!"&amp;"C$5:C1000"), $E50, INDIRECT("'"&amp;Assemblies[Assy]&amp;"'!"&amp;"O$5:O1000")), "x",Assemblies[Assy],".",IF(SUMIF(INDIRECT("'"&amp;Assemblies[Assy]&amp;"'!"&amp;"C$5:C1000"), $E50, INDIRECT("'"&amp;Assemblies[Assy]&amp;"'!"&amp;"B$5:B1000"))=0,NA(),SUMIF(INDIRECT("'"&amp;Assemblies[Assy]&amp;"'!"&amp;"C$5:C1000"), $E50, INDIRECT("'"&amp;Assemblies[Assy]&amp;"'!"&amp;"A$5:A1000")))),"")), " ,", ""))</f>
        <v>,</v>
      </c>
      <c r="I50" s="213" t="s">
        <v>1488</v>
      </c>
      <c r="J50" s="213" t="s">
        <v>1406</v>
      </c>
      <c r="K50" s="2" t="s">
        <v>1498</v>
      </c>
      <c r="L50" s="134" t="s">
        <v>1382</v>
      </c>
      <c r="M50" s="2" t="s">
        <v>1382</v>
      </c>
      <c r="N50" s="2" t="s">
        <v>1382</v>
      </c>
      <c r="O50" s="2" t="s">
        <v>1382</v>
      </c>
    </row>
    <row r="51" spans="1:15">
      <c r="A51" s="2" t="e">
        <f ca="1">'GF12'!$E$2</f>
        <v>#VALUE!</v>
      </c>
      <c r="B51" s="135" t="s">
        <v>1499</v>
      </c>
      <c r="C51" s="135" t="s">
        <v>1384</v>
      </c>
      <c r="D51" s="115" t="s">
        <v>54</v>
      </c>
      <c r="E51" s="2" t="e">
        <f t="shared" ca="1" si="1"/>
        <v>#VALUE!</v>
      </c>
      <c r="F51" s="2" t="s">
        <v>1500</v>
      </c>
      <c r="G51" s="5" cm="1">
        <f t="array" aca="1" ref="G51" ca="1">SUMPRODUCT(SUMIF(INDIRECT("'"&amp;Assemblies[Assy]&amp;"'!"&amp;"C$5:C1000"),$E51,(INDIRECT("'"&amp;Assemblies[Assy]&amp;"'!"&amp;"O$5:O1000"))))</f>
        <v>0</v>
      </c>
      <c r="H51" s="115" t="str" cm="1">
        <f t="array" aca="1" ref="H51" ca="1">TRIM(SUBSTITUTE(_xlfn.ARRAYTOTEXT(IFERROR(CONCATENATE(SUMIF(INDIRECT("'"&amp;Assemblies[Assy]&amp;"'!"&amp;"C$5:C1000"), $E51, INDIRECT("'"&amp;Assemblies[Assy]&amp;"'!"&amp;"O$5:O1000")), "x",Assemblies[Assy],".",IF(SUMIF(INDIRECT("'"&amp;Assemblies[Assy]&amp;"'!"&amp;"C$5:C1000"), $E51, INDIRECT("'"&amp;Assemblies[Assy]&amp;"'!"&amp;"B$5:B1000"))=0,NA(),SUMIF(INDIRECT("'"&amp;Assemblies[Assy]&amp;"'!"&amp;"C$5:C1000"), $E51, INDIRECT("'"&amp;Assemblies[Assy]&amp;"'!"&amp;"A$5:A1000")))),"")), " ,", ""))</f>
        <v>,</v>
      </c>
      <c r="I51" s="226" t="s">
        <v>1480</v>
      </c>
      <c r="J51" s="226" t="s">
        <v>1480</v>
      </c>
      <c r="K51" s="213" t="s">
        <v>1461</v>
      </c>
      <c r="L51" s="134" t="s">
        <v>1382</v>
      </c>
      <c r="M51" s="2" t="s">
        <v>1382</v>
      </c>
      <c r="N51" s="2" t="s">
        <v>1382</v>
      </c>
      <c r="O51" s="2" t="s">
        <v>1382</v>
      </c>
    </row>
    <row r="52" spans="1:15">
      <c r="A52" s="2" t="e">
        <f ca="1">'GF12'!$E$2</f>
        <v>#VALUE!</v>
      </c>
      <c r="B52" s="135" t="s">
        <v>1501</v>
      </c>
      <c r="C52" s="135" t="s">
        <v>1384</v>
      </c>
      <c r="D52" s="115" t="s">
        <v>54</v>
      </c>
      <c r="E52" s="2" t="e">
        <f t="shared" ca="1" si="1"/>
        <v>#VALUE!</v>
      </c>
      <c r="F52" s="2" t="s">
        <v>1502</v>
      </c>
      <c r="G52" s="5" cm="1">
        <f t="array" aca="1" ref="G52" ca="1">SUMPRODUCT(SUMIF(INDIRECT("'"&amp;Assemblies[Assy]&amp;"'!"&amp;"C$5:C1000"),$E52,(INDIRECT("'"&amp;Assemblies[Assy]&amp;"'!"&amp;"O$5:O1000"))))</f>
        <v>0</v>
      </c>
      <c r="H52" s="115" t="str" cm="1">
        <f t="array" aca="1" ref="H52" ca="1">TRIM(SUBSTITUTE(_xlfn.ARRAYTOTEXT(IFERROR(CONCATENATE(SUMIF(INDIRECT("'"&amp;Assemblies[Assy]&amp;"'!"&amp;"C$5:C1000"), $E52, INDIRECT("'"&amp;Assemblies[Assy]&amp;"'!"&amp;"O$5:O1000")), "x",Assemblies[Assy],".",IF(SUMIF(INDIRECT("'"&amp;Assemblies[Assy]&amp;"'!"&amp;"C$5:C1000"), $E52, INDIRECT("'"&amp;Assemblies[Assy]&amp;"'!"&amp;"B$5:B1000"))=0,NA(),SUMIF(INDIRECT("'"&amp;Assemblies[Assy]&amp;"'!"&amp;"C$5:C1000"), $E52, INDIRECT("'"&amp;Assemblies[Assy]&amp;"'!"&amp;"A$5:A1000")))),"")), " ,", ""))</f>
        <v>,</v>
      </c>
      <c r="I52" s="226" t="s">
        <v>1480</v>
      </c>
      <c r="J52" s="226" t="s">
        <v>1480</v>
      </c>
      <c r="K52" s="213" t="s">
        <v>1461</v>
      </c>
      <c r="L52" s="134" t="s">
        <v>1382</v>
      </c>
      <c r="M52" s="2" t="s">
        <v>1382</v>
      </c>
      <c r="N52" s="2" t="s">
        <v>1382</v>
      </c>
      <c r="O52" s="2" t="s">
        <v>1382</v>
      </c>
    </row>
    <row r="53" spans="1:15">
      <c r="A53" s="2" t="e">
        <f ca="1">'GF12'!$E$2</f>
        <v>#VALUE!</v>
      </c>
      <c r="B53" s="135" t="s">
        <v>1503</v>
      </c>
      <c r="C53" s="135" t="s">
        <v>1384</v>
      </c>
      <c r="D53" s="115" t="s">
        <v>54</v>
      </c>
      <c r="E53" s="2" t="e">
        <f ca="1">_xlfn.CONCAT(A53,".",B53,".",C53,".",D53)</f>
        <v>#VALUE!</v>
      </c>
      <c r="F53" s="2" t="s">
        <v>1504</v>
      </c>
      <c r="G53" s="5" cm="1">
        <f t="array" aca="1" ref="G53" ca="1">SUMPRODUCT(SUMIF(INDIRECT("'"&amp;$B$2:$B$119&amp;"'!"&amp;"C5:C1000"),E53,(INDIRECT("'"&amp;$B$2:$B$119&amp;"'!"&amp;"O5:O1000"))))</f>
        <v>0</v>
      </c>
      <c r="H53" s="115" t="str" cm="1">
        <f t="array" aca="1" ref="H53" ca="1">TRIM(SUBSTITUTE(_xlfn.ARRAYTOTEXT(IFERROR(CONCATENATE(SUMIF(INDIRECT("'"&amp;Assemblies[Assy]&amp;"'!"&amp;"C$5:C1000"), $E53, INDIRECT("'"&amp;Assemblies[Assy]&amp;"'!"&amp;"O$5:O1000")), "x",Assemblies[Assy],".",IF(SUMIF(INDIRECT("'"&amp;Assemblies[Assy]&amp;"'!"&amp;"C$5:C1000"), $E53, INDIRECT("'"&amp;Assemblies[Assy]&amp;"'!"&amp;"B$5:B1000"))=0,NA(),SUMIF(INDIRECT("'"&amp;Assemblies[Assy]&amp;"'!"&amp;"C$5:C1000"), $E53, INDIRECT("'"&amp;Assemblies[Assy]&amp;"'!"&amp;"A$5:A1000")))),"")), " ,", ""))</f>
        <v>,</v>
      </c>
      <c r="I53" s="226"/>
      <c r="J53" s="226"/>
      <c r="K53" s="213"/>
      <c r="L53" s="134"/>
    </row>
    <row r="54" spans="1:15">
      <c r="A54" s="2" t="e">
        <f ca="1">'GF12'!$E$2</f>
        <v>#VALUE!</v>
      </c>
      <c r="B54" s="133" t="s">
        <v>1505</v>
      </c>
      <c r="C54" s="135" t="s">
        <v>1384</v>
      </c>
      <c r="D54" s="115" t="s">
        <v>54</v>
      </c>
      <c r="E54" s="2" t="e">
        <f t="shared" ca="1" si="1"/>
        <v>#VALUE!</v>
      </c>
      <c r="F54" s="2" t="s">
        <v>1506</v>
      </c>
      <c r="G54" s="5" cm="1">
        <f t="array" aca="1" ref="G54" ca="1">SUMPRODUCT(SUMIF(INDIRECT("'"&amp;Assemblies[Assy]&amp;"'!"&amp;"C$5:C1000"),$E54,(INDIRECT("'"&amp;Assemblies[Assy]&amp;"'!"&amp;"O$5:O1000"))))</f>
        <v>0</v>
      </c>
      <c r="H54" s="115" t="str" cm="1">
        <f t="array" aca="1" ref="H54" ca="1">TRIM(SUBSTITUTE(_xlfn.ARRAYTOTEXT(IFERROR(CONCATENATE(SUMIF(INDIRECT("'"&amp;Assemblies[Assy]&amp;"'!"&amp;"C$5:C1000"), $E54, INDIRECT("'"&amp;Assemblies[Assy]&amp;"'!"&amp;"O$5:O1000")), "x",Assemblies[Assy],".",IF(SUMIF(INDIRECT("'"&amp;Assemblies[Assy]&amp;"'!"&amp;"C$5:C1000"), $E54, INDIRECT("'"&amp;Assemblies[Assy]&amp;"'!"&amp;"B$5:B1000"))=0,NA(),SUMIF(INDIRECT("'"&amp;Assemblies[Assy]&amp;"'!"&amp;"C$5:C1000"), $E54, INDIRECT("'"&amp;Assemblies[Assy]&amp;"'!"&amp;"A$5:A1000")))),"")), " ,", ""))</f>
        <v>,</v>
      </c>
      <c r="I54" s="213" t="s">
        <v>1488</v>
      </c>
      <c r="J54" s="213" t="s">
        <v>1488</v>
      </c>
      <c r="K54" s="213" t="s">
        <v>1461</v>
      </c>
      <c r="L54" s="134" t="s">
        <v>1382</v>
      </c>
      <c r="M54" s="2" t="s">
        <v>1382</v>
      </c>
      <c r="N54" s="2" t="s">
        <v>1382</v>
      </c>
      <c r="O54" s="2" t="s">
        <v>1382</v>
      </c>
    </row>
    <row r="55" spans="1:15">
      <c r="A55" s="2" t="e">
        <f ca="1">'GF12'!$E$2</f>
        <v>#VALUE!</v>
      </c>
      <c r="B55" s="135" t="s">
        <v>1507</v>
      </c>
      <c r="C55" s="135" t="s">
        <v>1384</v>
      </c>
      <c r="D55" s="115" t="s">
        <v>54</v>
      </c>
      <c r="E55" s="2" t="e">
        <f t="shared" ca="1" si="1"/>
        <v>#VALUE!</v>
      </c>
      <c r="F55" s="2" t="s">
        <v>1508</v>
      </c>
      <c r="G55" s="5" cm="1">
        <f t="array" aca="1" ref="G55" ca="1">SUMPRODUCT(SUMIF(INDIRECT("'"&amp;Assemblies[Assy]&amp;"'!"&amp;"C$5:C1000"),$E55,(INDIRECT("'"&amp;Assemblies[Assy]&amp;"'!"&amp;"O$5:O1000"))))</f>
        <v>0</v>
      </c>
      <c r="H55" s="115" t="str" cm="1">
        <f t="array" aca="1" ref="H55" ca="1">TRIM(SUBSTITUTE(_xlfn.ARRAYTOTEXT(IFERROR(CONCATENATE(SUMIF(INDIRECT("'"&amp;Assemblies[Assy]&amp;"'!"&amp;"C$5:C1000"), $E55, INDIRECT("'"&amp;Assemblies[Assy]&amp;"'!"&amp;"O$5:O1000")), "x",Assemblies[Assy],".",IF(SUMIF(INDIRECT("'"&amp;Assemblies[Assy]&amp;"'!"&amp;"C$5:C1000"), $E55, INDIRECT("'"&amp;Assemblies[Assy]&amp;"'!"&amp;"B$5:B1000"))=0,NA(),SUMIF(INDIRECT("'"&amp;Assemblies[Assy]&amp;"'!"&amp;"C$5:C1000"), $E55, INDIRECT("'"&amp;Assemblies[Assy]&amp;"'!"&amp;"A$5:A1000")))),"")), " ,", ""))</f>
        <v>,</v>
      </c>
      <c r="I55" s="213" t="s">
        <v>1488</v>
      </c>
      <c r="J55" s="213" t="s">
        <v>1488</v>
      </c>
      <c r="K55" s="213" t="s">
        <v>1461</v>
      </c>
      <c r="L55" s="134" t="s">
        <v>1382</v>
      </c>
      <c r="M55" s="2" t="s">
        <v>1382</v>
      </c>
      <c r="N55" s="2" t="s">
        <v>1382</v>
      </c>
      <c r="O55" s="2" t="s">
        <v>1382</v>
      </c>
    </row>
    <row r="56" spans="1:15">
      <c r="A56" s="2" t="e">
        <f ca="1">'GF12'!$E$2</f>
        <v>#VALUE!</v>
      </c>
      <c r="B56" s="135" t="s">
        <v>1509</v>
      </c>
      <c r="C56" s="135" t="s">
        <v>1384</v>
      </c>
      <c r="D56" s="115" t="s">
        <v>54</v>
      </c>
      <c r="E56" s="2" t="e">
        <f t="shared" ca="1" si="1"/>
        <v>#VALUE!</v>
      </c>
      <c r="F56" s="2" t="s">
        <v>1510</v>
      </c>
      <c r="G56" s="5" cm="1">
        <f t="array" aca="1" ref="G56" ca="1">SUMPRODUCT(SUMIF(INDIRECT("'"&amp;Assemblies[Assy]&amp;"'!"&amp;"C$5:C1000"),$E56,(INDIRECT("'"&amp;Assemblies[Assy]&amp;"'!"&amp;"O$5:O1000"))))</f>
        <v>0</v>
      </c>
      <c r="H56" s="115" t="str" cm="1">
        <f t="array" aca="1" ref="H56" ca="1">TRIM(SUBSTITUTE(_xlfn.ARRAYTOTEXT(IFERROR(CONCATENATE(SUMIF(INDIRECT("'"&amp;Assemblies[Assy]&amp;"'!"&amp;"C$5:C1000"), $E56, INDIRECT("'"&amp;Assemblies[Assy]&amp;"'!"&amp;"O$5:O1000")), "x",Assemblies[Assy],".",IF(SUMIF(INDIRECT("'"&amp;Assemblies[Assy]&amp;"'!"&amp;"C$5:C1000"), $E56, INDIRECT("'"&amp;Assemblies[Assy]&amp;"'!"&amp;"B$5:B1000"))=0,NA(),SUMIF(INDIRECT("'"&amp;Assemblies[Assy]&amp;"'!"&amp;"C$5:C1000"), $E56, INDIRECT("'"&amp;Assemblies[Assy]&amp;"'!"&amp;"A$5:A1000")))),"")), " ,", ""))</f>
        <v>,</v>
      </c>
      <c r="I56" s="213" t="s">
        <v>1488</v>
      </c>
      <c r="J56" s="213" t="s">
        <v>1488</v>
      </c>
      <c r="K56" s="213" t="s">
        <v>1461</v>
      </c>
      <c r="L56" s="134" t="s">
        <v>1382</v>
      </c>
      <c r="M56" s="2" t="s">
        <v>1382</v>
      </c>
      <c r="N56" s="2" t="s">
        <v>1382</v>
      </c>
      <c r="O56" s="2" t="s">
        <v>1382</v>
      </c>
    </row>
    <row r="57" spans="1:15">
      <c r="A57" s="2" t="e">
        <f ca="1">'GF12'!$E$2</f>
        <v>#VALUE!</v>
      </c>
      <c r="B57" s="135" t="s">
        <v>1511</v>
      </c>
      <c r="C57" s="135" t="s">
        <v>1384</v>
      </c>
      <c r="D57" s="115" t="s">
        <v>54</v>
      </c>
      <c r="E57" s="2" t="e">
        <f t="shared" ca="1" si="1"/>
        <v>#VALUE!</v>
      </c>
      <c r="F57" s="2" t="s">
        <v>1512</v>
      </c>
      <c r="G57" s="5" cm="1">
        <f t="array" aca="1" ref="G57" ca="1">SUMPRODUCT(SUMIF(INDIRECT("'"&amp;Assemblies[Assy]&amp;"'!"&amp;"C$5:C1000"),$E57,(INDIRECT("'"&amp;Assemblies[Assy]&amp;"'!"&amp;"O$5:O1000"))))</f>
        <v>0</v>
      </c>
      <c r="H57" s="115" t="str" cm="1">
        <f t="array" aca="1" ref="H57" ca="1">TRIM(SUBSTITUTE(_xlfn.ARRAYTOTEXT(IFERROR(CONCATENATE(SUMIF(INDIRECT("'"&amp;Assemblies[Assy]&amp;"'!"&amp;"C$5:C1000"), $E57, INDIRECT("'"&amp;Assemblies[Assy]&amp;"'!"&amp;"O$5:O1000")), "x",Assemblies[Assy],".",IF(SUMIF(INDIRECT("'"&amp;Assemblies[Assy]&amp;"'!"&amp;"C$5:C1000"), $E57, INDIRECT("'"&amp;Assemblies[Assy]&amp;"'!"&amp;"B$5:B1000"))=0,NA(),SUMIF(INDIRECT("'"&amp;Assemblies[Assy]&amp;"'!"&amp;"C$5:C1000"), $E57, INDIRECT("'"&amp;Assemblies[Assy]&amp;"'!"&amp;"A$5:A1000")))),"")), " ,", ""))</f>
        <v>,</v>
      </c>
      <c r="I57" s="213" t="s">
        <v>1488</v>
      </c>
      <c r="J57" s="213" t="s">
        <v>1488</v>
      </c>
      <c r="K57" s="2" t="s">
        <v>1491</v>
      </c>
      <c r="L57" s="134" t="s">
        <v>1382</v>
      </c>
      <c r="M57" s="2" t="s">
        <v>1382</v>
      </c>
      <c r="N57" s="2" t="s">
        <v>1382</v>
      </c>
      <c r="O57" s="2" t="s">
        <v>1382</v>
      </c>
    </row>
    <row r="58" spans="1:15">
      <c r="A58" s="2" t="e">
        <f ca="1">'GF12'!$E$2</f>
        <v>#VALUE!</v>
      </c>
      <c r="B58" s="133" t="s">
        <v>1513</v>
      </c>
      <c r="C58" s="135" t="s">
        <v>1384</v>
      </c>
      <c r="D58" s="115" t="s">
        <v>54</v>
      </c>
      <c r="E58" s="2" t="e">
        <f t="shared" ca="1" si="1"/>
        <v>#VALUE!</v>
      </c>
      <c r="F58" s="2" t="s">
        <v>1514</v>
      </c>
      <c r="G58" s="5" cm="1">
        <f t="array" aca="1" ref="G58" ca="1">SUMPRODUCT(SUMIF(INDIRECT("'"&amp;Assemblies[Assy]&amp;"'!"&amp;"C$5:C1000"),$E58,(INDIRECT("'"&amp;Assemblies[Assy]&amp;"'!"&amp;"O$5:O1000"))))</f>
        <v>0</v>
      </c>
      <c r="H58" s="115" t="str" cm="1">
        <f t="array" aca="1" ref="H58" ca="1">TRIM(SUBSTITUTE(_xlfn.ARRAYTOTEXT(IFERROR(CONCATENATE(SUMIF(INDIRECT("'"&amp;Assemblies[Assy]&amp;"'!"&amp;"C$5:C1000"), $E58, INDIRECT("'"&amp;Assemblies[Assy]&amp;"'!"&amp;"O$5:O1000")), "x",Assemblies[Assy],".",IF(SUMIF(INDIRECT("'"&amp;Assemblies[Assy]&amp;"'!"&amp;"C$5:C1000"), $E58, INDIRECT("'"&amp;Assemblies[Assy]&amp;"'!"&amp;"B$5:B1000"))=0,NA(),SUMIF(INDIRECT("'"&amp;Assemblies[Assy]&amp;"'!"&amp;"C$5:C1000"), $E58, INDIRECT("'"&amp;Assemblies[Assy]&amp;"'!"&amp;"A$5:A1000")))),"")), " ,", ""))</f>
        <v>,</v>
      </c>
      <c r="I58" s="213" t="s">
        <v>1409</v>
      </c>
      <c r="J58" s="213" t="s">
        <v>1409</v>
      </c>
      <c r="K58" s="213" t="s">
        <v>1461</v>
      </c>
      <c r="L58" s="134" t="s">
        <v>1382</v>
      </c>
      <c r="M58" s="2" t="s">
        <v>1382</v>
      </c>
      <c r="N58" s="2" t="s">
        <v>1382</v>
      </c>
      <c r="O58" s="2" t="s">
        <v>1382</v>
      </c>
    </row>
    <row r="59" spans="1:15">
      <c r="A59" s="2" t="e">
        <f ca="1">'GF12'!$E$2</f>
        <v>#VALUE!</v>
      </c>
      <c r="B59" s="135" t="s">
        <v>1515</v>
      </c>
      <c r="C59" s="135" t="s">
        <v>1384</v>
      </c>
      <c r="D59" s="115" t="s">
        <v>54</v>
      </c>
      <c r="E59" s="2" t="e">
        <f t="shared" ca="1" si="1"/>
        <v>#VALUE!</v>
      </c>
      <c r="F59" s="2" t="s">
        <v>1516</v>
      </c>
      <c r="G59" s="5" cm="1">
        <f t="array" aca="1" ref="G59" ca="1">SUMPRODUCT(SUMIF(INDIRECT("'"&amp;Assemblies[Assy]&amp;"'!"&amp;"C$5:C1000"),$E59,(INDIRECT("'"&amp;Assemblies[Assy]&amp;"'!"&amp;"O$5:O1000"))))</f>
        <v>0</v>
      </c>
      <c r="H59" s="115" t="str" cm="1">
        <f t="array" aca="1" ref="H59" ca="1">TRIM(SUBSTITUTE(_xlfn.ARRAYTOTEXT(IFERROR(CONCATENATE(SUMIF(INDIRECT("'"&amp;Assemblies[Assy]&amp;"'!"&amp;"C$5:C1000"), $E59, INDIRECT("'"&amp;Assemblies[Assy]&amp;"'!"&amp;"O$5:O1000")), "x",Assemblies[Assy],".",IF(SUMIF(INDIRECT("'"&amp;Assemblies[Assy]&amp;"'!"&amp;"C$5:C1000"), $E59, INDIRECT("'"&amp;Assemblies[Assy]&amp;"'!"&amp;"B$5:B1000"))=0,NA(),SUMIF(INDIRECT("'"&amp;Assemblies[Assy]&amp;"'!"&amp;"C$5:C1000"), $E59, INDIRECT("'"&amp;Assemblies[Assy]&amp;"'!"&amp;"A$5:A1000")))),"")), " ,", ""))</f>
        <v>,</v>
      </c>
      <c r="I59" s="213" t="s">
        <v>1409</v>
      </c>
      <c r="J59" s="213" t="s">
        <v>1409</v>
      </c>
      <c r="K59" s="213" t="s">
        <v>1461</v>
      </c>
      <c r="L59" s="134" t="s">
        <v>1382</v>
      </c>
      <c r="M59" s="2" t="s">
        <v>1382</v>
      </c>
      <c r="N59" s="2" t="s">
        <v>1382</v>
      </c>
      <c r="O59" s="2" t="s">
        <v>1382</v>
      </c>
    </row>
    <row r="60" spans="1:15">
      <c r="A60" s="2" t="e">
        <f ca="1">'GF12'!$E$2</f>
        <v>#VALUE!</v>
      </c>
      <c r="B60" s="133" t="s">
        <v>1517</v>
      </c>
      <c r="C60" s="135" t="s">
        <v>1384</v>
      </c>
      <c r="D60" s="115" t="s">
        <v>54</v>
      </c>
      <c r="E60" s="2" t="e">
        <f t="shared" ca="1" si="1"/>
        <v>#VALUE!</v>
      </c>
      <c r="F60" s="2" t="s">
        <v>1518</v>
      </c>
      <c r="G60" s="5" cm="1">
        <f t="array" aca="1" ref="G60" ca="1">SUMPRODUCT(SUMIF(INDIRECT("'"&amp;Assemblies[Assy]&amp;"'!"&amp;"C$5:C1000"),$E60,(INDIRECT("'"&amp;Assemblies[Assy]&amp;"'!"&amp;"O$5:O1000"))))</f>
        <v>0</v>
      </c>
      <c r="H60" s="115" t="str" cm="1">
        <f t="array" aca="1" ref="H60" ca="1">TRIM(SUBSTITUTE(_xlfn.ARRAYTOTEXT(IFERROR(CONCATENATE(SUMIF(INDIRECT("'"&amp;Assemblies[Assy]&amp;"'!"&amp;"C$5:C1000"), $E60, INDIRECT("'"&amp;Assemblies[Assy]&amp;"'!"&amp;"O$5:O1000")), "x",Assemblies[Assy],".",IF(SUMIF(INDIRECT("'"&amp;Assemblies[Assy]&amp;"'!"&amp;"C$5:C1000"), $E60, INDIRECT("'"&amp;Assemblies[Assy]&amp;"'!"&amp;"B$5:B1000"))=0,NA(),SUMIF(INDIRECT("'"&amp;Assemblies[Assy]&amp;"'!"&amp;"C$5:C1000"), $E60, INDIRECT("'"&amp;Assemblies[Assy]&amp;"'!"&amp;"A$5:A1000")))),"")), " ,", ""))</f>
        <v>,</v>
      </c>
      <c r="I60" s="213" t="s">
        <v>1519</v>
      </c>
      <c r="J60" s="213" t="s">
        <v>1519</v>
      </c>
      <c r="L60" s="134" t="s">
        <v>1382</v>
      </c>
      <c r="M60" s="2" t="s">
        <v>1382</v>
      </c>
      <c r="N60" s="2" t="s">
        <v>1382</v>
      </c>
      <c r="O60" s="2" t="s">
        <v>1382</v>
      </c>
    </row>
    <row r="61" spans="1:15">
      <c r="A61" s="2" t="e">
        <f ca="1">'GF12'!$E$2</f>
        <v>#VALUE!</v>
      </c>
      <c r="B61" s="133" t="s">
        <v>1520</v>
      </c>
      <c r="C61" s="135" t="s">
        <v>1384</v>
      </c>
      <c r="D61" s="115" t="s">
        <v>54</v>
      </c>
      <c r="E61" s="2" t="e">
        <f t="shared" ca="1" si="1"/>
        <v>#VALUE!</v>
      </c>
      <c r="F61" s="2" t="s">
        <v>1405</v>
      </c>
      <c r="G61" s="5" cm="1">
        <f t="array" aca="1" ref="G61" ca="1">SUMPRODUCT(SUMIF(INDIRECT("'"&amp;Assemblies[Assy]&amp;"'!"&amp;"C$5:C1000"),$E61,(INDIRECT("'"&amp;Assemblies[Assy]&amp;"'!"&amp;"O$5:O1000"))))</f>
        <v>0</v>
      </c>
      <c r="H61" s="115" t="str" cm="1">
        <f t="array" aca="1" ref="H61" ca="1">TRIM(SUBSTITUTE(_xlfn.ARRAYTOTEXT(IFERROR(CONCATENATE(SUMIF(INDIRECT("'"&amp;Assemblies[Assy]&amp;"'!"&amp;"C$5:C1000"), $E61, INDIRECT("'"&amp;Assemblies[Assy]&amp;"'!"&amp;"O$5:O1000")), "x",Assemblies[Assy],".",IF(SUMIF(INDIRECT("'"&amp;Assemblies[Assy]&amp;"'!"&amp;"C$5:C1000"), $E61, INDIRECT("'"&amp;Assemblies[Assy]&amp;"'!"&amp;"B$5:B1000"))=0,NA(),SUMIF(INDIRECT("'"&amp;Assemblies[Assy]&amp;"'!"&amp;"C$5:C1000"), $E61, INDIRECT("'"&amp;Assemblies[Assy]&amp;"'!"&amp;"A$5:A1000")))),"")), " ,", ""))</f>
        <v>,</v>
      </c>
      <c r="I61" s="213" t="s">
        <v>1488</v>
      </c>
      <c r="J61" s="213" t="s">
        <v>1488</v>
      </c>
      <c r="K61" s="213" t="s">
        <v>1461</v>
      </c>
      <c r="L61" s="134" t="s">
        <v>1382</v>
      </c>
      <c r="M61" s="2" t="s">
        <v>1382</v>
      </c>
      <c r="N61" s="2" t="s">
        <v>1382</v>
      </c>
      <c r="O61" s="2" t="s">
        <v>1382</v>
      </c>
    </row>
    <row r="62" spans="1:15">
      <c r="A62" s="2" t="e">
        <f ca="1">'GF12'!$E$2</f>
        <v>#VALUE!</v>
      </c>
      <c r="B62" s="133" t="s">
        <v>1521</v>
      </c>
      <c r="C62" s="135" t="s">
        <v>1384</v>
      </c>
      <c r="D62" s="115" t="s">
        <v>54</v>
      </c>
      <c r="E62" s="2" t="e">
        <f t="shared" ca="1" si="1"/>
        <v>#VALUE!</v>
      </c>
      <c r="F62" s="2" t="s">
        <v>1522</v>
      </c>
      <c r="G62" s="5" cm="1">
        <f t="array" aca="1" ref="G62" ca="1">SUMPRODUCT(SUMIF(INDIRECT("'"&amp;Assemblies[Assy]&amp;"'!"&amp;"C$5:C1000"),$E62,(INDIRECT("'"&amp;Assemblies[Assy]&amp;"'!"&amp;"O$5:O1000"))))</f>
        <v>0</v>
      </c>
      <c r="H62" s="115" t="str" cm="1">
        <f t="array" aca="1" ref="H62" ca="1">TRIM(SUBSTITUTE(_xlfn.ARRAYTOTEXT(IFERROR(CONCATENATE(SUMIF(INDIRECT("'"&amp;Assemblies[Assy]&amp;"'!"&amp;"C$5:C1000"), $E62, INDIRECT("'"&amp;Assemblies[Assy]&amp;"'!"&amp;"O$5:O1000")), "x",Assemblies[Assy],".",IF(SUMIF(INDIRECT("'"&amp;Assemblies[Assy]&amp;"'!"&amp;"C$5:C1000"), $E62, INDIRECT("'"&amp;Assemblies[Assy]&amp;"'!"&amp;"B$5:B1000"))=0,NA(),SUMIF(INDIRECT("'"&amp;Assemblies[Assy]&amp;"'!"&amp;"C$5:C1000"), $E62, INDIRECT("'"&amp;Assemblies[Assy]&amp;"'!"&amp;"A$5:A1000")))),"")), " ,", ""))</f>
        <v>,</v>
      </c>
      <c r="I62" s="213" t="s">
        <v>1523</v>
      </c>
      <c r="J62" s="213" t="s">
        <v>1523</v>
      </c>
      <c r="K62" s="2" t="s">
        <v>1466</v>
      </c>
      <c r="L62" s="134" t="s">
        <v>1382</v>
      </c>
      <c r="M62" s="2" t="s">
        <v>1382</v>
      </c>
      <c r="N62" s="2" t="s">
        <v>1382</v>
      </c>
      <c r="O62" s="2" t="s">
        <v>1382</v>
      </c>
    </row>
    <row r="63" spans="1:15">
      <c r="A63" s="2" t="e">
        <f ca="1">'GF12'!$E$2</f>
        <v>#VALUE!</v>
      </c>
      <c r="B63" s="133" t="s">
        <v>1524</v>
      </c>
      <c r="C63" s="135" t="s">
        <v>1384</v>
      </c>
      <c r="D63" s="115" t="s">
        <v>54</v>
      </c>
      <c r="E63" s="2" t="e">
        <f t="shared" ca="1" si="1"/>
        <v>#VALUE!</v>
      </c>
      <c r="F63" s="2" t="s">
        <v>1518</v>
      </c>
      <c r="G63" s="5" cm="1">
        <f t="array" aca="1" ref="G63" ca="1">SUMPRODUCT(SUMIF(INDIRECT("'"&amp;Assemblies[Assy]&amp;"'!"&amp;"C$5:C1000"),$E63,(INDIRECT("'"&amp;Assemblies[Assy]&amp;"'!"&amp;"O$5:O1000"))))</f>
        <v>0</v>
      </c>
      <c r="H63" s="115" t="str" cm="1">
        <f t="array" aca="1" ref="H63" ca="1">TRIM(SUBSTITUTE(_xlfn.ARRAYTOTEXT(IFERROR(CONCATENATE(SUMIF(INDIRECT("'"&amp;Assemblies[Assy]&amp;"'!"&amp;"C$5:C1000"), $E63, INDIRECT("'"&amp;Assemblies[Assy]&amp;"'!"&amp;"O$5:O1000")), "x",Assemblies[Assy],".",IF(SUMIF(INDIRECT("'"&amp;Assemblies[Assy]&amp;"'!"&amp;"C$5:C1000"), $E63, INDIRECT("'"&amp;Assemblies[Assy]&amp;"'!"&amp;"B$5:B1000"))=0,NA(),SUMIF(INDIRECT("'"&amp;Assemblies[Assy]&amp;"'!"&amp;"C$5:C1000"), $E63, INDIRECT("'"&amp;Assemblies[Assy]&amp;"'!"&amp;"A$5:A1000")))),"")), " ,", ""))</f>
        <v>,</v>
      </c>
      <c r="I63" s="213" t="s">
        <v>1523</v>
      </c>
      <c r="J63" s="213" t="s">
        <v>1523</v>
      </c>
      <c r="K63" s="213" t="s">
        <v>1461</v>
      </c>
      <c r="L63" s="134" t="s">
        <v>1382</v>
      </c>
      <c r="M63" s="2" t="s">
        <v>1382</v>
      </c>
      <c r="N63" s="2" t="s">
        <v>1382</v>
      </c>
      <c r="O63" s="2" t="s">
        <v>1382</v>
      </c>
    </row>
    <row r="64" spans="1:15">
      <c r="A64" s="2" t="e">
        <f ca="1">'GF12'!$E$2</f>
        <v>#VALUE!</v>
      </c>
      <c r="B64" s="133" t="s">
        <v>1525</v>
      </c>
      <c r="C64" s="135" t="s">
        <v>1384</v>
      </c>
      <c r="D64" s="115" t="s">
        <v>54</v>
      </c>
      <c r="E64" s="2" t="e">
        <f t="shared" ca="1" si="1"/>
        <v>#VALUE!</v>
      </c>
      <c r="F64" s="2" t="s">
        <v>1526</v>
      </c>
      <c r="G64" s="5" cm="1">
        <f t="array" aca="1" ref="G64" ca="1">SUMPRODUCT(SUMIF(INDIRECT("'"&amp;Assemblies[Assy]&amp;"'!"&amp;"C$5:C1000"),$E64,(INDIRECT("'"&amp;Assemblies[Assy]&amp;"'!"&amp;"O$5:O1000"))))</f>
        <v>0</v>
      </c>
      <c r="H64" s="115" t="str" cm="1">
        <f t="array" aca="1" ref="H64" ca="1">TRIM(SUBSTITUTE(_xlfn.ARRAYTOTEXT(IFERROR(CONCATENATE(SUMIF(INDIRECT("'"&amp;Assemblies[Assy]&amp;"'!"&amp;"C$5:C1000"), $E64, INDIRECT("'"&amp;Assemblies[Assy]&amp;"'!"&amp;"O$5:O1000")), "x",Assemblies[Assy],".",IF(SUMIF(INDIRECT("'"&amp;Assemblies[Assy]&amp;"'!"&amp;"C$5:C1000"), $E64, INDIRECT("'"&amp;Assemblies[Assy]&amp;"'!"&amp;"B$5:B1000"))=0,NA(),SUMIF(INDIRECT("'"&amp;Assemblies[Assy]&amp;"'!"&amp;"C$5:C1000"), $E64, INDIRECT("'"&amp;Assemblies[Assy]&amp;"'!"&amp;"A$5:A1000")))),"")), " ,", ""))</f>
        <v>,</v>
      </c>
      <c r="I64" s="213" t="s">
        <v>1519</v>
      </c>
      <c r="J64" s="213" t="s">
        <v>1519</v>
      </c>
      <c r="K64" s="213" t="s">
        <v>1461</v>
      </c>
      <c r="L64" s="134" t="s">
        <v>1382</v>
      </c>
      <c r="M64" s="2" t="s">
        <v>1382</v>
      </c>
      <c r="N64" s="2" t="s">
        <v>1382</v>
      </c>
      <c r="O64" s="2" t="s">
        <v>1382</v>
      </c>
    </row>
    <row r="65" spans="1:15">
      <c r="A65" s="2" t="e">
        <f ca="1">'GF12'!$E$2</f>
        <v>#VALUE!</v>
      </c>
      <c r="B65" s="133" t="s">
        <v>1527</v>
      </c>
      <c r="C65" s="135" t="s">
        <v>1384</v>
      </c>
      <c r="D65" s="115" t="s">
        <v>54</v>
      </c>
      <c r="E65" s="2" t="e">
        <f t="shared" ca="1" si="1"/>
        <v>#VALUE!</v>
      </c>
      <c r="F65" s="2" t="s">
        <v>1528</v>
      </c>
      <c r="G65" s="5" cm="1">
        <f t="array" aca="1" ref="G65" ca="1">SUMPRODUCT(SUMIF(INDIRECT("'"&amp;Assemblies[Assy]&amp;"'!"&amp;"C$5:C1000"),$E65,(INDIRECT("'"&amp;Assemblies[Assy]&amp;"'!"&amp;"O$5:O1000"))))</f>
        <v>0</v>
      </c>
      <c r="H65" s="115" t="str" cm="1">
        <f t="array" aca="1" ref="H65" ca="1">TRIM(SUBSTITUTE(_xlfn.ARRAYTOTEXT(IFERROR(CONCATENATE(SUMIF(INDIRECT("'"&amp;Assemblies[Assy]&amp;"'!"&amp;"C$5:C1000"), $E65, INDIRECT("'"&amp;Assemblies[Assy]&amp;"'!"&amp;"O$5:O1000")), "x",Assemblies[Assy],".",IF(SUMIF(INDIRECT("'"&amp;Assemblies[Assy]&amp;"'!"&amp;"C$5:C1000"), $E65, INDIRECT("'"&amp;Assemblies[Assy]&amp;"'!"&amp;"B$5:B1000"))=0,NA(),SUMIF(INDIRECT("'"&amp;Assemblies[Assy]&amp;"'!"&amp;"C$5:C1000"), $E65, INDIRECT("'"&amp;Assemblies[Assy]&amp;"'!"&amp;"A$5:A1000")))),"")), " ,", ""))</f>
        <v>,</v>
      </c>
      <c r="I65" s="213" t="s">
        <v>1519</v>
      </c>
      <c r="J65" s="213" t="s">
        <v>1519</v>
      </c>
      <c r="K65" s="213" t="s">
        <v>1461</v>
      </c>
      <c r="L65" s="134" t="s">
        <v>1382</v>
      </c>
      <c r="M65" s="2" t="s">
        <v>1382</v>
      </c>
      <c r="N65" s="2" t="s">
        <v>1382</v>
      </c>
      <c r="O65" s="2" t="s">
        <v>1382</v>
      </c>
    </row>
    <row r="66" spans="1:15">
      <c r="A66" s="2" t="e">
        <f ca="1">'GF12'!$E$2</f>
        <v>#VALUE!</v>
      </c>
      <c r="B66" s="133" t="s">
        <v>1529</v>
      </c>
      <c r="C66" s="135" t="s">
        <v>1384</v>
      </c>
      <c r="D66" s="115" t="s">
        <v>54</v>
      </c>
      <c r="E66" s="2" t="e">
        <f t="shared" ca="1" si="1"/>
        <v>#VALUE!</v>
      </c>
      <c r="F66" s="2" t="s">
        <v>1530</v>
      </c>
      <c r="G66" s="5" cm="1">
        <f t="array" aca="1" ref="G66" ca="1">SUMPRODUCT(SUMIF(INDIRECT("'"&amp;Assemblies[Assy]&amp;"'!"&amp;"C$5:C1000"),$E66,(INDIRECT("'"&amp;Assemblies[Assy]&amp;"'!"&amp;"O$5:O1000"))))</f>
        <v>0</v>
      </c>
      <c r="H66" s="115" t="str" cm="1">
        <f t="array" aca="1" ref="H66" ca="1">TRIM(SUBSTITUTE(_xlfn.ARRAYTOTEXT(IFERROR(CONCATENATE(SUMIF(INDIRECT("'"&amp;Assemblies[Assy]&amp;"'!"&amp;"C$5:C1000"), $E66, INDIRECT("'"&amp;Assemblies[Assy]&amp;"'!"&amp;"O$5:O1000")), "x",Assemblies[Assy],".",IF(SUMIF(INDIRECT("'"&amp;Assemblies[Assy]&amp;"'!"&amp;"C$5:C1000"), $E66, INDIRECT("'"&amp;Assemblies[Assy]&amp;"'!"&amp;"B$5:B1000"))=0,NA(),SUMIF(INDIRECT("'"&amp;Assemblies[Assy]&amp;"'!"&amp;"C$5:C1000"), $E66, INDIRECT("'"&amp;Assemblies[Assy]&amp;"'!"&amp;"A$5:A1000")))),"")), " ,", ""))</f>
        <v>,</v>
      </c>
      <c r="I66" s="213" t="s">
        <v>1519</v>
      </c>
      <c r="J66" s="213" t="s">
        <v>1519</v>
      </c>
      <c r="K66" s="213" t="s">
        <v>1461</v>
      </c>
      <c r="L66" s="134" t="s">
        <v>1382</v>
      </c>
      <c r="M66" s="2" t="s">
        <v>1382</v>
      </c>
      <c r="N66" s="2" t="s">
        <v>1382</v>
      </c>
      <c r="O66" s="2" t="s">
        <v>1382</v>
      </c>
    </row>
    <row r="67" spans="1:15">
      <c r="A67" s="2" t="e">
        <f ca="1">'GF12'!$E$2</f>
        <v>#VALUE!</v>
      </c>
      <c r="B67" s="135" t="s">
        <v>1531</v>
      </c>
      <c r="C67" s="135" t="s">
        <v>1384</v>
      </c>
      <c r="D67" s="115" t="s">
        <v>54</v>
      </c>
      <c r="E67" s="2" t="e">
        <f t="shared" ca="1" si="1"/>
        <v>#VALUE!</v>
      </c>
      <c r="F67" s="2" t="s">
        <v>1532</v>
      </c>
      <c r="G67" s="5" cm="1">
        <f t="array" aca="1" ref="G67" ca="1">SUMPRODUCT(SUMIF(INDIRECT("'"&amp;Assemblies[Assy]&amp;"'!"&amp;"C$5:C1000"),$E67,(INDIRECT("'"&amp;Assemblies[Assy]&amp;"'!"&amp;"O$5:O1000"))))</f>
        <v>0</v>
      </c>
      <c r="H67" s="115" t="str" cm="1">
        <f t="array" aca="1" ref="H67" ca="1">TRIM(SUBSTITUTE(_xlfn.ARRAYTOTEXT(IFERROR(CONCATENATE(SUMIF(INDIRECT("'"&amp;Assemblies[Assy]&amp;"'!"&amp;"C$5:C1000"), $E67, INDIRECT("'"&amp;Assemblies[Assy]&amp;"'!"&amp;"O$5:O1000")), "x",Assemblies[Assy],".",IF(SUMIF(INDIRECT("'"&amp;Assemblies[Assy]&amp;"'!"&amp;"C$5:C1000"), $E67, INDIRECT("'"&amp;Assemblies[Assy]&amp;"'!"&amp;"B$5:B1000"))=0,NA(),SUMIF(INDIRECT("'"&amp;Assemblies[Assy]&amp;"'!"&amp;"C$5:C1000"), $E67, INDIRECT("'"&amp;Assemblies[Assy]&amp;"'!"&amp;"A$5:A1000")))),"")), " ,", ""))</f>
        <v>,</v>
      </c>
      <c r="I67" s="213" t="s">
        <v>1519</v>
      </c>
      <c r="J67" s="213" t="s">
        <v>1519</v>
      </c>
      <c r="K67" s="213" t="s">
        <v>1461</v>
      </c>
      <c r="L67" s="134" t="s">
        <v>1382</v>
      </c>
      <c r="M67" s="2" t="s">
        <v>1382</v>
      </c>
      <c r="N67" s="2" t="s">
        <v>1382</v>
      </c>
      <c r="O67" s="2" t="s">
        <v>1382</v>
      </c>
    </row>
    <row r="68" spans="1:15">
      <c r="A68" s="2" t="e">
        <f ca="1">'GF12'!$E$2</f>
        <v>#VALUE!</v>
      </c>
      <c r="B68" s="135" t="s">
        <v>1533</v>
      </c>
      <c r="C68" s="135" t="s">
        <v>1384</v>
      </c>
      <c r="D68" s="115" t="s">
        <v>54</v>
      </c>
      <c r="E68" s="2" t="e">
        <f t="shared" ca="1" si="1"/>
        <v>#VALUE!</v>
      </c>
      <c r="F68" s="2" t="s">
        <v>1534</v>
      </c>
      <c r="G68" s="5" cm="1">
        <f t="array" aca="1" ref="G68" ca="1">SUMPRODUCT(SUMIF(INDIRECT("'"&amp;Assemblies[Assy]&amp;"'!"&amp;"C$5:C1000"),$E68,(INDIRECT("'"&amp;Assemblies[Assy]&amp;"'!"&amp;"O$5:O1000"))))</f>
        <v>0</v>
      </c>
      <c r="H68" s="115" t="str" cm="1">
        <f t="array" aca="1" ref="H68" ca="1">TRIM(SUBSTITUTE(_xlfn.ARRAYTOTEXT(IFERROR(CONCATENATE(SUMIF(INDIRECT("'"&amp;Assemblies[Assy]&amp;"'!"&amp;"C$5:C1000"), $E68, INDIRECT("'"&amp;Assemblies[Assy]&amp;"'!"&amp;"O$5:O1000")), "x",Assemblies[Assy],".",IF(SUMIF(INDIRECT("'"&amp;Assemblies[Assy]&amp;"'!"&amp;"C$5:C1000"), $E68, INDIRECT("'"&amp;Assemblies[Assy]&amp;"'!"&amp;"B$5:B1000"))=0,NA(),SUMIF(INDIRECT("'"&amp;Assemblies[Assy]&amp;"'!"&amp;"C$5:C1000"), $E68, INDIRECT("'"&amp;Assemblies[Assy]&amp;"'!"&amp;"A$5:A1000")))),"")), " ,", ""))</f>
        <v>,</v>
      </c>
      <c r="I68" s="213" t="s">
        <v>1519</v>
      </c>
      <c r="J68" s="213" t="s">
        <v>1519</v>
      </c>
      <c r="K68" s="213" t="s">
        <v>1461</v>
      </c>
      <c r="L68" s="134" t="s">
        <v>1382</v>
      </c>
      <c r="M68" s="2" t="s">
        <v>1382</v>
      </c>
      <c r="N68" s="2" t="s">
        <v>1382</v>
      </c>
      <c r="O68" s="2" t="s">
        <v>1382</v>
      </c>
    </row>
    <row r="69" spans="1:15">
      <c r="A69" s="2" t="e">
        <f ca="1">'GF12'!$E$2</f>
        <v>#VALUE!</v>
      </c>
      <c r="B69" s="135" t="s">
        <v>1535</v>
      </c>
      <c r="C69" s="135" t="s">
        <v>1384</v>
      </c>
      <c r="D69" s="115" t="s">
        <v>54</v>
      </c>
      <c r="E69" s="2" t="e">
        <f t="shared" ca="1" si="1"/>
        <v>#VALUE!</v>
      </c>
      <c r="F69" s="2" t="s">
        <v>1536</v>
      </c>
      <c r="G69" s="5" cm="1">
        <f t="array" aca="1" ref="G69" ca="1">SUMPRODUCT(SUMIF(INDIRECT("'"&amp;Assemblies[Assy]&amp;"'!"&amp;"C$5:C1000"),$E69,(INDIRECT("'"&amp;Assemblies[Assy]&amp;"'!"&amp;"O$5:O1000"))))</f>
        <v>0</v>
      </c>
      <c r="H69" s="115" t="str" cm="1">
        <f t="array" aca="1" ref="H69" ca="1">TRIM(SUBSTITUTE(_xlfn.ARRAYTOTEXT(IFERROR(CONCATENATE(SUMIF(INDIRECT("'"&amp;Assemblies[Assy]&amp;"'!"&amp;"C$5:C1000"), $E69, INDIRECT("'"&amp;Assemblies[Assy]&amp;"'!"&amp;"O$5:O1000")), "x",Assemblies[Assy],".",IF(SUMIF(INDIRECT("'"&amp;Assemblies[Assy]&amp;"'!"&amp;"C$5:C1000"), $E69, INDIRECT("'"&amp;Assemblies[Assy]&amp;"'!"&amp;"B$5:B1000"))=0,NA(),SUMIF(INDIRECT("'"&amp;Assemblies[Assy]&amp;"'!"&amp;"C$5:C1000"), $E69, INDIRECT("'"&amp;Assemblies[Assy]&amp;"'!"&amp;"A$5:A1000")))),"")), " ,", ""))</f>
        <v>,</v>
      </c>
      <c r="I69" s="213" t="s">
        <v>1519</v>
      </c>
      <c r="J69" s="213" t="s">
        <v>1519</v>
      </c>
      <c r="K69" s="2" t="s">
        <v>1537</v>
      </c>
      <c r="L69" s="134" t="s">
        <v>1382</v>
      </c>
      <c r="M69" s="2" t="s">
        <v>1382</v>
      </c>
      <c r="N69" s="2" t="s">
        <v>1382</v>
      </c>
      <c r="O69" s="2" t="s">
        <v>1382</v>
      </c>
    </row>
    <row r="70" spans="1:15">
      <c r="A70" s="2" t="e">
        <f ca="1">'GF12'!$E$2</f>
        <v>#VALUE!</v>
      </c>
      <c r="B70" s="133" t="s">
        <v>1538</v>
      </c>
      <c r="C70" s="135" t="s">
        <v>1384</v>
      </c>
      <c r="D70" s="115" t="s">
        <v>54</v>
      </c>
      <c r="E70" s="2" t="e">
        <f t="shared" ref="E70:E102" ca="1" si="2">_xlfn.CONCAT(A70,".",B70,".",C70,".",D70)</f>
        <v>#VALUE!</v>
      </c>
      <c r="F70" s="2" t="s">
        <v>1539</v>
      </c>
      <c r="G70" s="5" cm="1">
        <f t="array" aca="1" ref="G70" ca="1">SUMPRODUCT(SUMIF(INDIRECT("'"&amp;Assemblies[Assy]&amp;"'!"&amp;"C$5:C1000"),$E70,(INDIRECT("'"&amp;Assemblies[Assy]&amp;"'!"&amp;"O$5:O1000"))))</f>
        <v>0</v>
      </c>
      <c r="H70" s="115" t="str" cm="1">
        <f t="array" aca="1" ref="H70" ca="1">TRIM(SUBSTITUTE(_xlfn.ARRAYTOTEXT(IFERROR(CONCATENATE(SUMIF(INDIRECT("'"&amp;Assemblies[Assy]&amp;"'!"&amp;"C$5:C1000"), $E70, INDIRECT("'"&amp;Assemblies[Assy]&amp;"'!"&amp;"O$5:O1000")), "x",Assemblies[Assy],".",IF(SUMIF(INDIRECT("'"&amp;Assemblies[Assy]&amp;"'!"&amp;"C$5:C1000"), $E70, INDIRECT("'"&amp;Assemblies[Assy]&amp;"'!"&amp;"B$5:B1000"))=0,NA(),SUMIF(INDIRECT("'"&amp;Assemblies[Assy]&amp;"'!"&amp;"C$5:C1000"), $E70, INDIRECT("'"&amp;Assemblies[Assy]&amp;"'!"&amp;"A$5:A1000")))),"")), " ,", ""))</f>
        <v>,</v>
      </c>
      <c r="K70" s="2" t="s">
        <v>1540</v>
      </c>
      <c r="L70" s="134" t="s">
        <v>1382</v>
      </c>
      <c r="M70" s="2" t="s">
        <v>1382</v>
      </c>
      <c r="N70" s="2" t="s">
        <v>1382</v>
      </c>
      <c r="O70" s="2" t="s">
        <v>1382</v>
      </c>
    </row>
    <row r="71" spans="1:15">
      <c r="A71" s="2" t="e">
        <f ca="1">'GF12'!$E$2</f>
        <v>#VALUE!</v>
      </c>
      <c r="B71" s="133" t="s">
        <v>1541</v>
      </c>
      <c r="C71" s="135" t="s">
        <v>1384</v>
      </c>
      <c r="D71" s="115" t="s">
        <v>54</v>
      </c>
      <c r="E71" s="2" t="e">
        <f t="shared" ca="1" si="2"/>
        <v>#VALUE!</v>
      </c>
      <c r="F71" s="2" t="s">
        <v>1542</v>
      </c>
      <c r="G71" s="5" cm="1">
        <f t="array" aca="1" ref="G71" ca="1">SUMPRODUCT(SUMIF(INDIRECT("'"&amp;Assemblies[Assy]&amp;"'!"&amp;"C$5:C1000"),$E71,(INDIRECT("'"&amp;Assemblies[Assy]&amp;"'!"&amp;"O$5:O1000"))))</f>
        <v>0</v>
      </c>
      <c r="H71" s="115" t="str" cm="1">
        <f t="array" aca="1" ref="H71" ca="1">TRIM(SUBSTITUTE(_xlfn.ARRAYTOTEXT(IFERROR(CONCATENATE(SUMIF(INDIRECT("'"&amp;Assemblies[Assy]&amp;"'!"&amp;"C$5:C1000"), $E71, INDIRECT("'"&amp;Assemblies[Assy]&amp;"'!"&amp;"O$5:O1000")), "x",Assemblies[Assy],".",IF(SUMIF(INDIRECT("'"&amp;Assemblies[Assy]&amp;"'!"&amp;"C$5:C1000"), $E71, INDIRECT("'"&amp;Assemblies[Assy]&amp;"'!"&amp;"B$5:B1000"))=0,NA(),SUMIF(INDIRECT("'"&amp;Assemblies[Assy]&amp;"'!"&amp;"C$5:C1000"), $E71, INDIRECT("'"&amp;Assemblies[Assy]&amp;"'!"&amp;"A$5:A1000")))),"")), " ,", ""))</f>
        <v>,</v>
      </c>
      <c r="K71" s="2" t="s">
        <v>1543</v>
      </c>
      <c r="L71" s="134" t="s">
        <v>1382</v>
      </c>
      <c r="M71" s="2" t="s">
        <v>1382</v>
      </c>
      <c r="N71" s="2" t="s">
        <v>1382</v>
      </c>
      <c r="O71" s="2" t="s">
        <v>1382</v>
      </c>
    </row>
    <row r="72" spans="1:15">
      <c r="A72" s="2" t="e">
        <f ca="1">'GF12'!$E$2</f>
        <v>#VALUE!</v>
      </c>
      <c r="B72" s="133" t="s">
        <v>1544</v>
      </c>
      <c r="C72" s="135" t="s">
        <v>1384</v>
      </c>
      <c r="D72" s="115" t="s">
        <v>54</v>
      </c>
      <c r="E72" s="2" t="e">
        <f t="shared" ca="1" si="2"/>
        <v>#VALUE!</v>
      </c>
      <c r="F72" s="2" t="s">
        <v>1545</v>
      </c>
      <c r="G72" s="5" cm="1">
        <f t="array" aca="1" ref="G72" ca="1">SUMPRODUCT(SUMIF(INDIRECT("'"&amp;Assemblies[Assy]&amp;"'!"&amp;"C$5:C1000"),$E72,(INDIRECT("'"&amp;Assemblies[Assy]&amp;"'!"&amp;"O$5:O1000"))))</f>
        <v>0</v>
      </c>
      <c r="H72" s="115" t="str" cm="1">
        <f t="array" aca="1" ref="H72" ca="1">TRIM(SUBSTITUTE(_xlfn.ARRAYTOTEXT(IFERROR(CONCATENATE(SUMIF(INDIRECT("'"&amp;Assemblies[Assy]&amp;"'!"&amp;"C$5:C1000"), $E72, INDIRECT("'"&amp;Assemblies[Assy]&amp;"'!"&amp;"O$5:O1000")), "x",Assemblies[Assy],".",IF(SUMIF(INDIRECT("'"&amp;Assemblies[Assy]&amp;"'!"&amp;"C$5:C1000"), $E72, INDIRECT("'"&amp;Assemblies[Assy]&amp;"'!"&amp;"B$5:B1000"))=0,NA(),SUMIF(INDIRECT("'"&amp;Assemblies[Assy]&amp;"'!"&amp;"C$5:C1000"), $E72, INDIRECT("'"&amp;Assemblies[Assy]&amp;"'!"&amp;"A$5:A1000")))),"")), " ,", ""))</f>
        <v>,</v>
      </c>
      <c r="L72" s="134" t="s">
        <v>1382</v>
      </c>
      <c r="M72" s="2" t="s">
        <v>1382</v>
      </c>
      <c r="N72" s="2" t="s">
        <v>1382</v>
      </c>
      <c r="O72" s="2" t="s">
        <v>1382</v>
      </c>
    </row>
    <row r="73" spans="1:15">
      <c r="A73" s="2" t="e">
        <f ca="1">'GF12'!$E$2</f>
        <v>#VALUE!</v>
      </c>
      <c r="B73" s="133" t="s">
        <v>1546</v>
      </c>
      <c r="C73" s="135" t="s">
        <v>1384</v>
      </c>
      <c r="D73" s="115" t="s">
        <v>54</v>
      </c>
      <c r="E73" s="2" t="e">
        <f t="shared" ca="1" si="2"/>
        <v>#VALUE!</v>
      </c>
      <c r="F73" s="2" t="s">
        <v>1547</v>
      </c>
      <c r="G73" s="5" cm="1">
        <f t="array" aca="1" ref="G73" ca="1">SUMPRODUCT(SUMIF(INDIRECT("'"&amp;Assemblies[Assy]&amp;"'!"&amp;"C$5:C1000"),$E73,(INDIRECT("'"&amp;Assemblies[Assy]&amp;"'!"&amp;"O$5:O1000"))))</f>
        <v>0</v>
      </c>
      <c r="H73" s="115" t="str" cm="1">
        <f t="array" aca="1" ref="H73" ca="1">TRIM(SUBSTITUTE(_xlfn.ARRAYTOTEXT(IFERROR(CONCATENATE(SUMIF(INDIRECT("'"&amp;Assemblies[Assy]&amp;"'!"&amp;"C$5:C1000"), $E73, INDIRECT("'"&amp;Assemblies[Assy]&amp;"'!"&amp;"O$5:O1000")), "x",Assemblies[Assy],".",IF(SUMIF(INDIRECT("'"&amp;Assemblies[Assy]&amp;"'!"&amp;"C$5:C1000"), $E73, INDIRECT("'"&amp;Assemblies[Assy]&amp;"'!"&amp;"B$5:B1000"))=0,NA(),SUMIF(INDIRECT("'"&amp;Assemblies[Assy]&amp;"'!"&amp;"C$5:C1000"), $E73, INDIRECT("'"&amp;Assemblies[Assy]&amp;"'!"&amp;"A$5:A1000")))),"")), " ,", ""))</f>
        <v>,</v>
      </c>
      <c r="K73" s="2" t="s">
        <v>1548</v>
      </c>
      <c r="L73" s="134" t="s">
        <v>1382</v>
      </c>
      <c r="M73" s="2" t="s">
        <v>1382</v>
      </c>
      <c r="N73" s="2" t="s">
        <v>1382</v>
      </c>
      <c r="O73" s="2" t="s">
        <v>1382</v>
      </c>
    </row>
    <row r="74" spans="1:15">
      <c r="A74" s="2" t="e">
        <f ca="1">'GF12'!$E$2</f>
        <v>#VALUE!</v>
      </c>
      <c r="B74" s="133" t="s">
        <v>1549</v>
      </c>
      <c r="C74" s="135" t="s">
        <v>1384</v>
      </c>
      <c r="D74" s="115" t="s">
        <v>54</v>
      </c>
      <c r="E74" s="2" t="e">
        <f t="shared" ca="1" si="2"/>
        <v>#VALUE!</v>
      </c>
      <c r="F74" s="2" t="s">
        <v>1550</v>
      </c>
      <c r="G74" s="5" cm="1">
        <f t="array" aca="1" ref="G74" ca="1">SUMPRODUCT(SUMIF(INDIRECT("'"&amp;Assemblies[Assy]&amp;"'!"&amp;"C$5:C1000"),$E74,(INDIRECT("'"&amp;Assemblies[Assy]&amp;"'!"&amp;"O$5:O1000"))))</f>
        <v>0</v>
      </c>
      <c r="H74" s="115" t="str" cm="1">
        <f t="array" aca="1" ref="H74" ca="1">TRIM(SUBSTITUTE(_xlfn.ARRAYTOTEXT(IFERROR(CONCATENATE(SUMIF(INDIRECT("'"&amp;Assemblies[Assy]&amp;"'!"&amp;"C$5:C1000"), $E74, INDIRECT("'"&amp;Assemblies[Assy]&amp;"'!"&amp;"O$5:O1000")), "x",Assemblies[Assy],".",IF(SUMIF(INDIRECT("'"&amp;Assemblies[Assy]&amp;"'!"&amp;"C$5:C1000"), $E74, INDIRECT("'"&amp;Assemblies[Assy]&amp;"'!"&amp;"B$5:B1000"))=0,NA(),SUMIF(INDIRECT("'"&amp;Assemblies[Assy]&amp;"'!"&amp;"C$5:C1000"), $E74, INDIRECT("'"&amp;Assemblies[Assy]&amp;"'!"&amp;"A$5:A1000")))),"")), " ,", ""))</f>
        <v>,</v>
      </c>
      <c r="I74" s="213" t="s">
        <v>1551</v>
      </c>
      <c r="J74" s="213" t="s">
        <v>1551</v>
      </c>
      <c r="K74" s="161"/>
      <c r="L74" s="134" t="s">
        <v>1382</v>
      </c>
      <c r="M74" s="2" t="s">
        <v>1382</v>
      </c>
      <c r="N74" s="2" t="s">
        <v>1382</v>
      </c>
      <c r="O74" s="2" t="s">
        <v>1382</v>
      </c>
    </row>
    <row r="75" spans="1:15">
      <c r="A75" s="2" t="e">
        <f ca="1">'GF12'!$E$2</f>
        <v>#VALUE!</v>
      </c>
      <c r="B75" s="133" t="s">
        <v>1552</v>
      </c>
      <c r="C75" s="135" t="s">
        <v>1384</v>
      </c>
      <c r="D75" s="115" t="s">
        <v>54</v>
      </c>
      <c r="E75" s="2" t="e">
        <f t="shared" ca="1" si="2"/>
        <v>#VALUE!</v>
      </c>
      <c r="F75" s="2" t="s">
        <v>1553</v>
      </c>
      <c r="G75" s="5" cm="1">
        <f t="array" aca="1" ref="G75" ca="1">SUMPRODUCT(SUMIF(INDIRECT("'"&amp;Assemblies[Assy]&amp;"'!"&amp;"C$5:C1000"),$E75,(INDIRECT("'"&amp;Assemblies[Assy]&amp;"'!"&amp;"O$5:O1000"))))</f>
        <v>0</v>
      </c>
      <c r="H75" s="115" t="str" cm="1">
        <f t="array" aca="1" ref="H75" ca="1">TRIM(SUBSTITUTE(_xlfn.ARRAYTOTEXT(IFERROR(CONCATENATE(SUMIF(INDIRECT("'"&amp;Assemblies[Assy]&amp;"'!"&amp;"C$5:C1000"), $E75, INDIRECT("'"&amp;Assemblies[Assy]&amp;"'!"&amp;"O$5:O1000")), "x",Assemblies[Assy],".",IF(SUMIF(INDIRECT("'"&amp;Assemblies[Assy]&amp;"'!"&amp;"C$5:C1000"), $E75, INDIRECT("'"&amp;Assemblies[Assy]&amp;"'!"&amp;"B$5:B1000"))=0,NA(),SUMIF(INDIRECT("'"&amp;Assemblies[Assy]&amp;"'!"&amp;"C$5:C1000"), $E75, INDIRECT("'"&amp;Assemblies[Assy]&amp;"'!"&amp;"A$5:A1000")))),"")), " ,", ""))</f>
        <v>,</v>
      </c>
      <c r="I75" s="213" t="s">
        <v>1551</v>
      </c>
      <c r="J75" s="213" t="s">
        <v>1551</v>
      </c>
      <c r="K75" s="213" t="s">
        <v>1461</v>
      </c>
      <c r="L75" s="134" t="s">
        <v>1382</v>
      </c>
      <c r="M75" s="2" t="s">
        <v>1382</v>
      </c>
      <c r="N75" s="2" t="s">
        <v>1382</v>
      </c>
      <c r="O75" s="2" t="s">
        <v>1382</v>
      </c>
    </row>
    <row r="76" spans="1:15">
      <c r="A76" s="2" t="e">
        <f ca="1">'GF12'!$E$2</f>
        <v>#VALUE!</v>
      </c>
      <c r="B76" s="133" t="s">
        <v>1554</v>
      </c>
      <c r="C76" s="135" t="s">
        <v>1384</v>
      </c>
      <c r="D76" s="115" t="s">
        <v>54</v>
      </c>
      <c r="E76" s="2" t="e">
        <f t="shared" ca="1" si="2"/>
        <v>#VALUE!</v>
      </c>
      <c r="F76" s="2" t="s">
        <v>1555</v>
      </c>
      <c r="G76" s="5" cm="1">
        <f t="array" aca="1" ref="G76" ca="1">SUMPRODUCT(SUMIF(INDIRECT("'"&amp;Assemblies[Assy]&amp;"'!"&amp;"C$5:C1000"),$E76,(INDIRECT("'"&amp;Assemblies[Assy]&amp;"'!"&amp;"O$5:O1000"))))</f>
        <v>0</v>
      </c>
      <c r="H76" s="115" t="str" cm="1">
        <f t="array" aca="1" ref="H76" ca="1">TRIM(SUBSTITUTE(_xlfn.ARRAYTOTEXT(IFERROR(CONCATENATE(SUMIF(INDIRECT("'"&amp;Assemblies[Assy]&amp;"'!"&amp;"C$5:C1000"), $E76, INDIRECT("'"&amp;Assemblies[Assy]&amp;"'!"&amp;"O$5:O1000")), "x",Assemblies[Assy],".",IF(SUMIF(INDIRECT("'"&amp;Assemblies[Assy]&amp;"'!"&amp;"C$5:C1000"), $E76, INDIRECT("'"&amp;Assemblies[Assy]&amp;"'!"&amp;"B$5:B1000"))=0,NA(),SUMIF(INDIRECT("'"&amp;Assemblies[Assy]&amp;"'!"&amp;"C$5:C1000"), $E76, INDIRECT("'"&amp;Assemblies[Assy]&amp;"'!"&amp;"A$5:A1000")))),"")), " ,", ""))</f>
        <v>,</v>
      </c>
      <c r="I76" s="213" t="s">
        <v>1551</v>
      </c>
      <c r="J76" s="213" t="s">
        <v>1551</v>
      </c>
      <c r="K76" s="213" t="s">
        <v>1461</v>
      </c>
      <c r="L76" s="134" t="s">
        <v>1382</v>
      </c>
      <c r="M76" s="2" t="s">
        <v>1382</v>
      </c>
      <c r="N76" s="2" t="s">
        <v>1382</v>
      </c>
      <c r="O76" s="2" t="s">
        <v>1382</v>
      </c>
    </row>
    <row r="77" spans="1:15">
      <c r="A77" s="2" t="e">
        <f ca="1">'GF12'!$E$2</f>
        <v>#VALUE!</v>
      </c>
      <c r="B77" s="133" t="s">
        <v>1556</v>
      </c>
      <c r="C77" s="135" t="s">
        <v>1384</v>
      </c>
      <c r="D77" s="115" t="s">
        <v>54</v>
      </c>
      <c r="E77" s="2" t="e">
        <f t="shared" ca="1" si="2"/>
        <v>#VALUE!</v>
      </c>
      <c r="F77" s="2" t="s">
        <v>1557</v>
      </c>
      <c r="G77" s="5" cm="1">
        <f t="array" aca="1" ref="G77" ca="1">SUMPRODUCT(SUMIF(INDIRECT("'"&amp;Assemblies[Assy]&amp;"'!"&amp;"C$5:C1000"),$E77,(INDIRECT("'"&amp;Assemblies[Assy]&amp;"'!"&amp;"O$5:O1000"))))</f>
        <v>0</v>
      </c>
      <c r="H77" s="115" t="str" cm="1">
        <f t="array" aca="1" ref="H77" ca="1">TRIM(SUBSTITUTE(_xlfn.ARRAYTOTEXT(IFERROR(CONCATENATE(SUMIF(INDIRECT("'"&amp;Assemblies[Assy]&amp;"'!"&amp;"C$5:C1000"), $E77, INDIRECT("'"&amp;Assemblies[Assy]&amp;"'!"&amp;"O$5:O1000")), "x",Assemblies[Assy],".",IF(SUMIF(INDIRECT("'"&amp;Assemblies[Assy]&amp;"'!"&amp;"C$5:C1000"), $E77, INDIRECT("'"&amp;Assemblies[Assy]&amp;"'!"&amp;"B$5:B1000"))=0,NA(),SUMIF(INDIRECT("'"&amp;Assemblies[Assy]&amp;"'!"&amp;"C$5:C1000"), $E77, INDIRECT("'"&amp;Assemblies[Assy]&amp;"'!"&amp;"A$5:A1000")))),"")), " ,", ""))</f>
        <v>,</v>
      </c>
      <c r="I77" s="213" t="s">
        <v>1551</v>
      </c>
      <c r="J77" s="213" t="s">
        <v>1551</v>
      </c>
      <c r="K77" s="213" t="s">
        <v>1461</v>
      </c>
      <c r="L77" s="134" t="s">
        <v>1382</v>
      </c>
      <c r="M77" s="2" t="s">
        <v>1382</v>
      </c>
      <c r="N77" s="2" t="s">
        <v>1382</v>
      </c>
      <c r="O77" s="2" t="s">
        <v>1382</v>
      </c>
    </row>
    <row r="78" spans="1:15">
      <c r="A78" s="2" t="e">
        <f ca="1">'GF12'!$E$2</f>
        <v>#VALUE!</v>
      </c>
      <c r="B78" s="133" t="s">
        <v>1558</v>
      </c>
      <c r="C78" s="135" t="s">
        <v>1384</v>
      </c>
      <c r="D78" s="115" t="s">
        <v>54</v>
      </c>
      <c r="E78" s="2" t="e">
        <f t="shared" ca="1" si="2"/>
        <v>#VALUE!</v>
      </c>
      <c r="F78" s="2" t="s">
        <v>1559</v>
      </c>
      <c r="G78" s="5" cm="1">
        <f t="array" aca="1" ref="G78" ca="1">SUMPRODUCT(SUMIF(INDIRECT("'"&amp;Assemblies[Assy]&amp;"'!"&amp;"C$5:C1000"),$E78,(INDIRECT("'"&amp;Assemblies[Assy]&amp;"'!"&amp;"O$5:O1000"))))</f>
        <v>0</v>
      </c>
      <c r="H78" s="115" t="str" cm="1">
        <f t="array" aca="1" ref="H78" ca="1">TRIM(SUBSTITUTE(_xlfn.ARRAYTOTEXT(IFERROR(CONCATENATE(SUMIF(INDIRECT("'"&amp;Assemblies[Assy]&amp;"'!"&amp;"C$5:C1000"), $E78, INDIRECT("'"&amp;Assemblies[Assy]&amp;"'!"&amp;"O$5:O1000")), "x",Assemblies[Assy],".",IF(SUMIF(INDIRECT("'"&amp;Assemblies[Assy]&amp;"'!"&amp;"C$5:C1000"), $E78, INDIRECT("'"&amp;Assemblies[Assy]&amp;"'!"&amp;"B$5:B1000"))=0,NA(),SUMIF(INDIRECT("'"&amp;Assemblies[Assy]&amp;"'!"&amp;"C$5:C1000"), $E78, INDIRECT("'"&amp;Assemblies[Assy]&amp;"'!"&amp;"A$5:A1000")))),"")), " ,", ""))</f>
        <v>,</v>
      </c>
      <c r="I78" s="213" t="s">
        <v>1551</v>
      </c>
      <c r="J78" s="213" t="s">
        <v>1551</v>
      </c>
      <c r="K78" s="2" t="s">
        <v>1560</v>
      </c>
      <c r="L78" s="134" t="s">
        <v>1382</v>
      </c>
      <c r="M78" s="2" t="s">
        <v>1382</v>
      </c>
      <c r="N78" s="2" t="s">
        <v>1382</v>
      </c>
      <c r="O78" s="2" t="s">
        <v>1382</v>
      </c>
    </row>
    <row r="79" spans="1:15">
      <c r="A79" s="2" t="e">
        <f ca="1">'GF12'!$E$2</f>
        <v>#VALUE!</v>
      </c>
      <c r="B79" s="133" t="s">
        <v>1561</v>
      </c>
      <c r="C79" s="135" t="s">
        <v>1384</v>
      </c>
      <c r="D79" s="115" t="s">
        <v>54</v>
      </c>
      <c r="E79" s="2" t="e">
        <f t="shared" ca="1" si="2"/>
        <v>#VALUE!</v>
      </c>
      <c r="F79" s="2" t="s">
        <v>1562</v>
      </c>
      <c r="G79" s="5" cm="1">
        <f t="array" aca="1" ref="G79" ca="1">SUMPRODUCT(SUMIF(INDIRECT("'"&amp;Assemblies[Assy]&amp;"'!"&amp;"C$5:C1000"),$E79,(INDIRECT("'"&amp;Assemblies[Assy]&amp;"'!"&amp;"O$5:O1000"))))</f>
        <v>0</v>
      </c>
      <c r="H79" s="115" t="str" cm="1">
        <f t="array" aca="1" ref="H79" ca="1">TRIM(SUBSTITUTE(_xlfn.ARRAYTOTEXT(IFERROR(CONCATENATE(SUMIF(INDIRECT("'"&amp;Assemblies[Assy]&amp;"'!"&amp;"C$5:C1000"), $E79, INDIRECT("'"&amp;Assemblies[Assy]&amp;"'!"&amp;"O$5:O1000")), "x",Assemblies[Assy],".",IF(SUMIF(INDIRECT("'"&amp;Assemblies[Assy]&amp;"'!"&amp;"C$5:C1000"), $E79, INDIRECT("'"&amp;Assemblies[Assy]&amp;"'!"&amp;"B$5:B1000"))=0,NA(),SUMIF(INDIRECT("'"&amp;Assemblies[Assy]&amp;"'!"&amp;"C$5:C1000"), $E79, INDIRECT("'"&amp;Assemblies[Assy]&amp;"'!"&amp;"A$5:A1000")))),"")), " ,", ""))</f>
        <v>,</v>
      </c>
      <c r="I79" s="213" t="s">
        <v>1551</v>
      </c>
      <c r="J79" s="213" t="s">
        <v>1551</v>
      </c>
      <c r="K79" s="2" t="s">
        <v>1563</v>
      </c>
      <c r="L79" s="134" t="s">
        <v>1382</v>
      </c>
      <c r="M79" s="2" t="s">
        <v>1382</v>
      </c>
      <c r="N79" s="2" t="s">
        <v>1382</v>
      </c>
      <c r="O79" s="2" t="s">
        <v>1382</v>
      </c>
    </row>
    <row r="80" spans="1:15">
      <c r="A80" s="2" t="e">
        <f ca="1">'GF12'!$E$2</f>
        <v>#VALUE!</v>
      </c>
      <c r="B80" s="133" t="s">
        <v>1564</v>
      </c>
      <c r="C80" s="135" t="s">
        <v>1384</v>
      </c>
      <c r="D80" s="115" t="s">
        <v>54</v>
      </c>
      <c r="E80" s="2" t="e">
        <f t="shared" ca="1" si="2"/>
        <v>#VALUE!</v>
      </c>
      <c r="F80" s="2" t="s">
        <v>1565</v>
      </c>
      <c r="G80" s="5" cm="1">
        <f t="array" aca="1" ref="G80" ca="1">SUMPRODUCT(SUMIF(INDIRECT("'"&amp;Assemblies[Assy]&amp;"'!"&amp;"C$5:C1000"),$E80,(INDIRECT("'"&amp;Assemblies[Assy]&amp;"'!"&amp;"O$5:O1000"))))</f>
        <v>0</v>
      </c>
      <c r="H80" s="115" t="str" cm="1">
        <f t="array" aca="1" ref="H80" ca="1">TRIM(SUBSTITUTE(_xlfn.ARRAYTOTEXT(IFERROR(CONCATENATE(SUMIF(INDIRECT("'"&amp;Assemblies[Assy]&amp;"'!"&amp;"C$5:C1000"), $E80, INDIRECT("'"&amp;Assemblies[Assy]&amp;"'!"&amp;"O$5:O1000")), "x",Assemblies[Assy],".",IF(SUMIF(INDIRECT("'"&amp;Assemblies[Assy]&amp;"'!"&amp;"C$5:C1000"), $E80, INDIRECT("'"&amp;Assemblies[Assy]&amp;"'!"&amp;"B$5:B1000"))=0,NA(),SUMIF(INDIRECT("'"&amp;Assemblies[Assy]&amp;"'!"&amp;"C$5:C1000"), $E80, INDIRECT("'"&amp;Assemblies[Assy]&amp;"'!"&amp;"A$5:A1000")))),"")), " ,", ""))</f>
        <v>,</v>
      </c>
      <c r="I80" s="213" t="s">
        <v>1551</v>
      </c>
      <c r="J80" s="213" t="s">
        <v>1551</v>
      </c>
      <c r="K80" s="213" t="s">
        <v>1461</v>
      </c>
      <c r="L80" s="134" t="s">
        <v>1382</v>
      </c>
      <c r="M80" s="2" t="s">
        <v>1382</v>
      </c>
      <c r="N80" s="2" t="s">
        <v>1382</v>
      </c>
      <c r="O80" s="2" t="s">
        <v>1382</v>
      </c>
    </row>
    <row r="81" spans="1:15">
      <c r="A81" s="2" t="e">
        <f ca="1">'GF12'!$E$2</f>
        <v>#VALUE!</v>
      </c>
      <c r="B81" s="133" t="s">
        <v>1566</v>
      </c>
      <c r="C81" s="135" t="s">
        <v>1384</v>
      </c>
      <c r="D81" s="115" t="s">
        <v>54</v>
      </c>
      <c r="E81" s="2" t="e">
        <f t="shared" ca="1" si="2"/>
        <v>#VALUE!</v>
      </c>
      <c r="F81" s="2" t="s">
        <v>1567</v>
      </c>
      <c r="G81" s="5" cm="1">
        <f t="array" aca="1" ref="G81" ca="1">SUMPRODUCT(SUMIF(INDIRECT("'"&amp;Assemblies[Assy]&amp;"'!"&amp;"C$5:C1000"),$E81,(INDIRECT("'"&amp;Assemblies[Assy]&amp;"'!"&amp;"O$5:O1000"))))</f>
        <v>0</v>
      </c>
      <c r="H81" s="115" t="str" cm="1">
        <f t="array" aca="1" ref="H81" ca="1">TRIM(SUBSTITUTE(_xlfn.ARRAYTOTEXT(IFERROR(CONCATENATE(SUMIF(INDIRECT("'"&amp;Assemblies[Assy]&amp;"'!"&amp;"C$5:C1000"), $E81, INDIRECT("'"&amp;Assemblies[Assy]&amp;"'!"&amp;"O$5:O1000")), "x",Assemblies[Assy],".",IF(SUMIF(INDIRECT("'"&amp;Assemblies[Assy]&amp;"'!"&amp;"C$5:C1000"), $E81, INDIRECT("'"&amp;Assemblies[Assy]&amp;"'!"&amp;"B$5:B1000"))=0,NA(),SUMIF(INDIRECT("'"&amp;Assemblies[Assy]&amp;"'!"&amp;"C$5:C1000"), $E81, INDIRECT("'"&amp;Assemblies[Assy]&amp;"'!"&amp;"A$5:A1000")))),"")), " ,", ""))</f>
        <v>,</v>
      </c>
      <c r="I81" s="213" t="s">
        <v>1551</v>
      </c>
      <c r="J81" s="213" t="s">
        <v>1551</v>
      </c>
      <c r="K81" s="213" t="s">
        <v>1461</v>
      </c>
      <c r="L81" s="134" t="s">
        <v>1382</v>
      </c>
      <c r="M81" s="2" t="s">
        <v>1382</v>
      </c>
      <c r="N81" s="2" t="s">
        <v>1382</v>
      </c>
      <c r="O81" s="2" t="s">
        <v>1382</v>
      </c>
    </row>
    <row r="82" spans="1:15">
      <c r="A82" s="2" t="e">
        <f ca="1">'GF12'!$E$2</f>
        <v>#VALUE!</v>
      </c>
      <c r="B82" s="133" t="s">
        <v>1568</v>
      </c>
      <c r="C82" s="135" t="s">
        <v>1384</v>
      </c>
      <c r="D82" s="115" t="s">
        <v>54</v>
      </c>
      <c r="E82" s="2" t="e">
        <f t="shared" ca="1" si="2"/>
        <v>#VALUE!</v>
      </c>
      <c r="F82" s="2" t="s">
        <v>1569</v>
      </c>
      <c r="G82" s="5" cm="1">
        <f t="array" aca="1" ref="G82" ca="1">SUMPRODUCT(SUMIF(INDIRECT("'"&amp;Assemblies[Assy]&amp;"'!"&amp;"C$5:C1000"),$E82,(INDIRECT("'"&amp;Assemblies[Assy]&amp;"'!"&amp;"O$5:O1000"))))</f>
        <v>0</v>
      </c>
      <c r="H82" s="115" t="str" cm="1">
        <f t="array" aca="1" ref="H82" ca="1">TRIM(SUBSTITUTE(_xlfn.ARRAYTOTEXT(IFERROR(CONCATENATE(SUMIF(INDIRECT("'"&amp;Assemblies[Assy]&amp;"'!"&amp;"C$5:C1000"), $E82, INDIRECT("'"&amp;Assemblies[Assy]&amp;"'!"&amp;"O$5:O1000")), "x",Assemblies[Assy],".",IF(SUMIF(INDIRECT("'"&amp;Assemblies[Assy]&amp;"'!"&amp;"C$5:C1000"), $E82, INDIRECT("'"&amp;Assemblies[Assy]&amp;"'!"&amp;"B$5:B1000"))=0,NA(),SUMIF(INDIRECT("'"&amp;Assemblies[Assy]&amp;"'!"&amp;"C$5:C1000"), $E82, INDIRECT("'"&amp;Assemblies[Assy]&amp;"'!"&amp;"A$5:A1000")))),"")), " ,", ""))</f>
        <v>,</v>
      </c>
      <c r="I82" s="213" t="s">
        <v>1551</v>
      </c>
      <c r="J82" s="213" t="s">
        <v>1551</v>
      </c>
      <c r="K82" s="213" t="s">
        <v>1461</v>
      </c>
      <c r="L82" s="134" t="s">
        <v>1382</v>
      </c>
      <c r="M82" s="2" t="s">
        <v>1382</v>
      </c>
      <c r="N82" s="2" t="s">
        <v>1382</v>
      </c>
      <c r="O82" s="2" t="s">
        <v>1382</v>
      </c>
    </row>
    <row r="83" spans="1:15">
      <c r="A83" s="2" t="e">
        <f ca="1">'GF12'!$E$2</f>
        <v>#VALUE!</v>
      </c>
      <c r="B83" s="133" t="s">
        <v>1570</v>
      </c>
      <c r="C83" s="135" t="s">
        <v>1384</v>
      </c>
      <c r="D83" s="115" t="s">
        <v>54</v>
      </c>
      <c r="E83" s="2" t="e">
        <f t="shared" ca="1" si="2"/>
        <v>#VALUE!</v>
      </c>
      <c r="F83" s="2" t="s">
        <v>1571</v>
      </c>
      <c r="G83" s="5" cm="1">
        <f t="array" aca="1" ref="G83" ca="1">SUMPRODUCT(SUMIF(INDIRECT("'"&amp;Assemblies[Assy]&amp;"'!"&amp;"C$5:C1000"),$E83,(INDIRECT("'"&amp;Assemblies[Assy]&amp;"'!"&amp;"O$5:O1000"))))</f>
        <v>0</v>
      </c>
      <c r="H83" s="115" t="str" cm="1">
        <f t="array" aca="1" ref="H83" ca="1">TRIM(SUBSTITUTE(_xlfn.ARRAYTOTEXT(IFERROR(CONCATENATE(SUMIF(INDIRECT("'"&amp;Assemblies[Assy]&amp;"'!"&amp;"C$5:C1000"), $E83, INDIRECT("'"&amp;Assemblies[Assy]&amp;"'!"&amp;"O$5:O1000")), "x",Assemblies[Assy],".",IF(SUMIF(INDIRECT("'"&amp;Assemblies[Assy]&amp;"'!"&amp;"C$5:C1000"), $E83, INDIRECT("'"&amp;Assemblies[Assy]&amp;"'!"&amp;"B$5:B1000"))=0,NA(),SUMIF(INDIRECT("'"&amp;Assemblies[Assy]&amp;"'!"&amp;"C$5:C1000"), $E83, INDIRECT("'"&amp;Assemblies[Assy]&amp;"'!"&amp;"A$5:A1000")))),"")), " ,", ""))</f>
        <v>,</v>
      </c>
      <c r="I83" s="213" t="s">
        <v>1551</v>
      </c>
      <c r="J83" s="213" t="s">
        <v>1551</v>
      </c>
      <c r="L83" s="134" t="s">
        <v>1382</v>
      </c>
      <c r="M83" s="2" t="s">
        <v>1382</v>
      </c>
      <c r="N83" s="2" t="s">
        <v>1382</v>
      </c>
      <c r="O83" s="2" t="s">
        <v>1382</v>
      </c>
    </row>
    <row r="84" spans="1:15">
      <c r="A84" s="2" t="e">
        <f ca="1">'GF12'!$E$2</f>
        <v>#VALUE!</v>
      </c>
      <c r="B84" s="133" t="s">
        <v>1572</v>
      </c>
      <c r="C84" s="135" t="s">
        <v>1384</v>
      </c>
      <c r="D84" s="115" t="s">
        <v>54</v>
      </c>
      <c r="E84" s="2" t="e">
        <f t="shared" ca="1" si="2"/>
        <v>#VALUE!</v>
      </c>
      <c r="F84" s="2" t="s">
        <v>1573</v>
      </c>
      <c r="G84" s="5" cm="1">
        <f t="array" aca="1" ref="G84" ca="1">SUMPRODUCT(SUMIF(INDIRECT("'"&amp;Assemblies[Assy]&amp;"'!"&amp;"C$5:C1000"),$E84,(INDIRECT("'"&amp;Assemblies[Assy]&amp;"'!"&amp;"O$5:O1000"))))</f>
        <v>0</v>
      </c>
      <c r="H84" s="115" t="str" cm="1">
        <f t="array" aca="1" ref="H84" ca="1">TRIM(SUBSTITUTE(_xlfn.ARRAYTOTEXT(IFERROR(CONCATENATE(SUMIF(INDIRECT("'"&amp;Assemblies[Assy]&amp;"'!"&amp;"C$5:C1000"), $E84, INDIRECT("'"&amp;Assemblies[Assy]&amp;"'!"&amp;"O$5:O1000")), "x",Assemblies[Assy],".",IF(SUMIF(INDIRECT("'"&amp;Assemblies[Assy]&amp;"'!"&amp;"C$5:C1000"), $E84, INDIRECT("'"&amp;Assemblies[Assy]&amp;"'!"&amp;"B$5:B1000"))=0,NA(),SUMIF(INDIRECT("'"&amp;Assemblies[Assy]&amp;"'!"&amp;"C$5:C1000"), $E84, INDIRECT("'"&amp;Assemblies[Assy]&amp;"'!"&amp;"A$5:A1000")))),"")), " ,", ""))</f>
        <v>,</v>
      </c>
      <c r="I84" s="213" t="s">
        <v>1574</v>
      </c>
      <c r="J84" s="213" t="s">
        <v>1574</v>
      </c>
      <c r="K84" s="2" t="s">
        <v>1575</v>
      </c>
      <c r="L84" s="134" t="s">
        <v>1382</v>
      </c>
      <c r="M84" s="2" t="s">
        <v>1382</v>
      </c>
      <c r="N84" s="2" t="s">
        <v>1382</v>
      </c>
      <c r="O84" s="2" t="s">
        <v>1382</v>
      </c>
    </row>
    <row r="85" spans="1:15">
      <c r="A85" s="2" t="e">
        <f ca="1">'GF12'!$E$2</f>
        <v>#VALUE!</v>
      </c>
      <c r="B85" s="133" t="s">
        <v>1576</v>
      </c>
      <c r="C85" s="135" t="s">
        <v>1384</v>
      </c>
      <c r="D85" s="115" t="s">
        <v>54</v>
      </c>
      <c r="E85" s="2" t="e">
        <f t="shared" ca="1" si="2"/>
        <v>#VALUE!</v>
      </c>
      <c r="F85" s="2" t="s">
        <v>1550</v>
      </c>
      <c r="G85" s="5" cm="1">
        <f t="array" aca="1" ref="G85" ca="1">SUMPRODUCT(SUMIF(INDIRECT("'"&amp;Assemblies[Assy]&amp;"'!"&amp;"C$5:C1000"),$E85,(INDIRECT("'"&amp;Assemblies[Assy]&amp;"'!"&amp;"O$5:O1000"))))</f>
        <v>0</v>
      </c>
      <c r="H85" s="115" t="str" cm="1">
        <f t="array" aca="1" ref="H85" ca="1">TRIM(SUBSTITUTE(_xlfn.ARRAYTOTEXT(IFERROR(CONCATENATE(SUMIF(INDIRECT("'"&amp;Assemblies[Assy]&amp;"'!"&amp;"C$5:C1000"), $E85, INDIRECT("'"&amp;Assemblies[Assy]&amp;"'!"&amp;"O$5:O1000")), "x",Assemblies[Assy],".",IF(SUMIF(INDIRECT("'"&amp;Assemblies[Assy]&amp;"'!"&amp;"C$5:C1000"), $E85, INDIRECT("'"&amp;Assemblies[Assy]&amp;"'!"&amp;"B$5:B1000"))=0,NA(),SUMIF(INDIRECT("'"&amp;Assemblies[Assy]&amp;"'!"&amp;"C$5:C1000"), $E85, INDIRECT("'"&amp;Assemblies[Assy]&amp;"'!"&amp;"A$5:A1000")))),"")), " ,", ""))</f>
        <v>,</v>
      </c>
      <c r="I85" s="213" t="s">
        <v>1574</v>
      </c>
      <c r="J85" s="213" t="s">
        <v>1574</v>
      </c>
      <c r="K85" s="2" t="s">
        <v>1577</v>
      </c>
      <c r="L85" s="134" t="s">
        <v>1382</v>
      </c>
      <c r="M85" s="2" t="s">
        <v>1382</v>
      </c>
      <c r="N85" s="2" t="s">
        <v>1382</v>
      </c>
      <c r="O85" s="2" t="s">
        <v>1382</v>
      </c>
    </row>
    <row r="86" spans="1:15">
      <c r="A86" s="2" t="e">
        <f ca="1">'GF12'!$E$2</f>
        <v>#VALUE!</v>
      </c>
      <c r="B86" s="133" t="s">
        <v>1578</v>
      </c>
      <c r="C86" s="135" t="s">
        <v>1384</v>
      </c>
      <c r="D86" s="115" t="s">
        <v>54</v>
      </c>
      <c r="E86" s="2" t="e">
        <f t="shared" ca="1" si="2"/>
        <v>#VALUE!</v>
      </c>
      <c r="F86" s="2" t="s">
        <v>1579</v>
      </c>
      <c r="G86" s="5" cm="1">
        <f t="array" aca="1" ref="G86" ca="1">SUMPRODUCT(SUMIF(INDIRECT("'"&amp;Assemblies[Assy]&amp;"'!"&amp;"C$5:C1000"),$E86,(INDIRECT("'"&amp;Assemblies[Assy]&amp;"'!"&amp;"O$5:O1000"))))</f>
        <v>0</v>
      </c>
      <c r="H86" s="115" t="str" cm="1">
        <f t="array" aca="1" ref="H86" ca="1">TRIM(SUBSTITUTE(_xlfn.ARRAYTOTEXT(IFERROR(CONCATENATE(SUMIF(INDIRECT("'"&amp;Assemblies[Assy]&amp;"'!"&amp;"C$5:C1000"), $E86, INDIRECT("'"&amp;Assemblies[Assy]&amp;"'!"&amp;"O$5:O1000")), "x",Assemblies[Assy],".",IF(SUMIF(INDIRECT("'"&amp;Assemblies[Assy]&amp;"'!"&amp;"C$5:C1000"), $E86, INDIRECT("'"&amp;Assemblies[Assy]&amp;"'!"&amp;"B$5:B1000"))=0,NA(),SUMIF(INDIRECT("'"&amp;Assemblies[Assy]&amp;"'!"&amp;"C$5:C1000"), $E86, INDIRECT("'"&amp;Assemblies[Assy]&amp;"'!"&amp;"A$5:A1000")))),"")), " ,", ""))</f>
        <v>,</v>
      </c>
      <c r="I86" s="213" t="s">
        <v>1580</v>
      </c>
      <c r="J86" s="213" t="s">
        <v>1580</v>
      </c>
      <c r="K86" s="2" t="s">
        <v>1581</v>
      </c>
      <c r="L86" s="134" t="s">
        <v>1382</v>
      </c>
      <c r="M86" s="2" t="s">
        <v>1382</v>
      </c>
      <c r="N86" s="2" t="s">
        <v>1382</v>
      </c>
      <c r="O86" s="2" t="s">
        <v>1382</v>
      </c>
    </row>
    <row r="87" spans="1:15">
      <c r="A87" s="2" t="e">
        <f ca="1">'GF12'!$E$2</f>
        <v>#VALUE!</v>
      </c>
      <c r="B87" s="133" t="s">
        <v>1582</v>
      </c>
      <c r="C87" s="135" t="s">
        <v>1384</v>
      </c>
      <c r="D87" s="115" t="s">
        <v>54</v>
      </c>
      <c r="E87" s="2" t="e">
        <f t="shared" ca="1" si="2"/>
        <v>#VALUE!</v>
      </c>
      <c r="F87" s="2" t="s">
        <v>1583</v>
      </c>
      <c r="G87" s="5" cm="1">
        <f t="array" aca="1" ref="G87" ca="1">SUMPRODUCT(SUMIF(INDIRECT("'"&amp;Assemblies[Assy]&amp;"'!"&amp;"C$5:C1000"),$E87,(INDIRECT("'"&amp;Assemblies[Assy]&amp;"'!"&amp;"O$5:O1000"))))</f>
        <v>0</v>
      </c>
      <c r="H87" s="115" t="str" cm="1">
        <f t="array" aca="1" ref="H87" ca="1">TRIM(SUBSTITUTE(_xlfn.ARRAYTOTEXT(IFERROR(CONCATENATE(SUMIF(INDIRECT("'"&amp;Assemblies[Assy]&amp;"'!"&amp;"C$5:C1000"), $E87, INDIRECT("'"&amp;Assemblies[Assy]&amp;"'!"&amp;"O$5:O1000")), "x",Assemblies[Assy],".",IF(SUMIF(INDIRECT("'"&amp;Assemblies[Assy]&amp;"'!"&amp;"C$5:C1000"), $E87, INDIRECT("'"&amp;Assemblies[Assy]&amp;"'!"&amp;"B$5:B1000"))=0,NA(),SUMIF(INDIRECT("'"&amp;Assemblies[Assy]&amp;"'!"&amp;"C$5:C1000"), $E87, INDIRECT("'"&amp;Assemblies[Assy]&amp;"'!"&amp;"A$5:A1000")))),"")), " ,", ""))</f>
        <v>,</v>
      </c>
      <c r="I87" s="213" t="s">
        <v>1580</v>
      </c>
      <c r="J87" s="213" t="s">
        <v>1580</v>
      </c>
      <c r="K87" s="2" t="s">
        <v>1584</v>
      </c>
      <c r="L87" s="134" t="s">
        <v>1382</v>
      </c>
      <c r="M87" s="2" t="s">
        <v>1382</v>
      </c>
      <c r="N87" s="2" t="s">
        <v>1382</v>
      </c>
      <c r="O87" s="2" t="s">
        <v>1382</v>
      </c>
    </row>
    <row r="88" spans="1:15">
      <c r="A88" s="2" t="e">
        <f ca="1">'GF12'!$E$2</f>
        <v>#VALUE!</v>
      </c>
      <c r="B88" s="133" t="s">
        <v>1585</v>
      </c>
      <c r="C88" s="135" t="s">
        <v>1384</v>
      </c>
      <c r="D88" s="115" t="s">
        <v>54</v>
      </c>
      <c r="E88" s="2" t="e">
        <f t="shared" ca="1" si="2"/>
        <v>#VALUE!</v>
      </c>
      <c r="F88" s="2" t="s">
        <v>1586</v>
      </c>
      <c r="G88" s="5" cm="1">
        <f t="array" aca="1" ref="G88" ca="1">SUMPRODUCT(SUMIF(INDIRECT("'"&amp;Assemblies[Assy]&amp;"'!"&amp;"C$5:C1000"),$E88,(INDIRECT("'"&amp;Assemblies[Assy]&amp;"'!"&amp;"O$5:O1000"))))</f>
        <v>0</v>
      </c>
      <c r="H88" s="115" t="str" cm="1">
        <f t="array" aca="1" ref="H88" ca="1">TRIM(SUBSTITUTE(_xlfn.ARRAYTOTEXT(IFERROR(CONCATENATE(SUMIF(INDIRECT("'"&amp;Assemblies[Assy]&amp;"'!"&amp;"C$5:C1000"), $E88, INDIRECT("'"&amp;Assemblies[Assy]&amp;"'!"&amp;"O$5:O1000")), "x",Assemblies[Assy],".",IF(SUMIF(INDIRECT("'"&amp;Assemblies[Assy]&amp;"'!"&amp;"C$5:C1000"), $E88, INDIRECT("'"&amp;Assemblies[Assy]&amp;"'!"&amp;"B$5:B1000"))=0,NA(),SUMIF(INDIRECT("'"&amp;Assemblies[Assy]&amp;"'!"&amp;"C$5:C1000"), $E88, INDIRECT("'"&amp;Assemblies[Assy]&amp;"'!"&amp;"A$5:A1000")))),"")), " ,", ""))</f>
        <v>,</v>
      </c>
      <c r="I88" s="213" t="s">
        <v>1580</v>
      </c>
      <c r="J88" s="213" t="s">
        <v>1580</v>
      </c>
      <c r="K88" s="2" t="s">
        <v>1587</v>
      </c>
      <c r="L88" s="134" t="s">
        <v>1382</v>
      </c>
      <c r="M88" s="2" t="s">
        <v>1382</v>
      </c>
      <c r="N88" s="2" t="s">
        <v>1382</v>
      </c>
      <c r="O88" s="2" t="s">
        <v>1382</v>
      </c>
    </row>
    <row r="89" spans="1:15">
      <c r="A89" s="2" t="e">
        <f ca="1">'GF12'!$E$2</f>
        <v>#VALUE!</v>
      </c>
      <c r="B89" s="133" t="s">
        <v>1588</v>
      </c>
      <c r="C89" s="135" t="s">
        <v>1384</v>
      </c>
      <c r="D89" s="115" t="s">
        <v>54</v>
      </c>
      <c r="E89" s="2" t="e">
        <f t="shared" ca="1" si="2"/>
        <v>#VALUE!</v>
      </c>
      <c r="F89" s="2" t="s">
        <v>1589</v>
      </c>
      <c r="G89" s="5" cm="1">
        <f t="array" aca="1" ref="G89" ca="1">SUMPRODUCT(SUMIF(INDIRECT("'"&amp;Assemblies[Assy]&amp;"'!"&amp;"C$5:C1000"),$E89,(INDIRECT("'"&amp;Assemblies[Assy]&amp;"'!"&amp;"O$5:O1000"))))</f>
        <v>0</v>
      </c>
      <c r="H89" s="115" t="str" cm="1">
        <f t="array" aca="1" ref="H89" ca="1">TRIM(SUBSTITUTE(_xlfn.ARRAYTOTEXT(IFERROR(CONCATENATE(SUMIF(INDIRECT("'"&amp;Assemblies[Assy]&amp;"'!"&amp;"C$5:C1000"), $E89, INDIRECT("'"&amp;Assemblies[Assy]&amp;"'!"&amp;"O$5:O1000")), "x",Assemblies[Assy],".",IF(SUMIF(INDIRECT("'"&amp;Assemblies[Assy]&amp;"'!"&amp;"C$5:C1000"), $E89, INDIRECT("'"&amp;Assemblies[Assy]&amp;"'!"&amp;"B$5:B1000"))=0,NA(),SUMIF(INDIRECT("'"&amp;Assemblies[Assy]&amp;"'!"&amp;"C$5:C1000"), $E89, INDIRECT("'"&amp;Assemblies[Assy]&amp;"'!"&amp;"A$5:A1000")))),"")), " ,", ""))</f>
        <v>,</v>
      </c>
      <c r="I89" s="213" t="s">
        <v>1580</v>
      </c>
      <c r="J89" s="213" t="s">
        <v>1580</v>
      </c>
      <c r="K89" s="2" t="s">
        <v>1590</v>
      </c>
      <c r="L89" s="134" t="s">
        <v>1382</v>
      </c>
      <c r="M89" s="2" t="s">
        <v>1382</v>
      </c>
      <c r="N89" s="2" t="s">
        <v>1382</v>
      </c>
      <c r="O89" s="2" t="s">
        <v>1382</v>
      </c>
    </row>
    <row r="90" spans="1:15">
      <c r="A90" s="2" t="e">
        <f ca="1">'GF12'!$E$2</f>
        <v>#VALUE!</v>
      </c>
      <c r="B90" s="133" t="s">
        <v>1591</v>
      </c>
      <c r="C90" s="135" t="s">
        <v>1384</v>
      </c>
      <c r="D90" s="115" t="s">
        <v>54</v>
      </c>
      <c r="E90" s="2" t="e">
        <f t="shared" ca="1" si="2"/>
        <v>#VALUE!</v>
      </c>
      <c r="F90" s="2" t="s">
        <v>1592</v>
      </c>
      <c r="G90" s="5" cm="1">
        <f t="array" aca="1" ref="G90" ca="1">SUMPRODUCT(SUMIF(INDIRECT("'"&amp;Assemblies[Assy]&amp;"'!"&amp;"C$5:C1000"),$E90,(INDIRECT("'"&amp;Assemblies[Assy]&amp;"'!"&amp;"O$5:O1000"))))</f>
        <v>0</v>
      </c>
      <c r="H90" s="115" t="str" cm="1">
        <f t="array" aca="1" ref="H90" ca="1">TRIM(SUBSTITUTE(_xlfn.ARRAYTOTEXT(IFERROR(CONCATENATE(SUMIF(INDIRECT("'"&amp;Assemblies[Assy]&amp;"'!"&amp;"C$5:C1000"), $E90, INDIRECT("'"&amp;Assemblies[Assy]&amp;"'!"&amp;"O$5:O1000")), "x",Assemblies[Assy],".",IF(SUMIF(INDIRECT("'"&amp;Assemblies[Assy]&amp;"'!"&amp;"C$5:C1000"), $E90, INDIRECT("'"&amp;Assemblies[Assy]&amp;"'!"&amp;"B$5:B1000"))=0,NA(),SUMIF(INDIRECT("'"&amp;Assemblies[Assy]&amp;"'!"&amp;"C$5:C1000"), $E90, INDIRECT("'"&amp;Assemblies[Assy]&amp;"'!"&amp;"A$5:A1000")))),"")), " ,", ""))</f>
        <v>,</v>
      </c>
      <c r="I90" s="226" t="s">
        <v>1593</v>
      </c>
      <c r="J90" s="226" t="s">
        <v>1593</v>
      </c>
      <c r="K90" s="161"/>
      <c r="L90" s="134" t="s">
        <v>1382</v>
      </c>
      <c r="M90" s="2" t="s">
        <v>1382</v>
      </c>
      <c r="N90" s="2" t="s">
        <v>1382</v>
      </c>
      <c r="O90" s="2" t="s">
        <v>1382</v>
      </c>
    </row>
    <row r="91" spans="1:15">
      <c r="A91" s="2" t="e">
        <f ca="1">'GF12'!$E$2</f>
        <v>#VALUE!</v>
      </c>
      <c r="B91" s="133" t="s">
        <v>1594</v>
      </c>
      <c r="C91" s="135" t="s">
        <v>1384</v>
      </c>
      <c r="D91" s="115" t="s">
        <v>54</v>
      </c>
      <c r="E91" s="2" t="e">
        <f t="shared" ca="1" si="2"/>
        <v>#VALUE!</v>
      </c>
      <c r="F91" s="2" t="s">
        <v>1595</v>
      </c>
      <c r="G91" s="5" cm="1">
        <f t="array" aca="1" ref="G91" ca="1">SUMPRODUCT(SUMIF(INDIRECT("'"&amp;Assemblies[Assy]&amp;"'!"&amp;"C$5:C1000"),$E91,(INDIRECT("'"&amp;Assemblies[Assy]&amp;"'!"&amp;"O$5:O1000"))))</f>
        <v>0</v>
      </c>
      <c r="H91" s="115" t="str" cm="1">
        <f t="array" aca="1" ref="H91" ca="1">TRIM(SUBSTITUTE(_xlfn.ARRAYTOTEXT(IFERROR(CONCATENATE(SUMIF(INDIRECT("'"&amp;Assemblies[Assy]&amp;"'!"&amp;"C$5:C1000"), $E91, INDIRECT("'"&amp;Assemblies[Assy]&amp;"'!"&amp;"O$5:O1000")), "x",Assemblies[Assy],".",IF(SUMIF(INDIRECT("'"&amp;Assemblies[Assy]&amp;"'!"&amp;"C$5:C1000"), $E91, INDIRECT("'"&amp;Assemblies[Assy]&amp;"'!"&amp;"B$5:B1000"))=0,NA(),SUMIF(INDIRECT("'"&amp;Assemblies[Assy]&amp;"'!"&amp;"C$5:C1000"), $E91, INDIRECT("'"&amp;Assemblies[Assy]&amp;"'!"&amp;"A$5:A1000")))),"")), " ,", ""))</f>
        <v>,</v>
      </c>
      <c r="I91" s="226" t="s">
        <v>1593</v>
      </c>
      <c r="J91" s="226" t="s">
        <v>1593</v>
      </c>
      <c r="K91" s="213" t="s">
        <v>1461</v>
      </c>
      <c r="L91" s="134" t="s">
        <v>1382</v>
      </c>
      <c r="M91" s="2" t="s">
        <v>1382</v>
      </c>
      <c r="N91" s="2" t="s">
        <v>1382</v>
      </c>
      <c r="O91" s="2" t="s">
        <v>1382</v>
      </c>
    </row>
    <row r="92" spans="1:15">
      <c r="A92" s="2" t="e">
        <f ca="1">'GF12'!$E$2</f>
        <v>#VALUE!</v>
      </c>
      <c r="B92" s="133" t="s">
        <v>1596</v>
      </c>
      <c r="C92" s="135" t="s">
        <v>1384</v>
      </c>
      <c r="D92" s="115" t="s">
        <v>54</v>
      </c>
      <c r="E92" s="2" t="e">
        <f t="shared" ca="1" si="2"/>
        <v>#VALUE!</v>
      </c>
      <c r="F92" s="2" t="s">
        <v>1597</v>
      </c>
      <c r="G92" s="5" cm="1">
        <f t="array" aca="1" ref="G92" ca="1">SUMPRODUCT(SUMIF(INDIRECT("'"&amp;Assemblies[Assy]&amp;"'!"&amp;"C$5:C1000"),$E92,(INDIRECT("'"&amp;Assemblies[Assy]&amp;"'!"&amp;"O$5:O1000"))))</f>
        <v>0</v>
      </c>
      <c r="H92" s="115" t="str" cm="1">
        <f t="array" aca="1" ref="H92" ca="1">TRIM(SUBSTITUTE(_xlfn.ARRAYTOTEXT(IFERROR(CONCATENATE(SUMIF(INDIRECT("'"&amp;Assemblies[Assy]&amp;"'!"&amp;"C$5:C1000"), $E92, INDIRECT("'"&amp;Assemblies[Assy]&amp;"'!"&amp;"O$5:O1000")), "x",Assemblies[Assy],".",IF(SUMIF(INDIRECT("'"&amp;Assemblies[Assy]&amp;"'!"&amp;"C$5:C1000"), $E92, INDIRECT("'"&amp;Assemblies[Assy]&amp;"'!"&amp;"B$5:B1000"))=0,NA(),SUMIF(INDIRECT("'"&amp;Assemblies[Assy]&amp;"'!"&amp;"C$5:C1000"), $E92, INDIRECT("'"&amp;Assemblies[Assy]&amp;"'!"&amp;"A$5:A1000")))),"")), " ,", ""))</f>
        <v>,</v>
      </c>
      <c r="I92" s="226" t="s">
        <v>1598</v>
      </c>
      <c r="J92" s="226" t="s">
        <v>1598</v>
      </c>
      <c r="K92" s="213" t="s">
        <v>1461</v>
      </c>
      <c r="L92" s="134" t="s">
        <v>1382</v>
      </c>
      <c r="M92" s="2" t="s">
        <v>1382</v>
      </c>
      <c r="N92" s="2" t="s">
        <v>1382</v>
      </c>
      <c r="O92" s="2" t="s">
        <v>1382</v>
      </c>
    </row>
    <row r="93" spans="1:15">
      <c r="A93" s="2" t="e">
        <f ca="1">'GF12'!$E$2</f>
        <v>#VALUE!</v>
      </c>
      <c r="B93" s="133" t="s">
        <v>1599</v>
      </c>
      <c r="C93" s="135" t="s">
        <v>1384</v>
      </c>
      <c r="D93" s="115" t="s">
        <v>54</v>
      </c>
      <c r="E93" s="2" t="e">
        <f t="shared" ca="1" si="2"/>
        <v>#VALUE!</v>
      </c>
      <c r="F93" s="2" t="s">
        <v>1600</v>
      </c>
      <c r="G93" s="5" cm="1">
        <f t="array" aca="1" ref="G93" ca="1">SUMPRODUCT(SUMIF(INDIRECT("'"&amp;Assemblies[Assy]&amp;"'!"&amp;"C$5:C1000"),$E93,(INDIRECT("'"&amp;Assemblies[Assy]&amp;"'!"&amp;"O$5:O1000"))))</f>
        <v>0</v>
      </c>
      <c r="H93" s="115" t="str" cm="1">
        <f t="array" aca="1" ref="H93" ca="1">TRIM(SUBSTITUTE(_xlfn.ARRAYTOTEXT(IFERROR(CONCATENATE(SUMIF(INDIRECT("'"&amp;Assemblies[Assy]&amp;"'!"&amp;"C$5:C1000"), $E93, INDIRECT("'"&amp;Assemblies[Assy]&amp;"'!"&amp;"O$5:O1000")), "x",Assemblies[Assy],".",IF(SUMIF(INDIRECT("'"&amp;Assemblies[Assy]&amp;"'!"&amp;"C$5:C1000"), $E93, INDIRECT("'"&amp;Assemblies[Assy]&amp;"'!"&amp;"B$5:B1000"))=0,NA(),SUMIF(INDIRECT("'"&amp;Assemblies[Assy]&amp;"'!"&amp;"C$5:C1000"), $E93, INDIRECT("'"&amp;Assemblies[Assy]&amp;"'!"&amp;"A$5:A1000")))),"")), " ,", ""))</f>
        <v>,</v>
      </c>
      <c r="I93" s="226" t="s">
        <v>1598</v>
      </c>
      <c r="J93" s="226" t="s">
        <v>1598</v>
      </c>
      <c r="K93" s="213" t="s">
        <v>1461</v>
      </c>
      <c r="L93" s="134" t="s">
        <v>1382</v>
      </c>
      <c r="M93" s="2" t="s">
        <v>1382</v>
      </c>
      <c r="N93" s="2" t="s">
        <v>1382</v>
      </c>
      <c r="O93" s="2" t="s">
        <v>1382</v>
      </c>
    </row>
    <row r="94" spans="1:15">
      <c r="A94" s="2" t="e">
        <f ca="1">'GF12'!$E$2</f>
        <v>#VALUE!</v>
      </c>
      <c r="B94" s="133" t="s">
        <v>1601</v>
      </c>
      <c r="C94" s="135" t="s">
        <v>1384</v>
      </c>
      <c r="D94" s="115" t="s">
        <v>54</v>
      </c>
      <c r="E94" s="2" t="e">
        <f t="shared" ca="1" si="2"/>
        <v>#VALUE!</v>
      </c>
      <c r="F94" s="2" t="s">
        <v>1602</v>
      </c>
      <c r="G94" s="5" cm="1">
        <f t="array" aca="1" ref="G94" ca="1">SUMPRODUCT(SUMIF(INDIRECT("'"&amp;Assemblies[Assy]&amp;"'!"&amp;"C$5:C1000"),$E94,(INDIRECT("'"&amp;Assemblies[Assy]&amp;"'!"&amp;"O$5:O1000"))))</f>
        <v>0</v>
      </c>
      <c r="H94" s="115" t="str" cm="1">
        <f t="array" aca="1" ref="H94" ca="1">TRIM(SUBSTITUTE(_xlfn.ARRAYTOTEXT(IFERROR(CONCATENATE(SUMIF(INDIRECT("'"&amp;Assemblies[Assy]&amp;"'!"&amp;"C$5:C1000"), $E94, INDIRECT("'"&amp;Assemblies[Assy]&amp;"'!"&amp;"O$5:O1000")), "x",Assemblies[Assy],".",IF(SUMIF(INDIRECT("'"&amp;Assemblies[Assy]&amp;"'!"&amp;"C$5:C1000"), $E94, INDIRECT("'"&amp;Assemblies[Assy]&amp;"'!"&amp;"B$5:B1000"))=0,NA(),SUMIF(INDIRECT("'"&amp;Assemblies[Assy]&amp;"'!"&amp;"C$5:C1000"), $E94, INDIRECT("'"&amp;Assemblies[Assy]&amp;"'!"&amp;"A$5:A1000")))),"")), " ,", ""))</f>
        <v>,</v>
      </c>
      <c r="I94" s="226" t="s">
        <v>1598</v>
      </c>
      <c r="J94" s="226" t="s">
        <v>1598</v>
      </c>
      <c r="K94" s="2" t="s">
        <v>1603</v>
      </c>
      <c r="L94" s="134" t="s">
        <v>1382</v>
      </c>
      <c r="M94" s="2" t="s">
        <v>1382</v>
      </c>
      <c r="N94" s="2" t="s">
        <v>1382</v>
      </c>
      <c r="O94" s="2" t="s">
        <v>1382</v>
      </c>
    </row>
    <row r="95" spans="1:15">
      <c r="A95" s="2" t="e">
        <f ca="1">'GF12'!$E$2</f>
        <v>#VALUE!</v>
      </c>
      <c r="B95" s="133" t="s">
        <v>1604</v>
      </c>
      <c r="C95" s="135" t="s">
        <v>1384</v>
      </c>
      <c r="D95" s="115" t="s">
        <v>54</v>
      </c>
      <c r="E95" s="2" t="e">
        <f t="shared" ca="1" si="2"/>
        <v>#VALUE!</v>
      </c>
      <c r="F95" s="2" t="s">
        <v>1605</v>
      </c>
      <c r="G95" s="5" cm="1">
        <f t="array" aca="1" ref="G95" ca="1">SUMPRODUCT(SUMIF(INDIRECT("'"&amp;Assemblies[Assy]&amp;"'!"&amp;"C$5:C1000"),$E95,(INDIRECT("'"&amp;Assemblies[Assy]&amp;"'!"&amp;"O$5:O1000"))))</f>
        <v>0</v>
      </c>
      <c r="H95" s="115" t="str" cm="1">
        <f t="array" aca="1" ref="H95" ca="1">TRIM(SUBSTITUTE(_xlfn.ARRAYTOTEXT(IFERROR(CONCATENATE(SUMIF(INDIRECT("'"&amp;Assemblies[Assy]&amp;"'!"&amp;"C$5:C1000"), $E95, INDIRECT("'"&amp;Assemblies[Assy]&amp;"'!"&amp;"O$5:O1000")), "x",Assemblies[Assy],".",IF(SUMIF(INDIRECT("'"&amp;Assemblies[Assy]&amp;"'!"&amp;"C$5:C1000"), $E95, INDIRECT("'"&amp;Assemblies[Assy]&amp;"'!"&amp;"B$5:B1000"))=0,NA(),SUMIF(INDIRECT("'"&amp;Assemblies[Assy]&amp;"'!"&amp;"C$5:C1000"), $E95, INDIRECT("'"&amp;Assemblies[Assy]&amp;"'!"&amp;"A$5:A1000")))),"")), " ,", ""))</f>
        <v>,</v>
      </c>
      <c r="I95" s="226" t="s">
        <v>1593</v>
      </c>
      <c r="J95" s="226" t="s">
        <v>1593</v>
      </c>
      <c r="K95" s="2" t="s">
        <v>1606</v>
      </c>
      <c r="L95" s="5" t="s">
        <v>1382</v>
      </c>
      <c r="M95" s="2" t="s">
        <v>1382</v>
      </c>
      <c r="N95" s="2" t="s">
        <v>1382</v>
      </c>
      <c r="O95" s="2" t="s">
        <v>1382</v>
      </c>
    </row>
    <row r="96" spans="1:15">
      <c r="A96" s="2" t="e">
        <f ca="1">'GF12'!$E$2</f>
        <v>#VALUE!</v>
      </c>
      <c r="B96" s="133" t="s">
        <v>1607</v>
      </c>
      <c r="C96" s="135" t="s">
        <v>1384</v>
      </c>
      <c r="D96" s="115" t="s">
        <v>54</v>
      </c>
      <c r="E96" s="2" t="e">
        <f t="shared" ca="1" si="2"/>
        <v>#VALUE!</v>
      </c>
      <c r="F96" s="2" t="s">
        <v>1608</v>
      </c>
      <c r="G96" s="5" cm="1">
        <f t="array" aca="1" ref="G96" ca="1">SUMPRODUCT(SUMIF(INDIRECT("'"&amp;Assemblies[Assy]&amp;"'!"&amp;"C$5:C1000"),$E96,(INDIRECT("'"&amp;Assemblies[Assy]&amp;"'!"&amp;"O$5:O1000"))))</f>
        <v>0</v>
      </c>
      <c r="H96" s="115" t="str" cm="1">
        <f t="array" aca="1" ref="H96" ca="1">TRIM(SUBSTITUTE(_xlfn.ARRAYTOTEXT(IFERROR(CONCATENATE(SUMIF(INDIRECT("'"&amp;Assemblies[Assy]&amp;"'!"&amp;"C$5:C1000"), $E96, INDIRECT("'"&amp;Assemblies[Assy]&amp;"'!"&amp;"O$5:O1000")), "x",Assemblies[Assy],".",IF(SUMIF(INDIRECT("'"&amp;Assemblies[Assy]&amp;"'!"&amp;"C$5:C1000"), $E96, INDIRECT("'"&amp;Assemblies[Assy]&amp;"'!"&amp;"B$5:B1000"))=0,NA(),SUMIF(INDIRECT("'"&amp;Assemblies[Assy]&amp;"'!"&amp;"C$5:C1000"), $E96, INDIRECT("'"&amp;Assemblies[Assy]&amp;"'!"&amp;"A$5:A1000")))),"")), " ,", ""))</f>
        <v>,</v>
      </c>
      <c r="I96" s="226" t="s">
        <v>1593</v>
      </c>
      <c r="J96" s="226" t="s">
        <v>1593</v>
      </c>
      <c r="K96" s="213" t="s">
        <v>1461</v>
      </c>
      <c r="L96" s="5" t="s">
        <v>1382</v>
      </c>
      <c r="M96" s="2" t="s">
        <v>1382</v>
      </c>
      <c r="N96" s="2" t="s">
        <v>1382</v>
      </c>
      <c r="O96" s="2" t="s">
        <v>1382</v>
      </c>
    </row>
    <row r="97" spans="1:15">
      <c r="A97" s="2" t="e">
        <f ca="1">'GF12'!$E$2</f>
        <v>#VALUE!</v>
      </c>
      <c r="B97" s="133" t="s">
        <v>1609</v>
      </c>
      <c r="C97" s="135" t="s">
        <v>1384</v>
      </c>
      <c r="D97" s="115" t="s">
        <v>54</v>
      </c>
      <c r="E97" s="2" t="e">
        <f ca="1">_xlfn.CONCAT(A97,".",B97,".",C97,".",D97)</f>
        <v>#VALUE!</v>
      </c>
      <c r="F97" s="2" t="s">
        <v>1610</v>
      </c>
      <c r="G97" s="5" cm="1">
        <f t="array" aca="1" ref="G97" ca="1">SUMPRODUCT(SUMIF(INDIRECT("'"&amp;$B$2:$B$119&amp;"'!"&amp;"C5:C1000"),E97,(INDIRECT("'"&amp;$B$2:$B$119&amp;"'!"&amp;"O5:O1000"))))</f>
        <v>0</v>
      </c>
      <c r="H97" s="115" t="str" cm="1">
        <f t="array" aca="1" ref="H97" ca="1">TRIM(SUBSTITUTE(_xlfn.ARRAYTOTEXT(IFERROR(CONCATENATE(SUMIF(INDIRECT("'"&amp;Assemblies[Assy]&amp;"'!"&amp;"C$5:C1000"), $E97, INDIRECT("'"&amp;Assemblies[Assy]&amp;"'!"&amp;"O$5:O1000")), "x",Assemblies[Assy],".",IF(SUMIF(INDIRECT("'"&amp;Assemblies[Assy]&amp;"'!"&amp;"C$5:C1000"), $E97, INDIRECT("'"&amp;Assemblies[Assy]&amp;"'!"&amp;"B$5:B1000"))=0,NA(),SUMIF(INDIRECT("'"&amp;Assemblies[Assy]&amp;"'!"&amp;"C$5:C1000"), $E97, INDIRECT("'"&amp;Assemblies[Assy]&amp;"'!"&amp;"A$5:A1000")))),"")), " ,", ""))</f>
        <v>,</v>
      </c>
      <c r="I97" s="226"/>
      <c r="J97" s="226"/>
      <c r="K97" s="213"/>
    </row>
    <row r="98" spans="1:15">
      <c r="A98" s="2" t="e">
        <f ca="1">'GF12'!$E$2</f>
        <v>#VALUE!</v>
      </c>
      <c r="B98" s="133" t="s">
        <v>1611</v>
      </c>
      <c r="C98" s="135" t="s">
        <v>1384</v>
      </c>
      <c r="D98" s="115" t="s">
        <v>54</v>
      </c>
      <c r="E98" s="2" t="e">
        <f t="shared" ca="1" si="2"/>
        <v>#VALUE!</v>
      </c>
      <c r="F98" s="2" t="s">
        <v>1612</v>
      </c>
      <c r="G98" s="5" cm="1">
        <f t="array" aca="1" ref="G98" ca="1">SUMPRODUCT(SUMIF(INDIRECT("'"&amp;Assemblies[Assy]&amp;"'!"&amp;"C$5:C1000"),$E98,(INDIRECT("'"&amp;Assemblies[Assy]&amp;"'!"&amp;"O$5:O1000"))))</f>
        <v>0</v>
      </c>
      <c r="H98" s="115" t="str" cm="1">
        <f t="array" aca="1" ref="H98" ca="1">TRIM(SUBSTITUTE(_xlfn.ARRAYTOTEXT(IFERROR(CONCATENATE(SUMIF(INDIRECT("'"&amp;Assemblies[Assy]&amp;"'!"&amp;"C$5:C1000"), $E98, INDIRECT("'"&amp;Assemblies[Assy]&amp;"'!"&amp;"O$5:O1000")), "x",Assemblies[Assy],".",IF(SUMIF(INDIRECT("'"&amp;Assemblies[Assy]&amp;"'!"&amp;"C$5:C1000"), $E98, INDIRECT("'"&amp;Assemblies[Assy]&amp;"'!"&amp;"B$5:B1000"))=0,NA(),SUMIF(INDIRECT("'"&amp;Assemblies[Assy]&amp;"'!"&amp;"C$5:C1000"), $E98, INDIRECT("'"&amp;Assemblies[Assy]&amp;"'!"&amp;"A$5:A1000")))),"")), " ,", ""))</f>
        <v>,</v>
      </c>
      <c r="I98" s="226" t="s">
        <v>1593</v>
      </c>
      <c r="J98" s="226" t="s">
        <v>1593</v>
      </c>
      <c r="K98" s="213" t="s">
        <v>1461</v>
      </c>
      <c r="L98" s="5" t="s">
        <v>1382</v>
      </c>
      <c r="M98" s="2" t="s">
        <v>1382</v>
      </c>
      <c r="N98" s="2" t="s">
        <v>1382</v>
      </c>
      <c r="O98" s="2" t="s">
        <v>1382</v>
      </c>
    </row>
    <row r="99" spans="1:15">
      <c r="A99" s="2" t="e">
        <f ca="1">'GF12'!$E$2</f>
        <v>#VALUE!</v>
      </c>
      <c r="B99" s="133" t="s">
        <v>1613</v>
      </c>
      <c r="C99" s="135" t="s">
        <v>1384</v>
      </c>
      <c r="D99" s="115" t="s">
        <v>54</v>
      </c>
      <c r="E99" s="2" t="e">
        <f t="shared" ca="1" si="2"/>
        <v>#VALUE!</v>
      </c>
      <c r="F99" s="2" t="s">
        <v>1614</v>
      </c>
      <c r="G99" s="5" cm="1">
        <f t="array" aca="1" ref="G99" ca="1">SUMPRODUCT(SUMIF(INDIRECT("'"&amp;Assemblies[Assy]&amp;"'!"&amp;"C$5:C1000"),$E99,(INDIRECT("'"&amp;Assemblies[Assy]&amp;"'!"&amp;"O$5:O1000"))))</f>
        <v>0</v>
      </c>
      <c r="H99" s="115" t="str" cm="1">
        <f t="array" aca="1" ref="H99" ca="1">TRIM(SUBSTITUTE(_xlfn.ARRAYTOTEXT(IFERROR(CONCATENATE(SUMIF(INDIRECT("'"&amp;Assemblies[Assy]&amp;"'!"&amp;"C$5:C1000"), $E99, INDIRECT("'"&amp;Assemblies[Assy]&amp;"'!"&amp;"O$5:O1000")), "x",Assemblies[Assy],".",IF(SUMIF(INDIRECT("'"&amp;Assemblies[Assy]&amp;"'!"&amp;"C$5:C1000"), $E99, INDIRECT("'"&amp;Assemblies[Assy]&amp;"'!"&amp;"B$5:B1000"))=0,NA(),SUMIF(INDIRECT("'"&amp;Assemblies[Assy]&amp;"'!"&amp;"C$5:C1000"), $E99, INDIRECT("'"&amp;Assemblies[Assy]&amp;"'!"&amp;"A$5:A1000")))),"")), " ,", ""))</f>
        <v>,</v>
      </c>
      <c r="I99" s="226" t="s">
        <v>1593</v>
      </c>
      <c r="J99" s="226" t="s">
        <v>1593</v>
      </c>
      <c r="K99" s="213" t="s">
        <v>1461</v>
      </c>
      <c r="L99" s="5" t="s">
        <v>1382</v>
      </c>
      <c r="M99" s="2" t="s">
        <v>1382</v>
      </c>
      <c r="N99" s="2" t="s">
        <v>1382</v>
      </c>
      <c r="O99" s="2" t="s">
        <v>1382</v>
      </c>
    </row>
    <row r="100" spans="1:15">
      <c r="A100" s="2" t="e">
        <f ca="1">'GF12'!$E$2</f>
        <v>#VALUE!</v>
      </c>
      <c r="B100" s="133" t="s">
        <v>1615</v>
      </c>
      <c r="C100" s="135" t="s">
        <v>1384</v>
      </c>
      <c r="D100" s="115" t="s">
        <v>54</v>
      </c>
      <c r="E100" s="2" t="e">
        <f t="shared" ca="1" si="2"/>
        <v>#VALUE!</v>
      </c>
      <c r="F100" s="2" t="s">
        <v>1616</v>
      </c>
      <c r="G100" s="5" cm="1">
        <f t="array" aca="1" ref="G100" ca="1">SUMPRODUCT(SUMIF(INDIRECT("'"&amp;Assemblies[Assy]&amp;"'!"&amp;"C$5:C1000"),$E100,(INDIRECT("'"&amp;Assemblies[Assy]&amp;"'!"&amp;"O$5:O1000"))))</f>
        <v>0</v>
      </c>
      <c r="H100" s="115" t="str" cm="1">
        <f t="array" aca="1" ref="H100" ca="1">TRIM(SUBSTITUTE(_xlfn.ARRAYTOTEXT(IFERROR(CONCATENATE(SUMIF(INDIRECT("'"&amp;Assemblies[Assy]&amp;"'!"&amp;"C$5:C1000"), $E100, INDIRECT("'"&amp;Assemblies[Assy]&amp;"'!"&amp;"O$5:O1000")), "x",Assemblies[Assy],".",IF(SUMIF(INDIRECT("'"&amp;Assemblies[Assy]&amp;"'!"&amp;"C$5:C1000"), $E100, INDIRECT("'"&amp;Assemblies[Assy]&amp;"'!"&amp;"B$5:B1000"))=0,NA(),SUMIF(INDIRECT("'"&amp;Assemblies[Assy]&amp;"'!"&amp;"C$5:C1000"), $E100, INDIRECT("'"&amp;Assemblies[Assy]&amp;"'!"&amp;"A$5:A1000")))),"")), " ,", ""))</f>
        <v>,</v>
      </c>
      <c r="I100" s="226" t="s">
        <v>1593</v>
      </c>
      <c r="J100" s="226" t="s">
        <v>1593</v>
      </c>
      <c r="K100" s="213" t="s">
        <v>1461</v>
      </c>
      <c r="L100" s="5" t="s">
        <v>1382</v>
      </c>
      <c r="M100" s="2" t="s">
        <v>1382</v>
      </c>
      <c r="N100" s="2" t="s">
        <v>1382</v>
      </c>
      <c r="O100" s="2" t="s">
        <v>1382</v>
      </c>
    </row>
    <row r="101" spans="1:15">
      <c r="A101" s="2" t="e">
        <f ca="1">'GF12'!$E$2</f>
        <v>#VALUE!</v>
      </c>
      <c r="B101" s="133" t="s">
        <v>1617</v>
      </c>
      <c r="C101" s="135" t="s">
        <v>1384</v>
      </c>
      <c r="D101" s="115" t="s">
        <v>54</v>
      </c>
      <c r="E101" s="2" t="e">
        <f t="shared" ca="1" si="2"/>
        <v>#VALUE!</v>
      </c>
      <c r="F101" s="2" t="s">
        <v>1618</v>
      </c>
      <c r="G101" s="5" cm="1">
        <f t="array" aca="1" ref="G101" ca="1">SUMPRODUCT(SUMIF(INDIRECT("'"&amp;Assemblies[Assy]&amp;"'!"&amp;"C$5:C1000"),$E101,(INDIRECT("'"&amp;Assemblies[Assy]&amp;"'!"&amp;"O$5:O1000"))))</f>
        <v>0</v>
      </c>
      <c r="H101" s="115" t="str" cm="1">
        <f t="array" aca="1" ref="H101" ca="1">TRIM(SUBSTITUTE(_xlfn.ARRAYTOTEXT(IFERROR(CONCATENATE(SUMIF(INDIRECT("'"&amp;Assemblies[Assy]&amp;"'!"&amp;"C$5:C1000"), $E101, INDIRECT("'"&amp;Assemblies[Assy]&amp;"'!"&amp;"O$5:O1000")), "x",Assemblies[Assy],".",IF(SUMIF(INDIRECT("'"&amp;Assemblies[Assy]&amp;"'!"&amp;"C$5:C1000"), $E101, INDIRECT("'"&amp;Assemblies[Assy]&amp;"'!"&amp;"B$5:B1000"))=0,NA(),SUMIF(INDIRECT("'"&amp;Assemblies[Assy]&amp;"'!"&amp;"C$5:C1000"), $E101, INDIRECT("'"&amp;Assemblies[Assy]&amp;"'!"&amp;"A$5:A1000")))),"")), " ,", ""))</f>
        <v>,</v>
      </c>
      <c r="I101" s="226" t="s">
        <v>1593</v>
      </c>
      <c r="J101" s="226" t="s">
        <v>1593</v>
      </c>
      <c r="K101" s="213" t="s">
        <v>1461</v>
      </c>
      <c r="L101" s="5" t="s">
        <v>1382</v>
      </c>
      <c r="M101" s="2" t="s">
        <v>1382</v>
      </c>
      <c r="N101" s="2" t="s">
        <v>1382</v>
      </c>
      <c r="O101" s="2" t="s">
        <v>1382</v>
      </c>
    </row>
    <row r="102" spans="1:15">
      <c r="A102" s="2" t="e">
        <f ca="1">'GF12'!$E$2</f>
        <v>#VALUE!</v>
      </c>
      <c r="B102" s="133" t="s">
        <v>1619</v>
      </c>
      <c r="C102" s="135" t="s">
        <v>1384</v>
      </c>
      <c r="D102" s="115" t="s">
        <v>54</v>
      </c>
      <c r="E102" s="2" t="e">
        <f t="shared" ca="1" si="2"/>
        <v>#VALUE!</v>
      </c>
      <c r="F102" s="2" t="s">
        <v>1620</v>
      </c>
      <c r="G102" s="5" cm="1">
        <f t="array" aca="1" ref="G102" ca="1">SUMPRODUCT(SUMIF(INDIRECT("'"&amp;Assemblies[Assy]&amp;"'!"&amp;"C$5:C1000"),$E102,(INDIRECT("'"&amp;Assemblies[Assy]&amp;"'!"&amp;"O$5:O1000"))))</f>
        <v>0</v>
      </c>
      <c r="H102" s="115" t="str" cm="1">
        <f t="array" aca="1" ref="H102" ca="1">TRIM(SUBSTITUTE(_xlfn.ARRAYTOTEXT(IFERROR(CONCATENATE(SUMIF(INDIRECT("'"&amp;Assemblies[Assy]&amp;"'!"&amp;"C$5:C1000"), $E102, INDIRECT("'"&amp;Assemblies[Assy]&amp;"'!"&amp;"O$5:O1000")), "x",Assemblies[Assy],".",IF(SUMIF(INDIRECT("'"&amp;Assemblies[Assy]&amp;"'!"&amp;"C$5:C1000"), $E102, INDIRECT("'"&amp;Assemblies[Assy]&amp;"'!"&amp;"B$5:B1000"))=0,NA(),SUMIF(INDIRECT("'"&amp;Assemblies[Assy]&amp;"'!"&amp;"C$5:C1000"), $E102, INDIRECT("'"&amp;Assemblies[Assy]&amp;"'!"&amp;"A$5:A1000")))),"")), " ,", ""))</f>
        <v>,</v>
      </c>
      <c r="I102" s="226" t="s">
        <v>1593</v>
      </c>
      <c r="J102" s="226" t="s">
        <v>1593</v>
      </c>
      <c r="K102" s="213" t="s">
        <v>1461</v>
      </c>
      <c r="L102" s="5" t="s">
        <v>1382</v>
      </c>
      <c r="M102" s="2" t="s">
        <v>1382</v>
      </c>
      <c r="N102" s="2" t="s">
        <v>1382</v>
      </c>
      <c r="O102" s="2" t="s">
        <v>1382</v>
      </c>
    </row>
    <row r="103" spans="1:15">
      <c r="A103" s="2" t="e">
        <f ca="1">'GF12'!$E$2</f>
        <v>#VALUE!</v>
      </c>
      <c r="B103" s="133" t="s">
        <v>1621</v>
      </c>
      <c r="C103" s="135" t="s">
        <v>1384</v>
      </c>
      <c r="D103" s="115" t="s">
        <v>54</v>
      </c>
      <c r="E103" s="2" t="e">
        <f t="shared" ref="E103:E136" ca="1" si="3">_xlfn.CONCAT(A103,".",B103,".",C103,".",D103)</f>
        <v>#VALUE!</v>
      </c>
      <c r="F103" s="2" t="s">
        <v>1622</v>
      </c>
      <c r="G103" s="5" cm="1">
        <f t="array" aca="1" ref="G103" ca="1">SUMPRODUCT(SUMIF(INDIRECT("'"&amp;Assemblies[Assy]&amp;"'!"&amp;"C$5:C1000"),$E103,(INDIRECT("'"&amp;Assemblies[Assy]&amp;"'!"&amp;"O$5:O1000"))))</f>
        <v>0</v>
      </c>
      <c r="H103" s="115" t="str" cm="1">
        <f t="array" aca="1" ref="H103" ca="1">TRIM(SUBSTITUTE(_xlfn.ARRAYTOTEXT(IFERROR(CONCATENATE(SUMIF(INDIRECT("'"&amp;Assemblies[Assy]&amp;"'!"&amp;"C$5:C1000"), $E103, INDIRECT("'"&amp;Assemblies[Assy]&amp;"'!"&amp;"O$5:O1000")), "x",Assemblies[Assy],".",IF(SUMIF(INDIRECT("'"&amp;Assemblies[Assy]&amp;"'!"&amp;"C$5:C1000"), $E103, INDIRECT("'"&amp;Assemblies[Assy]&amp;"'!"&amp;"B$5:B1000"))=0,NA(),SUMIF(INDIRECT("'"&amp;Assemblies[Assy]&amp;"'!"&amp;"C$5:C1000"), $E103, INDIRECT("'"&amp;Assemblies[Assy]&amp;"'!"&amp;"A$5:A1000")))),"")), " ,", ""))</f>
        <v>,</v>
      </c>
      <c r="I103" s="226" t="s">
        <v>1593</v>
      </c>
      <c r="J103" s="226" t="s">
        <v>1593</v>
      </c>
      <c r="K103" s="213" t="s">
        <v>1461</v>
      </c>
      <c r="L103" s="5" t="s">
        <v>1382</v>
      </c>
      <c r="M103" s="2" t="s">
        <v>1382</v>
      </c>
      <c r="N103" s="2" t="s">
        <v>1382</v>
      </c>
      <c r="O103" s="2" t="s">
        <v>1382</v>
      </c>
    </row>
    <row r="104" spans="1:15">
      <c r="A104" s="2" t="e">
        <f ca="1">'GF12'!$E$2</f>
        <v>#VALUE!</v>
      </c>
      <c r="B104" s="133" t="s">
        <v>1623</v>
      </c>
      <c r="C104" s="135" t="s">
        <v>1384</v>
      </c>
      <c r="D104" s="115" t="s">
        <v>54</v>
      </c>
      <c r="E104" s="2" t="e">
        <f t="shared" ca="1" si="3"/>
        <v>#VALUE!</v>
      </c>
      <c r="F104" s="2" t="s">
        <v>1624</v>
      </c>
      <c r="G104" s="5" cm="1">
        <f t="array" aca="1" ref="G104" ca="1">SUMPRODUCT(SUMIF(INDIRECT("'"&amp;Assemblies[Assy]&amp;"'!"&amp;"C$5:C1000"),$E104,(INDIRECT("'"&amp;Assemblies[Assy]&amp;"'!"&amp;"O$5:O1000"))))</f>
        <v>0</v>
      </c>
      <c r="H104" s="115" t="str" cm="1">
        <f t="array" aca="1" ref="H104" ca="1">TRIM(SUBSTITUTE(_xlfn.ARRAYTOTEXT(IFERROR(CONCATENATE(SUMIF(INDIRECT("'"&amp;Assemblies[Assy]&amp;"'!"&amp;"C$5:C1000"), $E104, INDIRECT("'"&amp;Assemblies[Assy]&amp;"'!"&amp;"O$5:O1000")), "x",Assemblies[Assy],".",IF(SUMIF(INDIRECT("'"&amp;Assemblies[Assy]&amp;"'!"&amp;"C$5:C1000"), $E104, INDIRECT("'"&amp;Assemblies[Assy]&amp;"'!"&amp;"B$5:B1000"))=0,NA(),SUMIF(INDIRECT("'"&amp;Assemblies[Assy]&amp;"'!"&amp;"C$5:C1000"), $E104, INDIRECT("'"&amp;Assemblies[Assy]&amp;"'!"&amp;"A$5:A1000")))),"")), " ,", ""))</f>
        <v>,</v>
      </c>
      <c r="I104" s="226" t="s">
        <v>1593</v>
      </c>
      <c r="J104" s="226" t="s">
        <v>1593</v>
      </c>
      <c r="K104" s="2" t="s">
        <v>1603</v>
      </c>
      <c r="L104" s="5" t="s">
        <v>1382</v>
      </c>
      <c r="M104" s="2" t="s">
        <v>1382</v>
      </c>
      <c r="N104" s="2" t="s">
        <v>1382</v>
      </c>
      <c r="O104" s="2" t="s">
        <v>1382</v>
      </c>
    </row>
    <row r="105" spans="1:15">
      <c r="A105" s="2" t="e">
        <f ca="1">'GF12'!$E$2</f>
        <v>#VALUE!</v>
      </c>
      <c r="B105" s="133" t="s">
        <v>1625</v>
      </c>
      <c r="C105" s="135" t="s">
        <v>1384</v>
      </c>
      <c r="D105" s="115" t="s">
        <v>54</v>
      </c>
      <c r="E105" s="2" t="e">
        <f t="shared" ca="1" si="3"/>
        <v>#VALUE!</v>
      </c>
      <c r="F105" s="2" t="s">
        <v>1626</v>
      </c>
      <c r="G105" s="5" cm="1">
        <f t="array" aca="1" ref="G105" ca="1">SUMPRODUCT(SUMIF(INDIRECT("'"&amp;Assemblies[Assy]&amp;"'!"&amp;"C$5:C1000"),$E105,(INDIRECT("'"&amp;Assemblies[Assy]&amp;"'!"&amp;"O$5:O1000"))))</f>
        <v>0</v>
      </c>
      <c r="H105" s="115" t="str" cm="1">
        <f t="array" aca="1" ref="H105" ca="1">TRIM(SUBSTITUTE(_xlfn.ARRAYTOTEXT(IFERROR(CONCATENATE(SUMIF(INDIRECT("'"&amp;Assemblies[Assy]&amp;"'!"&amp;"C$5:C1000"), $E105, INDIRECT("'"&amp;Assemblies[Assy]&amp;"'!"&amp;"O$5:O1000")), "x",Assemblies[Assy],".",IF(SUMIF(INDIRECT("'"&amp;Assemblies[Assy]&amp;"'!"&amp;"C$5:C1000"), $E105, INDIRECT("'"&amp;Assemblies[Assy]&amp;"'!"&amp;"B$5:B1000"))=0,NA(),SUMIF(INDIRECT("'"&amp;Assemblies[Assy]&amp;"'!"&amp;"C$5:C1000"), $E105, INDIRECT("'"&amp;Assemblies[Assy]&amp;"'!"&amp;"A$5:A1000")))),"")), " ,", ""))</f>
        <v>,</v>
      </c>
      <c r="I105" s="226" t="s">
        <v>1593</v>
      </c>
      <c r="J105" s="226" t="s">
        <v>1593</v>
      </c>
      <c r="K105" s="213" t="s">
        <v>1461</v>
      </c>
      <c r="L105" s="5" t="s">
        <v>1382</v>
      </c>
      <c r="M105" s="2" t="s">
        <v>1382</v>
      </c>
      <c r="N105" s="2" t="s">
        <v>1382</v>
      </c>
      <c r="O105" s="2" t="s">
        <v>1382</v>
      </c>
    </row>
    <row r="106" spans="1:15">
      <c r="A106" s="2" t="e">
        <f ca="1">'GF12'!$E$2</f>
        <v>#VALUE!</v>
      </c>
      <c r="B106" s="133" t="s">
        <v>1627</v>
      </c>
      <c r="C106" s="135" t="s">
        <v>1384</v>
      </c>
      <c r="D106" s="115" t="s">
        <v>54</v>
      </c>
      <c r="E106" s="2" t="e">
        <f t="shared" ca="1" si="3"/>
        <v>#VALUE!</v>
      </c>
      <c r="F106" s="2" t="s">
        <v>1628</v>
      </c>
      <c r="G106" s="5" cm="1">
        <f t="array" aca="1" ref="G106" ca="1">SUMPRODUCT(SUMIF(INDIRECT("'"&amp;Assemblies[Assy]&amp;"'!"&amp;"C$5:C1000"),$E106,(INDIRECT("'"&amp;Assemblies[Assy]&amp;"'!"&amp;"O$5:O1000"))))</f>
        <v>0</v>
      </c>
      <c r="H106" s="115" t="str" cm="1">
        <f t="array" aca="1" ref="H106" ca="1">TRIM(SUBSTITUTE(_xlfn.ARRAYTOTEXT(IFERROR(CONCATENATE(SUMIF(INDIRECT("'"&amp;Assemblies[Assy]&amp;"'!"&amp;"C$5:C1000"), $E106, INDIRECT("'"&amp;Assemblies[Assy]&amp;"'!"&amp;"O$5:O1000")), "x",Assemblies[Assy],".",IF(SUMIF(INDIRECT("'"&amp;Assemblies[Assy]&amp;"'!"&amp;"C$5:C1000"), $E106, INDIRECT("'"&amp;Assemblies[Assy]&amp;"'!"&amp;"B$5:B1000"))=0,NA(),SUMIF(INDIRECT("'"&amp;Assemblies[Assy]&amp;"'!"&amp;"C$5:C1000"), $E106, INDIRECT("'"&amp;Assemblies[Assy]&amp;"'!"&amp;"A$5:A1000")))),"")), " ,", ""))</f>
        <v>,</v>
      </c>
      <c r="I106" s="226" t="s">
        <v>1593</v>
      </c>
      <c r="J106" s="226" t="s">
        <v>1593</v>
      </c>
      <c r="K106" s="213" t="s">
        <v>1461</v>
      </c>
      <c r="L106" s="5" t="s">
        <v>1382</v>
      </c>
      <c r="M106" s="2" t="s">
        <v>1382</v>
      </c>
      <c r="N106" s="2" t="s">
        <v>1382</v>
      </c>
      <c r="O106" s="2" t="s">
        <v>1382</v>
      </c>
    </row>
    <row r="107" spans="1:15">
      <c r="A107" s="2" t="e">
        <f ca="1">'GF12'!$E$2</f>
        <v>#VALUE!</v>
      </c>
      <c r="B107" s="133" t="s">
        <v>1629</v>
      </c>
      <c r="C107" s="135" t="s">
        <v>1384</v>
      </c>
      <c r="D107" s="115" t="s">
        <v>54</v>
      </c>
      <c r="E107" s="2" t="e">
        <f t="shared" ca="1" si="3"/>
        <v>#VALUE!</v>
      </c>
      <c r="F107" s="2" t="s">
        <v>1630</v>
      </c>
      <c r="G107" s="5" cm="1">
        <f t="array" aca="1" ref="G107" ca="1">SUMPRODUCT(SUMIF(INDIRECT("'"&amp;Assemblies[Assy]&amp;"'!"&amp;"C$5:C1000"),$E107,(INDIRECT("'"&amp;Assemblies[Assy]&amp;"'!"&amp;"O$5:O1000"))))</f>
        <v>0</v>
      </c>
      <c r="H107" s="115" t="str" cm="1">
        <f t="array" aca="1" ref="H107" ca="1">TRIM(SUBSTITUTE(_xlfn.ARRAYTOTEXT(IFERROR(CONCATENATE(SUMIF(INDIRECT("'"&amp;Assemblies[Assy]&amp;"'!"&amp;"C$5:C1000"), $E107, INDIRECT("'"&amp;Assemblies[Assy]&amp;"'!"&amp;"O$5:O1000")), "x",Assemblies[Assy],".",IF(SUMIF(INDIRECT("'"&amp;Assemblies[Assy]&amp;"'!"&amp;"C$5:C1000"), $E107, INDIRECT("'"&amp;Assemblies[Assy]&amp;"'!"&amp;"B$5:B1000"))=0,NA(),SUMIF(INDIRECT("'"&amp;Assemblies[Assy]&amp;"'!"&amp;"C$5:C1000"), $E107, INDIRECT("'"&amp;Assemblies[Assy]&amp;"'!"&amp;"A$5:A1000")))),"")), " ,", ""))</f>
        <v>,</v>
      </c>
      <c r="I107" s="226" t="s">
        <v>1631</v>
      </c>
      <c r="J107" s="226" t="s">
        <v>1631</v>
      </c>
      <c r="K107" s="2" t="s">
        <v>1632</v>
      </c>
      <c r="L107" s="5" t="s">
        <v>1382</v>
      </c>
      <c r="M107" s="2" t="s">
        <v>1382</v>
      </c>
      <c r="N107" s="2" t="s">
        <v>1382</v>
      </c>
      <c r="O107" s="2" t="s">
        <v>1382</v>
      </c>
    </row>
    <row r="108" spans="1:15">
      <c r="A108" s="2" t="e">
        <f ca="1">'GF12'!$E$2</f>
        <v>#VALUE!</v>
      </c>
      <c r="B108" s="133" t="s">
        <v>1633</v>
      </c>
      <c r="C108" s="135" t="s">
        <v>1384</v>
      </c>
      <c r="D108" s="115" t="s">
        <v>54</v>
      </c>
      <c r="E108" s="2" t="e">
        <f t="shared" ca="1" si="3"/>
        <v>#VALUE!</v>
      </c>
      <c r="F108" s="2" t="s">
        <v>1634</v>
      </c>
      <c r="G108" s="5" cm="1">
        <f t="array" aca="1" ref="G108" ca="1">SUMPRODUCT(SUMIF(INDIRECT("'"&amp;Assemblies[Assy]&amp;"'!"&amp;"C$5:C1000"),$E108,(INDIRECT("'"&amp;Assemblies[Assy]&amp;"'!"&amp;"O$5:O1000"))))</f>
        <v>0</v>
      </c>
      <c r="H108" s="115" t="str" cm="1">
        <f t="array" aca="1" ref="H108" ca="1">TRIM(SUBSTITUTE(_xlfn.ARRAYTOTEXT(IFERROR(CONCATENATE(SUMIF(INDIRECT("'"&amp;Assemblies[Assy]&amp;"'!"&amp;"C$5:C1000"), $E108, INDIRECT("'"&amp;Assemblies[Assy]&amp;"'!"&amp;"O$5:O1000")), "x",Assemblies[Assy],".",IF(SUMIF(INDIRECT("'"&amp;Assemblies[Assy]&amp;"'!"&amp;"C$5:C1000"), $E108, INDIRECT("'"&amp;Assemblies[Assy]&amp;"'!"&amp;"B$5:B1000"))=0,NA(),SUMIF(INDIRECT("'"&amp;Assemblies[Assy]&amp;"'!"&amp;"C$5:C1000"), $E108, INDIRECT("'"&amp;Assemblies[Assy]&amp;"'!"&amp;"A$5:A1000")))),"")), " ,", ""))</f>
        <v>,</v>
      </c>
      <c r="I108" s="226" t="s">
        <v>1631</v>
      </c>
      <c r="J108" s="226" t="s">
        <v>1631</v>
      </c>
      <c r="K108" s="2" t="s">
        <v>1635</v>
      </c>
      <c r="L108" s="5" t="s">
        <v>1382</v>
      </c>
      <c r="M108" s="2" t="s">
        <v>1382</v>
      </c>
      <c r="N108" s="2" t="s">
        <v>1382</v>
      </c>
      <c r="O108" s="2" t="s">
        <v>1382</v>
      </c>
    </row>
    <row r="109" spans="1:15">
      <c r="A109" s="2" t="e">
        <f ca="1">'GF12'!$E$2</f>
        <v>#VALUE!</v>
      </c>
      <c r="B109" s="133" t="s">
        <v>1636</v>
      </c>
      <c r="C109" s="135" t="s">
        <v>1384</v>
      </c>
      <c r="D109" s="115" t="s">
        <v>54</v>
      </c>
      <c r="E109" s="2" t="e">
        <f t="shared" ca="1" si="3"/>
        <v>#VALUE!</v>
      </c>
      <c r="F109" s="2" t="s">
        <v>1637</v>
      </c>
      <c r="G109" s="5" cm="1">
        <f t="array" aca="1" ref="G109" ca="1">SUMPRODUCT(SUMIF(INDIRECT("'"&amp;Assemblies[Assy]&amp;"'!"&amp;"C$5:C1000"),$E109,(INDIRECT("'"&amp;Assemblies[Assy]&amp;"'!"&amp;"O$5:O1000"))))</f>
        <v>0</v>
      </c>
      <c r="H109" s="115" t="str" cm="1">
        <f t="array" aca="1" ref="H109" ca="1">TRIM(SUBSTITUTE(_xlfn.ARRAYTOTEXT(IFERROR(CONCATENATE(SUMIF(INDIRECT("'"&amp;Assemblies[Assy]&amp;"'!"&amp;"C$5:C1000"), $E109, INDIRECT("'"&amp;Assemblies[Assy]&amp;"'!"&amp;"O$5:O1000")), "x",Assemblies[Assy],".",IF(SUMIF(INDIRECT("'"&amp;Assemblies[Assy]&amp;"'!"&amp;"C$5:C1000"), $E109, INDIRECT("'"&amp;Assemblies[Assy]&amp;"'!"&amp;"B$5:B1000"))=0,NA(),SUMIF(INDIRECT("'"&amp;Assemblies[Assy]&amp;"'!"&amp;"C$5:C1000"), $E109, INDIRECT("'"&amp;Assemblies[Assy]&amp;"'!"&amp;"A$5:A1000")))),"")), " ,", ""))</f>
        <v>,</v>
      </c>
      <c r="I109" s="226" t="s">
        <v>1631</v>
      </c>
      <c r="J109" s="226" t="s">
        <v>1631</v>
      </c>
      <c r="K109" s="213" t="s">
        <v>1461</v>
      </c>
      <c r="L109" s="5" t="s">
        <v>1382</v>
      </c>
      <c r="M109" s="2" t="s">
        <v>1382</v>
      </c>
      <c r="N109" s="2" t="s">
        <v>1382</v>
      </c>
      <c r="O109" s="2" t="s">
        <v>1382</v>
      </c>
    </row>
    <row r="110" spans="1:15">
      <c r="A110" s="2" t="e">
        <f ca="1">'GF12'!$E$2</f>
        <v>#VALUE!</v>
      </c>
      <c r="B110" s="133" t="s">
        <v>1638</v>
      </c>
      <c r="C110" s="135" t="s">
        <v>1384</v>
      </c>
      <c r="D110" s="115" t="s">
        <v>54</v>
      </c>
      <c r="E110" s="2" t="e">
        <f t="shared" ca="1" si="3"/>
        <v>#VALUE!</v>
      </c>
      <c r="F110" s="2" t="s">
        <v>1639</v>
      </c>
      <c r="G110" s="5" cm="1">
        <f t="array" aca="1" ref="G110" ca="1">SUMPRODUCT(SUMIF(INDIRECT("'"&amp;Assemblies[Assy]&amp;"'!"&amp;"C$5:C1000"),$E110,(INDIRECT("'"&amp;Assemblies[Assy]&amp;"'!"&amp;"O$5:O1000"))))</f>
        <v>0</v>
      </c>
      <c r="H110" s="115" t="str" cm="1">
        <f t="array" aca="1" ref="H110" ca="1">TRIM(SUBSTITUTE(_xlfn.ARRAYTOTEXT(IFERROR(CONCATENATE(SUMIF(INDIRECT("'"&amp;Assemblies[Assy]&amp;"'!"&amp;"C$5:C1000"), $E110, INDIRECT("'"&amp;Assemblies[Assy]&amp;"'!"&amp;"O$5:O1000")), "x",Assemblies[Assy],".",IF(SUMIF(INDIRECT("'"&amp;Assemblies[Assy]&amp;"'!"&amp;"C$5:C1000"), $E110, INDIRECT("'"&amp;Assemblies[Assy]&amp;"'!"&amp;"B$5:B1000"))=0,NA(),SUMIF(INDIRECT("'"&amp;Assemblies[Assy]&amp;"'!"&amp;"C$5:C1000"), $E110, INDIRECT("'"&amp;Assemblies[Assy]&amp;"'!"&amp;"A$5:A1000")))),"")), " ,", ""))</f>
        <v>,</v>
      </c>
      <c r="I110" s="226" t="s">
        <v>1631</v>
      </c>
      <c r="J110" s="226" t="s">
        <v>1631</v>
      </c>
      <c r="K110" s="2" t="s">
        <v>1640</v>
      </c>
      <c r="L110" s="5" t="s">
        <v>1382</v>
      </c>
      <c r="M110" s="2" t="s">
        <v>1382</v>
      </c>
      <c r="N110" s="2" t="s">
        <v>1382</v>
      </c>
      <c r="O110" s="2" t="s">
        <v>1382</v>
      </c>
    </row>
    <row r="111" spans="1:15">
      <c r="A111" s="2" t="e">
        <f ca="1">'GF12'!$E$2</f>
        <v>#VALUE!</v>
      </c>
      <c r="B111" s="133" t="s">
        <v>1641</v>
      </c>
      <c r="C111" s="135" t="s">
        <v>1384</v>
      </c>
      <c r="D111" s="115" t="s">
        <v>54</v>
      </c>
      <c r="E111" s="2" t="e">
        <f t="shared" ca="1" si="3"/>
        <v>#VALUE!</v>
      </c>
      <c r="F111" s="2" t="s">
        <v>1642</v>
      </c>
      <c r="G111" s="5" cm="1">
        <f t="array" aca="1" ref="G111" ca="1">SUMPRODUCT(SUMIF(INDIRECT("'"&amp;Assemblies[Assy]&amp;"'!"&amp;"C$5:C1000"),$E111,(INDIRECT("'"&amp;Assemblies[Assy]&amp;"'!"&amp;"O$5:O1000"))))</f>
        <v>0</v>
      </c>
      <c r="H111" s="115" t="str" cm="1">
        <f t="array" aca="1" ref="H111" ca="1">TRIM(SUBSTITUTE(_xlfn.ARRAYTOTEXT(IFERROR(CONCATENATE(SUMIF(INDIRECT("'"&amp;Assemblies[Assy]&amp;"'!"&amp;"C$5:C1000"), $E111, INDIRECT("'"&amp;Assemblies[Assy]&amp;"'!"&amp;"O$5:O1000")), "x",Assemblies[Assy],".",IF(SUMIF(INDIRECT("'"&amp;Assemblies[Assy]&amp;"'!"&amp;"C$5:C1000"), $E111, INDIRECT("'"&amp;Assemblies[Assy]&amp;"'!"&amp;"B$5:B1000"))=0,NA(),SUMIF(INDIRECT("'"&amp;Assemblies[Assy]&amp;"'!"&amp;"C$5:C1000"), $E111, INDIRECT("'"&amp;Assemblies[Assy]&amp;"'!"&amp;"A$5:A1000")))),"")), " ,", ""))</f>
        <v>,</v>
      </c>
      <c r="I111" s="226" t="s">
        <v>1593</v>
      </c>
      <c r="J111" s="226" t="s">
        <v>1593</v>
      </c>
      <c r="K111" s="161"/>
      <c r="L111" s="5" t="s">
        <v>1382</v>
      </c>
      <c r="M111" s="2" t="s">
        <v>1382</v>
      </c>
      <c r="N111" s="2" t="s">
        <v>1382</v>
      </c>
      <c r="O111" s="2" t="s">
        <v>1382</v>
      </c>
    </row>
    <row r="112" spans="1:15">
      <c r="A112" s="2" t="e">
        <f ca="1">'GF12'!$E$2</f>
        <v>#VALUE!</v>
      </c>
      <c r="B112" s="133" t="s">
        <v>1643</v>
      </c>
      <c r="C112" s="135" t="s">
        <v>1384</v>
      </c>
      <c r="D112" s="115" t="s">
        <v>54</v>
      </c>
      <c r="E112" s="2" t="e">
        <f t="shared" ca="1" si="3"/>
        <v>#VALUE!</v>
      </c>
      <c r="F112" s="2" t="s">
        <v>1644</v>
      </c>
      <c r="G112" s="5" cm="1">
        <f t="array" aca="1" ref="G112" ca="1">SUMPRODUCT(SUMIF(INDIRECT("'"&amp;Assemblies[Assy]&amp;"'!"&amp;"C$5:C1000"),$E112,(INDIRECT("'"&amp;Assemblies[Assy]&amp;"'!"&amp;"O$5:O1000"))))</f>
        <v>0</v>
      </c>
      <c r="H112" s="115" t="str" cm="1">
        <f t="array" aca="1" ref="H112" ca="1">TRIM(SUBSTITUTE(_xlfn.ARRAYTOTEXT(IFERROR(CONCATENATE(SUMIF(INDIRECT("'"&amp;Assemblies[Assy]&amp;"'!"&amp;"C$5:C1000"), $E112, INDIRECT("'"&amp;Assemblies[Assy]&amp;"'!"&amp;"O$5:O1000")), "x",Assemblies[Assy],".",IF(SUMIF(INDIRECT("'"&amp;Assemblies[Assy]&amp;"'!"&amp;"C$5:C1000"), $E112, INDIRECT("'"&amp;Assemblies[Assy]&amp;"'!"&amp;"B$5:B1000"))=0,NA(),SUMIF(INDIRECT("'"&amp;Assemblies[Assy]&amp;"'!"&amp;"C$5:C1000"), $E112, INDIRECT("'"&amp;Assemblies[Assy]&amp;"'!"&amp;"A$5:A1000")))),"")), " ,", ""))</f>
        <v>,</v>
      </c>
      <c r="I112" s="226" t="s">
        <v>1593</v>
      </c>
      <c r="J112" s="226" t="s">
        <v>1593</v>
      </c>
      <c r="K112" s="213" t="s">
        <v>1461</v>
      </c>
      <c r="L112" s="5" t="s">
        <v>1382</v>
      </c>
      <c r="M112" s="2" t="s">
        <v>1382</v>
      </c>
      <c r="N112" s="2" t="s">
        <v>1382</v>
      </c>
      <c r="O112" s="2" t="s">
        <v>1382</v>
      </c>
    </row>
    <row r="113" spans="1:15">
      <c r="A113" s="2" t="e">
        <f ca="1">'GF12'!$E$2</f>
        <v>#VALUE!</v>
      </c>
      <c r="B113" s="133" t="s">
        <v>1645</v>
      </c>
      <c r="C113" s="135" t="s">
        <v>1384</v>
      </c>
      <c r="D113" s="115" t="s">
        <v>54</v>
      </c>
      <c r="E113" s="2" t="e">
        <f t="shared" ca="1" si="3"/>
        <v>#VALUE!</v>
      </c>
      <c r="F113" s="2" t="s">
        <v>1646</v>
      </c>
      <c r="G113" s="5" cm="1">
        <f t="array" aca="1" ref="G113" ca="1">SUMPRODUCT(SUMIF(INDIRECT("'"&amp;Assemblies[Assy]&amp;"'!"&amp;"C$5:C1000"),$E113,(INDIRECT("'"&amp;Assemblies[Assy]&amp;"'!"&amp;"O$5:O1000"))))</f>
        <v>0</v>
      </c>
      <c r="H113" s="115" t="str" cm="1">
        <f t="array" aca="1" ref="H113" ca="1">TRIM(SUBSTITUTE(_xlfn.ARRAYTOTEXT(IFERROR(CONCATENATE(SUMIF(INDIRECT("'"&amp;Assemblies[Assy]&amp;"'!"&amp;"C$5:C1000"), $E113, INDIRECT("'"&amp;Assemblies[Assy]&amp;"'!"&amp;"O$5:O1000")), "x",Assemblies[Assy],".",IF(SUMIF(INDIRECT("'"&amp;Assemblies[Assy]&amp;"'!"&amp;"C$5:C1000"), $E113, INDIRECT("'"&amp;Assemblies[Assy]&amp;"'!"&amp;"B$5:B1000"))=0,NA(),SUMIF(INDIRECT("'"&amp;Assemblies[Assy]&amp;"'!"&amp;"C$5:C1000"), $E113, INDIRECT("'"&amp;Assemblies[Assy]&amp;"'!"&amp;"A$5:A1000")))),"")), " ,", ""))</f>
        <v>,</v>
      </c>
      <c r="I113" s="226" t="s">
        <v>1593</v>
      </c>
      <c r="J113" s="226" t="s">
        <v>1593</v>
      </c>
      <c r="K113" s="213" t="s">
        <v>1461</v>
      </c>
      <c r="L113" s="5" t="s">
        <v>1382</v>
      </c>
      <c r="M113" s="2" t="s">
        <v>1382</v>
      </c>
      <c r="N113" s="2" t="s">
        <v>1382</v>
      </c>
      <c r="O113" s="2" t="s">
        <v>1382</v>
      </c>
    </row>
    <row r="114" spans="1:15">
      <c r="A114" s="2" t="e">
        <f ca="1">'GF12'!$E$2</f>
        <v>#VALUE!</v>
      </c>
      <c r="B114" s="133" t="s">
        <v>1647</v>
      </c>
      <c r="C114" s="135" t="s">
        <v>1384</v>
      </c>
      <c r="D114" s="115" t="s">
        <v>54</v>
      </c>
      <c r="E114" s="2" t="e">
        <f t="shared" ca="1" si="3"/>
        <v>#VALUE!</v>
      </c>
      <c r="F114" s="2" t="s">
        <v>1648</v>
      </c>
      <c r="G114" s="5" cm="1">
        <f t="array" aca="1" ref="G114" ca="1">SUMPRODUCT(SUMIF(INDIRECT("'"&amp;Assemblies[Assy]&amp;"'!"&amp;"C$5:C1000"),$E114,(INDIRECT("'"&amp;Assemblies[Assy]&amp;"'!"&amp;"O$5:O1000"))))</f>
        <v>0</v>
      </c>
      <c r="H114" s="115" t="str" cm="1">
        <f t="array" aca="1" ref="H114" ca="1">TRIM(SUBSTITUTE(_xlfn.ARRAYTOTEXT(IFERROR(CONCATENATE(SUMIF(INDIRECT("'"&amp;Assemblies[Assy]&amp;"'!"&amp;"C$5:C1000"), $E114, INDIRECT("'"&amp;Assemblies[Assy]&amp;"'!"&amp;"O$5:O1000")), "x",Assemblies[Assy],".",IF(SUMIF(INDIRECT("'"&amp;Assemblies[Assy]&amp;"'!"&amp;"C$5:C1000"), $E114, INDIRECT("'"&amp;Assemblies[Assy]&amp;"'!"&amp;"B$5:B1000"))=0,NA(),SUMIF(INDIRECT("'"&amp;Assemblies[Assy]&amp;"'!"&amp;"C$5:C1000"), $E114, INDIRECT("'"&amp;Assemblies[Assy]&amp;"'!"&amp;"A$5:A1000")))),"")), " ,", ""))</f>
        <v>,</v>
      </c>
      <c r="I114" s="226" t="s">
        <v>1598</v>
      </c>
      <c r="J114" s="226" t="s">
        <v>1598</v>
      </c>
      <c r="K114" s="2" t="s">
        <v>1649</v>
      </c>
      <c r="L114" s="5" t="s">
        <v>1382</v>
      </c>
      <c r="M114" s="2" t="s">
        <v>1382</v>
      </c>
      <c r="N114" s="2" t="s">
        <v>1382</v>
      </c>
      <c r="O114" s="2" t="s">
        <v>1382</v>
      </c>
    </row>
    <row r="115" spans="1:15">
      <c r="A115" s="2" t="e">
        <f ca="1">'GF12'!$E$2</f>
        <v>#VALUE!</v>
      </c>
      <c r="B115" s="133" t="s">
        <v>1650</v>
      </c>
      <c r="C115" s="135" t="s">
        <v>1384</v>
      </c>
      <c r="D115" s="115" t="s">
        <v>54</v>
      </c>
      <c r="E115" s="2" t="e">
        <f t="shared" ca="1" si="3"/>
        <v>#VALUE!</v>
      </c>
      <c r="F115" s="2" t="s">
        <v>1651</v>
      </c>
      <c r="G115" s="5" cm="1">
        <f t="array" aca="1" ref="G115" ca="1">SUMPRODUCT(SUMIF(INDIRECT("'"&amp;Assemblies[Assy]&amp;"'!"&amp;"C$5:C1000"),$E115,(INDIRECT("'"&amp;Assemblies[Assy]&amp;"'!"&amp;"O$5:O1000"))))</f>
        <v>0</v>
      </c>
      <c r="H115" s="115" t="str" cm="1">
        <f t="array" aca="1" ref="H115" ca="1">TRIM(SUBSTITUTE(_xlfn.ARRAYTOTEXT(IFERROR(CONCATENATE(SUMIF(INDIRECT("'"&amp;Assemblies[Assy]&amp;"'!"&amp;"C$5:C1000"), $E115, INDIRECT("'"&amp;Assemblies[Assy]&amp;"'!"&amp;"O$5:O1000")), "x",Assemblies[Assy],".",IF(SUMIF(INDIRECT("'"&amp;Assemblies[Assy]&amp;"'!"&amp;"C$5:C1000"), $E115, INDIRECT("'"&amp;Assemblies[Assy]&amp;"'!"&amp;"B$5:B1000"))=0,NA(),SUMIF(INDIRECT("'"&amp;Assemblies[Assy]&amp;"'!"&amp;"C$5:C1000"), $E115, INDIRECT("'"&amp;Assemblies[Assy]&amp;"'!"&amp;"A$5:A1000")))),"")), " ,", ""))</f>
        <v>,</v>
      </c>
      <c r="I115" s="226" t="s">
        <v>1593</v>
      </c>
      <c r="J115" s="226" t="s">
        <v>1593</v>
      </c>
      <c r="K115" s="2" t="s">
        <v>1652</v>
      </c>
      <c r="L115" s="5" t="s">
        <v>1382</v>
      </c>
      <c r="M115" s="2" t="s">
        <v>1382</v>
      </c>
      <c r="N115" s="2" t="s">
        <v>1382</v>
      </c>
      <c r="O115" s="2" t="s">
        <v>1382</v>
      </c>
    </row>
    <row r="116" spans="1:15">
      <c r="A116" s="2" t="e">
        <f ca="1">'GF12'!$E$2</f>
        <v>#VALUE!</v>
      </c>
      <c r="B116" s="135" t="s">
        <v>1653</v>
      </c>
      <c r="C116" s="135" t="s">
        <v>1384</v>
      </c>
      <c r="D116" s="115" t="s">
        <v>54</v>
      </c>
      <c r="E116" s="2" t="e">
        <f t="shared" ca="1" si="3"/>
        <v>#VALUE!</v>
      </c>
      <c r="F116" s="2" t="s">
        <v>1654</v>
      </c>
      <c r="G116" s="5" cm="1">
        <f t="array" aca="1" ref="G116" ca="1">SUMPRODUCT(SUMIF(INDIRECT("'"&amp;Assemblies[Assy]&amp;"'!"&amp;"C$5:C1000"),$E116,(INDIRECT("'"&amp;Assemblies[Assy]&amp;"'!"&amp;"O$5:O1000"))))</f>
        <v>0</v>
      </c>
      <c r="H116" s="115" t="str" cm="1">
        <f t="array" aca="1" ref="H116" ca="1">TRIM(SUBSTITUTE(_xlfn.ARRAYTOTEXT(IFERROR(CONCATENATE(SUMIF(INDIRECT("'"&amp;Assemblies[Assy]&amp;"'!"&amp;"C$5:C1000"), $E116, INDIRECT("'"&amp;Assemblies[Assy]&amp;"'!"&amp;"O$5:O1000")), "x",Assemblies[Assy],".",IF(SUMIF(INDIRECT("'"&amp;Assemblies[Assy]&amp;"'!"&amp;"C$5:C1000"), $E116, INDIRECT("'"&amp;Assemblies[Assy]&amp;"'!"&amp;"B$5:B1000"))=0,NA(),SUMIF(INDIRECT("'"&amp;Assemblies[Assy]&amp;"'!"&amp;"C$5:C1000"), $E116, INDIRECT("'"&amp;Assemblies[Assy]&amp;"'!"&amp;"A$5:A1000")))),"")), " ,", ""))</f>
        <v>,</v>
      </c>
      <c r="I116" s="226" t="s">
        <v>1593</v>
      </c>
      <c r="J116" s="226" t="s">
        <v>1593</v>
      </c>
      <c r="K116" s="2" t="s">
        <v>1655</v>
      </c>
      <c r="L116" s="5" t="s">
        <v>1382</v>
      </c>
      <c r="M116" s="2" t="s">
        <v>1382</v>
      </c>
      <c r="N116" s="2" t="s">
        <v>1382</v>
      </c>
      <c r="O116" s="2" t="s">
        <v>1382</v>
      </c>
    </row>
    <row r="117" spans="1:15">
      <c r="A117" s="2" t="e">
        <f ca="1">'GF12'!$E$2</f>
        <v>#VALUE!</v>
      </c>
      <c r="B117" s="135" t="s">
        <v>1656</v>
      </c>
      <c r="C117" s="135" t="s">
        <v>1384</v>
      </c>
      <c r="D117" s="115" t="s">
        <v>54</v>
      </c>
      <c r="E117" s="2" t="e">
        <f t="shared" ca="1" si="3"/>
        <v>#VALUE!</v>
      </c>
      <c r="F117" s="2" t="s">
        <v>1657</v>
      </c>
      <c r="G117" s="5" cm="1">
        <f t="array" aca="1" ref="G117" ca="1">SUMPRODUCT(SUMIF(INDIRECT("'"&amp;Assemblies[Assy]&amp;"'!"&amp;"C$5:C1000"),$E117,(INDIRECT("'"&amp;Assemblies[Assy]&amp;"'!"&amp;"O$5:O1000"))))</f>
        <v>0</v>
      </c>
      <c r="H117" s="115" t="str" cm="1">
        <f t="array" aca="1" ref="H117" ca="1">TRIM(SUBSTITUTE(_xlfn.ARRAYTOTEXT(IFERROR(CONCATENATE(SUMIF(INDIRECT("'"&amp;Assemblies[Assy]&amp;"'!"&amp;"C$5:C1000"), $E117, INDIRECT("'"&amp;Assemblies[Assy]&amp;"'!"&amp;"O$5:O1000")), "x",Assemblies[Assy],".",IF(SUMIF(INDIRECT("'"&amp;Assemblies[Assy]&amp;"'!"&amp;"C$5:C1000"), $E117, INDIRECT("'"&amp;Assemblies[Assy]&amp;"'!"&amp;"B$5:B1000"))=0,NA(),SUMIF(INDIRECT("'"&amp;Assemblies[Assy]&amp;"'!"&amp;"C$5:C1000"), $E117, INDIRECT("'"&amp;Assemblies[Assy]&amp;"'!"&amp;"A$5:A1000")))),"")), " ,", ""))</f>
        <v>,</v>
      </c>
      <c r="I117" s="226" t="s">
        <v>1593</v>
      </c>
      <c r="J117" s="226" t="s">
        <v>1593</v>
      </c>
      <c r="K117" s="2" t="s">
        <v>1658</v>
      </c>
      <c r="L117" s="5" t="s">
        <v>1382</v>
      </c>
      <c r="M117" s="2" t="s">
        <v>1382</v>
      </c>
      <c r="N117" s="2" t="s">
        <v>1382</v>
      </c>
      <c r="O117" s="2" t="s">
        <v>1382</v>
      </c>
    </row>
    <row r="118" spans="1:15">
      <c r="A118" s="2" t="e">
        <f ca="1">'GF12'!$E$2</f>
        <v>#VALUE!</v>
      </c>
      <c r="B118" s="135" t="s">
        <v>1659</v>
      </c>
      <c r="C118" s="135" t="s">
        <v>1384</v>
      </c>
      <c r="D118" s="115" t="s">
        <v>54</v>
      </c>
      <c r="E118" s="2" t="e">
        <f ca="1">_xlfn.CONCAT(A118,".",B118,".",C118,".",D118)</f>
        <v>#VALUE!</v>
      </c>
      <c r="F118" s="2" t="s">
        <v>1660</v>
      </c>
      <c r="G118" s="5" cm="1">
        <f t="array" aca="1" ref="G118" ca="1">SUMPRODUCT(SUMIF(INDIRECT("'"&amp;$B$2:$B$119&amp;"'!"&amp;"C5:C1000"),E118,(INDIRECT("'"&amp;$B$2:$B$119&amp;"'!"&amp;"O5:O1000"))))</f>
        <v>0</v>
      </c>
      <c r="H118" s="115" t="str" cm="1">
        <f t="array" aca="1" ref="H118" ca="1">TRIM(SUBSTITUTE(_xlfn.ARRAYTOTEXT(IFERROR(CONCATENATE(SUMIF(INDIRECT("'"&amp;Assemblies[Assy]&amp;"'!"&amp;"C$5:C1000"), $E118, INDIRECT("'"&amp;Assemblies[Assy]&amp;"'!"&amp;"O$5:O1000")), "x",Assemblies[Assy],".",IF(SUMIF(INDIRECT("'"&amp;Assemblies[Assy]&amp;"'!"&amp;"C$5:C1000"), $E118, INDIRECT("'"&amp;Assemblies[Assy]&amp;"'!"&amp;"B$5:B1000"))=0,NA(),SUMIF(INDIRECT("'"&amp;Assemblies[Assy]&amp;"'!"&amp;"C$5:C1000"), $E118, INDIRECT("'"&amp;Assemblies[Assy]&amp;"'!"&amp;"A$5:A1000")))),"")), " ,", ""))</f>
        <v>,</v>
      </c>
      <c r="I118" s="226"/>
      <c r="J118" s="226"/>
    </row>
    <row r="119" spans="1:15">
      <c r="A119" s="2" t="e">
        <f ca="1">'GF12'!$E$2</f>
        <v>#VALUE!</v>
      </c>
      <c r="B119" s="133" t="s">
        <v>1661</v>
      </c>
      <c r="C119" s="135" t="s">
        <v>1384</v>
      </c>
      <c r="D119" s="115" t="s">
        <v>54</v>
      </c>
      <c r="E119" s="2" t="e">
        <f t="shared" ca="1" si="3"/>
        <v>#VALUE!</v>
      </c>
      <c r="F119" s="2" t="s">
        <v>1662</v>
      </c>
      <c r="G119" s="5" cm="1">
        <f t="array" aca="1" ref="G119" ca="1">SUMPRODUCT(SUMIF(INDIRECT("'"&amp;Assemblies[Assy]&amp;"'!"&amp;"C$5:C1000"),$E119,(INDIRECT("'"&amp;Assemblies[Assy]&amp;"'!"&amp;"O$5:O1000"))))</f>
        <v>0</v>
      </c>
      <c r="H119" s="115" t="str" cm="1">
        <f t="array" aca="1" ref="H119" ca="1">TRIM(SUBSTITUTE(_xlfn.ARRAYTOTEXT(IFERROR(CONCATENATE(SUMIF(INDIRECT("'"&amp;Assemblies[Assy]&amp;"'!"&amp;"C$5:C1000"), $E119, INDIRECT("'"&amp;Assemblies[Assy]&amp;"'!"&amp;"O$5:O1000")), "x",Assemblies[Assy],".",IF(SUMIF(INDIRECT("'"&amp;Assemblies[Assy]&amp;"'!"&amp;"C$5:C1000"), $E119, INDIRECT("'"&amp;Assemblies[Assy]&amp;"'!"&amp;"B$5:B1000"))=0,NA(),SUMIF(INDIRECT("'"&amp;Assemblies[Assy]&amp;"'!"&amp;"C$5:C1000"), $E119, INDIRECT("'"&amp;Assemblies[Assy]&amp;"'!"&amp;"A$5:A1000")))),"")), " ,", ""))</f>
        <v>,</v>
      </c>
      <c r="I119" s="226" t="s">
        <v>1593</v>
      </c>
      <c r="J119" s="226" t="s">
        <v>1593</v>
      </c>
      <c r="K119" s="161"/>
      <c r="L119" s="5" t="s">
        <v>1382</v>
      </c>
      <c r="M119" s="2" t="s">
        <v>1382</v>
      </c>
      <c r="N119" s="2" t="s">
        <v>1382</v>
      </c>
      <c r="O119" s="2" t="s">
        <v>1382</v>
      </c>
    </row>
    <row r="120" spans="1:15">
      <c r="A120" s="2" t="e">
        <f ca="1">'GF12'!$E$2</f>
        <v>#VALUE!</v>
      </c>
      <c r="B120" s="133" t="s">
        <v>1663</v>
      </c>
      <c r="C120" s="135" t="s">
        <v>1384</v>
      </c>
      <c r="D120" s="115" t="s">
        <v>54</v>
      </c>
      <c r="E120" s="2" t="e">
        <f t="shared" ca="1" si="3"/>
        <v>#VALUE!</v>
      </c>
      <c r="F120" s="2" t="s">
        <v>1664</v>
      </c>
      <c r="G120" s="5" cm="1">
        <f t="array" aca="1" ref="G120" ca="1">SUMPRODUCT(SUMIF(INDIRECT("'"&amp;Assemblies[Assy]&amp;"'!"&amp;"C$5:C1000"),$E120,(INDIRECT("'"&amp;Assemblies[Assy]&amp;"'!"&amp;"O$5:O1000"))))</f>
        <v>0</v>
      </c>
      <c r="H120" s="115" t="str" cm="1">
        <f t="array" aca="1" ref="H120" ca="1">TRIM(SUBSTITUTE(_xlfn.ARRAYTOTEXT(IFERROR(CONCATENATE(SUMIF(INDIRECT("'"&amp;Assemblies[Assy]&amp;"'!"&amp;"C$5:C1000"), $E120, INDIRECT("'"&amp;Assemblies[Assy]&amp;"'!"&amp;"O$5:O1000")), "x",Assemblies[Assy],".",IF(SUMIF(INDIRECT("'"&amp;Assemblies[Assy]&amp;"'!"&amp;"C$5:C1000"), $E120, INDIRECT("'"&amp;Assemblies[Assy]&amp;"'!"&amp;"B$5:B1000"))=0,NA(),SUMIF(INDIRECT("'"&amp;Assemblies[Assy]&amp;"'!"&amp;"C$5:C1000"), $E120, INDIRECT("'"&amp;Assemblies[Assy]&amp;"'!"&amp;"A$5:A1000")))),"")), " ,", ""))</f>
        <v>,</v>
      </c>
      <c r="I120" s="226" t="s">
        <v>1593</v>
      </c>
      <c r="J120" s="226" t="s">
        <v>1593</v>
      </c>
      <c r="K120" s="2" t="s">
        <v>1649</v>
      </c>
      <c r="L120" s="5" t="s">
        <v>1382</v>
      </c>
      <c r="M120" s="2" t="s">
        <v>1382</v>
      </c>
      <c r="N120" s="2" t="s">
        <v>1382</v>
      </c>
      <c r="O120" s="2" t="s">
        <v>1382</v>
      </c>
    </row>
    <row r="121" spans="1:15">
      <c r="A121" s="2" t="e">
        <f ca="1">'GF12'!$E$2</f>
        <v>#VALUE!</v>
      </c>
      <c r="B121" s="133" t="s">
        <v>1665</v>
      </c>
      <c r="C121" s="135" t="s">
        <v>1384</v>
      </c>
      <c r="D121" s="115" t="s">
        <v>54</v>
      </c>
      <c r="E121" s="2" t="e">
        <f t="shared" ca="1" si="3"/>
        <v>#VALUE!</v>
      </c>
      <c r="F121" s="2" t="s">
        <v>1666</v>
      </c>
      <c r="G121" s="5" cm="1">
        <f t="array" aca="1" ref="G121" ca="1">SUMPRODUCT(SUMIF(INDIRECT("'"&amp;Assemblies[Assy]&amp;"'!"&amp;"C$5:C1000"),$E121,(INDIRECT("'"&amp;Assemblies[Assy]&amp;"'!"&amp;"O$5:O1000"))))</f>
        <v>0</v>
      </c>
      <c r="H121" s="115" t="str" cm="1">
        <f t="array" aca="1" ref="H121" ca="1">TRIM(SUBSTITUTE(_xlfn.ARRAYTOTEXT(IFERROR(CONCATENATE(SUMIF(INDIRECT("'"&amp;Assemblies[Assy]&amp;"'!"&amp;"C$5:C1000"), $E121, INDIRECT("'"&amp;Assemblies[Assy]&amp;"'!"&amp;"O$5:O1000")), "x",Assemblies[Assy],".",IF(SUMIF(INDIRECT("'"&amp;Assemblies[Assy]&amp;"'!"&amp;"C$5:C1000"), $E121, INDIRECT("'"&amp;Assemblies[Assy]&amp;"'!"&amp;"B$5:B1000"))=0,NA(),SUMIF(INDIRECT("'"&amp;Assemblies[Assy]&amp;"'!"&amp;"C$5:C1000"), $E121, INDIRECT("'"&amp;Assemblies[Assy]&amp;"'!"&amp;"A$5:A1000")))),"")), " ,", ""))</f>
        <v>,</v>
      </c>
      <c r="I121" s="226" t="s">
        <v>1593</v>
      </c>
      <c r="J121" s="226" t="s">
        <v>1593</v>
      </c>
      <c r="K121" s="2" t="s">
        <v>1667</v>
      </c>
      <c r="L121" s="5" t="s">
        <v>1382</v>
      </c>
      <c r="M121" s="2" t="s">
        <v>1382</v>
      </c>
      <c r="N121" s="2" t="s">
        <v>1382</v>
      </c>
      <c r="O121" s="2" t="s">
        <v>1382</v>
      </c>
    </row>
    <row r="122" spans="1:15">
      <c r="A122" s="2" t="e">
        <f ca="1">'GF12'!$E$2</f>
        <v>#VALUE!</v>
      </c>
      <c r="B122" s="133" t="s">
        <v>1668</v>
      </c>
      <c r="C122" s="135" t="s">
        <v>1384</v>
      </c>
      <c r="D122" s="115" t="s">
        <v>54</v>
      </c>
      <c r="E122" s="2" t="e">
        <f t="shared" ca="1" si="3"/>
        <v>#VALUE!</v>
      </c>
      <c r="F122" s="2" t="s">
        <v>1669</v>
      </c>
      <c r="G122" s="5" cm="1">
        <f t="array" aca="1" ref="G122" ca="1">SUMPRODUCT(SUMIF(INDIRECT("'"&amp;Assemblies[Assy]&amp;"'!"&amp;"C$5:C1000"),$E122,(INDIRECT("'"&amp;Assemblies[Assy]&amp;"'!"&amp;"O$5:O1000"))))</f>
        <v>0</v>
      </c>
      <c r="H122" s="115" t="str" cm="1">
        <f t="array" aca="1" ref="H122" ca="1">TRIM(SUBSTITUTE(_xlfn.ARRAYTOTEXT(IFERROR(CONCATENATE(SUMIF(INDIRECT("'"&amp;Assemblies[Assy]&amp;"'!"&amp;"C$5:C1000"), $E122, INDIRECT("'"&amp;Assemblies[Assy]&amp;"'!"&amp;"O$5:O1000")), "x",Assemblies[Assy],".",IF(SUMIF(INDIRECT("'"&amp;Assemblies[Assy]&amp;"'!"&amp;"C$5:C1000"), $E122, INDIRECT("'"&amp;Assemblies[Assy]&amp;"'!"&amp;"B$5:B1000"))=0,NA(),SUMIF(INDIRECT("'"&amp;Assemblies[Assy]&amp;"'!"&amp;"C$5:C1000"), $E122, INDIRECT("'"&amp;Assemblies[Assy]&amp;"'!"&amp;"A$5:A1000")))),"")), " ,", ""))</f>
        <v>,</v>
      </c>
      <c r="I122" s="226" t="s">
        <v>1593</v>
      </c>
      <c r="J122" s="226" t="s">
        <v>1593</v>
      </c>
      <c r="K122" s="213" t="s">
        <v>1461</v>
      </c>
      <c r="L122" s="5" t="s">
        <v>1382</v>
      </c>
      <c r="M122" s="2" t="s">
        <v>1382</v>
      </c>
      <c r="N122" s="2" t="s">
        <v>1382</v>
      </c>
      <c r="O122" s="2" t="s">
        <v>1382</v>
      </c>
    </row>
    <row r="123" spans="1:15">
      <c r="A123" s="2" t="e">
        <f ca="1">'GF12'!$E$2</f>
        <v>#VALUE!</v>
      </c>
      <c r="B123" s="133" t="s">
        <v>1670</v>
      </c>
      <c r="C123" s="135" t="s">
        <v>1384</v>
      </c>
      <c r="D123" s="115" t="s">
        <v>54</v>
      </c>
      <c r="E123" s="2" t="e">
        <f t="shared" ref="E123" ca="1" si="4">_xlfn.CONCAT(A123,".",B123,".",C123,".",D123)</f>
        <v>#VALUE!</v>
      </c>
      <c r="F123" s="2" t="s">
        <v>1671</v>
      </c>
      <c r="G123" s="5" cm="1">
        <f t="array" aca="1" ref="G123" ca="1">SUMPRODUCT(SUMIF(INDIRECT("'"&amp;Assemblies[Assy]&amp;"'!"&amp;"C$5:C1000"),$E123,(INDIRECT("'"&amp;Assemblies[Assy]&amp;"'!"&amp;"O$5:O1000"))))</f>
        <v>0</v>
      </c>
      <c r="H123" s="115" t="str" cm="1">
        <f t="array" aca="1" ref="H123" ca="1">TRIM(SUBSTITUTE(_xlfn.ARRAYTOTEXT(IFERROR(CONCATENATE(SUMIF(INDIRECT("'"&amp;Assemblies[Assy]&amp;"'!"&amp;"C$5:C1000"), $E123, INDIRECT("'"&amp;Assemblies[Assy]&amp;"'!"&amp;"O$5:O1000")), "x",Assemblies[Assy],".",IF(SUMIF(INDIRECT("'"&amp;Assemblies[Assy]&amp;"'!"&amp;"C$5:C1000"), $E123, INDIRECT("'"&amp;Assemblies[Assy]&amp;"'!"&amp;"B$5:B1000"))=0,NA(),SUMIF(INDIRECT("'"&amp;Assemblies[Assy]&amp;"'!"&amp;"C$5:C1000"), $E123, INDIRECT("'"&amp;Assemblies[Assy]&amp;"'!"&amp;"A$5:A1000")))),"")), " ,", ""))</f>
        <v>,</v>
      </c>
      <c r="I123" s="213" t="s">
        <v>1580</v>
      </c>
      <c r="J123" s="213" t="s">
        <v>1580</v>
      </c>
      <c r="K123" s="2" t="s">
        <v>1672</v>
      </c>
      <c r="L123" s="5" t="s">
        <v>1382</v>
      </c>
      <c r="M123" s="2" t="s">
        <v>1382</v>
      </c>
      <c r="N123" s="2" t="s">
        <v>1382</v>
      </c>
      <c r="O123" s="2" t="s">
        <v>1382</v>
      </c>
    </row>
    <row r="124" spans="1:15">
      <c r="A124" s="2" t="e">
        <f ca="1">'GF12'!$E$2</f>
        <v>#VALUE!</v>
      </c>
      <c r="B124" s="133" t="s">
        <v>1673</v>
      </c>
      <c r="C124" s="135" t="s">
        <v>1384</v>
      </c>
      <c r="D124" s="115" t="s">
        <v>54</v>
      </c>
      <c r="E124" s="2" t="e">
        <f t="shared" ca="1" si="3"/>
        <v>#VALUE!</v>
      </c>
      <c r="F124" s="2" t="s">
        <v>1674</v>
      </c>
      <c r="G124" s="5" cm="1">
        <f t="array" aca="1" ref="G124" ca="1">SUMPRODUCT(SUMIF(INDIRECT("'"&amp;Assemblies[Assy]&amp;"'!"&amp;"C$5:C1000"),$E124,(INDIRECT("'"&amp;Assemblies[Assy]&amp;"'!"&amp;"O$5:O1000"))))</f>
        <v>0</v>
      </c>
      <c r="H124" s="115" t="str" cm="1">
        <f t="array" aca="1" ref="H124" ca="1">TRIM(SUBSTITUTE(_xlfn.ARRAYTOTEXT(IFERROR(CONCATENATE(SUMIF(INDIRECT("'"&amp;Assemblies[Assy]&amp;"'!"&amp;"C$5:C1000"), $E124, INDIRECT("'"&amp;Assemblies[Assy]&amp;"'!"&amp;"O$5:O1000")), "x",Assemblies[Assy],".",IF(SUMIF(INDIRECT("'"&amp;Assemblies[Assy]&amp;"'!"&amp;"C$5:C1000"), $E124, INDIRECT("'"&amp;Assemblies[Assy]&amp;"'!"&amp;"B$5:B1000"))=0,NA(),SUMIF(INDIRECT("'"&amp;Assemblies[Assy]&amp;"'!"&amp;"C$5:C1000"), $E124, INDIRECT("'"&amp;Assemblies[Assy]&amp;"'!"&amp;"A$5:A1000")))),"")), " ,", ""))</f>
        <v>,</v>
      </c>
      <c r="I124" s="213" t="s">
        <v>1675</v>
      </c>
      <c r="J124" s="213" t="s">
        <v>1675</v>
      </c>
      <c r="K124" s="161"/>
      <c r="L124" s="5" t="s">
        <v>1382</v>
      </c>
      <c r="M124" s="2" t="s">
        <v>1382</v>
      </c>
      <c r="N124" s="2" t="s">
        <v>1382</v>
      </c>
      <c r="O124" s="2" t="s">
        <v>1382</v>
      </c>
    </row>
    <row r="125" spans="1:15">
      <c r="A125" s="2" t="e">
        <f ca="1">'GF12'!$E$2</f>
        <v>#VALUE!</v>
      </c>
      <c r="B125" s="133" t="s">
        <v>1676</v>
      </c>
      <c r="C125" s="135" t="s">
        <v>1384</v>
      </c>
      <c r="D125" s="115" t="s">
        <v>54</v>
      </c>
      <c r="E125" s="2" t="e">
        <f t="shared" ca="1" si="3"/>
        <v>#VALUE!</v>
      </c>
      <c r="F125" s="2" t="s">
        <v>1677</v>
      </c>
      <c r="G125" s="5" cm="1">
        <f t="array" aca="1" ref="G125" ca="1">SUMPRODUCT(SUMIF(INDIRECT("'"&amp;Assemblies[Assy]&amp;"'!"&amp;"C$5:C1000"),$E125,(INDIRECT("'"&amp;Assemblies[Assy]&amp;"'!"&amp;"O$5:O1000"))))</f>
        <v>0</v>
      </c>
      <c r="H125" s="115" t="str" cm="1">
        <f t="array" aca="1" ref="H125" ca="1">TRIM(SUBSTITUTE(_xlfn.ARRAYTOTEXT(IFERROR(CONCATENATE(SUMIF(INDIRECT("'"&amp;Assemblies[Assy]&amp;"'!"&amp;"C$5:C1000"), $E125, INDIRECT("'"&amp;Assemblies[Assy]&amp;"'!"&amp;"O$5:O1000")), "x",Assemblies[Assy],".",IF(SUMIF(INDIRECT("'"&amp;Assemblies[Assy]&amp;"'!"&amp;"C$5:C1000"), $E125, INDIRECT("'"&amp;Assemblies[Assy]&amp;"'!"&amp;"B$5:B1000"))=0,NA(),SUMIF(INDIRECT("'"&amp;Assemblies[Assy]&amp;"'!"&amp;"C$5:C1000"), $E125, INDIRECT("'"&amp;Assemblies[Assy]&amp;"'!"&amp;"A$5:A1000")))),"")), " ,", ""))</f>
        <v>,</v>
      </c>
      <c r="I125" s="213" t="s">
        <v>1678</v>
      </c>
      <c r="J125" s="213" t="s">
        <v>1678</v>
      </c>
      <c r="K125" s="213" t="s">
        <v>1461</v>
      </c>
      <c r="L125" s="5" t="s">
        <v>1382</v>
      </c>
      <c r="M125" s="2" t="s">
        <v>1382</v>
      </c>
      <c r="N125" s="2" t="s">
        <v>1382</v>
      </c>
      <c r="O125" s="2" t="s">
        <v>1382</v>
      </c>
    </row>
    <row r="126" spans="1:15">
      <c r="A126" s="2" t="e">
        <f ca="1">'GF12'!$E$2</f>
        <v>#VALUE!</v>
      </c>
      <c r="B126" s="133" t="s">
        <v>1679</v>
      </c>
      <c r="C126" s="135" t="s">
        <v>1384</v>
      </c>
      <c r="D126" s="115" t="s">
        <v>54</v>
      </c>
      <c r="E126" s="2" t="e">
        <f t="shared" ca="1" si="3"/>
        <v>#VALUE!</v>
      </c>
      <c r="F126" s="2" t="s">
        <v>1680</v>
      </c>
      <c r="G126" s="5" cm="1">
        <f t="array" aca="1" ref="G126" ca="1">SUMPRODUCT(SUMIF(INDIRECT("'"&amp;Assemblies[Assy]&amp;"'!"&amp;"C$5:C1000"),$E126,(INDIRECT("'"&amp;Assemblies[Assy]&amp;"'!"&amp;"O$5:O1000"))))</f>
        <v>0</v>
      </c>
      <c r="H126" s="115" t="str" cm="1">
        <f t="array" aca="1" ref="H126" ca="1">TRIM(SUBSTITUTE(_xlfn.ARRAYTOTEXT(IFERROR(CONCATENATE(SUMIF(INDIRECT("'"&amp;Assemblies[Assy]&amp;"'!"&amp;"C$5:C1000"), $E126, INDIRECT("'"&amp;Assemblies[Assy]&amp;"'!"&amp;"O$5:O1000")), "x",Assemblies[Assy],".",IF(SUMIF(INDIRECT("'"&amp;Assemblies[Assy]&amp;"'!"&amp;"C$5:C1000"), $E126, INDIRECT("'"&amp;Assemblies[Assy]&amp;"'!"&amp;"B$5:B1000"))=0,NA(),SUMIF(INDIRECT("'"&amp;Assemblies[Assy]&amp;"'!"&amp;"C$5:C1000"), $E126, INDIRECT("'"&amp;Assemblies[Assy]&amp;"'!"&amp;"A$5:A1000")))),"")), " ,", ""))</f>
        <v>,</v>
      </c>
      <c r="I126" s="213" t="s">
        <v>1678</v>
      </c>
      <c r="J126" s="213" t="s">
        <v>1678</v>
      </c>
      <c r="K126" s="213" t="s">
        <v>1461</v>
      </c>
      <c r="L126" s="5" t="s">
        <v>1382</v>
      </c>
      <c r="M126" s="2" t="s">
        <v>1382</v>
      </c>
      <c r="N126" s="2" t="s">
        <v>1382</v>
      </c>
      <c r="O126" s="2" t="s">
        <v>1382</v>
      </c>
    </row>
    <row r="127" spans="1:15">
      <c r="A127" s="2" t="e">
        <f ca="1">'GF12'!$E$2</f>
        <v>#VALUE!</v>
      </c>
      <c r="B127" s="133" t="s">
        <v>1681</v>
      </c>
      <c r="C127" s="135" t="s">
        <v>1384</v>
      </c>
      <c r="D127" s="115" t="s">
        <v>54</v>
      </c>
      <c r="E127" s="2" t="e">
        <f t="shared" ca="1" si="3"/>
        <v>#VALUE!</v>
      </c>
      <c r="F127" s="2" t="s">
        <v>1682</v>
      </c>
      <c r="G127" s="5" cm="1">
        <f t="array" aca="1" ref="G127" ca="1">SUMPRODUCT(SUMIF(INDIRECT("'"&amp;Assemblies[Assy]&amp;"'!"&amp;"C$5:C1000"),$E127,(INDIRECT("'"&amp;Assemblies[Assy]&amp;"'!"&amp;"O$5:O1000"))))</f>
        <v>0</v>
      </c>
      <c r="H127" s="115" t="str" cm="1">
        <f t="array" aca="1" ref="H127" ca="1">TRIM(SUBSTITUTE(_xlfn.ARRAYTOTEXT(IFERROR(CONCATENATE(SUMIF(INDIRECT("'"&amp;Assemblies[Assy]&amp;"'!"&amp;"C$5:C1000"), $E127, INDIRECT("'"&amp;Assemblies[Assy]&amp;"'!"&amp;"O$5:O1000")), "x",Assemblies[Assy],".",IF(SUMIF(INDIRECT("'"&amp;Assemblies[Assy]&amp;"'!"&amp;"C$5:C1000"), $E127, INDIRECT("'"&amp;Assemblies[Assy]&amp;"'!"&amp;"B$5:B1000"))=0,NA(),SUMIF(INDIRECT("'"&amp;Assemblies[Assy]&amp;"'!"&amp;"C$5:C1000"), $E127, INDIRECT("'"&amp;Assemblies[Assy]&amp;"'!"&amp;"A$5:A1000")))),"")), " ,", ""))</f>
        <v>,</v>
      </c>
      <c r="I127" s="213" t="s">
        <v>1678</v>
      </c>
      <c r="J127" s="213" t="s">
        <v>1678</v>
      </c>
      <c r="K127" s="2" t="s">
        <v>1683</v>
      </c>
      <c r="L127" s="5" t="s">
        <v>1382</v>
      </c>
      <c r="M127" s="2" t="s">
        <v>1382</v>
      </c>
      <c r="N127" s="2" t="s">
        <v>1382</v>
      </c>
      <c r="O127" s="2" t="s">
        <v>1382</v>
      </c>
    </row>
    <row r="128" spans="1:15">
      <c r="A128" s="2" t="e">
        <f ca="1">'GF12'!$E$2</f>
        <v>#VALUE!</v>
      </c>
      <c r="B128" s="135" t="s">
        <v>1684</v>
      </c>
      <c r="C128" s="135" t="s">
        <v>1384</v>
      </c>
      <c r="D128" s="115" t="s">
        <v>54</v>
      </c>
      <c r="E128" s="2" t="e">
        <f t="shared" ca="1" si="3"/>
        <v>#VALUE!</v>
      </c>
      <c r="F128" s="2" t="s">
        <v>1685</v>
      </c>
      <c r="G128" s="5" cm="1">
        <f t="array" aca="1" ref="G128" ca="1">SUMPRODUCT(SUMIF(INDIRECT("'"&amp;Assemblies[Assy]&amp;"'!"&amp;"C$5:C1000"),$E128,(INDIRECT("'"&amp;Assemblies[Assy]&amp;"'!"&amp;"O$5:O1000"))))</f>
        <v>0</v>
      </c>
      <c r="H128" s="115" t="str" cm="1">
        <f t="array" aca="1" ref="H128" ca="1">TRIM(SUBSTITUTE(_xlfn.ARRAYTOTEXT(IFERROR(CONCATENATE(SUMIF(INDIRECT("'"&amp;Assemblies[Assy]&amp;"'!"&amp;"C$5:C1000"), $E128, INDIRECT("'"&amp;Assemblies[Assy]&amp;"'!"&amp;"O$5:O1000")), "x",Assemblies[Assy],".",IF(SUMIF(INDIRECT("'"&amp;Assemblies[Assy]&amp;"'!"&amp;"C$5:C1000"), $E128, INDIRECT("'"&amp;Assemblies[Assy]&amp;"'!"&amp;"B$5:B1000"))=0,NA(),SUMIF(INDIRECT("'"&amp;Assemblies[Assy]&amp;"'!"&amp;"C$5:C1000"), $E128, INDIRECT("'"&amp;Assemblies[Assy]&amp;"'!"&amp;"A$5:A1000")))),"")), " ,", ""))</f>
        <v>,</v>
      </c>
      <c r="I128" s="213" t="s">
        <v>1551</v>
      </c>
      <c r="J128" s="213" t="s">
        <v>1551</v>
      </c>
      <c r="K128" s="2" t="s">
        <v>1686</v>
      </c>
      <c r="L128" s="5" t="s">
        <v>1382</v>
      </c>
      <c r="M128" s="2" t="s">
        <v>1382</v>
      </c>
      <c r="N128" s="2" t="s">
        <v>1382</v>
      </c>
      <c r="O128" s="2" t="s">
        <v>1382</v>
      </c>
    </row>
    <row r="129" spans="1:15">
      <c r="A129" s="2" t="e">
        <f ca="1">'GF12'!$E$2</f>
        <v>#VALUE!</v>
      </c>
      <c r="B129" s="133" t="s">
        <v>1687</v>
      </c>
      <c r="C129" s="135" t="s">
        <v>1384</v>
      </c>
      <c r="D129" s="115" t="s">
        <v>54</v>
      </c>
      <c r="E129" s="2" t="e">
        <f t="shared" ca="1" si="3"/>
        <v>#VALUE!</v>
      </c>
      <c r="F129" s="2" t="s">
        <v>1688</v>
      </c>
      <c r="G129" s="5" cm="1">
        <f t="array" aca="1" ref="G129" ca="1">SUMPRODUCT(SUMIF(INDIRECT("'"&amp;Assemblies[Assy]&amp;"'!"&amp;"C$5:C1000"),$E129,(INDIRECT("'"&amp;Assemblies[Assy]&amp;"'!"&amp;"O$5:O1000"))))</f>
        <v>0</v>
      </c>
      <c r="H129" s="115" t="str" cm="1">
        <f t="array" aca="1" ref="H129" ca="1">TRIM(SUBSTITUTE(_xlfn.ARRAYTOTEXT(IFERROR(CONCATENATE(SUMIF(INDIRECT("'"&amp;Assemblies[Assy]&amp;"'!"&amp;"C$5:C1000"), $E129, INDIRECT("'"&amp;Assemblies[Assy]&amp;"'!"&amp;"O$5:O1000")), "x",Assemblies[Assy],".",IF(SUMIF(INDIRECT("'"&amp;Assemblies[Assy]&amp;"'!"&amp;"C$5:C1000"), $E129, INDIRECT("'"&amp;Assemblies[Assy]&amp;"'!"&amp;"B$5:B1000"))=0,NA(),SUMIF(INDIRECT("'"&amp;Assemblies[Assy]&amp;"'!"&amp;"C$5:C1000"), $E129, INDIRECT("'"&amp;Assemblies[Assy]&amp;"'!"&amp;"A$5:A1000")))),"")), " ,", ""))</f>
        <v>,</v>
      </c>
      <c r="I129" s="213" t="s">
        <v>1678</v>
      </c>
      <c r="J129" s="213" t="s">
        <v>1678</v>
      </c>
      <c r="K129" s="213" t="s">
        <v>1461</v>
      </c>
      <c r="L129" s="5" t="s">
        <v>1382</v>
      </c>
      <c r="M129" s="2" t="s">
        <v>1382</v>
      </c>
      <c r="N129" s="2" t="s">
        <v>1382</v>
      </c>
      <c r="O129" s="2" t="s">
        <v>1382</v>
      </c>
    </row>
    <row r="130" spans="1:15">
      <c r="A130" s="2" t="e">
        <f ca="1">'GF12'!$E$2</f>
        <v>#VALUE!</v>
      </c>
      <c r="B130" s="133" t="s">
        <v>1689</v>
      </c>
      <c r="C130" s="135" t="s">
        <v>1384</v>
      </c>
      <c r="D130" s="115" t="s">
        <v>54</v>
      </c>
      <c r="E130" s="2" t="e">
        <f t="shared" ca="1" si="3"/>
        <v>#VALUE!</v>
      </c>
      <c r="F130" s="2" t="s">
        <v>1690</v>
      </c>
      <c r="G130" s="5" cm="1">
        <f t="array" aca="1" ref="G130" ca="1">SUMPRODUCT(SUMIF(INDIRECT("'"&amp;Assemblies[Assy]&amp;"'!"&amp;"C$5:C1000"),$E130,(INDIRECT("'"&amp;Assemblies[Assy]&amp;"'!"&amp;"O$5:O1000"))))</f>
        <v>0</v>
      </c>
      <c r="H130" s="115" t="str" cm="1">
        <f t="array" aca="1" ref="H130" ca="1">TRIM(SUBSTITUTE(_xlfn.ARRAYTOTEXT(IFERROR(CONCATENATE(SUMIF(INDIRECT("'"&amp;Assemblies[Assy]&amp;"'!"&amp;"C$5:C1000"), $E130, INDIRECT("'"&amp;Assemblies[Assy]&amp;"'!"&amp;"O$5:O1000")), "x",Assemblies[Assy],".",IF(SUMIF(INDIRECT("'"&amp;Assemblies[Assy]&amp;"'!"&amp;"C$5:C1000"), $E130, INDIRECT("'"&amp;Assemblies[Assy]&amp;"'!"&amp;"B$5:B1000"))=0,NA(),SUMIF(INDIRECT("'"&amp;Assemblies[Assy]&amp;"'!"&amp;"C$5:C1000"), $E130, INDIRECT("'"&amp;Assemblies[Assy]&amp;"'!"&amp;"A$5:A1000")))),"")), " ,", ""))</f>
        <v>,</v>
      </c>
      <c r="I130" s="213" t="s">
        <v>1678</v>
      </c>
      <c r="J130" s="213" t="s">
        <v>1678</v>
      </c>
      <c r="K130" s="213" t="s">
        <v>1461</v>
      </c>
      <c r="L130" s="5" t="s">
        <v>1382</v>
      </c>
      <c r="M130" s="2" t="s">
        <v>1382</v>
      </c>
      <c r="N130" s="2" t="s">
        <v>1382</v>
      </c>
      <c r="O130" s="2" t="s">
        <v>1382</v>
      </c>
    </row>
    <row r="131" spans="1:15">
      <c r="A131" s="2" t="e">
        <f ca="1">'GF12'!$E$2</f>
        <v>#VALUE!</v>
      </c>
      <c r="B131" s="133" t="s">
        <v>1691</v>
      </c>
      <c r="C131" s="135" t="s">
        <v>1384</v>
      </c>
      <c r="D131" s="115" t="s">
        <v>54</v>
      </c>
      <c r="E131" s="2" t="e">
        <f t="shared" ca="1" si="3"/>
        <v>#VALUE!</v>
      </c>
      <c r="F131" s="2" t="s">
        <v>1692</v>
      </c>
      <c r="G131" s="5" cm="1">
        <f t="array" aca="1" ref="G131" ca="1">SUMPRODUCT(SUMIF(INDIRECT("'"&amp;Assemblies[Assy]&amp;"'!"&amp;"C$5:C1000"),$E131,(INDIRECT("'"&amp;Assemblies[Assy]&amp;"'!"&amp;"O$5:O1000"))))</f>
        <v>0</v>
      </c>
      <c r="H131" s="115" t="str" cm="1">
        <f t="array" aca="1" ref="H131" ca="1">TRIM(SUBSTITUTE(_xlfn.ARRAYTOTEXT(IFERROR(CONCATENATE(SUMIF(INDIRECT("'"&amp;Assemblies[Assy]&amp;"'!"&amp;"C$5:C1000"), $E131, INDIRECT("'"&amp;Assemblies[Assy]&amp;"'!"&amp;"O$5:O1000")), "x",Assemblies[Assy],".",IF(SUMIF(INDIRECT("'"&amp;Assemblies[Assy]&amp;"'!"&amp;"C$5:C1000"), $E131, INDIRECT("'"&amp;Assemblies[Assy]&amp;"'!"&amp;"B$5:B1000"))=0,NA(),SUMIF(INDIRECT("'"&amp;Assemblies[Assy]&amp;"'!"&amp;"C$5:C1000"), $E131, INDIRECT("'"&amp;Assemblies[Assy]&amp;"'!"&amp;"A$5:A1000")))),"")), " ,", ""))</f>
        <v>,</v>
      </c>
      <c r="I131" s="213" t="s">
        <v>1678</v>
      </c>
      <c r="J131" s="213" t="s">
        <v>1678</v>
      </c>
      <c r="K131" s="213" t="s">
        <v>1461</v>
      </c>
      <c r="L131" s="5" t="s">
        <v>1382</v>
      </c>
      <c r="M131" s="2" t="s">
        <v>1382</v>
      </c>
      <c r="N131" s="2" t="s">
        <v>1382</v>
      </c>
      <c r="O131" s="2" t="s">
        <v>1382</v>
      </c>
    </row>
    <row r="132" spans="1:15">
      <c r="A132" s="2" t="e">
        <f ca="1">'GF12'!$E$2</f>
        <v>#VALUE!</v>
      </c>
      <c r="B132" s="133" t="s">
        <v>1693</v>
      </c>
      <c r="C132" s="135" t="s">
        <v>1384</v>
      </c>
      <c r="D132" s="115" t="s">
        <v>54</v>
      </c>
      <c r="E132" s="2" t="e">
        <f t="shared" ca="1" si="3"/>
        <v>#VALUE!</v>
      </c>
      <c r="F132" s="2" t="s">
        <v>1694</v>
      </c>
      <c r="G132" s="5" cm="1">
        <f t="array" aca="1" ref="G132" ca="1">SUMPRODUCT(SUMIF(INDIRECT("'"&amp;Assemblies[Assy]&amp;"'!"&amp;"C$5:C1000"),$E132,(INDIRECT("'"&amp;Assemblies[Assy]&amp;"'!"&amp;"O$5:O1000"))))</f>
        <v>0</v>
      </c>
      <c r="H132" s="115" t="str" cm="1">
        <f t="array" aca="1" ref="H132" ca="1">TRIM(SUBSTITUTE(_xlfn.ARRAYTOTEXT(IFERROR(CONCATENATE(SUMIF(INDIRECT("'"&amp;Assemblies[Assy]&amp;"'!"&amp;"C$5:C1000"), $E132, INDIRECT("'"&amp;Assemblies[Assy]&amp;"'!"&amp;"O$5:O1000")), "x",Assemblies[Assy],".",IF(SUMIF(INDIRECT("'"&amp;Assemblies[Assy]&amp;"'!"&amp;"C$5:C1000"), $E132, INDIRECT("'"&amp;Assemblies[Assy]&amp;"'!"&amp;"B$5:B1000"))=0,NA(),SUMIF(INDIRECT("'"&amp;Assemblies[Assy]&amp;"'!"&amp;"C$5:C1000"), $E132, INDIRECT("'"&amp;Assemblies[Assy]&amp;"'!"&amp;"A$5:A1000")))),"")), " ,", ""))</f>
        <v>,</v>
      </c>
      <c r="I132" s="213" t="s">
        <v>1675</v>
      </c>
      <c r="J132" s="213" t="s">
        <v>1675</v>
      </c>
      <c r="K132" s="2" t="s">
        <v>1695</v>
      </c>
      <c r="L132" s="5" t="s">
        <v>1382</v>
      </c>
      <c r="M132" s="2" t="s">
        <v>1382</v>
      </c>
      <c r="N132" s="2" t="s">
        <v>1382</v>
      </c>
      <c r="O132" s="2" t="s">
        <v>1382</v>
      </c>
    </row>
    <row r="133" spans="1:15">
      <c r="A133" s="2" t="e">
        <f ca="1">'GF12'!$E$2</f>
        <v>#VALUE!</v>
      </c>
      <c r="B133" s="133" t="s">
        <v>1696</v>
      </c>
      <c r="C133" s="135" t="s">
        <v>1384</v>
      </c>
      <c r="D133" s="115" t="s">
        <v>54</v>
      </c>
      <c r="E133" s="2" t="e">
        <f t="shared" ca="1" si="3"/>
        <v>#VALUE!</v>
      </c>
      <c r="F133" s="2" t="s">
        <v>1697</v>
      </c>
      <c r="G133" s="5" cm="1">
        <f t="array" aca="1" ref="G133" ca="1">SUMPRODUCT(SUMIF(INDIRECT("'"&amp;Assemblies[Assy]&amp;"'!"&amp;"C$5:C1000"),$E133,(INDIRECT("'"&amp;Assemblies[Assy]&amp;"'!"&amp;"O$5:O1000"))))</f>
        <v>0</v>
      </c>
      <c r="H133" s="115" t="str" cm="1">
        <f t="array" aca="1" ref="H133" ca="1">TRIM(SUBSTITUTE(_xlfn.ARRAYTOTEXT(IFERROR(CONCATENATE(SUMIF(INDIRECT("'"&amp;Assemblies[Assy]&amp;"'!"&amp;"C$5:C1000"), $E133, INDIRECT("'"&amp;Assemblies[Assy]&amp;"'!"&amp;"O$5:O1000")), "x",Assemblies[Assy],".",IF(SUMIF(INDIRECT("'"&amp;Assemblies[Assy]&amp;"'!"&amp;"C$5:C1000"), $E133, INDIRECT("'"&amp;Assemblies[Assy]&amp;"'!"&amp;"B$5:B1000"))=0,NA(),SUMIF(INDIRECT("'"&amp;Assemblies[Assy]&amp;"'!"&amp;"C$5:C1000"), $E133, INDIRECT("'"&amp;Assemblies[Assy]&amp;"'!"&amp;"A$5:A1000")))),"")), " ,", ""))</f>
        <v>,</v>
      </c>
      <c r="I133" s="213" t="s">
        <v>1675</v>
      </c>
      <c r="J133" s="213" t="s">
        <v>1675</v>
      </c>
      <c r="K133" s="2" t="s">
        <v>1698</v>
      </c>
      <c r="L133" s="5" t="s">
        <v>1382</v>
      </c>
      <c r="M133" s="2" t="s">
        <v>1382</v>
      </c>
      <c r="N133" s="2" t="s">
        <v>1382</v>
      </c>
      <c r="O133" s="2" t="s">
        <v>1382</v>
      </c>
    </row>
    <row r="134" spans="1:15">
      <c r="A134" s="2" t="e">
        <f ca="1">'GF12'!$E$2</f>
        <v>#VALUE!</v>
      </c>
      <c r="B134" s="135" t="s">
        <v>1699</v>
      </c>
      <c r="C134" s="135" t="s">
        <v>1384</v>
      </c>
      <c r="D134" s="115" t="s">
        <v>54</v>
      </c>
      <c r="E134" s="2" t="e">
        <f t="shared" ca="1" si="3"/>
        <v>#VALUE!</v>
      </c>
      <c r="F134" s="2" t="s">
        <v>1700</v>
      </c>
      <c r="G134" s="5" cm="1">
        <f t="array" aca="1" ref="G134" ca="1">SUMPRODUCT(SUMIF(INDIRECT("'"&amp;Assemblies[Assy]&amp;"'!"&amp;"C$5:C1000"),$E134,(INDIRECT("'"&amp;Assemblies[Assy]&amp;"'!"&amp;"O$5:O1000"))))</f>
        <v>0</v>
      </c>
      <c r="H134" s="115" t="str" cm="1">
        <f t="array" aca="1" ref="H134" ca="1">TRIM(SUBSTITUTE(_xlfn.ARRAYTOTEXT(IFERROR(CONCATENATE(SUMIF(INDIRECT("'"&amp;Assemblies[Assy]&amp;"'!"&amp;"C$5:C1000"), $E134, INDIRECT("'"&amp;Assemblies[Assy]&amp;"'!"&amp;"O$5:O1000")), "x",Assemblies[Assy],".",IF(SUMIF(INDIRECT("'"&amp;Assemblies[Assy]&amp;"'!"&amp;"C$5:C1000"), $E134, INDIRECT("'"&amp;Assemblies[Assy]&amp;"'!"&amp;"B$5:B1000"))=0,NA(),SUMIF(INDIRECT("'"&amp;Assemblies[Assy]&amp;"'!"&amp;"C$5:C1000"), $E134, INDIRECT("'"&amp;Assemblies[Assy]&amp;"'!"&amp;"A$5:A1000")))),"")), " ,", ""))</f>
        <v>,</v>
      </c>
      <c r="I134" s="213" t="s">
        <v>1678</v>
      </c>
      <c r="J134" s="213" t="s">
        <v>1678</v>
      </c>
      <c r="K134" s="2" t="s">
        <v>1701</v>
      </c>
      <c r="L134" s="5" t="s">
        <v>1382</v>
      </c>
      <c r="M134" s="2" t="s">
        <v>1382</v>
      </c>
      <c r="N134" s="2" t="s">
        <v>1382</v>
      </c>
      <c r="O134" s="2" t="s">
        <v>1382</v>
      </c>
    </row>
    <row r="135" spans="1:15">
      <c r="A135" s="2" t="e">
        <f ca="1">'GF12'!$E$2</f>
        <v>#VALUE!</v>
      </c>
      <c r="B135" s="135" t="s">
        <v>1702</v>
      </c>
      <c r="C135" s="135" t="s">
        <v>1384</v>
      </c>
      <c r="D135" s="115" t="s">
        <v>54</v>
      </c>
      <c r="E135" s="2" t="e">
        <f t="shared" ca="1" si="3"/>
        <v>#VALUE!</v>
      </c>
      <c r="F135" s="2" t="s">
        <v>1703</v>
      </c>
      <c r="G135" s="5" cm="1">
        <f t="array" aca="1" ref="G135" ca="1">SUMPRODUCT(SUMIF(INDIRECT("'"&amp;Assemblies[Assy]&amp;"'!"&amp;"C$5:C1000"),$E135,(INDIRECT("'"&amp;Assemblies[Assy]&amp;"'!"&amp;"O$5:O1000"))))</f>
        <v>0</v>
      </c>
      <c r="H135" s="115" t="str" cm="1">
        <f t="array" aca="1" ref="H135" ca="1">TRIM(SUBSTITUTE(_xlfn.ARRAYTOTEXT(IFERROR(CONCATENATE(SUMIF(INDIRECT("'"&amp;Assemblies[Assy]&amp;"'!"&amp;"C$5:C1000"), $E135, INDIRECT("'"&amp;Assemblies[Assy]&amp;"'!"&amp;"O$5:O1000")), "x",Assemblies[Assy],".",IF(SUMIF(INDIRECT("'"&amp;Assemblies[Assy]&amp;"'!"&amp;"C$5:C1000"), $E135, INDIRECT("'"&amp;Assemblies[Assy]&amp;"'!"&amp;"B$5:B1000"))=0,NA(),SUMIF(INDIRECT("'"&amp;Assemblies[Assy]&amp;"'!"&amp;"C$5:C1000"), $E135, INDIRECT("'"&amp;Assemblies[Assy]&amp;"'!"&amp;"A$5:A1000")))),"")), " ,", ""))</f>
        <v>,</v>
      </c>
      <c r="I135" s="213" t="s">
        <v>1678</v>
      </c>
      <c r="J135" s="213" t="s">
        <v>1678</v>
      </c>
      <c r="K135" s="2" t="s">
        <v>1701</v>
      </c>
      <c r="L135" s="5" t="s">
        <v>1382</v>
      </c>
      <c r="M135" s="2" t="s">
        <v>1382</v>
      </c>
      <c r="N135" s="2" t="s">
        <v>1382</v>
      </c>
      <c r="O135" s="2" t="s">
        <v>1382</v>
      </c>
    </row>
    <row r="136" spans="1:15">
      <c r="A136" s="2" t="e">
        <f ca="1">'GF12'!$E$2</f>
        <v>#VALUE!</v>
      </c>
      <c r="B136" s="135" t="s">
        <v>1704</v>
      </c>
      <c r="C136" s="135" t="s">
        <v>1384</v>
      </c>
      <c r="D136" s="115" t="s">
        <v>54</v>
      </c>
      <c r="E136" s="2" t="e">
        <f t="shared" ca="1" si="3"/>
        <v>#VALUE!</v>
      </c>
      <c r="F136" s="2" t="s">
        <v>1705</v>
      </c>
      <c r="G136" s="5" cm="1">
        <f t="array" aca="1" ref="G136" ca="1">SUMPRODUCT(SUMIF(INDIRECT("'"&amp;Assemblies[Assy]&amp;"'!"&amp;"C$5:C1000"),$E136,(INDIRECT("'"&amp;Assemblies[Assy]&amp;"'!"&amp;"O$5:O1000"))))</f>
        <v>0</v>
      </c>
      <c r="H136" s="115" t="str" cm="1">
        <f t="array" aca="1" ref="H136" ca="1">TRIM(SUBSTITUTE(_xlfn.ARRAYTOTEXT(IFERROR(CONCATENATE(SUMIF(INDIRECT("'"&amp;Assemblies[Assy]&amp;"'!"&amp;"C$5:C1000"), $E136, INDIRECT("'"&amp;Assemblies[Assy]&amp;"'!"&amp;"O$5:O1000")), "x",Assemblies[Assy],".",IF(SUMIF(INDIRECT("'"&amp;Assemblies[Assy]&amp;"'!"&amp;"C$5:C1000"), $E136, INDIRECT("'"&amp;Assemblies[Assy]&amp;"'!"&amp;"B$5:B1000"))=0,NA(),SUMIF(INDIRECT("'"&amp;Assemblies[Assy]&amp;"'!"&amp;"C$5:C1000"), $E136, INDIRECT("'"&amp;Assemblies[Assy]&amp;"'!"&amp;"A$5:A1000")))),"")), " ,", ""))</f>
        <v>,</v>
      </c>
      <c r="I136" s="213" t="s">
        <v>1678</v>
      </c>
      <c r="J136" s="213" t="s">
        <v>1678</v>
      </c>
      <c r="K136" s="2" t="s">
        <v>1706</v>
      </c>
      <c r="L136" s="5" t="s">
        <v>1382</v>
      </c>
      <c r="M136" s="2" t="s">
        <v>1382</v>
      </c>
      <c r="N136" s="2" t="s">
        <v>1382</v>
      </c>
      <c r="O136" s="2" t="s">
        <v>1382</v>
      </c>
    </row>
    <row r="137" spans="1:15">
      <c r="A137" s="2" t="e">
        <f ca="1">'GF12'!$E$2</f>
        <v>#VALUE!</v>
      </c>
      <c r="B137" s="135" t="s">
        <v>1707</v>
      </c>
      <c r="C137" s="135" t="s">
        <v>1384</v>
      </c>
      <c r="D137" s="115" t="s">
        <v>54</v>
      </c>
      <c r="E137" s="2" t="e">
        <f t="shared" ref="E137:E153" ca="1" si="5">_xlfn.CONCAT(A137,".",B137,".",C137,".",D137)</f>
        <v>#VALUE!</v>
      </c>
      <c r="F137" s="2" t="s">
        <v>1708</v>
      </c>
      <c r="G137" s="5" cm="1">
        <f t="array" aca="1" ref="G137" ca="1">SUMPRODUCT(SUMIF(INDIRECT("'"&amp;Assemblies[Assy]&amp;"'!"&amp;"C$5:C1000"),$E137,(INDIRECT("'"&amp;Assemblies[Assy]&amp;"'!"&amp;"O$5:O1000"))))</f>
        <v>0</v>
      </c>
      <c r="H137" s="115" t="str" cm="1">
        <f t="array" aca="1" ref="H137" ca="1">TRIM(SUBSTITUTE(_xlfn.ARRAYTOTEXT(IFERROR(CONCATENATE(SUMIF(INDIRECT("'"&amp;Assemblies[Assy]&amp;"'!"&amp;"C$5:C1000"), $E137, INDIRECT("'"&amp;Assemblies[Assy]&amp;"'!"&amp;"O$5:O1000")), "x",Assemblies[Assy],".",IF(SUMIF(INDIRECT("'"&amp;Assemblies[Assy]&amp;"'!"&amp;"C$5:C1000"), $E137, INDIRECT("'"&amp;Assemblies[Assy]&amp;"'!"&amp;"B$5:B1000"))=0,NA(),SUMIF(INDIRECT("'"&amp;Assemblies[Assy]&amp;"'!"&amp;"C$5:C1000"), $E137, INDIRECT("'"&amp;Assemblies[Assy]&amp;"'!"&amp;"A$5:A1000")))),"")), " ,", ""))</f>
        <v>,</v>
      </c>
      <c r="I137" s="213" t="s">
        <v>1678</v>
      </c>
      <c r="J137" s="213" t="s">
        <v>1678</v>
      </c>
      <c r="K137" s="2" t="s">
        <v>1709</v>
      </c>
      <c r="L137" s="5" t="s">
        <v>1382</v>
      </c>
      <c r="M137" s="2" t="s">
        <v>1382</v>
      </c>
      <c r="N137" s="2" t="s">
        <v>1382</v>
      </c>
      <c r="O137" s="2" t="s">
        <v>1382</v>
      </c>
    </row>
    <row r="138" spans="1:15">
      <c r="A138" s="2" t="e">
        <f ca="1">'GF12'!$E$2</f>
        <v>#VALUE!</v>
      </c>
      <c r="B138" s="135" t="s">
        <v>1710</v>
      </c>
      <c r="C138" s="135" t="s">
        <v>1384</v>
      </c>
      <c r="D138" s="115" t="s">
        <v>54</v>
      </c>
      <c r="E138" s="2" t="e">
        <f t="shared" ca="1" si="5"/>
        <v>#VALUE!</v>
      </c>
      <c r="F138" s="2" t="s">
        <v>1711</v>
      </c>
      <c r="G138" s="5" cm="1">
        <f t="array" aca="1" ref="G138" ca="1">SUMPRODUCT(SUMIF(INDIRECT("'"&amp;Assemblies[Assy]&amp;"'!"&amp;"C$5:C1000"),$E138,(INDIRECT("'"&amp;Assemblies[Assy]&amp;"'!"&amp;"O$5:O1000"))))</f>
        <v>0</v>
      </c>
      <c r="H138" s="115" t="str" cm="1">
        <f t="array" aca="1" ref="H138" ca="1">TRIM(SUBSTITUTE(_xlfn.ARRAYTOTEXT(IFERROR(CONCATENATE(SUMIF(INDIRECT("'"&amp;Assemblies[Assy]&amp;"'!"&amp;"C$5:C1000"), $E138, INDIRECT("'"&amp;Assemblies[Assy]&amp;"'!"&amp;"O$5:O1000")), "x",Assemblies[Assy],".",IF(SUMIF(INDIRECT("'"&amp;Assemblies[Assy]&amp;"'!"&amp;"C$5:C1000"), $E138, INDIRECT("'"&amp;Assemblies[Assy]&amp;"'!"&amp;"B$5:B1000"))=0,NA(),SUMIF(INDIRECT("'"&amp;Assemblies[Assy]&amp;"'!"&amp;"C$5:C1000"), $E138, INDIRECT("'"&amp;Assemblies[Assy]&amp;"'!"&amp;"A$5:A1000")))),"")), " ,", ""))</f>
        <v>,</v>
      </c>
      <c r="I138" s="213" t="s">
        <v>1675</v>
      </c>
      <c r="J138" s="213" t="s">
        <v>1675</v>
      </c>
      <c r="K138" s="2" t="s">
        <v>1712</v>
      </c>
      <c r="L138" s="5" t="s">
        <v>1382</v>
      </c>
      <c r="M138" s="2" t="s">
        <v>1382</v>
      </c>
      <c r="N138" s="2" t="s">
        <v>1382</v>
      </c>
      <c r="O138" s="2" t="s">
        <v>1382</v>
      </c>
    </row>
    <row r="139" spans="1:15">
      <c r="A139" s="2" t="e">
        <f ca="1">'GF12'!$E$2</f>
        <v>#VALUE!</v>
      </c>
      <c r="B139" s="135" t="s">
        <v>1713</v>
      </c>
      <c r="C139" s="135" t="s">
        <v>1384</v>
      </c>
      <c r="D139" s="115" t="s">
        <v>54</v>
      </c>
      <c r="E139" s="2" t="e">
        <f ca="1">_xlfn.CONCAT(A139,".",B139,".",C139,".",D139)</f>
        <v>#VALUE!</v>
      </c>
      <c r="F139" s="2" t="s">
        <v>1714</v>
      </c>
      <c r="G139" s="5" cm="1">
        <f t="array" aca="1" ref="G139" ca="1">SUMPRODUCT(SUMIF(INDIRECT("'"&amp;Assemblies[Assy]&amp;"'!"&amp;"C$5:C1000"),$E139,(INDIRECT("'"&amp;Assemblies[Assy]&amp;"'!"&amp;"O$5:O1000"))))</f>
        <v>0</v>
      </c>
      <c r="H139" s="115" t="str" cm="1">
        <f t="array" aca="1" ref="H139" ca="1">TRIM(SUBSTITUTE(_xlfn.ARRAYTOTEXT(IFERROR(CONCATENATE(SUMIF(INDIRECT("'"&amp;Assemblies[Assy]&amp;"'!"&amp;"C$5:C1000"), $E139, INDIRECT("'"&amp;Assemblies[Assy]&amp;"'!"&amp;"O$5:O1000")), "x",Assemblies[Assy],".",IF(SUMIF(INDIRECT("'"&amp;Assemblies[Assy]&amp;"'!"&amp;"C$5:C1000"), $E139, INDIRECT("'"&amp;Assemblies[Assy]&amp;"'!"&amp;"B$5:B1000"))=0,NA(),SUMIF(INDIRECT("'"&amp;Assemblies[Assy]&amp;"'!"&amp;"C$5:C1000"), $E139, INDIRECT("'"&amp;Assemblies[Assy]&amp;"'!"&amp;"A$5:A1000")))),"")), " ,", ""))</f>
        <v>,</v>
      </c>
      <c r="I139" s="213" t="s">
        <v>1675</v>
      </c>
      <c r="J139" s="213" t="s">
        <v>1675</v>
      </c>
      <c r="K139" s="2" t="s">
        <v>1715</v>
      </c>
    </row>
    <row r="140" spans="1:15">
      <c r="A140" s="2" t="e">
        <f ca="1">'GF12'!$E$2</f>
        <v>#VALUE!</v>
      </c>
      <c r="B140" s="133" t="s">
        <v>1716</v>
      </c>
      <c r="C140" s="135" t="s">
        <v>1384</v>
      </c>
      <c r="D140" s="115" t="s">
        <v>54</v>
      </c>
      <c r="E140" s="2" t="e">
        <f t="shared" ca="1" si="5"/>
        <v>#VALUE!</v>
      </c>
      <c r="F140" s="2" t="s">
        <v>1717</v>
      </c>
      <c r="G140" s="5" cm="1">
        <f t="array" aca="1" ref="G140" ca="1">SUMPRODUCT(SUMIF(INDIRECT("'"&amp;Assemblies[Assy]&amp;"'!"&amp;"C$5:C1000"),$E140,(INDIRECT("'"&amp;Assemblies[Assy]&amp;"'!"&amp;"O$5:O1000"))))</f>
        <v>0</v>
      </c>
      <c r="H140" s="115" t="str" cm="1">
        <f t="array" aca="1" ref="H140" ca="1">TRIM(SUBSTITUTE(_xlfn.ARRAYTOTEXT(IFERROR(CONCATENATE(SUMIF(INDIRECT("'"&amp;Assemblies[Assy]&amp;"'!"&amp;"C$5:C1000"), $E140, INDIRECT("'"&amp;Assemblies[Assy]&amp;"'!"&amp;"O$5:O1000")), "x",Assemblies[Assy],".",IF(SUMIF(INDIRECT("'"&amp;Assemblies[Assy]&amp;"'!"&amp;"C$5:C1000"), $E140, INDIRECT("'"&amp;Assemblies[Assy]&amp;"'!"&amp;"B$5:B1000"))=0,NA(),SUMIF(INDIRECT("'"&amp;Assemblies[Assy]&amp;"'!"&amp;"C$5:C1000"), $E140, INDIRECT("'"&amp;Assemblies[Assy]&amp;"'!"&amp;"A$5:A1000")))),"")), " ,", ""))</f>
        <v>,</v>
      </c>
      <c r="I140" s="213" t="s">
        <v>1675</v>
      </c>
      <c r="J140" s="213" t="s">
        <v>1675</v>
      </c>
      <c r="K140" s="2" t="s">
        <v>1698</v>
      </c>
      <c r="L140" s="5" t="s">
        <v>1382</v>
      </c>
      <c r="M140" s="2" t="s">
        <v>1382</v>
      </c>
      <c r="N140" s="2" t="s">
        <v>1382</v>
      </c>
      <c r="O140" s="2" t="s">
        <v>1382</v>
      </c>
    </row>
    <row r="141" spans="1:15">
      <c r="A141" s="2" t="e">
        <f ca="1">'GF12'!$E$2</f>
        <v>#VALUE!</v>
      </c>
      <c r="B141" s="133" t="s">
        <v>1718</v>
      </c>
      <c r="C141" s="135" t="s">
        <v>1384</v>
      </c>
      <c r="D141" s="115" t="s">
        <v>54</v>
      </c>
      <c r="E141" s="2" t="e">
        <f t="shared" ca="1" si="5"/>
        <v>#VALUE!</v>
      </c>
      <c r="F141" s="2" t="s">
        <v>1719</v>
      </c>
      <c r="G141" s="5" cm="1">
        <f t="array" aca="1" ref="G141" ca="1">SUMPRODUCT(SUMIF(INDIRECT("'"&amp;Assemblies[Assy]&amp;"'!"&amp;"C$5:C1000"),$E141,(INDIRECT("'"&amp;Assemblies[Assy]&amp;"'!"&amp;"O$5:O1000"))))</f>
        <v>0</v>
      </c>
      <c r="H141" s="115" t="str" cm="1">
        <f t="array" aca="1" ref="H141" ca="1">TRIM(SUBSTITUTE(_xlfn.ARRAYTOTEXT(IFERROR(CONCATENATE(SUMIF(INDIRECT("'"&amp;Assemblies[Assy]&amp;"'!"&amp;"C$5:C1000"), $E141, INDIRECT("'"&amp;Assemblies[Assy]&amp;"'!"&amp;"O$5:O1000")), "x",Assemblies[Assy],".",IF(SUMIF(INDIRECT("'"&amp;Assemblies[Assy]&amp;"'!"&amp;"C$5:C1000"), $E141, INDIRECT("'"&amp;Assemblies[Assy]&amp;"'!"&amp;"B$5:B1000"))=0,NA(),SUMIF(INDIRECT("'"&amp;Assemblies[Assy]&amp;"'!"&amp;"C$5:C1000"), $E141, INDIRECT("'"&amp;Assemblies[Assy]&amp;"'!"&amp;"A$5:A1000")))),"")), " ,", ""))</f>
        <v>,</v>
      </c>
      <c r="I141" s="213" t="s">
        <v>1678</v>
      </c>
      <c r="J141" s="213" t="s">
        <v>1678</v>
      </c>
      <c r="K141" s="2" t="s">
        <v>1706</v>
      </c>
      <c r="L141" s="5" t="s">
        <v>1382</v>
      </c>
      <c r="M141" s="2" t="s">
        <v>1382</v>
      </c>
      <c r="N141" s="2" t="s">
        <v>1382</v>
      </c>
      <c r="O141" s="2" t="s">
        <v>1382</v>
      </c>
    </row>
    <row r="142" spans="1:15">
      <c r="A142" s="2" t="e">
        <f ca="1">'GF12'!$E$2</f>
        <v>#VALUE!</v>
      </c>
      <c r="B142" s="133" t="s">
        <v>1720</v>
      </c>
      <c r="C142" s="135" t="s">
        <v>1384</v>
      </c>
      <c r="D142" s="115" t="s">
        <v>54</v>
      </c>
      <c r="E142" s="2" t="e">
        <f t="shared" ca="1" si="5"/>
        <v>#VALUE!</v>
      </c>
      <c r="F142" s="2" t="s">
        <v>1721</v>
      </c>
      <c r="G142" s="5" cm="1">
        <f t="array" aca="1" ref="G142" ca="1">SUMPRODUCT(SUMIF(INDIRECT("'"&amp;Assemblies[Assy]&amp;"'!"&amp;"C$5:C1000"),$E142,(INDIRECT("'"&amp;Assemblies[Assy]&amp;"'!"&amp;"O$5:O1000"))))</f>
        <v>0</v>
      </c>
      <c r="H142" s="115" t="str" cm="1">
        <f t="array" aca="1" ref="H142" ca="1">TRIM(SUBSTITUTE(_xlfn.ARRAYTOTEXT(IFERROR(CONCATENATE(SUMIF(INDIRECT("'"&amp;Assemblies[Assy]&amp;"'!"&amp;"C$5:C1000"), $E142, INDIRECT("'"&amp;Assemblies[Assy]&amp;"'!"&amp;"O$5:O1000")), "x",Assemblies[Assy],".",IF(SUMIF(INDIRECT("'"&amp;Assemblies[Assy]&amp;"'!"&amp;"C$5:C1000"), $E142, INDIRECT("'"&amp;Assemblies[Assy]&amp;"'!"&amp;"B$5:B1000"))=0,NA(),SUMIF(INDIRECT("'"&amp;Assemblies[Assy]&amp;"'!"&amp;"C$5:C1000"), $E142, INDIRECT("'"&amp;Assemblies[Assy]&amp;"'!"&amp;"A$5:A1000")))),"")), " ,", ""))</f>
        <v>,</v>
      </c>
      <c r="I142" s="213" t="s">
        <v>1678</v>
      </c>
      <c r="J142" s="213" t="s">
        <v>1678</v>
      </c>
      <c r="K142" s="2" t="s">
        <v>1709</v>
      </c>
      <c r="L142" s="5" t="s">
        <v>1382</v>
      </c>
      <c r="M142" s="2" t="s">
        <v>1382</v>
      </c>
      <c r="N142" s="2" t="s">
        <v>1382</v>
      </c>
      <c r="O142" s="2" t="s">
        <v>1382</v>
      </c>
    </row>
    <row r="143" spans="1:15">
      <c r="A143" s="2" t="e">
        <f ca="1">'GF12'!$E$2</f>
        <v>#VALUE!</v>
      </c>
      <c r="B143" s="133" t="s">
        <v>1722</v>
      </c>
      <c r="C143" s="135" t="s">
        <v>1384</v>
      </c>
      <c r="D143" s="115" t="s">
        <v>54</v>
      </c>
      <c r="E143" s="2" t="e">
        <f t="shared" ca="1" si="5"/>
        <v>#VALUE!</v>
      </c>
      <c r="F143" s="2" t="s">
        <v>1723</v>
      </c>
      <c r="G143" s="5" cm="1">
        <f t="array" aca="1" ref="G143" ca="1">SUMPRODUCT(SUMIF(INDIRECT("'"&amp;Assemblies[Assy]&amp;"'!"&amp;"C$5:C1000"),$E143,(INDIRECT("'"&amp;Assemblies[Assy]&amp;"'!"&amp;"O$5:O1000"))))</f>
        <v>0</v>
      </c>
      <c r="H143" s="115" t="str" cm="1">
        <f t="array" aca="1" ref="H143" ca="1">TRIM(SUBSTITUTE(_xlfn.ARRAYTOTEXT(IFERROR(CONCATENATE(SUMIF(INDIRECT("'"&amp;Assemblies[Assy]&amp;"'!"&amp;"C$5:C1000"), $E143, INDIRECT("'"&amp;Assemblies[Assy]&amp;"'!"&amp;"O$5:O1000")), "x",Assemblies[Assy],".",IF(SUMIF(INDIRECT("'"&amp;Assemblies[Assy]&amp;"'!"&amp;"C$5:C1000"), $E143, INDIRECT("'"&amp;Assemblies[Assy]&amp;"'!"&amp;"B$5:B1000"))=0,NA(),SUMIF(INDIRECT("'"&amp;Assemblies[Assy]&amp;"'!"&amp;"C$5:C1000"), $E143, INDIRECT("'"&amp;Assemblies[Assy]&amp;"'!"&amp;"A$5:A1000")))),"")), " ,", ""))</f>
        <v>,</v>
      </c>
      <c r="I143" s="213" t="s">
        <v>1675</v>
      </c>
      <c r="J143" s="213" t="s">
        <v>1675</v>
      </c>
      <c r="K143" s="2" t="s">
        <v>1712</v>
      </c>
      <c r="L143" s="5" t="s">
        <v>1382</v>
      </c>
      <c r="M143" s="2" t="s">
        <v>1382</v>
      </c>
      <c r="N143" s="2" t="s">
        <v>1382</v>
      </c>
      <c r="O143" s="2" t="s">
        <v>1382</v>
      </c>
    </row>
    <row r="144" spans="1:15">
      <c r="A144" s="2" t="e">
        <f ca="1">'GF12'!$E$2</f>
        <v>#VALUE!</v>
      </c>
      <c r="B144" s="133" t="s">
        <v>1724</v>
      </c>
      <c r="C144" s="135" t="s">
        <v>1384</v>
      </c>
      <c r="D144" s="115" t="s">
        <v>54</v>
      </c>
      <c r="E144" s="2" t="e">
        <f t="shared" ca="1" si="5"/>
        <v>#VALUE!</v>
      </c>
      <c r="F144" s="2" t="s">
        <v>1725</v>
      </c>
      <c r="G144" s="5" cm="1">
        <f t="array" aca="1" ref="G144" ca="1">SUMPRODUCT(SUMIF(INDIRECT("'"&amp;Assemblies[Assy]&amp;"'!"&amp;"C$5:C1000"),$E144,(INDIRECT("'"&amp;Assemblies[Assy]&amp;"'!"&amp;"O$5:O1000"))))</f>
        <v>0</v>
      </c>
      <c r="H144" s="115" t="str" cm="1">
        <f t="array" aca="1" ref="H144" ca="1">TRIM(SUBSTITUTE(_xlfn.ARRAYTOTEXT(IFERROR(CONCATENATE(SUMIF(INDIRECT("'"&amp;Assemblies[Assy]&amp;"'!"&amp;"C$5:C1000"), $E144, INDIRECT("'"&amp;Assemblies[Assy]&amp;"'!"&amp;"O$5:O1000")), "x",Assemblies[Assy],".",IF(SUMIF(INDIRECT("'"&amp;Assemblies[Assy]&amp;"'!"&amp;"C$5:C1000"), $E144, INDIRECT("'"&amp;Assemblies[Assy]&amp;"'!"&amp;"B$5:B1000"))=0,NA(),SUMIF(INDIRECT("'"&amp;Assemblies[Assy]&amp;"'!"&amp;"C$5:C1000"), $E144, INDIRECT("'"&amp;Assemblies[Assy]&amp;"'!"&amp;"A$5:A1000")))),"")), " ,", ""))</f>
        <v>,</v>
      </c>
      <c r="I144" s="226" t="s">
        <v>1726</v>
      </c>
      <c r="J144" s="226" t="s">
        <v>1726</v>
      </c>
      <c r="K144" s="161"/>
      <c r="L144" s="5" t="s">
        <v>1382</v>
      </c>
      <c r="M144" s="2" t="s">
        <v>1382</v>
      </c>
      <c r="N144" s="2" t="s">
        <v>1382</v>
      </c>
      <c r="O144" s="2" t="s">
        <v>1382</v>
      </c>
    </row>
    <row r="145" spans="1:15">
      <c r="A145" s="2" t="e">
        <f ca="1">'GF12'!$E$2</f>
        <v>#VALUE!</v>
      </c>
      <c r="B145" s="133" t="s">
        <v>1727</v>
      </c>
      <c r="C145" s="135" t="s">
        <v>1384</v>
      </c>
      <c r="D145" s="115" t="s">
        <v>54</v>
      </c>
      <c r="E145" s="2" t="e">
        <f t="shared" ca="1" si="5"/>
        <v>#VALUE!</v>
      </c>
      <c r="F145" s="2" t="s">
        <v>1728</v>
      </c>
      <c r="G145" s="5" cm="1">
        <f t="array" aca="1" ref="G145" ca="1">SUMPRODUCT(SUMIF(INDIRECT("'"&amp;Assemblies[Assy]&amp;"'!"&amp;"C$5:C1000"),$E145,(INDIRECT("'"&amp;Assemblies[Assy]&amp;"'!"&amp;"O$5:O1000"))))</f>
        <v>0</v>
      </c>
      <c r="H145" s="115" t="str" cm="1">
        <f t="array" aca="1" ref="H145" ca="1">TRIM(SUBSTITUTE(_xlfn.ARRAYTOTEXT(IFERROR(CONCATENATE(SUMIF(INDIRECT("'"&amp;Assemblies[Assy]&amp;"'!"&amp;"C$5:C1000"), $E145, INDIRECT("'"&amp;Assemblies[Assy]&amp;"'!"&amp;"O$5:O1000")), "x",Assemblies[Assy],".",IF(SUMIF(INDIRECT("'"&amp;Assemblies[Assy]&amp;"'!"&amp;"C$5:C1000"), $E145, INDIRECT("'"&amp;Assemblies[Assy]&amp;"'!"&amp;"B$5:B1000"))=0,NA(),SUMIF(INDIRECT("'"&amp;Assemblies[Assy]&amp;"'!"&amp;"C$5:C1000"), $E145, INDIRECT("'"&amp;Assemblies[Assy]&amp;"'!"&amp;"A$5:A1000")))),"")), " ,", ""))</f>
        <v>,</v>
      </c>
      <c r="I145" s="226" t="s">
        <v>1726</v>
      </c>
      <c r="J145" s="226" t="s">
        <v>1726</v>
      </c>
      <c r="K145" s="2" t="s">
        <v>1729</v>
      </c>
      <c r="L145" s="5" t="s">
        <v>1382</v>
      </c>
      <c r="M145" s="2" t="s">
        <v>1382</v>
      </c>
      <c r="N145" s="2" t="s">
        <v>1382</v>
      </c>
      <c r="O145" s="2" t="s">
        <v>1382</v>
      </c>
    </row>
    <row r="146" spans="1:15">
      <c r="A146" s="2" t="e">
        <f ca="1">'GF12'!$E$2</f>
        <v>#VALUE!</v>
      </c>
      <c r="B146" s="133" t="s">
        <v>1730</v>
      </c>
      <c r="C146" s="135" t="s">
        <v>1384</v>
      </c>
      <c r="D146" s="115" t="s">
        <v>54</v>
      </c>
      <c r="E146" s="2" t="e">
        <f t="shared" ca="1" si="5"/>
        <v>#VALUE!</v>
      </c>
      <c r="F146" s="2" t="s">
        <v>1731</v>
      </c>
      <c r="G146" s="5" cm="1">
        <f t="array" aca="1" ref="G146" ca="1">SUMPRODUCT(SUMIF(INDIRECT("'"&amp;Assemblies[Assy]&amp;"'!"&amp;"C$5:C1000"),$E146,(INDIRECT("'"&amp;Assemblies[Assy]&amp;"'!"&amp;"O$5:O1000"))))</f>
        <v>0</v>
      </c>
      <c r="H146" s="115" t="str" cm="1">
        <f t="array" aca="1" ref="H146" ca="1">TRIM(SUBSTITUTE(_xlfn.ARRAYTOTEXT(IFERROR(CONCATENATE(SUMIF(INDIRECT("'"&amp;Assemblies[Assy]&amp;"'!"&amp;"C$5:C1000"), $E146, INDIRECT("'"&amp;Assemblies[Assy]&amp;"'!"&amp;"O$5:O1000")), "x",Assemblies[Assy],".",IF(SUMIF(INDIRECT("'"&amp;Assemblies[Assy]&amp;"'!"&amp;"C$5:C1000"), $E146, INDIRECT("'"&amp;Assemblies[Assy]&amp;"'!"&amp;"B$5:B1000"))=0,NA(),SUMIF(INDIRECT("'"&amp;Assemblies[Assy]&amp;"'!"&amp;"C$5:C1000"), $E146, INDIRECT("'"&amp;Assemblies[Assy]&amp;"'!"&amp;"A$5:A1000")))),"")), " ,", ""))</f>
        <v>,</v>
      </c>
      <c r="I146" s="226" t="s">
        <v>1726</v>
      </c>
      <c r="J146" s="226" t="s">
        <v>1726</v>
      </c>
      <c r="K146" s="213" t="s">
        <v>1461</v>
      </c>
      <c r="L146" s="5" t="s">
        <v>1382</v>
      </c>
      <c r="M146" s="2" t="s">
        <v>1382</v>
      </c>
      <c r="N146" s="2" t="s">
        <v>1382</v>
      </c>
      <c r="O146" s="2" t="s">
        <v>1382</v>
      </c>
    </row>
    <row r="147" spans="1:15">
      <c r="A147" s="2" t="e">
        <f ca="1">'GF12'!$E$2</f>
        <v>#VALUE!</v>
      </c>
      <c r="B147" s="133" t="s">
        <v>1732</v>
      </c>
      <c r="C147" s="135" t="s">
        <v>1384</v>
      </c>
      <c r="D147" s="115" t="s">
        <v>54</v>
      </c>
      <c r="E147" s="2" t="e">
        <f t="shared" ca="1" si="5"/>
        <v>#VALUE!</v>
      </c>
      <c r="F147" s="2" t="s">
        <v>1733</v>
      </c>
      <c r="G147" s="5" cm="1">
        <f t="array" aca="1" ref="G147" ca="1">SUMPRODUCT(SUMIF(INDIRECT("'"&amp;Assemblies[Assy]&amp;"'!"&amp;"C$5:C1000"),$E147,(INDIRECT("'"&amp;Assemblies[Assy]&amp;"'!"&amp;"O$5:O1000"))))</f>
        <v>0</v>
      </c>
      <c r="H147" s="115" t="str" cm="1">
        <f t="array" aca="1" ref="H147" ca="1">TRIM(SUBSTITUTE(_xlfn.ARRAYTOTEXT(IFERROR(CONCATENATE(SUMIF(INDIRECT("'"&amp;Assemblies[Assy]&amp;"'!"&amp;"C$5:C1000"), $E147, INDIRECT("'"&amp;Assemblies[Assy]&amp;"'!"&amp;"O$5:O1000")), "x",Assemblies[Assy],".",IF(SUMIF(INDIRECT("'"&amp;Assemblies[Assy]&amp;"'!"&amp;"C$5:C1000"), $E147, INDIRECT("'"&amp;Assemblies[Assy]&amp;"'!"&amp;"B$5:B1000"))=0,NA(),SUMIF(INDIRECT("'"&amp;Assemblies[Assy]&amp;"'!"&amp;"C$5:C1000"), $E147, INDIRECT("'"&amp;Assemblies[Assy]&amp;"'!"&amp;"A$5:A1000")))),"")), " ,", ""))</f>
        <v>,</v>
      </c>
      <c r="I147" s="226" t="s">
        <v>1726</v>
      </c>
      <c r="J147" s="226" t="s">
        <v>1726</v>
      </c>
      <c r="K147" s="213" t="s">
        <v>1461</v>
      </c>
      <c r="L147" s="5" t="s">
        <v>1382</v>
      </c>
      <c r="M147" s="2" t="s">
        <v>1382</v>
      </c>
      <c r="N147" s="2" t="s">
        <v>1382</v>
      </c>
      <c r="O147" s="2" t="s">
        <v>1382</v>
      </c>
    </row>
    <row r="148" spans="1:15">
      <c r="A148" s="2" t="e">
        <f ca="1">'GF12'!$E$2</f>
        <v>#VALUE!</v>
      </c>
      <c r="B148" s="133" t="s">
        <v>1734</v>
      </c>
      <c r="C148" s="135" t="s">
        <v>1384</v>
      </c>
      <c r="D148" s="115" t="s">
        <v>54</v>
      </c>
      <c r="E148" s="2" t="e">
        <f t="shared" ca="1" si="5"/>
        <v>#VALUE!</v>
      </c>
      <c r="F148" s="2" t="s">
        <v>1735</v>
      </c>
      <c r="G148" s="5" cm="1">
        <f t="array" aca="1" ref="G148" ca="1">SUMPRODUCT(SUMIF(INDIRECT("'"&amp;Assemblies[Assy]&amp;"'!"&amp;"C$5:C1000"),$E148,(INDIRECT("'"&amp;Assemblies[Assy]&amp;"'!"&amp;"O$5:O1000"))))</f>
        <v>0</v>
      </c>
      <c r="H148" s="115" t="str" cm="1">
        <f t="array" aca="1" ref="H148" ca="1">TRIM(SUBSTITUTE(_xlfn.ARRAYTOTEXT(IFERROR(CONCATENATE(SUMIF(INDIRECT("'"&amp;Assemblies[Assy]&amp;"'!"&amp;"C$5:C1000"), $E148, INDIRECT("'"&amp;Assemblies[Assy]&amp;"'!"&amp;"O$5:O1000")), "x",Assemblies[Assy],".",IF(SUMIF(INDIRECT("'"&amp;Assemblies[Assy]&amp;"'!"&amp;"C$5:C1000"), $E148, INDIRECT("'"&amp;Assemblies[Assy]&amp;"'!"&amp;"B$5:B1000"))=0,NA(),SUMIF(INDIRECT("'"&amp;Assemblies[Assy]&amp;"'!"&amp;"C$5:C1000"), $E148, INDIRECT("'"&amp;Assemblies[Assy]&amp;"'!"&amp;"A$5:A1000")))),"")), " ,", ""))</f>
        <v>,</v>
      </c>
      <c r="I148" s="226" t="s">
        <v>1726</v>
      </c>
      <c r="J148" s="226" t="s">
        <v>1726</v>
      </c>
      <c r="K148" s="213" t="s">
        <v>1461</v>
      </c>
      <c r="L148" s="5" t="s">
        <v>1382</v>
      </c>
      <c r="M148" s="2" t="s">
        <v>1382</v>
      </c>
      <c r="N148" s="2" t="s">
        <v>1382</v>
      </c>
      <c r="O148" s="2" t="s">
        <v>1382</v>
      </c>
    </row>
    <row r="149" spans="1:15">
      <c r="A149" s="2" t="e">
        <f ca="1">'GF12'!$E$2</f>
        <v>#VALUE!</v>
      </c>
      <c r="B149" s="133" t="s">
        <v>1736</v>
      </c>
      <c r="C149" s="135" t="s">
        <v>1384</v>
      </c>
      <c r="D149" s="115" t="s">
        <v>54</v>
      </c>
      <c r="E149" s="2" t="e">
        <f t="shared" ca="1" si="5"/>
        <v>#VALUE!</v>
      </c>
      <c r="F149" s="2" t="s">
        <v>1737</v>
      </c>
      <c r="G149" s="5" cm="1">
        <f t="array" aca="1" ref="G149" ca="1">SUMPRODUCT(SUMIF(INDIRECT("'"&amp;Assemblies[Assy]&amp;"'!"&amp;"C$5:C1000"),$E149,(INDIRECT("'"&amp;Assemblies[Assy]&amp;"'!"&amp;"O$5:O1000"))))</f>
        <v>0</v>
      </c>
      <c r="H149" s="115" t="str" cm="1">
        <f t="array" aca="1" ref="H149" ca="1">TRIM(SUBSTITUTE(_xlfn.ARRAYTOTEXT(IFERROR(CONCATENATE(SUMIF(INDIRECT("'"&amp;Assemblies[Assy]&amp;"'!"&amp;"C$5:C1000"), $E149, INDIRECT("'"&amp;Assemblies[Assy]&amp;"'!"&amp;"O$5:O1000")), "x",Assemblies[Assy],".",IF(SUMIF(INDIRECT("'"&amp;Assemblies[Assy]&amp;"'!"&amp;"C$5:C1000"), $E149, INDIRECT("'"&amp;Assemblies[Assy]&amp;"'!"&amp;"B$5:B1000"))=0,NA(),SUMIF(INDIRECT("'"&amp;Assemblies[Assy]&amp;"'!"&amp;"C$5:C1000"), $E149, INDIRECT("'"&amp;Assemblies[Assy]&amp;"'!"&amp;"A$5:A1000")))),"")), " ,", ""))</f>
        <v>,</v>
      </c>
      <c r="I149" s="226" t="s">
        <v>1726</v>
      </c>
      <c r="J149" s="226" t="s">
        <v>1726</v>
      </c>
      <c r="K149" s="213" t="s">
        <v>1461</v>
      </c>
      <c r="L149" s="5" t="s">
        <v>1382</v>
      </c>
      <c r="M149" s="2" t="s">
        <v>1382</v>
      </c>
      <c r="N149" s="2" t="s">
        <v>1382</v>
      </c>
      <c r="O149" s="2" t="s">
        <v>1382</v>
      </c>
    </row>
    <row r="150" spans="1:15">
      <c r="A150" s="2" t="e">
        <f ca="1">'GF12'!$E$2</f>
        <v>#VALUE!</v>
      </c>
      <c r="B150" s="133" t="s">
        <v>1738</v>
      </c>
      <c r="C150" s="135" t="s">
        <v>1384</v>
      </c>
      <c r="D150" s="115" t="s">
        <v>54</v>
      </c>
      <c r="E150" s="2" t="e">
        <f t="shared" ca="1" si="5"/>
        <v>#VALUE!</v>
      </c>
      <c r="F150" s="2" t="s">
        <v>1739</v>
      </c>
      <c r="G150" s="5" cm="1">
        <f t="array" aca="1" ref="G150" ca="1">SUMPRODUCT(SUMIF(INDIRECT("'"&amp;Assemblies[Assy]&amp;"'!"&amp;"C$5:C1000"),$E150,(INDIRECT("'"&amp;Assemblies[Assy]&amp;"'!"&amp;"O$5:O1000"))))</f>
        <v>0</v>
      </c>
      <c r="H150" s="115" t="str" cm="1">
        <f t="array" aca="1" ref="H150" ca="1">TRIM(SUBSTITUTE(_xlfn.ARRAYTOTEXT(IFERROR(CONCATENATE(SUMIF(INDIRECT("'"&amp;Assemblies[Assy]&amp;"'!"&amp;"C$5:C1000"), $E150, INDIRECT("'"&amp;Assemblies[Assy]&amp;"'!"&amp;"O$5:O1000")), "x",Assemblies[Assy],".",IF(SUMIF(INDIRECT("'"&amp;Assemblies[Assy]&amp;"'!"&amp;"C$5:C1000"), $E150, INDIRECT("'"&amp;Assemblies[Assy]&amp;"'!"&amp;"B$5:B1000"))=0,NA(),SUMIF(INDIRECT("'"&amp;Assemblies[Assy]&amp;"'!"&amp;"C$5:C1000"), $E150, INDIRECT("'"&amp;Assemblies[Assy]&amp;"'!"&amp;"A$5:A1000")))),"")), " ,", ""))</f>
        <v>,</v>
      </c>
      <c r="I150" s="226" t="s">
        <v>1726</v>
      </c>
      <c r="J150" s="226" t="s">
        <v>1726</v>
      </c>
      <c r="K150" s="161"/>
      <c r="L150" s="5" t="s">
        <v>1382</v>
      </c>
      <c r="M150" s="2" t="s">
        <v>1382</v>
      </c>
      <c r="N150" s="2" t="s">
        <v>1382</v>
      </c>
      <c r="O150" s="2" t="s">
        <v>1382</v>
      </c>
    </row>
    <row r="151" spans="1:15">
      <c r="A151" s="2" t="e">
        <f ca="1">'GF12'!$E$2</f>
        <v>#VALUE!</v>
      </c>
      <c r="B151" s="133" t="s">
        <v>1740</v>
      </c>
      <c r="C151" s="135" t="s">
        <v>1384</v>
      </c>
      <c r="D151" s="115" t="s">
        <v>54</v>
      </c>
      <c r="E151" s="2" t="e">
        <f t="shared" ca="1" si="5"/>
        <v>#VALUE!</v>
      </c>
      <c r="F151" s="2" t="s">
        <v>1741</v>
      </c>
      <c r="G151" s="5" cm="1">
        <f t="array" aca="1" ref="G151" ca="1">SUMPRODUCT(SUMIF(INDIRECT("'"&amp;Assemblies[Assy]&amp;"'!"&amp;"C$5:C1000"),$E151,(INDIRECT("'"&amp;Assemblies[Assy]&amp;"'!"&amp;"O$5:O1000"))))</f>
        <v>0</v>
      </c>
      <c r="H151" s="115" t="str" cm="1">
        <f t="array" aca="1" ref="H151" ca="1">TRIM(SUBSTITUTE(_xlfn.ARRAYTOTEXT(IFERROR(CONCATENATE(SUMIF(INDIRECT("'"&amp;Assemblies[Assy]&amp;"'!"&amp;"C$5:C1000"), $E151, INDIRECT("'"&amp;Assemblies[Assy]&amp;"'!"&amp;"O$5:O1000")), "x",Assemblies[Assy],".",IF(SUMIF(INDIRECT("'"&amp;Assemblies[Assy]&amp;"'!"&amp;"C$5:C1000"), $E151, INDIRECT("'"&amp;Assemblies[Assy]&amp;"'!"&amp;"B$5:B1000"))=0,NA(),SUMIF(INDIRECT("'"&amp;Assemblies[Assy]&amp;"'!"&amp;"C$5:C1000"), $E151, INDIRECT("'"&amp;Assemblies[Assy]&amp;"'!"&amp;"A$5:A1000")))),"")), " ,", ""))</f>
        <v>,</v>
      </c>
      <c r="I151" s="226" t="s">
        <v>1726</v>
      </c>
      <c r="J151" s="226" t="s">
        <v>1726</v>
      </c>
      <c r="K151" s="213" t="s">
        <v>1461</v>
      </c>
      <c r="L151" s="5" t="s">
        <v>1382</v>
      </c>
      <c r="M151" s="2" t="s">
        <v>1382</v>
      </c>
      <c r="N151" s="2" t="s">
        <v>1382</v>
      </c>
      <c r="O151" s="2" t="s">
        <v>1382</v>
      </c>
    </row>
    <row r="152" spans="1:15">
      <c r="A152" s="2" t="e">
        <f ca="1">'GF12'!$E$2</f>
        <v>#VALUE!</v>
      </c>
      <c r="B152" s="133" t="s">
        <v>1742</v>
      </c>
      <c r="C152" s="135" t="s">
        <v>1384</v>
      </c>
      <c r="D152" s="115" t="s">
        <v>54</v>
      </c>
      <c r="E152" s="2" t="e">
        <f t="shared" ca="1" si="5"/>
        <v>#VALUE!</v>
      </c>
      <c r="F152" s="2" t="s">
        <v>1743</v>
      </c>
      <c r="G152" s="5" cm="1">
        <f t="array" aca="1" ref="G152" ca="1">SUMPRODUCT(SUMIF(INDIRECT("'"&amp;Assemblies[Assy]&amp;"'!"&amp;"C$5:C1000"),$E152,(INDIRECT("'"&amp;Assemblies[Assy]&amp;"'!"&amp;"O$5:O1000"))))</f>
        <v>0</v>
      </c>
      <c r="H152" s="115" t="str" cm="1">
        <f t="array" aca="1" ref="H152" ca="1">TRIM(SUBSTITUTE(_xlfn.ARRAYTOTEXT(IFERROR(CONCATENATE(SUMIF(INDIRECT("'"&amp;Assemblies[Assy]&amp;"'!"&amp;"C$5:C1000"), $E152, INDIRECT("'"&amp;Assemblies[Assy]&amp;"'!"&amp;"O$5:O1000")), "x",Assemblies[Assy],".",IF(SUMIF(INDIRECT("'"&amp;Assemblies[Assy]&amp;"'!"&amp;"C$5:C1000"), $E152, INDIRECT("'"&amp;Assemblies[Assy]&amp;"'!"&amp;"B$5:B1000"))=0,NA(),SUMIF(INDIRECT("'"&amp;Assemblies[Assy]&amp;"'!"&amp;"C$5:C1000"), $E152, INDIRECT("'"&amp;Assemblies[Assy]&amp;"'!"&amp;"A$5:A1000")))),"")), " ,", ""))</f>
        <v>,</v>
      </c>
      <c r="I152" s="226" t="s">
        <v>1726</v>
      </c>
      <c r="J152" s="226" t="s">
        <v>1726</v>
      </c>
      <c r="K152" s="213" t="s">
        <v>1461</v>
      </c>
      <c r="L152" s="5" t="s">
        <v>1382</v>
      </c>
      <c r="M152" s="2" t="s">
        <v>1382</v>
      </c>
      <c r="N152" s="2" t="s">
        <v>1382</v>
      </c>
      <c r="O152" s="2" t="s">
        <v>1382</v>
      </c>
    </row>
    <row r="153" spans="1:15">
      <c r="A153" s="2" t="e">
        <f ca="1">'GF12'!$E$2</f>
        <v>#VALUE!</v>
      </c>
      <c r="B153" s="133" t="s">
        <v>1744</v>
      </c>
      <c r="C153" s="135" t="s">
        <v>1384</v>
      </c>
      <c r="D153" s="115" t="s">
        <v>54</v>
      </c>
      <c r="E153" s="2" t="e">
        <f t="shared" ca="1" si="5"/>
        <v>#VALUE!</v>
      </c>
      <c r="F153" s="2" t="s">
        <v>1745</v>
      </c>
      <c r="G153" s="5" cm="1">
        <f t="array" aca="1" ref="G153" ca="1">SUMPRODUCT(SUMIF(INDIRECT("'"&amp;Assemblies[Assy]&amp;"'!"&amp;"C$5:C1000"),$E153,(INDIRECT("'"&amp;Assemblies[Assy]&amp;"'!"&amp;"O$5:O1000"))))</f>
        <v>0</v>
      </c>
      <c r="H153" s="115" t="str" cm="1">
        <f t="array" aca="1" ref="H153" ca="1">TRIM(SUBSTITUTE(_xlfn.ARRAYTOTEXT(IFERROR(CONCATENATE(SUMIF(INDIRECT("'"&amp;Assemblies[Assy]&amp;"'!"&amp;"C$5:C1000"), $E153, INDIRECT("'"&amp;Assemblies[Assy]&amp;"'!"&amp;"O$5:O1000")), "x",Assemblies[Assy],".",IF(SUMIF(INDIRECT("'"&amp;Assemblies[Assy]&amp;"'!"&amp;"C$5:C1000"), $E153, INDIRECT("'"&amp;Assemblies[Assy]&amp;"'!"&amp;"B$5:B1000"))=0,NA(),SUMIF(INDIRECT("'"&amp;Assemblies[Assy]&amp;"'!"&amp;"C$5:C1000"), $E153, INDIRECT("'"&amp;Assemblies[Assy]&amp;"'!"&amp;"A$5:A1000")))),"")), " ,", ""))</f>
        <v>,</v>
      </c>
      <c r="I153" s="226" t="s">
        <v>1726</v>
      </c>
      <c r="J153" s="226" t="s">
        <v>1726</v>
      </c>
      <c r="K153" s="213" t="s">
        <v>1461</v>
      </c>
      <c r="L153" s="5" t="s">
        <v>1382</v>
      </c>
      <c r="M153" s="2" t="s">
        <v>1382</v>
      </c>
      <c r="N153" s="2" t="s">
        <v>1382</v>
      </c>
      <c r="O153" s="2" t="s">
        <v>1382</v>
      </c>
    </row>
  </sheetData>
  <phoneticPr fontId="8" type="noConversion"/>
  <pageMargins left="0.7" right="0.7" top="0.75" bottom="0.75" header="0.3" footer="0.3"/>
  <pageSetup paperSize="124" scale="54" fitToWidth="0" orientation="portrait" r:id="rId1"/>
  <tableParts count="1">
    <tablePart r:id="rId2"/>
  </tableParts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910439-7388-4C75-9232-92B4A867C1AC}">
  <sheetPr codeName="Sheet147">
    <pageSetUpPr fitToPage="1"/>
  </sheetPr>
  <dimension ref="A1:AD397"/>
  <sheetViews>
    <sheetView tabSelected="1" zoomScale="60" zoomScaleNormal="60" workbookViewId="0">
      <pane ySplit="1" topLeftCell="A2" activePane="bottomLeft" state="frozen"/>
      <selection pane="bottomLeft" activeCell="B25" sqref="B25"/>
      <selection activeCell="C43" sqref="C43"/>
    </sheetView>
  </sheetViews>
  <sheetFormatPr defaultColWidth="9.140625" defaultRowHeight="15"/>
  <cols>
    <col min="1" max="1" width="12.5703125" style="115" customWidth="1"/>
    <col min="2" max="2" width="5.28515625" style="115" customWidth="1"/>
    <col min="3" max="3" width="19.85546875" style="2" bestFit="1" customWidth="1"/>
    <col min="4" max="4" width="57.7109375" style="2" customWidth="1"/>
    <col min="5" max="5" width="14.85546875" style="52" bestFit="1" customWidth="1"/>
    <col min="6" max="8" width="9.7109375" style="5" customWidth="1"/>
    <col min="9" max="9" width="19.28515625" style="2" customWidth="1"/>
    <col min="10" max="10" width="14.28515625" style="2" customWidth="1"/>
    <col min="11" max="11" width="10.28515625" style="2" customWidth="1"/>
    <col min="12" max="12" width="25.140625" style="2" customWidth="1"/>
    <col min="13" max="13" width="49.85546875" style="8" customWidth="1"/>
    <col min="14" max="14" width="19.28515625" style="8" customWidth="1"/>
    <col min="15" max="15" width="21.5703125" style="8" bestFit="1" customWidth="1"/>
    <col min="16" max="16" width="19.7109375" style="8" bestFit="1" customWidth="1"/>
    <col min="17" max="17" width="16.5703125" style="5" customWidth="1"/>
    <col min="18" max="18" width="18.42578125" style="211" bestFit="1" customWidth="1"/>
    <col min="19" max="20" width="9.7109375" style="129" customWidth="1"/>
    <col min="21" max="21" width="9.7109375" style="52" customWidth="1"/>
    <col min="22" max="22" width="13.28515625" style="2" customWidth="1"/>
    <col min="23" max="23" width="56.5703125" style="2" bestFit="1" customWidth="1"/>
    <col min="24" max="24" width="10.42578125" style="2" customWidth="1"/>
    <col min="25" max="25" width="22.140625" bestFit="1" customWidth="1"/>
    <col min="26" max="26" width="14.140625" style="2" bestFit="1" customWidth="1"/>
    <col min="27" max="27" width="34.140625" style="2" bestFit="1" customWidth="1"/>
    <col min="28" max="28" width="8.140625" style="2" bestFit="1" customWidth="1"/>
    <col min="29" max="29" width="2.140625" style="2" bestFit="1" customWidth="1"/>
    <col min="30" max="33" width="9.140625" style="2" bestFit="1"/>
    <col min="34" max="16384" width="9.140625" style="2"/>
  </cols>
  <sheetData>
    <row r="1" spans="1:27" s="56" customFormat="1" ht="24" customHeight="1">
      <c r="A1" s="126" t="s">
        <v>1746</v>
      </c>
      <c r="B1" s="56" t="s">
        <v>1377</v>
      </c>
      <c r="C1" s="56" t="s">
        <v>1747</v>
      </c>
      <c r="D1" s="56" t="s">
        <v>15</v>
      </c>
      <c r="E1" s="148" t="s">
        <v>44</v>
      </c>
      <c r="F1" s="56" t="s">
        <v>53</v>
      </c>
      <c r="G1" s="156" t="s">
        <v>1748</v>
      </c>
      <c r="H1" s="56" t="s">
        <v>1749</v>
      </c>
      <c r="I1" s="56" t="s">
        <v>16</v>
      </c>
      <c r="J1" s="56" t="s">
        <v>1750</v>
      </c>
      <c r="K1" s="180" t="s">
        <v>1751</v>
      </c>
      <c r="L1" s="56" t="s">
        <v>17</v>
      </c>
      <c r="M1" s="56" t="s">
        <v>18</v>
      </c>
      <c r="N1" s="118" t="s">
        <v>51</v>
      </c>
      <c r="O1" s="118" t="s">
        <v>20</v>
      </c>
      <c r="P1" s="118" t="s">
        <v>21</v>
      </c>
      <c r="Q1" s="118" t="s">
        <v>52</v>
      </c>
      <c r="R1" s="56" t="s">
        <v>1752</v>
      </c>
      <c r="S1" s="174" t="s">
        <v>23</v>
      </c>
      <c r="T1" s="149" t="s">
        <v>25</v>
      </c>
      <c r="U1" s="149" t="s">
        <v>1753</v>
      </c>
      <c r="V1" s="148" t="s">
        <v>1754</v>
      </c>
      <c r="W1" s="56" t="s">
        <v>1378</v>
      </c>
      <c r="X1" s="156" t="s">
        <v>1755</v>
      </c>
      <c r="Y1" s="156" t="s">
        <v>1756</v>
      </c>
      <c r="Z1" s="185" t="s">
        <v>1757</v>
      </c>
      <c r="AA1" s="56" t="s">
        <v>1382</v>
      </c>
    </row>
    <row r="2" spans="1:27" ht="12.75" customHeight="1">
      <c r="A2" s="115" t="s">
        <v>1758</v>
      </c>
      <c r="B2" s="115" t="s">
        <v>54</v>
      </c>
      <c r="C2" s="2" t="str">
        <f t="shared" ref="C2:C65" si="0">_xlfn.CONCAT(A2,".",B2)</f>
        <v>GF12.110.01.A</v>
      </c>
      <c r="D2" s="2" t="s">
        <v>1759</v>
      </c>
      <c r="E2" s="52">
        <f t="shared" ref="E2:E65" si="1">S2+T2+U2+(65*V2)</f>
        <v>0</v>
      </c>
      <c r="F2" s="5" t="e" cm="1">
        <f t="array" aca="1" ref="F2" ca="1">SUMPRODUCT(SUMIF(INDIRECT("'"&amp;Assemblies[Assy]&amp;"'!"&amp;"C$5:C1000"),$C2,(INDIRECT("'"&amp;Assemblies[Assy]&amp;"'!"&amp;"O$5:O1000"))))</f>
        <v>#VALUE!</v>
      </c>
      <c r="G2" s="5">
        <v>2</v>
      </c>
      <c r="H2" s="5">
        <v>2</v>
      </c>
      <c r="I2" s="2" t="s">
        <v>1760</v>
      </c>
      <c r="J2" s="2" t="s">
        <v>1761</v>
      </c>
      <c r="K2" s="2" t="s">
        <v>1762</v>
      </c>
      <c r="L2" s="2" t="s">
        <v>1763</v>
      </c>
      <c r="M2" s="2" t="s">
        <v>1382</v>
      </c>
      <c r="N2" s="163" t="s">
        <v>1762</v>
      </c>
      <c r="O2" s="163" t="s">
        <v>1762</v>
      </c>
      <c r="P2" s="163" t="s">
        <v>1762</v>
      </c>
      <c r="Q2" s="163" t="s">
        <v>1762</v>
      </c>
      <c r="R2" s="201" t="s">
        <v>1762</v>
      </c>
      <c r="S2" s="173">
        <v>0</v>
      </c>
      <c r="T2" s="52">
        <v>0</v>
      </c>
      <c r="U2" s="52">
        <v>0</v>
      </c>
      <c r="V2" s="52">
        <v>0</v>
      </c>
      <c r="W2" s="2" t="str" cm="1">
        <f t="array" aca="1" ref="W2" ca="1">TRIM(SUBSTITUTE(_xlfn.ARRAYTOTEXT(IFERROR(CONCATENATE(SUMIF(INDIRECT("'"&amp;Assemblies[Assy]&amp;"'!"&amp;"C$5:C1000"), $C2, INDIRECT("'"&amp;Assemblies[Assy]&amp;"'!"&amp;"O$5:O1000")), "x",Assemblies[Assy],".",IF(SUMIF(INDIRECT("'"&amp;Assemblies[Assy]&amp;"'!"&amp;"C$5:C1000"), $C2, INDIRECT("'"&amp;Assemblies[Assy]&amp;"'!"&amp;"A$5:A1000"))=0,NA(),SUMIF(INDIRECT("'"&amp;Assemblies[Assy]&amp;"'!"&amp;"C$5:C1000"), $C2, INDIRECT("'"&amp;Assemblies[Assy]&amp;"'!"&amp;"A$5:A1000")))),"")), " ,", ""))</f>
        <v>,</v>
      </c>
      <c r="X2" s="2" t="s">
        <v>1382</v>
      </c>
      <c r="Y2" s="2" t="s">
        <v>1382</v>
      </c>
      <c r="Z2" s="2" t="s">
        <v>1382</v>
      </c>
      <c r="AA2" s="2" t="e">
        <f ca="1">SUM(F2:F460)</f>
        <v>#VALUE!</v>
      </c>
    </row>
    <row r="3" spans="1:27" ht="12.75" customHeight="1">
      <c r="A3" s="115" t="s">
        <v>1764</v>
      </c>
      <c r="B3" s="115" t="s">
        <v>54</v>
      </c>
      <c r="C3" s="2" t="str">
        <f t="shared" si="0"/>
        <v>GF12.110.02.A</v>
      </c>
      <c r="D3" s="2" t="s">
        <v>1765</v>
      </c>
      <c r="E3" s="52">
        <f t="shared" si="1"/>
        <v>0</v>
      </c>
      <c r="F3" s="5" t="e" cm="1">
        <f t="array" aca="1" ref="F3" ca="1">SUMPRODUCT(SUMIF(INDIRECT("'"&amp;Assemblies[Assy]&amp;"'!"&amp;"C$5:C1000"),$C3,(INDIRECT("'"&amp;Assemblies[Assy]&amp;"'!"&amp;"O$5:O1000"))))</f>
        <v>#VALUE!</v>
      </c>
      <c r="G3" s="5">
        <v>2</v>
      </c>
      <c r="H3" s="5">
        <v>2</v>
      </c>
      <c r="I3" s="2" t="s">
        <v>1760</v>
      </c>
      <c r="J3" s="2" t="s">
        <v>1761</v>
      </c>
      <c r="K3" s="2" t="s">
        <v>1762</v>
      </c>
      <c r="L3" s="2" t="s">
        <v>1763</v>
      </c>
      <c r="M3" s="2" t="s">
        <v>1382</v>
      </c>
      <c r="N3" s="163" t="s">
        <v>1762</v>
      </c>
      <c r="O3" s="163" t="s">
        <v>1762</v>
      </c>
      <c r="P3" s="163" t="s">
        <v>1762</v>
      </c>
      <c r="Q3" s="163" t="s">
        <v>1762</v>
      </c>
      <c r="R3" s="201" t="s">
        <v>1762</v>
      </c>
      <c r="S3" s="173">
        <v>0</v>
      </c>
      <c r="T3" s="52">
        <v>0</v>
      </c>
      <c r="U3" s="52">
        <v>0</v>
      </c>
      <c r="V3" s="52">
        <v>0</v>
      </c>
      <c r="W3" s="2" t="str" cm="1">
        <f t="array" aca="1" ref="W3" ca="1">TRIM(SUBSTITUTE(_xlfn.ARRAYTOTEXT(IFERROR(CONCATENATE(SUMIF(INDIRECT("'"&amp;Assemblies[Assy]&amp;"'!"&amp;"C$5:C1000"), $C3, INDIRECT("'"&amp;Assemblies[Assy]&amp;"'!"&amp;"O$5:O1000")), "x",Assemblies[Assy],".",IF(SUMIF(INDIRECT("'"&amp;Assemblies[Assy]&amp;"'!"&amp;"C$5:C1000"), $C3, INDIRECT("'"&amp;Assemblies[Assy]&amp;"'!"&amp;"A$5:A1000"))=0,NA(),SUMIF(INDIRECT("'"&amp;Assemblies[Assy]&amp;"'!"&amp;"C$5:C1000"), $C3, INDIRECT("'"&amp;Assemblies[Assy]&amp;"'!"&amp;"A$5:A1000")))),"")), " ,", ""))</f>
        <v>,</v>
      </c>
      <c r="X3" s="2" t="s">
        <v>1382</v>
      </c>
      <c r="Y3" s="2" t="s">
        <v>1382</v>
      </c>
      <c r="Z3" s="2" t="s">
        <v>1382</v>
      </c>
      <c r="AA3" s="2" t="s">
        <v>1382</v>
      </c>
    </row>
    <row r="4" spans="1:27" s="192" customFormat="1" ht="12.75" customHeight="1">
      <c r="A4" s="115" t="s">
        <v>1766</v>
      </c>
      <c r="B4" s="115" t="s">
        <v>54</v>
      </c>
      <c r="C4" s="2" t="str">
        <f t="shared" si="0"/>
        <v>GF12.111.01.A</v>
      </c>
      <c r="D4" s="2" t="s">
        <v>1767</v>
      </c>
      <c r="E4" s="52">
        <f t="shared" si="1"/>
        <v>37.5</v>
      </c>
      <c r="F4" s="5" t="e" cm="1">
        <f t="array" aca="1" ref="F4" ca="1">SUMPRODUCT(SUMIF(INDIRECT("'"&amp;Assemblies[Assy]&amp;"'!"&amp;"C$5:C1000"),$C4,(INDIRECT("'"&amp;Assemblies[Assy]&amp;"'!"&amp;"O$5:O1000"))))</f>
        <v>#VALUE!</v>
      </c>
      <c r="G4" s="5">
        <v>28</v>
      </c>
      <c r="H4" s="5">
        <v>28</v>
      </c>
      <c r="I4" s="2" t="s">
        <v>1768</v>
      </c>
      <c r="J4" s="2" t="s">
        <v>1769</v>
      </c>
      <c r="K4" s="2" t="s">
        <v>1770</v>
      </c>
      <c r="L4" s="2" t="s">
        <v>1768</v>
      </c>
      <c r="M4" s="2" t="s">
        <v>1771</v>
      </c>
      <c r="N4" s="8">
        <v>45083</v>
      </c>
      <c r="O4" s="8">
        <v>45084</v>
      </c>
      <c r="P4" s="8">
        <v>45093</v>
      </c>
      <c r="Q4" s="128">
        <v>45093</v>
      </c>
      <c r="R4" s="201" t="s">
        <v>1772</v>
      </c>
      <c r="S4" s="173">
        <v>37.5</v>
      </c>
      <c r="T4" s="52">
        <v>0</v>
      </c>
      <c r="U4" s="52">
        <v>0</v>
      </c>
      <c r="V4" s="52">
        <v>0</v>
      </c>
      <c r="W4" s="2" t="str" cm="1">
        <f t="array" aca="1" ref="W4" ca="1">TRIM(SUBSTITUTE(_xlfn.ARRAYTOTEXT(IFERROR(CONCATENATE(SUMIF(INDIRECT("'"&amp;Assemblies[Assy]&amp;"'!"&amp;"C$5:C1000"), $C4, INDIRECT("'"&amp;Assemblies[Assy]&amp;"'!"&amp;"O$5:O1000")), "x",Assemblies[Assy],".",IF(SUMIF(INDIRECT("'"&amp;Assemblies[Assy]&amp;"'!"&amp;"C$5:C1000"), $C4, INDIRECT("'"&amp;Assemblies[Assy]&amp;"'!"&amp;"A$5:A1000"))=0,NA(),SUMIF(INDIRECT("'"&amp;Assemblies[Assy]&amp;"'!"&amp;"C$5:C1000"), $C4, INDIRECT("'"&amp;Assemblies[Assy]&amp;"'!"&amp;"A$5:A1000")))),"")), " ,", ""))</f>
        <v>,</v>
      </c>
      <c r="X4" s="2" t="s">
        <v>1773</v>
      </c>
      <c r="Y4" s="2" t="s">
        <v>1382</v>
      </c>
      <c r="Z4" s="2" t="s">
        <v>1382</v>
      </c>
      <c r="AA4" s="192" t="s">
        <v>1382</v>
      </c>
    </row>
    <row r="5" spans="1:27" ht="12.75" customHeight="1">
      <c r="A5" s="115" t="s">
        <v>1774</v>
      </c>
      <c r="B5" s="115" t="s">
        <v>54</v>
      </c>
      <c r="C5" s="2" t="str">
        <f t="shared" si="0"/>
        <v>GF12.112.01.A</v>
      </c>
      <c r="D5" s="2" t="s">
        <v>1775</v>
      </c>
      <c r="E5" s="52">
        <f t="shared" si="1"/>
        <v>73</v>
      </c>
      <c r="F5" s="5" t="e" cm="1">
        <f t="array" aca="1" ref="F5" ca="1">SUMPRODUCT(SUMIF(INDIRECT("'"&amp;Assemblies[Assy]&amp;"'!"&amp;"C$5:C1000"),$C5,(INDIRECT("'"&amp;Assemblies[Assy]&amp;"'!"&amp;"O$5:O1000"))))</f>
        <v>#VALUE!</v>
      </c>
      <c r="G5" s="5">
        <v>10</v>
      </c>
      <c r="H5" s="5">
        <v>10</v>
      </c>
      <c r="I5" s="2" t="s">
        <v>1776</v>
      </c>
      <c r="J5" s="2" t="s">
        <v>1777</v>
      </c>
      <c r="K5" s="2" t="s">
        <v>1770</v>
      </c>
      <c r="L5" s="2" t="s">
        <v>1778</v>
      </c>
      <c r="M5" s="2" t="s">
        <v>1779</v>
      </c>
      <c r="N5" s="8">
        <v>45142</v>
      </c>
      <c r="O5" s="8">
        <v>45146</v>
      </c>
      <c r="P5" s="8">
        <v>45176</v>
      </c>
      <c r="Q5" s="128">
        <v>45176</v>
      </c>
      <c r="R5" s="201">
        <v>55032</v>
      </c>
      <c r="S5" s="173">
        <v>73</v>
      </c>
      <c r="T5" s="52">
        <v>0</v>
      </c>
      <c r="U5" s="52">
        <v>0</v>
      </c>
      <c r="V5" s="52">
        <v>0</v>
      </c>
      <c r="W5" s="2" t="str" cm="1">
        <f t="array" aca="1" ref="W5" ca="1">TRIM(SUBSTITUTE(_xlfn.ARRAYTOTEXT(IFERROR(CONCATENATE(SUMIF(INDIRECT("'"&amp;Assemblies[Assy]&amp;"'!"&amp;"C$5:C1000"), $C5, INDIRECT("'"&amp;Assemblies[Assy]&amp;"'!"&amp;"O$5:O1000")), "x",Assemblies[Assy],".",IF(SUMIF(INDIRECT("'"&amp;Assemblies[Assy]&amp;"'!"&amp;"C$5:C1000"), $C5, INDIRECT("'"&amp;Assemblies[Assy]&amp;"'!"&amp;"A$5:A1000"))=0,NA(),SUMIF(INDIRECT("'"&amp;Assemblies[Assy]&amp;"'!"&amp;"C$5:C1000"), $C5, INDIRECT("'"&amp;Assemblies[Assy]&amp;"'!"&amp;"A$5:A1000")))),"")), " ,", ""))</f>
        <v>,</v>
      </c>
      <c r="X5" s="2" t="s">
        <v>1773</v>
      </c>
      <c r="Y5" s="2" t="s">
        <v>1382</v>
      </c>
      <c r="Z5" s="2" t="s">
        <v>1382</v>
      </c>
      <c r="AA5" s="2" t="s">
        <v>1382</v>
      </c>
    </row>
    <row r="6" spans="1:27" ht="12.75" customHeight="1">
      <c r="A6" s="115" t="s">
        <v>1780</v>
      </c>
      <c r="B6" s="115" t="s">
        <v>54</v>
      </c>
      <c r="C6" s="2" t="str">
        <f t="shared" si="0"/>
        <v>GF12.113.01.A</v>
      </c>
      <c r="D6" s="2" t="s">
        <v>1781</v>
      </c>
      <c r="E6" s="52">
        <f t="shared" si="1"/>
        <v>351.75</v>
      </c>
      <c r="F6" s="5" t="e" cm="1">
        <f t="array" aca="1" ref="F6" ca="1">SUMPRODUCT(SUMIF(INDIRECT("'"&amp;Assemblies[Assy]&amp;"'!"&amp;"C$5:C1000"),$C6,(INDIRECT("'"&amp;Assemblies[Assy]&amp;"'!"&amp;"O$5:O1000"))))</f>
        <v>#VALUE!</v>
      </c>
      <c r="G6" s="5">
        <v>4</v>
      </c>
      <c r="H6" s="5">
        <v>4</v>
      </c>
      <c r="I6" s="2" t="s">
        <v>1782</v>
      </c>
      <c r="J6" s="2" t="s">
        <v>1769</v>
      </c>
      <c r="K6" s="2" t="s">
        <v>1770</v>
      </c>
      <c r="L6" s="2" t="s">
        <v>1783</v>
      </c>
      <c r="M6" s="2" t="s">
        <v>1779</v>
      </c>
      <c r="N6" s="8">
        <v>45141</v>
      </c>
      <c r="O6" s="8">
        <v>45141</v>
      </c>
      <c r="P6" s="8">
        <v>45171</v>
      </c>
      <c r="Q6" s="128">
        <v>45171</v>
      </c>
      <c r="R6" s="201">
        <v>55029</v>
      </c>
      <c r="S6" s="173">
        <v>351.75</v>
      </c>
      <c r="T6" s="52">
        <v>0</v>
      </c>
      <c r="U6" s="52">
        <v>0</v>
      </c>
      <c r="V6" s="52">
        <v>0</v>
      </c>
      <c r="W6" s="2" t="str" cm="1">
        <f t="array" aca="1" ref="W6" ca="1">TRIM(SUBSTITUTE(_xlfn.ARRAYTOTEXT(IFERROR(CONCATENATE(SUMIF(INDIRECT("'"&amp;Assemblies[Assy]&amp;"'!"&amp;"C$5:C1000"), $C6, INDIRECT("'"&amp;Assemblies[Assy]&amp;"'!"&amp;"O$5:O1000")), "x",Assemblies[Assy],".",IF(SUMIF(INDIRECT("'"&amp;Assemblies[Assy]&amp;"'!"&amp;"C$5:C1000"), $C6, INDIRECT("'"&amp;Assemblies[Assy]&amp;"'!"&amp;"A$5:A1000"))=0,NA(),SUMIF(INDIRECT("'"&amp;Assemblies[Assy]&amp;"'!"&amp;"C$5:C1000"), $C6, INDIRECT("'"&amp;Assemblies[Assy]&amp;"'!"&amp;"A$5:A1000")))),"")), " ,", ""))</f>
        <v>,</v>
      </c>
      <c r="X6" s="2" t="s">
        <v>1773</v>
      </c>
      <c r="Y6" s="2" t="s">
        <v>1382</v>
      </c>
      <c r="Z6" s="2" t="s">
        <v>1382</v>
      </c>
      <c r="AA6" s="2" t="s">
        <v>1382</v>
      </c>
    </row>
    <row r="7" spans="1:27" ht="12.75" customHeight="1">
      <c r="A7" s="115" t="s">
        <v>1784</v>
      </c>
      <c r="B7" s="115" t="s">
        <v>54</v>
      </c>
      <c r="C7" s="2" t="str">
        <f t="shared" si="0"/>
        <v>GF12.114.01.A</v>
      </c>
      <c r="D7" s="2" t="s">
        <v>1785</v>
      </c>
      <c r="E7" s="52">
        <f t="shared" si="1"/>
        <v>0</v>
      </c>
      <c r="F7" s="5" t="e" cm="1">
        <f t="array" aca="1" ref="F7" ca="1">SUMPRODUCT(SUMIF(INDIRECT("'"&amp;Assemblies[Assy]&amp;"'!"&amp;"C$5:C1000"),$C7,(INDIRECT("'"&amp;Assemblies[Assy]&amp;"'!"&amp;"O$5:O1000"))))</f>
        <v>#VALUE!</v>
      </c>
      <c r="G7" s="5">
        <v>2</v>
      </c>
      <c r="H7" s="5">
        <v>2</v>
      </c>
      <c r="I7" s="2" t="s">
        <v>1782</v>
      </c>
      <c r="J7" s="2" t="s">
        <v>1769</v>
      </c>
      <c r="K7" s="2" t="s">
        <v>1770</v>
      </c>
      <c r="L7" s="2" t="s">
        <v>1786</v>
      </c>
      <c r="M7" s="2" t="s">
        <v>1779</v>
      </c>
      <c r="N7" s="8">
        <v>45139</v>
      </c>
      <c r="O7" s="8">
        <v>45140</v>
      </c>
      <c r="P7" s="8">
        <v>45170</v>
      </c>
      <c r="Q7" s="128">
        <v>45170</v>
      </c>
      <c r="R7" s="201">
        <v>55025</v>
      </c>
      <c r="S7" s="171">
        <v>0</v>
      </c>
      <c r="T7" s="52">
        <v>0</v>
      </c>
      <c r="U7" s="52">
        <v>0</v>
      </c>
      <c r="V7" s="52">
        <v>0</v>
      </c>
      <c r="W7" s="2" t="str" cm="1">
        <f t="array" aca="1" ref="W7" ca="1">TRIM(SUBSTITUTE(_xlfn.ARRAYTOTEXT(IFERROR(CONCATENATE(SUMIF(INDIRECT("'"&amp;Assemblies[Assy]&amp;"'!"&amp;"C$5:C1000"), $C7, INDIRECT("'"&amp;Assemblies[Assy]&amp;"'!"&amp;"O$5:O1000")), "x",Assemblies[Assy],".",IF(SUMIF(INDIRECT("'"&amp;Assemblies[Assy]&amp;"'!"&amp;"C$5:C1000"), $C7, INDIRECT("'"&amp;Assemblies[Assy]&amp;"'!"&amp;"A$5:A1000"))=0,NA(),SUMIF(INDIRECT("'"&amp;Assemblies[Assy]&amp;"'!"&amp;"C$5:C1000"), $C7, INDIRECT("'"&amp;Assemblies[Assy]&amp;"'!"&amp;"A$5:A1000")))),"")), " ,", ""))</f>
        <v>,</v>
      </c>
      <c r="X7" s="2" t="s">
        <v>1773</v>
      </c>
      <c r="Y7" s="2" t="s">
        <v>1382</v>
      </c>
      <c r="Z7" s="2" t="s">
        <v>1382</v>
      </c>
      <c r="AA7" s="2" t="s">
        <v>1382</v>
      </c>
    </row>
    <row r="8" spans="1:27" ht="12.75" customHeight="1">
      <c r="A8" s="115" t="s">
        <v>1787</v>
      </c>
      <c r="B8" s="115" t="s">
        <v>56</v>
      </c>
      <c r="C8" s="2" t="str">
        <f t="shared" si="0"/>
        <v>GF12.115.01.B</v>
      </c>
      <c r="D8" s="2" t="s">
        <v>1788</v>
      </c>
      <c r="E8" s="52">
        <f t="shared" si="1"/>
        <v>0</v>
      </c>
      <c r="F8" s="5" t="e" cm="1">
        <f t="array" aca="1" ref="F8" ca="1">SUMPRODUCT(SUMIF(INDIRECT("'"&amp;Assemblies[Assy]&amp;"'!"&amp;"C$5:C1000"),$C8,(INDIRECT("'"&amp;Assemblies[Assy]&amp;"'!"&amp;"O$5:O1000"))))</f>
        <v>#VALUE!</v>
      </c>
      <c r="G8" s="5">
        <v>2</v>
      </c>
      <c r="H8" s="5">
        <v>2</v>
      </c>
      <c r="I8" s="2" t="s">
        <v>1782</v>
      </c>
      <c r="J8" s="2" t="s">
        <v>1769</v>
      </c>
      <c r="K8" s="2" t="s">
        <v>1770</v>
      </c>
      <c r="L8" s="2" t="s">
        <v>1786</v>
      </c>
      <c r="M8" s="2" t="s">
        <v>1779</v>
      </c>
      <c r="N8" s="8">
        <v>45139</v>
      </c>
      <c r="O8" s="8">
        <v>45140</v>
      </c>
      <c r="P8" s="8">
        <v>45170</v>
      </c>
      <c r="Q8" s="128">
        <v>45170</v>
      </c>
      <c r="R8" s="201">
        <v>55025</v>
      </c>
      <c r="S8" s="171">
        <v>0</v>
      </c>
      <c r="T8" s="52">
        <v>0</v>
      </c>
      <c r="U8" s="52">
        <v>0</v>
      </c>
      <c r="V8" s="52">
        <v>0</v>
      </c>
      <c r="W8" s="2" t="str" cm="1">
        <f t="array" aca="1" ref="W8" ca="1">TRIM(SUBSTITUTE(_xlfn.ARRAYTOTEXT(IFERROR(CONCATENATE(SUMIF(INDIRECT("'"&amp;Assemblies[Assy]&amp;"'!"&amp;"C$5:C1000"), $C8, INDIRECT("'"&amp;Assemblies[Assy]&amp;"'!"&amp;"O$5:O1000")), "x",Assemblies[Assy],".",IF(SUMIF(INDIRECT("'"&amp;Assemblies[Assy]&amp;"'!"&amp;"C$5:C1000"), $C8, INDIRECT("'"&amp;Assemblies[Assy]&amp;"'!"&amp;"A$5:A1000"))=0,NA(),SUMIF(INDIRECT("'"&amp;Assemblies[Assy]&amp;"'!"&amp;"C$5:C1000"), $C8, INDIRECT("'"&amp;Assemblies[Assy]&amp;"'!"&amp;"A$5:A1000")))),"")), " ,", ""))</f>
        <v>,</v>
      </c>
      <c r="X8" s="2" t="s">
        <v>1773</v>
      </c>
      <c r="Y8" s="2" t="s">
        <v>1382</v>
      </c>
      <c r="Z8" s="2" t="s">
        <v>1382</v>
      </c>
      <c r="AA8" s="2" t="s">
        <v>1382</v>
      </c>
    </row>
    <row r="9" spans="1:27" ht="12.75" customHeight="1">
      <c r="A9" s="115" t="s">
        <v>1789</v>
      </c>
      <c r="B9" s="115" t="s">
        <v>54</v>
      </c>
      <c r="C9" s="2" t="str">
        <f t="shared" si="0"/>
        <v>GF12.116.01.A</v>
      </c>
      <c r="D9" s="2" t="s">
        <v>1790</v>
      </c>
      <c r="E9" s="52">
        <f t="shared" si="1"/>
        <v>119.09</v>
      </c>
      <c r="F9" s="5" t="e" cm="1">
        <f t="array" aca="1" ref="F9" ca="1">SUMPRODUCT(SUMIF(INDIRECT("'"&amp;Assemblies[Assy]&amp;"'!"&amp;"C$5:C1000"),$C9,(INDIRECT("'"&amp;Assemblies[Assy]&amp;"'!"&amp;"O$5:O1000"))))</f>
        <v>#VALUE!</v>
      </c>
      <c r="G9" s="5">
        <v>35</v>
      </c>
      <c r="H9" s="5">
        <v>35</v>
      </c>
      <c r="I9" s="2" t="s">
        <v>1791</v>
      </c>
      <c r="J9" s="2" t="s">
        <v>1792</v>
      </c>
      <c r="K9" s="2" t="s">
        <v>1770</v>
      </c>
      <c r="L9" s="2" t="s">
        <v>1793</v>
      </c>
      <c r="M9" s="2" t="s">
        <v>1382</v>
      </c>
      <c r="N9" s="8" t="s">
        <v>1762</v>
      </c>
      <c r="O9" s="8" t="s">
        <v>1762</v>
      </c>
      <c r="P9" s="8" t="s">
        <v>1762</v>
      </c>
      <c r="Q9" s="8" t="s">
        <v>1762</v>
      </c>
      <c r="R9" s="201" t="s">
        <v>1794</v>
      </c>
      <c r="S9" s="173">
        <v>35.33</v>
      </c>
      <c r="T9" s="52">
        <v>54.27</v>
      </c>
      <c r="U9" s="52">
        <f>15.27+14.22</f>
        <v>29.490000000000002</v>
      </c>
      <c r="V9" s="52">
        <v>0</v>
      </c>
      <c r="W9" s="2" t="str" cm="1">
        <f t="array" aca="1" ref="W9" ca="1">TRIM(SUBSTITUTE(_xlfn.ARRAYTOTEXT(IFERROR(CONCATENATE(SUMIF(INDIRECT("'"&amp;Assemblies[Assy]&amp;"'!"&amp;"C$5:C1000"), $C9, INDIRECT("'"&amp;Assemblies[Assy]&amp;"'!"&amp;"O$5:O1000")), "x",Assemblies[Assy],".",IF(SUMIF(INDIRECT("'"&amp;Assemblies[Assy]&amp;"'!"&amp;"C$5:C1000"), $C9, INDIRECT("'"&amp;Assemblies[Assy]&amp;"'!"&amp;"A$5:A1000"))=0,NA(),SUMIF(INDIRECT("'"&amp;Assemblies[Assy]&amp;"'!"&amp;"C$5:C1000"), $C9, INDIRECT("'"&amp;Assemblies[Assy]&amp;"'!"&amp;"A$5:A1000")))),"")), " ,", ""))</f>
        <v>,</v>
      </c>
      <c r="X9" s="2" t="s">
        <v>1773</v>
      </c>
      <c r="Y9" s="2" t="s">
        <v>1382</v>
      </c>
      <c r="Z9" s="2" t="s">
        <v>1382</v>
      </c>
      <c r="AA9" s="2" t="s">
        <v>1382</v>
      </c>
    </row>
    <row r="10" spans="1:27" ht="12.75" customHeight="1">
      <c r="A10" s="115" t="s">
        <v>1795</v>
      </c>
      <c r="B10" s="115" t="s">
        <v>54</v>
      </c>
      <c r="C10" s="2" t="str">
        <f t="shared" si="0"/>
        <v>GF12.116.02.A</v>
      </c>
      <c r="D10" s="2" t="s">
        <v>1796</v>
      </c>
      <c r="E10" s="52">
        <f t="shared" si="1"/>
        <v>85.05</v>
      </c>
      <c r="F10" s="5" t="e" cm="1">
        <f t="array" aca="1" ref="F10" ca="1">SUMPRODUCT(SUMIF(INDIRECT("'"&amp;Assemblies[Assy]&amp;"'!"&amp;"C$5:C1000"),$C10,(INDIRECT("'"&amp;Assemblies[Assy]&amp;"'!"&amp;"O$5:O1000"))))</f>
        <v>#VALUE!</v>
      </c>
      <c r="G10" s="5">
        <v>26</v>
      </c>
      <c r="H10" s="5">
        <v>26</v>
      </c>
      <c r="I10" s="2" t="s">
        <v>1797</v>
      </c>
      <c r="J10" s="2" t="s">
        <v>1761</v>
      </c>
      <c r="K10" s="2" t="s">
        <v>1762</v>
      </c>
      <c r="L10" s="2" t="s">
        <v>1798</v>
      </c>
      <c r="M10" s="2" t="s">
        <v>1382</v>
      </c>
      <c r="N10" s="8" t="s">
        <v>1762</v>
      </c>
      <c r="O10" s="8" t="s">
        <v>1762</v>
      </c>
      <c r="P10" s="8" t="s">
        <v>1762</v>
      </c>
      <c r="Q10" s="8" t="s">
        <v>1762</v>
      </c>
      <c r="R10" s="201">
        <v>55018</v>
      </c>
      <c r="S10" s="173">
        <v>85.05</v>
      </c>
      <c r="T10" s="52">
        <v>0</v>
      </c>
      <c r="U10" s="52">
        <v>0</v>
      </c>
      <c r="V10" s="52">
        <v>0</v>
      </c>
      <c r="W10" s="2" t="str" cm="1">
        <f t="array" aca="1" ref="W10" ca="1">TRIM(SUBSTITUTE(_xlfn.ARRAYTOTEXT(IFERROR(CONCATENATE(SUMIF(INDIRECT("'"&amp;Assemblies[Assy]&amp;"'!"&amp;"C$5:C1000"), $C10, INDIRECT("'"&amp;Assemblies[Assy]&amp;"'!"&amp;"O$5:O1000")), "x",Assemblies[Assy],".",IF(SUMIF(INDIRECT("'"&amp;Assemblies[Assy]&amp;"'!"&amp;"C$5:C1000"), $C10, INDIRECT("'"&amp;Assemblies[Assy]&amp;"'!"&amp;"A$5:A1000"))=0,NA(),SUMIF(INDIRECT("'"&amp;Assemblies[Assy]&amp;"'!"&amp;"C$5:C1000"), $C10, INDIRECT("'"&amp;Assemblies[Assy]&amp;"'!"&amp;"A$5:A1000")))),"")), " ,", ""))</f>
        <v>,</v>
      </c>
      <c r="X10" s="2" t="s">
        <v>1773</v>
      </c>
      <c r="Y10" s="2" t="s">
        <v>1382</v>
      </c>
      <c r="Z10" s="2" t="s">
        <v>1382</v>
      </c>
    </row>
    <row r="11" spans="1:27" ht="12.75" customHeight="1">
      <c r="A11" s="115" t="s">
        <v>1799</v>
      </c>
      <c r="B11" s="115" t="s">
        <v>54</v>
      </c>
      <c r="C11" s="2" t="str">
        <f t="shared" si="0"/>
        <v>GF12.116.03.A</v>
      </c>
      <c r="D11" s="2" t="s">
        <v>1800</v>
      </c>
      <c r="E11" s="52">
        <f t="shared" si="1"/>
        <v>1.52</v>
      </c>
      <c r="F11" s="5" t="e" cm="1">
        <f t="array" aca="1" ref="F11" ca="1">SUMPRODUCT(SUMIF(INDIRECT("'"&amp;Assemblies[Assy]&amp;"'!"&amp;"C$5:C1000"),$C11,(INDIRECT("'"&amp;Assemblies[Assy]&amp;"'!"&amp;"O$5:O1000"))))</f>
        <v>#VALUE!</v>
      </c>
      <c r="G11" s="5">
        <v>80</v>
      </c>
      <c r="H11" s="5">
        <v>80</v>
      </c>
      <c r="I11" s="2" t="s">
        <v>1801</v>
      </c>
      <c r="J11" s="2" t="s">
        <v>1802</v>
      </c>
      <c r="K11" s="2" t="s">
        <v>1762</v>
      </c>
      <c r="L11" s="2" t="s">
        <v>1803</v>
      </c>
      <c r="M11" s="2" t="s">
        <v>1779</v>
      </c>
      <c r="N11" s="8" t="s">
        <v>1762</v>
      </c>
      <c r="O11" s="8">
        <v>45141</v>
      </c>
      <c r="P11" s="8">
        <v>45161</v>
      </c>
      <c r="Q11" s="144">
        <v>45161</v>
      </c>
      <c r="R11" s="223">
        <v>55030</v>
      </c>
      <c r="S11" s="153">
        <v>1.52</v>
      </c>
      <c r="T11" s="52">
        <v>0</v>
      </c>
      <c r="U11" s="52">
        <v>0</v>
      </c>
      <c r="V11" s="52">
        <v>0</v>
      </c>
      <c r="W11" s="2" t="str" cm="1">
        <f t="array" aca="1" ref="W11" ca="1">TRIM(SUBSTITUTE(_xlfn.ARRAYTOTEXT(IFERROR(CONCATENATE(SUMIF(INDIRECT("'"&amp;Assemblies[Assy]&amp;"'!"&amp;"C$5:C1000"), $C11, INDIRECT("'"&amp;Assemblies[Assy]&amp;"'!"&amp;"O$5:O1000")), "x",Assemblies[Assy],".",IF(SUMIF(INDIRECT("'"&amp;Assemblies[Assy]&amp;"'!"&amp;"C$5:C1000"), $C11, INDIRECT("'"&amp;Assemblies[Assy]&amp;"'!"&amp;"A$5:A1000"))=0,NA(),SUMIF(INDIRECT("'"&amp;Assemblies[Assy]&amp;"'!"&amp;"C$5:C1000"), $C11, INDIRECT("'"&amp;Assemblies[Assy]&amp;"'!"&amp;"A$5:A1000")))),"")), " ,", ""))</f>
        <v>,</v>
      </c>
      <c r="X11" s="2" t="s">
        <v>1773</v>
      </c>
      <c r="Y11" s="2" t="s">
        <v>1382</v>
      </c>
      <c r="Z11" s="187" t="s">
        <v>1804</v>
      </c>
    </row>
    <row r="12" spans="1:27" ht="12.75" customHeight="1">
      <c r="A12" s="115" t="s">
        <v>1805</v>
      </c>
      <c r="B12" s="115" t="s">
        <v>54</v>
      </c>
      <c r="C12" s="2" t="str">
        <f t="shared" si="0"/>
        <v>GF12.116.04.A</v>
      </c>
      <c r="D12" s="2" t="s">
        <v>1806</v>
      </c>
      <c r="E12" s="52">
        <f t="shared" si="1"/>
        <v>0</v>
      </c>
      <c r="F12" s="5" t="e" cm="1">
        <f t="array" aca="1" ref="F12" ca="1">SUMPRODUCT(SUMIF(INDIRECT("'"&amp;Assemblies[Assy]&amp;"'!"&amp;"C$5:C1000"),$C12,(INDIRECT("'"&amp;Assemblies[Assy]&amp;"'!"&amp;"O$5:O1000"))))</f>
        <v>#VALUE!</v>
      </c>
      <c r="G12" s="5">
        <v>32</v>
      </c>
      <c r="H12" s="5">
        <v>32</v>
      </c>
      <c r="I12" s="2" t="s">
        <v>1791</v>
      </c>
      <c r="J12" s="2" t="s">
        <v>1769</v>
      </c>
      <c r="K12" s="2" t="s">
        <v>1770</v>
      </c>
      <c r="L12" s="2" t="s">
        <v>1786</v>
      </c>
      <c r="M12" s="2" t="s">
        <v>1779</v>
      </c>
      <c r="N12" s="8">
        <v>45139</v>
      </c>
      <c r="O12" s="8">
        <v>45140</v>
      </c>
      <c r="P12" s="8">
        <v>45170</v>
      </c>
      <c r="Q12" s="128">
        <v>45170</v>
      </c>
      <c r="R12" s="201">
        <v>55025</v>
      </c>
      <c r="S12" s="171">
        <v>0</v>
      </c>
      <c r="T12" s="52">
        <v>0</v>
      </c>
      <c r="U12" s="52">
        <v>0</v>
      </c>
      <c r="V12" s="52">
        <v>0</v>
      </c>
      <c r="W12" s="2" t="str" cm="1">
        <f t="array" aca="1" ref="W12" ca="1">TRIM(SUBSTITUTE(_xlfn.ARRAYTOTEXT(IFERROR(CONCATENATE(SUMIF(INDIRECT("'"&amp;Assemblies[Assy]&amp;"'!"&amp;"C$5:C1000"), $C12, INDIRECT("'"&amp;Assemblies[Assy]&amp;"'!"&amp;"O$5:O1000")), "x",Assemblies[Assy],".",IF(SUMIF(INDIRECT("'"&amp;Assemblies[Assy]&amp;"'!"&amp;"C$5:C1000"), $C12, INDIRECT("'"&amp;Assemblies[Assy]&amp;"'!"&amp;"A$5:A1000"))=0,NA(),SUMIF(INDIRECT("'"&amp;Assemblies[Assy]&amp;"'!"&amp;"C$5:C1000"), $C12, INDIRECT("'"&amp;Assemblies[Assy]&amp;"'!"&amp;"A$5:A1000")))),"")), " ,", ""))</f>
        <v>,</v>
      </c>
      <c r="X12" s="2" t="s">
        <v>1773</v>
      </c>
      <c r="Y12" s="2" t="s">
        <v>1382</v>
      </c>
      <c r="Z12" s="2" t="s">
        <v>1382</v>
      </c>
    </row>
    <row r="13" spans="1:27" ht="12.75" customHeight="1">
      <c r="A13" s="115" t="s">
        <v>1807</v>
      </c>
      <c r="B13" s="115" t="s">
        <v>54</v>
      </c>
      <c r="C13" s="2" t="str">
        <f t="shared" si="0"/>
        <v>GF12.116.05.A</v>
      </c>
      <c r="D13" s="2" t="s">
        <v>1808</v>
      </c>
      <c r="E13" s="52">
        <f t="shared" si="1"/>
        <v>0</v>
      </c>
      <c r="F13" s="5" t="e" cm="1">
        <f t="array" aca="1" ref="F13" ca="1">SUMPRODUCT(SUMIF(INDIRECT("'"&amp;Assemblies[Assy]&amp;"'!"&amp;"C$5:C1000"),$C13,(INDIRECT("'"&amp;Assemblies[Assy]&amp;"'!"&amp;"O$5:O1000"))))</f>
        <v>#VALUE!</v>
      </c>
      <c r="G13" s="5">
        <v>40</v>
      </c>
      <c r="H13" s="5">
        <v>40</v>
      </c>
      <c r="I13" s="2" t="s">
        <v>1791</v>
      </c>
      <c r="J13" s="2" t="s">
        <v>1769</v>
      </c>
      <c r="K13" s="2" t="s">
        <v>1770</v>
      </c>
      <c r="L13" s="2" t="s">
        <v>1786</v>
      </c>
      <c r="M13" s="2" t="s">
        <v>1779</v>
      </c>
      <c r="N13" s="8">
        <v>45139</v>
      </c>
      <c r="O13" s="8">
        <v>45140</v>
      </c>
      <c r="P13" s="8">
        <v>45170</v>
      </c>
      <c r="Q13" s="128">
        <v>45170</v>
      </c>
      <c r="R13" s="201">
        <v>55025</v>
      </c>
      <c r="S13" s="171">
        <v>0</v>
      </c>
      <c r="T13" s="52">
        <v>0</v>
      </c>
      <c r="U13" s="52">
        <v>0</v>
      </c>
      <c r="V13" s="52">
        <v>0</v>
      </c>
      <c r="W13" s="2" t="str" cm="1">
        <f t="array" aca="1" ref="W13" ca="1">TRIM(SUBSTITUTE(_xlfn.ARRAYTOTEXT(IFERROR(CONCATENATE(SUMIF(INDIRECT("'"&amp;Assemblies[Assy]&amp;"'!"&amp;"C$5:C1000"), $C13, INDIRECT("'"&amp;Assemblies[Assy]&amp;"'!"&amp;"O$5:O1000")), "x",Assemblies[Assy],".",IF(SUMIF(INDIRECT("'"&amp;Assemblies[Assy]&amp;"'!"&amp;"C$5:C1000"), $C13, INDIRECT("'"&amp;Assemblies[Assy]&amp;"'!"&amp;"A$5:A1000"))=0,NA(),SUMIF(INDIRECT("'"&amp;Assemblies[Assy]&amp;"'!"&amp;"C$5:C1000"), $C13, INDIRECT("'"&amp;Assemblies[Assy]&amp;"'!"&amp;"A$5:A1000")))),"")), " ,", ""))</f>
        <v>,</v>
      </c>
      <c r="X13" s="2" t="s">
        <v>1773</v>
      </c>
      <c r="Y13" s="2" t="s">
        <v>1382</v>
      </c>
      <c r="Z13" s="2" t="s">
        <v>1382</v>
      </c>
      <c r="AA13" s="2" t="s">
        <v>1382</v>
      </c>
    </row>
    <row r="14" spans="1:27" ht="12.75" customHeight="1">
      <c r="A14" s="115" t="s">
        <v>1809</v>
      </c>
      <c r="B14" s="115" t="s">
        <v>54</v>
      </c>
      <c r="C14" s="2" t="str">
        <f t="shared" si="0"/>
        <v>GF12.117.01.A</v>
      </c>
      <c r="D14" s="2" t="s">
        <v>1425</v>
      </c>
      <c r="E14" s="52">
        <f t="shared" si="1"/>
        <v>22.06</v>
      </c>
      <c r="F14" s="5" t="e" cm="1">
        <f t="array" aca="1" ref="F14" ca="1">SUMPRODUCT(SUMIF(INDIRECT("'"&amp;Assemblies[Assy]&amp;"'!"&amp;"C$5:C1000"),$C14,(INDIRECT("'"&amp;Assemblies[Assy]&amp;"'!"&amp;"O$5:O1000"))))</f>
        <v>#VALUE!</v>
      </c>
      <c r="G14" s="5">
        <v>70</v>
      </c>
      <c r="H14" s="5">
        <v>69</v>
      </c>
      <c r="I14" s="2" t="s">
        <v>1801</v>
      </c>
      <c r="J14" s="2" t="s">
        <v>1802</v>
      </c>
      <c r="K14" s="2" t="s">
        <v>1762</v>
      </c>
      <c r="L14" s="2" t="s">
        <v>1803</v>
      </c>
      <c r="M14" s="2" t="s">
        <v>1779</v>
      </c>
      <c r="N14" s="8" t="s">
        <v>1762</v>
      </c>
      <c r="O14" s="8">
        <v>45141</v>
      </c>
      <c r="P14" s="8">
        <v>45161</v>
      </c>
      <c r="Q14" s="144">
        <v>45161</v>
      </c>
      <c r="R14" s="223">
        <v>55030</v>
      </c>
      <c r="S14" s="173">
        <v>22.06</v>
      </c>
      <c r="T14" s="52">
        <v>0</v>
      </c>
      <c r="U14" s="52">
        <v>0</v>
      </c>
      <c r="V14" s="52">
        <v>0</v>
      </c>
      <c r="W14" s="2" t="str" cm="1">
        <f t="array" aca="1" ref="W14" ca="1">TRIM(SUBSTITUTE(_xlfn.ARRAYTOTEXT(IFERROR(CONCATENATE(SUMIF(INDIRECT("'"&amp;Assemblies[Assy]&amp;"'!"&amp;"C$5:C1000"), $C14, INDIRECT("'"&amp;Assemblies[Assy]&amp;"'!"&amp;"O$5:O1000")), "x",Assemblies[Assy],".",IF(SUMIF(INDIRECT("'"&amp;Assemblies[Assy]&amp;"'!"&amp;"C$5:C1000"), $C14, INDIRECT("'"&amp;Assemblies[Assy]&amp;"'!"&amp;"A$5:A1000"))=0,NA(),SUMIF(INDIRECT("'"&amp;Assemblies[Assy]&amp;"'!"&amp;"C$5:C1000"), $C14, INDIRECT("'"&amp;Assemblies[Assy]&amp;"'!"&amp;"A$5:A1000")))),"")), " ,", ""))</f>
        <v>,</v>
      </c>
      <c r="X14" s="2" t="s">
        <v>1773</v>
      </c>
      <c r="Y14" s="2" t="s">
        <v>1382</v>
      </c>
      <c r="Z14" s="187" t="s">
        <v>1804</v>
      </c>
      <c r="AA14" s="2" t="s">
        <v>1382</v>
      </c>
    </row>
    <row r="15" spans="1:27" ht="12.75" customHeight="1">
      <c r="A15" s="115" t="s">
        <v>1810</v>
      </c>
      <c r="B15" s="115" t="s">
        <v>54</v>
      </c>
      <c r="C15" s="2" t="str">
        <f t="shared" si="0"/>
        <v>GF12.118.01.A</v>
      </c>
      <c r="D15" s="2" t="s">
        <v>1811</v>
      </c>
      <c r="E15" s="52">
        <f t="shared" si="1"/>
        <v>0</v>
      </c>
      <c r="F15" s="5" t="e" cm="1">
        <f t="array" aca="1" ref="F15" ca="1">SUMPRODUCT(SUMIF(INDIRECT("'"&amp;Assemblies[Assy]&amp;"'!"&amp;"C$5:C1000"),$C15,(INDIRECT("'"&amp;Assemblies[Assy]&amp;"'!"&amp;"O$5:O1000"))))</f>
        <v>#VALUE!</v>
      </c>
      <c r="G15" s="5">
        <v>0</v>
      </c>
      <c r="H15" s="5">
        <v>2</v>
      </c>
      <c r="I15" s="2" t="s">
        <v>1791</v>
      </c>
      <c r="J15" s="2" t="s">
        <v>1769</v>
      </c>
      <c r="K15" s="2" t="s">
        <v>1770</v>
      </c>
      <c r="L15" s="2" t="s">
        <v>1812</v>
      </c>
      <c r="M15" s="2"/>
      <c r="N15" s="8" t="s">
        <v>1762</v>
      </c>
      <c r="O15" s="8" t="s">
        <v>1762</v>
      </c>
      <c r="P15" s="8" t="s">
        <v>1762</v>
      </c>
      <c r="Q15" s="8" t="s">
        <v>1762</v>
      </c>
      <c r="R15" s="201" t="s">
        <v>1762</v>
      </c>
      <c r="S15" s="173">
        <v>0</v>
      </c>
      <c r="T15" s="52">
        <v>0</v>
      </c>
      <c r="U15" s="52">
        <v>0</v>
      </c>
      <c r="V15" s="52">
        <v>0</v>
      </c>
      <c r="W15" s="2" t="str" cm="1">
        <f t="array" aca="1" ref="W15" ca="1">TRIM(SUBSTITUTE(_xlfn.ARRAYTOTEXT(IFERROR(CONCATENATE(SUMIF(INDIRECT("'"&amp;Assemblies[Assy]&amp;"'!"&amp;"C$5:C1000"), $C15, INDIRECT("'"&amp;Assemblies[Assy]&amp;"'!"&amp;"O$5:O1000")), "x",Assemblies[Assy],".",IF(SUMIF(INDIRECT("'"&amp;Assemblies[Assy]&amp;"'!"&amp;"C$5:C1000"), $C15, INDIRECT("'"&amp;Assemblies[Assy]&amp;"'!"&amp;"A$5:A1000"))=0,NA(),SUMIF(INDIRECT("'"&amp;Assemblies[Assy]&amp;"'!"&amp;"C$5:C1000"), $C15, INDIRECT("'"&amp;Assemblies[Assy]&amp;"'!"&amp;"A$5:A1000")))),"")), " ,", ""))</f>
        <v>,</v>
      </c>
      <c r="Y15" s="2"/>
      <c r="AA15" s="2" t="s">
        <v>1382</v>
      </c>
    </row>
    <row r="16" spans="1:27" ht="12.75" customHeight="1">
      <c r="A16" s="115" t="s">
        <v>1813</v>
      </c>
      <c r="B16" s="115" t="s">
        <v>56</v>
      </c>
      <c r="C16" s="2" t="str">
        <f t="shared" si="0"/>
        <v>GF12.120.01.B</v>
      </c>
      <c r="D16" s="2" t="s">
        <v>1814</v>
      </c>
      <c r="E16" s="52">
        <f t="shared" si="1"/>
        <v>154.9734</v>
      </c>
      <c r="F16" s="5" t="e" cm="1">
        <f t="array" aca="1" ref="F16" ca="1">SUMPRODUCT(SUMIF(INDIRECT("'"&amp;Assemblies[Assy]&amp;"'!"&amp;"C$5:C1000"),$C16,(INDIRECT("'"&amp;Assemblies[Assy]&amp;"'!"&amp;"O$5:O1000"))))</f>
        <v>#VALUE!</v>
      </c>
      <c r="G16" s="5">
        <v>2</v>
      </c>
      <c r="H16" s="5">
        <v>2</v>
      </c>
      <c r="I16" s="2" t="s">
        <v>1815</v>
      </c>
      <c r="J16" s="2" t="s">
        <v>1761</v>
      </c>
      <c r="K16" s="2" t="s">
        <v>1762</v>
      </c>
      <c r="L16" s="2" t="s">
        <v>1816</v>
      </c>
      <c r="M16" s="2" t="s">
        <v>1817</v>
      </c>
      <c r="N16" s="8">
        <v>45195</v>
      </c>
      <c r="O16" s="8">
        <v>45195</v>
      </c>
      <c r="P16" s="8">
        <v>45219</v>
      </c>
      <c r="Q16" s="162">
        <v>45219</v>
      </c>
      <c r="R16" s="224">
        <v>55158</v>
      </c>
      <c r="S16" s="153">
        <v>104.9734</v>
      </c>
      <c r="T16" s="52">
        <v>0</v>
      </c>
      <c r="U16" s="52">
        <v>50</v>
      </c>
      <c r="V16" s="52">
        <v>0</v>
      </c>
      <c r="W16" s="2" t="str" cm="1">
        <f t="array" aca="1" ref="W16" ca="1">TRIM(SUBSTITUTE(_xlfn.ARRAYTOTEXT(IFERROR(CONCATENATE(SUMIF(INDIRECT("'"&amp;Assemblies[Assy]&amp;"'!"&amp;"C$5:C1000"), $C16, INDIRECT("'"&amp;Assemblies[Assy]&amp;"'!"&amp;"O$5:O1000")), "x",Assemblies[Assy],".",IF(SUMIF(INDIRECT("'"&amp;Assemblies[Assy]&amp;"'!"&amp;"C$5:C1000"), $C16, INDIRECT("'"&amp;Assemblies[Assy]&amp;"'!"&amp;"A$5:A1000"))=0,NA(),SUMIF(INDIRECT("'"&amp;Assemblies[Assy]&amp;"'!"&amp;"C$5:C1000"), $C16, INDIRECT("'"&amp;Assemblies[Assy]&amp;"'!"&amp;"A$5:A1000")))),"")), " ,", ""))</f>
        <v>,</v>
      </c>
      <c r="X16" s="2" t="s">
        <v>1773</v>
      </c>
      <c r="Y16" s="2" t="s">
        <v>1382</v>
      </c>
      <c r="Z16" s="2" t="s">
        <v>1382</v>
      </c>
      <c r="AA16" s="2" t="s">
        <v>1382</v>
      </c>
    </row>
    <row r="17" spans="1:27" ht="12.75" customHeight="1">
      <c r="A17" s="115" t="s">
        <v>1818</v>
      </c>
      <c r="B17" s="115" t="s">
        <v>58</v>
      </c>
      <c r="C17" s="2" t="str">
        <f t="shared" si="0"/>
        <v>GF12.120.02.C</v>
      </c>
      <c r="D17" s="2" t="s">
        <v>1819</v>
      </c>
      <c r="E17" s="52">
        <f t="shared" si="1"/>
        <v>110.15440000000001</v>
      </c>
      <c r="F17" s="5" t="e" cm="1">
        <f t="array" aca="1" ref="F17" ca="1">SUMPRODUCT(SUMIF(INDIRECT("'"&amp;Assemblies[Assy]&amp;"'!"&amp;"C$5:C1000"),$C17,(INDIRECT("'"&amp;Assemblies[Assy]&amp;"'!"&amp;"O$5:O1000"))))</f>
        <v>#VALUE!</v>
      </c>
      <c r="G17" s="5">
        <v>1</v>
      </c>
      <c r="H17" s="5">
        <v>1</v>
      </c>
      <c r="I17" s="2" t="s">
        <v>1815</v>
      </c>
      <c r="J17" s="2" t="s">
        <v>1761</v>
      </c>
      <c r="K17" s="2" t="s">
        <v>1762</v>
      </c>
      <c r="L17" s="2" t="s">
        <v>1816</v>
      </c>
      <c r="M17" s="2" t="s">
        <v>1817</v>
      </c>
      <c r="N17" s="8">
        <v>45195</v>
      </c>
      <c r="O17" s="8">
        <v>45195</v>
      </c>
      <c r="P17" s="8">
        <v>45219</v>
      </c>
      <c r="Q17" s="162">
        <v>45219</v>
      </c>
      <c r="R17" s="224">
        <v>55158</v>
      </c>
      <c r="S17" s="153">
        <v>60.154400000000003</v>
      </c>
      <c r="T17" s="52">
        <v>0</v>
      </c>
      <c r="U17" s="52">
        <v>50</v>
      </c>
      <c r="V17" s="52">
        <v>0</v>
      </c>
      <c r="W17" s="2" t="str" cm="1">
        <f t="array" aca="1" ref="W17" ca="1">TRIM(SUBSTITUTE(_xlfn.ARRAYTOTEXT(IFERROR(CONCATENATE(SUMIF(INDIRECT("'"&amp;Assemblies[Assy]&amp;"'!"&amp;"C$5:C1000"), $C17, INDIRECT("'"&amp;Assemblies[Assy]&amp;"'!"&amp;"O$5:O1000")), "x",Assemblies[Assy],".",IF(SUMIF(INDIRECT("'"&amp;Assemblies[Assy]&amp;"'!"&amp;"C$5:C1000"), $C17, INDIRECT("'"&amp;Assemblies[Assy]&amp;"'!"&amp;"A$5:A1000"))=0,NA(),SUMIF(INDIRECT("'"&amp;Assemblies[Assy]&amp;"'!"&amp;"C$5:C1000"), $C17, INDIRECT("'"&amp;Assemblies[Assy]&amp;"'!"&amp;"A$5:A1000")))),"")), " ,", ""))</f>
        <v>,</v>
      </c>
      <c r="X17" s="2" t="s">
        <v>1773</v>
      </c>
      <c r="Y17" s="2" t="s">
        <v>1382</v>
      </c>
      <c r="Z17" s="2" t="s">
        <v>1382</v>
      </c>
      <c r="AA17" s="2" t="s">
        <v>1382</v>
      </c>
    </row>
    <row r="18" spans="1:27" ht="12.75" customHeight="1">
      <c r="A18" s="115" t="s">
        <v>1820</v>
      </c>
      <c r="B18" s="115" t="s">
        <v>56</v>
      </c>
      <c r="C18" s="2" t="str">
        <f t="shared" si="0"/>
        <v>GF12.120.03.B</v>
      </c>
      <c r="D18" s="2" t="s">
        <v>1821</v>
      </c>
      <c r="E18" s="52">
        <f t="shared" si="1"/>
        <v>210.28870000000001</v>
      </c>
      <c r="F18" s="5" t="e" cm="1">
        <f t="array" aca="1" ref="F18" ca="1">SUMPRODUCT(SUMIF(INDIRECT("'"&amp;Assemblies[Assy]&amp;"'!"&amp;"C$5:C1000"),$C18,(INDIRECT("'"&amp;Assemblies[Assy]&amp;"'!"&amp;"O$5:O1000"))))</f>
        <v>#VALUE!</v>
      </c>
      <c r="G18" s="5">
        <v>1</v>
      </c>
      <c r="H18" s="5">
        <v>1</v>
      </c>
      <c r="I18" s="2" t="s">
        <v>1815</v>
      </c>
      <c r="J18" s="2" t="s">
        <v>1761</v>
      </c>
      <c r="K18" s="2" t="s">
        <v>1762</v>
      </c>
      <c r="L18" s="2" t="s">
        <v>1816</v>
      </c>
      <c r="M18" s="2" t="s">
        <v>1817</v>
      </c>
      <c r="N18" s="8">
        <v>45195</v>
      </c>
      <c r="O18" s="8">
        <v>45195</v>
      </c>
      <c r="P18" s="8">
        <v>45219</v>
      </c>
      <c r="Q18" s="162">
        <v>45219</v>
      </c>
      <c r="R18" s="224">
        <v>55158</v>
      </c>
      <c r="S18" s="153">
        <v>160.28870000000001</v>
      </c>
      <c r="T18" s="52">
        <v>0</v>
      </c>
      <c r="U18" s="52">
        <v>50</v>
      </c>
      <c r="V18" s="52">
        <v>0</v>
      </c>
      <c r="W18" s="2" t="str" cm="1">
        <f t="array" aca="1" ref="W18" ca="1">TRIM(SUBSTITUTE(_xlfn.ARRAYTOTEXT(IFERROR(CONCATENATE(SUMIF(INDIRECT("'"&amp;Assemblies[Assy]&amp;"'!"&amp;"C$5:C1000"), $C18, INDIRECT("'"&amp;Assemblies[Assy]&amp;"'!"&amp;"O$5:O1000")), "x",Assemblies[Assy],".",IF(SUMIF(INDIRECT("'"&amp;Assemblies[Assy]&amp;"'!"&amp;"C$5:C1000"), $C18, INDIRECT("'"&amp;Assemblies[Assy]&amp;"'!"&amp;"A$5:A1000"))=0,NA(),SUMIF(INDIRECT("'"&amp;Assemblies[Assy]&amp;"'!"&amp;"C$5:C1000"), $C18, INDIRECT("'"&amp;Assemblies[Assy]&amp;"'!"&amp;"A$5:A1000")))),"")), " ,", ""))</f>
        <v>,</v>
      </c>
      <c r="X18" s="2" t="s">
        <v>1773</v>
      </c>
      <c r="Y18" s="2" t="s">
        <v>1382</v>
      </c>
      <c r="Z18" s="2" t="s">
        <v>1382</v>
      </c>
      <c r="AA18" s="2" t="s">
        <v>1382</v>
      </c>
    </row>
    <row r="19" spans="1:27" ht="12.75" customHeight="1">
      <c r="A19" s="115" t="s">
        <v>1822</v>
      </c>
      <c r="B19" s="115" t="s">
        <v>54</v>
      </c>
      <c r="C19" s="2" t="str">
        <f t="shared" si="0"/>
        <v>GF12.120.04.A</v>
      </c>
      <c r="D19" s="117" t="s">
        <v>1823</v>
      </c>
      <c r="E19" s="52">
        <f t="shared" si="1"/>
        <v>118.57</v>
      </c>
      <c r="F19" s="5" t="e" cm="1">
        <f t="array" aca="1" ref="F19" ca="1">SUMPRODUCT(SUMIF(INDIRECT("'"&amp;Assemblies[Assy]&amp;"'!"&amp;"C$5:C1000"),$C19,(INDIRECT("'"&amp;Assemblies[Assy]&amp;"'!"&amp;"O$5:O1000"))))</f>
        <v>#VALUE!</v>
      </c>
      <c r="G19" s="5">
        <v>1</v>
      </c>
      <c r="I19" s="2" t="s">
        <v>1824</v>
      </c>
      <c r="J19" s="2" t="s">
        <v>1761</v>
      </c>
      <c r="K19" s="2" t="s">
        <v>1762</v>
      </c>
      <c r="L19" s="2" t="s">
        <v>1816</v>
      </c>
      <c r="M19" s="2" t="s">
        <v>1825</v>
      </c>
      <c r="N19" s="8">
        <v>45159</v>
      </c>
      <c r="O19" s="8">
        <v>45189</v>
      </c>
      <c r="P19" s="8">
        <v>45212</v>
      </c>
      <c r="Q19" s="162">
        <v>45228</v>
      </c>
      <c r="R19" s="224">
        <v>55160</v>
      </c>
      <c r="S19" s="153">
        <v>118.57</v>
      </c>
      <c r="T19" s="52">
        <v>0</v>
      </c>
      <c r="U19" s="52">
        <v>0</v>
      </c>
      <c r="V19" s="52">
        <v>0</v>
      </c>
      <c r="W19" s="2" t="str" cm="1">
        <f t="array" aca="1" ref="W19" ca="1">TRIM(SUBSTITUTE(_xlfn.ARRAYTOTEXT(IFERROR(CONCATENATE(SUMIF(INDIRECT("'"&amp;Assemblies[Assy]&amp;"'!"&amp;"C$5:C1000"), $C19, INDIRECT("'"&amp;Assemblies[Assy]&amp;"'!"&amp;"O$5:O1000")), "x",Assemblies[Assy],".",IF(SUMIF(INDIRECT("'"&amp;Assemblies[Assy]&amp;"'!"&amp;"C$5:C1000"), $C19, INDIRECT("'"&amp;Assemblies[Assy]&amp;"'!"&amp;"A$5:A1000"))=0,NA(),SUMIF(INDIRECT("'"&amp;Assemblies[Assy]&amp;"'!"&amp;"C$5:C1000"), $C19, INDIRECT("'"&amp;Assemblies[Assy]&amp;"'!"&amp;"A$5:A1000")))),"")), " ,", ""))</f>
        <v>,</v>
      </c>
      <c r="X19" s="2" t="s">
        <v>1773</v>
      </c>
      <c r="Y19" s="2" t="s">
        <v>1382</v>
      </c>
      <c r="Z19" s="2" t="s">
        <v>1382</v>
      </c>
      <c r="AA19" s="2" t="s">
        <v>1382</v>
      </c>
    </row>
    <row r="20" spans="1:27" ht="12.75" customHeight="1">
      <c r="A20" s="115" t="s">
        <v>1826</v>
      </c>
      <c r="B20" s="115" t="s">
        <v>54</v>
      </c>
      <c r="C20" s="2" t="str">
        <f t="shared" si="0"/>
        <v>GF12.120.05.A</v>
      </c>
      <c r="D20" s="2" t="s">
        <v>1827</v>
      </c>
      <c r="E20" s="52">
        <f t="shared" si="1"/>
        <v>56.988399999999999</v>
      </c>
      <c r="F20" s="5" t="e" cm="1">
        <f t="array" aca="1" ref="F20" ca="1">SUMPRODUCT(SUMIF(INDIRECT("'"&amp;Assemblies[Assy]&amp;"'!"&amp;"C$5:C1000"),$C20,(INDIRECT("'"&amp;Assemblies[Assy]&amp;"'!"&amp;"O$5:O1000"))))</f>
        <v>#VALUE!</v>
      </c>
      <c r="G20" s="5">
        <v>2</v>
      </c>
      <c r="H20" s="5">
        <v>2</v>
      </c>
      <c r="I20" s="2" t="s">
        <v>1815</v>
      </c>
      <c r="J20" s="2" t="s">
        <v>1761</v>
      </c>
      <c r="K20" s="2" t="s">
        <v>1762</v>
      </c>
      <c r="L20" s="2" t="s">
        <v>1816</v>
      </c>
      <c r="M20" s="2" t="s">
        <v>1817</v>
      </c>
      <c r="N20" s="8">
        <v>45195</v>
      </c>
      <c r="O20" s="8">
        <v>45195</v>
      </c>
      <c r="P20" s="8">
        <v>45219</v>
      </c>
      <c r="Q20" s="162">
        <v>45219</v>
      </c>
      <c r="R20" s="224">
        <v>55158</v>
      </c>
      <c r="S20" s="153">
        <v>56.988399999999999</v>
      </c>
      <c r="T20" s="52">
        <v>0</v>
      </c>
      <c r="U20" s="52">
        <v>0</v>
      </c>
      <c r="V20" s="52">
        <v>0</v>
      </c>
      <c r="W20" s="2" t="str" cm="1">
        <f t="array" aca="1" ref="W20" ca="1">TRIM(SUBSTITUTE(_xlfn.ARRAYTOTEXT(IFERROR(CONCATENATE(SUMIF(INDIRECT("'"&amp;Assemblies[Assy]&amp;"'!"&amp;"C$5:C1000"), $C20, INDIRECT("'"&amp;Assemblies[Assy]&amp;"'!"&amp;"O$5:O1000")), "x",Assemblies[Assy],".",IF(SUMIF(INDIRECT("'"&amp;Assemblies[Assy]&amp;"'!"&amp;"C$5:C1000"), $C20, INDIRECT("'"&amp;Assemblies[Assy]&amp;"'!"&amp;"A$5:A1000"))=0,NA(),SUMIF(INDIRECT("'"&amp;Assemblies[Assy]&amp;"'!"&amp;"C$5:C1000"), $C20, INDIRECT("'"&amp;Assemblies[Assy]&amp;"'!"&amp;"A$5:A1000")))),"")), " ,", ""))</f>
        <v>,</v>
      </c>
      <c r="Y20" s="2"/>
      <c r="AA20" s="2" t="s">
        <v>1382</v>
      </c>
    </row>
    <row r="21" spans="1:27" ht="12.75" customHeight="1">
      <c r="A21" s="115" t="s">
        <v>1828</v>
      </c>
      <c r="B21" s="115" t="s">
        <v>54</v>
      </c>
      <c r="C21" s="2" t="str">
        <f t="shared" si="0"/>
        <v>GF12.120.06.A</v>
      </c>
      <c r="D21" s="2" t="s">
        <v>1829</v>
      </c>
      <c r="E21" s="52">
        <f t="shared" si="1"/>
        <v>44.324300000000001</v>
      </c>
      <c r="F21" s="5" t="e" cm="1">
        <f t="array" aca="1" ref="F21" ca="1">SUMPRODUCT(SUMIF(INDIRECT("'"&amp;Assemblies[Assy]&amp;"'!"&amp;"C$5:C1000"),$C21,(INDIRECT("'"&amp;Assemblies[Assy]&amp;"'!"&amp;"O$5:O1000"))))</f>
        <v>#VALUE!</v>
      </c>
      <c r="G21" s="5">
        <v>1</v>
      </c>
      <c r="H21" s="5">
        <v>1</v>
      </c>
      <c r="I21" s="2" t="s">
        <v>1815</v>
      </c>
      <c r="J21" s="2" t="s">
        <v>1761</v>
      </c>
      <c r="K21" s="2" t="s">
        <v>1762</v>
      </c>
      <c r="L21" s="2" t="s">
        <v>1816</v>
      </c>
      <c r="M21" s="2" t="s">
        <v>1817</v>
      </c>
      <c r="N21" s="8">
        <v>45195</v>
      </c>
      <c r="O21" s="8">
        <v>45195</v>
      </c>
      <c r="P21" s="8">
        <v>45219</v>
      </c>
      <c r="Q21" s="162">
        <v>45219</v>
      </c>
      <c r="R21" s="224">
        <v>55158</v>
      </c>
      <c r="S21" s="153">
        <v>44.324300000000001</v>
      </c>
      <c r="T21" s="52">
        <v>0</v>
      </c>
      <c r="U21" s="52">
        <v>0</v>
      </c>
      <c r="V21" s="52">
        <v>0</v>
      </c>
      <c r="W21" s="2" t="str" cm="1">
        <f t="array" aca="1" ref="W21" ca="1">TRIM(SUBSTITUTE(_xlfn.ARRAYTOTEXT(IFERROR(CONCATENATE(SUMIF(INDIRECT("'"&amp;Assemblies[Assy]&amp;"'!"&amp;"C$5:C1000"), $C21, INDIRECT("'"&amp;Assemblies[Assy]&amp;"'!"&amp;"O$5:O1000")), "x",Assemblies[Assy],".",IF(SUMIF(INDIRECT("'"&amp;Assemblies[Assy]&amp;"'!"&amp;"C$5:C1000"), $C21, INDIRECT("'"&amp;Assemblies[Assy]&amp;"'!"&amp;"A$5:A1000"))=0,NA(),SUMIF(INDIRECT("'"&amp;Assemblies[Assy]&amp;"'!"&amp;"C$5:C1000"), $C21, INDIRECT("'"&amp;Assemblies[Assy]&amp;"'!"&amp;"A$5:A1000")))),"")), " ,", ""))</f>
        <v>,</v>
      </c>
      <c r="Y21" s="2"/>
      <c r="AA21" s="2" t="s">
        <v>1382</v>
      </c>
    </row>
    <row r="22" spans="1:27" ht="12.75" customHeight="1">
      <c r="A22" s="115" t="s">
        <v>1830</v>
      </c>
      <c r="B22" s="115" t="s">
        <v>54</v>
      </c>
      <c r="C22" s="2" t="str">
        <f t="shared" si="0"/>
        <v>GF12.121.01.A</v>
      </c>
      <c r="D22" s="2" t="s">
        <v>1831</v>
      </c>
      <c r="E22" s="52">
        <f t="shared" si="1"/>
        <v>50</v>
      </c>
      <c r="F22" s="5" t="e" cm="1">
        <f t="array" aca="1" ref="F22" ca="1">SUMPRODUCT(SUMIF(INDIRECT("'"&amp;Assemblies[Assy]&amp;"'!"&amp;"C$5:C1000"),$C22,(INDIRECT("'"&amp;Assemblies[Assy]&amp;"'!"&amp;"O$5:O1000"))))</f>
        <v>#VALUE!</v>
      </c>
      <c r="G22" s="5">
        <v>14</v>
      </c>
      <c r="H22" s="5">
        <v>14</v>
      </c>
      <c r="I22" s="2" t="s">
        <v>1791</v>
      </c>
      <c r="J22" s="2" t="s">
        <v>1769</v>
      </c>
      <c r="K22" s="2" t="s">
        <v>1770</v>
      </c>
      <c r="L22" s="2" t="s">
        <v>1778</v>
      </c>
      <c r="M22" s="2" t="s">
        <v>1779</v>
      </c>
      <c r="N22" s="8">
        <v>45142</v>
      </c>
      <c r="O22" s="8">
        <v>45146</v>
      </c>
      <c r="P22" s="8">
        <v>45176</v>
      </c>
      <c r="Q22" s="128">
        <v>45176</v>
      </c>
      <c r="R22" s="201">
        <v>55032</v>
      </c>
      <c r="S22" s="173">
        <v>50</v>
      </c>
      <c r="T22" s="52">
        <v>0</v>
      </c>
      <c r="U22" s="52">
        <v>0</v>
      </c>
      <c r="V22" s="52">
        <v>0</v>
      </c>
      <c r="W22" s="2" t="str" cm="1">
        <f t="array" aca="1" ref="W22" ca="1">TRIM(SUBSTITUTE(_xlfn.ARRAYTOTEXT(IFERROR(CONCATENATE(SUMIF(INDIRECT("'"&amp;Assemblies[Assy]&amp;"'!"&amp;"C$5:C1000"), $C22, INDIRECT("'"&amp;Assemblies[Assy]&amp;"'!"&amp;"O$5:O1000")), "x",Assemblies[Assy],".",IF(SUMIF(INDIRECT("'"&amp;Assemblies[Assy]&amp;"'!"&amp;"C$5:C1000"), $C22, INDIRECT("'"&amp;Assemblies[Assy]&amp;"'!"&amp;"A$5:A1000"))=0,NA(),SUMIF(INDIRECT("'"&amp;Assemblies[Assy]&amp;"'!"&amp;"C$5:C1000"), $C22, INDIRECT("'"&amp;Assemblies[Assy]&amp;"'!"&amp;"A$5:A1000")))),"")), " ,", ""))</f>
        <v>,</v>
      </c>
      <c r="X22" s="2" t="s">
        <v>1773</v>
      </c>
      <c r="Y22" s="2" t="s">
        <v>1382</v>
      </c>
      <c r="Z22" s="2" t="s">
        <v>1382</v>
      </c>
      <c r="AA22" s="2" t="s">
        <v>1382</v>
      </c>
    </row>
    <row r="23" spans="1:27" ht="12.75" customHeight="1">
      <c r="A23" s="115" t="s">
        <v>1832</v>
      </c>
      <c r="B23" s="115" t="s">
        <v>54</v>
      </c>
      <c r="C23" s="2" t="str">
        <f t="shared" si="0"/>
        <v>GF12.122.01.A</v>
      </c>
      <c r="D23" s="2" t="s">
        <v>1833</v>
      </c>
      <c r="E23" s="52">
        <f t="shared" si="1"/>
        <v>65</v>
      </c>
      <c r="F23" s="5" t="e" cm="1">
        <f t="array" aca="1" ref="F23" ca="1">SUMPRODUCT(SUMIF(INDIRECT("'"&amp;Assemblies[Assy]&amp;"'!"&amp;"C$5:C1000"),$C23,(INDIRECT("'"&amp;Assemblies[Assy]&amp;"'!"&amp;"O$5:O1000"))))</f>
        <v>#VALUE!</v>
      </c>
      <c r="G23" s="5">
        <v>6</v>
      </c>
      <c r="H23" s="5">
        <v>6</v>
      </c>
      <c r="I23" s="2" t="s">
        <v>1791</v>
      </c>
      <c r="J23" s="2" t="s">
        <v>1769</v>
      </c>
      <c r="K23" s="2" t="s">
        <v>1770</v>
      </c>
      <c r="L23" s="2" t="s">
        <v>1778</v>
      </c>
      <c r="M23" s="2" t="s">
        <v>1779</v>
      </c>
      <c r="N23" s="8">
        <v>45142</v>
      </c>
      <c r="O23" s="8">
        <v>45146</v>
      </c>
      <c r="P23" s="8">
        <v>45176</v>
      </c>
      <c r="Q23" s="128">
        <v>45176</v>
      </c>
      <c r="R23" s="201">
        <v>55032</v>
      </c>
      <c r="S23" s="173">
        <v>65</v>
      </c>
      <c r="T23" s="52">
        <v>0</v>
      </c>
      <c r="U23" s="52">
        <v>0</v>
      </c>
      <c r="V23" s="52">
        <v>0</v>
      </c>
      <c r="W23" s="2" t="str" cm="1">
        <f t="array" aca="1" ref="W23" ca="1">TRIM(SUBSTITUTE(_xlfn.ARRAYTOTEXT(IFERROR(CONCATENATE(SUMIF(INDIRECT("'"&amp;Assemblies[Assy]&amp;"'!"&amp;"C$5:C1000"), $C23, INDIRECT("'"&amp;Assemblies[Assy]&amp;"'!"&amp;"O$5:O1000")), "x",Assemblies[Assy],".",IF(SUMIF(INDIRECT("'"&amp;Assemblies[Assy]&amp;"'!"&amp;"C$5:C1000"), $C23, INDIRECT("'"&amp;Assemblies[Assy]&amp;"'!"&amp;"A$5:A1000"))=0,NA(),SUMIF(INDIRECT("'"&amp;Assemblies[Assy]&amp;"'!"&amp;"C$5:C1000"), $C23, INDIRECT("'"&amp;Assemblies[Assy]&amp;"'!"&amp;"A$5:A1000")))),"")), " ,", ""))</f>
        <v>,</v>
      </c>
      <c r="X23" s="2" t="s">
        <v>1773</v>
      </c>
      <c r="Y23" s="2" t="s">
        <v>1382</v>
      </c>
      <c r="Z23" s="2" t="s">
        <v>1382</v>
      </c>
      <c r="AA23" s="2" t="s">
        <v>1382</v>
      </c>
    </row>
    <row r="24" spans="1:27" ht="12.75" customHeight="1">
      <c r="A24" s="115" t="s">
        <v>1834</v>
      </c>
      <c r="B24" s="115" t="s">
        <v>54</v>
      </c>
      <c r="C24" s="2" t="str">
        <f t="shared" si="0"/>
        <v>GF12.123.01.A</v>
      </c>
      <c r="D24" s="2" t="s">
        <v>1835</v>
      </c>
      <c r="E24" s="52">
        <f t="shared" si="1"/>
        <v>198</v>
      </c>
      <c r="F24" s="5" t="e" cm="1">
        <f t="array" aca="1" ref="F24" ca="1">SUMPRODUCT(SUMIF(INDIRECT("'"&amp;Assemblies[Assy]&amp;"'!"&amp;"C$5:C1000"),$C24,(INDIRECT("'"&amp;Assemblies[Assy]&amp;"'!"&amp;"O$5:O1000"))))</f>
        <v>#VALUE!</v>
      </c>
      <c r="G24" s="5">
        <v>1</v>
      </c>
      <c r="H24" s="5">
        <v>1</v>
      </c>
      <c r="I24" s="2" t="s">
        <v>1791</v>
      </c>
      <c r="J24" s="2" t="s">
        <v>1769</v>
      </c>
      <c r="K24" s="2" t="s">
        <v>1770</v>
      </c>
      <c r="L24" s="2" t="s">
        <v>1778</v>
      </c>
      <c r="M24" s="2" t="s">
        <v>1779</v>
      </c>
      <c r="N24" s="8">
        <v>45142</v>
      </c>
      <c r="O24" s="8">
        <v>45146</v>
      </c>
      <c r="P24" s="8">
        <v>45176</v>
      </c>
      <c r="Q24" s="128">
        <v>45176</v>
      </c>
      <c r="R24" s="201">
        <v>55032</v>
      </c>
      <c r="S24" s="173">
        <v>198</v>
      </c>
      <c r="T24" s="52">
        <v>0</v>
      </c>
      <c r="U24" s="52">
        <v>0</v>
      </c>
      <c r="V24" s="52">
        <v>0</v>
      </c>
      <c r="W24" s="2" t="str" cm="1">
        <f t="array" aca="1" ref="W24" ca="1">TRIM(SUBSTITUTE(_xlfn.ARRAYTOTEXT(IFERROR(CONCATENATE(SUMIF(INDIRECT("'"&amp;Assemblies[Assy]&amp;"'!"&amp;"C$5:C1000"), $C24, INDIRECT("'"&amp;Assemblies[Assy]&amp;"'!"&amp;"O$5:O1000")), "x",Assemblies[Assy],".",IF(SUMIF(INDIRECT("'"&amp;Assemblies[Assy]&amp;"'!"&amp;"C$5:C1000"), $C24, INDIRECT("'"&amp;Assemblies[Assy]&amp;"'!"&amp;"A$5:A1000"))=0,NA(),SUMIF(INDIRECT("'"&amp;Assemblies[Assy]&amp;"'!"&amp;"C$5:C1000"), $C24, INDIRECT("'"&amp;Assemblies[Assy]&amp;"'!"&amp;"A$5:A1000")))),"")), " ,", ""))</f>
        <v>,</v>
      </c>
      <c r="X24" s="2" t="s">
        <v>1773</v>
      </c>
      <c r="Y24" s="2" t="s">
        <v>1382</v>
      </c>
      <c r="Z24" s="2" t="s">
        <v>1382</v>
      </c>
      <c r="AA24" s="2" t="s">
        <v>1382</v>
      </c>
    </row>
    <row r="25" spans="1:27" ht="12.75">
      <c r="A25" s="115" t="s">
        <v>1836</v>
      </c>
      <c r="B25" s="115" t="s">
        <v>54</v>
      </c>
      <c r="C25" s="161" t="str">
        <f t="shared" si="0"/>
        <v>GF12.124.01.A</v>
      </c>
      <c r="D25" s="161" t="s">
        <v>1837</v>
      </c>
      <c r="E25" s="52">
        <f t="shared" si="1"/>
        <v>88</v>
      </c>
      <c r="F25" s="5" t="e" cm="1">
        <f t="array" aca="1" ref="F25" ca="1">SUMPRODUCT(SUMIF(INDIRECT("'"&amp;Assemblies[Assy]&amp;"'!"&amp;"C$5:C1000"),$C25,(INDIRECT("'"&amp;Assemblies[Assy]&amp;"'!"&amp;"O$5:O1000"))))</f>
        <v>#VALUE!</v>
      </c>
      <c r="G25" s="5">
        <v>28</v>
      </c>
      <c r="H25" s="5">
        <v>28</v>
      </c>
      <c r="I25" s="2" t="s">
        <v>1838</v>
      </c>
      <c r="J25" s="2" t="s">
        <v>1761</v>
      </c>
      <c r="K25" s="2" t="s">
        <v>1770</v>
      </c>
      <c r="L25" s="2" t="s">
        <v>1778</v>
      </c>
      <c r="M25" s="2" t="s">
        <v>1779</v>
      </c>
      <c r="N25" s="8">
        <v>45142</v>
      </c>
      <c r="O25" s="8">
        <v>45146</v>
      </c>
      <c r="P25" s="8">
        <v>45176</v>
      </c>
      <c r="Q25" s="128">
        <v>45176</v>
      </c>
      <c r="R25" s="201">
        <v>55032</v>
      </c>
      <c r="S25" s="173">
        <v>88</v>
      </c>
      <c r="T25" s="52">
        <v>0</v>
      </c>
      <c r="U25" s="52">
        <v>0</v>
      </c>
      <c r="V25" s="52">
        <v>0</v>
      </c>
      <c r="W25" s="2" t="str" cm="1">
        <f t="array" aca="1" ref="W25" ca="1">TRIM(SUBSTITUTE(_xlfn.ARRAYTOTEXT(IFERROR(CONCATENATE(SUMIF(INDIRECT("'"&amp;Assemblies[Assy]&amp;"'!"&amp;"C$5:C1000"), $C25, INDIRECT("'"&amp;Assemblies[Assy]&amp;"'!"&amp;"O$5:O1000")), "x",Assemblies[Assy],".",IF(SUMIF(INDIRECT("'"&amp;Assemblies[Assy]&amp;"'!"&amp;"C$5:C1000"), $C25, INDIRECT("'"&amp;Assemblies[Assy]&amp;"'!"&amp;"A$5:A1000"))=0,NA(),SUMIF(INDIRECT("'"&amp;Assemblies[Assy]&amp;"'!"&amp;"C$5:C1000"), $C25, INDIRECT("'"&amp;Assemblies[Assy]&amp;"'!"&amp;"A$5:A1000")))),"")), " ,", ""))</f>
        <v>,</v>
      </c>
      <c r="X25" s="2" t="s">
        <v>1773</v>
      </c>
      <c r="Y25" s="2" t="s">
        <v>1382</v>
      </c>
      <c r="Z25" s="2" t="s">
        <v>1382</v>
      </c>
      <c r="AA25" s="2" t="s">
        <v>1382</v>
      </c>
    </row>
    <row r="26" spans="1:27" ht="12.75">
      <c r="A26" s="115" t="s">
        <v>1839</v>
      </c>
      <c r="B26" s="115" t="s">
        <v>54</v>
      </c>
      <c r="C26" s="2" t="str">
        <f t="shared" si="0"/>
        <v>GF12.124.02.A</v>
      </c>
      <c r="D26" s="2" t="s">
        <v>1840</v>
      </c>
      <c r="E26" s="228">
        <f t="shared" si="1"/>
        <v>54.973300000000002</v>
      </c>
      <c r="F26" s="5" t="e" cm="1">
        <f t="array" aca="1" ref="F26" ca="1">SUMPRODUCT(SUMIF(INDIRECT("'"&amp;Assemblies[Assy]&amp;"'!"&amp;"C$5:C1000"),$C26,(INDIRECT("'"&amp;Assemblies[Assy]&amp;"'!"&amp;"O$5:O1000"))))</f>
        <v>#VALUE!</v>
      </c>
      <c r="G26" s="5">
        <v>1</v>
      </c>
      <c r="H26" s="5">
        <v>1</v>
      </c>
      <c r="I26" s="2" t="s">
        <v>1824</v>
      </c>
      <c r="J26" s="2" t="s">
        <v>1761</v>
      </c>
      <c r="K26" s="2" t="s">
        <v>1762</v>
      </c>
      <c r="L26" s="2" t="s">
        <v>1816</v>
      </c>
      <c r="M26" s="2" t="s">
        <v>1841</v>
      </c>
      <c r="N26" s="8">
        <v>45159</v>
      </c>
      <c r="O26" s="8" t="s">
        <v>1842</v>
      </c>
      <c r="P26" s="8">
        <v>45212</v>
      </c>
      <c r="Q26" s="8">
        <v>45212</v>
      </c>
      <c r="R26" s="201">
        <v>55157</v>
      </c>
      <c r="S26" s="153">
        <v>54.973300000000002</v>
      </c>
      <c r="T26" s="52">
        <v>0</v>
      </c>
      <c r="U26" s="52">
        <v>0</v>
      </c>
      <c r="V26" s="52">
        <v>0</v>
      </c>
      <c r="W26" s="2" t="str" cm="1">
        <f t="array" aca="1" ref="W26" ca="1">TRIM(SUBSTITUTE(_xlfn.ARRAYTOTEXT(IFERROR(CONCATENATE(SUMIF(INDIRECT("'"&amp;Assemblies[Assy]&amp;"'!"&amp;"C$5:C1000"), $C26, INDIRECT("'"&amp;Assemblies[Assy]&amp;"'!"&amp;"O$5:O1000")), "x",Assemblies[Assy],".",IF(SUMIF(INDIRECT("'"&amp;Assemblies[Assy]&amp;"'!"&amp;"C$5:C1000"), $C26, INDIRECT("'"&amp;Assemblies[Assy]&amp;"'!"&amp;"A$5:A1000"))=0,NA(),SUMIF(INDIRECT("'"&amp;Assemblies[Assy]&amp;"'!"&amp;"C$5:C1000"), $C26, INDIRECT("'"&amp;Assemblies[Assy]&amp;"'!"&amp;"A$5:A1000")))),"")), " ,", ""))</f>
        <v>,</v>
      </c>
      <c r="X26" s="2" t="s">
        <v>1773</v>
      </c>
      <c r="Y26" s="2" t="s">
        <v>1382</v>
      </c>
      <c r="Z26" s="2" t="s">
        <v>1382</v>
      </c>
      <c r="AA26" s="2" t="s">
        <v>1382</v>
      </c>
    </row>
    <row r="27" spans="1:27" ht="12.75">
      <c r="A27" s="115" t="s">
        <v>1843</v>
      </c>
      <c r="B27" s="115" t="s">
        <v>54</v>
      </c>
      <c r="C27" s="2" t="str">
        <f t="shared" si="0"/>
        <v>GF12.124.03.A</v>
      </c>
      <c r="D27" s="2" t="s">
        <v>1844</v>
      </c>
      <c r="E27" s="228">
        <f t="shared" si="1"/>
        <v>54.973300000000002</v>
      </c>
      <c r="F27" s="5" t="e" cm="1">
        <f t="array" aca="1" ref="F27" ca="1">SUMPRODUCT(SUMIF(INDIRECT("'"&amp;Assemblies[Assy]&amp;"'!"&amp;"C$5:C1000"),$C27,(INDIRECT("'"&amp;Assemblies[Assy]&amp;"'!"&amp;"O$5:O1000"))))</f>
        <v>#VALUE!</v>
      </c>
      <c r="G27" s="5">
        <v>1</v>
      </c>
      <c r="H27" s="5">
        <v>1</v>
      </c>
      <c r="I27" s="2" t="s">
        <v>1824</v>
      </c>
      <c r="J27" s="2" t="s">
        <v>1761</v>
      </c>
      <c r="K27" s="2" t="s">
        <v>1762</v>
      </c>
      <c r="L27" s="2" t="s">
        <v>1816</v>
      </c>
      <c r="M27" s="2" t="s">
        <v>1841</v>
      </c>
      <c r="N27" s="8">
        <v>45159</v>
      </c>
      <c r="O27" s="8" t="s">
        <v>1842</v>
      </c>
      <c r="P27" s="8">
        <v>45212</v>
      </c>
      <c r="Q27" s="8">
        <v>45212</v>
      </c>
      <c r="R27" s="201">
        <v>55157</v>
      </c>
      <c r="S27" s="153">
        <v>54.973300000000002</v>
      </c>
      <c r="T27" s="52">
        <v>0</v>
      </c>
      <c r="U27" s="52">
        <v>0</v>
      </c>
      <c r="V27" s="52">
        <v>0</v>
      </c>
      <c r="W27" s="2" t="str" cm="1">
        <f t="array" aca="1" ref="W27" ca="1">TRIM(SUBSTITUTE(_xlfn.ARRAYTOTEXT(IFERROR(CONCATENATE(SUMIF(INDIRECT("'"&amp;Assemblies[Assy]&amp;"'!"&amp;"C$5:C1000"), $C27, INDIRECT("'"&amp;Assemblies[Assy]&amp;"'!"&amp;"O$5:O1000")), "x",Assemblies[Assy],".",IF(SUMIF(INDIRECT("'"&amp;Assemblies[Assy]&amp;"'!"&amp;"C$5:C1000"), $C27, INDIRECT("'"&amp;Assemblies[Assy]&amp;"'!"&amp;"A$5:A1000"))=0,NA(),SUMIF(INDIRECT("'"&amp;Assemblies[Assy]&amp;"'!"&amp;"C$5:C1000"), $C27, INDIRECT("'"&amp;Assemblies[Assy]&amp;"'!"&amp;"A$5:A1000")))),"")), " ,", ""))</f>
        <v>,</v>
      </c>
      <c r="X27" s="2" t="s">
        <v>1773</v>
      </c>
      <c r="Y27" s="2" t="s">
        <v>1382</v>
      </c>
      <c r="Z27" s="2" t="s">
        <v>1382</v>
      </c>
      <c r="AA27" s="2" t="s">
        <v>1382</v>
      </c>
    </row>
    <row r="28" spans="1:27" ht="12.75">
      <c r="A28" s="115" t="s">
        <v>1845</v>
      </c>
      <c r="B28" s="115" t="s">
        <v>54</v>
      </c>
      <c r="C28" s="2" t="str">
        <f t="shared" si="0"/>
        <v>GF12.124.04.A</v>
      </c>
      <c r="D28" s="2" t="s">
        <v>1846</v>
      </c>
      <c r="E28" s="228">
        <f t="shared" si="1"/>
        <v>54.973300000000002</v>
      </c>
      <c r="F28" s="5" t="e" cm="1">
        <f t="array" aca="1" ref="F28" ca="1">SUMPRODUCT(SUMIF(INDIRECT("'"&amp;Assemblies[Assy]&amp;"'!"&amp;"C$5:C1000"),$C28,(INDIRECT("'"&amp;Assemblies[Assy]&amp;"'!"&amp;"O$5:O1000"))))</f>
        <v>#VALUE!</v>
      </c>
      <c r="G28" s="5">
        <v>1</v>
      </c>
      <c r="H28" s="5">
        <v>1</v>
      </c>
      <c r="I28" s="2" t="s">
        <v>1824</v>
      </c>
      <c r="J28" s="2" t="s">
        <v>1761</v>
      </c>
      <c r="K28" s="2" t="s">
        <v>1762</v>
      </c>
      <c r="L28" s="2" t="s">
        <v>1816</v>
      </c>
      <c r="M28" s="2" t="s">
        <v>1841</v>
      </c>
      <c r="N28" s="8">
        <v>45159</v>
      </c>
      <c r="O28" s="8" t="s">
        <v>1842</v>
      </c>
      <c r="P28" s="8">
        <v>45212</v>
      </c>
      <c r="Q28" s="8">
        <v>45212</v>
      </c>
      <c r="R28" s="201">
        <v>55157</v>
      </c>
      <c r="S28" s="153">
        <v>54.973300000000002</v>
      </c>
      <c r="T28" s="52">
        <v>0</v>
      </c>
      <c r="U28" s="52">
        <v>0</v>
      </c>
      <c r="V28" s="52">
        <v>0</v>
      </c>
      <c r="W28" s="2" t="str" cm="1">
        <f t="array" aca="1" ref="W28" ca="1">TRIM(SUBSTITUTE(_xlfn.ARRAYTOTEXT(IFERROR(CONCATENATE(SUMIF(INDIRECT("'"&amp;Assemblies[Assy]&amp;"'!"&amp;"C$5:C1000"), $C28, INDIRECT("'"&amp;Assemblies[Assy]&amp;"'!"&amp;"O$5:O1000")), "x",Assemblies[Assy],".",IF(SUMIF(INDIRECT("'"&amp;Assemblies[Assy]&amp;"'!"&amp;"C$5:C1000"), $C28, INDIRECT("'"&amp;Assemblies[Assy]&amp;"'!"&amp;"A$5:A1000"))=0,NA(),SUMIF(INDIRECT("'"&amp;Assemblies[Assy]&amp;"'!"&amp;"C$5:C1000"), $C28, INDIRECT("'"&amp;Assemblies[Assy]&amp;"'!"&amp;"A$5:A1000")))),"")), " ,", ""))</f>
        <v>,</v>
      </c>
      <c r="X28" s="2" t="s">
        <v>1773</v>
      </c>
      <c r="Y28" s="2" t="s">
        <v>1382</v>
      </c>
      <c r="Z28" s="2" t="s">
        <v>1382</v>
      </c>
      <c r="AA28" s="2" t="s">
        <v>1382</v>
      </c>
    </row>
    <row r="29" spans="1:27" ht="12.75">
      <c r="A29" s="115" t="s">
        <v>1847</v>
      </c>
      <c r="B29" s="115" t="s">
        <v>54</v>
      </c>
      <c r="C29" s="2" t="str">
        <f t="shared" si="0"/>
        <v>GF12.124.05.A</v>
      </c>
      <c r="D29" s="2" t="s">
        <v>1848</v>
      </c>
      <c r="E29" s="228">
        <f t="shared" si="1"/>
        <v>54.973300000000002</v>
      </c>
      <c r="F29" s="5" t="e" cm="1">
        <f t="array" aca="1" ref="F29" ca="1">SUMPRODUCT(SUMIF(INDIRECT("'"&amp;Assemblies[Assy]&amp;"'!"&amp;"C$5:C1000"),$C29,(INDIRECT("'"&amp;Assemblies[Assy]&amp;"'!"&amp;"O$5:O1000"))))</f>
        <v>#VALUE!</v>
      </c>
      <c r="G29" s="5">
        <v>1</v>
      </c>
      <c r="H29" s="5">
        <v>1</v>
      </c>
      <c r="I29" s="2" t="s">
        <v>1824</v>
      </c>
      <c r="J29" s="2" t="s">
        <v>1761</v>
      </c>
      <c r="K29" s="2" t="s">
        <v>1762</v>
      </c>
      <c r="L29" s="2" t="s">
        <v>1816</v>
      </c>
      <c r="M29" s="2" t="s">
        <v>1841</v>
      </c>
      <c r="N29" s="8">
        <v>45159</v>
      </c>
      <c r="O29" s="8" t="s">
        <v>1842</v>
      </c>
      <c r="P29" s="8">
        <v>45212</v>
      </c>
      <c r="Q29" s="8">
        <v>45212</v>
      </c>
      <c r="R29" s="201">
        <v>55157</v>
      </c>
      <c r="S29" s="153">
        <v>54.973300000000002</v>
      </c>
      <c r="T29" s="52">
        <v>0</v>
      </c>
      <c r="U29" s="52">
        <v>0</v>
      </c>
      <c r="V29" s="52">
        <v>0</v>
      </c>
      <c r="W29" s="2" t="str" cm="1">
        <f t="array" aca="1" ref="W29" ca="1">TRIM(SUBSTITUTE(_xlfn.ARRAYTOTEXT(IFERROR(CONCATENATE(SUMIF(INDIRECT("'"&amp;Assemblies[Assy]&amp;"'!"&amp;"C$5:C1000"), $C29, INDIRECT("'"&amp;Assemblies[Assy]&amp;"'!"&amp;"O$5:O1000")), "x",Assemblies[Assy],".",IF(SUMIF(INDIRECT("'"&amp;Assemblies[Assy]&amp;"'!"&amp;"C$5:C1000"), $C29, INDIRECT("'"&amp;Assemblies[Assy]&amp;"'!"&amp;"A$5:A1000"))=0,NA(),SUMIF(INDIRECT("'"&amp;Assemblies[Assy]&amp;"'!"&amp;"C$5:C1000"), $C29, INDIRECT("'"&amp;Assemblies[Assy]&amp;"'!"&amp;"A$5:A1000")))),"")), " ,", ""))</f>
        <v>,</v>
      </c>
      <c r="X29" s="2" t="s">
        <v>1773</v>
      </c>
      <c r="Y29" s="2" t="s">
        <v>1382</v>
      </c>
      <c r="Z29" s="2" t="s">
        <v>1382</v>
      </c>
      <c r="AA29" s="2" t="s">
        <v>1382</v>
      </c>
    </row>
    <row r="30" spans="1:27" ht="12.75">
      <c r="A30" s="115" t="s">
        <v>1849</v>
      </c>
      <c r="B30" s="115" t="s">
        <v>54</v>
      </c>
      <c r="C30" s="2" t="str">
        <f t="shared" si="0"/>
        <v>GF12.125.02.A</v>
      </c>
      <c r="D30" s="2" t="s">
        <v>1850</v>
      </c>
      <c r="E30" s="228">
        <f t="shared" si="1"/>
        <v>54.973300000000002</v>
      </c>
      <c r="F30" s="5" t="e" cm="1">
        <f t="array" aca="1" ref="F30" ca="1">SUMPRODUCT(SUMIF(INDIRECT("'"&amp;Assemblies[Assy]&amp;"'!"&amp;"C$5:C1000"),$C30,(INDIRECT("'"&amp;Assemblies[Assy]&amp;"'!"&amp;"O$5:O1000"))))</f>
        <v>#VALUE!</v>
      </c>
      <c r="G30" s="5">
        <v>1</v>
      </c>
      <c r="H30" s="5">
        <v>1</v>
      </c>
      <c r="I30" s="2" t="s">
        <v>1824</v>
      </c>
      <c r="J30" s="2" t="s">
        <v>1761</v>
      </c>
      <c r="K30" s="2" t="s">
        <v>1762</v>
      </c>
      <c r="L30" s="2" t="s">
        <v>1816</v>
      </c>
      <c r="M30" s="2" t="s">
        <v>1841</v>
      </c>
      <c r="N30" s="8">
        <v>45159</v>
      </c>
      <c r="O30" s="8" t="s">
        <v>1842</v>
      </c>
      <c r="P30" s="8">
        <v>45212</v>
      </c>
      <c r="Q30" s="8">
        <v>45212</v>
      </c>
      <c r="R30" s="201">
        <v>55157</v>
      </c>
      <c r="S30" s="153">
        <v>54.973300000000002</v>
      </c>
      <c r="T30" s="52">
        <v>0</v>
      </c>
      <c r="U30" s="52">
        <v>0</v>
      </c>
      <c r="V30" s="52">
        <v>0</v>
      </c>
      <c r="W30" s="2" t="str" cm="1">
        <f t="array" aca="1" ref="W30" ca="1">TRIM(SUBSTITUTE(_xlfn.ARRAYTOTEXT(IFERROR(CONCATENATE(SUMIF(INDIRECT("'"&amp;Assemblies[Assy]&amp;"'!"&amp;"C$5:C1000"), $C30, INDIRECT("'"&amp;Assemblies[Assy]&amp;"'!"&amp;"O$5:O1000")), "x",Assemblies[Assy],".",IF(SUMIF(INDIRECT("'"&amp;Assemblies[Assy]&amp;"'!"&amp;"C$5:C1000"), $C30, INDIRECT("'"&amp;Assemblies[Assy]&amp;"'!"&amp;"A$5:A1000"))=0,NA(),SUMIF(INDIRECT("'"&amp;Assemblies[Assy]&amp;"'!"&amp;"C$5:C1000"), $C30, INDIRECT("'"&amp;Assemblies[Assy]&amp;"'!"&amp;"A$5:A1000")))),"")), " ,", ""))</f>
        <v>,</v>
      </c>
      <c r="X30" s="2" t="s">
        <v>1773</v>
      </c>
      <c r="Y30" s="2" t="s">
        <v>1382</v>
      </c>
      <c r="Z30" s="2" t="s">
        <v>1382</v>
      </c>
      <c r="AA30" s="2" t="s">
        <v>1382</v>
      </c>
    </row>
    <row r="31" spans="1:27" ht="12.75">
      <c r="A31" s="115" t="s">
        <v>1851</v>
      </c>
      <c r="B31" s="115" t="s">
        <v>54</v>
      </c>
      <c r="C31" s="2" t="str">
        <f t="shared" si="0"/>
        <v>GF12.125.03.A</v>
      </c>
      <c r="D31" s="2" t="s">
        <v>1852</v>
      </c>
      <c r="E31" s="228">
        <f t="shared" si="1"/>
        <v>54.973300000000002</v>
      </c>
      <c r="F31" s="5" t="e" cm="1">
        <f t="array" aca="1" ref="F31" ca="1">SUMPRODUCT(SUMIF(INDIRECT("'"&amp;Assemblies[Assy]&amp;"'!"&amp;"C$5:C1000"),$C31,(INDIRECT("'"&amp;Assemblies[Assy]&amp;"'!"&amp;"O$5:O1000"))))</f>
        <v>#VALUE!</v>
      </c>
      <c r="G31" s="5">
        <v>1</v>
      </c>
      <c r="H31" s="5">
        <v>1</v>
      </c>
      <c r="I31" s="2" t="s">
        <v>1824</v>
      </c>
      <c r="J31" s="2" t="s">
        <v>1761</v>
      </c>
      <c r="K31" s="2" t="s">
        <v>1762</v>
      </c>
      <c r="L31" s="2" t="s">
        <v>1816</v>
      </c>
      <c r="M31" s="2" t="s">
        <v>1841</v>
      </c>
      <c r="N31" s="8">
        <v>45159</v>
      </c>
      <c r="O31" s="8" t="s">
        <v>1842</v>
      </c>
      <c r="P31" s="8">
        <v>45212</v>
      </c>
      <c r="Q31" s="8">
        <v>45212</v>
      </c>
      <c r="R31" s="201">
        <v>55157</v>
      </c>
      <c r="S31" s="153">
        <v>54.973300000000002</v>
      </c>
      <c r="T31" s="52">
        <v>0</v>
      </c>
      <c r="U31" s="52">
        <v>0</v>
      </c>
      <c r="V31" s="52">
        <v>0</v>
      </c>
      <c r="W31" s="2" t="str" cm="1">
        <f t="array" aca="1" ref="W31" ca="1">TRIM(SUBSTITUTE(_xlfn.ARRAYTOTEXT(IFERROR(CONCATENATE(SUMIF(INDIRECT("'"&amp;Assemblies[Assy]&amp;"'!"&amp;"C$5:C1000"), $C31, INDIRECT("'"&amp;Assemblies[Assy]&amp;"'!"&amp;"O$5:O1000")), "x",Assemblies[Assy],".",IF(SUMIF(INDIRECT("'"&amp;Assemblies[Assy]&amp;"'!"&amp;"C$5:C1000"), $C31, INDIRECT("'"&amp;Assemblies[Assy]&amp;"'!"&amp;"A$5:A1000"))=0,NA(),SUMIF(INDIRECT("'"&amp;Assemblies[Assy]&amp;"'!"&amp;"C$5:C1000"), $C31, INDIRECT("'"&amp;Assemblies[Assy]&amp;"'!"&amp;"A$5:A1000")))),"")), " ,", ""))</f>
        <v>,</v>
      </c>
      <c r="X31" s="2" t="s">
        <v>1773</v>
      </c>
      <c r="Y31" s="2" t="s">
        <v>1382</v>
      </c>
      <c r="Z31" s="2" t="s">
        <v>1382</v>
      </c>
      <c r="AA31" s="2" t="s">
        <v>1382</v>
      </c>
    </row>
    <row r="32" spans="1:27" ht="12.75">
      <c r="A32" s="115" t="s">
        <v>1853</v>
      </c>
      <c r="B32" s="115" t="s">
        <v>54</v>
      </c>
      <c r="C32" s="2" t="str">
        <f t="shared" si="0"/>
        <v>GF12.126.02.A</v>
      </c>
      <c r="D32" s="2" t="s">
        <v>1854</v>
      </c>
      <c r="E32" s="228">
        <f t="shared" si="1"/>
        <v>54.973300000000002</v>
      </c>
      <c r="F32" s="5" t="e" cm="1">
        <f t="array" aca="1" ref="F32" ca="1">SUMPRODUCT(SUMIF(INDIRECT("'"&amp;Assemblies[Assy]&amp;"'!"&amp;"C$5:C1000"),$C32,(INDIRECT("'"&amp;Assemblies[Assy]&amp;"'!"&amp;"O$5:O1000"))))</f>
        <v>#VALUE!</v>
      </c>
      <c r="G32" s="5">
        <v>1</v>
      </c>
      <c r="H32" s="5">
        <v>1</v>
      </c>
      <c r="I32" s="2" t="s">
        <v>1824</v>
      </c>
      <c r="J32" s="2" t="s">
        <v>1761</v>
      </c>
      <c r="K32" s="2" t="s">
        <v>1762</v>
      </c>
      <c r="L32" s="2" t="s">
        <v>1816</v>
      </c>
      <c r="M32" s="2" t="s">
        <v>1841</v>
      </c>
      <c r="N32" s="8">
        <v>45159</v>
      </c>
      <c r="O32" s="8" t="s">
        <v>1842</v>
      </c>
      <c r="P32" s="8">
        <v>45212</v>
      </c>
      <c r="Q32" s="8">
        <v>45212</v>
      </c>
      <c r="R32" s="201">
        <v>55157</v>
      </c>
      <c r="S32" s="153">
        <v>54.973300000000002</v>
      </c>
      <c r="T32" s="52">
        <v>0</v>
      </c>
      <c r="U32" s="52">
        <v>0</v>
      </c>
      <c r="V32" s="52">
        <v>0</v>
      </c>
      <c r="W32" s="2" t="str" cm="1">
        <f t="array" aca="1" ref="W32" ca="1">TRIM(SUBSTITUTE(_xlfn.ARRAYTOTEXT(IFERROR(CONCATENATE(SUMIF(INDIRECT("'"&amp;Assemblies[Assy]&amp;"'!"&amp;"C$5:C1000"), $C32, INDIRECT("'"&amp;Assemblies[Assy]&amp;"'!"&amp;"O$5:O1000")), "x",Assemblies[Assy],".",IF(SUMIF(INDIRECT("'"&amp;Assemblies[Assy]&amp;"'!"&amp;"C$5:C1000"), $C32, INDIRECT("'"&amp;Assemblies[Assy]&amp;"'!"&amp;"A$5:A1000"))=0,NA(),SUMIF(INDIRECT("'"&amp;Assemblies[Assy]&amp;"'!"&amp;"C$5:C1000"), $C32, INDIRECT("'"&amp;Assemblies[Assy]&amp;"'!"&amp;"A$5:A1000")))),"")), " ,", ""))</f>
        <v>,</v>
      </c>
      <c r="X32" s="2" t="s">
        <v>1773</v>
      </c>
      <c r="Y32" s="2" t="s">
        <v>1382</v>
      </c>
      <c r="Z32" s="2" t="s">
        <v>1382</v>
      </c>
      <c r="AA32" s="2" t="s">
        <v>1382</v>
      </c>
    </row>
    <row r="33" spans="1:27" ht="12.75">
      <c r="A33" s="115" t="s">
        <v>1855</v>
      </c>
      <c r="B33" s="115" t="s">
        <v>54</v>
      </c>
      <c r="C33" s="2" t="str">
        <f t="shared" si="0"/>
        <v>GF12.126.03.A</v>
      </c>
      <c r="D33" s="2" t="s">
        <v>1856</v>
      </c>
      <c r="E33" s="228">
        <f t="shared" si="1"/>
        <v>54.973300000000002</v>
      </c>
      <c r="F33" s="5" t="e" cm="1">
        <f t="array" aca="1" ref="F33" ca="1">SUMPRODUCT(SUMIF(INDIRECT("'"&amp;Assemblies[Assy]&amp;"'!"&amp;"C$5:C1000"),$C33,(INDIRECT("'"&amp;Assemblies[Assy]&amp;"'!"&amp;"O$5:O1000"))))</f>
        <v>#VALUE!</v>
      </c>
      <c r="G33" s="5">
        <v>1</v>
      </c>
      <c r="H33" s="5">
        <v>1</v>
      </c>
      <c r="I33" s="2" t="s">
        <v>1824</v>
      </c>
      <c r="J33" s="2" t="s">
        <v>1761</v>
      </c>
      <c r="K33" s="2" t="s">
        <v>1762</v>
      </c>
      <c r="L33" s="2" t="s">
        <v>1816</v>
      </c>
      <c r="M33" s="2" t="s">
        <v>1841</v>
      </c>
      <c r="N33" s="8">
        <v>45159</v>
      </c>
      <c r="O33" s="8" t="s">
        <v>1842</v>
      </c>
      <c r="P33" s="8">
        <v>45212</v>
      </c>
      <c r="Q33" s="8">
        <v>45212</v>
      </c>
      <c r="R33" s="201">
        <v>55157</v>
      </c>
      <c r="S33" s="153">
        <v>54.973300000000002</v>
      </c>
      <c r="T33" s="52">
        <v>0</v>
      </c>
      <c r="U33" s="52">
        <v>0</v>
      </c>
      <c r="V33" s="52">
        <v>0</v>
      </c>
      <c r="W33" s="2" t="str" cm="1">
        <f t="array" aca="1" ref="W33" ca="1">TRIM(SUBSTITUTE(_xlfn.ARRAYTOTEXT(IFERROR(CONCATENATE(SUMIF(INDIRECT("'"&amp;Assemblies[Assy]&amp;"'!"&amp;"C$5:C1000"), $C33, INDIRECT("'"&amp;Assemblies[Assy]&amp;"'!"&amp;"O$5:O1000")), "x",Assemblies[Assy],".",IF(SUMIF(INDIRECT("'"&amp;Assemblies[Assy]&amp;"'!"&amp;"C$5:C1000"), $C33, INDIRECT("'"&amp;Assemblies[Assy]&amp;"'!"&amp;"A$5:A1000"))=0,NA(),SUMIF(INDIRECT("'"&amp;Assemblies[Assy]&amp;"'!"&amp;"C$5:C1000"), $C33, INDIRECT("'"&amp;Assemblies[Assy]&amp;"'!"&amp;"A$5:A1000")))),"")), " ,", ""))</f>
        <v>,</v>
      </c>
      <c r="X33" s="2" t="s">
        <v>1773</v>
      </c>
      <c r="Y33" s="2" t="s">
        <v>1382</v>
      </c>
      <c r="Z33" s="2" t="s">
        <v>1382</v>
      </c>
      <c r="AA33" s="2" t="s">
        <v>1382</v>
      </c>
    </row>
    <row r="34" spans="1:27" ht="12.75">
      <c r="A34" s="115" t="s">
        <v>1857</v>
      </c>
      <c r="B34" s="115" t="s">
        <v>54</v>
      </c>
      <c r="C34" s="2" t="str">
        <f t="shared" si="0"/>
        <v>GF12.126.04.A</v>
      </c>
      <c r="D34" s="2" t="s">
        <v>1858</v>
      </c>
      <c r="E34" s="228">
        <f t="shared" si="1"/>
        <v>54.973300000000002</v>
      </c>
      <c r="F34" s="5" t="e" cm="1">
        <f t="array" aca="1" ref="F34" ca="1">SUMPRODUCT(SUMIF(INDIRECT("'"&amp;Assemblies[Assy]&amp;"'!"&amp;"C$5:C1000"),$C34,(INDIRECT("'"&amp;Assemblies[Assy]&amp;"'!"&amp;"O$5:O1000"))))</f>
        <v>#VALUE!</v>
      </c>
      <c r="G34" s="5">
        <v>1</v>
      </c>
      <c r="H34" s="5">
        <v>1</v>
      </c>
      <c r="I34" s="2" t="s">
        <v>1824</v>
      </c>
      <c r="J34" s="2" t="s">
        <v>1761</v>
      </c>
      <c r="K34" s="2" t="s">
        <v>1762</v>
      </c>
      <c r="L34" s="2" t="s">
        <v>1816</v>
      </c>
      <c r="M34" s="2" t="s">
        <v>1841</v>
      </c>
      <c r="N34" s="8">
        <v>45159</v>
      </c>
      <c r="O34" s="8" t="s">
        <v>1842</v>
      </c>
      <c r="P34" s="8">
        <v>45212</v>
      </c>
      <c r="Q34" s="8">
        <v>45212</v>
      </c>
      <c r="R34" s="201">
        <v>55157</v>
      </c>
      <c r="S34" s="153">
        <v>54.973300000000002</v>
      </c>
      <c r="T34" s="52">
        <v>0</v>
      </c>
      <c r="U34" s="52">
        <v>0</v>
      </c>
      <c r="V34" s="52">
        <v>0</v>
      </c>
      <c r="W34" s="2" t="str" cm="1">
        <f t="array" aca="1" ref="W34" ca="1">TRIM(SUBSTITUTE(_xlfn.ARRAYTOTEXT(IFERROR(CONCATENATE(SUMIF(INDIRECT("'"&amp;Assemblies[Assy]&amp;"'!"&amp;"C$5:C1000"), $C34, INDIRECT("'"&amp;Assemblies[Assy]&amp;"'!"&amp;"O$5:O1000")), "x",Assemblies[Assy],".",IF(SUMIF(INDIRECT("'"&amp;Assemblies[Assy]&amp;"'!"&amp;"C$5:C1000"), $C34, INDIRECT("'"&amp;Assemblies[Assy]&amp;"'!"&amp;"A$5:A1000"))=0,NA(),SUMIF(INDIRECT("'"&amp;Assemblies[Assy]&amp;"'!"&amp;"C$5:C1000"), $C34, INDIRECT("'"&amp;Assemblies[Assy]&amp;"'!"&amp;"A$5:A1000")))),"")), " ,", ""))</f>
        <v>,</v>
      </c>
      <c r="X34" s="2" t="s">
        <v>1773</v>
      </c>
      <c r="Y34" s="2" t="s">
        <v>1382</v>
      </c>
      <c r="Z34" s="2" t="s">
        <v>1382</v>
      </c>
      <c r="AA34" s="2" t="s">
        <v>1382</v>
      </c>
    </row>
    <row r="35" spans="1:27" ht="12.75">
      <c r="A35" s="115" t="s">
        <v>1859</v>
      </c>
      <c r="B35" s="115" t="s">
        <v>54</v>
      </c>
      <c r="C35" s="2" t="str">
        <f t="shared" si="0"/>
        <v>GF12.126.05.A</v>
      </c>
      <c r="D35" s="2" t="s">
        <v>1860</v>
      </c>
      <c r="E35" s="228">
        <f t="shared" si="1"/>
        <v>54.973300000000002</v>
      </c>
      <c r="F35" s="5" t="e" cm="1">
        <f t="array" aca="1" ref="F35" ca="1">SUMPRODUCT(SUMIF(INDIRECT("'"&amp;Assemblies[Assy]&amp;"'!"&amp;"C$5:C1000"),$C35,(INDIRECT("'"&amp;Assemblies[Assy]&amp;"'!"&amp;"O$5:O1000"))))</f>
        <v>#VALUE!</v>
      </c>
      <c r="G35" s="5">
        <v>1</v>
      </c>
      <c r="H35" s="5">
        <v>1</v>
      </c>
      <c r="I35" s="2" t="s">
        <v>1824</v>
      </c>
      <c r="J35" s="2" t="s">
        <v>1761</v>
      </c>
      <c r="K35" s="2" t="s">
        <v>1762</v>
      </c>
      <c r="L35" s="2" t="s">
        <v>1816</v>
      </c>
      <c r="M35" s="2" t="s">
        <v>1841</v>
      </c>
      <c r="N35" s="8">
        <v>45159</v>
      </c>
      <c r="O35" s="8" t="s">
        <v>1842</v>
      </c>
      <c r="P35" s="8">
        <v>45212</v>
      </c>
      <c r="Q35" s="8">
        <v>45212</v>
      </c>
      <c r="R35" s="201">
        <v>55157</v>
      </c>
      <c r="S35" s="153">
        <v>54.973300000000002</v>
      </c>
      <c r="T35" s="52">
        <v>0</v>
      </c>
      <c r="U35" s="52">
        <v>0</v>
      </c>
      <c r="V35" s="52">
        <v>0</v>
      </c>
      <c r="W35" s="2" t="str" cm="1">
        <f t="array" aca="1" ref="W35" ca="1">TRIM(SUBSTITUTE(_xlfn.ARRAYTOTEXT(IFERROR(CONCATENATE(SUMIF(INDIRECT("'"&amp;Assemblies[Assy]&amp;"'!"&amp;"C$5:C1000"), $C35, INDIRECT("'"&amp;Assemblies[Assy]&amp;"'!"&amp;"O$5:O1000")), "x",Assemblies[Assy],".",IF(SUMIF(INDIRECT("'"&amp;Assemblies[Assy]&amp;"'!"&amp;"C$5:C1000"), $C35, INDIRECT("'"&amp;Assemblies[Assy]&amp;"'!"&amp;"A$5:A1000"))=0,NA(),SUMIF(INDIRECT("'"&amp;Assemblies[Assy]&amp;"'!"&amp;"C$5:C1000"), $C35, INDIRECT("'"&amp;Assemblies[Assy]&amp;"'!"&amp;"A$5:A1000")))),"")), " ,", ""))</f>
        <v>,</v>
      </c>
      <c r="X35" s="2" t="s">
        <v>1773</v>
      </c>
      <c r="Y35" s="2" t="s">
        <v>1382</v>
      </c>
      <c r="Z35" s="2" t="s">
        <v>1382</v>
      </c>
      <c r="AA35" s="2" t="s">
        <v>1382</v>
      </c>
    </row>
    <row r="36" spans="1:27" ht="12.75">
      <c r="A36" s="115" t="s">
        <v>1861</v>
      </c>
      <c r="B36" s="115" t="s">
        <v>54</v>
      </c>
      <c r="C36" s="2" t="str">
        <f t="shared" si="0"/>
        <v>GF12.127.02.A</v>
      </c>
      <c r="D36" s="2" t="s">
        <v>1862</v>
      </c>
      <c r="E36" s="228">
        <f t="shared" si="1"/>
        <v>54.973300000000002</v>
      </c>
      <c r="F36" s="5" t="e" cm="1">
        <f t="array" aca="1" ref="F36" ca="1">SUMPRODUCT(SUMIF(INDIRECT("'"&amp;Assemblies[Assy]&amp;"'!"&amp;"C$5:C1000"),$C36,(INDIRECT("'"&amp;Assemblies[Assy]&amp;"'!"&amp;"O$5:O1000"))))</f>
        <v>#VALUE!</v>
      </c>
      <c r="G36" s="5">
        <v>1</v>
      </c>
      <c r="H36" s="5">
        <v>1</v>
      </c>
      <c r="I36" s="2" t="s">
        <v>1824</v>
      </c>
      <c r="J36" s="2" t="s">
        <v>1761</v>
      </c>
      <c r="K36" s="2" t="s">
        <v>1762</v>
      </c>
      <c r="L36" s="2" t="s">
        <v>1816</v>
      </c>
      <c r="M36" s="2" t="s">
        <v>1841</v>
      </c>
      <c r="N36" s="8">
        <v>45159</v>
      </c>
      <c r="O36" s="8" t="s">
        <v>1842</v>
      </c>
      <c r="P36" s="8">
        <v>45212</v>
      </c>
      <c r="Q36" s="8">
        <v>45212</v>
      </c>
      <c r="R36" s="201">
        <v>55157</v>
      </c>
      <c r="S36" s="153">
        <v>54.973300000000002</v>
      </c>
      <c r="T36" s="52">
        <v>0</v>
      </c>
      <c r="U36" s="52">
        <v>0</v>
      </c>
      <c r="V36" s="52">
        <v>0</v>
      </c>
      <c r="W36" s="2" t="str" cm="1">
        <f t="array" aca="1" ref="W36" ca="1">TRIM(SUBSTITUTE(_xlfn.ARRAYTOTEXT(IFERROR(CONCATENATE(SUMIF(INDIRECT("'"&amp;Assemblies[Assy]&amp;"'!"&amp;"C$5:C1000"), $C36, INDIRECT("'"&amp;Assemblies[Assy]&amp;"'!"&amp;"O$5:O1000")), "x",Assemblies[Assy],".",IF(SUMIF(INDIRECT("'"&amp;Assemblies[Assy]&amp;"'!"&amp;"C$5:C1000"), $C36, INDIRECT("'"&amp;Assemblies[Assy]&amp;"'!"&amp;"A$5:A1000"))=0,NA(),SUMIF(INDIRECT("'"&amp;Assemblies[Assy]&amp;"'!"&amp;"C$5:C1000"), $C36, INDIRECT("'"&amp;Assemblies[Assy]&amp;"'!"&amp;"A$5:A1000")))),"")), " ,", ""))</f>
        <v>,</v>
      </c>
      <c r="X36" s="2" t="s">
        <v>1773</v>
      </c>
      <c r="Y36" s="2" t="s">
        <v>1382</v>
      </c>
      <c r="Z36" s="2" t="s">
        <v>1382</v>
      </c>
      <c r="AA36" s="2" t="s">
        <v>1382</v>
      </c>
    </row>
    <row r="37" spans="1:27" ht="12.75">
      <c r="A37" s="115" t="s">
        <v>1863</v>
      </c>
      <c r="B37" s="115" t="s">
        <v>54</v>
      </c>
      <c r="C37" s="2" t="str">
        <f t="shared" si="0"/>
        <v>GF12.127.03.A</v>
      </c>
      <c r="D37" s="2" t="s">
        <v>1864</v>
      </c>
      <c r="E37" s="228">
        <f t="shared" si="1"/>
        <v>54.973300000000002</v>
      </c>
      <c r="F37" s="5" t="e" cm="1">
        <f t="array" aca="1" ref="F37" ca="1">SUMPRODUCT(SUMIF(INDIRECT("'"&amp;Assemblies[Assy]&amp;"'!"&amp;"C$5:C1000"),$C37,(INDIRECT("'"&amp;Assemblies[Assy]&amp;"'!"&amp;"O$5:O1000"))))</f>
        <v>#VALUE!</v>
      </c>
      <c r="G37" s="5">
        <v>1</v>
      </c>
      <c r="H37" s="5">
        <v>1</v>
      </c>
      <c r="I37" s="2" t="s">
        <v>1824</v>
      </c>
      <c r="J37" s="2" t="s">
        <v>1761</v>
      </c>
      <c r="K37" s="2" t="s">
        <v>1762</v>
      </c>
      <c r="L37" s="2" t="s">
        <v>1816</v>
      </c>
      <c r="M37" s="2" t="s">
        <v>1841</v>
      </c>
      <c r="N37" s="8">
        <v>45159</v>
      </c>
      <c r="O37" s="8" t="s">
        <v>1842</v>
      </c>
      <c r="P37" s="8">
        <v>45212</v>
      </c>
      <c r="Q37" s="8">
        <v>45212</v>
      </c>
      <c r="R37" s="201">
        <v>55157</v>
      </c>
      <c r="S37" s="153">
        <v>54.973300000000002</v>
      </c>
      <c r="T37" s="52">
        <v>0</v>
      </c>
      <c r="U37" s="52">
        <v>0</v>
      </c>
      <c r="V37" s="52">
        <v>0</v>
      </c>
      <c r="W37" s="2" t="str" cm="1">
        <f t="array" aca="1" ref="W37" ca="1">TRIM(SUBSTITUTE(_xlfn.ARRAYTOTEXT(IFERROR(CONCATENATE(SUMIF(INDIRECT("'"&amp;Assemblies[Assy]&amp;"'!"&amp;"C$5:C1000"), $C37, INDIRECT("'"&amp;Assemblies[Assy]&amp;"'!"&amp;"O$5:O1000")), "x",Assemblies[Assy],".",IF(SUMIF(INDIRECT("'"&amp;Assemblies[Assy]&amp;"'!"&amp;"C$5:C1000"), $C37, INDIRECT("'"&amp;Assemblies[Assy]&amp;"'!"&amp;"A$5:A1000"))=0,NA(),SUMIF(INDIRECT("'"&amp;Assemblies[Assy]&amp;"'!"&amp;"C$5:C1000"), $C37, INDIRECT("'"&amp;Assemblies[Assy]&amp;"'!"&amp;"A$5:A1000")))),"")), " ,", ""))</f>
        <v>,</v>
      </c>
      <c r="X37" s="2" t="s">
        <v>1773</v>
      </c>
      <c r="Y37" s="2" t="s">
        <v>1382</v>
      </c>
      <c r="Z37" s="2" t="s">
        <v>1382</v>
      </c>
      <c r="AA37" s="2" t="s">
        <v>1382</v>
      </c>
    </row>
    <row r="38" spans="1:27" ht="12.75">
      <c r="A38" s="115" t="s">
        <v>1865</v>
      </c>
      <c r="B38" s="115" t="s">
        <v>54</v>
      </c>
      <c r="C38" s="2" t="str">
        <f t="shared" si="0"/>
        <v>GF12.127.04.A</v>
      </c>
      <c r="D38" s="2" t="s">
        <v>1866</v>
      </c>
      <c r="E38" s="228">
        <f t="shared" si="1"/>
        <v>54.973300000000002</v>
      </c>
      <c r="F38" s="5" t="e" cm="1">
        <f t="array" aca="1" ref="F38" ca="1">SUMPRODUCT(SUMIF(INDIRECT("'"&amp;Assemblies[Assy]&amp;"'!"&amp;"C$5:C1000"),$C38,(INDIRECT("'"&amp;Assemblies[Assy]&amp;"'!"&amp;"O$5:O1000"))))</f>
        <v>#VALUE!</v>
      </c>
      <c r="G38" s="5">
        <v>1</v>
      </c>
      <c r="H38" s="5">
        <v>1</v>
      </c>
      <c r="I38" s="2" t="s">
        <v>1824</v>
      </c>
      <c r="J38" s="2" t="s">
        <v>1761</v>
      </c>
      <c r="K38" s="2" t="s">
        <v>1762</v>
      </c>
      <c r="L38" s="2" t="s">
        <v>1816</v>
      </c>
      <c r="M38" s="2" t="s">
        <v>1841</v>
      </c>
      <c r="N38" s="8">
        <v>45159</v>
      </c>
      <c r="O38" s="8" t="s">
        <v>1842</v>
      </c>
      <c r="P38" s="8">
        <v>45212</v>
      </c>
      <c r="Q38" s="8">
        <v>45212</v>
      </c>
      <c r="R38" s="201">
        <v>55157</v>
      </c>
      <c r="S38" s="153">
        <v>54.973300000000002</v>
      </c>
      <c r="T38" s="52">
        <v>0</v>
      </c>
      <c r="U38" s="52">
        <v>0</v>
      </c>
      <c r="V38" s="52">
        <v>0</v>
      </c>
      <c r="W38" s="2" t="str" cm="1">
        <f t="array" aca="1" ref="W38" ca="1">TRIM(SUBSTITUTE(_xlfn.ARRAYTOTEXT(IFERROR(CONCATENATE(SUMIF(INDIRECT("'"&amp;Assemblies[Assy]&amp;"'!"&amp;"C$5:C1000"), $C38, INDIRECT("'"&amp;Assemblies[Assy]&amp;"'!"&amp;"O$5:O1000")), "x",Assemblies[Assy],".",IF(SUMIF(INDIRECT("'"&amp;Assemblies[Assy]&amp;"'!"&amp;"C$5:C1000"), $C38, INDIRECT("'"&amp;Assemblies[Assy]&amp;"'!"&amp;"A$5:A1000"))=0,NA(),SUMIF(INDIRECT("'"&amp;Assemblies[Assy]&amp;"'!"&amp;"C$5:C1000"), $C38, INDIRECT("'"&amp;Assemblies[Assy]&amp;"'!"&amp;"A$5:A1000")))),"")), " ,", ""))</f>
        <v>,</v>
      </c>
      <c r="X38" s="2" t="s">
        <v>1773</v>
      </c>
      <c r="Y38" s="2" t="s">
        <v>1382</v>
      </c>
      <c r="Z38" s="2" t="s">
        <v>1382</v>
      </c>
      <c r="AA38" s="2" t="s">
        <v>1382</v>
      </c>
    </row>
    <row r="39" spans="1:27" ht="12.75">
      <c r="A39" s="115" t="s">
        <v>1867</v>
      </c>
      <c r="B39" s="115" t="s">
        <v>54</v>
      </c>
      <c r="C39" s="2" t="str">
        <f t="shared" si="0"/>
        <v>GF12.127.05.A</v>
      </c>
      <c r="D39" s="2" t="s">
        <v>1868</v>
      </c>
      <c r="E39" s="228">
        <f t="shared" si="1"/>
        <v>54.973300000000002</v>
      </c>
      <c r="F39" s="5" t="e" cm="1">
        <f t="array" aca="1" ref="F39" ca="1">SUMPRODUCT(SUMIF(INDIRECT("'"&amp;Assemblies[Assy]&amp;"'!"&amp;"C$5:C1000"),$C39,(INDIRECT("'"&amp;Assemblies[Assy]&amp;"'!"&amp;"O$5:O1000"))))</f>
        <v>#VALUE!</v>
      </c>
      <c r="G39" s="5">
        <v>1</v>
      </c>
      <c r="H39" s="5">
        <v>1</v>
      </c>
      <c r="I39" s="2" t="s">
        <v>1824</v>
      </c>
      <c r="J39" s="2" t="s">
        <v>1761</v>
      </c>
      <c r="K39" s="2" t="s">
        <v>1762</v>
      </c>
      <c r="L39" s="2" t="s">
        <v>1816</v>
      </c>
      <c r="M39" s="2" t="s">
        <v>1841</v>
      </c>
      <c r="N39" s="8">
        <v>45159</v>
      </c>
      <c r="O39" s="8" t="s">
        <v>1842</v>
      </c>
      <c r="P39" s="8">
        <v>45212</v>
      </c>
      <c r="Q39" s="8">
        <v>45212</v>
      </c>
      <c r="R39" s="201">
        <v>55157</v>
      </c>
      <c r="S39" s="153">
        <v>54.973300000000002</v>
      </c>
      <c r="T39" s="52">
        <v>0</v>
      </c>
      <c r="U39" s="52">
        <v>0</v>
      </c>
      <c r="V39" s="52">
        <v>0</v>
      </c>
      <c r="W39" s="2" t="str" cm="1">
        <f t="array" aca="1" ref="W39" ca="1">TRIM(SUBSTITUTE(_xlfn.ARRAYTOTEXT(IFERROR(CONCATENATE(SUMIF(INDIRECT("'"&amp;Assemblies[Assy]&amp;"'!"&amp;"C$5:C1000"), $C39, INDIRECT("'"&amp;Assemblies[Assy]&amp;"'!"&amp;"O$5:O1000")), "x",Assemblies[Assy],".",IF(SUMIF(INDIRECT("'"&amp;Assemblies[Assy]&amp;"'!"&amp;"C$5:C1000"), $C39, INDIRECT("'"&amp;Assemblies[Assy]&amp;"'!"&amp;"A$5:A1000"))=0,NA(),SUMIF(INDIRECT("'"&amp;Assemblies[Assy]&amp;"'!"&amp;"C$5:C1000"), $C39, INDIRECT("'"&amp;Assemblies[Assy]&amp;"'!"&amp;"A$5:A1000")))),"")), " ,", ""))</f>
        <v>,</v>
      </c>
      <c r="X39" s="2" t="s">
        <v>1773</v>
      </c>
      <c r="Y39" s="2" t="s">
        <v>1382</v>
      </c>
      <c r="Z39" s="2" t="s">
        <v>1382</v>
      </c>
      <c r="AA39" s="2" t="s">
        <v>1382</v>
      </c>
    </row>
    <row r="40" spans="1:27" ht="12.75">
      <c r="A40" s="115" t="s">
        <v>1869</v>
      </c>
      <c r="B40" s="115" t="s">
        <v>54</v>
      </c>
      <c r="C40" s="2" t="str">
        <f t="shared" si="0"/>
        <v>GF12.128.02.A</v>
      </c>
      <c r="D40" s="2" t="s">
        <v>1870</v>
      </c>
      <c r="E40" s="228">
        <f t="shared" si="1"/>
        <v>54.973300000000002</v>
      </c>
      <c r="F40" s="5" t="e" cm="1">
        <f t="array" aca="1" ref="F40" ca="1">SUMPRODUCT(SUMIF(INDIRECT("'"&amp;Assemblies[Assy]&amp;"'!"&amp;"C$5:C1000"),$C40,(INDIRECT("'"&amp;Assemblies[Assy]&amp;"'!"&amp;"O$5:O1000"))))</f>
        <v>#VALUE!</v>
      </c>
      <c r="G40" s="5">
        <v>1</v>
      </c>
      <c r="H40" s="5">
        <v>1</v>
      </c>
      <c r="I40" s="2" t="s">
        <v>1824</v>
      </c>
      <c r="J40" s="2" t="s">
        <v>1761</v>
      </c>
      <c r="K40" s="2" t="s">
        <v>1762</v>
      </c>
      <c r="L40" s="2" t="s">
        <v>1816</v>
      </c>
      <c r="M40" s="2" t="s">
        <v>1841</v>
      </c>
      <c r="N40" s="8">
        <v>45159</v>
      </c>
      <c r="O40" s="8" t="s">
        <v>1842</v>
      </c>
      <c r="P40" s="8">
        <v>45212</v>
      </c>
      <c r="Q40" s="8">
        <v>45212</v>
      </c>
      <c r="R40" s="201">
        <v>55157</v>
      </c>
      <c r="S40" s="153">
        <v>54.973300000000002</v>
      </c>
      <c r="T40" s="52">
        <v>0</v>
      </c>
      <c r="U40" s="52">
        <v>0</v>
      </c>
      <c r="V40" s="52">
        <v>0</v>
      </c>
      <c r="W40" s="2" t="str" cm="1">
        <f t="array" aca="1" ref="W40" ca="1">TRIM(SUBSTITUTE(_xlfn.ARRAYTOTEXT(IFERROR(CONCATENATE(SUMIF(INDIRECT("'"&amp;Assemblies[Assy]&amp;"'!"&amp;"C$5:C1000"), $C40, INDIRECT("'"&amp;Assemblies[Assy]&amp;"'!"&amp;"O$5:O1000")), "x",Assemblies[Assy],".",IF(SUMIF(INDIRECT("'"&amp;Assemblies[Assy]&amp;"'!"&amp;"C$5:C1000"), $C40, INDIRECT("'"&amp;Assemblies[Assy]&amp;"'!"&amp;"A$5:A1000"))=0,NA(),SUMIF(INDIRECT("'"&amp;Assemblies[Assy]&amp;"'!"&amp;"C$5:C1000"), $C40, INDIRECT("'"&amp;Assemblies[Assy]&amp;"'!"&amp;"A$5:A1000")))),"")), " ,", ""))</f>
        <v>,</v>
      </c>
      <c r="X40" s="2" t="s">
        <v>1773</v>
      </c>
      <c r="Y40" s="2" t="s">
        <v>1382</v>
      </c>
      <c r="Z40" s="2" t="s">
        <v>1382</v>
      </c>
      <c r="AA40" s="2" t="s">
        <v>1382</v>
      </c>
    </row>
    <row r="41" spans="1:27" ht="12.75">
      <c r="A41" s="115" t="s">
        <v>1871</v>
      </c>
      <c r="B41" s="115" t="s">
        <v>54</v>
      </c>
      <c r="C41" s="2" t="str">
        <f t="shared" si="0"/>
        <v>GF12.128.03.A</v>
      </c>
      <c r="D41" s="2" t="s">
        <v>1872</v>
      </c>
      <c r="E41" s="228">
        <f t="shared" si="1"/>
        <v>54.973300000000002</v>
      </c>
      <c r="F41" s="5" t="e" cm="1">
        <f t="array" aca="1" ref="F41" ca="1">SUMPRODUCT(SUMIF(INDIRECT("'"&amp;Assemblies[Assy]&amp;"'!"&amp;"C$5:C1000"),$C41,(INDIRECT("'"&amp;Assemblies[Assy]&amp;"'!"&amp;"O$5:O1000"))))</f>
        <v>#VALUE!</v>
      </c>
      <c r="G41" s="5">
        <v>1</v>
      </c>
      <c r="H41" s="5">
        <v>1</v>
      </c>
      <c r="I41" s="2" t="s">
        <v>1824</v>
      </c>
      <c r="J41" s="2" t="s">
        <v>1761</v>
      </c>
      <c r="K41" s="2" t="s">
        <v>1762</v>
      </c>
      <c r="L41" s="2" t="s">
        <v>1816</v>
      </c>
      <c r="M41" s="2" t="s">
        <v>1841</v>
      </c>
      <c r="N41" s="8">
        <v>45159</v>
      </c>
      <c r="O41" s="8" t="s">
        <v>1842</v>
      </c>
      <c r="P41" s="8">
        <v>45212</v>
      </c>
      <c r="Q41" s="8">
        <v>45212</v>
      </c>
      <c r="R41" s="201">
        <v>55157</v>
      </c>
      <c r="S41" s="153">
        <v>54.973300000000002</v>
      </c>
      <c r="T41" s="52">
        <v>0</v>
      </c>
      <c r="U41" s="52">
        <v>0</v>
      </c>
      <c r="V41" s="52">
        <v>0</v>
      </c>
      <c r="W41" s="2" t="str" cm="1">
        <f t="array" aca="1" ref="W41" ca="1">TRIM(SUBSTITUTE(_xlfn.ARRAYTOTEXT(IFERROR(CONCATENATE(SUMIF(INDIRECT("'"&amp;Assemblies[Assy]&amp;"'!"&amp;"C$5:C1000"), $C41, INDIRECT("'"&amp;Assemblies[Assy]&amp;"'!"&amp;"O$5:O1000")), "x",Assemblies[Assy],".",IF(SUMIF(INDIRECT("'"&amp;Assemblies[Assy]&amp;"'!"&amp;"C$5:C1000"), $C41, INDIRECT("'"&amp;Assemblies[Assy]&amp;"'!"&amp;"A$5:A1000"))=0,NA(),SUMIF(INDIRECT("'"&amp;Assemblies[Assy]&amp;"'!"&amp;"C$5:C1000"), $C41, INDIRECT("'"&amp;Assemblies[Assy]&amp;"'!"&amp;"A$5:A1000")))),"")), " ,", ""))</f>
        <v>,</v>
      </c>
      <c r="X41" s="2" t="s">
        <v>1773</v>
      </c>
      <c r="Y41" s="2" t="s">
        <v>1382</v>
      </c>
      <c r="Z41" s="2" t="s">
        <v>1382</v>
      </c>
      <c r="AA41" s="2" t="s">
        <v>1382</v>
      </c>
    </row>
    <row r="42" spans="1:27" ht="12.75">
      <c r="A42" s="115" t="s">
        <v>1873</v>
      </c>
      <c r="B42" s="115" t="s">
        <v>56</v>
      </c>
      <c r="C42" s="2" t="str">
        <f t="shared" si="0"/>
        <v>GF12.130.01.B</v>
      </c>
      <c r="D42" s="2" t="s">
        <v>1874</v>
      </c>
      <c r="E42" s="52">
        <f t="shared" si="1"/>
        <v>311.17</v>
      </c>
      <c r="F42" s="5" t="e" cm="1">
        <f t="array" aca="1" ref="F42" ca="1">SUMPRODUCT(SUMIF(INDIRECT("'"&amp;Assemblies[Assy]&amp;"'!"&amp;"C$5:C1000"),$C42,(INDIRECT("'"&amp;Assemblies[Assy]&amp;"'!"&amp;"O$5:O1000"))))</f>
        <v>#VALUE!</v>
      </c>
      <c r="G42" s="5">
        <v>6</v>
      </c>
      <c r="H42" s="5">
        <v>6</v>
      </c>
      <c r="I42" s="2" t="s">
        <v>1791</v>
      </c>
      <c r="J42" s="2" t="s">
        <v>1769</v>
      </c>
      <c r="K42" s="2" t="s">
        <v>1770</v>
      </c>
      <c r="L42" s="2" t="s">
        <v>1783</v>
      </c>
      <c r="M42" s="2" t="s">
        <v>1779</v>
      </c>
      <c r="N42" s="8">
        <v>45142</v>
      </c>
      <c r="O42" s="8">
        <v>45146</v>
      </c>
      <c r="P42" s="8">
        <v>45170</v>
      </c>
      <c r="Q42" s="128">
        <v>45170</v>
      </c>
      <c r="R42" s="201">
        <v>55041</v>
      </c>
      <c r="S42" s="173">
        <v>311.17</v>
      </c>
      <c r="T42" s="52">
        <v>0</v>
      </c>
      <c r="U42" s="52">
        <v>0</v>
      </c>
      <c r="V42" s="52">
        <v>0</v>
      </c>
      <c r="W42" s="2" t="str" cm="1">
        <f t="array" aca="1" ref="W42" ca="1">TRIM(SUBSTITUTE(_xlfn.ARRAYTOTEXT(IFERROR(CONCATENATE(SUMIF(INDIRECT("'"&amp;Assemblies[Assy]&amp;"'!"&amp;"C$5:C1000"), $C42, INDIRECT("'"&amp;Assemblies[Assy]&amp;"'!"&amp;"O$5:O1000")), "x",Assemblies[Assy],".",IF(SUMIF(INDIRECT("'"&amp;Assemblies[Assy]&amp;"'!"&amp;"C$5:C1000"), $C42, INDIRECT("'"&amp;Assemblies[Assy]&amp;"'!"&amp;"A$5:A1000"))=0,NA(),SUMIF(INDIRECT("'"&amp;Assemblies[Assy]&amp;"'!"&amp;"C$5:C1000"), $C42, INDIRECT("'"&amp;Assemblies[Assy]&amp;"'!"&amp;"A$5:A1000")))),"")), " ,", ""))</f>
        <v>,</v>
      </c>
      <c r="X42" s="2" t="s">
        <v>1773</v>
      </c>
      <c r="Y42" s="2" t="s">
        <v>1382</v>
      </c>
      <c r="Z42" s="2" t="s">
        <v>1382</v>
      </c>
      <c r="AA42" s="2" t="s">
        <v>1382</v>
      </c>
    </row>
    <row r="43" spans="1:27" ht="12.75">
      <c r="A43" s="115" t="s">
        <v>1875</v>
      </c>
      <c r="B43" s="115" t="s">
        <v>56</v>
      </c>
      <c r="C43" s="2" t="str">
        <f t="shared" si="0"/>
        <v>GF12.130.02.B</v>
      </c>
      <c r="D43" s="2" t="s">
        <v>1876</v>
      </c>
      <c r="E43" s="52">
        <f t="shared" si="1"/>
        <v>147.30000000000001</v>
      </c>
      <c r="F43" s="5" t="e" cm="1">
        <f t="array" aca="1" ref="F43" ca="1">SUMPRODUCT(SUMIF(INDIRECT("'"&amp;Assemblies[Assy]&amp;"'!"&amp;"C$5:C1000"),$C43,(INDIRECT("'"&amp;Assemblies[Assy]&amp;"'!"&amp;"O$5:O1000"))))</f>
        <v>#VALUE!</v>
      </c>
      <c r="G43" s="5">
        <v>10</v>
      </c>
      <c r="H43" s="5">
        <v>10</v>
      </c>
      <c r="I43" s="2" t="s">
        <v>1791</v>
      </c>
      <c r="J43" s="2" t="s">
        <v>1769</v>
      </c>
      <c r="K43" s="2" t="s">
        <v>1770</v>
      </c>
      <c r="L43" s="2" t="s">
        <v>1783</v>
      </c>
      <c r="M43" s="2" t="s">
        <v>1779</v>
      </c>
      <c r="N43" s="8">
        <v>45142</v>
      </c>
      <c r="O43" s="8">
        <v>45146</v>
      </c>
      <c r="P43" s="8">
        <v>45170</v>
      </c>
      <c r="Q43" s="128">
        <v>45170</v>
      </c>
      <c r="R43" s="201">
        <v>55041</v>
      </c>
      <c r="S43" s="173">
        <v>147.30000000000001</v>
      </c>
      <c r="T43" s="52">
        <v>0</v>
      </c>
      <c r="U43" s="52">
        <v>0</v>
      </c>
      <c r="V43" s="52">
        <v>0</v>
      </c>
      <c r="W43" s="2" t="str" cm="1">
        <f t="array" aca="1" ref="W43" ca="1">TRIM(SUBSTITUTE(_xlfn.ARRAYTOTEXT(IFERROR(CONCATENATE(SUMIF(INDIRECT("'"&amp;Assemblies[Assy]&amp;"'!"&amp;"C$5:C1000"), $C43, INDIRECT("'"&amp;Assemblies[Assy]&amp;"'!"&amp;"O$5:O1000")), "x",Assemblies[Assy],".",IF(SUMIF(INDIRECT("'"&amp;Assemblies[Assy]&amp;"'!"&amp;"C$5:C1000"), $C43, INDIRECT("'"&amp;Assemblies[Assy]&amp;"'!"&amp;"A$5:A1000"))=0,NA(),SUMIF(INDIRECT("'"&amp;Assemblies[Assy]&amp;"'!"&amp;"C$5:C1000"), $C43, INDIRECT("'"&amp;Assemblies[Assy]&amp;"'!"&amp;"A$5:A1000")))),"")), " ,", ""))</f>
        <v>,</v>
      </c>
      <c r="X43" s="2" t="s">
        <v>1773</v>
      </c>
      <c r="Y43" s="2" t="s">
        <v>1382</v>
      </c>
      <c r="Z43" s="2" t="s">
        <v>1382</v>
      </c>
      <c r="AA43" s="2" t="s">
        <v>1382</v>
      </c>
    </row>
    <row r="44" spans="1:27" ht="12.75">
      <c r="A44" s="115" t="s">
        <v>1877</v>
      </c>
      <c r="B44" s="115" t="s">
        <v>54</v>
      </c>
      <c r="C44" s="2" t="str">
        <f t="shared" si="0"/>
        <v>GF12.130.03.A</v>
      </c>
      <c r="D44" s="2" t="s">
        <v>1878</v>
      </c>
      <c r="E44" s="52">
        <f t="shared" si="1"/>
        <v>0</v>
      </c>
      <c r="F44" s="5" t="e" cm="1">
        <f t="array" aca="1" ref="F44" ca="1">SUMPRODUCT(SUMIF(INDIRECT("'"&amp;Assemblies[Assy]&amp;"'!"&amp;"C$5:C1000"),$C44,(INDIRECT("'"&amp;Assemblies[Assy]&amp;"'!"&amp;"O$5:O1000"))))</f>
        <v>#VALUE!</v>
      </c>
      <c r="G44" s="5">
        <v>10</v>
      </c>
      <c r="H44" s="5">
        <v>10</v>
      </c>
      <c r="I44" s="2" t="s">
        <v>1791</v>
      </c>
      <c r="J44" s="2" t="s">
        <v>1769</v>
      </c>
      <c r="K44" s="2" t="s">
        <v>1770</v>
      </c>
      <c r="L44" s="2" t="s">
        <v>1786</v>
      </c>
      <c r="M44" s="2" t="s">
        <v>1779</v>
      </c>
      <c r="N44" s="8">
        <v>45139</v>
      </c>
      <c r="O44" s="8">
        <v>45140</v>
      </c>
      <c r="P44" s="8">
        <v>45170</v>
      </c>
      <c r="Q44" s="128">
        <v>45170</v>
      </c>
      <c r="R44" s="201">
        <v>55025</v>
      </c>
      <c r="S44" s="171">
        <v>0</v>
      </c>
      <c r="T44" s="52">
        <v>0</v>
      </c>
      <c r="U44" s="52">
        <v>0</v>
      </c>
      <c r="V44" s="52">
        <v>0</v>
      </c>
      <c r="W44" s="2" t="str" cm="1">
        <f t="array" aca="1" ref="W44" ca="1">TRIM(SUBSTITUTE(_xlfn.ARRAYTOTEXT(IFERROR(CONCATENATE(SUMIF(INDIRECT("'"&amp;Assemblies[Assy]&amp;"'!"&amp;"C$5:C1000"), $C44, INDIRECT("'"&amp;Assemblies[Assy]&amp;"'!"&amp;"O$5:O1000")), "x",Assemblies[Assy],".",IF(SUMIF(INDIRECT("'"&amp;Assemblies[Assy]&amp;"'!"&amp;"C$5:C1000"), $C44, INDIRECT("'"&amp;Assemblies[Assy]&amp;"'!"&amp;"A$5:A1000"))=0,NA(),SUMIF(INDIRECT("'"&amp;Assemblies[Assy]&amp;"'!"&amp;"C$5:C1000"), $C44, INDIRECT("'"&amp;Assemblies[Assy]&amp;"'!"&amp;"A$5:A1000")))),"")), " ,", ""))</f>
        <v>,</v>
      </c>
      <c r="X44" s="2" t="s">
        <v>1773</v>
      </c>
      <c r="Y44" s="2" t="s">
        <v>1382</v>
      </c>
      <c r="Z44" s="2" t="s">
        <v>1382</v>
      </c>
      <c r="AA44" s="2" t="s">
        <v>1382</v>
      </c>
    </row>
    <row r="45" spans="1:27" ht="12.75">
      <c r="A45" s="115" t="s">
        <v>1879</v>
      </c>
      <c r="B45" s="115" t="s">
        <v>54</v>
      </c>
      <c r="C45" s="2" t="str">
        <f t="shared" si="0"/>
        <v>GF12.130.04.A</v>
      </c>
      <c r="D45" s="2" t="s">
        <v>1880</v>
      </c>
      <c r="E45" s="52">
        <f t="shared" si="1"/>
        <v>0</v>
      </c>
      <c r="F45" s="5" t="e" cm="1">
        <f t="array" aca="1" ref="F45" ca="1">SUMPRODUCT(SUMIF(INDIRECT("'"&amp;Assemblies[Assy]&amp;"'!"&amp;"C$5:C1000"),$C45,(INDIRECT("'"&amp;Assemblies[Assy]&amp;"'!"&amp;"O$5:O1000"))))</f>
        <v>#VALUE!</v>
      </c>
      <c r="G45" s="5">
        <v>10</v>
      </c>
      <c r="H45" s="5">
        <v>10</v>
      </c>
      <c r="I45" s="2" t="s">
        <v>1791</v>
      </c>
      <c r="J45" s="2" t="s">
        <v>1769</v>
      </c>
      <c r="K45" s="2" t="s">
        <v>1770</v>
      </c>
      <c r="L45" s="2" t="s">
        <v>1786</v>
      </c>
      <c r="M45" s="2" t="s">
        <v>1779</v>
      </c>
      <c r="N45" s="8">
        <v>45139</v>
      </c>
      <c r="O45" s="8">
        <v>45140</v>
      </c>
      <c r="P45" s="8">
        <v>45170</v>
      </c>
      <c r="Q45" s="128">
        <v>45170</v>
      </c>
      <c r="R45" s="201">
        <v>55025</v>
      </c>
      <c r="S45" s="171">
        <v>0</v>
      </c>
      <c r="T45" s="52">
        <v>0</v>
      </c>
      <c r="U45" s="52">
        <v>0</v>
      </c>
      <c r="V45" s="52">
        <v>0</v>
      </c>
      <c r="W45" s="2" t="str" cm="1">
        <f t="array" aca="1" ref="W45" ca="1">TRIM(SUBSTITUTE(_xlfn.ARRAYTOTEXT(IFERROR(CONCATENATE(SUMIF(INDIRECT("'"&amp;Assemblies[Assy]&amp;"'!"&amp;"C$5:C1000"), $C45, INDIRECT("'"&amp;Assemblies[Assy]&amp;"'!"&amp;"O$5:O1000")), "x",Assemblies[Assy],".",IF(SUMIF(INDIRECT("'"&amp;Assemblies[Assy]&amp;"'!"&amp;"C$5:C1000"), $C45, INDIRECT("'"&amp;Assemblies[Assy]&amp;"'!"&amp;"A$5:A1000"))=0,NA(),SUMIF(INDIRECT("'"&amp;Assemblies[Assy]&amp;"'!"&amp;"C$5:C1000"), $C45, INDIRECT("'"&amp;Assemblies[Assy]&amp;"'!"&amp;"A$5:A1000")))),"")), " ,", ""))</f>
        <v>,</v>
      </c>
      <c r="X45" s="2" t="s">
        <v>1773</v>
      </c>
      <c r="Y45" s="2" t="s">
        <v>1382</v>
      </c>
      <c r="Z45" s="2" t="s">
        <v>1382</v>
      </c>
      <c r="AA45" s="2" t="s">
        <v>1382</v>
      </c>
    </row>
    <row r="46" spans="1:27" ht="12.75">
      <c r="A46" s="115" t="s">
        <v>1881</v>
      </c>
      <c r="B46" s="115" t="s">
        <v>56</v>
      </c>
      <c r="C46" s="2" t="str">
        <f t="shared" si="0"/>
        <v>GF12.130.05.B</v>
      </c>
      <c r="D46" s="2" t="s">
        <v>1882</v>
      </c>
      <c r="E46" s="52">
        <f t="shared" si="1"/>
        <v>0</v>
      </c>
      <c r="F46" s="5" t="e" cm="1">
        <f t="array" aca="1" ref="F46" ca="1">SUMPRODUCT(SUMIF(INDIRECT("'"&amp;Assemblies[Assy]&amp;"'!"&amp;"C$5:C1000"),$C46,(INDIRECT("'"&amp;Assemblies[Assy]&amp;"'!"&amp;"O$5:O1000"))))</f>
        <v>#VALUE!</v>
      </c>
      <c r="G46" s="5">
        <v>10</v>
      </c>
      <c r="H46" s="5">
        <v>10</v>
      </c>
      <c r="I46" s="2" t="s">
        <v>1776</v>
      </c>
      <c r="J46" s="2" t="s">
        <v>1777</v>
      </c>
      <c r="K46" s="2" t="s">
        <v>1770</v>
      </c>
      <c r="L46" s="2" t="s">
        <v>1786</v>
      </c>
      <c r="M46" s="2" t="s">
        <v>1779</v>
      </c>
      <c r="N46" s="8">
        <v>45139</v>
      </c>
      <c r="O46" s="8">
        <v>45140</v>
      </c>
      <c r="P46" s="8">
        <v>45170</v>
      </c>
      <c r="Q46" s="128">
        <v>45170</v>
      </c>
      <c r="R46" s="201">
        <v>55025</v>
      </c>
      <c r="S46" s="171">
        <v>0</v>
      </c>
      <c r="T46" s="52">
        <v>0</v>
      </c>
      <c r="U46" s="52">
        <v>0</v>
      </c>
      <c r="V46" s="52">
        <v>0</v>
      </c>
      <c r="W46" s="2" t="str" cm="1">
        <f t="array" aca="1" ref="W46" ca="1">TRIM(SUBSTITUTE(_xlfn.ARRAYTOTEXT(IFERROR(CONCATENATE(SUMIF(INDIRECT("'"&amp;Assemblies[Assy]&amp;"'!"&amp;"C$5:C1000"), $C46, INDIRECT("'"&amp;Assemblies[Assy]&amp;"'!"&amp;"O$5:O1000")), "x",Assemblies[Assy],".",IF(SUMIF(INDIRECT("'"&amp;Assemblies[Assy]&amp;"'!"&amp;"C$5:C1000"), $C46, INDIRECT("'"&amp;Assemblies[Assy]&amp;"'!"&amp;"A$5:A1000"))=0,NA(),SUMIF(INDIRECT("'"&amp;Assemblies[Assy]&amp;"'!"&amp;"C$5:C1000"), $C46, INDIRECT("'"&amp;Assemblies[Assy]&amp;"'!"&amp;"A$5:A1000")))),"")), " ,", ""))</f>
        <v>,</v>
      </c>
      <c r="X46" s="2" t="s">
        <v>1773</v>
      </c>
      <c r="Y46" s="2" t="s">
        <v>1382</v>
      </c>
      <c r="Z46" s="2" t="s">
        <v>1382</v>
      </c>
      <c r="AA46" s="2" t="s">
        <v>1382</v>
      </c>
    </row>
    <row r="47" spans="1:27" ht="12.75">
      <c r="A47" s="115" t="s">
        <v>1883</v>
      </c>
      <c r="B47" s="115" t="s">
        <v>54</v>
      </c>
      <c r="C47" s="2" t="str">
        <f t="shared" si="0"/>
        <v>GF12.130.06.A</v>
      </c>
      <c r="D47" s="2" t="s">
        <v>1884</v>
      </c>
      <c r="E47" s="52">
        <f t="shared" si="1"/>
        <v>0</v>
      </c>
      <c r="F47" s="5" t="e" cm="1">
        <f t="array" aca="1" ref="F47" ca="1">SUMPRODUCT(SUMIF(INDIRECT("'"&amp;Assemblies[Assy]&amp;"'!"&amp;"C$5:C1000"),$C47,(INDIRECT("'"&amp;Assemblies[Assy]&amp;"'!"&amp;"O$5:O1000"))))</f>
        <v>#VALUE!</v>
      </c>
      <c r="G47" s="5">
        <v>10</v>
      </c>
      <c r="H47" s="5">
        <v>10</v>
      </c>
      <c r="I47" s="2" t="s">
        <v>1776</v>
      </c>
      <c r="J47" s="2" t="s">
        <v>1777</v>
      </c>
      <c r="K47" s="2" t="s">
        <v>1770</v>
      </c>
      <c r="L47" s="2" t="s">
        <v>1786</v>
      </c>
      <c r="M47" s="2" t="s">
        <v>1779</v>
      </c>
      <c r="N47" s="8">
        <v>45139</v>
      </c>
      <c r="O47" s="8">
        <v>45140</v>
      </c>
      <c r="P47" s="8">
        <v>45170</v>
      </c>
      <c r="Q47" s="128">
        <v>45170</v>
      </c>
      <c r="R47" s="201">
        <v>55025</v>
      </c>
      <c r="S47" s="171">
        <v>0</v>
      </c>
      <c r="T47" s="52">
        <v>0</v>
      </c>
      <c r="U47" s="52">
        <v>0</v>
      </c>
      <c r="V47" s="52">
        <v>0</v>
      </c>
      <c r="W47" s="2" t="str" cm="1">
        <f t="array" aca="1" ref="W47" ca="1">TRIM(SUBSTITUTE(_xlfn.ARRAYTOTEXT(IFERROR(CONCATENATE(SUMIF(INDIRECT("'"&amp;Assemblies[Assy]&amp;"'!"&amp;"C$5:C1000"), $C47, INDIRECT("'"&amp;Assemblies[Assy]&amp;"'!"&amp;"O$5:O1000")), "x",Assemblies[Assy],".",IF(SUMIF(INDIRECT("'"&amp;Assemblies[Assy]&amp;"'!"&amp;"C$5:C1000"), $C47, INDIRECT("'"&amp;Assemblies[Assy]&amp;"'!"&amp;"A$5:A1000"))=0,NA(),SUMIF(INDIRECT("'"&amp;Assemblies[Assy]&amp;"'!"&amp;"C$5:C1000"), $C47, INDIRECT("'"&amp;Assemblies[Assy]&amp;"'!"&amp;"A$5:A1000")))),"")), " ,", ""))</f>
        <v>,</v>
      </c>
      <c r="X47" s="2" t="s">
        <v>1773</v>
      </c>
      <c r="Y47" s="2" t="s">
        <v>1382</v>
      </c>
      <c r="Z47" s="2" t="s">
        <v>1382</v>
      </c>
      <c r="AA47" s="2" t="s">
        <v>1382</v>
      </c>
    </row>
    <row r="48" spans="1:27" ht="12.75">
      <c r="A48" s="115" t="s">
        <v>1885</v>
      </c>
      <c r="B48" s="115" t="s">
        <v>56</v>
      </c>
      <c r="C48" s="2" t="str">
        <f t="shared" si="0"/>
        <v>GF12.130.07.B</v>
      </c>
      <c r="D48" s="2" t="s">
        <v>1886</v>
      </c>
      <c r="E48" s="52">
        <f t="shared" si="1"/>
        <v>369.8</v>
      </c>
      <c r="F48" s="5" t="e" cm="1">
        <f t="array" aca="1" ref="F48" ca="1">SUMPRODUCT(SUMIF(INDIRECT("'"&amp;Assemblies[Assy]&amp;"'!"&amp;"C$5:C1000"),$C48,(INDIRECT("'"&amp;Assemblies[Assy]&amp;"'!"&amp;"O$5:O1000"))))</f>
        <v>#VALUE!</v>
      </c>
      <c r="G48" s="5">
        <v>5</v>
      </c>
      <c r="H48" s="5">
        <v>5</v>
      </c>
      <c r="I48" s="2" t="s">
        <v>1791</v>
      </c>
      <c r="J48" s="2" t="s">
        <v>1769</v>
      </c>
      <c r="K48" s="2" t="s">
        <v>1770</v>
      </c>
      <c r="L48" s="2" t="s">
        <v>1783</v>
      </c>
      <c r="M48" s="2" t="s">
        <v>1779</v>
      </c>
      <c r="N48" s="8">
        <v>45142</v>
      </c>
      <c r="O48" s="8">
        <v>45146</v>
      </c>
      <c r="P48" s="8">
        <v>45170</v>
      </c>
      <c r="Q48" s="128">
        <v>45170</v>
      </c>
      <c r="R48" s="201">
        <v>55041</v>
      </c>
      <c r="S48" s="173">
        <v>369.8</v>
      </c>
      <c r="T48" s="52">
        <v>0</v>
      </c>
      <c r="U48" s="52">
        <v>0</v>
      </c>
      <c r="V48" s="52">
        <v>0</v>
      </c>
      <c r="W48" s="2" t="str" cm="1">
        <f t="array" aca="1" ref="W48" ca="1">TRIM(SUBSTITUTE(_xlfn.ARRAYTOTEXT(IFERROR(CONCATENATE(SUMIF(INDIRECT("'"&amp;Assemblies[Assy]&amp;"'!"&amp;"C$5:C1000"), $C48, INDIRECT("'"&amp;Assemblies[Assy]&amp;"'!"&amp;"O$5:O1000")), "x",Assemblies[Assy],".",IF(SUMIF(INDIRECT("'"&amp;Assemblies[Assy]&amp;"'!"&amp;"C$5:C1000"), $C48, INDIRECT("'"&amp;Assemblies[Assy]&amp;"'!"&amp;"A$5:A1000"))=0,NA(),SUMIF(INDIRECT("'"&amp;Assemblies[Assy]&amp;"'!"&amp;"C$5:C1000"), $C48, INDIRECT("'"&amp;Assemblies[Assy]&amp;"'!"&amp;"A$5:A1000")))),"")), " ,", ""))</f>
        <v>,</v>
      </c>
      <c r="X48" s="2" t="s">
        <v>1773</v>
      </c>
      <c r="Y48" s="2" t="s">
        <v>1382</v>
      </c>
      <c r="Z48" s="2" t="s">
        <v>1382</v>
      </c>
      <c r="AA48" s="2" t="s">
        <v>1382</v>
      </c>
    </row>
    <row r="49" spans="1:27" ht="12.75">
      <c r="A49" s="115" t="s">
        <v>1887</v>
      </c>
      <c r="B49" s="115" t="s">
        <v>54</v>
      </c>
      <c r="C49" s="2" t="str">
        <f t="shared" si="0"/>
        <v>GF12.130.08.A</v>
      </c>
      <c r="D49" s="2" t="s">
        <v>1888</v>
      </c>
      <c r="E49" s="52">
        <f t="shared" si="1"/>
        <v>0</v>
      </c>
      <c r="F49" s="5" t="e" cm="1">
        <f t="array" aca="1" ref="F49" ca="1">SUMPRODUCT(SUMIF(INDIRECT("'"&amp;Assemblies[Assy]&amp;"'!"&amp;"C$5:C1000"),$C49,(INDIRECT("'"&amp;Assemblies[Assy]&amp;"'!"&amp;"O$5:O1000"))))</f>
        <v>#VALUE!</v>
      </c>
      <c r="G49" s="5">
        <v>10</v>
      </c>
      <c r="H49" s="5">
        <v>10</v>
      </c>
      <c r="I49" s="2" t="s">
        <v>1791</v>
      </c>
      <c r="J49" s="2" t="s">
        <v>1769</v>
      </c>
      <c r="K49" s="2" t="s">
        <v>1770</v>
      </c>
      <c r="L49" s="2" t="s">
        <v>1786</v>
      </c>
      <c r="M49" s="2" t="s">
        <v>1779</v>
      </c>
      <c r="N49" s="8">
        <v>45139</v>
      </c>
      <c r="O49" s="8">
        <v>45140</v>
      </c>
      <c r="P49" s="8">
        <v>45170</v>
      </c>
      <c r="Q49" s="128">
        <v>45170</v>
      </c>
      <c r="R49" s="201">
        <v>55025</v>
      </c>
      <c r="S49" s="171">
        <v>0</v>
      </c>
      <c r="T49" s="52">
        <v>0</v>
      </c>
      <c r="U49" s="52">
        <v>0</v>
      </c>
      <c r="V49" s="52">
        <v>0</v>
      </c>
      <c r="W49" s="2" t="str" cm="1">
        <f t="array" aca="1" ref="W49" ca="1">TRIM(SUBSTITUTE(_xlfn.ARRAYTOTEXT(IFERROR(CONCATENATE(SUMIF(INDIRECT("'"&amp;Assemblies[Assy]&amp;"'!"&amp;"C$5:C1000"), $C49, INDIRECT("'"&amp;Assemblies[Assy]&amp;"'!"&amp;"O$5:O1000")), "x",Assemblies[Assy],".",IF(SUMIF(INDIRECT("'"&amp;Assemblies[Assy]&amp;"'!"&amp;"C$5:C1000"), $C49, INDIRECT("'"&amp;Assemblies[Assy]&amp;"'!"&amp;"A$5:A1000"))=0,NA(),SUMIF(INDIRECT("'"&amp;Assemblies[Assy]&amp;"'!"&amp;"C$5:C1000"), $C49, INDIRECT("'"&amp;Assemblies[Assy]&amp;"'!"&amp;"A$5:A1000")))),"")), " ,", ""))</f>
        <v>,</v>
      </c>
      <c r="X49" s="2" t="s">
        <v>1773</v>
      </c>
      <c r="Y49" s="2" t="s">
        <v>1382</v>
      </c>
      <c r="Z49" s="2" t="s">
        <v>1382</v>
      </c>
      <c r="AA49" s="2" t="s">
        <v>1382</v>
      </c>
    </row>
    <row r="50" spans="1:27" ht="12.75">
      <c r="A50" s="115" t="s">
        <v>1889</v>
      </c>
      <c r="B50" s="115" t="s">
        <v>54</v>
      </c>
      <c r="C50" s="2" t="str">
        <f t="shared" si="0"/>
        <v>GF12.130.09.A</v>
      </c>
      <c r="D50" s="2" t="s">
        <v>1890</v>
      </c>
      <c r="E50" s="52">
        <f t="shared" si="1"/>
        <v>0</v>
      </c>
      <c r="F50" s="5" t="e" cm="1">
        <f t="array" aca="1" ref="F50" ca="1">SUMPRODUCT(SUMIF(INDIRECT("'"&amp;Assemblies[Assy]&amp;"'!"&amp;"C$5:C1000"),$C50,(INDIRECT("'"&amp;Assemblies[Assy]&amp;"'!"&amp;"O$5:O1000"))))</f>
        <v>#VALUE!</v>
      </c>
      <c r="G50" s="5">
        <v>10</v>
      </c>
      <c r="H50" s="5">
        <v>10</v>
      </c>
      <c r="I50" s="2" t="s">
        <v>1791</v>
      </c>
      <c r="J50" s="2" t="s">
        <v>1769</v>
      </c>
      <c r="K50" s="2" t="s">
        <v>1770</v>
      </c>
      <c r="L50" s="2" t="s">
        <v>1786</v>
      </c>
      <c r="M50" s="2" t="s">
        <v>1779</v>
      </c>
      <c r="N50" s="8">
        <v>45139</v>
      </c>
      <c r="O50" s="8">
        <v>45140</v>
      </c>
      <c r="P50" s="8">
        <v>45170</v>
      </c>
      <c r="Q50" s="128">
        <v>45170</v>
      </c>
      <c r="R50" s="201">
        <v>55025</v>
      </c>
      <c r="S50" s="171">
        <v>0</v>
      </c>
      <c r="T50" s="52">
        <v>0</v>
      </c>
      <c r="U50" s="52">
        <v>0</v>
      </c>
      <c r="V50" s="52">
        <v>0</v>
      </c>
      <c r="W50" s="2" t="str" cm="1">
        <f t="array" aca="1" ref="W50" ca="1">TRIM(SUBSTITUTE(_xlfn.ARRAYTOTEXT(IFERROR(CONCATENATE(SUMIF(INDIRECT("'"&amp;Assemblies[Assy]&amp;"'!"&amp;"C$5:C1000"), $C50, INDIRECT("'"&amp;Assemblies[Assy]&amp;"'!"&amp;"O$5:O1000")), "x",Assemblies[Assy],".",IF(SUMIF(INDIRECT("'"&amp;Assemblies[Assy]&amp;"'!"&amp;"C$5:C1000"), $C50, INDIRECT("'"&amp;Assemblies[Assy]&amp;"'!"&amp;"A$5:A1000"))=0,NA(),SUMIF(INDIRECT("'"&amp;Assemblies[Assy]&amp;"'!"&amp;"C$5:C1000"), $C50, INDIRECT("'"&amp;Assemblies[Assy]&amp;"'!"&amp;"A$5:A1000")))),"")), " ,", ""))</f>
        <v>,</v>
      </c>
      <c r="X50" s="2" t="s">
        <v>1773</v>
      </c>
      <c r="Y50" s="2" t="s">
        <v>1382</v>
      </c>
      <c r="Z50" s="2" t="s">
        <v>1382</v>
      </c>
      <c r="AA50" s="2" t="s">
        <v>1382</v>
      </c>
    </row>
    <row r="51" spans="1:27" ht="14.45" customHeight="1">
      <c r="A51" s="115" t="s">
        <v>1891</v>
      </c>
      <c r="B51" s="115" t="s">
        <v>54</v>
      </c>
      <c r="C51" s="2" t="str">
        <f t="shared" si="0"/>
        <v>GF12.130.10.A</v>
      </c>
      <c r="D51" s="2" t="s">
        <v>1892</v>
      </c>
      <c r="E51" s="52">
        <f t="shared" si="1"/>
        <v>0</v>
      </c>
      <c r="F51" s="5" t="e" cm="1">
        <f t="array" aca="1" ref="F51" ca="1">SUMPRODUCT(SUMIF(INDIRECT("'"&amp;Assemblies[Assy]&amp;"'!"&amp;"C$5:C1000"),$C51,(INDIRECT("'"&amp;Assemblies[Assy]&amp;"'!"&amp;"O$5:O1000"))))</f>
        <v>#VALUE!</v>
      </c>
      <c r="G51" s="5">
        <v>10</v>
      </c>
      <c r="H51" s="5">
        <v>10</v>
      </c>
      <c r="I51" s="2" t="s">
        <v>1791</v>
      </c>
      <c r="J51" s="2" t="s">
        <v>1769</v>
      </c>
      <c r="K51" s="2" t="s">
        <v>1770</v>
      </c>
      <c r="L51" s="2" t="s">
        <v>1786</v>
      </c>
      <c r="M51" s="2" t="s">
        <v>1779</v>
      </c>
      <c r="N51" s="8">
        <v>45139</v>
      </c>
      <c r="O51" s="8">
        <v>45140</v>
      </c>
      <c r="P51" s="8">
        <v>45170</v>
      </c>
      <c r="Q51" s="128">
        <v>45170</v>
      </c>
      <c r="R51" s="201">
        <v>55025</v>
      </c>
      <c r="S51" s="171">
        <v>0</v>
      </c>
      <c r="T51" s="52">
        <v>0</v>
      </c>
      <c r="U51" s="52">
        <v>0</v>
      </c>
      <c r="V51" s="52">
        <v>0</v>
      </c>
      <c r="W51" s="2" t="str" cm="1">
        <f t="array" aca="1" ref="W51" ca="1">TRIM(SUBSTITUTE(_xlfn.ARRAYTOTEXT(IFERROR(CONCATENATE(SUMIF(INDIRECT("'"&amp;Assemblies[Assy]&amp;"'!"&amp;"C$5:C1000"), $C51, INDIRECT("'"&amp;Assemblies[Assy]&amp;"'!"&amp;"O$5:O1000")), "x",Assemblies[Assy],".",IF(SUMIF(INDIRECT("'"&amp;Assemblies[Assy]&amp;"'!"&amp;"C$5:C1000"), $C51, INDIRECT("'"&amp;Assemblies[Assy]&amp;"'!"&amp;"A$5:A1000"))=0,NA(),SUMIF(INDIRECT("'"&amp;Assemblies[Assy]&amp;"'!"&amp;"C$5:C1000"), $C51, INDIRECT("'"&amp;Assemblies[Assy]&amp;"'!"&amp;"A$5:A1000")))),"")), " ,", ""))</f>
        <v>,</v>
      </c>
      <c r="X51" s="2" t="s">
        <v>1773</v>
      </c>
      <c r="Y51" s="2" t="s">
        <v>1382</v>
      </c>
      <c r="Z51" s="2" t="s">
        <v>1382</v>
      </c>
      <c r="AA51" s="2" t="s">
        <v>1382</v>
      </c>
    </row>
    <row r="52" spans="1:27" ht="12.75">
      <c r="A52" s="115" t="s">
        <v>1893</v>
      </c>
      <c r="B52" s="115" t="s">
        <v>54</v>
      </c>
      <c r="C52" s="2" t="str">
        <f t="shared" si="0"/>
        <v>GF12.130.11.A</v>
      </c>
      <c r="D52" s="2" t="s">
        <v>1894</v>
      </c>
      <c r="E52" s="52">
        <f t="shared" si="1"/>
        <v>0</v>
      </c>
      <c r="F52" s="5" t="e" cm="1">
        <f t="array" aca="1" ref="F52" ca="1">SUMPRODUCT(SUMIF(INDIRECT("'"&amp;Assemblies[Assy]&amp;"'!"&amp;"C$5:C1000"),$C52,(INDIRECT("'"&amp;Assemblies[Assy]&amp;"'!"&amp;"O$5:O1000"))))</f>
        <v>#VALUE!</v>
      </c>
      <c r="G52" s="5">
        <v>10</v>
      </c>
      <c r="H52" s="5">
        <v>10</v>
      </c>
      <c r="I52" s="2" t="s">
        <v>1791</v>
      </c>
      <c r="J52" s="2" t="s">
        <v>1769</v>
      </c>
      <c r="K52" s="2" t="s">
        <v>1770</v>
      </c>
      <c r="L52" s="2" t="s">
        <v>1786</v>
      </c>
      <c r="M52" s="2" t="s">
        <v>1779</v>
      </c>
      <c r="N52" s="8">
        <v>45139</v>
      </c>
      <c r="O52" s="8">
        <v>45140</v>
      </c>
      <c r="P52" s="8">
        <v>45170</v>
      </c>
      <c r="Q52" s="128">
        <v>45170</v>
      </c>
      <c r="R52" s="201">
        <v>55025</v>
      </c>
      <c r="S52" s="171">
        <v>0</v>
      </c>
      <c r="T52" s="52">
        <v>0</v>
      </c>
      <c r="U52" s="52">
        <v>0</v>
      </c>
      <c r="V52" s="52">
        <v>0</v>
      </c>
      <c r="W52" s="2" t="str" cm="1">
        <f t="array" aca="1" ref="W52" ca="1">TRIM(SUBSTITUTE(_xlfn.ARRAYTOTEXT(IFERROR(CONCATENATE(SUMIF(INDIRECT("'"&amp;Assemblies[Assy]&amp;"'!"&amp;"C$5:C1000"), $C52, INDIRECT("'"&amp;Assemblies[Assy]&amp;"'!"&amp;"O$5:O1000")), "x",Assemblies[Assy],".",IF(SUMIF(INDIRECT("'"&amp;Assemblies[Assy]&amp;"'!"&amp;"C$5:C1000"), $C52, INDIRECT("'"&amp;Assemblies[Assy]&amp;"'!"&amp;"A$5:A1000"))=0,NA(),SUMIF(INDIRECT("'"&amp;Assemblies[Assy]&amp;"'!"&amp;"C$5:C1000"), $C52, INDIRECT("'"&amp;Assemblies[Assy]&amp;"'!"&amp;"A$5:A1000")))),"")), " ,", ""))</f>
        <v>,</v>
      </c>
      <c r="X52" s="2" t="s">
        <v>1773</v>
      </c>
      <c r="Y52" s="2" t="s">
        <v>1382</v>
      </c>
      <c r="Z52" s="2" t="s">
        <v>1382</v>
      </c>
      <c r="AA52" s="2" t="s">
        <v>1382</v>
      </c>
    </row>
    <row r="53" spans="1:27" ht="18">
      <c r="A53" s="191" t="s">
        <v>1895</v>
      </c>
      <c r="B53" s="200" t="s">
        <v>54</v>
      </c>
      <c r="C53" s="192" t="str">
        <f t="shared" si="0"/>
        <v>GF12.131.03.A</v>
      </c>
      <c r="D53" s="191" t="s">
        <v>1896</v>
      </c>
      <c r="E53" s="193">
        <f t="shared" si="1"/>
        <v>233.53</v>
      </c>
      <c r="F53" s="194" t="e" cm="1">
        <f t="array" aca="1" ref="F53" ca="1">SUMPRODUCT(SUMIF(INDIRECT("'"&amp;Assemblies[Assy]&amp;"'!"&amp;"C$5:C1000"),$C53,(INDIRECT("'"&amp;Assemblies[Assy]&amp;"'!"&amp;"O$5:O1000"))))</f>
        <v>#VALUE!</v>
      </c>
      <c r="G53" s="194">
        <v>33</v>
      </c>
      <c r="H53" s="194">
        <v>33</v>
      </c>
      <c r="I53" s="191" t="s">
        <v>1791</v>
      </c>
      <c r="J53" s="192" t="s">
        <v>1769</v>
      </c>
      <c r="K53" s="192" t="s">
        <v>1897</v>
      </c>
      <c r="L53" s="192" t="s">
        <v>1803</v>
      </c>
      <c r="M53" s="192" t="s">
        <v>1898</v>
      </c>
      <c r="N53" s="195" t="s">
        <v>1762</v>
      </c>
      <c r="O53" s="195">
        <v>45126</v>
      </c>
      <c r="P53" s="195">
        <v>45148</v>
      </c>
      <c r="Q53" s="196">
        <v>45148</v>
      </c>
      <c r="R53" s="225">
        <v>55001</v>
      </c>
      <c r="S53" s="197">
        <v>131.03</v>
      </c>
      <c r="T53" s="52">
        <v>102.5</v>
      </c>
      <c r="U53" s="52">
        <v>0</v>
      </c>
      <c r="V53" s="52">
        <v>0</v>
      </c>
      <c r="W53" s="192" t="str" cm="1">
        <f t="array" aca="1" ref="W53" ca="1">TRIM(SUBSTITUTE(_xlfn.ARRAYTOTEXT(IFERROR(CONCATENATE(SUMIF(INDIRECT("'"&amp;Assemblies[Assy]&amp;"'!"&amp;"C$5:C1000"), $C53, INDIRECT("'"&amp;Assemblies[Assy]&amp;"'!"&amp;"O$5:O1000")), "x",Assemblies[Assy],".",IF(SUMIF(INDIRECT("'"&amp;Assemblies[Assy]&amp;"'!"&amp;"C$5:C1000"), $C53, INDIRECT("'"&amp;Assemblies[Assy]&amp;"'!"&amp;"A$5:A1000"))=0,NA(),SUMIF(INDIRECT("'"&amp;Assemblies[Assy]&amp;"'!"&amp;"C$5:C1000"), $C53, INDIRECT("'"&amp;Assemblies[Assy]&amp;"'!"&amp;"A$5:A1000")))),"")), " ,", ""))</f>
        <v>,</v>
      </c>
      <c r="X53" s="192" t="s">
        <v>1773</v>
      </c>
      <c r="Y53" s="198" t="s">
        <v>1382</v>
      </c>
      <c r="Z53" s="199" t="s">
        <v>1899</v>
      </c>
      <c r="AA53" s="2" t="s">
        <v>1382</v>
      </c>
    </row>
    <row r="54" spans="1:27" ht="12.75">
      <c r="A54" s="150" t="s">
        <v>1900</v>
      </c>
      <c r="B54" s="115" t="s">
        <v>54</v>
      </c>
      <c r="C54" s="2" t="str">
        <f t="shared" si="0"/>
        <v>GF12.132.01.A</v>
      </c>
      <c r="D54" s="150" t="s">
        <v>1901</v>
      </c>
      <c r="E54" s="52">
        <f t="shared" si="1"/>
        <v>1878.37</v>
      </c>
      <c r="F54" s="5" t="e" cm="1">
        <f t="array" aca="1" ref="F54" ca="1">SUMPRODUCT(SUMIF(INDIRECT("'"&amp;Assemblies[Assy]&amp;"'!"&amp;"C$5:C1000"),$C54,(INDIRECT("'"&amp;Assemblies[Assy]&amp;"'!"&amp;"O$5:O1000"))))</f>
        <v>#VALUE!</v>
      </c>
      <c r="G54" s="5">
        <v>5</v>
      </c>
      <c r="H54" s="5">
        <v>5</v>
      </c>
      <c r="I54" s="2" t="s">
        <v>1902</v>
      </c>
      <c r="J54" s="2" t="s">
        <v>1777</v>
      </c>
      <c r="K54" s="2" t="s">
        <v>1897</v>
      </c>
      <c r="L54" s="2" t="s">
        <v>1803</v>
      </c>
      <c r="M54" s="2" t="s">
        <v>1903</v>
      </c>
      <c r="N54" s="8" t="s">
        <v>1762</v>
      </c>
      <c r="O54" s="8">
        <v>45124</v>
      </c>
      <c r="P54" s="8">
        <v>45147</v>
      </c>
      <c r="Q54" s="128">
        <v>45147</v>
      </c>
      <c r="R54" s="201">
        <v>54996</v>
      </c>
      <c r="S54" s="173">
        <v>1878.37</v>
      </c>
      <c r="T54" s="52">
        <v>0</v>
      </c>
      <c r="U54" s="52">
        <v>0</v>
      </c>
      <c r="V54" s="52">
        <v>0</v>
      </c>
      <c r="W54" s="2" t="str" cm="1">
        <f t="array" aca="1" ref="W54" ca="1">TRIM(SUBSTITUTE(_xlfn.ARRAYTOTEXT(IFERROR(CONCATENATE(SUMIF(INDIRECT("'"&amp;Assemblies[Assy]&amp;"'!"&amp;"C$5:C1000"), $C54, INDIRECT("'"&amp;Assemblies[Assy]&amp;"'!"&amp;"O$5:O1000")), "x",Assemblies[Assy],".",IF(SUMIF(INDIRECT("'"&amp;Assemblies[Assy]&amp;"'!"&amp;"C$5:C1000"), $C54, INDIRECT("'"&amp;Assemblies[Assy]&amp;"'!"&amp;"A$5:A1000"))=0,NA(),SUMIF(INDIRECT("'"&amp;Assemblies[Assy]&amp;"'!"&amp;"C$5:C1000"), $C54, INDIRECT("'"&amp;Assemblies[Assy]&amp;"'!"&amp;"A$5:A1000")))),"")), " ,", ""))</f>
        <v>,</v>
      </c>
      <c r="X54" s="2" t="s">
        <v>1773</v>
      </c>
      <c r="Y54" s="2" t="s">
        <v>1382</v>
      </c>
      <c r="Z54" s="181" t="s">
        <v>1904</v>
      </c>
      <c r="AA54" s="2" t="s">
        <v>1382</v>
      </c>
    </row>
    <row r="55" spans="1:27" ht="12.75">
      <c r="A55" s="150" t="s">
        <v>1905</v>
      </c>
      <c r="B55" s="115" t="s">
        <v>54</v>
      </c>
      <c r="C55" s="2" t="str">
        <f t="shared" si="0"/>
        <v>GF12.133.01.A</v>
      </c>
      <c r="D55" s="150" t="s">
        <v>1906</v>
      </c>
      <c r="E55" s="52">
        <f t="shared" si="1"/>
        <v>0</v>
      </c>
      <c r="F55" s="5" t="e" cm="1">
        <f t="array" aca="1" ref="F55" ca="1">SUMPRODUCT(SUMIF(INDIRECT("'"&amp;Assemblies[Assy]&amp;"'!"&amp;"C$5:C1000"),$C55,(INDIRECT("'"&amp;Assemblies[Assy]&amp;"'!"&amp;"O$5:O1000"))))</f>
        <v>#VALUE!</v>
      </c>
      <c r="G55" s="5">
        <v>5</v>
      </c>
      <c r="H55" s="5">
        <v>5</v>
      </c>
      <c r="I55" s="2" t="s">
        <v>1791</v>
      </c>
      <c r="J55" s="2" t="s">
        <v>1769</v>
      </c>
      <c r="K55" s="2" t="s">
        <v>1770</v>
      </c>
      <c r="L55" s="2" t="s">
        <v>1786</v>
      </c>
      <c r="M55" s="2" t="s">
        <v>1779</v>
      </c>
      <c r="N55" s="8">
        <v>45139</v>
      </c>
      <c r="O55" s="8">
        <v>45140</v>
      </c>
      <c r="P55" s="8">
        <v>45170</v>
      </c>
      <c r="Q55" s="128">
        <v>45170</v>
      </c>
      <c r="R55" s="201">
        <v>55025</v>
      </c>
      <c r="S55" s="171">
        <v>0</v>
      </c>
      <c r="T55" s="52">
        <v>0</v>
      </c>
      <c r="U55" s="52">
        <v>0</v>
      </c>
      <c r="V55" s="52">
        <v>0</v>
      </c>
      <c r="W55" s="2" t="str" cm="1">
        <f t="array" aca="1" ref="W55" ca="1">TRIM(SUBSTITUTE(_xlfn.ARRAYTOTEXT(IFERROR(CONCATENATE(SUMIF(INDIRECT("'"&amp;Assemblies[Assy]&amp;"'!"&amp;"C$5:C1000"), $C55, INDIRECT("'"&amp;Assemblies[Assy]&amp;"'!"&amp;"O$5:O1000")), "x",Assemblies[Assy],".",IF(SUMIF(INDIRECT("'"&amp;Assemblies[Assy]&amp;"'!"&amp;"C$5:C1000"), $C55, INDIRECT("'"&amp;Assemblies[Assy]&amp;"'!"&amp;"A$5:A1000"))=0,NA(),SUMIF(INDIRECT("'"&amp;Assemblies[Assy]&amp;"'!"&amp;"C$5:C1000"), $C55, INDIRECT("'"&amp;Assemblies[Assy]&amp;"'!"&amp;"A$5:A1000")))),"")), " ,", ""))</f>
        <v>,</v>
      </c>
      <c r="X55" s="2" t="s">
        <v>1773</v>
      </c>
      <c r="Y55" s="2" t="s">
        <v>1382</v>
      </c>
      <c r="Z55" s="2" t="s">
        <v>1382</v>
      </c>
      <c r="AA55" s="2" t="s">
        <v>1382</v>
      </c>
    </row>
    <row r="56" spans="1:27" ht="12.75">
      <c r="A56" s="150" t="s">
        <v>1907</v>
      </c>
      <c r="B56" s="115" t="s">
        <v>54</v>
      </c>
      <c r="C56" s="2" t="str">
        <f t="shared" si="0"/>
        <v>GF12.133.02.A</v>
      </c>
      <c r="D56" s="150" t="s">
        <v>1908</v>
      </c>
      <c r="E56" s="52">
        <f t="shared" si="1"/>
        <v>0</v>
      </c>
      <c r="F56" s="5" t="e" cm="1">
        <f t="array" aca="1" ref="F56" ca="1">SUMPRODUCT(SUMIF(INDIRECT("'"&amp;Assemblies[Assy]&amp;"'!"&amp;"C$5:C1000"),$C56,(INDIRECT("'"&amp;Assemblies[Assy]&amp;"'!"&amp;"O$5:O1000"))))</f>
        <v>#VALUE!</v>
      </c>
      <c r="G56" s="5">
        <v>10</v>
      </c>
      <c r="H56" s="5">
        <v>10</v>
      </c>
      <c r="I56" s="2" t="s">
        <v>1776</v>
      </c>
      <c r="J56" s="2" t="s">
        <v>1777</v>
      </c>
      <c r="K56" s="2" t="s">
        <v>1770</v>
      </c>
      <c r="L56" s="2" t="s">
        <v>1786</v>
      </c>
      <c r="M56" s="2" t="s">
        <v>1779</v>
      </c>
      <c r="N56" s="8">
        <v>45139</v>
      </c>
      <c r="O56" s="8">
        <v>45140</v>
      </c>
      <c r="P56" s="8">
        <v>45170</v>
      </c>
      <c r="Q56" s="162">
        <v>45170</v>
      </c>
      <c r="R56" s="201">
        <v>55025</v>
      </c>
      <c r="S56" s="171">
        <v>0</v>
      </c>
      <c r="T56" s="52">
        <v>0</v>
      </c>
      <c r="U56" s="52">
        <v>0</v>
      </c>
      <c r="V56" s="52">
        <v>0</v>
      </c>
      <c r="W56" s="2" t="str" cm="1">
        <f t="array" aca="1" ref="W56" ca="1">TRIM(SUBSTITUTE(_xlfn.ARRAYTOTEXT(IFERROR(CONCATENATE(SUMIF(INDIRECT("'"&amp;Assemblies[Assy]&amp;"'!"&amp;"C$5:C1000"), $C56, INDIRECT("'"&amp;Assemblies[Assy]&amp;"'!"&amp;"O$5:O1000")), "x",Assemblies[Assy],".",IF(SUMIF(INDIRECT("'"&amp;Assemblies[Assy]&amp;"'!"&amp;"C$5:C1000"), $C56, INDIRECT("'"&amp;Assemblies[Assy]&amp;"'!"&amp;"A$5:A1000"))=0,NA(),SUMIF(INDIRECT("'"&amp;Assemblies[Assy]&amp;"'!"&amp;"C$5:C1000"), $C56, INDIRECT("'"&amp;Assemblies[Assy]&amp;"'!"&amp;"A$5:A1000")))),"")), " ,", ""))</f>
        <v>,</v>
      </c>
      <c r="X56" s="2" t="s">
        <v>1773</v>
      </c>
      <c r="Y56" s="2" t="s">
        <v>1382</v>
      </c>
      <c r="Z56" s="2" t="s">
        <v>1382</v>
      </c>
      <c r="AA56" s="2" t="s">
        <v>1382</v>
      </c>
    </row>
    <row r="57" spans="1:27" ht="12.75">
      <c r="A57" s="115" t="s">
        <v>1909</v>
      </c>
      <c r="B57" s="115" t="s">
        <v>54</v>
      </c>
      <c r="C57" s="2" t="str">
        <f t="shared" si="0"/>
        <v>GF12.134.01.A</v>
      </c>
      <c r="D57" s="2" t="s">
        <v>1910</v>
      </c>
      <c r="E57" s="52">
        <f t="shared" si="1"/>
        <v>0</v>
      </c>
      <c r="F57" s="5" t="e" cm="1">
        <f t="array" aca="1" ref="F57" ca="1">SUMPRODUCT(SUMIF(INDIRECT("'"&amp;Assemblies[Assy]&amp;"'!"&amp;"C$5:C1000"),$C57,(INDIRECT("'"&amp;Assemblies[Assy]&amp;"'!"&amp;"O$5:O1000"))))</f>
        <v>#VALUE!</v>
      </c>
      <c r="G57" s="5">
        <v>5</v>
      </c>
      <c r="H57" s="5">
        <v>5</v>
      </c>
      <c r="I57" s="2" t="s">
        <v>1791</v>
      </c>
      <c r="J57" s="2" t="s">
        <v>1769</v>
      </c>
      <c r="K57" s="2" t="s">
        <v>1382</v>
      </c>
      <c r="L57" s="2" t="s">
        <v>1812</v>
      </c>
      <c r="M57" s="2" t="s">
        <v>1779</v>
      </c>
      <c r="N57" s="163" t="s">
        <v>1762</v>
      </c>
      <c r="O57" s="163" t="s">
        <v>1762</v>
      </c>
      <c r="P57" s="163" t="s">
        <v>1762</v>
      </c>
      <c r="Q57" s="163" t="s">
        <v>1762</v>
      </c>
      <c r="R57" s="222" t="s">
        <v>1762</v>
      </c>
      <c r="S57" s="153">
        <v>0</v>
      </c>
      <c r="T57" s="52">
        <v>0</v>
      </c>
      <c r="U57" s="52">
        <v>0</v>
      </c>
      <c r="V57" s="52">
        <v>0</v>
      </c>
      <c r="W57" s="2" t="str" cm="1">
        <f t="array" aca="1" ref="W57" ca="1">TRIM(SUBSTITUTE(_xlfn.ARRAYTOTEXT(IFERROR(CONCATENATE(SUMIF(INDIRECT("'"&amp;Assemblies[Assy]&amp;"'!"&amp;"C$5:C1000"), $C57, INDIRECT("'"&amp;Assemblies[Assy]&amp;"'!"&amp;"O$5:O1000")), "x",Assemblies[Assy],".",IF(SUMIF(INDIRECT("'"&amp;Assemblies[Assy]&amp;"'!"&amp;"C$5:C1000"), $C57, INDIRECT("'"&amp;Assemblies[Assy]&amp;"'!"&amp;"A$5:A1000"))=0,NA(),SUMIF(INDIRECT("'"&amp;Assemblies[Assy]&amp;"'!"&amp;"C$5:C1000"), $C57, INDIRECT("'"&amp;Assemblies[Assy]&amp;"'!"&amp;"A$5:A1000")))),"")), " ,", ""))</f>
        <v>,</v>
      </c>
      <c r="X57" s="2" t="s">
        <v>1382</v>
      </c>
      <c r="Y57" s="2" t="s">
        <v>1382</v>
      </c>
      <c r="Z57" s="2" t="s">
        <v>1382</v>
      </c>
      <c r="AA57" s="2" t="s">
        <v>1382</v>
      </c>
    </row>
    <row r="58" spans="1:27" ht="12.75">
      <c r="A58" s="150" t="s">
        <v>1911</v>
      </c>
      <c r="B58" s="115" t="s">
        <v>56</v>
      </c>
      <c r="C58" s="2" t="str">
        <f t="shared" si="0"/>
        <v>GF12.140.01.B</v>
      </c>
      <c r="D58" s="150" t="s">
        <v>1912</v>
      </c>
      <c r="E58" s="52">
        <f t="shared" si="1"/>
        <v>240</v>
      </c>
      <c r="F58" s="5" t="e" cm="1">
        <f t="array" aca="1" ref="F58" ca="1">SUMPRODUCT(SUMIF(INDIRECT("'"&amp;Assemblies[Assy]&amp;"'!"&amp;"C$5:C1000"),$C58,(INDIRECT("'"&amp;Assemblies[Assy]&amp;"'!"&amp;"O$5:O1000"))))</f>
        <v>#VALUE!</v>
      </c>
      <c r="G58" s="5">
        <v>2</v>
      </c>
      <c r="H58" s="5">
        <v>2</v>
      </c>
      <c r="I58" s="2" t="s">
        <v>1782</v>
      </c>
      <c r="J58" s="2" t="s">
        <v>1769</v>
      </c>
      <c r="K58" s="2" t="s">
        <v>1770</v>
      </c>
      <c r="L58" s="2" t="s">
        <v>1778</v>
      </c>
      <c r="M58" s="2" t="s">
        <v>1779</v>
      </c>
      <c r="N58" s="8">
        <v>45142</v>
      </c>
      <c r="O58" s="8">
        <v>45146</v>
      </c>
      <c r="P58" s="8">
        <v>45176</v>
      </c>
      <c r="Q58" s="128">
        <v>45176</v>
      </c>
      <c r="R58" s="201">
        <v>55032</v>
      </c>
      <c r="S58" s="173">
        <v>240</v>
      </c>
      <c r="T58" s="52">
        <v>0</v>
      </c>
      <c r="U58" s="52">
        <v>0</v>
      </c>
      <c r="V58" s="52">
        <v>0</v>
      </c>
      <c r="W58" s="2" t="str" cm="1">
        <f t="array" aca="1" ref="W58" ca="1">TRIM(SUBSTITUTE(_xlfn.ARRAYTOTEXT(IFERROR(CONCATENATE(SUMIF(INDIRECT("'"&amp;Assemblies[Assy]&amp;"'!"&amp;"C$5:C1000"), $C58, INDIRECT("'"&amp;Assemblies[Assy]&amp;"'!"&amp;"O$5:O1000")), "x",Assemblies[Assy],".",IF(SUMIF(INDIRECT("'"&amp;Assemblies[Assy]&amp;"'!"&amp;"C$5:C1000"), $C58, INDIRECT("'"&amp;Assemblies[Assy]&amp;"'!"&amp;"A$5:A1000"))=0,NA(),SUMIF(INDIRECT("'"&amp;Assemblies[Assy]&amp;"'!"&amp;"C$5:C1000"), $C58, INDIRECT("'"&amp;Assemblies[Assy]&amp;"'!"&amp;"A$5:A1000")))),"")), " ,", ""))</f>
        <v>,</v>
      </c>
      <c r="X58" s="2" t="s">
        <v>1773</v>
      </c>
      <c r="Y58" s="2" t="s">
        <v>1382</v>
      </c>
      <c r="Z58" s="2" t="s">
        <v>1382</v>
      </c>
      <c r="AA58" s="2" t="s">
        <v>1382</v>
      </c>
    </row>
    <row r="59" spans="1:27" ht="12.75">
      <c r="A59" s="115" t="s">
        <v>1913</v>
      </c>
      <c r="B59" s="115" t="s">
        <v>56</v>
      </c>
      <c r="C59" s="2" t="str">
        <f t="shared" si="0"/>
        <v>GF12.140.02.B</v>
      </c>
      <c r="D59" s="2" t="s">
        <v>1914</v>
      </c>
      <c r="E59" s="52">
        <f t="shared" si="1"/>
        <v>168</v>
      </c>
      <c r="F59" s="5" t="e" cm="1">
        <f t="array" aca="1" ref="F59" ca="1">SUMPRODUCT(SUMIF(INDIRECT("'"&amp;Assemblies[Assy]&amp;"'!"&amp;"C$5:C1000"),$C59,(INDIRECT("'"&amp;Assemblies[Assy]&amp;"'!"&amp;"O$5:O1000"))))</f>
        <v>#VALUE!</v>
      </c>
      <c r="G59" s="5">
        <v>2</v>
      </c>
      <c r="H59" s="5">
        <v>2</v>
      </c>
      <c r="I59" s="2" t="s">
        <v>1776</v>
      </c>
      <c r="J59" s="2" t="s">
        <v>1777</v>
      </c>
      <c r="K59" s="2" t="s">
        <v>1770</v>
      </c>
      <c r="L59" s="2" t="s">
        <v>1786</v>
      </c>
      <c r="M59" s="232"/>
      <c r="N59" s="8">
        <v>45202</v>
      </c>
      <c r="O59" s="8">
        <v>45202</v>
      </c>
      <c r="P59" s="8">
        <v>45216</v>
      </c>
      <c r="Q59" s="128">
        <v>45216</v>
      </c>
      <c r="R59" s="201">
        <v>55179</v>
      </c>
      <c r="S59" s="153">
        <v>168</v>
      </c>
      <c r="T59" s="52">
        <v>0</v>
      </c>
      <c r="U59" s="52">
        <v>0</v>
      </c>
      <c r="V59" s="52">
        <v>0</v>
      </c>
      <c r="W59" s="2" t="str" cm="1">
        <f t="array" aca="1" ref="W59" ca="1">TRIM(SUBSTITUTE(_xlfn.ARRAYTOTEXT(IFERROR(CONCATENATE(SUMIF(INDIRECT("'"&amp;Assemblies[Assy]&amp;"'!"&amp;"C$5:C1000"), $C59, INDIRECT("'"&amp;Assemblies[Assy]&amp;"'!"&amp;"O$5:O1000")), "x",Assemblies[Assy],".",IF(SUMIF(INDIRECT("'"&amp;Assemblies[Assy]&amp;"'!"&amp;"C$5:C1000"), $C59, INDIRECT("'"&amp;Assemblies[Assy]&amp;"'!"&amp;"A$5:A1000"))=0,NA(),SUMIF(INDIRECT("'"&amp;Assemblies[Assy]&amp;"'!"&amp;"C$5:C1000"), $C59, INDIRECT("'"&amp;Assemblies[Assy]&amp;"'!"&amp;"A$5:A1000")))),"")), " ,", ""))</f>
        <v>,</v>
      </c>
      <c r="X59" s="2" t="s">
        <v>1773</v>
      </c>
      <c r="Y59" s="2" t="s">
        <v>1382</v>
      </c>
      <c r="Z59" s="2" t="s">
        <v>1382</v>
      </c>
      <c r="AA59" s="2" t="s">
        <v>1382</v>
      </c>
    </row>
    <row r="60" spans="1:27" ht="12.75">
      <c r="A60" s="115" t="s">
        <v>1915</v>
      </c>
      <c r="B60" s="115" t="s">
        <v>54</v>
      </c>
      <c r="C60" s="2" t="str">
        <f t="shared" si="0"/>
        <v>GF12.140.03.A</v>
      </c>
      <c r="D60" s="2" t="s">
        <v>1916</v>
      </c>
      <c r="E60" s="52">
        <f t="shared" si="1"/>
        <v>78.5</v>
      </c>
      <c r="F60" s="5" t="e" cm="1">
        <f t="array" aca="1" ref="F60" ca="1">SUMPRODUCT(SUMIF(INDIRECT("'"&amp;Assemblies[Assy]&amp;"'!"&amp;"C$5:C1000"),$C60,(INDIRECT("'"&amp;Assemblies[Assy]&amp;"'!"&amp;"O$5:O1000"))))</f>
        <v>#VALUE!</v>
      </c>
      <c r="G60" s="5">
        <v>1</v>
      </c>
      <c r="H60" s="5">
        <v>1</v>
      </c>
      <c r="I60" s="2" t="s">
        <v>1791</v>
      </c>
      <c r="J60" s="2" t="s">
        <v>1769</v>
      </c>
      <c r="K60" s="2" t="s">
        <v>1770</v>
      </c>
      <c r="L60" s="2" t="s">
        <v>1778</v>
      </c>
      <c r="M60" s="2" t="s">
        <v>1779</v>
      </c>
      <c r="N60" s="8">
        <v>45142</v>
      </c>
      <c r="O60" s="8">
        <v>45146</v>
      </c>
      <c r="P60" s="8">
        <v>45176</v>
      </c>
      <c r="Q60" s="128">
        <v>45176</v>
      </c>
      <c r="R60" s="201">
        <v>55032</v>
      </c>
      <c r="S60" s="153">
        <v>78.5</v>
      </c>
      <c r="T60" s="52">
        <v>0</v>
      </c>
      <c r="U60" s="52">
        <v>0</v>
      </c>
      <c r="V60" s="52">
        <v>0</v>
      </c>
      <c r="W60" s="2" t="str" cm="1">
        <f t="array" aca="1" ref="W60" ca="1">TRIM(SUBSTITUTE(_xlfn.ARRAYTOTEXT(IFERROR(CONCATENATE(SUMIF(INDIRECT("'"&amp;Assemblies[Assy]&amp;"'!"&amp;"C$5:C1000"), $C60, INDIRECT("'"&amp;Assemblies[Assy]&amp;"'!"&amp;"O$5:O1000")), "x",Assemblies[Assy],".",IF(SUMIF(INDIRECT("'"&amp;Assemblies[Assy]&amp;"'!"&amp;"C$5:C1000"), $C60, INDIRECT("'"&amp;Assemblies[Assy]&amp;"'!"&amp;"A$5:A1000"))=0,NA(),SUMIF(INDIRECT("'"&amp;Assemblies[Assy]&amp;"'!"&amp;"C$5:C1000"), $C60, INDIRECT("'"&amp;Assemblies[Assy]&amp;"'!"&amp;"A$5:A1000")))),"")), " ,", ""))</f>
        <v>,</v>
      </c>
      <c r="X60" s="2" t="s">
        <v>1773</v>
      </c>
      <c r="Y60" s="2" t="s">
        <v>1382</v>
      </c>
      <c r="Z60" s="2" t="s">
        <v>1382</v>
      </c>
      <c r="AA60" s="2" t="s">
        <v>1382</v>
      </c>
    </row>
    <row r="61" spans="1:27" ht="15.75" customHeight="1">
      <c r="A61" s="115" t="s">
        <v>1917</v>
      </c>
      <c r="B61" s="115" t="s">
        <v>56</v>
      </c>
      <c r="C61" s="2" t="str">
        <f t="shared" si="0"/>
        <v>GF12.140.04.B</v>
      </c>
      <c r="D61" s="2" t="s">
        <v>1918</v>
      </c>
      <c r="E61" s="52">
        <f t="shared" si="1"/>
        <v>162.5</v>
      </c>
      <c r="F61" s="5" t="e" cm="1">
        <f t="array" aca="1" ref="F61" ca="1">SUMPRODUCT(SUMIF(INDIRECT("'"&amp;Assemblies[Assy]&amp;"'!"&amp;"C$5:C1000"),$C61,(INDIRECT("'"&amp;Assemblies[Assy]&amp;"'!"&amp;"O$5:O1000"))))</f>
        <v>#VALUE!</v>
      </c>
      <c r="G61" s="5">
        <v>1</v>
      </c>
      <c r="H61" s="5">
        <v>1</v>
      </c>
      <c r="I61" s="2" t="s">
        <v>1791</v>
      </c>
      <c r="J61" s="2" t="s">
        <v>1769</v>
      </c>
      <c r="K61" s="2" t="s">
        <v>1770</v>
      </c>
      <c r="L61" s="2" t="s">
        <v>1778</v>
      </c>
      <c r="M61" s="2" t="s">
        <v>1779</v>
      </c>
      <c r="N61" s="8">
        <v>45142</v>
      </c>
      <c r="O61" s="8">
        <v>45146</v>
      </c>
      <c r="P61" s="8">
        <v>45176</v>
      </c>
      <c r="Q61" s="128">
        <v>45176</v>
      </c>
      <c r="R61" s="201">
        <v>55032</v>
      </c>
      <c r="S61" s="153">
        <v>162.5</v>
      </c>
      <c r="T61" s="52">
        <v>0</v>
      </c>
      <c r="U61" s="52">
        <v>0</v>
      </c>
      <c r="V61" s="52">
        <v>0</v>
      </c>
      <c r="W61" s="2" t="str" cm="1">
        <f t="array" aca="1" ref="W61" ca="1">TRIM(SUBSTITUTE(_xlfn.ARRAYTOTEXT(IFERROR(CONCATENATE(SUMIF(INDIRECT("'"&amp;Assemblies[Assy]&amp;"'!"&amp;"C$5:C1000"), $C61, INDIRECT("'"&amp;Assemblies[Assy]&amp;"'!"&amp;"O$5:O1000")), "x",Assemblies[Assy],".",IF(SUMIF(INDIRECT("'"&amp;Assemblies[Assy]&amp;"'!"&amp;"C$5:C1000"), $C61, INDIRECT("'"&amp;Assemblies[Assy]&amp;"'!"&amp;"A$5:A1000"))=0,NA(),SUMIF(INDIRECT("'"&amp;Assemblies[Assy]&amp;"'!"&amp;"C$5:C1000"), $C61, INDIRECT("'"&amp;Assemblies[Assy]&amp;"'!"&amp;"A$5:A1000")))),"")), " ,", ""))</f>
        <v>,</v>
      </c>
      <c r="X61" s="2" t="s">
        <v>1773</v>
      </c>
      <c r="Y61" s="2" t="s">
        <v>1382</v>
      </c>
      <c r="Z61" s="2" t="s">
        <v>1382</v>
      </c>
      <c r="AA61" s="2" t="s">
        <v>1382</v>
      </c>
    </row>
    <row r="62" spans="1:27" ht="12.75">
      <c r="A62" s="115" t="s">
        <v>1919</v>
      </c>
      <c r="B62" s="115" t="s">
        <v>54</v>
      </c>
      <c r="C62" s="2" t="str">
        <f t="shared" si="0"/>
        <v>GF12.140.05.A</v>
      </c>
      <c r="D62" s="2" t="s">
        <v>1920</v>
      </c>
      <c r="E62" s="52">
        <f t="shared" si="1"/>
        <v>155</v>
      </c>
      <c r="F62" s="5" t="e" cm="1">
        <f t="array" aca="1" ref="F62" ca="1">SUMPRODUCT(SUMIF(INDIRECT("'"&amp;Assemblies[Assy]&amp;"'!"&amp;"C$5:C1000"),$C62,(INDIRECT("'"&amp;Assemblies[Assy]&amp;"'!"&amp;"O$5:O1000"))))</f>
        <v>#VALUE!</v>
      </c>
      <c r="G62" s="5">
        <v>1</v>
      </c>
      <c r="H62" s="5">
        <v>1</v>
      </c>
      <c r="I62" s="2" t="s">
        <v>1791</v>
      </c>
      <c r="J62" s="2" t="s">
        <v>1769</v>
      </c>
      <c r="K62" s="2" t="s">
        <v>1770</v>
      </c>
      <c r="L62" s="2" t="s">
        <v>1778</v>
      </c>
      <c r="M62" s="2" t="s">
        <v>1779</v>
      </c>
      <c r="N62" s="8">
        <v>45142</v>
      </c>
      <c r="O62" s="8">
        <v>45146</v>
      </c>
      <c r="P62" s="8">
        <v>45176</v>
      </c>
      <c r="Q62" s="128">
        <v>45176</v>
      </c>
      <c r="R62" s="201">
        <v>55032</v>
      </c>
      <c r="S62" s="153">
        <v>155</v>
      </c>
      <c r="T62" s="52">
        <v>0</v>
      </c>
      <c r="U62" s="52">
        <v>0</v>
      </c>
      <c r="V62" s="52">
        <v>0</v>
      </c>
      <c r="W62" s="2" t="str" cm="1">
        <f t="array" aca="1" ref="W62" ca="1">TRIM(SUBSTITUTE(_xlfn.ARRAYTOTEXT(IFERROR(CONCATENATE(SUMIF(INDIRECT("'"&amp;Assemblies[Assy]&amp;"'!"&amp;"C$5:C1000"), $C62, INDIRECT("'"&amp;Assemblies[Assy]&amp;"'!"&amp;"O$5:O1000")), "x",Assemblies[Assy],".",IF(SUMIF(INDIRECT("'"&amp;Assemblies[Assy]&amp;"'!"&amp;"C$5:C1000"), $C62, INDIRECT("'"&amp;Assemblies[Assy]&amp;"'!"&amp;"A$5:A1000"))=0,NA(),SUMIF(INDIRECT("'"&amp;Assemblies[Assy]&amp;"'!"&amp;"C$5:C1000"), $C62, INDIRECT("'"&amp;Assemblies[Assy]&amp;"'!"&amp;"A$5:A1000")))),"")), " ,", ""))</f>
        <v>,</v>
      </c>
      <c r="X62" s="2" t="s">
        <v>1773</v>
      </c>
      <c r="Y62" s="2" t="s">
        <v>1382</v>
      </c>
      <c r="Z62" s="2" t="s">
        <v>1382</v>
      </c>
      <c r="AA62" s="2" t="s">
        <v>1382</v>
      </c>
    </row>
    <row r="63" spans="1:27" ht="12.75">
      <c r="A63" s="115" t="s">
        <v>1921</v>
      </c>
      <c r="B63" s="115" t="s">
        <v>54</v>
      </c>
      <c r="C63" s="2" t="str">
        <f t="shared" si="0"/>
        <v>GF12.140.06.A</v>
      </c>
      <c r="D63" s="2" t="s">
        <v>1922</v>
      </c>
      <c r="E63" s="52">
        <f t="shared" si="1"/>
        <v>7.5</v>
      </c>
      <c r="F63" s="5" t="e" cm="1">
        <f t="array" aca="1" ref="F63" ca="1">SUMPRODUCT(SUMIF(INDIRECT("'"&amp;Assemblies[Assy]&amp;"'!"&amp;"C$5:C1000"),$C63,(INDIRECT("'"&amp;Assemblies[Assy]&amp;"'!"&amp;"O$5:O1000"))))</f>
        <v>#VALUE!</v>
      </c>
      <c r="G63" s="5">
        <v>2</v>
      </c>
      <c r="H63" s="5">
        <v>2</v>
      </c>
      <c r="I63" s="2" t="s">
        <v>1797</v>
      </c>
      <c r="J63" s="2" t="s">
        <v>1761</v>
      </c>
      <c r="K63" s="2" t="s">
        <v>1762</v>
      </c>
      <c r="L63" s="2" t="s">
        <v>1798</v>
      </c>
      <c r="M63" s="2" t="s">
        <v>1382</v>
      </c>
      <c r="N63" s="8" t="s">
        <v>1762</v>
      </c>
      <c r="O63" s="8" t="s">
        <v>1762</v>
      </c>
      <c r="P63" s="8" t="s">
        <v>1762</v>
      </c>
      <c r="Q63" s="8" t="s">
        <v>1762</v>
      </c>
      <c r="R63" s="201">
        <v>55018</v>
      </c>
      <c r="S63" s="153">
        <v>7.5</v>
      </c>
      <c r="T63" s="52">
        <v>0</v>
      </c>
      <c r="U63" s="52">
        <v>0</v>
      </c>
      <c r="V63" s="52">
        <v>0</v>
      </c>
      <c r="W63" s="2" t="str" cm="1">
        <f t="array" aca="1" ref="W63" ca="1">TRIM(SUBSTITUTE(_xlfn.ARRAYTOTEXT(IFERROR(CONCATENATE(SUMIF(INDIRECT("'"&amp;Assemblies[Assy]&amp;"'!"&amp;"C$5:C1000"), $C63, INDIRECT("'"&amp;Assemblies[Assy]&amp;"'!"&amp;"O$5:O1000")), "x",Assemblies[Assy],".",IF(SUMIF(INDIRECT("'"&amp;Assemblies[Assy]&amp;"'!"&amp;"C$5:C1000"), $C63, INDIRECT("'"&amp;Assemblies[Assy]&amp;"'!"&amp;"A$5:A1000"))=0,NA(),SUMIF(INDIRECT("'"&amp;Assemblies[Assy]&amp;"'!"&amp;"C$5:C1000"), $C63, INDIRECT("'"&amp;Assemblies[Assy]&amp;"'!"&amp;"A$5:A1000")))),"")), " ,", ""))</f>
        <v>,</v>
      </c>
      <c r="X63" s="2" t="s">
        <v>1773</v>
      </c>
      <c r="Y63" s="2" t="s">
        <v>1382</v>
      </c>
      <c r="Z63" s="2" t="s">
        <v>1382</v>
      </c>
      <c r="AA63" s="2" t="s">
        <v>1382</v>
      </c>
    </row>
    <row r="64" spans="1:27" ht="12.75">
      <c r="A64" s="115" t="s">
        <v>1923</v>
      </c>
      <c r="B64" s="115" t="s">
        <v>54</v>
      </c>
      <c r="C64" s="2" t="str">
        <f t="shared" si="0"/>
        <v>GF12.140.07.A</v>
      </c>
      <c r="D64" s="2" t="s">
        <v>1924</v>
      </c>
      <c r="E64" s="52">
        <f t="shared" si="1"/>
        <v>78</v>
      </c>
      <c r="F64" s="5" t="e" cm="1">
        <f t="array" aca="1" ref="F64" ca="1">SUMPRODUCT(SUMIF(INDIRECT("'"&amp;Assemblies[Assy]&amp;"'!"&amp;"C$5:C1000"),$C64,(INDIRECT("'"&amp;Assemblies[Assy]&amp;"'!"&amp;"O$5:O1000"))))</f>
        <v>#VALUE!</v>
      </c>
      <c r="G64" s="5">
        <v>1</v>
      </c>
      <c r="H64" s="5">
        <v>1</v>
      </c>
      <c r="I64" s="2" t="s">
        <v>1791</v>
      </c>
      <c r="J64" s="2" t="s">
        <v>1769</v>
      </c>
      <c r="K64" s="2" t="s">
        <v>1770</v>
      </c>
      <c r="L64" s="2" t="s">
        <v>1778</v>
      </c>
      <c r="M64" s="2" t="s">
        <v>1779</v>
      </c>
      <c r="N64" s="8">
        <v>45142</v>
      </c>
      <c r="O64" s="8">
        <v>45146</v>
      </c>
      <c r="P64" s="8">
        <v>45176</v>
      </c>
      <c r="Q64" s="128">
        <v>45176</v>
      </c>
      <c r="R64" s="201">
        <v>55032</v>
      </c>
      <c r="S64" s="153">
        <v>78</v>
      </c>
      <c r="T64" s="52">
        <v>0</v>
      </c>
      <c r="U64" s="52">
        <v>0</v>
      </c>
      <c r="V64" s="52">
        <v>0</v>
      </c>
      <c r="W64" s="2" t="str" cm="1">
        <f t="array" aca="1" ref="W64" ca="1">TRIM(SUBSTITUTE(_xlfn.ARRAYTOTEXT(IFERROR(CONCATENATE(SUMIF(INDIRECT("'"&amp;Assemblies[Assy]&amp;"'!"&amp;"C$5:C1000"), $C64, INDIRECT("'"&amp;Assemblies[Assy]&amp;"'!"&amp;"O$5:O1000")), "x",Assemblies[Assy],".",IF(SUMIF(INDIRECT("'"&amp;Assemblies[Assy]&amp;"'!"&amp;"C$5:C1000"), $C64, INDIRECT("'"&amp;Assemblies[Assy]&amp;"'!"&amp;"A$5:A1000"))=0,NA(),SUMIF(INDIRECT("'"&amp;Assemblies[Assy]&amp;"'!"&amp;"C$5:C1000"), $C64, INDIRECT("'"&amp;Assemblies[Assy]&amp;"'!"&amp;"A$5:A1000")))),"")), " ,", ""))</f>
        <v>,</v>
      </c>
      <c r="X64" s="2" t="s">
        <v>1382</v>
      </c>
      <c r="Y64" s="2" t="s">
        <v>1382</v>
      </c>
      <c r="Z64" s="2" t="s">
        <v>1382</v>
      </c>
      <c r="AA64" s="2" t="s">
        <v>1382</v>
      </c>
    </row>
    <row r="65" spans="1:27" ht="12.75">
      <c r="A65" s="115" t="s">
        <v>1925</v>
      </c>
      <c r="B65" s="115" t="s">
        <v>54</v>
      </c>
      <c r="C65" s="2" t="str">
        <f t="shared" si="0"/>
        <v>GF12.140.08.A</v>
      </c>
      <c r="D65" s="2" t="s">
        <v>1922</v>
      </c>
      <c r="E65" s="52">
        <f t="shared" si="1"/>
        <v>0</v>
      </c>
      <c r="F65" s="5" t="e" cm="1">
        <f t="array" aca="1" ref="F65" ca="1">SUMPRODUCT(SUMIF(INDIRECT("'"&amp;Assemblies[Assy]&amp;"'!"&amp;"C$5:C1000"),$C65,(INDIRECT("'"&amp;Assemblies[Assy]&amp;"'!"&amp;"O$5:O1000"))))</f>
        <v>#VALUE!</v>
      </c>
      <c r="G65" s="5">
        <v>0</v>
      </c>
      <c r="H65" s="5">
        <v>2</v>
      </c>
      <c r="I65" s="2" t="s">
        <v>1926</v>
      </c>
      <c r="J65" s="2" t="s">
        <v>1761</v>
      </c>
      <c r="K65" s="2" t="s">
        <v>1762</v>
      </c>
      <c r="L65" s="2" t="s">
        <v>1812</v>
      </c>
      <c r="M65" s="2"/>
      <c r="N65" s="8" t="s">
        <v>1762</v>
      </c>
      <c r="O65" s="8" t="s">
        <v>1762</v>
      </c>
      <c r="P65" s="8" t="s">
        <v>1762</v>
      </c>
      <c r="Q65" s="8" t="s">
        <v>1762</v>
      </c>
      <c r="R65" s="222" t="s">
        <v>1762</v>
      </c>
      <c r="S65" s="153">
        <v>0</v>
      </c>
      <c r="T65" s="52">
        <v>0</v>
      </c>
      <c r="U65" s="52">
        <v>0</v>
      </c>
      <c r="V65" s="52">
        <v>0</v>
      </c>
      <c r="W65" s="2" t="str" cm="1">
        <f t="array" aca="1" ref="W65" ca="1">TRIM(SUBSTITUTE(_xlfn.ARRAYTOTEXT(IFERROR(CONCATENATE(SUMIF(INDIRECT("'"&amp;Assemblies[Assy]&amp;"'!"&amp;"C$5:C1000"), $C65, INDIRECT("'"&amp;Assemblies[Assy]&amp;"'!"&amp;"O$5:O1000")), "x",Assemblies[Assy],".",IF(SUMIF(INDIRECT("'"&amp;Assemblies[Assy]&amp;"'!"&amp;"C$5:C1000"), $C65, INDIRECT("'"&amp;Assemblies[Assy]&amp;"'!"&amp;"A$5:A1000"))=0,NA(),SUMIF(INDIRECT("'"&amp;Assemblies[Assy]&amp;"'!"&amp;"C$5:C1000"), $C65, INDIRECT("'"&amp;Assemblies[Assy]&amp;"'!"&amp;"A$5:A1000")))),"")), " ,", ""))</f>
        <v>,</v>
      </c>
      <c r="Y65" s="2"/>
      <c r="AA65" s="2" t="s">
        <v>1382</v>
      </c>
    </row>
    <row r="66" spans="1:27" ht="12.75">
      <c r="A66" s="115" t="s">
        <v>1927</v>
      </c>
      <c r="B66" s="115" t="s">
        <v>56</v>
      </c>
      <c r="C66" s="2" t="str">
        <f t="shared" ref="C66:C129" si="2">_xlfn.CONCAT(A66,".",B66)</f>
        <v>GF12.141.01.B</v>
      </c>
      <c r="D66" s="2" t="s">
        <v>1928</v>
      </c>
      <c r="E66" s="52">
        <f t="shared" ref="E66:E129" si="3">S66+T66+U66+(65*V66)</f>
        <v>147.27000000000001</v>
      </c>
      <c r="F66" s="5" t="e" cm="1">
        <f t="array" aca="1" ref="F66" ca="1">SUMPRODUCT(SUMIF(INDIRECT("'"&amp;Assemblies[Assy]&amp;"'!"&amp;"C$5:C1000"),$C66,(INDIRECT("'"&amp;Assemblies[Assy]&amp;"'!"&amp;"O$5:O1000"))))</f>
        <v>#VALUE!</v>
      </c>
      <c r="G66" s="5">
        <v>1</v>
      </c>
      <c r="H66" s="5">
        <v>1</v>
      </c>
      <c r="I66" s="2" t="s">
        <v>1797</v>
      </c>
      <c r="J66" s="2" t="s">
        <v>1761</v>
      </c>
      <c r="K66" s="2" t="s">
        <v>1762</v>
      </c>
      <c r="L66" s="2" t="s">
        <v>1929</v>
      </c>
      <c r="M66" s="2" t="s">
        <v>1382</v>
      </c>
      <c r="N66" s="8" t="s">
        <v>1382</v>
      </c>
      <c r="O66" s="8">
        <v>45161</v>
      </c>
      <c r="P66" s="8">
        <v>45180</v>
      </c>
      <c r="Q66" s="128">
        <v>45180</v>
      </c>
      <c r="R66" s="201" t="s">
        <v>1930</v>
      </c>
      <c r="S66" s="153">
        <v>48.52</v>
      </c>
      <c r="T66" s="52">
        <v>0</v>
      </c>
      <c r="U66" s="52">
        <v>98.75</v>
      </c>
      <c r="V66" s="52">
        <v>0</v>
      </c>
      <c r="W66" s="2" t="str" cm="1">
        <f t="array" aca="1" ref="W66" ca="1">TRIM(SUBSTITUTE(_xlfn.ARRAYTOTEXT(IFERROR(CONCATENATE(SUMIF(INDIRECT("'"&amp;Assemblies[Assy]&amp;"'!"&amp;"C$5:C1000"), $C66, INDIRECT("'"&amp;Assemblies[Assy]&amp;"'!"&amp;"O$5:O1000")), "x",Assemblies[Assy],".",IF(SUMIF(INDIRECT("'"&amp;Assemblies[Assy]&amp;"'!"&amp;"C$5:C1000"), $C66, INDIRECT("'"&amp;Assemblies[Assy]&amp;"'!"&amp;"A$5:A1000"))=0,NA(),SUMIF(INDIRECT("'"&amp;Assemblies[Assy]&amp;"'!"&amp;"C$5:C1000"), $C66, INDIRECT("'"&amp;Assemblies[Assy]&amp;"'!"&amp;"A$5:A1000")))),"")), " ,", ""))</f>
        <v>,</v>
      </c>
      <c r="X66" s="2" t="s">
        <v>1773</v>
      </c>
      <c r="Y66" s="2" t="s">
        <v>1382</v>
      </c>
      <c r="Z66" s="2" t="s">
        <v>1382</v>
      </c>
      <c r="AA66" s="2" t="s">
        <v>1382</v>
      </c>
    </row>
    <row r="67" spans="1:27" ht="12.75">
      <c r="A67" s="115" t="s">
        <v>1931</v>
      </c>
      <c r="B67" s="115" t="s">
        <v>54</v>
      </c>
      <c r="C67" s="2" t="str">
        <f t="shared" si="2"/>
        <v>GF12.150.01.A</v>
      </c>
      <c r="D67" s="117" t="s">
        <v>1932</v>
      </c>
      <c r="E67" s="52">
        <f t="shared" si="3"/>
        <v>180</v>
      </c>
      <c r="F67" s="5" t="e" cm="1">
        <f t="array" aca="1" ref="F67" ca="1">SUMPRODUCT(SUMIF(INDIRECT("'"&amp;Assemblies[Assy]&amp;"'!"&amp;"C$5:C1000"),$C67,(INDIRECT("'"&amp;Assemblies[Assy]&amp;"'!"&amp;"O$5:O1000"))))</f>
        <v>#VALUE!</v>
      </c>
      <c r="G67" s="5">
        <v>1</v>
      </c>
      <c r="I67" s="2" t="s">
        <v>1824</v>
      </c>
      <c r="J67" s="2" t="s">
        <v>1761</v>
      </c>
      <c r="K67" s="2" t="s">
        <v>1762</v>
      </c>
      <c r="L67" s="2" t="s">
        <v>1816</v>
      </c>
      <c r="M67" s="2" t="s">
        <v>1933</v>
      </c>
      <c r="N67" s="8">
        <v>45159</v>
      </c>
      <c r="O67" s="8" t="s">
        <v>1842</v>
      </c>
      <c r="P67" s="8">
        <v>45212</v>
      </c>
      <c r="Q67" s="144">
        <v>45216</v>
      </c>
      <c r="R67" s="223">
        <v>55156</v>
      </c>
      <c r="S67" s="153">
        <v>180</v>
      </c>
      <c r="T67" s="52">
        <v>0</v>
      </c>
      <c r="U67" s="52">
        <v>0</v>
      </c>
      <c r="V67" s="52">
        <v>0</v>
      </c>
      <c r="W67" s="2" t="str" cm="1">
        <f t="array" aca="1" ref="W67" ca="1">TRIM(SUBSTITUTE(_xlfn.ARRAYTOTEXT(IFERROR(CONCATENATE(SUMIF(INDIRECT("'"&amp;Assemblies[Assy]&amp;"'!"&amp;"C$5:C1000"), $C67, INDIRECT("'"&amp;Assemblies[Assy]&amp;"'!"&amp;"O$5:O1000")), "x",Assemblies[Assy],".",IF(SUMIF(INDIRECT("'"&amp;Assemblies[Assy]&amp;"'!"&amp;"C$5:C1000"), $C67, INDIRECT("'"&amp;Assemblies[Assy]&amp;"'!"&amp;"A$5:A1000"))=0,NA(),SUMIF(INDIRECT("'"&amp;Assemblies[Assy]&amp;"'!"&amp;"C$5:C1000"), $C67, INDIRECT("'"&amp;Assemblies[Assy]&amp;"'!"&amp;"A$5:A1000")))),"")), " ,", ""))</f>
        <v>,</v>
      </c>
      <c r="X67" s="2" t="s">
        <v>1773</v>
      </c>
      <c r="Y67" s="2" t="s">
        <v>1382</v>
      </c>
      <c r="Z67" s="2" t="s">
        <v>1382</v>
      </c>
      <c r="AA67" s="2" t="s">
        <v>1382</v>
      </c>
    </row>
    <row r="68" spans="1:27" ht="12.75">
      <c r="A68" s="115" t="s">
        <v>1934</v>
      </c>
      <c r="B68" s="115" t="s">
        <v>54</v>
      </c>
      <c r="C68" s="2" t="str">
        <f t="shared" si="2"/>
        <v>GF12.150.02.A</v>
      </c>
      <c r="D68" s="117" t="s">
        <v>1935</v>
      </c>
      <c r="E68" s="52">
        <f t="shared" si="3"/>
        <v>206</v>
      </c>
      <c r="F68" s="5" t="e" cm="1">
        <f t="array" aca="1" ref="F68" ca="1">SUMPRODUCT(SUMIF(INDIRECT("'"&amp;Assemblies[Assy]&amp;"'!"&amp;"C$5:C1000"),$C68,(INDIRECT("'"&amp;Assemblies[Assy]&amp;"'!"&amp;"O$5:O1000"))))</f>
        <v>#VALUE!</v>
      </c>
      <c r="G68" s="5">
        <v>1</v>
      </c>
      <c r="I68" s="2" t="s">
        <v>1824</v>
      </c>
      <c r="J68" s="2" t="s">
        <v>1761</v>
      </c>
      <c r="K68" s="2" t="s">
        <v>1762</v>
      </c>
      <c r="L68" s="2" t="s">
        <v>1816</v>
      </c>
      <c r="M68" s="2" t="s">
        <v>1936</v>
      </c>
      <c r="N68" s="8">
        <v>45159</v>
      </c>
      <c r="O68" s="8">
        <v>45189</v>
      </c>
      <c r="P68" s="8">
        <v>45212</v>
      </c>
      <c r="Q68" s="144">
        <v>45228</v>
      </c>
      <c r="R68" s="223">
        <v>55160</v>
      </c>
      <c r="S68" s="153">
        <v>206</v>
      </c>
      <c r="T68" s="52">
        <v>0</v>
      </c>
      <c r="U68" s="52">
        <v>0</v>
      </c>
      <c r="V68" s="52">
        <v>0</v>
      </c>
      <c r="W68" s="2" t="str" cm="1">
        <f t="array" aca="1" ref="W68" ca="1">TRIM(SUBSTITUTE(_xlfn.ARRAYTOTEXT(IFERROR(CONCATENATE(SUMIF(INDIRECT("'"&amp;Assemblies[Assy]&amp;"'!"&amp;"C$5:C1000"), $C68, INDIRECT("'"&amp;Assemblies[Assy]&amp;"'!"&amp;"O$5:O1000")), "x",Assemblies[Assy],".",IF(SUMIF(INDIRECT("'"&amp;Assemblies[Assy]&amp;"'!"&amp;"C$5:C1000"), $C68, INDIRECT("'"&amp;Assemblies[Assy]&amp;"'!"&amp;"A$5:A1000"))=0,NA(),SUMIF(INDIRECT("'"&amp;Assemblies[Assy]&amp;"'!"&amp;"C$5:C1000"), $C68, INDIRECT("'"&amp;Assemblies[Assy]&amp;"'!"&amp;"A$5:A1000")))),"")), " ,", ""))</f>
        <v>,</v>
      </c>
      <c r="X68" s="2" t="s">
        <v>1773</v>
      </c>
      <c r="Y68" s="2" t="s">
        <v>1382</v>
      </c>
      <c r="Z68" s="2" t="s">
        <v>1382</v>
      </c>
      <c r="AA68" s="2" t="s">
        <v>1382</v>
      </c>
    </row>
    <row r="69" spans="1:27" ht="12.75">
      <c r="A69" s="115" t="s">
        <v>1937</v>
      </c>
      <c r="B69" s="115" t="s">
        <v>54</v>
      </c>
      <c r="C69" s="2" t="str">
        <f t="shared" si="2"/>
        <v>GF12.150.03.A</v>
      </c>
      <c r="D69" s="117" t="s">
        <v>1938</v>
      </c>
      <c r="E69" s="52">
        <f t="shared" si="3"/>
        <v>55</v>
      </c>
      <c r="F69" s="5" t="e" cm="1">
        <f t="array" aca="1" ref="F69" ca="1">SUMPRODUCT(SUMIF(INDIRECT("'"&amp;Assemblies[Assy]&amp;"'!"&amp;"C$5:C1000"),$C69,(INDIRECT("'"&amp;Assemblies[Assy]&amp;"'!"&amp;"O$5:O1000"))))</f>
        <v>#VALUE!</v>
      </c>
      <c r="G69" s="5">
        <v>4</v>
      </c>
      <c r="I69" s="2" t="s">
        <v>1824</v>
      </c>
      <c r="J69" s="2" t="s">
        <v>1761</v>
      </c>
      <c r="K69" s="2" t="s">
        <v>1762</v>
      </c>
      <c r="L69" s="2" t="s">
        <v>1816</v>
      </c>
      <c r="M69" s="2" t="s">
        <v>1933</v>
      </c>
      <c r="N69" s="8">
        <v>45159</v>
      </c>
      <c r="O69" s="8">
        <v>45188</v>
      </c>
      <c r="P69" s="8">
        <v>45212</v>
      </c>
      <c r="Q69" s="144">
        <v>45216</v>
      </c>
      <c r="R69" s="223">
        <v>55156</v>
      </c>
      <c r="S69" s="153">
        <v>55</v>
      </c>
      <c r="T69" s="52">
        <v>0</v>
      </c>
      <c r="U69" s="52">
        <v>0</v>
      </c>
      <c r="V69" s="52">
        <v>0</v>
      </c>
      <c r="W69" s="2" t="str" cm="1">
        <f t="array" aca="1" ref="W69" ca="1">TRIM(SUBSTITUTE(_xlfn.ARRAYTOTEXT(IFERROR(CONCATENATE(SUMIF(INDIRECT("'"&amp;Assemblies[Assy]&amp;"'!"&amp;"C$5:C1000"), $C69, INDIRECT("'"&amp;Assemblies[Assy]&amp;"'!"&amp;"O$5:O1000")), "x",Assemblies[Assy],".",IF(SUMIF(INDIRECT("'"&amp;Assemblies[Assy]&amp;"'!"&amp;"C$5:C1000"), $C69, INDIRECT("'"&amp;Assemblies[Assy]&amp;"'!"&amp;"A$5:A1000"))=0,NA(),SUMIF(INDIRECT("'"&amp;Assemblies[Assy]&amp;"'!"&amp;"C$5:C1000"), $C69, INDIRECT("'"&amp;Assemblies[Assy]&amp;"'!"&amp;"A$5:A1000")))),"")), " ,", ""))</f>
        <v>,</v>
      </c>
      <c r="X69" s="2" t="s">
        <v>1773</v>
      </c>
      <c r="Y69" s="2" t="s">
        <v>1382</v>
      </c>
      <c r="Z69" s="2" t="s">
        <v>1382</v>
      </c>
      <c r="AA69" s="2" t="s">
        <v>1382</v>
      </c>
    </row>
    <row r="70" spans="1:27" ht="12.75">
      <c r="A70" s="115" t="s">
        <v>1939</v>
      </c>
      <c r="B70" s="115" t="s">
        <v>54</v>
      </c>
      <c r="C70" s="2" t="str">
        <f t="shared" si="2"/>
        <v>GF12.150.04.A</v>
      </c>
      <c r="D70" s="117" t="s">
        <v>1940</v>
      </c>
      <c r="E70" s="52">
        <f t="shared" si="3"/>
        <v>112</v>
      </c>
      <c r="F70" s="5" t="e" cm="1">
        <f t="array" aca="1" ref="F70" ca="1">SUMPRODUCT(SUMIF(INDIRECT("'"&amp;Assemblies[Assy]&amp;"'!"&amp;"C$5:C1000"),$C70,(INDIRECT("'"&amp;Assemblies[Assy]&amp;"'!"&amp;"O$5:O1000"))))</f>
        <v>#VALUE!</v>
      </c>
      <c r="G70" s="5">
        <v>2</v>
      </c>
      <c r="I70" s="2" t="s">
        <v>1824</v>
      </c>
      <c r="J70" s="2" t="s">
        <v>1761</v>
      </c>
      <c r="K70" s="2" t="s">
        <v>1762</v>
      </c>
      <c r="L70" s="2" t="s">
        <v>1816</v>
      </c>
      <c r="M70" s="2" t="s">
        <v>1933</v>
      </c>
      <c r="N70" s="8">
        <v>45159</v>
      </c>
      <c r="O70" s="8">
        <v>45188</v>
      </c>
      <c r="P70" s="8">
        <v>45212</v>
      </c>
      <c r="Q70" s="144">
        <v>45216</v>
      </c>
      <c r="R70" s="223">
        <v>55156</v>
      </c>
      <c r="S70" s="153">
        <v>112</v>
      </c>
      <c r="T70" s="52">
        <v>0</v>
      </c>
      <c r="U70" s="52">
        <v>0</v>
      </c>
      <c r="V70" s="52">
        <v>0</v>
      </c>
      <c r="W70" s="2" t="str" cm="1">
        <f t="array" aca="1" ref="W70" ca="1">TRIM(SUBSTITUTE(_xlfn.ARRAYTOTEXT(IFERROR(CONCATENATE(SUMIF(INDIRECT("'"&amp;Assemblies[Assy]&amp;"'!"&amp;"C$5:C1000"), $C70, INDIRECT("'"&amp;Assemblies[Assy]&amp;"'!"&amp;"O$5:O1000")), "x",Assemblies[Assy],".",IF(SUMIF(INDIRECT("'"&amp;Assemblies[Assy]&amp;"'!"&amp;"C$5:C1000"), $C70, INDIRECT("'"&amp;Assemblies[Assy]&amp;"'!"&amp;"A$5:A1000"))=0,NA(),SUMIF(INDIRECT("'"&amp;Assemblies[Assy]&amp;"'!"&amp;"C$5:C1000"), $C70, INDIRECT("'"&amp;Assemblies[Assy]&amp;"'!"&amp;"A$5:A1000")))),"")), " ,", ""))</f>
        <v>,</v>
      </c>
      <c r="X70" s="2" t="s">
        <v>1773</v>
      </c>
      <c r="Y70" s="2" t="s">
        <v>1382</v>
      </c>
      <c r="Z70" s="2" t="s">
        <v>1382</v>
      </c>
      <c r="AA70" s="2" t="s">
        <v>1382</v>
      </c>
    </row>
    <row r="71" spans="1:27" ht="12.75">
      <c r="A71" s="115" t="s">
        <v>1941</v>
      </c>
      <c r="B71" s="115" t="s">
        <v>54</v>
      </c>
      <c r="C71" s="2" t="str">
        <f t="shared" si="2"/>
        <v>GF12.150.05.A</v>
      </c>
      <c r="D71" s="117" t="s">
        <v>1942</v>
      </c>
      <c r="E71" s="52">
        <f t="shared" si="3"/>
        <v>112</v>
      </c>
      <c r="F71" s="5" t="e" cm="1">
        <f t="array" aca="1" ref="F71" ca="1">SUMPRODUCT(SUMIF(INDIRECT("'"&amp;Assemblies[Assy]&amp;"'!"&amp;"C$5:C1000"),$C71,(INDIRECT("'"&amp;Assemblies[Assy]&amp;"'!"&amp;"O$5:O1000"))))</f>
        <v>#VALUE!</v>
      </c>
      <c r="G71" s="5">
        <v>2</v>
      </c>
      <c r="I71" s="2" t="s">
        <v>1824</v>
      </c>
      <c r="J71" s="2" t="s">
        <v>1761</v>
      </c>
      <c r="K71" s="2" t="s">
        <v>1762</v>
      </c>
      <c r="L71" s="2" t="s">
        <v>1816</v>
      </c>
      <c r="M71" s="2" t="s">
        <v>1933</v>
      </c>
      <c r="N71" s="8">
        <v>45159</v>
      </c>
      <c r="O71" s="8">
        <v>45188</v>
      </c>
      <c r="P71" s="8">
        <v>45212</v>
      </c>
      <c r="Q71" s="144">
        <v>45216</v>
      </c>
      <c r="R71" s="223">
        <v>55156</v>
      </c>
      <c r="S71" s="153">
        <v>112</v>
      </c>
      <c r="T71" s="52">
        <v>0</v>
      </c>
      <c r="U71" s="52">
        <v>0</v>
      </c>
      <c r="V71" s="52">
        <v>0</v>
      </c>
      <c r="W71" s="2" t="str" cm="1">
        <f t="array" aca="1" ref="W71" ca="1">TRIM(SUBSTITUTE(_xlfn.ARRAYTOTEXT(IFERROR(CONCATENATE(SUMIF(INDIRECT("'"&amp;Assemblies[Assy]&amp;"'!"&amp;"C$5:C1000"), $C71, INDIRECT("'"&amp;Assemblies[Assy]&amp;"'!"&amp;"O$5:O1000")), "x",Assemblies[Assy],".",IF(SUMIF(INDIRECT("'"&amp;Assemblies[Assy]&amp;"'!"&amp;"C$5:C1000"), $C71, INDIRECT("'"&amp;Assemblies[Assy]&amp;"'!"&amp;"A$5:A1000"))=0,NA(),SUMIF(INDIRECT("'"&amp;Assemblies[Assy]&amp;"'!"&amp;"C$5:C1000"), $C71, INDIRECT("'"&amp;Assemblies[Assy]&amp;"'!"&amp;"A$5:A1000")))),"")), " ,", ""))</f>
        <v>,</v>
      </c>
      <c r="X71" s="2" t="s">
        <v>1773</v>
      </c>
      <c r="Y71" s="2" t="s">
        <v>1382</v>
      </c>
      <c r="Z71" s="2" t="s">
        <v>1382</v>
      </c>
      <c r="AA71" s="2" t="s">
        <v>1382</v>
      </c>
    </row>
    <row r="72" spans="1:27" ht="12.75">
      <c r="A72" s="115" t="s">
        <v>1943</v>
      </c>
      <c r="B72" s="115" t="s">
        <v>54</v>
      </c>
      <c r="C72" s="2" t="str">
        <f t="shared" si="2"/>
        <v>GF12.150.06.A</v>
      </c>
      <c r="D72" s="117" t="s">
        <v>1944</v>
      </c>
      <c r="E72" s="52">
        <f t="shared" si="3"/>
        <v>135.22</v>
      </c>
      <c r="F72" s="5" t="e" cm="1">
        <f t="array" aca="1" ref="F72" ca="1">SUMPRODUCT(SUMIF(INDIRECT("'"&amp;Assemblies[Assy]&amp;"'!"&amp;"C$5:C1000"),$C72,(INDIRECT("'"&amp;Assemblies[Assy]&amp;"'!"&amp;"O$5:O1000"))))</f>
        <v>#VALUE!</v>
      </c>
      <c r="G72" s="5">
        <v>2</v>
      </c>
      <c r="I72" s="2" t="s">
        <v>1824</v>
      </c>
      <c r="J72" s="2" t="s">
        <v>1761</v>
      </c>
      <c r="K72" s="2" t="s">
        <v>1762</v>
      </c>
      <c r="L72" s="2" t="s">
        <v>1816</v>
      </c>
      <c r="M72" s="2" t="s">
        <v>1933</v>
      </c>
      <c r="N72" s="8">
        <v>45159</v>
      </c>
      <c r="O72" s="8">
        <v>45188</v>
      </c>
      <c r="P72" s="8">
        <v>45212</v>
      </c>
      <c r="Q72" s="144">
        <v>45216</v>
      </c>
      <c r="R72" s="223">
        <v>55156</v>
      </c>
      <c r="S72" s="153">
        <v>135.22</v>
      </c>
      <c r="T72" s="52">
        <v>0</v>
      </c>
      <c r="U72" s="52">
        <v>0</v>
      </c>
      <c r="V72" s="52">
        <v>0</v>
      </c>
      <c r="W72" s="2" t="str" cm="1">
        <f t="array" aca="1" ref="W72" ca="1">TRIM(SUBSTITUTE(_xlfn.ARRAYTOTEXT(IFERROR(CONCATENATE(SUMIF(INDIRECT("'"&amp;Assemblies[Assy]&amp;"'!"&amp;"C$5:C1000"), $C72, INDIRECT("'"&amp;Assemblies[Assy]&amp;"'!"&amp;"O$5:O1000")), "x",Assemblies[Assy],".",IF(SUMIF(INDIRECT("'"&amp;Assemblies[Assy]&amp;"'!"&amp;"C$5:C1000"), $C72, INDIRECT("'"&amp;Assemblies[Assy]&amp;"'!"&amp;"A$5:A1000"))=0,NA(),SUMIF(INDIRECT("'"&amp;Assemblies[Assy]&amp;"'!"&amp;"C$5:C1000"), $C72, INDIRECT("'"&amp;Assemblies[Assy]&amp;"'!"&amp;"A$5:A1000")))),"")), " ,", ""))</f>
        <v>,</v>
      </c>
      <c r="X72" s="2" t="s">
        <v>1773</v>
      </c>
      <c r="Y72" s="2" t="s">
        <v>1382</v>
      </c>
      <c r="Z72" s="2" t="s">
        <v>1382</v>
      </c>
      <c r="AA72" s="2" t="s">
        <v>1382</v>
      </c>
    </row>
    <row r="73" spans="1:27" ht="12.75">
      <c r="A73" s="115" t="s">
        <v>1945</v>
      </c>
      <c r="B73" s="115" t="s">
        <v>54</v>
      </c>
      <c r="C73" s="2" t="str">
        <f t="shared" si="2"/>
        <v>GF12.150.07.A</v>
      </c>
      <c r="D73" s="117" t="s">
        <v>1946</v>
      </c>
      <c r="E73" s="52">
        <f t="shared" si="3"/>
        <v>112.3</v>
      </c>
      <c r="F73" s="5" t="e" cm="1">
        <f t="array" aca="1" ref="F73" ca="1">SUMPRODUCT(SUMIF(INDIRECT("'"&amp;Assemblies[Assy]&amp;"'!"&amp;"C$5:C1000"),$C73,(INDIRECT("'"&amp;Assemblies[Assy]&amp;"'!"&amp;"O$5:O1000"))))</f>
        <v>#VALUE!</v>
      </c>
      <c r="G73" s="5">
        <v>2</v>
      </c>
      <c r="I73" s="2" t="s">
        <v>1824</v>
      </c>
      <c r="J73" s="2" t="s">
        <v>1761</v>
      </c>
      <c r="K73" s="2" t="s">
        <v>1762</v>
      </c>
      <c r="L73" s="2" t="s">
        <v>1816</v>
      </c>
      <c r="M73" s="2" t="s">
        <v>1936</v>
      </c>
      <c r="N73" s="8">
        <v>45159</v>
      </c>
      <c r="O73" s="8">
        <v>45189</v>
      </c>
      <c r="P73" s="8">
        <v>45212</v>
      </c>
      <c r="Q73" s="144">
        <v>45228</v>
      </c>
      <c r="R73" s="223">
        <v>55160</v>
      </c>
      <c r="S73" s="153">
        <v>112.3</v>
      </c>
      <c r="T73" s="52">
        <v>0</v>
      </c>
      <c r="U73" s="52">
        <v>0</v>
      </c>
      <c r="V73" s="52">
        <v>0</v>
      </c>
      <c r="W73" s="2" t="str" cm="1">
        <f t="array" aca="1" ref="W73" ca="1">TRIM(SUBSTITUTE(_xlfn.ARRAYTOTEXT(IFERROR(CONCATENATE(SUMIF(INDIRECT("'"&amp;Assemblies[Assy]&amp;"'!"&amp;"C$5:C1000"), $C73, INDIRECT("'"&amp;Assemblies[Assy]&amp;"'!"&amp;"O$5:O1000")), "x",Assemblies[Assy],".",IF(SUMIF(INDIRECT("'"&amp;Assemblies[Assy]&amp;"'!"&amp;"C$5:C1000"), $C73, INDIRECT("'"&amp;Assemblies[Assy]&amp;"'!"&amp;"A$5:A1000"))=0,NA(),SUMIF(INDIRECT("'"&amp;Assemblies[Assy]&amp;"'!"&amp;"C$5:C1000"), $C73, INDIRECT("'"&amp;Assemblies[Assy]&amp;"'!"&amp;"A$5:A1000")))),"")), " ,", ""))</f>
        <v>,</v>
      </c>
      <c r="X73" s="2" t="s">
        <v>1773</v>
      </c>
      <c r="Y73" s="2" t="s">
        <v>1382</v>
      </c>
      <c r="Z73" s="2" t="s">
        <v>1382</v>
      </c>
    </row>
    <row r="74" spans="1:27" ht="12.75">
      <c r="A74" s="115" t="s">
        <v>1947</v>
      </c>
      <c r="B74" s="115" t="s">
        <v>54</v>
      </c>
      <c r="C74" s="2" t="str">
        <f t="shared" si="2"/>
        <v>GF12.150.08.A</v>
      </c>
      <c r="D74" s="117" t="s">
        <v>1948</v>
      </c>
      <c r="E74" s="52">
        <f t="shared" si="3"/>
        <v>204</v>
      </c>
      <c r="F74" s="5" t="e" cm="1">
        <f t="array" aca="1" ref="F74" ca="1">SUMPRODUCT(SUMIF(INDIRECT("'"&amp;Assemblies[Assy]&amp;"'!"&amp;"C$5:C1000"),$C74,(INDIRECT("'"&amp;Assemblies[Assy]&amp;"'!"&amp;"O$5:O1000"))))</f>
        <v>#VALUE!</v>
      </c>
      <c r="G74" s="5">
        <v>1</v>
      </c>
      <c r="I74" s="2" t="s">
        <v>1824</v>
      </c>
      <c r="J74" s="2" t="s">
        <v>1761</v>
      </c>
      <c r="K74" s="2" t="s">
        <v>1762</v>
      </c>
      <c r="L74" s="2" t="s">
        <v>1816</v>
      </c>
      <c r="M74" s="2" t="s">
        <v>1933</v>
      </c>
      <c r="N74" s="8">
        <v>45159</v>
      </c>
      <c r="O74" s="8">
        <v>45188</v>
      </c>
      <c r="P74" s="8">
        <v>45212</v>
      </c>
      <c r="Q74" s="144">
        <v>45216</v>
      </c>
      <c r="R74" s="223">
        <v>55156</v>
      </c>
      <c r="S74" s="153">
        <v>204</v>
      </c>
      <c r="T74" s="52">
        <v>0</v>
      </c>
      <c r="U74" s="52">
        <v>0</v>
      </c>
      <c r="V74" s="52">
        <v>0</v>
      </c>
      <c r="W74" s="2" t="str" cm="1">
        <f t="array" aca="1" ref="W74" ca="1">TRIM(SUBSTITUTE(_xlfn.ARRAYTOTEXT(IFERROR(CONCATENATE(SUMIF(INDIRECT("'"&amp;Assemblies[Assy]&amp;"'!"&amp;"C$5:C1000"), $C74, INDIRECT("'"&amp;Assemblies[Assy]&amp;"'!"&amp;"O$5:O1000")), "x",Assemblies[Assy],".",IF(SUMIF(INDIRECT("'"&amp;Assemblies[Assy]&amp;"'!"&amp;"C$5:C1000"), $C74, INDIRECT("'"&amp;Assemblies[Assy]&amp;"'!"&amp;"A$5:A1000"))=0,NA(),SUMIF(INDIRECT("'"&amp;Assemblies[Assy]&amp;"'!"&amp;"C$5:C1000"), $C74, INDIRECT("'"&amp;Assemblies[Assy]&amp;"'!"&amp;"A$5:A1000")))),"")), " ,", ""))</f>
        <v>,</v>
      </c>
      <c r="X74" s="2" t="s">
        <v>1773</v>
      </c>
      <c r="Y74" s="2" t="s">
        <v>1382</v>
      </c>
      <c r="Z74" s="2" t="s">
        <v>1382</v>
      </c>
      <c r="AA74" s="2" t="s">
        <v>1382</v>
      </c>
    </row>
    <row r="75" spans="1:27" ht="12.75">
      <c r="A75" s="115" t="s">
        <v>1949</v>
      </c>
      <c r="B75" s="115" t="s">
        <v>54</v>
      </c>
      <c r="C75" s="2" t="str">
        <f t="shared" si="2"/>
        <v>GF12.150.09.A</v>
      </c>
      <c r="D75" s="117" t="s">
        <v>1950</v>
      </c>
      <c r="E75" s="52">
        <f t="shared" si="3"/>
        <v>0</v>
      </c>
      <c r="F75" s="5" cm="1">
        <f t="array" aca="1" ref="F75" ca="1">SUMPRODUCT(SUMIF(INDIRECT("'"&amp;Assemblies[Assy]&amp;"'!"&amp;"C$5:C1000"),$C75,(INDIRECT("'"&amp;Assemblies[Assy]&amp;"'!"&amp;"O$5:O1000"))))</f>
        <v>0</v>
      </c>
      <c r="I75" s="2" t="s">
        <v>1824</v>
      </c>
      <c r="J75" s="2" t="s">
        <v>1761</v>
      </c>
      <c r="K75" s="2" t="s">
        <v>1762</v>
      </c>
      <c r="L75" s="2" t="s">
        <v>1951</v>
      </c>
      <c r="M75" s="2"/>
      <c r="Q75" s="144"/>
      <c r="R75" s="223"/>
      <c r="S75" s="153"/>
      <c r="T75" s="52"/>
      <c r="V75" s="52"/>
      <c r="W75" s="2" t="str" cm="1">
        <f t="array" aca="1" ref="W75" ca="1">TRIM(SUBSTITUTE(_xlfn.ARRAYTOTEXT(IFERROR(CONCATENATE(SUMIF(INDIRECT("'"&amp;Assemblies[Assy]&amp;"'!"&amp;"C$5:C1000"), $C75, INDIRECT("'"&amp;Assemblies[Assy]&amp;"'!"&amp;"O$5:O1000")), "x",Assemblies[Assy],".",IF(SUMIF(INDIRECT("'"&amp;Assemblies[Assy]&amp;"'!"&amp;"C$5:C1000"), $C75, INDIRECT("'"&amp;Assemblies[Assy]&amp;"'!"&amp;"A$5:A1000"))=0,NA(),SUMIF(INDIRECT("'"&amp;Assemblies[Assy]&amp;"'!"&amp;"C$5:C1000"), $C75, INDIRECT("'"&amp;Assemblies[Assy]&amp;"'!"&amp;"A$5:A1000")))),"")), " ,", ""))</f>
        <v>,</v>
      </c>
      <c r="Y75" s="2"/>
      <c r="AA75" s="2" t="s">
        <v>1382</v>
      </c>
    </row>
    <row r="76" spans="1:27" ht="12.75">
      <c r="A76" s="115" t="s">
        <v>1952</v>
      </c>
      <c r="B76" s="115" t="s">
        <v>58</v>
      </c>
      <c r="C76" s="2" t="str">
        <f t="shared" si="2"/>
        <v>GF12.160.01.C</v>
      </c>
      <c r="D76" s="2" t="s">
        <v>1953</v>
      </c>
      <c r="E76" s="52">
        <f t="shared" si="3"/>
        <v>104.15</v>
      </c>
      <c r="F76" s="5" t="e" cm="1">
        <f t="array" aca="1" ref="F76" ca="1">SUMPRODUCT(SUMIF(INDIRECT("'"&amp;Assemblies[Assy]&amp;"'!"&amp;"C$5:C1000"),$C76,(INDIRECT("'"&amp;Assemblies[Assy]&amp;"'!"&amp;"O$5:O1000"))))</f>
        <v>#VALUE!</v>
      </c>
      <c r="G76" s="5">
        <v>1</v>
      </c>
      <c r="H76" s="5">
        <v>1</v>
      </c>
      <c r="I76" s="2" t="s">
        <v>1791</v>
      </c>
      <c r="J76" s="2" t="s">
        <v>1769</v>
      </c>
      <c r="K76" s="2" t="s">
        <v>1382</v>
      </c>
      <c r="L76" s="2" t="s">
        <v>1786</v>
      </c>
      <c r="M76" s="2"/>
      <c r="N76" s="237">
        <v>45210</v>
      </c>
      <c r="O76" s="237">
        <v>45210</v>
      </c>
      <c r="P76" s="237">
        <v>45217</v>
      </c>
      <c r="Q76" s="144">
        <v>45217</v>
      </c>
      <c r="R76" s="222">
        <v>55204</v>
      </c>
      <c r="S76" s="153">
        <v>104.15</v>
      </c>
      <c r="T76" s="52">
        <v>0</v>
      </c>
      <c r="U76" s="52">
        <v>0</v>
      </c>
      <c r="V76" s="52">
        <v>0</v>
      </c>
      <c r="W76" s="2" t="str" cm="1">
        <f t="array" aca="1" ref="W76" ca="1">TRIM(SUBSTITUTE(_xlfn.ARRAYTOTEXT(IFERROR(CONCATENATE(SUMIF(INDIRECT("'"&amp;Assemblies[Assy]&amp;"'!"&amp;"C$5:C1000"), $C76, INDIRECT("'"&amp;Assemblies[Assy]&amp;"'!"&amp;"O$5:O1000")), "x",Assemblies[Assy],".",IF(SUMIF(INDIRECT("'"&amp;Assemblies[Assy]&amp;"'!"&amp;"C$5:C1000"), $C76, INDIRECT("'"&amp;Assemblies[Assy]&amp;"'!"&amp;"A$5:A1000"))=0,NA(),SUMIF(INDIRECT("'"&amp;Assemblies[Assy]&amp;"'!"&amp;"C$5:C1000"), $C76, INDIRECT("'"&amp;Assemblies[Assy]&amp;"'!"&amp;"A$5:A1000")))),"")), " ,", ""))</f>
        <v>,</v>
      </c>
      <c r="X76" s="2" t="s">
        <v>1382</v>
      </c>
      <c r="Y76" s="2" t="s">
        <v>1382</v>
      </c>
      <c r="Z76" s="2" t="s">
        <v>1382</v>
      </c>
      <c r="AA76" s="2" t="s">
        <v>1382</v>
      </c>
    </row>
    <row r="77" spans="1:27" ht="12.75">
      <c r="A77" s="115" t="s">
        <v>1954</v>
      </c>
      <c r="B77" s="115" t="s">
        <v>54</v>
      </c>
      <c r="C77" s="2" t="str">
        <f t="shared" si="2"/>
        <v>GF12.180.01.A</v>
      </c>
      <c r="D77" s="2" t="s">
        <v>1955</v>
      </c>
      <c r="E77" s="52">
        <f t="shared" si="3"/>
        <v>0</v>
      </c>
      <c r="F77" s="5" t="e" cm="1">
        <f t="array" aca="1" ref="F77" ca="1">SUMPRODUCT(SUMIF(INDIRECT("'"&amp;Assemblies[Assy]&amp;"'!"&amp;"C$5:C1000"),$C77,(INDIRECT("'"&amp;Assemblies[Assy]&amp;"'!"&amp;"O$5:O1000"))))</f>
        <v>#VALUE!</v>
      </c>
      <c r="G77" s="5">
        <v>0</v>
      </c>
      <c r="H77" s="5">
        <v>2</v>
      </c>
      <c r="I77" s="2" t="s">
        <v>1956</v>
      </c>
      <c r="J77" s="2" t="s">
        <v>1761</v>
      </c>
      <c r="K77" s="2" t="s">
        <v>1762</v>
      </c>
      <c r="L77" s="2" t="s">
        <v>1812</v>
      </c>
      <c r="M77" s="2"/>
      <c r="N77" s="163" t="s">
        <v>1762</v>
      </c>
      <c r="O77" s="163" t="s">
        <v>1762</v>
      </c>
      <c r="P77" s="163" t="s">
        <v>1762</v>
      </c>
      <c r="Q77" s="163" t="s">
        <v>1762</v>
      </c>
      <c r="R77" s="201" t="s">
        <v>1762</v>
      </c>
      <c r="S77" s="173">
        <v>0</v>
      </c>
      <c r="T77" s="52">
        <v>0</v>
      </c>
      <c r="U77" s="52">
        <v>0</v>
      </c>
      <c r="V77" s="52">
        <v>0</v>
      </c>
      <c r="W77" s="2" t="str" cm="1">
        <f t="array" aca="1" ref="W77" ca="1">TRIM(SUBSTITUTE(_xlfn.ARRAYTOTEXT(IFERROR(CONCATENATE(SUMIF(INDIRECT("'"&amp;Assemblies[Assy]&amp;"'!"&amp;"C$5:C1000"), $C77, INDIRECT("'"&amp;Assemblies[Assy]&amp;"'!"&amp;"O$5:O1000")), "x",Assemblies[Assy],".",IF(SUMIF(INDIRECT("'"&amp;Assemblies[Assy]&amp;"'!"&amp;"C$5:C1000"), $C77, INDIRECT("'"&amp;Assemblies[Assy]&amp;"'!"&amp;"A$5:A1000"))=0,NA(),SUMIF(INDIRECT("'"&amp;Assemblies[Assy]&amp;"'!"&amp;"C$5:C1000"), $C77, INDIRECT("'"&amp;Assemblies[Assy]&amp;"'!"&amp;"A$5:A1000")))),"")), " ,", ""))</f>
        <v>,</v>
      </c>
      <c r="Y77" s="2"/>
      <c r="AA77" s="2" t="s">
        <v>1382</v>
      </c>
    </row>
    <row r="78" spans="1:27" ht="12.75">
      <c r="A78" s="115" t="s">
        <v>1957</v>
      </c>
      <c r="B78" s="115" t="s">
        <v>54</v>
      </c>
      <c r="C78" s="2" t="str">
        <f t="shared" si="2"/>
        <v>GF12.180.02.A</v>
      </c>
      <c r="D78" s="2" t="s">
        <v>1958</v>
      </c>
      <c r="E78" s="52">
        <f t="shared" si="3"/>
        <v>0</v>
      </c>
      <c r="F78" s="5" t="e" cm="1">
        <f t="array" aca="1" ref="F78" ca="1">SUMPRODUCT(SUMIF(INDIRECT("'"&amp;Assemblies[Assy]&amp;"'!"&amp;"C$5:C1000"),$C78,(INDIRECT("'"&amp;Assemblies[Assy]&amp;"'!"&amp;"O$5:O1000"))))</f>
        <v>#VALUE!</v>
      </c>
      <c r="G78" s="5">
        <v>0</v>
      </c>
      <c r="H78" s="5">
        <v>1</v>
      </c>
      <c r="I78" s="2" t="s">
        <v>1956</v>
      </c>
      <c r="J78" s="2" t="s">
        <v>1761</v>
      </c>
      <c r="K78" s="2" t="s">
        <v>1762</v>
      </c>
      <c r="L78" s="2" t="s">
        <v>1812</v>
      </c>
      <c r="M78" s="2"/>
      <c r="N78" s="163" t="s">
        <v>1762</v>
      </c>
      <c r="O78" s="163" t="s">
        <v>1762</v>
      </c>
      <c r="P78" s="163" t="s">
        <v>1762</v>
      </c>
      <c r="Q78" s="163" t="s">
        <v>1762</v>
      </c>
      <c r="R78" s="201" t="s">
        <v>1762</v>
      </c>
      <c r="S78" s="173">
        <v>0</v>
      </c>
      <c r="T78" s="52">
        <v>0</v>
      </c>
      <c r="U78" s="52">
        <v>0</v>
      </c>
      <c r="V78" s="52">
        <v>0</v>
      </c>
      <c r="W78" s="2" t="str" cm="1">
        <f t="array" aca="1" ref="W78" ca="1">TRIM(SUBSTITUTE(_xlfn.ARRAYTOTEXT(IFERROR(CONCATENATE(SUMIF(INDIRECT("'"&amp;Assemblies[Assy]&amp;"'!"&amp;"C$5:C1000"), $C78, INDIRECT("'"&amp;Assemblies[Assy]&amp;"'!"&amp;"O$5:O1000")), "x",Assemblies[Assy],".",IF(SUMIF(INDIRECT("'"&amp;Assemblies[Assy]&amp;"'!"&amp;"C$5:C1000"), $C78, INDIRECT("'"&amp;Assemblies[Assy]&amp;"'!"&amp;"A$5:A1000"))=0,NA(),SUMIF(INDIRECT("'"&amp;Assemblies[Assy]&amp;"'!"&amp;"C$5:C1000"), $C78, INDIRECT("'"&amp;Assemblies[Assy]&amp;"'!"&amp;"A$5:A1000")))),"")), " ,", ""))</f>
        <v>,</v>
      </c>
      <c r="Y78" s="2"/>
      <c r="AA78" s="2" t="s">
        <v>1382</v>
      </c>
    </row>
    <row r="79" spans="1:27" ht="12.75">
      <c r="A79" s="115" t="s">
        <v>1959</v>
      </c>
      <c r="B79" s="115" t="s">
        <v>54</v>
      </c>
      <c r="C79" s="2" t="str">
        <f t="shared" si="2"/>
        <v>GF12.180.03.A</v>
      </c>
      <c r="D79" s="2" t="s">
        <v>1960</v>
      </c>
      <c r="E79" s="52">
        <f t="shared" si="3"/>
        <v>0</v>
      </c>
      <c r="F79" s="5" t="e" cm="1">
        <f t="array" aca="1" ref="F79" ca="1">SUMPRODUCT(SUMIF(INDIRECT("'"&amp;Assemblies[Assy]&amp;"'!"&amp;"C$5:C1000"),$C79,(INDIRECT("'"&amp;Assemblies[Assy]&amp;"'!"&amp;"O$5:O1000"))))</f>
        <v>#VALUE!</v>
      </c>
      <c r="G79" s="5">
        <v>0</v>
      </c>
      <c r="H79" s="5">
        <v>1</v>
      </c>
      <c r="I79" s="2" t="s">
        <v>1961</v>
      </c>
      <c r="J79" s="2" t="s">
        <v>1761</v>
      </c>
      <c r="K79" s="2" t="s">
        <v>1762</v>
      </c>
      <c r="L79" s="2" t="s">
        <v>1812</v>
      </c>
      <c r="M79" s="2"/>
      <c r="N79" s="163" t="s">
        <v>1762</v>
      </c>
      <c r="O79" s="163" t="s">
        <v>1762</v>
      </c>
      <c r="P79" s="163" t="s">
        <v>1762</v>
      </c>
      <c r="Q79" s="163" t="s">
        <v>1762</v>
      </c>
      <c r="R79" s="201" t="s">
        <v>1762</v>
      </c>
      <c r="S79" s="173">
        <v>0</v>
      </c>
      <c r="T79" s="52">
        <v>0</v>
      </c>
      <c r="U79" s="52">
        <v>0</v>
      </c>
      <c r="V79" s="52">
        <v>0</v>
      </c>
      <c r="W79" s="2" t="str" cm="1">
        <f t="array" aca="1" ref="W79" ca="1">TRIM(SUBSTITUTE(_xlfn.ARRAYTOTEXT(IFERROR(CONCATENATE(SUMIF(INDIRECT("'"&amp;Assemblies[Assy]&amp;"'!"&amp;"C$5:C1000"), $C79, INDIRECT("'"&amp;Assemblies[Assy]&amp;"'!"&amp;"O$5:O1000")), "x",Assemblies[Assy],".",IF(SUMIF(INDIRECT("'"&amp;Assemblies[Assy]&amp;"'!"&amp;"C$5:C1000"), $C79, INDIRECT("'"&amp;Assemblies[Assy]&amp;"'!"&amp;"A$5:A1000"))=0,NA(),SUMIF(INDIRECT("'"&amp;Assemblies[Assy]&amp;"'!"&amp;"C$5:C1000"), $C79, INDIRECT("'"&amp;Assemblies[Assy]&amp;"'!"&amp;"A$5:A1000")))),"")), " ,", ""))</f>
        <v>,</v>
      </c>
      <c r="Y79" s="2"/>
      <c r="AA79" s="2" t="s">
        <v>1382</v>
      </c>
    </row>
    <row r="80" spans="1:27" ht="12.75">
      <c r="A80" s="115" t="s">
        <v>1962</v>
      </c>
      <c r="B80" s="115" t="s">
        <v>54</v>
      </c>
      <c r="C80" s="2" t="str">
        <f t="shared" si="2"/>
        <v>GF12.180.04.A</v>
      </c>
      <c r="D80" s="2" t="s">
        <v>1963</v>
      </c>
      <c r="E80" s="52">
        <f t="shared" si="3"/>
        <v>0</v>
      </c>
      <c r="F80" s="5" t="e" cm="1">
        <f t="array" aca="1" ref="F80" ca="1">SUMPRODUCT(SUMIF(INDIRECT("'"&amp;Assemblies[Assy]&amp;"'!"&amp;"C$5:C1000"),$C80,(INDIRECT("'"&amp;Assemblies[Assy]&amp;"'!"&amp;"O$5:O1000"))))</f>
        <v>#VALUE!</v>
      </c>
      <c r="G80" s="5">
        <v>0</v>
      </c>
      <c r="H80" s="5">
        <v>1</v>
      </c>
      <c r="I80" s="2" t="s">
        <v>1961</v>
      </c>
      <c r="J80" s="2" t="s">
        <v>1761</v>
      </c>
      <c r="K80" s="2" t="s">
        <v>1762</v>
      </c>
      <c r="L80" s="2" t="s">
        <v>1812</v>
      </c>
      <c r="M80" s="2"/>
      <c r="N80" s="163" t="s">
        <v>1762</v>
      </c>
      <c r="O80" s="163" t="s">
        <v>1762</v>
      </c>
      <c r="P80" s="163" t="s">
        <v>1762</v>
      </c>
      <c r="Q80" s="163" t="s">
        <v>1762</v>
      </c>
      <c r="R80" s="201" t="s">
        <v>1762</v>
      </c>
      <c r="S80" s="173">
        <v>0</v>
      </c>
      <c r="T80" s="52">
        <v>0</v>
      </c>
      <c r="U80" s="52">
        <v>0</v>
      </c>
      <c r="V80" s="52">
        <v>0</v>
      </c>
      <c r="W80" s="2" t="str" cm="1">
        <f t="array" aca="1" ref="W80" ca="1">TRIM(SUBSTITUTE(_xlfn.ARRAYTOTEXT(IFERROR(CONCATENATE(SUMIF(INDIRECT("'"&amp;Assemblies[Assy]&amp;"'!"&amp;"C$5:C1000"), $C80, INDIRECT("'"&amp;Assemblies[Assy]&amp;"'!"&amp;"O$5:O1000")), "x",Assemblies[Assy],".",IF(SUMIF(INDIRECT("'"&amp;Assemblies[Assy]&amp;"'!"&amp;"C$5:C1000"), $C80, INDIRECT("'"&amp;Assemblies[Assy]&amp;"'!"&amp;"A$5:A1000"))=0,NA(),SUMIF(INDIRECT("'"&amp;Assemblies[Assy]&amp;"'!"&amp;"C$5:C1000"), $C80, INDIRECT("'"&amp;Assemblies[Assy]&amp;"'!"&amp;"A$5:A1000")))),"")), " ,", ""))</f>
        <v>,</v>
      </c>
      <c r="Y80" s="2"/>
      <c r="AA80" s="2" t="s">
        <v>1382</v>
      </c>
    </row>
    <row r="81" spans="1:27" ht="12.75">
      <c r="A81" s="115" t="s">
        <v>1964</v>
      </c>
      <c r="B81" s="115" t="s">
        <v>54</v>
      </c>
      <c r="C81" s="2" t="str">
        <f t="shared" si="2"/>
        <v>GF12.180.05.A</v>
      </c>
      <c r="D81" s="2" t="s">
        <v>1965</v>
      </c>
      <c r="E81" s="52">
        <f t="shared" si="3"/>
        <v>132</v>
      </c>
      <c r="F81" s="5" t="e" cm="1">
        <f t="array" aca="1" ref="F81" ca="1">SUMPRODUCT(SUMIF(INDIRECT("'"&amp;Assemblies[Assy]&amp;"'!"&amp;"C$5:C1000"),$C81,(INDIRECT("'"&amp;Assemblies[Assy]&amp;"'!"&amp;"O$5:O1000"))))</f>
        <v>#VALUE!</v>
      </c>
      <c r="G81" s="5">
        <v>0</v>
      </c>
      <c r="I81" s="2" t="s">
        <v>1966</v>
      </c>
      <c r="J81" s="2" t="s">
        <v>1792</v>
      </c>
      <c r="K81" s="2" t="s">
        <v>1770</v>
      </c>
      <c r="L81" s="2" t="s">
        <v>1967</v>
      </c>
      <c r="M81" s="2"/>
      <c r="N81" s="163" t="s">
        <v>1762</v>
      </c>
      <c r="O81" s="237">
        <v>45226</v>
      </c>
      <c r="P81" s="237">
        <v>45226</v>
      </c>
      <c r="Q81" s="237">
        <v>45226</v>
      </c>
      <c r="R81" s="201">
        <v>55257</v>
      </c>
      <c r="S81" s="153">
        <v>132</v>
      </c>
      <c r="T81" s="52">
        <v>0</v>
      </c>
      <c r="U81" s="52">
        <v>0</v>
      </c>
      <c r="V81" s="52">
        <v>0</v>
      </c>
      <c r="W81" s="2" t="str" cm="1">
        <f t="array" aca="1" ref="W81" ca="1">TRIM(SUBSTITUTE(_xlfn.ARRAYTOTEXT(IFERROR(CONCATENATE(SUMIF(INDIRECT("'"&amp;Assemblies[Assy]&amp;"'!"&amp;"C$5:C1000"), $C81, INDIRECT("'"&amp;Assemblies[Assy]&amp;"'!"&amp;"O$5:O1000")), "x",Assemblies[Assy],".",IF(SUMIF(INDIRECT("'"&amp;Assemblies[Assy]&amp;"'!"&amp;"C$5:C1000"), $C81, INDIRECT("'"&amp;Assemblies[Assy]&amp;"'!"&amp;"A$5:A1000"))=0,NA(),SUMIF(INDIRECT("'"&amp;Assemblies[Assy]&amp;"'!"&amp;"C$5:C1000"), $C81, INDIRECT("'"&amp;Assemblies[Assy]&amp;"'!"&amp;"A$5:A1000")))),"")), " ,", ""))</f>
        <v>,</v>
      </c>
      <c r="Y81" s="2"/>
      <c r="AA81" s="2" t="s">
        <v>1382</v>
      </c>
    </row>
    <row r="82" spans="1:27" ht="12.75">
      <c r="A82" s="115" t="s">
        <v>1968</v>
      </c>
      <c r="B82" s="115" t="s">
        <v>54</v>
      </c>
      <c r="C82" s="2" t="str">
        <f t="shared" si="2"/>
        <v>GF12.180.06.A</v>
      </c>
      <c r="D82" s="2" t="s">
        <v>1969</v>
      </c>
      <c r="E82" s="52">
        <f t="shared" si="3"/>
        <v>34</v>
      </c>
      <c r="F82" s="5" t="e" cm="1">
        <f t="array" aca="1" ref="F82" ca="1">SUMPRODUCT(SUMIF(INDIRECT("'"&amp;Assemblies[Assy]&amp;"'!"&amp;"C$5:C1000"),$C82,(INDIRECT("'"&amp;Assemblies[Assy]&amp;"'!"&amp;"O$5:O1000"))))</f>
        <v>#VALUE!</v>
      </c>
      <c r="G82" s="5">
        <v>0</v>
      </c>
      <c r="I82" s="2" t="s">
        <v>1966</v>
      </c>
      <c r="J82" s="2" t="s">
        <v>1792</v>
      </c>
      <c r="K82" s="2" t="s">
        <v>1770</v>
      </c>
      <c r="L82" s="2" t="s">
        <v>1967</v>
      </c>
      <c r="M82" s="2"/>
      <c r="N82" s="163" t="s">
        <v>1762</v>
      </c>
      <c r="O82" s="237">
        <v>45226</v>
      </c>
      <c r="P82" s="237">
        <v>45226</v>
      </c>
      <c r="Q82" s="237">
        <v>45226</v>
      </c>
      <c r="R82" s="201">
        <v>55257</v>
      </c>
      <c r="S82" s="153">
        <v>34</v>
      </c>
      <c r="T82" s="52">
        <v>0</v>
      </c>
      <c r="U82" s="52">
        <v>0</v>
      </c>
      <c r="V82" s="52">
        <v>0</v>
      </c>
      <c r="W82" s="2" t="str" cm="1">
        <f t="array" aca="1" ref="W82" ca="1">TRIM(SUBSTITUTE(_xlfn.ARRAYTOTEXT(IFERROR(CONCATENATE(SUMIF(INDIRECT("'"&amp;Assemblies[Assy]&amp;"'!"&amp;"C$5:C1000"), $C82, INDIRECT("'"&amp;Assemblies[Assy]&amp;"'!"&amp;"O$5:O1000")), "x",Assemblies[Assy],".",IF(SUMIF(INDIRECT("'"&amp;Assemblies[Assy]&amp;"'!"&amp;"C$5:C1000"), $C82, INDIRECT("'"&amp;Assemblies[Assy]&amp;"'!"&amp;"A$5:A1000"))=0,NA(),SUMIF(INDIRECT("'"&amp;Assemblies[Assy]&amp;"'!"&amp;"C$5:C1000"), $C82, INDIRECT("'"&amp;Assemblies[Assy]&amp;"'!"&amp;"A$5:A1000")))),"")), " ,", ""))</f>
        <v>,</v>
      </c>
      <c r="Y82" s="2"/>
      <c r="AA82" s="2" t="s">
        <v>1382</v>
      </c>
    </row>
    <row r="83" spans="1:27" ht="12.75">
      <c r="A83" s="115" t="s">
        <v>1970</v>
      </c>
      <c r="B83" s="115" t="s">
        <v>54</v>
      </c>
      <c r="C83" s="2" t="str">
        <f t="shared" si="2"/>
        <v>GF12.210.01.A</v>
      </c>
      <c r="D83" s="2" t="s">
        <v>1971</v>
      </c>
      <c r="E83" s="52">
        <f t="shared" si="3"/>
        <v>0</v>
      </c>
      <c r="F83" s="5" t="e" cm="1">
        <f t="array" aca="1" ref="F83" ca="1">SUMPRODUCT(SUMIF(INDIRECT("'"&amp;Assemblies[Assy]&amp;"'!"&amp;"C$5:C1000"),$C83,(INDIRECT("'"&amp;Assemblies[Assy]&amp;"'!"&amp;"O$5:O1000"))))</f>
        <v>#VALUE!</v>
      </c>
      <c r="G83" s="5">
        <v>2</v>
      </c>
      <c r="H83" s="5">
        <v>2</v>
      </c>
      <c r="I83" s="2" t="s">
        <v>1760</v>
      </c>
      <c r="J83" s="2" t="s">
        <v>1761</v>
      </c>
      <c r="K83" s="2" t="s">
        <v>1762</v>
      </c>
      <c r="L83" s="2" t="s">
        <v>1763</v>
      </c>
      <c r="M83" s="2" t="s">
        <v>1382</v>
      </c>
      <c r="N83" s="163" t="s">
        <v>1762</v>
      </c>
      <c r="O83" s="163" t="s">
        <v>1762</v>
      </c>
      <c r="P83" s="163" t="s">
        <v>1762</v>
      </c>
      <c r="Q83" s="163" t="s">
        <v>1762</v>
      </c>
      <c r="R83" s="201" t="s">
        <v>1762</v>
      </c>
      <c r="S83" s="153">
        <v>0</v>
      </c>
      <c r="T83" s="52">
        <v>0</v>
      </c>
      <c r="U83" s="52">
        <v>0</v>
      </c>
      <c r="V83" s="52">
        <v>0</v>
      </c>
      <c r="W83" s="2" t="str" cm="1">
        <f t="array" aca="1" ref="W83" ca="1">TRIM(SUBSTITUTE(_xlfn.ARRAYTOTEXT(IFERROR(CONCATENATE(SUMIF(INDIRECT("'"&amp;Assemblies[Assy]&amp;"'!"&amp;"C$5:C1000"), $C83, INDIRECT("'"&amp;Assemblies[Assy]&amp;"'!"&amp;"O$5:O1000")), "x",Assemblies[Assy],".",IF(SUMIF(INDIRECT("'"&amp;Assemblies[Assy]&amp;"'!"&amp;"C$5:C1000"), $C83, INDIRECT("'"&amp;Assemblies[Assy]&amp;"'!"&amp;"A$5:A1000"))=0,NA(),SUMIF(INDIRECT("'"&amp;Assemblies[Assy]&amp;"'!"&amp;"C$5:C1000"), $C83, INDIRECT("'"&amp;Assemblies[Assy]&amp;"'!"&amp;"A$5:A1000")))),"")), " ,", ""))</f>
        <v>,</v>
      </c>
      <c r="X83" s="2" t="s">
        <v>1382</v>
      </c>
      <c r="Y83" s="2" t="s">
        <v>1382</v>
      </c>
      <c r="Z83" s="2" t="s">
        <v>1382</v>
      </c>
      <c r="AA83" s="2" t="s">
        <v>1382</v>
      </c>
    </row>
    <row r="84" spans="1:27" ht="12.75">
      <c r="A84" s="115" t="s">
        <v>1972</v>
      </c>
      <c r="B84" s="115" t="s">
        <v>56</v>
      </c>
      <c r="C84" s="2" t="str">
        <f t="shared" si="2"/>
        <v>GF12.210.02.B</v>
      </c>
      <c r="D84" s="117" t="s">
        <v>1973</v>
      </c>
      <c r="E84" s="52">
        <f t="shared" si="3"/>
        <v>186.75</v>
      </c>
      <c r="F84" s="5" t="e" cm="1">
        <f t="array" aca="1" ref="F84" ca="1">SUMPRODUCT(SUMIF(INDIRECT("'"&amp;Assemblies[Assy]&amp;"'!"&amp;"C$5:C1000"),$C84,(INDIRECT("'"&amp;Assemblies[Assy]&amp;"'!"&amp;"O$5:O1000"))))</f>
        <v>#VALUE!</v>
      </c>
      <c r="G84" s="5">
        <v>1</v>
      </c>
      <c r="H84" s="5">
        <v>1</v>
      </c>
      <c r="I84" s="2" t="s">
        <v>1824</v>
      </c>
      <c r="J84" s="2" t="s">
        <v>1761</v>
      </c>
      <c r="K84" s="2" t="s">
        <v>1762</v>
      </c>
      <c r="L84" s="2" t="s">
        <v>1951</v>
      </c>
      <c r="M84" s="214" t="s">
        <v>1974</v>
      </c>
      <c r="N84" s="8">
        <v>45194</v>
      </c>
      <c r="O84" s="8">
        <v>45196</v>
      </c>
      <c r="P84" s="8">
        <v>45219</v>
      </c>
      <c r="Q84" s="144">
        <v>45219</v>
      </c>
      <c r="R84" s="223">
        <v>55166</v>
      </c>
      <c r="S84" s="153">
        <v>186.75</v>
      </c>
      <c r="T84" s="52">
        <v>0</v>
      </c>
      <c r="U84" s="52">
        <v>0</v>
      </c>
      <c r="V84" s="52">
        <v>0</v>
      </c>
      <c r="W84" s="2" t="str" cm="1">
        <f t="array" aca="1" ref="W84" ca="1">TRIM(SUBSTITUTE(_xlfn.ARRAYTOTEXT(IFERROR(CONCATENATE(SUMIF(INDIRECT("'"&amp;Assemblies[Assy]&amp;"'!"&amp;"C$5:C1000"), $C84, INDIRECT("'"&amp;Assemblies[Assy]&amp;"'!"&amp;"O$5:O1000")), "x",Assemblies[Assy],".",IF(SUMIF(INDIRECT("'"&amp;Assemblies[Assy]&amp;"'!"&amp;"C$5:C1000"), $C84, INDIRECT("'"&amp;Assemblies[Assy]&amp;"'!"&amp;"A$5:A1000"))=0,NA(),SUMIF(INDIRECT("'"&amp;Assemblies[Assy]&amp;"'!"&amp;"C$5:C1000"), $C84, INDIRECT("'"&amp;Assemblies[Assy]&amp;"'!"&amp;"A$5:A1000")))),"")), " ,", ""))</f>
        <v>,</v>
      </c>
      <c r="X84" s="2" t="s">
        <v>1773</v>
      </c>
      <c r="Y84" s="2" t="s">
        <v>1382</v>
      </c>
      <c r="Z84" s="2" t="s">
        <v>1382</v>
      </c>
      <c r="AA84" s="2" t="s">
        <v>1382</v>
      </c>
    </row>
    <row r="85" spans="1:27" ht="12.75">
      <c r="A85" s="115" t="s">
        <v>1975</v>
      </c>
      <c r="B85" s="115" t="s">
        <v>56</v>
      </c>
      <c r="C85" s="2" t="str">
        <f t="shared" si="2"/>
        <v>GF12.210.03.B</v>
      </c>
      <c r="D85" s="117" t="s">
        <v>1976</v>
      </c>
      <c r="E85" s="52">
        <f t="shared" si="3"/>
        <v>246.75</v>
      </c>
      <c r="F85" s="5" t="e" cm="1">
        <f t="array" aca="1" ref="F85" ca="1">SUMPRODUCT(SUMIF(INDIRECT("'"&amp;Assemblies[Assy]&amp;"'!"&amp;"C$5:C1000"),$C85,(INDIRECT("'"&amp;Assemblies[Assy]&amp;"'!"&amp;"O$5:O1000"))))</f>
        <v>#VALUE!</v>
      </c>
      <c r="G85" s="5">
        <v>1</v>
      </c>
      <c r="H85" s="5">
        <v>1</v>
      </c>
      <c r="I85" s="2" t="s">
        <v>1824</v>
      </c>
      <c r="J85" s="2" t="s">
        <v>1761</v>
      </c>
      <c r="K85" s="2" t="s">
        <v>1762</v>
      </c>
      <c r="L85" s="2" t="s">
        <v>1951</v>
      </c>
      <c r="M85" s="214" t="s">
        <v>1974</v>
      </c>
      <c r="N85" s="8">
        <v>45194</v>
      </c>
      <c r="O85" s="8">
        <v>45196</v>
      </c>
      <c r="P85" s="8">
        <v>45219</v>
      </c>
      <c r="Q85" s="144">
        <v>45219</v>
      </c>
      <c r="R85" s="223">
        <v>55166</v>
      </c>
      <c r="S85" s="153">
        <v>246.75</v>
      </c>
      <c r="T85" s="52">
        <v>0</v>
      </c>
      <c r="U85" s="52">
        <v>0</v>
      </c>
      <c r="V85" s="52">
        <v>0</v>
      </c>
      <c r="W85" s="2" t="str" cm="1">
        <f t="array" aca="1" ref="W85" ca="1">TRIM(SUBSTITUTE(_xlfn.ARRAYTOTEXT(IFERROR(CONCATENATE(SUMIF(INDIRECT("'"&amp;Assemblies[Assy]&amp;"'!"&amp;"C$5:C1000"), $C85, INDIRECT("'"&amp;Assemblies[Assy]&amp;"'!"&amp;"O$5:O1000")), "x",Assemblies[Assy],".",IF(SUMIF(INDIRECT("'"&amp;Assemblies[Assy]&amp;"'!"&amp;"C$5:C1000"), $C85, INDIRECT("'"&amp;Assemblies[Assy]&amp;"'!"&amp;"A$5:A1000"))=0,NA(),SUMIF(INDIRECT("'"&amp;Assemblies[Assy]&amp;"'!"&amp;"C$5:C1000"), $C85, INDIRECT("'"&amp;Assemblies[Assy]&amp;"'!"&amp;"A$5:A1000")))),"")), " ,", ""))</f>
        <v>,</v>
      </c>
      <c r="X85" s="2" t="s">
        <v>1773</v>
      </c>
      <c r="Y85" s="2" t="s">
        <v>1382</v>
      </c>
      <c r="Z85" s="2" t="s">
        <v>1382</v>
      </c>
      <c r="AA85" s="2" t="s">
        <v>1382</v>
      </c>
    </row>
    <row r="86" spans="1:27" ht="12.75">
      <c r="A86" s="115" t="s">
        <v>1977</v>
      </c>
      <c r="B86" s="115" t="s">
        <v>56</v>
      </c>
      <c r="C86" s="2" t="str">
        <f t="shared" si="2"/>
        <v>GF12.210.04.B</v>
      </c>
      <c r="D86" s="117" t="s">
        <v>1978</v>
      </c>
      <c r="E86" s="52">
        <f t="shared" si="3"/>
        <v>226.67</v>
      </c>
      <c r="F86" s="5" t="e" cm="1">
        <f t="array" aca="1" ref="F86" ca="1">SUMPRODUCT(SUMIF(INDIRECT("'"&amp;Assemblies[Assy]&amp;"'!"&amp;"C$5:C1000"),$C86,(INDIRECT("'"&amp;Assemblies[Assy]&amp;"'!"&amp;"O$5:O1000"))))</f>
        <v>#VALUE!</v>
      </c>
      <c r="G86" s="5">
        <v>1</v>
      </c>
      <c r="H86" s="5">
        <v>1</v>
      </c>
      <c r="I86" s="2" t="s">
        <v>1824</v>
      </c>
      <c r="J86" s="2" t="s">
        <v>1761</v>
      </c>
      <c r="K86" s="2" t="s">
        <v>1762</v>
      </c>
      <c r="L86" s="2" t="s">
        <v>1951</v>
      </c>
      <c r="M86" s="214" t="s">
        <v>1974</v>
      </c>
      <c r="N86" s="8">
        <v>45194</v>
      </c>
      <c r="O86" s="8">
        <v>45196</v>
      </c>
      <c r="P86" s="8">
        <v>45219</v>
      </c>
      <c r="Q86" s="144">
        <v>45219</v>
      </c>
      <c r="R86" s="223">
        <v>55166</v>
      </c>
      <c r="S86" s="153">
        <v>226.67</v>
      </c>
      <c r="T86" s="52">
        <v>0</v>
      </c>
      <c r="U86" s="52">
        <v>0</v>
      </c>
      <c r="V86" s="52">
        <v>0</v>
      </c>
      <c r="W86" s="2" t="str" cm="1">
        <f t="array" aca="1" ref="W86" ca="1">TRIM(SUBSTITUTE(_xlfn.ARRAYTOTEXT(IFERROR(CONCATENATE(SUMIF(INDIRECT("'"&amp;Assemblies[Assy]&amp;"'!"&amp;"C$5:C1000"), $C86, INDIRECT("'"&amp;Assemblies[Assy]&amp;"'!"&amp;"O$5:O1000")), "x",Assemblies[Assy],".",IF(SUMIF(INDIRECT("'"&amp;Assemblies[Assy]&amp;"'!"&amp;"C$5:C1000"), $C86, INDIRECT("'"&amp;Assemblies[Assy]&amp;"'!"&amp;"A$5:A1000"))=0,NA(),SUMIF(INDIRECT("'"&amp;Assemblies[Assy]&amp;"'!"&amp;"C$5:C1000"), $C86, INDIRECT("'"&amp;Assemblies[Assy]&amp;"'!"&amp;"A$5:A1000")))),"")), " ,", ""))</f>
        <v>,</v>
      </c>
      <c r="X86" s="2" t="s">
        <v>1773</v>
      </c>
      <c r="Y86" s="2" t="s">
        <v>1382</v>
      </c>
      <c r="Z86" s="2" t="s">
        <v>1382</v>
      </c>
      <c r="AA86" s="2" t="s">
        <v>1382</v>
      </c>
    </row>
    <row r="87" spans="1:27" ht="12.75">
      <c r="A87" s="115" t="s">
        <v>1979</v>
      </c>
      <c r="B87" s="115" t="s">
        <v>54</v>
      </c>
      <c r="C87" s="2" t="str">
        <f t="shared" si="2"/>
        <v>GF12.210.05.A</v>
      </c>
      <c r="D87" s="2" t="s">
        <v>1980</v>
      </c>
      <c r="E87" s="52">
        <f t="shared" si="3"/>
        <v>160.28870000000001</v>
      </c>
      <c r="F87" s="5" t="e" cm="1">
        <f t="array" aca="1" ref="F87" ca="1">SUMPRODUCT(SUMIF(INDIRECT("'"&amp;Assemblies[Assy]&amp;"'!"&amp;"C$5:C1000"),$C87,(INDIRECT("'"&amp;Assemblies[Assy]&amp;"'!"&amp;"O$5:O1000"))))</f>
        <v>#VALUE!</v>
      </c>
      <c r="G87" s="5">
        <v>1</v>
      </c>
      <c r="H87" s="5">
        <v>1</v>
      </c>
      <c r="I87" s="2" t="s">
        <v>1815</v>
      </c>
      <c r="J87" s="2" t="s">
        <v>1761</v>
      </c>
      <c r="K87" s="2" t="s">
        <v>1762</v>
      </c>
      <c r="L87" s="2" t="s">
        <v>1816</v>
      </c>
      <c r="M87" s="2" t="s">
        <v>1817</v>
      </c>
      <c r="N87" s="8">
        <v>45195</v>
      </c>
      <c r="O87" s="8">
        <v>45195</v>
      </c>
      <c r="P87" s="8">
        <v>45219</v>
      </c>
      <c r="Q87" s="162">
        <v>45219</v>
      </c>
      <c r="R87" s="224">
        <v>55158</v>
      </c>
      <c r="S87" s="153">
        <v>160.28870000000001</v>
      </c>
      <c r="T87" s="52">
        <v>0</v>
      </c>
      <c r="U87" s="52">
        <v>0</v>
      </c>
      <c r="V87" s="52">
        <v>0</v>
      </c>
      <c r="W87" s="2" t="str" cm="1">
        <f t="array" aca="1" ref="W87" ca="1">TRIM(SUBSTITUTE(_xlfn.ARRAYTOTEXT(IFERROR(CONCATENATE(SUMIF(INDIRECT("'"&amp;Assemblies[Assy]&amp;"'!"&amp;"C$5:C1000"), $C87, INDIRECT("'"&amp;Assemblies[Assy]&amp;"'!"&amp;"O$5:O1000")), "x",Assemblies[Assy],".",IF(SUMIF(INDIRECT("'"&amp;Assemblies[Assy]&amp;"'!"&amp;"C$5:C1000"), $C87, INDIRECT("'"&amp;Assemblies[Assy]&amp;"'!"&amp;"A$5:A1000"))=0,NA(),SUMIF(INDIRECT("'"&amp;Assemblies[Assy]&amp;"'!"&amp;"C$5:C1000"), $C87, INDIRECT("'"&amp;Assemblies[Assy]&amp;"'!"&amp;"A$5:A1000")))),"")), " ,", ""))</f>
        <v>,</v>
      </c>
      <c r="Y87" s="2"/>
      <c r="AA87" s="2" t="s">
        <v>1382</v>
      </c>
    </row>
    <row r="88" spans="1:27" ht="12.75">
      <c r="A88" s="115" t="s">
        <v>1981</v>
      </c>
      <c r="B88" s="115" t="s">
        <v>54</v>
      </c>
      <c r="C88" s="2" t="str">
        <f t="shared" si="2"/>
        <v>GF12.210.06.A</v>
      </c>
      <c r="D88" s="2" t="s">
        <v>1982</v>
      </c>
      <c r="E88" s="52">
        <f t="shared" si="3"/>
        <v>56.988399999999999</v>
      </c>
      <c r="F88" s="5" t="e" cm="1">
        <f t="array" aca="1" ref="F88" ca="1">SUMPRODUCT(SUMIF(INDIRECT("'"&amp;Assemblies[Assy]&amp;"'!"&amp;"C$5:C1000"),$C88,(INDIRECT("'"&amp;Assemblies[Assy]&amp;"'!"&amp;"O$5:O1000"))))</f>
        <v>#VALUE!</v>
      </c>
      <c r="G88" s="5">
        <v>1</v>
      </c>
      <c r="H88" s="5">
        <v>1</v>
      </c>
      <c r="I88" s="2" t="s">
        <v>1815</v>
      </c>
      <c r="J88" s="2" t="s">
        <v>1761</v>
      </c>
      <c r="K88" s="2" t="s">
        <v>1762</v>
      </c>
      <c r="L88" s="2" t="s">
        <v>1816</v>
      </c>
      <c r="M88" s="2" t="s">
        <v>1817</v>
      </c>
      <c r="N88" s="8">
        <v>45195</v>
      </c>
      <c r="O88" s="8">
        <v>45195</v>
      </c>
      <c r="P88" s="8">
        <v>45219</v>
      </c>
      <c r="Q88" s="162">
        <v>45219</v>
      </c>
      <c r="R88" s="224">
        <v>55158</v>
      </c>
      <c r="S88" s="153">
        <v>56.988399999999999</v>
      </c>
      <c r="T88" s="52">
        <v>0</v>
      </c>
      <c r="U88" s="52">
        <v>0</v>
      </c>
      <c r="V88" s="52">
        <v>0</v>
      </c>
      <c r="W88" s="2" t="str" cm="1">
        <f t="array" aca="1" ref="W88" ca="1">TRIM(SUBSTITUTE(_xlfn.ARRAYTOTEXT(IFERROR(CONCATENATE(SUMIF(INDIRECT("'"&amp;Assemblies[Assy]&amp;"'!"&amp;"C$5:C1000"), $C88, INDIRECT("'"&amp;Assemblies[Assy]&amp;"'!"&amp;"O$5:O1000")), "x",Assemblies[Assy],".",IF(SUMIF(INDIRECT("'"&amp;Assemblies[Assy]&amp;"'!"&amp;"C$5:C1000"), $C88, INDIRECT("'"&amp;Assemblies[Assy]&amp;"'!"&amp;"A$5:A1000"))=0,NA(),SUMIF(INDIRECT("'"&amp;Assemblies[Assy]&amp;"'!"&amp;"C$5:C1000"), $C88, INDIRECT("'"&amp;Assemblies[Assy]&amp;"'!"&amp;"A$5:A1000")))),"")), " ,", ""))</f>
        <v>,</v>
      </c>
      <c r="Y88" s="2"/>
      <c r="AA88" s="2" t="s">
        <v>1382</v>
      </c>
    </row>
    <row r="89" spans="1:27" ht="12.75">
      <c r="A89" s="115" t="s">
        <v>1983</v>
      </c>
      <c r="B89" s="115" t="s">
        <v>56</v>
      </c>
      <c r="C89" s="2" t="str">
        <f t="shared" si="2"/>
        <v>GF12.211.01.B</v>
      </c>
      <c r="D89" s="2" t="s">
        <v>1984</v>
      </c>
      <c r="E89" s="52">
        <f t="shared" si="3"/>
        <v>0</v>
      </c>
      <c r="F89" s="5" t="e" cm="1">
        <f t="array" aca="1" ref="F89" ca="1">SUMPRODUCT(SUMIF(INDIRECT("'"&amp;Assemblies[Assy]&amp;"'!"&amp;"C$5:C1000"),$C89,(INDIRECT("'"&amp;Assemblies[Assy]&amp;"'!"&amp;"O$5:O1000"))))</f>
        <v>#VALUE!</v>
      </c>
      <c r="G89" s="5">
        <v>12</v>
      </c>
      <c r="H89" s="5">
        <v>12</v>
      </c>
      <c r="I89" s="2" t="s">
        <v>1791</v>
      </c>
      <c r="J89" s="2" t="s">
        <v>1769</v>
      </c>
      <c r="K89" s="2" t="s">
        <v>1770</v>
      </c>
      <c r="L89" s="2" t="s">
        <v>1786</v>
      </c>
      <c r="M89" s="2" t="s">
        <v>1779</v>
      </c>
      <c r="N89" s="8">
        <v>45139</v>
      </c>
      <c r="O89" s="8">
        <v>45140</v>
      </c>
      <c r="P89" s="8">
        <v>45170</v>
      </c>
      <c r="Q89" s="128">
        <v>45170</v>
      </c>
      <c r="R89" s="201">
        <v>55025</v>
      </c>
      <c r="S89" s="153">
        <v>0</v>
      </c>
      <c r="T89" s="52">
        <v>0</v>
      </c>
      <c r="U89" s="52">
        <v>0</v>
      </c>
      <c r="V89" s="52">
        <v>0</v>
      </c>
      <c r="W89" s="2" t="str" cm="1">
        <f t="array" aca="1" ref="W89" ca="1">TRIM(SUBSTITUTE(_xlfn.ARRAYTOTEXT(IFERROR(CONCATENATE(SUMIF(INDIRECT("'"&amp;Assemblies[Assy]&amp;"'!"&amp;"C$5:C1000"), $C89, INDIRECT("'"&amp;Assemblies[Assy]&amp;"'!"&amp;"O$5:O1000")), "x",Assemblies[Assy],".",IF(SUMIF(INDIRECT("'"&amp;Assemblies[Assy]&amp;"'!"&amp;"C$5:C1000"), $C89, INDIRECT("'"&amp;Assemblies[Assy]&amp;"'!"&amp;"A$5:A1000"))=0,NA(),SUMIF(INDIRECT("'"&amp;Assemblies[Assy]&amp;"'!"&amp;"C$5:C1000"), $C89, INDIRECT("'"&amp;Assemblies[Assy]&amp;"'!"&amp;"A$5:A1000")))),"")), " ,", ""))</f>
        <v>,</v>
      </c>
      <c r="X89" s="2" t="s">
        <v>1773</v>
      </c>
      <c r="Y89" s="2" t="s">
        <v>1382</v>
      </c>
      <c r="Z89" s="2" t="s">
        <v>1382</v>
      </c>
      <c r="AA89" s="2" t="s">
        <v>1382</v>
      </c>
    </row>
    <row r="90" spans="1:27" ht="12.75">
      <c r="A90" s="115" t="s">
        <v>1985</v>
      </c>
      <c r="B90" s="115" t="s">
        <v>54</v>
      </c>
      <c r="C90" s="2" t="str">
        <f t="shared" si="2"/>
        <v>GF12.212.01.A</v>
      </c>
      <c r="D90" s="2" t="s">
        <v>1986</v>
      </c>
      <c r="E90" s="52">
        <f t="shared" si="3"/>
        <v>118.95</v>
      </c>
      <c r="F90" s="5" t="e" cm="1">
        <f t="array" aca="1" ref="F90" ca="1">SUMPRODUCT(SUMIF(INDIRECT("'"&amp;Assemblies[Assy]&amp;"'!"&amp;"C$5:C1000"),$C90,(INDIRECT("'"&amp;Assemblies[Assy]&amp;"'!"&amp;"O$5:O1000"))))</f>
        <v>#VALUE!</v>
      </c>
      <c r="G90" s="5">
        <v>2</v>
      </c>
      <c r="H90" s="5">
        <v>2</v>
      </c>
      <c r="I90" s="2" t="s">
        <v>1776</v>
      </c>
      <c r="J90" s="2" t="s">
        <v>1777</v>
      </c>
      <c r="K90" s="2" t="s">
        <v>1770</v>
      </c>
      <c r="L90" s="2" t="s">
        <v>1786</v>
      </c>
      <c r="M90" s="2" t="s">
        <v>1779</v>
      </c>
      <c r="N90" s="8">
        <v>45105</v>
      </c>
      <c r="O90" s="8">
        <v>45133</v>
      </c>
      <c r="P90" s="8">
        <v>45163</v>
      </c>
      <c r="Q90" s="128">
        <v>45163</v>
      </c>
      <c r="R90" s="222">
        <v>55015</v>
      </c>
      <c r="S90" s="153">
        <v>118.95</v>
      </c>
      <c r="T90" s="52">
        <v>0</v>
      </c>
      <c r="U90" s="52">
        <v>0</v>
      </c>
      <c r="V90" s="52">
        <v>0</v>
      </c>
      <c r="W90" s="2" t="str" cm="1">
        <f t="array" aca="1" ref="W90" ca="1">TRIM(SUBSTITUTE(_xlfn.ARRAYTOTEXT(IFERROR(CONCATENATE(SUMIF(INDIRECT("'"&amp;Assemblies[Assy]&amp;"'!"&amp;"C$5:C1000"), $C90, INDIRECT("'"&amp;Assemblies[Assy]&amp;"'!"&amp;"O$5:O1000")), "x",Assemblies[Assy],".",IF(SUMIF(INDIRECT("'"&amp;Assemblies[Assy]&amp;"'!"&amp;"C$5:C1000"), $C90, INDIRECT("'"&amp;Assemblies[Assy]&amp;"'!"&amp;"A$5:A1000"))=0,NA(),SUMIF(INDIRECT("'"&amp;Assemblies[Assy]&amp;"'!"&amp;"C$5:C1000"), $C90, INDIRECT("'"&amp;Assemblies[Assy]&amp;"'!"&amp;"A$5:A1000")))),"")), " ,", ""))</f>
        <v>,</v>
      </c>
      <c r="X90" s="2" t="s">
        <v>1987</v>
      </c>
      <c r="Y90" s="2" t="s">
        <v>1382</v>
      </c>
      <c r="Z90" s="2" t="s">
        <v>1382</v>
      </c>
      <c r="AA90" s="2" t="s">
        <v>1382</v>
      </c>
    </row>
    <row r="91" spans="1:27" ht="12.75">
      <c r="A91" s="115" t="s">
        <v>1988</v>
      </c>
      <c r="B91" s="115" t="s">
        <v>54</v>
      </c>
      <c r="C91" s="2" t="str">
        <f t="shared" si="2"/>
        <v>GF12.212.02.A</v>
      </c>
      <c r="D91" s="2" t="s">
        <v>1989</v>
      </c>
      <c r="E91" s="52">
        <f t="shared" si="3"/>
        <v>60.75</v>
      </c>
      <c r="F91" s="5" t="e" cm="1">
        <f t="array" aca="1" ref="F91" ca="1">SUMPRODUCT(SUMIF(INDIRECT("'"&amp;Assemblies[Assy]&amp;"'!"&amp;"C$5:C1000"),$C91,(INDIRECT("'"&amp;Assemblies[Assy]&amp;"'!"&amp;"O$5:O1000"))))</f>
        <v>#VALUE!</v>
      </c>
      <c r="G91" s="5">
        <v>4</v>
      </c>
      <c r="H91" s="5">
        <v>4</v>
      </c>
      <c r="I91" s="2" t="s">
        <v>1776</v>
      </c>
      <c r="J91" s="2" t="s">
        <v>1777</v>
      </c>
      <c r="K91" s="2" t="s">
        <v>1770</v>
      </c>
      <c r="L91" s="2" t="s">
        <v>1786</v>
      </c>
      <c r="M91" s="2" t="s">
        <v>1779</v>
      </c>
      <c r="N91" s="8">
        <v>45105</v>
      </c>
      <c r="O91" s="8">
        <v>45133</v>
      </c>
      <c r="P91" s="8">
        <v>45163</v>
      </c>
      <c r="Q91" s="128">
        <v>45163</v>
      </c>
      <c r="R91" s="222">
        <v>55015</v>
      </c>
      <c r="S91" s="153">
        <v>60.75</v>
      </c>
      <c r="T91" s="52">
        <v>0</v>
      </c>
      <c r="U91" s="52">
        <v>0</v>
      </c>
      <c r="V91" s="52">
        <v>0</v>
      </c>
      <c r="W91" s="2" t="str" cm="1">
        <f t="array" aca="1" ref="W91" ca="1">TRIM(SUBSTITUTE(_xlfn.ARRAYTOTEXT(IFERROR(CONCATENATE(SUMIF(INDIRECT("'"&amp;Assemblies[Assy]&amp;"'!"&amp;"C$5:C1000"), $C91, INDIRECT("'"&amp;Assemblies[Assy]&amp;"'!"&amp;"O$5:O1000")), "x",Assemblies[Assy],".",IF(SUMIF(INDIRECT("'"&amp;Assemblies[Assy]&amp;"'!"&amp;"C$5:C1000"), $C91, INDIRECT("'"&amp;Assemblies[Assy]&amp;"'!"&amp;"A$5:A1000"))=0,NA(),SUMIF(INDIRECT("'"&amp;Assemblies[Assy]&amp;"'!"&amp;"C$5:C1000"), $C91, INDIRECT("'"&amp;Assemblies[Assy]&amp;"'!"&amp;"A$5:A1000")))),"")), " ,", ""))</f>
        <v>,</v>
      </c>
      <c r="X91" s="2" t="s">
        <v>1987</v>
      </c>
      <c r="Y91" s="2" t="s">
        <v>1382</v>
      </c>
      <c r="Z91" s="2" t="s">
        <v>1382</v>
      </c>
      <c r="AA91" s="2" t="s">
        <v>1382</v>
      </c>
    </row>
    <row r="92" spans="1:27" ht="12.75">
      <c r="A92" s="115" t="s">
        <v>1990</v>
      </c>
      <c r="B92" s="115" t="s">
        <v>54</v>
      </c>
      <c r="C92" s="2" t="str">
        <f t="shared" si="2"/>
        <v>GF12.213.01.A</v>
      </c>
      <c r="D92" s="2" t="s">
        <v>1991</v>
      </c>
      <c r="E92" s="52">
        <f t="shared" si="3"/>
        <v>80.349999999999994</v>
      </c>
      <c r="F92" s="5" t="e" cm="1">
        <f t="array" aca="1" ref="F92" ca="1">SUMPRODUCT(SUMIF(INDIRECT("'"&amp;Assemblies[Assy]&amp;"'!"&amp;"C$5:C1000"),$C92,(INDIRECT("'"&amp;Assemblies[Assy]&amp;"'!"&amp;"O$5:O1000"))))</f>
        <v>#VALUE!</v>
      </c>
      <c r="G92" s="5">
        <v>2</v>
      </c>
      <c r="H92" s="5">
        <v>2</v>
      </c>
      <c r="I92" s="2" t="s">
        <v>1791</v>
      </c>
      <c r="J92" s="2" t="s">
        <v>1769</v>
      </c>
      <c r="K92" s="2" t="s">
        <v>1770</v>
      </c>
      <c r="L92" s="2" t="s">
        <v>1786</v>
      </c>
      <c r="M92" s="2" t="s">
        <v>1779</v>
      </c>
      <c r="N92" s="8">
        <v>45105</v>
      </c>
      <c r="O92" s="8">
        <v>45133</v>
      </c>
      <c r="P92" s="8">
        <v>45163</v>
      </c>
      <c r="Q92" s="128">
        <v>45163</v>
      </c>
      <c r="R92" s="222">
        <v>55015</v>
      </c>
      <c r="S92" s="153">
        <v>80.349999999999994</v>
      </c>
      <c r="T92" s="52">
        <v>0</v>
      </c>
      <c r="U92" s="52">
        <v>0</v>
      </c>
      <c r="V92" s="52">
        <v>0</v>
      </c>
      <c r="W92" s="2" t="str" cm="1">
        <f t="array" aca="1" ref="W92" ca="1">TRIM(SUBSTITUTE(_xlfn.ARRAYTOTEXT(IFERROR(CONCATENATE(SUMIF(INDIRECT("'"&amp;Assemblies[Assy]&amp;"'!"&amp;"C$5:C1000"), $C92, INDIRECT("'"&amp;Assemblies[Assy]&amp;"'!"&amp;"O$5:O1000")), "x",Assemblies[Assy],".",IF(SUMIF(INDIRECT("'"&amp;Assemblies[Assy]&amp;"'!"&amp;"C$5:C1000"), $C92, INDIRECT("'"&amp;Assemblies[Assy]&amp;"'!"&amp;"A$5:A1000"))=0,NA(),SUMIF(INDIRECT("'"&amp;Assemblies[Assy]&amp;"'!"&amp;"C$5:C1000"), $C92, INDIRECT("'"&amp;Assemblies[Assy]&amp;"'!"&amp;"A$5:A1000")))),"")), " ,", ""))</f>
        <v>,</v>
      </c>
      <c r="X92" s="2" t="s">
        <v>1987</v>
      </c>
      <c r="Y92" s="2" t="s">
        <v>1382</v>
      </c>
      <c r="Z92" s="2" t="s">
        <v>1382</v>
      </c>
      <c r="AA92" s="2" t="s">
        <v>1382</v>
      </c>
    </row>
    <row r="93" spans="1:27" ht="12.75">
      <c r="A93" s="115" t="s">
        <v>1992</v>
      </c>
      <c r="B93" s="115" t="s">
        <v>54</v>
      </c>
      <c r="C93" s="2" t="str">
        <f t="shared" si="2"/>
        <v>GF12.213.02.A</v>
      </c>
      <c r="D93" s="2" t="s">
        <v>1993</v>
      </c>
      <c r="E93" s="52">
        <f t="shared" si="3"/>
        <v>65.7</v>
      </c>
      <c r="F93" s="5" t="e" cm="1">
        <f t="array" aca="1" ref="F93" ca="1">SUMPRODUCT(SUMIF(INDIRECT("'"&amp;Assemblies[Assy]&amp;"'!"&amp;"C$5:C1000"),$C93,(INDIRECT("'"&amp;Assemblies[Assy]&amp;"'!"&amp;"O$5:O1000"))))</f>
        <v>#VALUE!</v>
      </c>
      <c r="G93" s="5">
        <v>2</v>
      </c>
      <c r="H93" s="5">
        <v>2</v>
      </c>
      <c r="I93" s="2" t="s">
        <v>1791</v>
      </c>
      <c r="J93" s="2" t="s">
        <v>1769</v>
      </c>
      <c r="K93" s="2" t="s">
        <v>1770</v>
      </c>
      <c r="L93" s="2" t="s">
        <v>1786</v>
      </c>
      <c r="M93" s="2" t="s">
        <v>1382</v>
      </c>
      <c r="N93" s="8">
        <v>45105</v>
      </c>
      <c r="O93" s="8">
        <v>45133</v>
      </c>
      <c r="P93" s="8">
        <v>45163</v>
      </c>
      <c r="Q93" s="128">
        <v>45163</v>
      </c>
      <c r="R93" s="222">
        <v>55015</v>
      </c>
      <c r="S93" s="153">
        <v>65.7</v>
      </c>
      <c r="T93" s="52">
        <v>0</v>
      </c>
      <c r="U93" s="52">
        <v>0</v>
      </c>
      <c r="V93" s="52">
        <v>0</v>
      </c>
      <c r="W93" s="2" t="str" cm="1">
        <f t="array" aca="1" ref="W93" ca="1">TRIM(SUBSTITUTE(_xlfn.ARRAYTOTEXT(IFERROR(CONCATENATE(SUMIF(INDIRECT("'"&amp;Assemblies[Assy]&amp;"'!"&amp;"C$5:C1000"), $C93, INDIRECT("'"&amp;Assemblies[Assy]&amp;"'!"&amp;"O$5:O1000")), "x",Assemblies[Assy],".",IF(SUMIF(INDIRECT("'"&amp;Assemblies[Assy]&amp;"'!"&amp;"C$5:C1000"), $C93, INDIRECT("'"&amp;Assemblies[Assy]&amp;"'!"&amp;"A$5:A1000"))=0,NA(),SUMIF(INDIRECT("'"&amp;Assemblies[Assy]&amp;"'!"&amp;"C$5:C1000"), $C93, INDIRECT("'"&amp;Assemblies[Assy]&amp;"'!"&amp;"A$5:A1000")))),"")), " ,", ""))</f>
        <v>,</v>
      </c>
      <c r="X93" s="2" t="s">
        <v>1987</v>
      </c>
      <c r="Y93" s="2" t="s">
        <v>1382</v>
      </c>
      <c r="Z93" s="2" t="s">
        <v>1382</v>
      </c>
      <c r="AA93" s="2" t="s">
        <v>1382</v>
      </c>
    </row>
    <row r="94" spans="1:27" ht="12.75">
      <c r="A94" s="115" t="s">
        <v>1994</v>
      </c>
      <c r="B94" s="115" t="s">
        <v>54</v>
      </c>
      <c r="C94" s="2" t="str">
        <f t="shared" si="2"/>
        <v>GF12.214.01.A</v>
      </c>
      <c r="D94" s="2" t="s">
        <v>1995</v>
      </c>
      <c r="E94" s="52">
        <f t="shared" si="3"/>
        <v>0</v>
      </c>
      <c r="F94" s="5" t="e" cm="1">
        <f t="array" aca="1" ref="F94" ca="1">SUMPRODUCT(SUMIF(INDIRECT("'"&amp;Assemblies[Assy]&amp;"'!"&amp;"C$5:C1000"),$C94,(INDIRECT("'"&amp;Assemblies[Assy]&amp;"'!"&amp;"O$5:O1000"))))</f>
        <v>#VALUE!</v>
      </c>
      <c r="G94" s="5">
        <v>0</v>
      </c>
      <c r="H94" s="5">
        <v>2</v>
      </c>
      <c r="I94" s="2" t="s">
        <v>1791</v>
      </c>
      <c r="J94" s="2" t="s">
        <v>1769</v>
      </c>
      <c r="K94" s="2" t="s">
        <v>1770</v>
      </c>
      <c r="L94" s="2" t="s">
        <v>1812</v>
      </c>
      <c r="M94" s="2"/>
      <c r="N94" s="8" t="s">
        <v>1762</v>
      </c>
      <c r="O94" s="8" t="s">
        <v>1762</v>
      </c>
      <c r="P94" s="8" t="s">
        <v>1762</v>
      </c>
      <c r="Q94" s="8" t="s">
        <v>1762</v>
      </c>
      <c r="R94" s="201" t="s">
        <v>1762</v>
      </c>
      <c r="S94" s="173">
        <v>0</v>
      </c>
      <c r="T94" s="52">
        <v>0</v>
      </c>
      <c r="U94" s="52">
        <v>0</v>
      </c>
      <c r="V94" s="52">
        <v>0</v>
      </c>
      <c r="W94" s="2" t="str" cm="1">
        <f t="array" aca="1" ref="W94" ca="1">TRIM(SUBSTITUTE(_xlfn.ARRAYTOTEXT(IFERROR(CONCATENATE(SUMIF(INDIRECT("'"&amp;Assemblies[Assy]&amp;"'!"&amp;"C$5:C1000"), $C94, INDIRECT("'"&amp;Assemblies[Assy]&amp;"'!"&amp;"O$5:O1000")), "x",Assemblies[Assy],".",IF(SUMIF(INDIRECT("'"&amp;Assemblies[Assy]&amp;"'!"&amp;"C$5:C1000"), $C94, INDIRECT("'"&amp;Assemblies[Assy]&amp;"'!"&amp;"A$5:A1000"))=0,NA(),SUMIF(INDIRECT("'"&amp;Assemblies[Assy]&amp;"'!"&amp;"C$5:C1000"), $C94, INDIRECT("'"&amp;Assemblies[Assy]&amp;"'!"&amp;"A$5:A1000")))),"")), " ,", ""))</f>
        <v>,</v>
      </c>
      <c r="Y94" s="2"/>
      <c r="AA94" s="2" t="s">
        <v>1382</v>
      </c>
    </row>
    <row r="95" spans="1:27" ht="12.75">
      <c r="A95" s="115" t="s">
        <v>1996</v>
      </c>
      <c r="B95" s="115" t="s">
        <v>54</v>
      </c>
      <c r="C95" s="2" t="str">
        <f t="shared" si="2"/>
        <v>GF12.215.01.A</v>
      </c>
      <c r="D95" s="2" t="s">
        <v>1997</v>
      </c>
      <c r="E95" s="52">
        <f t="shared" si="3"/>
        <v>101.6</v>
      </c>
      <c r="F95" s="5" t="e" cm="1">
        <f t="array" aca="1" ref="F95" ca="1">SUMPRODUCT(SUMIF(INDIRECT("'"&amp;Assemblies[Assy]&amp;"'!"&amp;"C$5:C1000"),$C95,(INDIRECT("'"&amp;Assemblies[Assy]&amp;"'!"&amp;"O$5:O1000"))))</f>
        <v>#VALUE!</v>
      </c>
      <c r="G95" s="5">
        <v>4</v>
      </c>
      <c r="H95" s="5">
        <v>4</v>
      </c>
      <c r="I95" s="2" t="s">
        <v>1791</v>
      </c>
      <c r="J95" s="2" t="s">
        <v>1769</v>
      </c>
      <c r="K95" s="2" t="s">
        <v>1770</v>
      </c>
      <c r="L95" s="2" t="s">
        <v>1786</v>
      </c>
      <c r="M95" s="2" t="s">
        <v>1779</v>
      </c>
      <c r="N95" s="8">
        <v>45105</v>
      </c>
      <c r="O95" s="8">
        <v>45133</v>
      </c>
      <c r="P95" s="8">
        <v>45163</v>
      </c>
      <c r="Q95" s="128">
        <v>45163</v>
      </c>
      <c r="R95" s="222">
        <v>55015</v>
      </c>
      <c r="S95" s="153">
        <v>101.6</v>
      </c>
      <c r="T95" s="52">
        <v>0</v>
      </c>
      <c r="U95" s="52">
        <v>0</v>
      </c>
      <c r="V95" s="52">
        <v>0</v>
      </c>
      <c r="W95" s="2" t="str" cm="1">
        <f t="array" aca="1" ref="W95" ca="1">TRIM(SUBSTITUTE(_xlfn.ARRAYTOTEXT(IFERROR(CONCATENATE(SUMIF(INDIRECT("'"&amp;Assemblies[Assy]&amp;"'!"&amp;"C$5:C1000"), $C95, INDIRECT("'"&amp;Assemblies[Assy]&amp;"'!"&amp;"O$5:O1000")), "x",Assemblies[Assy],".",IF(SUMIF(INDIRECT("'"&amp;Assemblies[Assy]&amp;"'!"&amp;"C$5:C1000"), $C95, INDIRECT("'"&amp;Assemblies[Assy]&amp;"'!"&amp;"A$5:A1000"))=0,NA(),SUMIF(INDIRECT("'"&amp;Assemblies[Assy]&amp;"'!"&amp;"C$5:C1000"), $C95, INDIRECT("'"&amp;Assemblies[Assy]&amp;"'!"&amp;"A$5:A1000")))),"")), " ,", ""))</f>
        <v>,</v>
      </c>
      <c r="X95" s="2" t="s">
        <v>1987</v>
      </c>
      <c r="Y95" s="2" t="s">
        <v>1382</v>
      </c>
      <c r="Z95" s="2" t="s">
        <v>1382</v>
      </c>
      <c r="AA95" s="2" t="s">
        <v>1382</v>
      </c>
    </row>
    <row r="96" spans="1:27" ht="12.75">
      <c r="A96" s="115" t="s">
        <v>1998</v>
      </c>
      <c r="B96" s="115" t="s">
        <v>54</v>
      </c>
      <c r="C96" s="2" t="str">
        <f t="shared" si="2"/>
        <v>GF12.215.02.A</v>
      </c>
      <c r="D96" s="2" t="s">
        <v>1999</v>
      </c>
      <c r="E96" s="52">
        <f t="shared" si="3"/>
        <v>73.25</v>
      </c>
      <c r="F96" s="5" t="e" cm="1">
        <f t="array" aca="1" ref="F96" ca="1">SUMPRODUCT(SUMIF(INDIRECT("'"&amp;Assemblies[Assy]&amp;"'!"&amp;"C$5:C1000"),$C96,(INDIRECT("'"&amp;Assemblies[Assy]&amp;"'!"&amp;"O$5:O1000"))))</f>
        <v>#VALUE!</v>
      </c>
      <c r="G96" s="5">
        <v>4</v>
      </c>
      <c r="H96" s="5">
        <v>4</v>
      </c>
      <c r="I96" s="2" t="s">
        <v>1776</v>
      </c>
      <c r="J96" s="2" t="s">
        <v>1777</v>
      </c>
      <c r="K96" s="2" t="s">
        <v>1770</v>
      </c>
      <c r="L96" s="2" t="s">
        <v>1786</v>
      </c>
      <c r="M96" s="2" t="s">
        <v>1779</v>
      </c>
      <c r="N96" s="8">
        <v>45105</v>
      </c>
      <c r="O96" s="8">
        <v>45133</v>
      </c>
      <c r="P96" s="8">
        <v>45163</v>
      </c>
      <c r="Q96" s="128">
        <v>45163</v>
      </c>
      <c r="R96" s="222">
        <v>55015</v>
      </c>
      <c r="S96" s="153">
        <v>73.25</v>
      </c>
      <c r="T96" s="52">
        <v>0</v>
      </c>
      <c r="U96" s="52">
        <v>0</v>
      </c>
      <c r="V96" s="52">
        <v>0</v>
      </c>
      <c r="W96" s="2" t="str" cm="1">
        <f t="array" aca="1" ref="W96" ca="1">TRIM(SUBSTITUTE(_xlfn.ARRAYTOTEXT(IFERROR(CONCATENATE(SUMIF(INDIRECT("'"&amp;Assemblies[Assy]&amp;"'!"&amp;"C$5:C1000"), $C96, INDIRECT("'"&amp;Assemblies[Assy]&amp;"'!"&amp;"O$5:O1000")), "x",Assemblies[Assy],".",IF(SUMIF(INDIRECT("'"&amp;Assemblies[Assy]&amp;"'!"&amp;"C$5:C1000"), $C96, INDIRECT("'"&amp;Assemblies[Assy]&amp;"'!"&amp;"A$5:A1000"))=0,NA(),SUMIF(INDIRECT("'"&amp;Assemblies[Assy]&amp;"'!"&amp;"C$5:C1000"), $C96, INDIRECT("'"&amp;Assemblies[Assy]&amp;"'!"&amp;"A$5:A1000")))),"")), " ,", ""))</f>
        <v>,</v>
      </c>
      <c r="X96" s="2" t="s">
        <v>1987</v>
      </c>
      <c r="Y96" s="2" t="s">
        <v>1382</v>
      </c>
      <c r="Z96" s="2" t="s">
        <v>1382</v>
      </c>
      <c r="AA96" s="2" t="s">
        <v>1382</v>
      </c>
    </row>
    <row r="97" spans="1:27" ht="12.75">
      <c r="A97" s="115" t="s">
        <v>2000</v>
      </c>
      <c r="B97" s="115" t="s">
        <v>58</v>
      </c>
      <c r="C97" s="2" t="str">
        <f t="shared" si="2"/>
        <v>GF12.216.01.C</v>
      </c>
      <c r="D97" s="2" t="s">
        <v>2001</v>
      </c>
      <c r="E97" s="52">
        <f t="shared" si="3"/>
        <v>139.35</v>
      </c>
      <c r="F97" s="5" t="e" cm="1">
        <f t="array" aca="1" ref="F97" ca="1">SUMPRODUCT(SUMIF(INDIRECT("'"&amp;Assemblies[Assy]&amp;"'!"&amp;"C$5:C1000"),$C97,(INDIRECT("'"&amp;Assemblies[Assy]&amp;"'!"&amp;"O$5:O1000"))))</f>
        <v>#VALUE!</v>
      </c>
      <c r="G97" s="5">
        <v>4</v>
      </c>
      <c r="H97" s="5">
        <v>4</v>
      </c>
      <c r="I97" s="2" t="s">
        <v>1791</v>
      </c>
      <c r="J97" s="2" t="s">
        <v>1769</v>
      </c>
      <c r="K97" s="2" t="s">
        <v>1770</v>
      </c>
      <c r="L97" s="2" t="s">
        <v>1786</v>
      </c>
      <c r="M97" s="2" t="s">
        <v>1779</v>
      </c>
      <c r="N97" s="8">
        <v>45105</v>
      </c>
      <c r="O97" s="8">
        <v>45133</v>
      </c>
      <c r="P97" s="8">
        <v>45163</v>
      </c>
      <c r="Q97" s="128">
        <v>45163</v>
      </c>
      <c r="R97" s="222">
        <v>55015</v>
      </c>
      <c r="S97" s="153">
        <v>139.35</v>
      </c>
      <c r="T97" s="52">
        <v>0</v>
      </c>
      <c r="U97" s="52">
        <v>0</v>
      </c>
      <c r="V97" s="52">
        <v>0</v>
      </c>
      <c r="W97" s="2" t="str" cm="1">
        <f t="array" aca="1" ref="W97" ca="1">TRIM(SUBSTITUTE(_xlfn.ARRAYTOTEXT(IFERROR(CONCATENATE(SUMIF(INDIRECT("'"&amp;Assemblies[Assy]&amp;"'!"&amp;"C$5:C1000"), $C97, INDIRECT("'"&amp;Assemblies[Assy]&amp;"'!"&amp;"O$5:O1000")), "x",Assemblies[Assy],".",IF(SUMIF(INDIRECT("'"&amp;Assemblies[Assy]&amp;"'!"&amp;"C$5:C1000"), $C97, INDIRECT("'"&amp;Assemblies[Assy]&amp;"'!"&amp;"A$5:A1000"))=0,NA(),SUMIF(INDIRECT("'"&amp;Assemblies[Assy]&amp;"'!"&amp;"C$5:C1000"), $C97, INDIRECT("'"&amp;Assemblies[Assy]&amp;"'!"&amp;"A$5:A1000")))),"")), " ,", ""))</f>
        <v>,</v>
      </c>
      <c r="X97" s="2" t="s">
        <v>1987</v>
      </c>
      <c r="Y97" s="2" t="s">
        <v>1382</v>
      </c>
      <c r="Z97" s="2" t="s">
        <v>1382</v>
      </c>
      <c r="AA97" s="2" t="s">
        <v>1382</v>
      </c>
    </row>
    <row r="98" spans="1:27" ht="12.75">
      <c r="A98" s="115" t="s">
        <v>2002</v>
      </c>
      <c r="B98" s="115" t="s">
        <v>54</v>
      </c>
      <c r="C98" s="2" t="str">
        <f t="shared" si="2"/>
        <v>GF12.216.02.A</v>
      </c>
      <c r="D98" s="2" t="s">
        <v>2003</v>
      </c>
      <c r="E98" s="52">
        <f t="shared" si="3"/>
        <v>56.05</v>
      </c>
      <c r="F98" s="5" t="e" cm="1">
        <f t="array" aca="1" ref="F98" ca="1">SUMPRODUCT(SUMIF(INDIRECT("'"&amp;Assemblies[Assy]&amp;"'!"&amp;"C$5:C1000"),$C98,(INDIRECT("'"&amp;Assemblies[Assy]&amp;"'!"&amp;"O$5:O1000"))))</f>
        <v>#VALUE!</v>
      </c>
      <c r="G98" s="5">
        <v>4</v>
      </c>
      <c r="H98" s="5">
        <v>4</v>
      </c>
      <c r="I98" s="2" t="s">
        <v>1776</v>
      </c>
      <c r="J98" s="2" t="s">
        <v>1777</v>
      </c>
      <c r="K98" s="2" t="s">
        <v>1770</v>
      </c>
      <c r="L98" s="2" t="s">
        <v>1786</v>
      </c>
      <c r="M98" s="2" t="s">
        <v>1779</v>
      </c>
      <c r="N98" s="8">
        <v>45105</v>
      </c>
      <c r="O98" s="8">
        <v>45133</v>
      </c>
      <c r="P98" s="8">
        <v>45163</v>
      </c>
      <c r="Q98" s="128">
        <v>45163</v>
      </c>
      <c r="R98" s="222">
        <v>55015</v>
      </c>
      <c r="S98" s="153">
        <v>56.05</v>
      </c>
      <c r="T98" s="52">
        <v>0</v>
      </c>
      <c r="U98" s="52">
        <v>0</v>
      </c>
      <c r="V98" s="52">
        <v>0</v>
      </c>
      <c r="W98" s="2" t="str" cm="1">
        <f t="array" aca="1" ref="W98" ca="1">TRIM(SUBSTITUTE(_xlfn.ARRAYTOTEXT(IFERROR(CONCATENATE(SUMIF(INDIRECT("'"&amp;Assemblies[Assy]&amp;"'!"&amp;"C$5:C1000"), $C98, INDIRECT("'"&amp;Assemblies[Assy]&amp;"'!"&amp;"O$5:O1000")), "x",Assemblies[Assy],".",IF(SUMIF(INDIRECT("'"&amp;Assemblies[Assy]&amp;"'!"&amp;"C$5:C1000"), $C98, INDIRECT("'"&amp;Assemblies[Assy]&amp;"'!"&amp;"A$5:A1000"))=0,NA(),SUMIF(INDIRECT("'"&amp;Assemblies[Assy]&amp;"'!"&amp;"C$5:C1000"), $C98, INDIRECT("'"&amp;Assemblies[Assy]&amp;"'!"&amp;"A$5:A1000")))),"")), " ,", ""))</f>
        <v>,</v>
      </c>
      <c r="X98" s="2" t="s">
        <v>1987</v>
      </c>
      <c r="Y98" s="2" t="s">
        <v>1382</v>
      </c>
      <c r="Z98" s="2" t="s">
        <v>1382</v>
      </c>
      <c r="AA98" s="2" t="s">
        <v>1382</v>
      </c>
    </row>
    <row r="99" spans="1:27" ht="12.75" customHeight="1">
      <c r="A99" s="115" t="s">
        <v>2004</v>
      </c>
      <c r="B99" s="115" t="s">
        <v>54</v>
      </c>
      <c r="C99" s="2" t="str">
        <f t="shared" si="2"/>
        <v>GF12.216.03.A</v>
      </c>
      <c r="D99" s="2" t="s">
        <v>2005</v>
      </c>
      <c r="E99" s="52">
        <f t="shared" si="3"/>
        <v>54.8</v>
      </c>
      <c r="F99" s="5" t="e" cm="1">
        <f t="array" aca="1" ref="F99" ca="1">SUMPRODUCT(SUMIF(INDIRECT("'"&amp;Assemblies[Assy]&amp;"'!"&amp;"C$5:C1000"),$C99,(INDIRECT("'"&amp;Assemblies[Assy]&amp;"'!"&amp;"O$5:O1000"))))</f>
        <v>#VALUE!</v>
      </c>
      <c r="G99" s="5">
        <v>16</v>
      </c>
      <c r="H99" s="5">
        <v>16</v>
      </c>
      <c r="I99" s="2" t="s">
        <v>1791</v>
      </c>
      <c r="J99" s="2" t="s">
        <v>1769</v>
      </c>
      <c r="K99" s="2" t="s">
        <v>1770</v>
      </c>
      <c r="L99" s="2" t="s">
        <v>1786</v>
      </c>
      <c r="M99" s="2" t="s">
        <v>1779</v>
      </c>
      <c r="N99" s="8">
        <v>45105</v>
      </c>
      <c r="O99" s="8">
        <v>45133</v>
      </c>
      <c r="P99" s="8">
        <v>45163</v>
      </c>
      <c r="Q99" s="128">
        <v>45163</v>
      </c>
      <c r="R99" s="222">
        <v>55015</v>
      </c>
      <c r="S99" s="153">
        <v>54.8</v>
      </c>
      <c r="T99" s="52">
        <v>0</v>
      </c>
      <c r="U99" s="52">
        <v>0</v>
      </c>
      <c r="V99" s="52">
        <v>0</v>
      </c>
      <c r="W99" s="2" t="str" cm="1">
        <f t="array" aca="1" ref="W99" ca="1">TRIM(SUBSTITUTE(_xlfn.ARRAYTOTEXT(IFERROR(CONCATENATE(SUMIF(INDIRECT("'"&amp;Assemblies[Assy]&amp;"'!"&amp;"C$5:C1000"), $C99, INDIRECT("'"&amp;Assemblies[Assy]&amp;"'!"&amp;"O$5:O1000")), "x",Assemblies[Assy],".",IF(SUMIF(INDIRECT("'"&amp;Assemblies[Assy]&amp;"'!"&amp;"C$5:C1000"), $C99, INDIRECT("'"&amp;Assemblies[Assy]&amp;"'!"&amp;"A$5:A1000"))=0,NA(),SUMIF(INDIRECT("'"&amp;Assemblies[Assy]&amp;"'!"&amp;"C$5:C1000"), $C99, INDIRECT("'"&amp;Assemblies[Assy]&amp;"'!"&amp;"A$5:A1000")))),"")), " ,", ""))</f>
        <v>,</v>
      </c>
      <c r="X99" s="2" t="s">
        <v>1987</v>
      </c>
      <c r="Y99" s="2" t="s">
        <v>1382</v>
      </c>
      <c r="Z99" s="2" t="s">
        <v>1382</v>
      </c>
      <c r="AA99" s="2" t="s">
        <v>1382</v>
      </c>
    </row>
    <row r="100" spans="1:27" ht="12.75" customHeight="1">
      <c r="A100" s="115" t="s">
        <v>2006</v>
      </c>
      <c r="B100" s="115" t="s">
        <v>54</v>
      </c>
      <c r="C100" s="2" t="str">
        <f t="shared" si="2"/>
        <v>GF12.216.04.A</v>
      </c>
      <c r="D100" s="2" t="s">
        <v>2007</v>
      </c>
      <c r="E100" s="52">
        <f t="shared" si="3"/>
        <v>132.03</v>
      </c>
      <c r="F100" s="5" t="e" cm="1">
        <f t="array" aca="1" ref="F100" ca="1">SUMPRODUCT(SUMIF(INDIRECT("'"&amp;Assemblies[Assy]&amp;"'!"&amp;"C$5:C1000"),$C100,(INDIRECT("'"&amp;Assemblies[Assy]&amp;"'!"&amp;"O$5:O1000"))))</f>
        <v>#VALUE!</v>
      </c>
      <c r="G100" s="5">
        <v>2</v>
      </c>
      <c r="H100" s="5">
        <v>2</v>
      </c>
      <c r="I100" s="2" t="s">
        <v>1797</v>
      </c>
      <c r="J100" s="2" t="s">
        <v>1761</v>
      </c>
      <c r="K100" s="2" t="s">
        <v>1762</v>
      </c>
      <c r="L100" s="2" t="s">
        <v>1798</v>
      </c>
      <c r="M100" s="2" t="s">
        <v>1779</v>
      </c>
      <c r="N100" s="8" t="s">
        <v>1762</v>
      </c>
      <c r="O100" s="8" t="s">
        <v>1762</v>
      </c>
      <c r="P100" s="8" t="s">
        <v>1762</v>
      </c>
      <c r="Q100" s="8" t="s">
        <v>1762</v>
      </c>
      <c r="R100" s="201">
        <v>55018</v>
      </c>
      <c r="S100" s="153">
        <v>132.03</v>
      </c>
      <c r="T100" s="52">
        <v>0</v>
      </c>
      <c r="U100" s="52">
        <v>0</v>
      </c>
      <c r="V100" s="52">
        <v>0</v>
      </c>
      <c r="W100" s="2" t="str" cm="1">
        <f t="array" aca="1" ref="W100" ca="1">TRIM(SUBSTITUTE(_xlfn.ARRAYTOTEXT(IFERROR(CONCATENATE(SUMIF(INDIRECT("'"&amp;Assemblies[Assy]&amp;"'!"&amp;"C$5:C1000"), $C100, INDIRECT("'"&amp;Assemblies[Assy]&amp;"'!"&amp;"O$5:O1000")), "x",Assemblies[Assy],".",IF(SUMIF(INDIRECT("'"&amp;Assemblies[Assy]&amp;"'!"&amp;"C$5:C1000"), $C100, INDIRECT("'"&amp;Assemblies[Assy]&amp;"'!"&amp;"A$5:A1000"))=0,NA(),SUMIF(INDIRECT("'"&amp;Assemblies[Assy]&amp;"'!"&amp;"C$5:C1000"), $C100, INDIRECT("'"&amp;Assemblies[Assy]&amp;"'!"&amp;"A$5:A1000")))),"")), " ,", ""))</f>
        <v>,</v>
      </c>
      <c r="X100" s="2" t="s">
        <v>1987</v>
      </c>
      <c r="Y100" s="2" t="s">
        <v>1382</v>
      </c>
      <c r="Z100" s="2" t="s">
        <v>1382</v>
      </c>
      <c r="AA100" s="2" t="s">
        <v>1382</v>
      </c>
    </row>
    <row r="101" spans="1:27" ht="12.75" customHeight="1">
      <c r="A101" s="115" t="s">
        <v>2008</v>
      </c>
      <c r="B101" s="115" t="s">
        <v>54</v>
      </c>
      <c r="C101" s="2" t="str">
        <f t="shared" si="2"/>
        <v>GF12.216.05.A</v>
      </c>
      <c r="D101" s="2" t="s">
        <v>2009</v>
      </c>
      <c r="E101" s="52">
        <f t="shared" si="3"/>
        <v>52.1</v>
      </c>
      <c r="F101" s="5" t="e" cm="1">
        <f t="array" aca="1" ref="F101" ca="1">SUMPRODUCT(SUMIF(INDIRECT("'"&amp;Assemblies[Assy]&amp;"'!"&amp;"C$5:C1000"),$C101,(INDIRECT("'"&amp;Assemblies[Assy]&amp;"'!"&amp;"O$5:O1000"))))</f>
        <v>#VALUE!</v>
      </c>
      <c r="G101" s="5">
        <v>4</v>
      </c>
      <c r="H101" s="5">
        <v>4</v>
      </c>
      <c r="I101" s="2" t="s">
        <v>1791</v>
      </c>
      <c r="J101" s="2" t="s">
        <v>1769</v>
      </c>
      <c r="K101" s="2" t="s">
        <v>1770</v>
      </c>
      <c r="L101" s="2" t="s">
        <v>1786</v>
      </c>
      <c r="M101" s="2" t="s">
        <v>1779</v>
      </c>
      <c r="N101" s="8">
        <v>45105</v>
      </c>
      <c r="O101" s="8">
        <v>45133</v>
      </c>
      <c r="P101" s="8">
        <v>45163</v>
      </c>
      <c r="Q101" s="128">
        <v>45163</v>
      </c>
      <c r="R101" s="222">
        <v>55015</v>
      </c>
      <c r="S101" s="153">
        <v>52.1</v>
      </c>
      <c r="T101" s="52">
        <v>0</v>
      </c>
      <c r="U101" s="52">
        <v>0</v>
      </c>
      <c r="V101" s="52">
        <v>0</v>
      </c>
      <c r="W101" s="2" t="str" cm="1">
        <f t="array" aca="1" ref="W101" ca="1">TRIM(SUBSTITUTE(_xlfn.ARRAYTOTEXT(IFERROR(CONCATENATE(SUMIF(INDIRECT("'"&amp;Assemblies[Assy]&amp;"'!"&amp;"C$5:C1000"), $C101, INDIRECT("'"&amp;Assemblies[Assy]&amp;"'!"&amp;"O$5:O1000")), "x",Assemblies[Assy],".",IF(SUMIF(INDIRECT("'"&amp;Assemblies[Assy]&amp;"'!"&amp;"C$5:C1000"), $C101, INDIRECT("'"&amp;Assemblies[Assy]&amp;"'!"&amp;"A$5:A1000"))=0,NA(),SUMIF(INDIRECT("'"&amp;Assemblies[Assy]&amp;"'!"&amp;"C$5:C1000"), $C101, INDIRECT("'"&amp;Assemblies[Assy]&amp;"'!"&amp;"A$5:A1000")))),"")), " ,", ""))</f>
        <v>,</v>
      </c>
      <c r="X101" s="2" t="s">
        <v>1987</v>
      </c>
      <c r="Y101" s="2" t="s">
        <v>1382</v>
      </c>
      <c r="Z101" s="2" t="s">
        <v>1382</v>
      </c>
      <c r="AA101" s="2" t="s">
        <v>1382</v>
      </c>
    </row>
    <row r="102" spans="1:27" ht="12.75" customHeight="1">
      <c r="A102" s="154" t="s">
        <v>2010</v>
      </c>
      <c r="B102" s="115" t="s">
        <v>54</v>
      </c>
      <c r="C102" s="2" t="str">
        <f t="shared" si="2"/>
        <v>GF12.216.06.A</v>
      </c>
      <c r="D102" s="155" t="s">
        <v>2011</v>
      </c>
      <c r="E102" s="52">
        <f t="shared" si="3"/>
        <v>58.1</v>
      </c>
      <c r="F102" s="5" t="e" cm="1">
        <f t="array" aca="1" ref="F102" ca="1">SUMPRODUCT(SUMIF(INDIRECT("'"&amp;Assemblies[Assy]&amp;"'!"&amp;"C$5:C1000"),$C102,(INDIRECT("'"&amp;Assemblies[Assy]&amp;"'!"&amp;"O$5:O1000"))))</f>
        <v>#VALUE!</v>
      </c>
      <c r="G102" s="5">
        <v>6</v>
      </c>
      <c r="H102" s="5">
        <v>6</v>
      </c>
      <c r="I102" s="2" t="s">
        <v>1791</v>
      </c>
      <c r="J102" s="2" t="s">
        <v>1769</v>
      </c>
      <c r="K102" s="2" t="s">
        <v>1770</v>
      </c>
      <c r="L102" s="2" t="s">
        <v>1786</v>
      </c>
      <c r="M102" s="2" t="s">
        <v>1779</v>
      </c>
      <c r="N102" s="8">
        <v>45105</v>
      </c>
      <c r="O102" s="8">
        <v>45133</v>
      </c>
      <c r="P102" s="8">
        <v>45163</v>
      </c>
      <c r="Q102" s="128">
        <v>45163</v>
      </c>
      <c r="R102" s="222">
        <v>55015</v>
      </c>
      <c r="S102" s="153">
        <v>58.1</v>
      </c>
      <c r="T102" s="52">
        <v>0</v>
      </c>
      <c r="U102" s="52">
        <v>0</v>
      </c>
      <c r="V102" s="52">
        <v>0</v>
      </c>
      <c r="W102" s="2" t="str" cm="1">
        <f t="array" aca="1" ref="W102" ca="1">TRIM(SUBSTITUTE(_xlfn.ARRAYTOTEXT(IFERROR(CONCATENATE(SUMIF(INDIRECT("'"&amp;Assemblies[Assy]&amp;"'!"&amp;"C$5:C1000"), $C102, INDIRECT("'"&amp;Assemblies[Assy]&amp;"'!"&amp;"O$5:O1000")), "x",Assemblies[Assy],".",IF(SUMIF(INDIRECT("'"&amp;Assemblies[Assy]&amp;"'!"&amp;"C$5:C1000"), $C102, INDIRECT("'"&amp;Assemblies[Assy]&amp;"'!"&amp;"A$5:A1000"))=0,NA(),SUMIF(INDIRECT("'"&amp;Assemblies[Assy]&amp;"'!"&amp;"C$5:C1000"), $C102, INDIRECT("'"&amp;Assemblies[Assy]&amp;"'!"&amp;"A$5:A1000")))),"")), " ,", ""))</f>
        <v>,</v>
      </c>
      <c r="X102" s="2" t="s">
        <v>1987</v>
      </c>
      <c r="Y102" s="2" t="s">
        <v>1382</v>
      </c>
      <c r="Z102" s="2" t="s">
        <v>1382</v>
      </c>
      <c r="AA102" s="2" t="s">
        <v>1382</v>
      </c>
    </row>
    <row r="103" spans="1:27" ht="12.75" customHeight="1">
      <c r="A103" s="154" t="s">
        <v>2012</v>
      </c>
      <c r="B103" s="115" t="s">
        <v>54</v>
      </c>
      <c r="C103" s="2" t="str">
        <f t="shared" si="2"/>
        <v>GF12.216.07.A</v>
      </c>
      <c r="D103" s="155" t="s">
        <v>2013</v>
      </c>
      <c r="E103" s="52">
        <f t="shared" si="3"/>
        <v>43.95</v>
      </c>
      <c r="F103" s="5" t="e" cm="1">
        <f t="array" aca="1" ref="F103" ca="1">SUMPRODUCT(SUMIF(INDIRECT("'"&amp;Assemblies[Assy]&amp;"'!"&amp;"C$5:C1000"),$C103,(INDIRECT("'"&amp;Assemblies[Assy]&amp;"'!"&amp;"O$5:O1000"))))</f>
        <v>#VALUE!</v>
      </c>
      <c r="G103" s="5">
        <v>4</v>
      </c>
      <c r="H103" s="5">
        <v>4</v>
      </c>
      <c r="I103" s="2" t="s">
        <v>1776</v>
      </c>
      <c r="J103" s="2" t="s">
        <v>1777</v>
      </c>
      <c r="K103" s="2" t="s">
        <v>1770</v>
      </c>
      <c r="L103" s="2" t="s">
        <v>1786</v>
      </c>
      <c r="M103" s="2" t="s">
        <v>1779</v>
      </c>
      <c r="N103" s="8">
        <v>45105</v>
      </c>
      <c r="O103" s="8">
        <v>45133</v>
      </c>
      <c r="P103" s="8">
        <v>45163</v>
      </c>
      <c r="Q103" s="128">
        <v>45163</v>
      </c>
      <c r="R103" s="222">
        <v>55015</v>
      </c>
      <c r="S103" s="153">
        <v>43.95</v>
      </c>
      <c r="T103" s="52">
        <v>0</v>
      </c>
      <c r="U103" s="52">
        <v>0</v>
      </c>
      <c r="V103" s="52">
        <v>0</v>
      </c>
      <c r="W103" s="2" t="str" cm="1">
        <f t="array" aca="1" ref="W103" ca="1">TRIM(SUBSTITUTE(_xlfn.ARRAYTOTEXT(IFERROR(CONCATENATE(SUMIF(INDIRECT("'"&amp;Assemblies[Assy]&amp;"'!"&amp;"C$5:C1000"), $C103, INDIRECT("'"&amp;Assemblies[Assy]&amp;"'!"&amp;"O$5:O1000")), "x",Assemblies[Assy],".",IF(SUMIF(INDIRECT("'"&amp;Assemblies[Assy]&amp;"'!"&amp;"C$5:C1000"), $C103, INDIRECT("'"&amp;Assemblies[Assy]&amp;"'!"&amp;"A$5:A1000"))=0,NA(),SUMIF(INDIRECT("'"&amp;Assemblies[Assy]&amp;"'!"&amp;"C$5:C1000"), $C103, INDIRECT("'"&amp;Assemblies[Assy]&amp;"'!"&amp;"A$5:A1000")))),"")), " ,", ""))</f>
        <v>,</v>
      </c>
      <c r="X103" s="2" t="s">
        <v>1987</v>
      </c>
      <c r="Y103" s="2" t="s">
        <v>1382</v>
      </c>
      <c r="Z103" s="2" t="s">
        <v>1382</v>
      </c>
      <c r="AA103" s="2" t="s">
        <v>1382</v>
      </c>
    </row>
    <row r="104" spans="1:27" ht="12.75" customHeight="1">
      <c r="A104" s="154" t="s">
        <v>2014</v>
      </c>
      <c r="B104" s="115" t="s">
        <v>54</v>
      </c>
      <c r="C104" s="2" t="str">
        <f t="shared" si="2"/>
        <v>GF12.216.08.A</v>
      </c>
      <c r="D104" s="155" t="s">
        <v>2015</v>
      </c>
      <c r="E104" s="52">
        <f t="shared" si="3"/>
        <v>85.05</v>
      </c>
      <c r="F104" s="5" t="e" cm="1">
        <f t="array" aca="1" ref="F104" ca="1">SUMPRODUCT(SUMIF(INDIRECT("'"&amp;Assemblies[Assy]&amp;"'!"&amp;"C$5:C1000"),$C104,(INDIRECT("'"&amp;Assemblies[Assy]&amp;"'!"&amp;"O$5:O1000"))))</f>
        <v>#VALUE!</v>
      </c>
      <c r="G104" s="5">
        <v>6</v>
      </c>
      <c r="H104" s="5">
        <v>6</v>
      </c>
      <c r="I104" s="2" t="s">
        <v>1797</v>
      </c>
      <c r="J104" s="2" t="s">
        <v>1761</v>
      </c>
      <c r="K104" s="2" t="s">
        <v>1762</v>
      </c>
      <c r="L104" s="2" t="s">
        <v>2016</v>
      </c>
      <c r="M104" s="2" t="s">
        <v>1779</v>
      </c>
      <c r="N104" s="8" t="s">
        <v>1762</v>
      </c>
      <c r="O104" s="8" t="s">
        <v>1762</v>
      </c>
      <c r="P104" s="8" t="s">
        <v>1762</v>
      </c>
      <c r="Q104" s="8" t="s">
        <v>1762</v>
      </c>
      <c r="R104" s="201">
        <v>55018</v>
      </c>
      <c r="S104" s="171">
        <v>85.05</v>
      </c>
      <c r="T104" s="52">
        <v>0</v>
      </c>
      <c r="U104" s="52">
        <v>0</v>
      </c>
      <c r="V104" s="52">
        <v>0</v>
      </c>
      <c r="W104" s="2" t="str" cm="1">
        <f t="array" aca="1" ref="W104" ca="1">TRIM(SUBSTITUTE(_xlfn.ARRAYTOTEXT(IFERROR(CONCATENATE(SUMIF(INDIRECT("'"&amp;Assemblies[Assy]&amp;"'!"&amp;"C$5:C1000"), $C104, INDIRECT("'"&amp;Assemblies[Assy]&amp;"'!"&amp;"O$5:O1000")), "x",Assemblies[Assy],".",IF(SUMIF(INDIRECT("'"&amp;Assemblies[Assy]&amp;"'!"&amp;"C$5:C1000"), $C104, INDIRECT("'"&amp;Assemblies[Assy]&amp;"'!"&amp;"A$5:A1000"))=0,NA(),SUMIF(INDIRECT("'"&amp;Assemblies[Assy]&amp;"'!"&amp;"C$5:C1000"), $C104, INDIRECT("'"&amp;Assemblies[Assy]&amp;"'!"&amp;"A$5:A1000")))),"")), " ,", ""))</f>
        <v>,</v>
      </c>
      <c r="X104" s="2" t="s">
        <v>1987</v>
      </c>
      <c r="Y104" s="2" t="s">
        <v>1382</v>
      </c>
      <c r="Z104" s="2" t="s">
        <v>1382</v>
      </c>
      <c r="AA104" s="2" t="s">
        <v>1382</v>
      </c>
    </row>
    <row r="105" spans="1:27" ht="12.75" customHeight="1">
      <c r="A105" s="154" t="s">
        <v>2017</v>
      </c>
      <c r="B105" s="115" t="s">
        <v>54</v>
      </c>
      <c r="C105" s="2" t="str">
        <f t="shared" si="2"/>
        <v>GF12.217.01.A</v>
      </c>
      <c r="D105" s="155" t="s">
        <v>2018</v>
      </c>
      <c r="E105" s="52">
        <f t="shared" si="3"/>
        <v>0</v>
      </c>
      <c r="F105" s="5" t="e" cm="1">
        <f t="array" aca="1" ref="F105" ca="1">SUMPRODUCT(SUMIF(INDIRECT("'"&amp;Assemblies[Assy]&amp;"'!"&amp;"C$5:C1000"),$C105,(INDIRECT("'"&amp;Assemblies[Assy]&amp;"'!"&amp;"O$5:O1000"))))</f>
        <v>#VALUE!</v>
      </c>
      <c r="G105" s="5">
        <v>1</v>
      </c>
      <c r="H105" s="5">
        <v>1</v>
      </c>
      <c r="I105" s="2" t="s">
        <v>1791</v>
      </c>
      <c r="J105" s="2" t="s">
        <v>1777</v>
      </c>
      <c r="K105" s="2" t="s">
        <v>1382</v>
      </c>
      <c r="L105" s="2" t="s">
        <v>1812</v>
      </c>
      <c r="M105" s="2" t="s">
        <v>1779</v>
      </c>
      <c r="N105" s="163" t="s">
        <v>1762</v>
      </c>
      <c r="O105" s="163" t="s">
        <v>1762</v>
      </c>
      <c r="P105" s="163" t="s">
        <v>1762</v>
      </c>
      <c r="Q105" s="163" t="s">
        <v>1762</v>
      </c>
      <c r="R105" s="222" t="s">
        <v>1762</v>
      </c>
      <c r="S105" s="153">
        <v>0</v>
      </c>
      <c r="T105" s="52">
        <v>0</v>
      </c>
      <c r="U105" s="52">
        <v>0</v>
      </c>
      <c r="V105" s="52">
        <v>0</v>
      </c>
      <c r="W105" s="2" t="str" cm="1">
        <f t="array" aca="1" ref="W105" ca="1">TRIM(SUBSTITUTE(_xlfn.ARRAYTOTEXT(IFERROR(CONCATENATE(SUMIF(INDIRECT("'"&amp;Assemblies[Assy]&amp;"'!"&amp;"C$5:C1000"), $C105, INDIRECT("'"&amp;Assemblies[Assy]&amp;"'!"&amp;"O$5:O1000")), "x",Assemblies[Assy],".",IF(SUMIF(INDIRECT("'"&amp;Assemblies[Assy]&amp;"'!"&amp;"C$5:C1000"), $C105, INDIRECT("'"&amp;Assemblies[Assy]&amp;"'!"&amp;"A$5:A1000"))=0,NA(),SUMIF(INDIRECT("'"&amp;Assemblies[Assy]&amp;"'!"&amp;"C$5:C1000"), $C105, INDIRECT("'"&amp;Assemblies[Assy]&amp;"'!"&amp;"A$5:A1000")))),"")), " ,", ""))</f>
        <v>,</v>
      </c>
      <c r="X105" s="2" t="s">
        <v>1382</v>
      </c>
      <c r="Y105" s="2" t="s">
        <v>1382</v>
      </c>
      <c r="Z105" s="2" t="s">
        <v>1382</v>
      </c>
      <c r="AA105" s="2" t="s">
        <v>1382</v>
      </c>
    </row>
    <row r="106" spans="1:27" ht="12.75" customHeight="1">
      <c r="A106" s="115" t="s">
        <v>2019</v>
      </c>
      <c r="B106" s="115" t="s">
        <v>54</v>
      </c>
      <c r="C106" s="2" t="str">
        <f t="shared" si="2"/>
        <v>GF12.217.02.A</v>
      </c>
      <c r="D106" s="2" t="s">
        <v>2020</v>
      </c>
      <c r="E106" s="52">
        <f t="shared" si="3"/>
        <v>0</v>
      </c>
      <c r="F106" s="5" t="e" cm="1">
        <f t="array" aca="1" ref="F106" ca="1">SUMPRODUCT(SUMIF(INDIRECT("'"&amp;Assemblies[Assy]&amp;"'!"&amp;"C$5:C1000"),$C106,(INDIRECT("'"&amp;Assemblies[Assy]&amp;"'!"&amp;"O$5:O1000"))))</f>
        <v>#VALUE!</v>
      </c>
      <c r="G106" s="5">
        <v>2</v>
      </c>
      <c r="H106" s="5">
        <v>2</v>
      </c>
      <c r="I106" s="2" t="s">
        <v>1791</v>
      </c>
      <c r="J106" s="2" t="s">
        <v>1777</v>
      </c>
      <c r="K106" s="2" t="s">
        <v>1382</v>
      </c>
      <c r="L106" s="2" t="s">
        <v>1812</v>
      </c>
      <c r="M106" s="2" t="s">
        <v>1779</v>
      </c>
      <c r="N106" s="163" t="s">
        <v>1762</v>
      </c>
      <c r="O106" s="163" t="s">
        <v>1762</v>
      </c>
      <c r="P106" s="163" t="s">
        <v>1762</v>
      </c>
      <c r="Q106" s="163" t="s">
        <v>1762</v>
      </c>
      <c r="R106" s="222" t="s">
        <v>1762</v>
      </c>
      <c r="S106" s="153">
        <v>0</v>
      </c>
      <c r="T106" s="52">
        <v>0</v>
      </c>
      <c r="U106" s="52">
        <v>0</v>
      </c>
      <c r="V106" s="52">
        <v>0</v>
      </c>
      <c r="W106" s="2" t="str" cm="1">
        <f t="array" aca="1" ref="W106" ca="1">TRIM(SUBSTITUTE(_xlfn.ARRAYTOTEXT(IFERROR(CONCATENATE(SUMIF(INDIRECT("'"&amp;Assemblies[Assy]&amp;"'!"&amp;"C$5:C1000"), $C106, INDIRECT("'"&amp;Assemblies[Assy]&amp;"'!"&amp;"O$5:O1000")), "x",Assemblies[Assy],".",IF(SUMIF(INDIRECT("'"&amp;Assemblies[Assy]&amp;"'!"&amp;"C$5:C1000"), $C106, INDIRECT("'"&amp;Assemblies[Assy]&amp;"'!"&amp;"A$5:A1000"))=0,NA(),SUMIF(INDIRECT("'"&amp;Assemblies[Assy]&amp;"'!"&amp;"C$5:C1000"), $C106, INDIRECT("'"&amp;Assemblies[Assy]&amp;"'!"&amp;"A$5:A1000")))),"")), " ,", ""))</f>
        <v>,</v>
      </c>
      <c r="X106" s="2" t="s">
        <v>1382</v>
      </c>
      <c r="Y106" s="2" t="s">
        <v>1382</v>
      </c>
      <c r="Z106" s="2" t="s">
        <v>1382</v>
      </c>
      <c r="AA106" s="2" t="s">
        <v>1382</v>
      </c>
    </row>
    <row r="107" spans="1:27" ht="12.75" customHeight="1">
      <c r="A107" s="115" t="s">
        <v>2021</v>
      </c>
      <c r="B107" s="115" t="s">
        <v>54</v>
      </c>
      <c r="C107" s="2" t="str">
        <f t="shared" si="2"/>
        <v>GF12.218.01.A</v>
      </c>
      <c r="D107" s="2" t="s">
        <v>2022</v>
      </c>
      <c r="E107" s="52">
        <f t="shared" si="3"/>
        <v>0</v>
      </c>
      <c r="F107" s="5" t="e" cm="1">
        <f t="array" aca="1" ref="F107" ca="1">SUMPRODUCT(SUMIF(INDIRECT("'"&amp;Assemblies[Assy]&amp;"'!"&amp;"C$5:C1000"),$C107,(INDIRECT("'"&amp;Assemblies[Assy]&amp;"'!"&amp;"O$5:O1000"))))</f>
        <v>#VALUE!</v>
      </c>
      <c r="G107" s="5">
        <v>2</v>
      </c>
      <c r="H107" s="5">
        <v>2</v>
      </c>
      <c r="I107" s="2" t="s">
        <v>1791</v>
      </c>
      <c r="J107" s="2" t="s">
        <v>1769</v>
      </c>
      <c r="K107" s="2" t="s">
        <v>1382</v>
      </c>
      <c r="L107" s="2" t="s">
        <v>1812</v>
      </c>
      <c r="M107" s="2" t="s">
        <v>1779</v>
      </c>
      <c r="N107" s="163" t="s">
        <v>1762</v>
      </c>
      <c r="O107" s="163" t="s">
        <v>1762</v>
      </c>
      <c r="P107" s="163" t="s">
        <v>1762</v>
      </c>
      <c r="Q107" s="163" t="s">
        <v>1762</v>
      </c>
      <c r="R107" s="222" t="s">
        <v>1762</v>
      </c>
      <c r="S107" s="153">
        <v>0</v>
      </c>
      <c r="T107" s="52">
        <v>0</v>
      </c>
      <c r="U107" s="52">
        <v>0</v>
      </c>
      <c r="V107" s="52">
        <v>0</v>
      </c>
      <c r="W107" s="2" t="str" cm="1">
        <f t="array" aca="1" ref="W107" ca="1">TRIM(SUBSTITUTE(_xlfn.ARRAYTOTEXT(IFERROR(CONCATENATE(SUMIF(INDIRECT("'"&amp;Assemblies[Assy]&amp;"'!"&amp;"C$5:C1000"), $C107, INDIRECT("'"&amp;Assemblies[Assy]&amp;"'!"&amp;"O$5:O1000")), "x",Assemblies[Assy],".",IF(SUMIF(INDIRECT("'"&amp;Assemblies[Assy]&amp;"'!"&amp;"C$5:C1000"), $C107, INDIRECT("'"&amp;Assemblies[Assy]&amp;"'!"&amp;"A$5:A1000"))=0,NA(),SUMIF(INDIRECT("'"&amp;Assemblies[Assy]&amp;"'!"&amp;"C$5:C1000"), $C107, INDIRECT("'"&amp;Assemblies[Assy]&amp;"'!"&amp;"A$5:A1000")))),"")), " ,", ""))</f>
        <v>,</v>
      </c>
      <c r="X107" s="2" t="s">
        <v>1382</v>
      </c>
      <c r="Y107" s="2" t="s">
        <v>1382</v>
      </c>
      <c r="Z107" s="2" t="s">
        <v>1382</v>
      </c>
    </row>
    <row r="108" spans="1:27" ht="12.75" customHeight="1">
      <c r="A108" s="115" t="s">
        <v>2023</v>
      </c>
      <c r="B108" s="115" t="s">
        <v>54</v>
      </c>
      <c r="C108" s="2" t="str">
        <f t="shared" si="2"/>
        <v>GF12.218.02.A</v>
      </c>
      <c r="D108" s="2" t="s">
        <v>2024</v>
      </c>
      <c r="E108" s="52">
        <f t="shared" si="3"/>
        <v>0</v>
      </c>
      <c r="F108" s="5" t="e" cm="1">
        <f t="array" aca="1" ref="F108" ca="1">SUMPRODUCT(SUMIF(INDIRECT("'"&amp;Assemblies[Assy]&amp;"'!"&amp;"C$5:C1000"),$C108,(INDIRECT("'"&amp;Assemblies[Assy]&amp;"'!"&amp;"O$5:O1000"))))</f>
        <v>#VALUE!</v>
      </c>
      <c r="G108" s="5">
        <v>2</v>
      </c>
      <c r="H108" s="5">
        <v>2</v>
      </c>
      <c r="I108" s="2" t="s">
        <v>1791</v>
      </c>
      <c r="J108" s="2" t="s">
        <v>1769</v>
      </c>
      <c r="K108" s="2" t="s">
        <v>1382</v>
      </c>
      <c r="L108" s="2" t="s">
        <v>1812</v>
      </c>
      <c r="M108" s="2" t="s">
        <v>1779</v>
      </c>
      <c r="N108" s="163" t="s">
        <v>1762</v>
      </c>
      <c r="O108" s="163" t="s">
        <v>1762</v>
      </c>
      <c r="P108" s="163" t="s">
        <v>1762</v>
      </c>
      <c r="Q108" s="163" t="s">
        <v>1762</v>
      </c>
      <c r="R108" s="222" t="s">
        <v>1762</v>
      </c>
      <c r="S108" s="153">
        <v>0</v>
      </c>
      <c r="T108" s="52">
        <v>0</v>
      </c>
      <c r="U108" s="52">
        <v>0</v>
      </c>
      <c r="V108" s="52">
        <v>0</v>
      </c>
      <c r="W108" s="2" t="str" cm="1">
        <f t="array" aca="1" ref="W108" ca="1">TRIM(SUBSTITUTE(_xlfn.ARRAYTOTEXT(IFERROR(CONCATENATE(SUMIF(INDIRECT("'"&amp;Assemblies[Assy]&amp;"'!"&amp;"C$5:C1000"), $C108, INDIRECT("'"&amp;Assemblies[Assy]&amp;"'!"&amp;"O$5:O1000")), "x",Assemblies[Assy],".",IF(SUMIF(INDIRECT("'"&amp;Assemblies[Assy]&amp;"'!"&amp;"C$5:C1000"), $C108, INDIRECT("'"&amp;Assemblies[Assy]&amp;"'!"&amp;"A$5:A1000"))=0,NA(),SUMIF(INDIRECT("'"&amp;Assemblies[Assy]&amp;"'!"&amp;"C$5:C1000"), $C108, INDIRECT("'"&amp;Assemblies[Assy]&amp;"'!"&amp;"A$5:A1000")))),"")), " ,", ""))</f>
        <v>,</v>
      </c>
      <c r="X108" s="2" t="s">
        <v>1382</v>
      </c>
      <c r="Y108" s="2" t="s">
        <v>1382</v>
      </c>
      <c r="Z108" s="2" t="s">
        <v>1382</v>
      </c>
    </row>
    <row r="109" spans="1:27" ht="12.75" customHeight="1">
      <c r="A109" s="115" t="s">
        <v>2025</v>
      </c>
      <c r="B109" s="115" t="s">
        <v>54</v>
      </c>
      <c r="C109" s="2" t="str">
        <f t="shared" si="2"/>
        <v>GF12.219.01.A</v>
      </c>
      <c r="D109" s="2" t="s">
        <v>2026</v>
      </c>
      <c r="E109" s="52">
        <f t="shared" si="3"/>
        <v>0</v>
      </c>
      <c r="F109" s="5" t="e" cm="1">
        <f t="array" aca="1" ref="F109" ca="1">SUMPRODUCT(SUMIF(INDIRECT("'"&amp;Assemblies[Assy]&amp;"'!"&amp;"C$5:C1000"),$C109,(INDIRECT("'"&amp;Assemblies[Assy]&amp;"'!"&amp;"O$5:O1000"))))</f>
        <v>#VALUE!</v>
      </c>
      <c r="G109" s="5">
        <v>0</v>
      </c>
      <c r="H109" s="5">
        <v>4</v>
      </c>
      <c r="I109" s="2" t="s">
        <v>1791</v>
      </c>
      <c r="J109" s="2" t="s">
        <v>1769</v>
      </c>
      <c r="K109" s="2" t="s">
        <v>1770</v>
      </c>
      <c r="L109" s="2" t="s">
        <v>1812</v>
      </c>
      <c r="M109" s="2"/>
      <c r="N109" s="8" t="s">
        <v>1762</v>
      </c>
      <c r="O109" s="8" t="s">
        <v>1762</v>
      </c>
      <c r="P109" s="8" t="s">
        <v>1762</v>
      </c>
      <c r="Q109" s="8" t="s">
        <v>1762</v>
      </c>
      <c r="R109" s="201" t="s">
        <v>1762</v>
      </c>
      <c r="S109" s="173">
        <v>0</v>
      </c>
      <c r="T109" s="52">
        <v>0</v>
      </c>
      <c r="U109" s="52">
        <v>0</v>
      </c>
      <c r="V109" s="52">
        <v>0</v>
      </c>
      <c r="W109" s="2" t="str" cm="1">
        <f t="array" aca="1" ref="W109" ca="1">TRIM(SUBSTITUTE(_xlfn.ARRAYTOTEXT(IFERROR(CONCATENATE(SUMIF(INDIRECT("'"&amp;Assemblies[Assy]&amp;"'!"&amp;"C$5:C1000"), $C109, INDIRECT("'"&amp;Assemblies[Assy]&amp;"'!"&amp;"O$5:O1000")), "x",Assemblies[Assy],".",IF(SUMIF(INDIRECT("'"&amp;Assemblies[Assy]&amp;"'!"&amp;"C$5:C1000"), $C109, INDIRECT("'"&amp;Assemblies[Assy]&amp;"'!"&amp;"A$5:A1000"))=0,NA(),SUMIF(INDIRECT("'"&amp;Assemblies[Assy]&amp;"'!"&amp;"C$5:C1000"), $C109, INDIRECT("'"&amp;Assemblies[Assy]&amp;"'!"&amp;"A$5:A1000")))),"")), " ,", ""))</f>
        <v>,</v>
      </c>
      <c r="Y109" s="2"/>
    </row>
    <row r="110" spans="1:27" ht="12.75" customHeight="1">
      <c r="A110" s="115" t="s">
        <v>2027</v>
      </c>
      <c r="B110" s="115" t="s">
        <v>56</v>
      </c>
      <c r="C110" s="2" t="str">
        <f t="shared" si="2"/>
        <v>GF12.220.01.B</v>
      </c>
      <c r="D110" s="2" t="s">
        <v>2028</v>
      </c>
      <c r="E110" s="52">
        <f t="shared" si="3"/>
        <v>1185</v>
      </c>
      <c r="F110" s="5" t="e" cm="1">
        <f t="array" aca="1" ref="F110" ca="1">SUMPRODUCT(SUMIF(INDIRECT("'"&amp;Assemblies[Assy]&amp;"'!"&amp;"C$5:C1000"),$C110,(INDIRECT("'"&amp;Assemblies[Assy]&amp;"'!"&amp;"O$5:O1000"))))</f>
        <v>#VALUE!</v>
      </c>
      <c r="G110" s="5">
        <v>2</v>
      </c>
      <c r="H110" s="5">
        <v>2</v>
      </c>
      <c r="I110" s="2" t="s">
        <v>1791</v>
      </c>
      <c r="J110" s="2" t="s">
        <v>1769</v>
      </c>
      <c r="K110" s="2" t="s">
        <v>1770</v>
      </c>
      <c r="L110" s="2" t="s">
        <v>1783</v>
      </c>
      <c r="M110" s="2" t="s">
        <v>1779</v>
      </c>
      <c r="N110" s="8">
        <v>45141</v>
      </c>
      <c r="O110" s="8">
        <v>45141</v>
      </c>
      <c r="P110" s="8">
        <v>45171</v>
      </c>
      <c r="Q110" s="128">
        <v>45171</v>
      </c>
      <c r="R110" s="201">
        <v>55029</v>
      </c>
      <c r="S110" s="173">
        <v>1185</v>
      </c>
      <c r="T110" s="52">
        <v>0</v>
      </c>
      <c r="U110" s="52">
        <v>0</v>
      </c>
      <c r="V110" s="52">
        <v>0</v>
      </c>
      <c r="W110" s="2" t="str" cm="1">
        <f t="array" aca="1" ref="W110" ca="1">TRIM(SUBSTITUTE(_xlfn.ARRAYTOTEXT(IFERROR(CONCATENATE(SUMIF(INDIRECT("'"&amp;Assemblies[Assy]&amp;"'!"&amp;"C$5:C1000"), $C110, INDIRECT("'"&amp;Assemblies[Assy]&amp;"'!"&amp;"O$5:O1000")), "x",Assemblies[Assy],".",IF(SUMIF(INDIRECT("'"&amp;Assemblies[Assy]&amp;"'!"&amp;"C$5:C1000"), $C110, INDIRECT("'"&amp;Assemblies[Assy]&amp;"'!"&amp;"A$5:A1000"))=0,NA(),SUMIF(INDIRECT("'"&amp;Assemblies[Assy]&amp;"'!"&amp;"C$5:C1000"), $C110, INDIRECT("'"&amp;Assemblies[Assy]&amp;"'!"&amp;"A$5:A1000")))),"")), " ,", ""))</f>
        <v>,</v>
      </c>
      <c r="X110" s="2" t="s">
        <v>1987</v>
      </c>
      <c r="Y110" s="2" t="s">
        <v>1382</v>
      </c>
      <c r="Z110" s="2" t="s">
        <v>1382</v>
      </c>
    </row>
    <row r="111" spans="1:27" ht="12.75" customHeight="1">
      <c r="A111" s="115" t="s">
        <v>2029</v>
      </c>
      <c r="B111" s="115" t="s">
        <v>54</v>
      </c>
      <c r="C111" s="2" t="str">
        <f t="shared" si="2"/>
        <v>GF12.220.02.A</v>
      </c>
      <c r="D111" s="2" t="s">
        <v>2030</v>
      </c>
      <c r="E111" s="52">
        <f t="shared" si="3"/>
        <v>608.75</v>
      </c>
      <c r="F111" s="5" t="e" cm="1">
        <f t="array" aca="1" ref="F111" ca="1">SUMPRODUCT(SUMIF(INDIRECT("'"&amp;Assemblies[Assy]&amp;"'!"&amp;"C$5:C1000"),$C111,(INDIRECT("'"&amp;Assemblies[Assy]&amp;"'!"&amp;"O$5:O1000"))))</f>
        <v>#VALUE!</v>
      </c>
      <c r="G111" s="5">
        <v>4</v>
      </c>
      <c r="H111" s="5">
        <v>4</v>
      </c>
      <c r="I111" s="2" t="s">
        <v>1791</v>
      </c>
      <c r="J111" s="2" t="s">
        <v>1769</v>
      </c>
      <c r="K111" s="2" t="s">
        <v>1770</v>
      </c>
      <c r="L111" s="2" t="s">
        <v>1783</v>
      </c>
      <c r="M111" s="2" t="s">
        <v>1779</v>
      </c>
      <c r="N111" s="8">
        <v>45142</v>
      </c>
      <c r="O111" s="8">
        <v>45146</v>
      </c>
      <c r="P111" s="8">
        <v>45170</v>
      </c>
      <c r="Q111" s="128">
        <v>45170</v>
      </c>
      <c r="R111" s="201">
        <v>55041</v>
      </c>
      <c r="S111" s="153">
        <v>608.75</v>
      </c>
      <c r="T111" s="52">
        <v>0</v>
      </c>
      <c r="U111" s="52">
        <v>0</v>
      </c>
      <c r="V111" s="52">
        <v>0</v>
      </c>
      <c r="W111" s="2" t="str" cm="1">
        <f t="array" aca="1" ref="W111" ca="1">TRIM(SUBSTITUTE(_xlfn.ARRAYTOTEXT(IFERROR(CONCATENATE(SUMIF(INDIRECT("'"&amp;Assemblies[Assy]&amp;"'!"&amp;"C$5:C1000"), $C111, INDIRECT("'"&amp;Assemblies[Assy]&amp;"'!"&amp;"O$5:O1000")), "x",Assemblies[Assy],".",IF(SUMIF(INDIRECT("'"&amp;Assemblies[Assy]&amp;"'!"&amp;"C$5:C1000"), $C111, INDIRECT("'"&amp;Assemblies[Assy]&amp;"'!"&amp;"A$5:A1000"))=0,NA(),SUMIF(INDIRECT("'"&amp;Assemblies[Assy]&amp;"'!"&amp;"C$5:C1000"), $C111, INDIRECT("'"&amp;Assemblies[Assy]&amp;"'!"&amp;"A$5:A1000")))),"")), " ,", ""))</f>
        <v>,</v>
      </c>
      <c r="X111" s="2" t="s">
        <v>1987</v>
      </c>
      <c r="Y111" s="2" t="s">
        <v>1382</v>
      </c>
      <c r="Z111" s="2" t="s">
        <v>1382</v>
      </c>
      <c r="AA111" s="2" t="s">
        <v>1382</v>
      </c>
    </row>
    <row r="112" spans="1:27" ht="12.75" customHeight="1">
      <c r="A112" s="115" t="s">
        <v>2031</v>
      </c>
      <c r="B112" s="115" t="s">
        <v>54</v>
      </c>
      <c r="C112" s="2" t="str">
        <f t="shared" si="2"/>
        <v>GF12.220.03.A</v>
      </c>
      <c r="D112" s="2" t="s">
        <v>2032</v>
      </c>
      <c r="E112" s="52">
        <f t="shared" si="3"/>
        <v>206.95</v>
      </c>
      <c r="F112" s="5" t="e" cm="1">
        <f t="array" aca="1" ref="F112" ca="1">SUMPRODUCT(SUMIF(INDIRECT("'"&amp;Assemblies[Assy]&amp;"'!"&amp;"C$5:C1000"),$C112,(INDIRECT("'"&amp;Assemblies[Assy]&amp;"'!"&amp;"O$5:O1000"))))</f>
        <v>#VALUE!</v>
      </c>
      <c r="G112" s="5">
        <v>8</v>
      </c>
      <c r="H112" s="5">
        <v>8</v>
      </c>
      <c r="I112" s="2" t="s">
        <v>1791</v>
      </c>
      <c r="J112" s="2" t="s">
        <v>1769</v>
      </c>
      <c r="K112" s="2" t="s">
        <v>1770</v>
      </c>
      <c r="L112" s="2" t="s">
        <v>1786</v>
      </c>
      <c r="M112" s="2" t="s">
        <v>1382</v>
      </c>
      <c r="N112" s="8">
        <v>45105</v>
      </c>
      <c r="O112" s="8">
        <v>45133</v>
      </c>
      <c r="P112" s="8">
        <v>45163</v>
      </c>
      <c r="Q112" s="128">
        <v>45163</v>
      </c>
      <c r="R112" s="222">
        <v>55015</v>
      </c>
      <c r="S112" s="153">
        <v>206.95</v>
      </c>
      <c r="T112" s="52">
        <v>0</v>
      </c>
      <c r="U112" s="52">
        <v>0</v>
      </c>
      <c r="V112" s="52">
        <v>0</v>
      </c>
      <c r="W112" s="2" t="str" cm="1">
        <f t="array" aca="1" ref="W112" ca="1">TRIM(SUBSTITUTE(_xlfn.ARRAYTOTEXT(IFERROR(CONCATENATE(SUMIF(INDIRECT("'"&amp;Assemblies[Assy]&amp;"'!"&amp;"C$5:C1000"), $C112, INDIRECT("'"&amp;Assemblies[Assy]&amp;"'!"&amp;"O$5:O1000")), "x",Assemblies[Assy],".",IF(SUMIF(INDIRECT("'"&amp;Assemblies[Assy]&amp;"'!"&amp;"C$5:C1000"), $C112, INDIRECT("'"&amp;Assemblies[Assy]&amp;"'!"&amp;"A$5:A1000"))=0,NA(),SUMIF(INDIRECT("'"&amp;Assemblies[Assy]&amp;"'!"&amp;"C$5:C1000"), $C112, INDIRECT("'"&amp;Assemblies[Assy]&amp;"'!"&amp;"A$5:A1000")))),"")), " ,", ""))</f>
        <v>,</v>
      </c>
      <c r="X112" s="2" t="s">
        <v>1987</v>
      </c>
      <c r="Y112" s="2" t="s">
        <v>1382</v>
      </c>
      <c r="Z112" s="2" t="s">
        <v>1382</v>
      </c>
      <c r="AA112" s="2" t="s">
        <v>1382</v>
      </c>
    </row>
    <row r="113" spans="1:27" ht="12.75" customHeight="1">
      <c r="A113" s="115" t="s">
        <v>2033</v>
      </c>
      <c r="B113" s="115" t="s">
        <v>54</v>
      </c>
      <c r="C113" s="2" t="str">
        <f t="shared" si="2"/>
        <v>GF12.220.04.A</v>
      </c>
      <c r="D113" s="2" t="s">
        <v>2034</v>
      </c>
      <c r="E113" s="52">
        <f t="shared" si="3"/>
        <v>393.75</v>
      </c>
      <c r="F113" s="5" t="e" cm="1">
        <f t="array" aca="1" ref="F113" ca="1">SUMPRODUCT(SUMIF(INDIRECT("'"&amp;Assemblies[Assy]&amp;"'!"&amp;"C$5:C1000"),$C113,(INDIRECT("'"&amp;Assemblies[Assy]&amp;"'!"&amp;"O$5:O1000"))))</f>
        <v>#VALUE!</v>
      </c>
      <c r="G113" s="5">
        <v>2</v>
      </c>
      <c r="H113" s="5">
        <v>2</v>
      </c>
      <c r="I113" s="2" t="s">
        <v>1791</v>
      </c>
      <c r="J113" s="2" t="s">
        <v>1769</v>
      </c>
      <c r="K113" s="2" t="s">
        <v>1770</v>
      </c>
      <c r="L113" s="2" t="s">
        <v>1786</v>
      </c>
      <c r="M113" s="2" t="s">
        <v>1382</v>
      </c>
      <c r="N113" s="8">
        <v>45105</v>
      </c>
      <c r="O113" s="8">
        <v>45133</v>
      </c>
      <c r="P113" s="8">
        <v>45163</v>
      </c>
      <c r="Q113" s="128">
        <v>45163</v>
      </c>
      <c r="R113" s="222">
        <v>55015</v>
      </c>
      <c r="S113" s="153">
        <v>393.75</v>
      </c>
      <c r="T113" s="52">
        <v>0</v>
      </c>
      <c r="U113" s="52">
        <v>0</v>
      </c>
      <c r="V113" s="52">
        <v>0</v>
      </c>
      <c r="W113" s="2" t="str" cm="1">
        <f t="array" aca="1" ref="W113" ca="1">TRIM(SUBSTITUTE(_xlfn.ARRAYTOTEXT(IFERROR(CONCATENATE(SUMIF(INDIRECT("'"&amp;Assemblies[Assy]&amp;"'!"&amp;"C$5:C1000"), $C113, INDIRECT("'"&amp;Assemblies[Assy]&amp;"'!"&amp;"O$5:O1000")), "x",Assemblies[Assy],".",IF(SUMIF(INDIRECT("'"&amp;Assemblies[Assy]&amp;"'!"&amp;"C$5:C1000"), $C113, INDIRECT("'"&amp;Assemblies[Assy]&amp;"'!"&amp;"A$5:A1000"))=0,NA(),SUMIF(INDIRECT("'"&amp;Assemblies[Assy]&amp;"'!"&amp;"C$5:C1000"), $C113, INDIRECT("'"&amp;Assemblies[Assy]&amp;"'!"&amp;"A$5:A1000")))),"")), " ,", ""))</f>
        <v>,</v>
      </c>
      <c r="X113" s="2" t="s">
        <v>1987</v>
      </c>
      <c r="Y113" s="2" t="s">
        <v>1382</v>
      </c>
      <c r="Z113" s="2" t="s">
        <v>1382</v>
      </c>
      <c r="AA113" s="2" t="s">
        <v>1382</v>
      </c>
    </row>
    <row r="114" spans="1:27" ht="12.75" customHeight="1">
      <c r="A114" s="115" t="s">
        <v>2035</v>
      </c>
      <c r="B114" s="115" t="s">
        <v>54</v>
      </c>
      <c r="C114" s="2" t="str">
        <f t="shared" si="2"/>
        <v>GF12.220.05.A</v>
      </c>
      <c r="D114" s="2" t="s">
        <v>2036</v>
      </c>
      <c r="E114" s="52">
        <f t="shared" si="3"/>
        <v>573.4</v>
      </c>
      <c r="F114" s="5" t="e" cm="1">
        <f t="array" aca="1" ref="F114" ca="1">SUMPRODUCT(SUMIF(INDIRECT("'"&amp;Assemblies[Assy]&amp;"'!"&amp;"C$5:C1000"),$C114,(INDIRECT("'"&amp;Assemblies[Assy]&amp;"'!"&amp;"O$5:O1000"))))</f>
        <v>#VALUE!</v>
      </c>
      <c r="G114" s="5">
        <v>2</v>
      </c>
      <c r="H114" s="5">
        <v>2</v>
      </c>
      <c r="I114" s="2" t="s">
        <v>1791</v>
      </c>
      <c r="J114" s="2" t="s">
        <v>1769</v>
      </c>
      <c r="K114" s="2" t="s">
        <v>1770</v>
      </c>
      <c r="L114" s="2" t="s">
        <v>1786</v>
      </c>
      <c r="M114" s="2" t="s">
        <v>1382</v>
      </c>
      <c r="N114" s="8">
        <v>45105</v>
      </c>
      <c r="O114" s="8">
        <v>45133</v>
      </c>
      <c r="P114" s="8">
        <v>45163</v>
      </c>
      <c r="Q114" s="128">
        <v>45163</v>
      </c>
      <c r="R114" s="222">
        <v>55015</v>
      </c>
      <c r="S114" s="153">
        <v>573.4</v>
      </c>
      <c r="T114" s="52">
        <v>0</v>
      </c>
      <c r="U114" s="52">
        <v>0</v>
      </c>
      <c r="V114" s="52">
        <v>0</v>
      </c>
      <c r="W114" s="2" t="str" cm="1">
        <f t="array" aca="1" ref="W114" ca="1">TRIM(SUBSTITUTE(_xlfn.ARRAYTOTEXT(IFERROR(CONCATENATE(SUMIF(INDIRECT("'"&amp;Assemblies[Assy]&amp;"'!"&amp;"C$5:C1000"), $C114, INDIRECT("'"&amp;Assemblies[Assy]&amp;"'!"&amp;"O$5:O1000")), "x",Assemblies[Assy],".",IF(SUMIF(INDIRECT("'"&amp;Assemblies[Assy]&amp;"'!"&amp;"C$5:C1000"), $C114, INDIRECT("'"&amp;Assemblies[Assy]&amp;"'!"&amp;"A$5:A1000"))=0,NA(),SUMIF(INDIRECT("'"&amp;Assemblies[Assy]&amp;"'!"&amp;"C$5:C1000"), $C114, INDIRECT("'"&amp;Assemblies[Assy]&amp;"'!"&amp;"A$5:A1000")))),"")), " ,", ""))</f>
        <v>,</v>
      </c>
      <c r="X114" s="2" t="s">
        <v>1987</v>
      </c>
      <c r="Y114" s="2" t="s">
        <v>1382</v>
      </c>
      <c r="Z114" s="2" t="s">
        <v>1382</v>
      </c>
      <c r="AA114" s="2" t="s">
        <v>1382</v>
      </c>
    </row>
    <row r="115" spans="1:27" ht="12.75" customHeight="1">
      <c r="A115" s="115" t="s">
        <v>2037</v>
      </c>
      <c r="B115" s="115" t="s">
        <v>54</v>
      </c>
      <c r="C115" s="2" t="str">
        <f t="shared" si="2"/>
        <v>GF12.221.01.A</v>
      </c>
      <c r="D115" s="2" t="s">
        <v>2038</v>
      </c>
      <c r="E115" s="52">
        <f t="shared" si="3"/>
        <v>62.8</v>
      </c>
      <c r="F115" s="5" t="e" cm="1">
        <f t="array" aca="1" ref="F115" ca="1">SUMPRODUCT(SUMIF(INDIRECT("'"&amp;Assemblies[Assy]&amp;"'!"&amp;"C$5:C1000"),$C115,(INDIRECT("'"&amp;Assemblies[Assy]&amp;"'!"&amp;"O$5:O1000"))))</f>
        <v>#VALUE!</v>
      </c>
      <c r="G115" s="5">
        <v>4</v>
      </c>
      <c r="H115" s="5">
        <v>4</v>
      </c>
      <c r="I115" s="2" t="s">
        <v>1791</v>
      </c>
      <c r="J115" s="2" t="s">
        <v>1769</v>
      </c>
      <c r="K115" s="2" t="s">
        <v>1770</v>
      </c>
      <c r="L115" s="2" t="s">
        <v>1786</v>
      </c>
      <c r="M115" s="2" t="s">
        <v>1382</v>
      </c>
      <c r="N115" s="8">
        <v>45105</v>
      </c>
      <c r="O115" s="8">
        <v>45133</v>
      </c>
      <c r="P115" s="8">
        <v>45163</v>
      </c>
      <c r="Q115" s="128">
        <v>45163</v>
      </c>
      <c r="R115" s="222">
        <v>55015</v>
      </c>
      <c r="S115" s="153">
        <v>62.8</v>
      </c>
      <c r="T115" s="52">
        <v>0</v>
      </c>
      <c r="U115" s="52">
        <v>0</v>
      </c>
      <c r="V115" s="52">
        <v>0</v>
      </c>
      <c r="W115" s="2" t="str" cm="1">
        <f t="array" aca="1" ref="W115" ca="1">TRIM(SUBSTITUTE(_xlfn.ARRAYTOTEXT(IFERROR(CONCATENATE(SUMIF(INDIRECT("'"&amp;Assemblies[Assy]&amp;"'!"&amp;"C$5:C1000"), $C115, INDIRECT("'"&amp;Assemblies[Assy]&amp;"'!"&amp;"O$5:O1000")), "x",Assemblies[Assy],".",IF(SUMIF(INDIRECT("'"&amp;Assemblies[Assy]&amp;"'!"&amp;"C$5:C1000"), $C115, INDIRECT("'"&amp;Assemblies[Assy]&amp;"'!"&amp;"A$5:A1000"))=0,NA(),SUMIF(INDIRECT("'"&amp;Assemblies[Assy]&amp;"'!"&amp;"C$5:C1000"), $C115, INDIRECT("'"&amp;Assemblies[Assy]&amp;"'!"&amp;"A$5:A1000")))),"")), " ,", ""))</f>
        <v>,</v>
      </c>
      <c r="X115" s="2" t="s">
        <v>1987</v>
      </c>
      <c r="Y115" s="2" t="s">
        <v>1382</v>
      </c>
      <c r="Z115" s="2" t="s">
        <v>1382</v>
      </c>
      <c r="AA115" s="2" t="s">
        <v>1382</v>
      </c>
    </row>
    <row r="116" spans="1:27" ht="12.75">
      <c r="A116" s="115" t="s">
        <v>2039</v>
      </c>
      <c r="B116" s="115" t="s">
        <v>54</v>
      </c>
      <c r="C116" s="2" t="str">
        <f t="shared" si="2"/>
        <v>GF12.222.01.A</v>
      </c>
      <c r="D116" s="2" t="s">
        <v>2040</v>
      </c>
      <c r="E116" s="52">
        <f t="shared" si="3"/>
        <v>76.5</v>
      </c>
      <c r="F116" s="5" t="e" cm="1">
        <f t="array" aca="1" ref="F116" ca="1">SUMPRODUCT(SUMIF(INDIRECT("'"&amp;Assemblies[Assy]&amp;"'!"&amp;"C$5:C1000"),$C116,(INDIRECT("'"&amp;Assemblies[Assy]&amp;"'!"&amp;"O$5:O1000"))))</f>
        <v>#VALUE!</v>
      </c>
      <c r="G116" s="5">
        <v>4</v>
      </c>
      <c r="H116" s="5">
        <v>4</v>
      </c>
      <c r="I116" s="2" t="s">
        <v>1791</v>
      </c>
      <c r="J116" s="2" t="s">
        <v>1769</v>
      </c>
      <c r="K116" s="2" t="s">
        <v>1770</v>
      </c>
      <c r="L116" s="2" t="s">
        <v>1786</v>
      </c>
      <c r="M116" s="2" t="s">
        <v>1779</v>
      </c>
      <c r="N116" s="8">
        <v>45105</v>
      </c>
      <c r="O116" s="8">
        <v>45133</v>
      </c>
      <c r="P116" s="8">
        <v>45163</v>
      </c>
      <c r="Q116" s="128">
        <v>45163</v>
      </c>
      <c r="R116" s="223">
        <v>55015</v>
      </c>
      <c r="S116" s="153">
        <v>76.5</v>
      </c>
      <c r="T116" s="52">
        <v>0</v>
      </c>
      <c r="U116" s="52">
        <v>0</v>
      </c>
      <c r="V116" s="52">
        <v>0</v>
      </c>
      <c r="W116" s="2" t="str" cm="1">
        <f t="array" aca="1" ref="W116" ca="1">TRIM(SUBSTITUTE(_xlfn.ARRAYTOTEXT(IFERROR(CONCATENATE(SUMIF(INDIRECT("'"&amp;Assemblies[Assy]&amp;"'!"&amp;"C$5:C1000"), $C116, INDIRECT("'"&amp;Assemblies[Assy]&amp;"'!"&amp;"O$5:O1000")), "x",Assemblies[Assy],".",IF(SUMIF(INDIRECT("'"&amp;Assemblies[Assy]&amp;"'!"&amp;"C$5:C1000"), $C116, INDIRECT("'"&amp;Assemblies[Assy]&amp;"'!"&amp;"A$5:A1000"))=0,NA(),SUMIF(INDIRECT("'"&amp;Assemblies[Assy]&amp;"'!"&amp;"C$5:C1000"), $C116, INDIRECT("'"&amp;Assemblies[Assy]&amp;"'!"&amp;"A$5:A1000")))),"")), " ,", ""))</f>
        <v>,</v>
      </c>
      <c r="X116" s="2" t="s">
        <v>1987</v>
      </c>
      <c r="Y116" s="2" t="s">
        <v>1382</v>
      </c>
      <c r="Z116" s="2" t="s">
        <v>1382</v>
      </c>
      <c r="AA116" s="2" t="s">
        <v>1382</v>
      </c>
    </row>
    <row r="117" spans="1:27" ht="12.75">
      <c r="A117" s="115" t="s">
        <v>2041</v>
      </c>
      <c r="B117" s="115" t="s">
        <v>54</v>
      </c>
      <c r="C117" s="2" t="str">
        <f t="shared" si="2"/>
        <v>GF12.223.01.A</v>
      </c>
      <c r="D117" s="2" t="s">
        <v>2042</v>
      </c>
      <c r="E117" s="52">
        <f t="shared" si="3"/>
        <v>85.4</v>
      </c>
      <c r="F117" s="5" t="e" cm="1">
        <f t="array" aca="1" ref="F117" ca="1">SUMPRODUCT(SUMIF(INDIRECT("'"&amp;Assemblies[Assy]&amp;"'!"&amp;"C$5:C1000"),$C117,(INDIRECT("'"&amp;Assemblies[Assy]&amp;"'!"&amp;"O$5:O1000"))))</f>
        <v>#VALUE!</v>
      </c>
      <c r="G117" s="5">
        <v>2</v>
      </c>
      <c r="H117" s="5">
        <v>2</v>
      </c>
      <c r="I117" s="2" t="s">
        <v>1791</v>
      </c>
      <c r="J117" s="2" t="s">
        <v>1769</v>
      </c>
      <c r="K117" s="2" t="s">
        <v>1770</v>
      </c>
      <c r="L117" s="2" t="s">
        <v>1786</v>
      </c>
      <c r="M117" s="2" t="s">
        <v>1382</v>
      </c>
      <c r="N117" s="8">
        <v>45105</v>
      </c>
      <c r="O117" s="8">
        <v>45133</v>
      </c>
      <c r="P117" s="8">
        <v>45163</v>
      </c>
      <c r="Q117" s="128">
        <v>45163</v>
      </c>
      <c r="R117" s="222">
        <v>55015</v>
      </c>
      <c r="S117" s="153">
        <v>85.4</v>
      </c>
      <c r="T117" s="52">
        <v>0</v>
      </c>
      <c r="U117" s="52">
        <v>0</v>
      </c>
      <c r="V117" s="52">
        <v>0</v>
      </c>
      <c r="W117" s="2" t="str" cm="1">
        <f t="array" aca="1" ref="W117" ca="1">TRIM(SUBSTITUTE(_xlfn.ARRAYTOTEXT(IFERROR(CONCATENATE(SUMIF(INDIRECT("'"&amp;Assemblies[Assy]&amp;"'!"&amp;"C$5:C1000"), $C117, INDIRECT("'"&amp;Assemblies[Assy]&amp;"'!"&amp;"O$5:O1000")), "x",Assemblies[Assy],".",IF(SUMIF(INDIRECT("'"&amp;Assemblies[Assy]&amp;"'!"&amp;"C$5:C1000"), $C117, INDIRECT("'"&amp;Assemblies[Assy]&amp;"'!"&amp;"A$5:A1000"))=0,NA(),SUMIF(INDIRECT("'"&amp;Assemblies[Assy]&amp;"'!"&amp;"C$5:C1000"), $C117, INDIRECT("'"&amp;Assemblies[Assy]&amp;"'!"&amp;"A$5:A1000")))),"")), " ,", ""))</f>
        <v>,</v>
      </c>
      <c r="X117" s="2" t="s">
        <v>1987</v>
      </c>
      <c r="Y117" s="2" t="s">
        <v>1382</v>
      </c>
      <c r="Z117" s="2" t="s">
        <v>1382</v>
      </c>
      <c r="AA117" s="2" t="s">
        <v>1382</v>
      </c>
    </row>
    <row r="118" spans="1:27" ht="12.75">
      <c r="A118" s="115" t="s">
        <v>2043</v>
      </c>
      <c r="B118" s="115" t="s">
        <v>54</v>
      </c>
      <c r="C118" s="2" t="str">
        <f t="shared" si="2"/>
        <v>GF12.223.02.A</v>
      </c>
      <c r="D118" s="2" t="s">
        <v>2044</v>
      </c>
      <c r="E118" s="52">
        <f t="shared" si="3"/>
        <v>90.2</v>
      </c>
      <c r="F118" s="5" t="e" cm="1">
        <f t="array" aca="1" ref="F118" ca="1">SUMPRODUCT(SUMIF(INDIRECT("'"&amp;Assemblies[Assy]&amp;"'!"&amp;"C$5:C1000"),$C118,(INDIRECT("'"&amp;Assemblies[Assy]&amp;"'!"&amp;"O$5:O1000"))))</f>
        <v>#VALUE!</v>
      </c>
      <c r="G118" s="5">
        <v>2</v>
      </c>
      <c r="H118" s="5">
        <v>2</v>
      </c>
      <c r="I118" s="2" t="s">
        <v>1791</v>
      </c>
      <c r="J118" s="2" t="s">
        <v>1769</v>
      </c>
      <c r="K118" s="2" t="s">
        <v>1770</v>
      </c>
      <c r="L118" s="2" t="s">
        <v>1786</v>
      </c>
      <c r="M118" s="2" t="s">
        <v>1779</v>
      </c>
      <c r="N118" s="8">
        <v>45105</v>
      </c>
      <c r="O118" s="8">
        <v>45133</v>
      </c>
      <c r="P118" s="8">
        <v>45163</v>
      </c>
      <c r="Q118" s="128">
        <v>45163</v>
      </c>
      <c r="R118" s="222">
        <v>55015</v>
      </c>
      <c r="S118" s="153">
        <v>90.2</v>
      </c>
      <c r="T118" s="52">
        <v>0</v>
      </c>
      <c r="U118" s="52">
        <v>0</v>
      </c>
      <c r="V118" s="52">
        <v>0</v>
      </c>
      <c r="W118" s="2" t="str" cm="1">
        <f t="array" aca="1" ref="W118" ca="1">TRIM(SUBSTITUTE(_xlfn.ARRAYTOTEXT(IFERROR(CONCATENATE(SUMIF(INDIRECT("'"&amp;Assemblies[Assy]&amp;"'!"&amp;"C$5:C1000"), $C118, INDIRECT("'"&amp;Assemblies[Assy]&amp;"'!"&amp;"O$5:O1000")), "x",Assemblies[Assy],".",IF(SUMIF(INDIRECT("'"&amp;Assemblies[Assy]&amp;"'!"&amp;"C$5:C1000"), $C118, INDIRECT("'"&amp;Assemblies[Assy]&amp;"'!"&amp;"A$5:A1000"))=0,NA(),SUMIF(INDIRECT("'"&amp;Assemblies[Assy]&amp;"'!"&amp;"C$5:C1000"), $C118, INDIRECT("'"&amp;Assemblies[Assy]&amp;"'!"&amp;"A$5:A1000")))),"")), " ,", ""))</f>
        <v>,</v>
      </c>
      <c r="X118" s="2" t="s">
        <v>1987</v>
      </c>
      <c r="Y118" s="2" t="s">
        <v>1382</v>
      </c>
      <c r="Z118" s="2" t="s">
        <v>1382</v>
      </c>
      <c r="AA118" s="2" t="s">
        <v>1382</v>
      </c>
    </row>
    <row r="119" spans="1:27" ht="12.75">
      <c r="A119" s="115" t="s">
        <v>2045</v>
      </c>
      <c r="B119" s="115" t="s">
        <v>54</v>
      </c>
      <c r="C119" s="2" t="str">
        <f t="shared" si="2"/>
        <v>GF12.230.01.A</v>
      </c>
      <c r="D119" s="2" t="s">
        <v>2046</v>
      </c>
      <c r="E119" s="52">
        <f t="shared" si="3"/>
        <v>356.75</v>
      </c>
      <c r="F119" s="5" t="e" cm="1">
        <f t="array" aca="1" ref="F119" ca="1">SUMPRODUCT(SUMIF(INDIRECT("'"&amp;Assemblies[Assy]&amp;"'!"&amp;"C$5:C1000"),$C119,(INDIRECT("'"&amp;Assemblies[Assy]&amp;"'!"&amp;"O$5:O1000"))))</f>
        <v>#VALUE!</v>
      </c>
      <c r="G119" s="5">
        <v>4</v>
      </c>
      <c r="H119" s="5">
        <v>4</v>
      </c>
      <c r="I119" s="2" t="s">
        <v>1782</v>
      </c>
      <c r="J119" s="2" t="s">
        <v>1769</v>
      </c>
      <c r="K119" s="2" t="s">
        <v>1770</v>
      </c>
      <c r="L119" s="2" t="s">
        <v>1783</v>
      </c>
      <c r="M119" s="2" t="s">
        <v>1779</v>
      </c>
      <c r="N119" s="8">
        <v>45142</v>
      </c>
      <c r="O119" s="8">
        <v>45146</v>
      </c>
      <c r="P119" s="8">
        <v>45170</v>
      </c>
      <c r="Q119" s="128">
        <v>45170</v>
      </c>
      <c r="R119" s="201">
        <v>55041</v>
      </c>
      <c r="S119" s="153">
        <v>356.75</v>
      </c>
      <c r="T119" s="52">
        <v>0</v>
      </c>
      <c r="U119" s="52">
        <v>0</v>
      </c>
      <c r="V119" s="52">
        <v>0</v>
      </c>
      <c r="W119" s="2" t="str" cm="1">
        <f t="array" aca="1" ref="W119" ca="1">TRIM(SUBSTITUTE(_xlfn.ARRAYTOTEXT(IFERROR(CONCATENATE(SUMIF(INDIRECT("'"&amp;Assemblies[Assy]&amp;"'!"&amp;"C$5:C1000"), $C119, INDIRECT("'"&amp;Assemblies[Assy]&amp;"'!"&amp;"O$5:O1000")), "x",Assemblies[Assy],".",IF(SUMIF(INDIRECT("'"&amp;Assemblies[Assy]&amp;"'!"&amp;"C$5:C1000"), $C119, INDIRECT("'"&amp;Assemblies[Assy]&amp;"'!"&amp;"A$5:A1000"))=0,NA(),SUMIF(INDIRECT("'"&amp;Assemblies[Assy]&amp;"'!"&amp;"C$5:C1000"), $C119, INDIRECT("'"&amp;Assemblies[Assy]&amp;"'!"&amp;"A$5:A1000")))),"")), " ,", ""))</f>
        <v>,</v>
      </c>
      <c r="X119" s="2" t="s">
        <v>1987</v>
      </c>
      <c r="Y119" s="2" t="s">
        <v>1382</v>
      </c>
      <c r="Z119" s="2" t="s">
        <v>1382</v>
      </c>
    </row>
    <row r="120" spans="1:27" ht="12.75">
      <c r="A120" s="115" t="s">
        <v>2047</v>
      </c>
      <c r="B120" s="115" t="s">
        <v>54</v>
      </c>
      <c r="C120" s="2" t="str">
        <f t="shared" si="2"/>
        <v>GF12.230.05.A</v>
      </c>
      <c r="D120" s="2" t="s">
        <v>1882</v>
      </c>
      <c r="E120" s="52">
        <f t="shared" si="3"/>
        <v>0</v>
      </c>
      <c r="F120" s="5" t="e" cm="1">
        <f t="array" aca="1" ref="F120" ca="1">SUMPRODUCT(SUMIF(INDIRECT("'"&amp;Assemblies[Assy]&amp;"'!"&amp;"C$5:C1000"),$C120,(INDIRECT("'"&amp;Assemblies[Assy]&amp;"'!"&amp;"O$5:O1000"))))</f>
        <v>#VALUE!</v>
      </c>
      <c r="G120" s="5">
        <v>0</v>
      </c>
      <c r="H120" s="5">
        <v>4</v>
      </c>
      <c r="I120" s="2" t="s">
        <v>1776</v>
      </c>
      <c r="J120" s="2" t="s">
        <v>1777</v>
      </c>
      <c r="K120" s="2" t="s">
        <v>1770</v>
      </c>
      <c r="L120" s="2" t="s">
        <v>1786</v>
      </c>
      <c r="M120" s="2" t="s">
        <v>2048</v>
      </c>
      <c r="N120" s="8" t="s">
        <v>1762</v>
      </c>
      <c r="O120" s="8" t="s">
        <v>1762</v>
      </c>
      <c r="P120" s="8" t="s">
        <v>1762</v>
      </c>
      <c r="Q120" s="163" t="s">
        <v>1762</v>
      </c>
      <c r="R120" s="201">
        <v>55025</v>
      </c>
      <c r="S120" s="153">
        <v>0</v>
      </c>
      <c r="T120" s="52">
        <v>0</v>
      </c>
      <c r="U120" s="52">
        <v>0</v>
      </c>
      <c r="V120" s="52">
        <v>0</v>
      </c>
      <c r="W120" s="2" t="str" cm="1">
        <f t="array" aca="1" ref="W120" ca="1">TRIM(SUBSTITUTE(_xlfn.ARRAYTOTEXT(IFERROR(CONCATENATE(SUMIF(INDIRECT("'"&amp;Assemblies[Assy]&amp;"'!"&amp;"C$5:C1000"), $C120, INDIRECT("'"&amp;Assemblies[Assy]&amp;"'!"&amp;"O$5:O1000")), "x",Assemblies[Assy],".",IF(SUMIF(INDIRECT("'"&amp;Assemblies[Assy]&amp;"'!"&amp;"C$5:C1000"), $C120, INDIRECT("'"&amp;Assemblies[Assy]&amp;"'!"&amp;"A$5:A1000"))=0,NA(),SUMIF(INDIRECT("'"&amp;Assemblies[Assy]&amp;"'!"&amp;"C$5:C1000"), $C120, INDIRECT("'"&amp;Assemblies[Assy]&amp;"'!"&amp;"A$5:A1000")))),"")), " ,", ""))</f>
        <v>,</v>
      </c>
      <c r="Y120" s="2"/>
      <c r="AA120" s="2" t="s">
        <v>1382</v>
      </c>
    </row>
    <row r="121" spans="1:27" ht="12.75">
      <c r="A121" s="115" t="s">
        <v>2049</v>
      </c>
      <c r="B121" s="115" t="s">
        <v>54</v>
      </c>
      <c r="C121" s="2" t="str">
        <f t="shared" si="2"/>
        <v>GF12.231.01.A</v>
      </c>
      <c r="D121" s="117" t="s">
        <v>2050</v>
      </c>
      <c r="E121" s="52">
        <f t="shared" si="3"/>
        <v>1977.23</v>
      </c>
      <c r="F121" s="5" t="e" cm="1">
        <f t="array" aca="1" ref="F121" ca="1">SUMPRODUCT(SUMIF(INDIRECT("'"&amp;Assemblies[Assy]&amp;"'!"&amp;"C$5:C1000"),$C121,(INDIRECT("'"&amp;Assemblies[Assy]&amp;"'!"&amp;"O$5:O1000"))))</f>
        <v>#VALUE!</v>
      </c>
      <c r="G121" s="5">
        <v>2</v>
      </c>
      <c r="H121" s="5">
        <v>2</v>
      </c>
      <c r="I121" s="2" t="s">
        <v>1902</v>
      </c>
      <c r="J121" s="2" t="s">
        <v>1777</v>
      </c>
      <c r="K121" s="2" t="s">
        <v>1897</v>
      </c>
      <c r="L121" s="2" t="s">
        <v>1803</v>
      </c>
      <c r="M121" s="2" t="s">
        <v>2051</v>
      </c>
      <c r="N121" s="8" t="s">
        <v>1762</v>
      </c>
      <c r="O121" s="8">
        <v>45124</v>
      </c>
      <c r="P121" s="8">
        <v>45147</v>
      </c>
      <c r="Q121" s="128">
        <v>45147</v>
      </c>
      <c r="R121" s="201">
        <v>54996</v>
      </c>
      <c r="S121" s="160">
        <v>1977.23</v>
      </c>
      <c r="T121" s="52">
        <v>0</v>
      </c>
      <c r="U121" s="52">
        <v>0</v>
      </c>
      <c r="V121" s="52">
        <v>0</v>
      </c>
      <c r="W121" s="2" t="str" cm="1">
        <f t="array" aca="1" ref="W121" ca="1">TRIM(SUBSTITUTE(_xlfn.ARRAYTOTEXT(IFERROR(CONCATENATE(SUMIF(INDIRECT("'"&amp;Assemblies[Assy]&amp;"'!"&amp;"C$5:C1000"), $C121, INDIRECT("'"&amp;Assemblies[Assy]&amp;"'!"&amp;"O$5:O1000")), "x",Assemblies[Assy],".",IF(SUMIF(INDIRECT("'"&amp;Assemblies[Assy]&amp;"'!"&amp;"C$5:C1000"), $C121, INDIRECT("'"&amp;Assemblies[Assy]&amp;"'!"&amp;"A$5:A1000"))=0,NA(),SUMIF(INDIRECT("'"&amp;Assemblies[Assy]&amp;"'!"&amp;"C$5:C1000"), $C121, INDIRECT("'"&amp;Assemblies[Assy]&amp;"'!"&amp;"A$5:A1000")))),"")), " ,", ""))</f>
        <v>,</v>
      </c>
      <c r="X121" s="2" t="s">
        <v>1987</v>
      </c>
      <c r="Y121" s="2" t="s">
        <v>1382</v>
      </c>
      <c r="Z121" s="181" t="s">
        <v>1904</v>
      </c>
      <c r="AA121" s="2" t="s">
        <v>1382</v>
      </c>
    </row>
    <row r="122" spans="1:27" ht="12.75">
      <c r="A122" s="115" t="s">
        <v>2052</v>
      </c>
      <c r="B122" s="115" t="s">
        <v>54</v>
      </c>
      <c r="C122" s="2" t="str">
        <f t="shared" si="2"/>
        <v>GF12.241.01.A</v>
      </c>
      <c r="D122" s="2" t="s">
        <v>2053</v>
      </c>
      <c r="E122" s="52">
        <f t="shared" si="3"/>
        <v>79.599999999999994</v>
      </c>
      <c r="F122" s="5" t="e" cm="1">
        <f t="array" aca="1" ref="F122" ca="1">SUMPRODUCT(SUMIF(INDIRECT("'"&amp;Assemblies[Assy]&amp;"'!"&amp;"C$5:C1000"),$C122,(INDIRECT("'"&amp;Assemblies[Assy]&amp;"'!"&amp;"O$5:O1000"))))</f>
        <v>#VALUE!</v>
      </c>
      <c r="G122" s="5">
        <v>4</v>
      </c>
      <c r="H122" s="5">
        <v>4</v>
      </c>
      <c r="I122" s="2" t="s">
        <v>1791</v>
      </c>
      <c r="J122" s="2" t="s">
        <v>1769</v>
      </c>
      <c r="K122" s="2" t="s">
        <v>1770</v>
      </c>
      <c r="L122" s="2" t="s">
        <v>1786</v>
      </c>
      <c r="M122" s="2" t="s">
        <v>1779</v>
      </c>
      <c r="N122" s="8">
        <v>45105</v>
      </c>
      <c r="O122" s="8">
        <v>45133</v>
      </c>
      <c r="P122" s="8">
        <v>45163</v>
      </c>
      <c r="Q122" s="128">
        <v>45163</v>
      </c>
      <c r="R122" s="222">
        <v>55015</v>
      </c>
      <c r="S122" s="153">
        <v>79.599999999999994</v>
      </c>
      <c r="T122" s="52">
        <v>0</v>
      </c>
      <c r="U122" s="52">
        <v>0</v>
      </c>
      <c r="V122" s="52">
        <v>0</v>
      </c>
      <c r="W122" s="2" t="str" cm="1">
        <f t="array" aca="1" ref="W122" ca="1">TRIM(SUBSTITUTE(_xlfn.ARRAYTOTEXT(IFERROR(CONCATENATE(SUMIF(INDIRECT("'"&amp;Assemblies[Assy]&amp;"'!"&amp;"C$5:C1000"), $C122, INDIRECT("'"&amp;Assemblies[Assy]&amp;"'!"&amp;"O$5:O1000")), "x",Assemblies[Assy],".",IF(SUMIF(INDIRECT("'"&amp;Assemblies[Assy]&amp;"'!"&amp;"C$5:C1000"), $C122, INDIRECT("'"&amp;Assemblies[Assy]&amp;"'!"&amp;"A$5:A1000"))=0,NA(),SUMIF(INDIRECT("'"&amp;Assemblies[Assy]&amp;"'!"&amp;"C$5:C1000"), $C122, INDIRECT("'"&amp;Assemblies[Assy]&amp;"'!"&amp;"A$5:A1000")))),"")), " ,", ""))</f>
        <v>,</v>
      </c>
      <c r="X122" s="2" t="s">
        <v>1987</v>
      </c>
      <c r="Y122" s="2" t="s">
        <v>1382</v>
      </c>
      <c r="Z122" s="2" t="s">
        <v>1382</v>
      </c>
      <c r="AA122" s="2" t="s">
        <v>1382</v>
      </c>
    </row>
    <row r="123" spans="1:27" ht="12.75">
      <c r="A123" s="115" t="s">
        <v>2054</v>
      </c>
      <c r="B123" s="115" t="s">
        <v>54</v>
      </c>
      <c r="C123" s="2" t="str">
        <f t="shared" si="2"/>
        <v>GF12.241.02.A</v>
      </c>
      <c r="D123" s="2" t="s">
        <v>2055</v>
      </c>
      <c r="E123" s="52">
        <f t="shared" si="3"/>
        <v>161.05000000000001</v>
      </c>
      <c r="F123" s="5" t="e" cm="1">
        <f t="array" aca="1" ref="F123" ca="1">SUMPRODUCT(SUMIF(INDIRECT("'"&amp;Assemblies[Assy]&amp;"'!"&amp;"C$5:C1000"),$C123,(INDIRECT("'"&amp;Assemblies[Assy]&amp;"'!"&amp;"O$5:O1000"))))</f>
        <v>#VALUE!</v>
      </c>
      <c r="G123" s="5">
        <v>2</v>
      </c>
      <c r="H123" s="5">
        <v>2</v>
      </c>
      <c r="I123" s="2" t="s">
        <v>1791</v>
      </c>
      <c r="J123" s="2" t="s">
        <v>1769</v>
      </c>
      <c r="K123" s="2" t="s">
        <v>1770</v>
      </c>
      <c r="L123" s="2" t="s">
        <v>1786</v>
      </c>
      <c r="M123" s="2" t="s">
        <v>1779</v>
      </c>
      <c r="N123" s="8">
        <v>45105</v>
      </c>
      <c r="O123" s="8">
        <v>45133</v>
      </c>
      <c r="P123" s="8">
        <v>45163</v>
      </c>
      <c r="Q123" s="128">
        <v>45163</v>
      </c>
      <c r="R123" s="222">
        <v>55015</v>
      </c>
      <c r="S123" s="153">
        <v>161.05000000000001</v>
      </c>
      <c r="T123" s="52">
        <v>0</v>
      </c>
      <c r="U123" s="52">
        <v>0</v>
      </c>
      <c r="V123" s="52">
        <v>0</v>
      </c>
      <c r="W123" s="2" t="str" cm="1">
        <f t="array" aca="1" ref="W123" ca="1">TRIM(SUBSTITUTE(_xlfn.ARRAYTOTEXT(IFERROR(CONCATENATE(SUMIF(INDIRECT("'"&amp;Assemblies[Assy]&amp;"'!"&amp;"C$5:C1000"), $C123, INDIRECT("'"&amp;Assemblies[Assy]&amp;"'!"&amp;"O$5:O1000")), "x",Assemblies[Assy],".",IF(SUMIF(INDIRECT("'"&amp;Assemblies[Assy]&amp;"'!"&amp;"C$5:C1000"), $C123, INDIRECT("'"&amp;Assemblies[Assy]&amp;"'!"&amp;"A$5:A1000"))=0,NA(),SUMIF(INDIRECT("'"&amp;Assemblies[Assy]&amp;"'!"&amp;"C$5:C1000"), $C123, INDIRECT("'"&amp;Assemblies[Assy]&amp;"'!"&amp;"A$5:A1000")))),"")), " ,", ""))</f>
        <v>,</v>
      </c>
      <c r="X123" s="2" t="s">
        <v>1987</v>
      </c>
      <c r="Y123" s="2" t="s">
        <v>1382</v>
      </c>
      <c r="Z123" s="2" t="s">
        <v>1382</v>
      </c>
      <c r="AA123" s="2" t="s">
        <v>1382</v>
      </c>
    </row>
    <row r="124" spans="1:27" ht="12.75">
      <c r="A124" s="115" t="s">
        <v>2056</v>
      </c>
      <c r="B124" s="115" t="s">
        <v>54</v>
      </c>
      <c r="C124" s="2" t="str">
        <f t="shared" si="2"/>
        <v>GF12.241.03.A</v>
      </c>
      <c r="D124" s="2" t="s">
        <v>2057</v>
      </c>
      <c r="E124" s="52">
        <f t="shared" si="3"/>
        <v>55.2</v>
      </c>
      <c r="F124" s="5" t="e" cm="1">
        <f t="array" aca="1" ref="F124" ca="1">SUMPRODUCT(SUMIF(INDIRECT("'"&amp;Assemblies[Assy]&amp;"'!"&amp;"C$5:C1000"),$C124,(INDIRECT("'"&amp;Assemblies[Assy]&amp;"'!"&amp;"O$5:O1000"))))</f>
        <v>#VALUE!</v>
      </c>
      <c r="G124" s="5">
        <v>6</v>
      </c>
      <c r="H124" s="5">
        <v>6</v>
      </c>
      <c r="I124" s="2" t="s">
        <v>1791</v>
      </c>
      <c r="J124" s="2" t="s">
        <v>1769</v>
      </c>
      <c r="K124" s="2" t="s">
        <v>1770</v>
      </c>
      <c r="L124" s="2" t="s">
        <v>1786</v>
      </c>
      <c r="M124" s="2" t="s">
        <v>1779</v>
      </c>
      <c r="N124" s="8">
        <v>45105</v>
      </c>
      <c r="O124" s="8">
        <v>45133</v>
      </c>
      <c r="P124" s="8">
        <v>45163</v>
      </c>
      <c r="Q124" s="128">
        <v>45163</v>
      </c>
      <c r="R124" s="222">
        <v>55015</v>
      </c>
      <c r="S124" s="153">
        <v>55.2</v>
      </c>
      <c r="T124" s="52">
        <v>0</v>
      </c>
      <c r="U124" s="52">
        <v>0</v>
      </c>
      <c r="V124" s="52">
        <v>0</v>
      </c>
      <c r="W124" s="2" t="str" cm="1">
        <f t="array" aca="1" ref="W124" ca="1">TRIM(SUBSTITUTE(_xlfn.ARRAYTOTEXT(IFERROR(CONCATENATE(SUMIF(INDIRECT("'"&amp;Assemblies[Assy]&amp;"'!"&amp;"C$5:C1000"), $C124, INDIRECT("'"&amp;Assemblies[Assy]&amp;"'!"&amp;"O$5:O1000")), "x",Assemblies[Assy],".",IF(SUMIF(INDIRECT("'"&amp;Assemblies[Assy]&amp;"'!"&amp;"C$5:C1000"), $C124, INDIRECT("'"&amp;Assemblies[Assy]&amp;"'!"&amp;"A$5:A1000"))=0,NA(),SUMIF(INDIRECT("'"&amp;Assemblies[Assy]&amp;"'!"&amp;"C$5:C1000"), $C124, INDIRECT("'"&amp;Assemblies[Assy]&amp;"'!"&amp;"A$5:A1000")))),"")), " ,", ""))</f>
        <v>,</v>
      </c>
      <c r="X124" s="2" t="s">
        <v>1987</v>
      </c>
      <c r="Y124" s="2" t="s">
        <v>1382</v>
      </c>
      <c r="Z124" s="2" t="s">
        <v>1382</v>
      </c>
      <c r="AA124" s="2" t="s">
        <v>1382</v>
      </c>
    </row>
    <row r="125" spans="1:27" ht="12.75">
      <c r="A125" s="115" t="s">
        <v>2058</v>
      </c>
      <c r="B125" s="115" t="s">
        <v>54</v>
      </c>
      <c r="C125" s="2" t="str">
        <f t="shared" si="2"/>
        <v>GF12.241.04.A</v>
      </c>
      <c r="D125" s="2" t="s">
        <v>2059</v>
      </c>
      <c r="E125" s="52">
        <f t="shared" si="3"/>
        <v>61.05</v>
      </c>
      <c r="F125" s="5" t="e" cm="1">
        <f t="array" aca="1" ref="F125" ca="1">SUMPRODUCT(SUMIF(INDIRECT("'"&amp;Assemblies[Assy]&amp;"'!"&amp;"C$5:C1000"),$C125,(INDIRECT("'"&amp;Assemblies[Assy]&amp;"'!"&amp;"O$5:O1000"))))</f>
        <v>#VALUE!</v>
      </c>
      <c r="G125" s="5">
        <v>4</v>
      </c>
      <c r="H125" s="5">
        <v>4</v>
      </c>
      <c r="I125" s="2" t="s">
        <v>1791</v>
      </c>
      <c r="J125" s="2" t="s">
        <v>1769</v>
      </c>
      <c r="K125" s="2" t="s">
        <v>1770</v>
      </c>
      <c r="L125" s="2" t="s">
        <v>1786</v>
      </c>
      <c r="M125" s="2" t="s">
        <v>1779</v>
      </c>
      <c r="N125" s="8">
        <v>45105</v>
      </c>
      <c r="O125" s="8">
        <v>45133</v>
      </c>
      <c r="P125" s="8">
        <v>45163</v>
      </c>
      <c r="Q125" s="128">
        <v>45163</v>
      </c>
      <c r="R125" s="222">
        <v>55015</v>
      </c>
      <c r="S125" s="153">
        <v>61.05</v>
      </c>
      <c r="T125" s="52">
        <v>0</v>
      </c>
      <c r="U125" s="52">
        <v>0</v>
      </c>
      <c r="V125" s="52">
        <v>0</v>
      </c>
      <c r="W125" s="2" t="str" cm="1">
        <f t="array" aca="1" ref="W125" ca="1">TRIM(SUBSTITUTE(_xlfn.ARRAYTOTEXT(IFERROR(CONCATENATE(SUMIF(INDIRECT("'"&amp;Assemblies[Assy]&amp;"'!"&amp;"C$5:C1000"), $C125, INDIRECT("'"&amp;Assemblies[Assy]&amp;"'!"&amp;"O$5:O1000")), "x",Assemblies[Assy],".",IF(SUMIF(INDIRECT("'"&amp;Assemblies[Assy]&amp;"'!"&amp;"C$5:C1000"), $C125, INDIRECT("'"&amp;Assemblies[Assy]&amp;"'!"&amp;"A$5:A1000"))=0,NA(),SUMIF(INDIRECT("'"&amp;Assemblies[Assy]&amp;"'!"&amp;"C$5:C1000"), $C125, INDIRECT("'"&amp;Assemblies[Assy]&amp;"'!"&amp;"A$5:A1000")))),"")), " ,", ""))</f>
        <v>,</v>
      </c>
      <c r="X125" s="2" t="s">
        <v>1987</v>
      </c>
      <c r="Y125" s="2" t="s">
        <v>1382</v>
      </c>
      <c r="Z125" s="2" t="s">
        <v>1382</v>
      </c>
    </row>
    <row r="126" spans="1:27" ht="12.75">
      <c r="A126" s="115" t="s">
        <v>2060</v>
      </c>
      <c r="B126" s="115" t="s">
        <v>54</v>
      </c>
      <c r="C126" s="2" t="str">
        <f t="shared" si="2"/>
        <v>GF12.241.05.A</v>
      </c>
      <c r="D126" s="2" t="s">
        <v>2061</v>
      </c>
      <c r="E126" s="52">
        <f t="shared" si="3"/>
        <v>365.5</v>
      </c>
      <c r="F126" s="5" t="e" cm="1">
        <f t="array" aca="1" ref="F126" ca="1">SUMPRODUCT(SUMIF(INDIRECT("'"&amp;Assemblies[Assy]&amp;"'!"&amp;"C$5:C1000"),$C126,(INDIRECT("'"&amp;Assemblies[Assy]&amp;"'!"&amp;"O$5:O1000"))))</f>
        <v>#VALUE!</v>
      </c>
      <c r="G126" s="5">
        <v>2</v>
      </c>
      <c r="H126" s="5">
        <v>2</v>
      </c>
      <c r="I126" s="2" t="s">
        <v>1791</v>
      </c>
      <c r="J126" s="2" t="s">
        <v>1769</v>
      </c>
      <c r="K126" s="2" t="s">
        <v>1770</v>
      </c>
      <c r="L126" s="2" t="s">
        <v>1783</v>
      </c>
      <c r="M126" s="2" t="s">
        <v>1779</v>
      </c>
      <c r="N126" s="8">
        <v>45141</v>
      </c>
      <c r="O126" s="8">
        <v>45141</v>
      </c>
      <c r="P126" s="8">
        <v>45171</v>
      </c>
      <c r="Q126" s="128">
        <v>45171</v>
      </c>
      <c r="R126" s="201">
        <v>55029</v>
      </c>
      <c r="S126" s="153">
        <v>365.5</v>
      </c>
      <c r="T126" s="52">
        <v>0</v>
      </c>
      <c r="U126" s="52">
        <v>0</v>
      </c>
      <c r="V126" s="52">
        <v>0</v>
      </c>
      <c r="W126" s="2" t="str" cm="1">
        <f t="array" aca="1" ref="W126" ca="1">TRIM(SUBSTITUTE(_xlfn.ARRAYTOTEXT(IFERROR(CONCATENATE(SUMIF(INDIRECT("'"&amp;Assemblies[Assy]&amp;"'!"&amp;"C$5:C1000"), $C126, INDIRECT("'"&amp;Assemblies[Assy]&amp;"'!"&amp;"O$5:O1000")), "x",Assemblies[Assy],".",IF(SUMIF(INDIRECT("'"&amp;Assemblies[Assy]&amp;"'!"&amp;"C$5:C1000"), $C126, INDIRECT("'"&amp;Assemblies[Assy]&amp;"'!"&amp;"A$5:A1000"))=0,NA(),SUMIF(INDIRECT("'"&amp;Assemblies[Assy]&amp;"'!"&amp;"C$5:C1000"), $C126, INDIRECT("'"&amp;Assemblies[Assy]&amp;"'!"&amp;"A$5:A1000")))),"")), " ,", ""))</f>
        <v>,</v>
      </c>
      <c r="X126" s="2" t="s">
        <v>1987</v>
      </c>
      <c r="Y126" s="2" t="s">
        <v>1382</v>
      </c>
      <c r="Z126" s="2" t="s">
        <v>1382</v>
      </c>
      <c r="AA126" s="2" t="s">
        <v>1382</v>
      </c>
    </row>
    <row r="127" spans="1:27" ht="12.75">
      <c r="A127" s="115" t="s">
        <v>2062</v>
      </c>
      <c r="B127" s="115" t="s">
        <v>54</v>
      </c>
      <c r="C127" s="2" t="str">
        <f t="shared" si="2"/>
        <v>GF12.241.06.A</v>
      </c>
      <c r="D127" s="2" t="s">
        <v>2063</v>
      </c>
      <c r="E127" s="52">
        <f t="shared" si="3"/>
        <v>80.900000000000006</v>
      </c>
      <c r="F127" s="5" t="e" cm="1">
        <f t="array" aca="1" ref="F127" ca="1">SUMPRODUCT(SUMIF(INDIRECT("'"&amp;Assemblies[Assy]&amp;"'!"&amp;"C$5:C1000"),$C127,(INDIRECT("'"&amp;Assemblies[Assy]&amp;"'!"&amp;"O$5:O1000"))))</f>
        <v>#VALUE!</v>
      </c>
      <c r="G127" s="5">
        <v>2</v>
      </c>
      <c r="H127" s="5">
        <v>2</v>
      </c>
      <c r="I127" s="2" t="s">
        <v>1791</v>
      </c>
      <c r="J127" s="2" t="s">
        <v>1769</v>
      </c>
      <c r="K127" s="2" t="s">
        <v>1770</v>
      </c>
      <c r="L127" s="2" t="s">
        <v>1786</v>
      </c>
      <c r="M127" s="2" t="s">
        <v>1779</v>
      </c>
      <c r="N127" s="8">
        <v>45105</v>
      </c>
      <c r="O127" s="8">
        <v>45133</v>
      </c>
      <c r="P127" s="8">
        <v>45163</v>
      </c>
      <c r="Q127" s="128">
        <v>45163</v>
      </c>
      <c r="R127" s="222">
        <v>55015</v>
      </c>
      <c r="S127" s="153">
        <v>80.900000000000006</v>
      </c>
      <c r="T127" s="52">
        <v>0</v>
      </c>
      <c r="U127" s="52">
        <v>0</v>
      </c>
      <c r="V127" s="52">
        <v>0</v>
      </c>
      <c r="W127" s="2" t="str" cm="1">
        <f t="array" aca="1" ref="W127" ca="1">TRIM(SUBSTITUTE(_xlfn.ARRAYTOTEXT(IFERROR(CONCATENATE(SUMIF(INDIRECT("'"&amp;Assemblies[Assy]&amp;"'!"&amp;"C$5:C1000"), $C127, INDIRECT("'"&amp;Assemblies[Assy]&amp;"'!"&amp;"O$5:O1000")), "x",Assemblies[Assy],".",IF(SUMIF(INDIRECT("'"&amp;Assemblies[Assy]&amp;"'!"&amp;"C$5:C1000"), $C127, INDIRECT("'"&amp;Assemblies[Assy]&amp;"'!"&amp;"A$5:A1000"))=0,NA(),SUMIF(INDIRECT("'"&amp;Assemblies[Assy]&amp;"'!"&amp;"C$5:C1000"), $C127, INDIRECT("'"&amp;Assemblies[Assy]&amp;"'!"&amp;"A$5:A1000")))),"")), " ,", ""))</f>
        <v>,</v>
      </c>
      <c r="X127" s="2" t="s">
        <v>1987</v>
      </c>
      <c r="Y127" s="2" t="s">
        <v>1382</v>
      </c>
      <c r="Z127" s="2" t="s">
        <v>1382</v>
      </c>
      <c r="AA127" s="2" t="s">
        <v>1382</v>
      </c>
    </row>
    <row r="128" spans="1:27" ht="12.75">
      <c r="A128" s="115" t="s">
        <v>2064</v>
      </c>
      <c r="B128" s="115" t="s">
        <v>54</v>
      </c>
      <c r="C128" s="2" t="str">
        <f t="shared" si="2"/>
        <v>GF12.241.07.A</v>
      </c>
      <c r="D128" s="2" t="s">
        <v>2065</v>
      </c>
      <c r="E128" s="52">
        <f t="shared" si="3"/>
        <v>14.25</v>
      </c>
      <c r="F128" s="5" t="e" cm="1">
        <f t="array" aca="1" ref="F128" ca="1">SUMPRODUCT(SUMIF(INDIRECT("'"&amp;Assemblies[Assy]&amp;"'!"&amp;"C$5:C1000"),$C128,(INDIRECT("'"&amp;Assemblies[Assy]&amp;"'!"&amp;"O$5:O1000"))))</f>
        <v>#VALUE!</v>
      </c>
      <c r="G128" s="5">
        <v>2</v>
      </c>
      <c r="H128" s="5">
        <v>2</v>
      </c>
      <c r="I128" s="2" t="s">
        <v>1797</v>
      </c>
      <c r="J128" s="2" t="s">
        <v>1761</v>
      </c>
      <c r="K128" s="2" t="s">
        <v>1762</v>
      </c>
      <c r="L128" s="2" t="s">
        <v>1798</v>
      </c>
      <c r="M128" s="2" t="s">
        <v>1779</v>
      </c>
      <c r="N128" s="8" t="s">
        <v>1762</v>
      </c>
      <c r="O128" s="8" t="s">
        <v>1762</v>
      </c>
      <c r="P128" s="8" t="s">
        <v>1762</v>
      </c>
      <c r="Q128" s="8" t="s">
        <v>1762</v>
      </c>
      <c r="R128" s="201">
        <v>55018</v>
      </c>
      <c r="S128" s="153">
        <v>14.25</v>
      </c>
      <c r="T128" s="52">
        <v>0</v>
      </c>
      <c r="U128" s="52">
        <v>0</v>
      </c>
      <c r="V128" s="52">
        <v>0</v>
      </c>
      <c r="W128" s="2" t="str" cm="1">
        <f t="array" aca="1" ref="W128" ca="1">TRIM(SUBSTITUTE(_xlfn.ARRAYTOTEXT(IFERROR(CONCATENATE(SUMIF(INDIRECT("'"&amp;Assemblies[Assy]&amp;"'!"&amp;"C$5:C1000"), $C128, INDIRECT("'"&amp;Assemblies[Assy]&amp;"'!"&amp;"O$5:O1000")), "x",Assemblies[Assy],".",IF(SUMIF(INDIRECT("'"&amp;Assemblies[Assy]&amp;"'!"&amp;"C$5:C1000"), $C128, INDIRECT("'"&amp;Assemblies[Assy]&amp;"'!"&amp;"A$5:A1000"))=0,NA(),SUMIF(INDIRECT("'"&amp;Assemblies[Assy]&amp;"'!"&amp;"C$5:C1000"), $C128, INDIRECT("'"&amp;Assemblies[Assy]&amp;"'!"&amp;"A$5:A1000")))),"")), " ,", ""))</f>
        <v>,</v>
      </c>
      <c r="X128" s="2" t="s">
        <v>1987</v>
      </c>
      <c r="Y128" s="2" t="s">
        <v>1382</v>
      </c>
      <c r="Z128" s="2" t="s">
        <v>1382</v>
      </c>
      <c r="AA128" s="2" t="s">
        <v>1382</v>
      </c>
    </row>
    <row r="129" spans="1:27" ht="12.75">
      <c r="A129" s="115" t="s">
        <v>2066</v>
      </c>
      <c r="B129" s="115" t="s">
        <v>54</v>
      </c>
      <c r="C129" s="2" t="str">
        <f t="shared" si="2"/>
        <v>GF12.242.01.A</v>
      </c>
      <c r="D129" s="2" t="s">
        <v>2067</v>
      </c>
      <c r="E129" s="52">
        <f t="shared" si="3"/>
        <v>66.2</v>
      </c>
      <c r="F129" s="5" t="e" cm="1">
        <f t="array" aca="1" ref="F129" ca="1">SUMPRODUCT(SUMIF(INDIRECT("'"&amp;Assemblies[Assy]&amp;"'!"&amp;"C$5:C1000"),$C129,(INDIRECT("'"&amp;Assemblies[Assy]&amp;"'!"&amp;"O$5:O1000"))))</f>
        <v>#VALUE!</v>
      </c>
      <c r="G129" s="5">
        <v>2</v>
      </c>
      <c r="H129" s="5">
        <v>2</v>
      </c>
      <c r="I129" s="2" t="s">
        <v>1797</v>
      </c>
      <c r="J129" s="2" t="s">
        <v>1761</v>
      </c>
      <c r="K129" s="2" t="s">
        <v>1762</v>
      </c>
      <c r="L129" s="2" t="s">
        <v>1929</v>
      </c>
      <c r="M129" s="2" t="s">
        <v>1779</v>
      </c>
      <c r="N129" s="8" t="s">
        <v>1382</v>
      </c>
      <c r="O129" s="8">
        <v>45161</v>
      </c>
      <c r="P129" s="8">
        <v>45180</v>
      </c>
      <c r="Q129" s="128">
        <v>45180</v>
      </c>
      <c r="R129" s="201" t="s">
        <v>1930</v>
      </c>
      <c r="S129" s="153">
        <v>10.95</v>
      </c>
      <c r="T129" s="52">
        <v>0</v>
      </c>
      <c r="U129" s="52">
        <v>55.25</v>
      </c>
      <c r="V129" s="52">
        <v>0</v>
      </c>
      <c r="W129" s="2" t="str" cm="1">
        <f t="array" aca="1" ref="W129" ca="1">TRIM(SUBSTITUTE(_xlfn.ARRAYTOTEXT(IFERROR(CONCATENATE(SUMIF(INDIRECT("'"&amp;Assemblies[Assy]&amp;"'!"&amp;"C$5:C1000"), $C129, INDIRECT("'"&amp;Assemblies[Assy]&amp;"'!"&amp;"O$5:O1000")), "x",Assemblies[Assy],".",IF(SUMIF(INDIRECT("'"&amp;Assemblies[Assy]&amp;"'!"&amp;"C$5:C1000"), $C129, INDIRECT("'"&amp;Assemblies[Assy]&amp;"'!"&amp;"A$5:A1000"))=0,NA(),SUMIF(INDIRECT("'"&amp;Assemblies[Assy]&amp;"'!"&amp;"C$5:C1000"), $C129, INDIRECT("'"&amp;Assemblies[Assy]&amp;"'!"&amp;"A$5:A1000")))),"")), " ,", ""))</f>
        <v>,</v>
      </c>
      <c r="X129" s="2" t="s">
        <v>1987</v>
      </c>
      <c r="Y129" s="2" t="s">
        <v>1382</v>
      </c>
      <c r="Z129" s="2" t="s">
        <v>1382</v>
      </c>
      <c r="AA129" s="2" t="s">
        <v>1382</v>
      </c>
    </row>
    <row r="130" spans="1:27" ht="12.75">
      <c r="A130" s="115" t="s">
        <v>2068</v>
      </c>
      <c r="B130" s="115" t="s">
        <v>56</v>
      </c>
      <c r="C130" s="2" t="str">
        <f t="shared" ref="C130:C193" si="4">_xlfn.CONCAT(A130,".",B130)</f>
        <v>GF12.242.02.B</v>
      </c>
      <c r="D130" s="2" t="s">
        <v>2069</v>
      </c>
      <c r="E130" s="52">
        <f t="shared" ref="E130:E193" si="5">S130+T130+U130+(65*V130)</f>
        <v>188.95</v>
      </c>
      <c r="F130" s="5" t="e" cm="1">
        <f t="array" aca="1" ref="F130" ca="1">SUMPRODUCT(SUMIF(INDIRECT("'"&amp;Assemblies[Assy]&amp;"'!"&amp;"C$5:C1000"),$C130,(INDIRECT("'"&amp;Assemblies[Assy]&amp;"'!"&amp;"O$5:O1000"))))</f>
        <v>#VALUE!</v>
      </c>
      <c r="G130" s="5">
        <v>1</v>
      </c>
      <c r="H130" s="5">
        <v>1</v>
      </c>
      <c r="I130" s="2" t="s">
        <v>1791</v>
      </c>
      <c r="J130" s="2" t="s">
        <v>1769</v>
      </c>
      <c r="K130" s="2" t="s">
        <v>1770</v>
      </c>
      <c r="L130" s="2" t="s">
        <v>1786</v>
      </c>
      <c r="M130" s="2" t="s">
        <v>1779</v>
      </c>
      <c r="N130" s="8">
        <v>45105</v>
      </c>
      <c r="O130" s="8">
        <v>45133</v>
      </c>
      <c r="P130" s="8">
        <v>45163</v>
      </c>
      <c r="Q130" s="128">
        <v>45163</v>
      </c>
      <c r="R130" s="222">
        <v>55015</v>
      </c>
      <c r="S130" s="153">
        <v>188.95</v>
      </c>
      <c r="T130" s="52">
        <v>0</v>
      </c>
      <c r="U130" s="52">
        <v>0</v>
      </c>
      <c r="V130" s="52">
        <v>0</v>
      </c>
      <c r="W130" s="2" t="str" cm="1">
        <f t="array" aca="1" ref="W130" ca="1">TRIM(SUBSTITUTE(_xlfn.ARRAYTOTEXT(IFERROR(CONCATENATE(SUMIF(INDIRECT("'"&amp;Assemblies[Assy]&amp;"'!"&amp;"C$5:C1000"), $C130, INDIRECT("'"&amp;Assemblies[Assy]&amp;"'!"&amp;"O$5:O1000")), "x",Assemblies[Assy],".",IF(SUMIF(INDIRECT("'"&amp;Assemblies[Assy]&amp;"'!"&amp;"C$5:C1000"), $C130, INDIRECT("'"&amp;Assemblies[Assy]&amp;"'!"&amp;"A$5:A1000"))=0,NA(),SUMIF(INDIRECT("'"&amp;Assemblies[Assy]&amp;"'!"&amp;"C$5:C1000"), $C130, INDIRECT("'"&amp;Assemblies[Assy]&amp;"'!"&amp;"A$5:A1000")))),"")), " ,", ""))</f>
        <v>,</v>
      </c>
      <c r="X130" s="2" t="s">
        <v>1987</v>
      </c>
      <c r="Y130" s="2" t="s">
        <v>1382</v>
      </c>
      <c r="Z130" s="2" t="s">
        <v>1382</v>
      </c>
      <c r="AA130" s="2" t="s">
        <v>1382</v>
      </c>
    </row>
    <row r="131" spans="1:27" ht="12.75">
      <c r="A131" s="115" t="s">
        <v>2070</v>
      </c>
      <c r="B131" s="115" t="s">
        <v>54</v>
      </c>
      <c r="C131" s="2" t="str">
        <f t="shared" si="4"/>
        <v>GF12.243.01.A</v>
      </c>
      <c r="D131" s="2" t="s">
        <v>2071</v>
      </c>
      <c r="E131" s="52">
        <f t="shared" si="5"/>
        <v>150.5</v>
      </c>
      <c r="F131" s="5" t="e" cm="1">
        <f t="array" aca="1" ref="F131" ca="1">SUMPRODUCT(SUMIF(INDIRECT("'"&amp;Assemblies[Assy]&amp;"'!"&amp;"C$5:C1000"),$C131,(INDIRECT("'"&amp;Assemblies[Assy]&amp;"'!"&amp;"O$5:O1000"))))</f>
        <v>#VALUE!</v>
      </c>
      <c r="G131" s="5">
        <v>2</v>
      </c>
      <c r="H131" s="5">
        <v>2</v>
      </c>
      <c r="I131" s="2" t="s">
        <v>1791</v>
      </c>
      <c r="J131" s="2" t="s">
        <v>1769</v>
      </c>
      <c r="K131" s="2" t="s">
        <v>1770</v>
      </c>
      <c r="L131" s="2" t="s">
        <v>1786</v>
      </c>
      <c r="M131" s="2" t="s">
        <v>1779</v>
      </c>
      <c r="N131" s="8">
        <v>45105</v>
      </c>
      <c r="O131" s="8">
        <v>45133</v>
      </c>
      <c r="P131" s="8">
        <v>45163</v>
      </c>
      <c r="Q131" s="128">
        <v>45163</v>
      </c>
      <c r="R131" s="222">
        <v>55015</v>
      </c>
      <c r="S131" s="153">
        <v>150.5</v>
      </c>
      <c r="T131" s="52">
        <v>0</v>
      </c>
      <c r="U131" s="52">
        <v>0</v>
      </c>
      <c r="V131" s="52">
        <v>0</v>
      </c>
      <c r="W131" s="2" t="str" cm="1">
        <f t="array" aca="1" ref="W131" ca="1">TRIM(SUBSTITUTE(_xlfn.ARRAYTOTEXT(IFERROR(CONCATENATE(SUMIF(INDIRECT("'"&amp;Assemblies[Assy]&amp;"'!"&amp;"C$5:C1000"), $C131, INDIRECT("'"&amp;Assemblies[Assy]&amp;"'!"&amp;"O$5:O1000")), "x",Assemblies[Assy],".",IF(SUMIF(INDIRECT("'"&amp;Assemblies[Assy]&amp;"'!"&amp;"C$5:C1000"), $C131, INDIRECT("'"&amp;Assemblies[Assy]&amp;"'!"&amp;"A$5:A1000"))=0,NA(),SUMIF(INDIRECT("'"&amp;Assemblies[Assy]&amp;"'!"&amp;"C$5:C1000"), $C131, INDIRECT("'"&amp;Assemblies[Assy]&amp;"'!"&amp;"A$5:A1000")))),"")), " ,", ""))</f>
        <v>,</v>
      </c>
      <c r="X131" s="2" t="s">
        <v>1987</v>
      </c>
      <c r="Y131" s="2" t="s">
        <v>1382</v>
      </c>
      <c r="Z131" s="2" t="s">
        <v>1382</v>
      </c>
      <c r="AA131" s="2" t="s">
        <v>1382</v>
      </c>
    </row>
    <row r="132" spans="1:27" ht="12.75">
      <c r="A132" s="115" t="s">
        <v>2072</v>
      </c>
      <c r="B132" s="115" t="s">
        <v>54</v>
      </c>
      <c r="C132" s="2" t="str">
        <f t="shared" si="4"/>
        <v>GF12.243.02.A</v>
      </c>
      <c r="D132" s="2" t="s">
        <v>2073</v>
      </c>
      <c r="E132" s="52">
        <f t="shared" si="5"/>
        <v>269.60000000000002</v>
      </c>
      <c r="F132" s="5" t="e" cm="1">
        <f t="array" aca="1" ref="F132" ca="1">SUMPRODUCT(SUMIF(INDIRECT("'"&amp;Assemblies[Assy]&amp;"'!"&amp;"C$5:C1000"),$C132,(INDIRECT("'"&amp;Assemblies[Assy]&amp;"'!"&amp;"O$5:O1000"))))</f>
        <v>#VALUE!</v>
      </c>
      <c r="G132" s="5">
        <v>2</v>
      </c>
      <c r="H132" s="5">
        <v>2</v>
      </c>
      <c r="I132" s="2" t="s">
        <v>1791</v>
      </c>
      <c r="J132" s="2" t="s">
        <v>1769</v>
      </c>
      <c r="K132" s="2" t="s">
        <v>1770</v>
      </c>
      <c r="L132" s="2" t="s">
        <v>1786</v>
      </c>
      <c r="M132" s="2" t="s">
        <v>1779</v>
      </c>
      <c r="N132" s="8">
        <v>45105</v>
      </c>
      <c r="O132" s="8">
        <v>45133</v>
      </c>
      <c r="P132" s="8">
        <v>45163</v>
      </c>
      <c r="Q132" s="128">
        <v>45163</v>
      </c>
      <c r="R132" s="222">
        <v>55015</v>
      </c>
      <c r="S132" s="153">
        <v>269.60000000000002</v>
      </c>
      <c r="T132" s="52">
        <v>0</v>
      </c>
      <c r="U132" s="52">
        <v>0</v>
      </c>
      <c r="V132" s="52">
        <v>0</v>
      </c>
      <c r="W132" s="2" t="str" cm="1">
        <f t="array" aca="1" ref="W132" ca="1">TRIM(SUBSTITUTE(_xlfn.ARRAYTOTEXT(IFERROR(CONCATENATE(SUMIF(INDIRECT("'"&amp;Assemblies[Assy]&amp;"'!"&amp;"C$5:C1000"), $C132, INDIRECT("'"&amp;Assemblies[Assy]&amp;"'!"&amp;"O$5:O1000")), "x",Assemblies[Assy],".",IF(SUMIF(INDIRECT("'"&amp;Assemblies[Assy]&amp;"'!"&amp;"C$5:C1000"), $C132, INDIRECT("'"&amp;Assemblies[Assy]&amp;"'!"&amp;"A$5:A1000"))=0,NA(),SUMIF(INDIRECT("'"&amp;Assemblies[Assy]&amp;"'!"&amp;"C$5:C1000"), $C132, INDIRECT("'"&amp;Assemblies[Assy]&amp;"'!"&amp;"A$5:A1000")))),"")), " ,", ""))</f>
        <v>,</v>
      </c>
      <c r="X132" s="2" t="s">
        <v>1987</v>
      </c>
      <c r="Y132" s="2" t="s">
        <v>1382</v>
      </c>
      <c r="Z132" s="2" t="s">
        <v>1382</v>
      </c>
      <c r="AA132" s="2" t="s">
        <v>1382</v>
      </c>
    </row>
    <row r="133" spans="1:27">
      <c r="A133" s="115" t="s">
        <v>2074</v>
      </c>
      <c r="B133" s="115" t="s">
        <v>54</v>
      </c>
      <c r="C133" s="2" t="str">
        <f t="shared" si="4"/>
        <v>GF12.243.04.A</v>
      </c>
      <c r="D133" s="2" t="s">
        <v>2075</v>
      </c>
      <c r="E133" s="52">
        <f t="shared" si="5"/>
        <v>77.760000000000005</v>
      </c>
      <c r="F133" s="5" t="e" cm="1">
        <f t="array" aca="1" ref="F133" ca="1">SUMPRODUCT(SUMIF(INDIRECT("'"&amp;Assemblies[Assy]&amp;"'!"&amp;"C$5:C1000"),$C133,(INDIRECT("'"&amp;Assemblies[Assy]&amp;"'!"&amp;"O$5:O1000"))))</f>
        <v>#VALUE!</v>
      </c>
      <c r="G133" s="5">
        <v>4</v>
      </c>
      <c r="H133" s="5">
        <v>4</v>
      </c>
      <c r="I133" s="2" t="s">
        <v>1801</v>
      </c>
      <c r="J133" s="2" t="s">
        <v>1802</v>
      </c>
      <c r="K133" s="2" t="s">
        <v>1762</v>
      </c>
      <c r="L133" s="2" t="s">
        <v>1803</v>
      </c>
      <c r="M133" s="2" t="s">
        <v>1779</v>
      </c>
      <c r="N133" s="8" t="s">
        <v>1762</v>
      </c>
      <c r="O133" s="8">
        <v>45141</v>
      </c>
      <c r="P133" s="8">
        <v>45161</v>
      </c>
      <c r="Q133" s="144">
        <v>45161</v>
      </c>
      <c r="R133" s="223">
        <v>55030</v>
      </c>
      <c r="S133" s="153">
        <v>77.760000000000005</v>
      </c>
      <c r="T133" s="52">
        <v>0</v>
      </c>
      <c r="U133" s="52">
        <v>0</v>
      </c>
      <c r="V133" s="52">
        <v>0</v>
      </c>
      <c r="W133" s="2" t="str" cm="1">
        <f t="array" aca="1" ref="W133" ca="1">TRIM(SUBSTITUTE(_xlfn.ARRAYTOTEXT(IFERROR(CONCATENATE(SUMIF(INDIRECT("'"&amp;Assemblies[Assy]&amp;"'!"&amp;"C$5:C1000"), $C133, INDIRECT("'"&amp;Assemblies[Assy]&amp;"'!"&amp;"O$5:O1000")), "x",Assemblies[Assy],".",IF(SUMIF(INDIRECT("'"&amp;Assemblies[Assy]&amp;"'!"&amp;"C$5:C1000"), $C133, INDIRECT("'"&amp;Assemblies[Assy]&amp;"'!"&amp;"A$5:A1000"))=0,NA(),SUMIF(INDIRECT("'"&amp;Assemblies[Assy]&amp;"'!"&amp;"C$5:C1000"), $C133, INDIRECT("'"&amp;Assemblies[Assy]&amp;"'!"&amp;"A$5:A1000")))),"")), " ,", ""))</f>
        <v>,</v>
      </c>
      <c r="X133" s="2" t="s">
        <v>1987</v>
      </c>
      <c r="Y133" s="2" t="s">
        <v>1382</v>
      </c>
      <c r="Z133" s="187" t="s">
        <v>1804</v>
      </c>
      <c r="AA133" s="2" t="s">
        <v>1382</v>
      </c>
    </row>
    <row r="134" spans="1:27" ht="12.75">
      <c r="A134" s="115" t="s">
        <v>2076</v>
      </c>
      <c r="B134" s="115" t="s">
        <v>54</v>
      </c>
      <c r="C134" s="2" t="str">
        <f t="shared" si="4"/>
        <v>GF12.243.05.A</v>
      </c>
      <c r="D134" s="2" t="s">
        <v>2077</v>
      </c>
      <c r="E134" s="52">
        <f t="shared" si="5"/>
        <v>85.3</v>
      </c>
      <c r="F134" s="5" t="e" cm="1">
        <f t="array" aca="1" ref="F134" ca="1">SUMPRODUCT(SUMIF(INDIRECT("'"&amp;Assemblies[Assy]&amp;"'!"&amp;"C$5:C1000"),$C134,(INDIRECT("'"&amp;Assemblies[Assy]&amp;"'!"&amp;"O$5:O1000"))))</f>
        <v>#VALUE!</v>
      </c>
      <c r="G134" s="5">
        <v>2</v>
      </c>
      <c r="H134" s="5">
        <v>2</v>
      </c>
      <c r="I134" s="2" t="s">
        <v>1776</v>
      </c>
      <c r="J134" s="2" t="s">
        <v>1777</v>
      </c>
      <c r="K134" s="2" t="s">
        <v>1770</v>
      </c>
      <c r="L134" s="2" t="s">
        <v>1786</v>
      </c>
      <c r="M134" s="2" t="s">
        <v>1779</v>
      </c>
      <c r="N134" s="8">
        <v>45105</v>
      </c>
      <c r="O134" s="8">
        <v>45133</v>
      </c>
      <c r="P134" s="8">
        <v>45163</v>
      </c>
      <c r="Q134" s="128">
        <v>45163</v>
      </c>
      <c r="R134" s="223">
        <v>55015</v>
      </c>
      <c r="S134" s="153">
        <v>85.3</v>
      </c>
      <c r="T134" s="52">
        <v>0</v>
      </c>
      <c r="U134" s="52">
        <v>0</v>
      </c>
      <c r="V134" s="52">
        <v>0</v>
      </c>
      <c r="W134" s="2" t="str" cm="1">
        <f t="array" aca="1" ref="W134" ca="1">TRIM(SUBSTITUTE(_xlfn.ARRAYTOTEXT(IFERROR(CONCATENATE(SUMIF(INDIRECT("'"&amp;Assemblies[Assy]&amp;"'!"&amp;"C$5:C1000"), $C134, INDIRECT("'"&amp;Assemblies[Assy]&amp;"'!"&amp;"O$5:O1000")), "x",Assemblies[Assy],".",IF(SUMIF(INDIRECT("'"&amp;Assemblies[Assy]&amp;"'!"&amp;"C$5:C1000"), $C134, INDIRECT("'"&amp;Assemblies[Assy]&amp;"'!"&amp;"A$5:A1000"))=0,NA(),SUMIF(INDIRECT("'"&amp;Assemblies[Assy]&amp;"'!"&amp;"C$5:C1000"), $C134, INDIRECT("'"&amp;Assemblies[Assy]&amp;"'!"&amp;"A$5:A1000")))),"")), " ,", ""))</f>
        <v>,</v>
      </c>
      <c r="X134" s="2" t="s">
        <v>1987</v>
      </c>
      <c r="Y134" s="2" t="s">
        <v>1382</v>
      </c>
      <c r="Z134" s="2" t="s">
        <v>1382</v>
      </c>
      <c r="AA134" s="2" t="s">
        <v>1382</v>
      </c>
    </row>
    <row r="135" spans="1:27" ht="12.75">
      <c r="A135" s="115" t="s">
        <v>2078</v>
      </c>
      <c r="B135" s="115" t="s">
        <v>54</v>
      </c>
      <c r="C135" s="2" t="str">
        <f t="shared" si="4"/>
        <v>GF12.243.06.A</v>
      </c>
      <c r="D135" s="2" t="s">
        <v>2079</v>
      </c>
      <c r="E135" s="52">
        <f t="shared" si="5"/>
        <v>84.85</v>
      </c>
      <c r="F135" s="5" t="e" cm="1">
        <f t="array" aca="1" ref="F135" ca="1">SUMPRODUCT(SUMIF(INDIRECT("'"&amp;Assemblies[Assy]&amp;"'!"&amp;"C$5:C1000"),$C135,(INDIRECT("'"&amp;Assemblies[Assy]&amp;"'!"&amp;"O$5:O1000"))))</f>
        <v>#VALUE!</v>
      </c>
      <c r="G135" s="5">
        <v>4</v>
      </c>
      <c r="H135" s="5">
        <v>4</v>
      </c>
      <c r="I135" s="2" t="s">
        <v>1776</v>
      </c>
      <c r="J135" s="2" t="s">
        <v>1777</v>
      </c>
      <c r="K135" s="2" t="s">
        <v>1770</v>
      </c>
      <c r="L135" s="2" t="s">
        <v>1786</v>
      </c>
      <c r="M135" s="2" t="s">
        <v>1779</v>
      </c>
      <c r="N135" s="8">
        <v>45105</v>
      </c>
      <c r="O135" s="8">
        <v>45133</v>
      </c>
      <c r="P135" s="8">
        <v>45163</v>
      </c>
      <c r="Q135" s="128">
        <v>45163</v>
      </c>
      <c r="R135" s="223">
        <v>55015</v>
      </c>
      <c r="S135" s="153">
        <v>84.85</v>
      </c>
      <c r="T135" s="52">
        <v>0</v>
      </c>
      <c r="U135" s="52">
        <v>0</v>
      </c>
      <c r="V135" s="52">
        <v>0</v>
      </c>
      <c r="W135" s="2" t="str" cm="1">
        <f t="array" aca="1" ref="W135" ca="1">TRIM(SUBSTITUTE(_xlfn.ARRAYTOTEXT(IFERROR(CONCATENATE(SUMIF(INDIRECT("'"&amp;Assemblies[Assy]&amp;"'!"&amp;"C$5:C1000"), $C135, INDIRECT("'"&amp;Assemblies[Assy]&amp;"'!"&amp;"O$5:O1000")), "x",Assemblies[Assy],".",IF(SUMIF(INDIRECT("'"&amp;Assemblies[Assy]&amp;"'!"&amp;"C$5:C1000"), $C135, INDIRECT("'"&amp;Assemblies[Assy]&amp;"'!"&amp;"A$5:A1000"))=0,NA(),SUMIF(INDIRECT("'"&amp;Assemblies[Assy]&amp;"'!"&amp;"C$5:C1000"), $C135, INDIRECT("'"&amp;Assemblies[Assy]&amp;"'!"&amp;"A$5:A1000")))),"")), " ,", ""))</f>
        <v>,</v>
      </c>
      <c r="X135" s="2" t="s">
        <v>1987</v>
      </c>
      <c r="Y135" s="2" t="s">
        <v>1382</v>
      </c>
      <c r="Z135" s="2" t="s">
        <v>1382</v>
      </c>
      <c r="AA135" s="2" t="s">
        <v>1382</v>
      </c>
    </row>
    <row r="136" spans="1:27" ht="12.75">
      <c r="A136" s="115" t="s">
        <v>2080</v>
      </c>
      <c r="B136" s="115" t="s">
        <v>54</v>
      </c>
      <c r="C136" s="2" t="str">
        <f t="shared" si="4"/>
        <v>GF12.243.07.A</v>
      </c>
      <c r="D136" s="2" t="s">
        <v>2081</v>
      </c>
      <c r="E136" s="52">
        <f t="shared" si="5"/>
        <v>68.150000000000006</v>
      </c>
      <c r="F136" s="5" t="e" cm="1">
        <f t="array" aca="1" ref="F136" ca="1">SUMPRODUCT(SUMIF(INDIRECT("'"&amp;Assemblies[Assy]&amp;"'!"&amp;"C$5:C1000"),$C136,(INDIRECT("'"&amp;Assemblies[Assy]&amp;"'!"&amp;"O$5:O1000"))))</f>
        <v>#VALUE!</v>
      </c>
      <c r="G136" s="5">
        <v>2</v>
      </c>
      <c r="H136" s="5">
        <v>2</v>
      </c>
      <c r="I136" s="2" t="s">
        <v>1791</v>
      </c>
      <c r="J136" s="2" t="s">
        <v>1792</v>
      </c>
      <c r="K136" s="2" t="s">
        <v>1770</v>
      </c>
      <c r="L136" s="2" t="s">
        <v>1786</v>
      </c>
      <c r="M136" s="2" t="s">
        <v>1779</v>
      </c>
      <c r="N136" s="8">
        <v>45105</v>
      </c>
      <c r="O136" s="8">
        <v>45133</v>
      </c>
      <c r="P136" s="8">
        <v>45163</v>
      </c>
      <c r="Q136" s="128">
        <v>45163</v>
      </c>
      <c r="R136" s="223">
        <v>55015</v>
      </c>
      <c r="S136" s="153">
        <v>68.150000000000006</v>
      </c>
      <c r="T136" s="52">
        <v>0</v>
      </c>
      <c r="U136" s="52">
        <v>0</v>
      </c>
      <c r="V136" s="52">
        <v>0</v>
      </c>
      <c r="W136" s="2" t="str" cm="1">
        <f t="array" aca="1" ref="W136" ca="1">TRIM(SUBSTITUTE(_xlfn.ARRAYTOTEXT(IFERROR(CONCATENATE(SUMIF(INDIRECT("'"&amp;Assemblies[Assy]&amp;"'!"&amp;"C$5:C1000"), $C136, INDIRECT("'"&amp;Assemblies[Assy]&amp;"'!"&amp;"O$5:O1000")), "x",Assemblies[Assy],".",IF(SUMIF(INDIRECT("'"&amp;Assemblies[Assy]&amp;"'!"&amp;"C$5:C1000"), $C136, INDIRECT("'"&amp;Assemblies[Assy]&amp;"'!"&amp;"A$5:A1000"))=0,NA(),SUMIF(INDIRECT("'"&amp;Assemblies[Assy]&amp;"'!"&amp;"C$5:C1000"), $C136, INDIRECT("'"&amp;Assemblies[Assy]&amp;"'!"&amp;"A$5:A1000")))),"")), " ,", ""))</f>
        <v>,</v>
      </c>
      <c r="X136" s="2" t="s">
        <v>1987</v>
      </c>
      <c r="Y136" s="2" t="s">
        <v>1382</v>
      </c>
      <c r="Z136" s="2" t="s">
        <v>1382</v>
      </c>
      <c r="AA136" s="2" t="s">
        <v>1382</v>
      </c>
    </row>
    <row r="137" spans="1:27" ht="12.75">
      <c r="A137" s="115" t="s">
        <v>2082</v>
      </c>
      <c r="B137" s="115" t="s">
        <v>54</v>
      </c>
      <c r="C137" s="2" t="str">
        <f t="shared" si="4"/>
        <v>GF12.243.08.A</v>
      </c>
      <c r="D137" s="2" t="s">
        <v>2083</v>
      </c>
      <c r="E137" s="52">
        <f t="shared" si="5"/>
        <v>67</v>
      </c>
      <c r="F137" s="5" t="e" cm="1">
        <f t="array" aca="1" ref="F137" ca="1">SUMPRODUCT(SUMIF(INDIRECT("'"&amp;Assemblies[Assy]&amp;"'!"&amp;"C$5:C1000"),$C137,(INDIRECT("'"&amp;Assemblies[Assy]&amp;"'!"&amp;"O$5:O1000"))))</f>
        <v>#VALUE!</v>
      </c>
      <c r="G137" s="5">
        <v>4</v>
      </c>
      <c r="H137" s="5">
        <v>4</v>
      </c>
      <c r="I137" s="2" t="s">
        <v>1791</v>
      </c>
      <c r="J137" s="2" t="s">
        <v>1769</v>
      </c>
      <c r="K137" s="2" t="s">
        <v>1770</v>
      </c>
      <c r="L137" s="2" t="s">
        <v>1786</v>
      </c>
      <c r="M137" s="2" t="s">
        <v>1779</v>
      </c>
      <c r="N137" s="8">
        <v>45105</v>
      </c>
      <c r="O137" s="8">
        <v>45133</v>
      </c>
      <c r="P137" s="8">
        <v>45163</v>
      </c>
      <c r="Q137" s="128">
        <v>45163</v>
      </c>
      <c r="R137" s="223">
        <v>55015</v>
      </c>
      <c r="S137" s="153">
        <v>67</v>
      </c>
      <c r="T137" s="52">
        <v>0</v>
      </c>
      <c r="U137" s="52">
        <v>0</v>
      </c>
      <c r="V137" s="52">
        <v>0</v>
      </c>
      <c r="W137" s="2" t="str" cm="1">
        <f t="array" aca="1" ref="W137" ca="1">TRIM(SUBSTITUTE(_xlfn.ARRAYTOTEXT(IFERROR(CONCATENATE(SUMIF(INDIRECT("'"&amp;Assemblies[Assy]&amp;"'!"&amp;"C$5:C1000"), $C137, INDIRECT("'"&amp;Assemblies[Assy]&amp;"'!"&amp;"O$5:O1000")), "x",Assemblies[Assy],".",IF(SUMIF(INDIRECT("'"&amp;Assemblies[Assy]&amp;"'!"&amp;"C$5:C1000"), $C137, INDIRECT("'"&amp;Assemblies[Assy]&amp;"'!"&amp;"A$5:A1000"))=0,NA(),SUMIF(INDIRECT("'"&amp;Assemblies[Assy]&amp;"'!"&amp;"C$5:C1000"), $C137, INDIRECT("'"&amp;Assemblies[Assy]&amp;"'!"&amp;"A$5:A1000")))),"")), " ,", ""))</f>
        <v>,</v>
      </c>
      <c r="X137" s="2" t="s">
        <v>1987</v>
      </c>
      <c r="Y137" s="2" t="s">
        <v>1382</v>
      </c>
      <c r="Z137" s="2" t="s">
        <v>1382</v>
      </c>
      <c r="AA137" s="2" t="s">
        <v>1382</v>
      </c>
    </row>
    <row r="138" spans="1:27" ht="12.75">
      <c r="A138" s="115" t="s">
        <v>2084</v>
      </c>
      <c r="B138" s="115" t="s">
        <v>54</v>
      </c>
      <c r="C138" s="2" t="str">
        <f t="shared" si="4"/>
        <v>GF12.243.09.A</v>
      </c>
      <c r="D138" s="2" t="s">
        <v>2085</v>
      </c>
      <c r="E138" s="52">
        <f t="shared" si="5"/>
        <v>68.400000000000006</v>
      </c>
      <c r="F138" s="5" t="e" cm="1">
        <f t="array" aca="1" ref="F138" ca="1">SUMPRODUCT(SUMIF(INDIRECT("'"&amp;Assemblies[Assy]&amp;"'!"&amp;"C$5:C1000"),$C138,(INDIRECT("'"&amp;Assemblies[Assy]&amp;"'!"&amp;"O$5:O1000"))))</f>
        <v>#VALUE!</v>
      </c>
      <c r="G138" s="5">
        <v>2</v>
      </c>
      <c r="H138" s="5">
        <v>2</v>
      </c>
      <c r="I138" s="2" t="s">
        <v>1776</v>
      </c>
      <c r="J138" s="2" t="s">
        <v>1777</v>
      </c>
      <c r="K138" s="2" t="s">
        <v>1770</v>
      </c>
      <c r="L138" s="2" t="s">
        <v>1786</v>
      </c>
      <c r="M138" s="2" t="s">
        <v>1779</v>
      </c>
      <c r="N138" s="8">
        <v>45105</v>
      </c>
      <c r="O138" s="8">
        <v>45133</v>
      </c>
      <c r="P138" s="8">
        <v>45163</v>
      </c>
      <c r="Q138" s="128">
        <v>45163</v>
      </c>
      <c r="R138" s="223">
        <v>55015</v>
      </c>
      <c r="S138" s="153">
        <v>68.400000000000006</v>
      </c>
      <c r="T138" s="52">
        <v>0</v>
      </c>
      <c r="U138" s="52">
        <v>0</v>
      </c>
      <c r="V138" s="52">
        <v>0</v>
      </c>
      <c r="W138" s="2" t="str" cm="1">
        <f t="array" aca="1" ref="W138" ca="1">TRIM(SUBSTITUTE(_xlfn.ARRAYTOTEXT(IFERROR(CONCATENATE(SUMIF(INDIRECT("'"&amp;Assemblies[Assy]&amp;"'!"&amp;"C$5:C1000"), $C138, INDIRECT("'"&amp;Assemblies[Assy]&amp;"'!"&amp;"O$5:O1000")), "x",Assemblies[Assy],".",IF(SUMIF(INDIRECT("'"&amp;Assemblies[Assy]&amp;"'!"&amp;"C$5:C1000"), $C138, INDIRECT("'"&amp;Assemblies[Assy]&amp;"'!"&amp;"A$5:A1000"))=0,NA(),SUMIF(INDIRECT("'"&amp;Assemblies[Assy]&amp;"'!"&amp;"C$5:C1000"), $C138, INDIRECT("'"&amp;Assemblies[Assy]&amp;"'!"&amp;"A$5:A1000")))),"")), " ,", ""))</f>
        <v>,</v>
      </c>
      <c r="X138" s="2" t="s">
        <v>1987</v>
      </c>
      <c r="Y138" s="2" t="s">
        <v>1382</v>
      </c>
      <c r="Z138" s="2" t="s">
        <v>1382</v>
      </c>
      <c r="AA138" s="2" t="s">
        <v>1382</v>
      </c>
    </row>
    <row r="139" spans="1:27" ht="12.75">
      <c r="A139" s="115" t="s">
        <v>2086</v>
      </c>
      <c r="B139" s="115" t="s">
        <v>54</v>
      </c>
      <c r="C139" s="161" t="str">
        <f t="shared" si="4"/>
        <v>GF12.243.10.A</v>
      </c>
      <c r="D139" s="245" t="s">
        <v>2087</v>
      </c>
      <c r="E139" s="52">
        <f t="shared" si="5"/>
        <v>0.78500000000000003</v>
      </c>
      <c r="F139" s="5" t="e" cm="1">
        <f t="array" aca="1" ref="F139" ca="1">SUMPRODUCT(SUMIF(INDIRECT("'"&amp;Assemblies[Assy]&amp;"'!"&amp;"C$5:C1000"),$C139,(INDIRECT("'"&amp;Assemblies[Assy]&amp;"'!"&amp;"O$5:O1000"))))</f>
        <v>#VALUE!</v>
      </c>
      <c r="G139" s="5">
        <v>2</v>
      </c>
      <c r="H139" s="5">
        <v>2</v>
      </c>
      <c r="I139" s="2" t="s">
        <v>2088</v>
      </c>
      <c r="J139" s="2" t="s">
        <v>1761</v>
      </c>
      <c r="K139" s="2" t="s">
        <v>1762</v>
      </c>
      <c r="L139" s="2" t="s">
        <v>2089</v>
      </c>
      <c r="M139" s="2" t="s">
        <v>2090</v>
      </c>
      <c r="N139" s="8">
        <v>45160</v>
      </c>
      <c r="O139" s="8">
        <v>45160</v>
      </c>
      <c r="P139" s="8">
        <v>45161</v>
      </c>
      <c r="Q139" s="144">
        <v>45161</v>
      </c>
      <c r="R139" s="223">
        <v>55086</v>
      </c>
      <c r="S139" s="153">
        <v>0.78500000000000003</v>
      </c>
      <c r="T139" s="52">
        <v>0</v>
      </c>
      <c r="U139" s="52">
        <v>0</v>
      </c>
      <c r="V139" s="52">
        <v>0</v>
      </c>
      <c r="W139" s="2" t="str" cm="1">
        <f t="array" aca="1" ref="W139" ca="1">TRIM(SUBSTITUTE(_xlfn.ARRAYTOTEXT(IFERROR(CONCATENATE(SUMIF(INDIRECT("'"&amp;Assemblies[Assy]&amp;"'!"&amp;"C$5:C1000"), $C139, INDIRECT("'"&amp;Assemblies[Assy]&amp;"'!"&amp;"O$5:O1000")), "x",Assemblies[Assy],".",IF(SUMIF(INDIRECT("'"&amp;Assemblies[Assy]&amp;"'!"&amp;"C$5:C1000"), $C139, INDIRECT("'"&amp;Assemblies[Assy]&amp;"'!"&amp;"A$5:A1000"))=0,NA(),SUMIF(INDIRECT("'"&amp;Assemblies[Assy]&amp;"'!"&amp;"C$5:C1000"), $C139, INDIRECT("'"&amp;Assemblies[Assy]&amp;"'!"&amp;"A$5:A1000")))),"")), " ,", ""))</f>
        <v>,</v>
      </c>
      <c r="X139" s="2" t="s">
        <v>1987</v>
      </c>
      <c r="Y139" s="2" t="s">
        <v>1382</v>
      </c>
      <c r="Z139" s="2" t="s">
        <v>1382</v>
      </c>
      <c r="AA139" s="2" t="s">
        <v>1382</v>
      </c>
    </row>
    <row r="140" spans="1:27" ht="12.75">
      <c r="A140" s="115" t="s">
        <v>2091</v>
      </c>
      <c r="B140" s="115" t="s">
        <v>54</v>
      </c>
      <c r="C140" s="161" t="str">
        <f t="shared" si="4"/>
        <v>GF12.243.13.A</v>
      </c>
      <c r="D140" s="161" t="s">
        <v>2092</v>
      </c>
      <c r="E140" s="52">
        <f t="shared" si="5"/>
        <v>0</v>
      </c>
      <c r="F140" s="5" t="e" cm="1">
        <f t="array" aca="1" ref="F140" ca="1">SUMPRODUCT(SUMIF(INDIRECT("'"&amp;Assemblies[Assy]&amp;"'!"&amp;"C$5:C1000"),$C140,(INDIRECT("'"&amp;Assemblies[Assy]&amp;"'!"&amp;"O$5:O1000"))))</f>
        <v>#VALUE!</v>
      </c>
      <c r="G140" s="5">
        <v>2</v>
      </c>
      <c r="H140" s="5">
        <v>2</v>
      </c>
      <c r="I140" s="2" t="s">
        <v>2093</v>
      </c>
      <c r="J140" s="2" t="s">
        <v>1761</v>
      </c>
      <c r="K140" s="2" t="s">
        <v>1762</v>
      </c>
      <c r="L140" s="2" t="s">
        <v>1812</v>
      </c>
      <c r="M140" s="2" t="s">
        <v>1779</v>
      </c>
      <c r="N140" s="163" t="s">
        <v>1762</v>
      </c>
      <c r="O140" s="163" t="s">
        <v>1762</v>
      </c>
      <c r="P140" s="163" t="s">
        <v>1762</v>
      </c>
      <c r="Q140" s="163" t="s">
        <v>1762</v>
      </c>
      <c r="R140" s="222" t="s">
        <v>1762</v>
      </c>
      <c r="S140" s="153">
        <v>0</v>
      </c>
      <c r="T140" s="52">
        <v>0</v>
      </c>
      <c r="U140" s="52">
        <v>0</v>
      </c>
      <c r="V140" s="52">
        <v>0</v>
      </c>
      <c r="W140" s="2" t="str" cm="1">
        <f t="array" aca="1" ref="W140" ca="1">TRIM(SUBSTITUTE(_xlfn.ARRAYTOTEXT(IFERROR(CONCATENATE(SUMIF(INDIRECT("'"&amp;Assemblies[Assy]&amp;"'!"&amp;"C$5:C1000"), $C140, INDIRECT("'"&amp;Assemblies[Assy]&amp;"'!"&amp;"O$5:O1000")), "x",Assemblies[Assy],".",IF(SUMIF(INDIRECT("'"&amp;Assemblies[Assy]&amp;"'!"&amp;"C$5:C1000"), $C140, INDIRECT("'"&amp;Assemblies[Assy]&amp;"'!"&amp;"A$5:A1000"))=0,NA(),SUMIF(INDIRECT("'"&amp;Assemblies[Assy]&amp;"'!"&amp;"C$5:C1000"), $C140, INDIRECT("'"&amp;Assemblies[Assy]&amp;"'!"&amp;"A$5:A1000")))),"")), " ,", ""))</f>
        <v>,</v>
      </c>
      <c r="X140" s="2" t="s">
        <v>1987</v>
      </c>
      <c r="Y140" s="2" t="s">
        <v>1382</v>
      </c>
      <c r="Z140" s="2" t="s">
        <v>1382</v>
      </c>
      <c r="AA140" s="2" t="s">
        <v>1382</v>
      </c>
    </row>
    <row r="141" spans="1:27" ht="12.75">
      <c r="A141" s="115" t="s">
        <v>2094</v>
      </c>
      <c r="B141" s="115" t="s">
        <v>54</v>
      </c>
      <c r="C141" s="2" t="str">
        <f t="shared" si="4"/>
        <v>GF12.244.01.A</v>
      </c>
      <c r="D141" s="2" t="s">
        <v>2095</v>
      </c>
      <c r="E141" s="52">
        <f t="shared" si="5"/>
        <v>150.15</v>
      </c>
      <c r="F141" s="5" t="e" cm="1">
        <f t="array" aca="1" ref="F141" ca="1">SUMPRODUCT(SUMIF(INDIRECT("'"&amp;Assemblies[Assy]&amp;"'!"&amp;"C$5:C1000"),$C141,(INDIRECT("'"&amp;Assemblies[Assy]&amp;"'!"&amp;"O$5:O1000"))))</f>
        <v>#VALUE!</v>
      </c>
      <c r="G141" s="5">
        <v>2</v>
      </c>
      <c r="H141" s="5">
        <v>2</v>
      </c>
      <c r="I141" s="2" t="s">
        <v>1791</v>
      </c>
      <c r="J141" s="2" t="s">
        <v>1792</v>
      </c>
      <c r="K141" s="2" t="s">
        <v>1770</v>
      </c>
      <c r="L141" s="2" t="s">
        <v>1786</v>
      </c>
      <c r="M141" s="2" t="s">
        <v>1779</v>
      </c>
      <c r="N141" s="8">
        <v>45105</v>
      </c>
      <c r="O141" s="8">
        <v>45133</v>
      </c>
      <c r="P141" s="8">
        <v>45163</v>
      </c>
      <c r="Q141" s="128">
        <v>45163</v>
      </c>
      <c r="R141" s="223">
        <v>55015</v>
      </c>
      <c r="S141" s="153">
        <v>150.15</v>
      </c>
      <c r="T141" s="52">
        <v>0</v>
      </c>
      <c r="U141" s="52">
        <v>0</v>
      </c>
      <c r="V141" s="52">
        <v>0</v>
      </c>
      <c r="W141" s="2" t="str" cm="1">
        <f t="array" aca="1" ref="W141" ca="1">TRIM(SUBSTITUTE(_xlfn.ARRAYTOTEXT(IFERROR(CONCATENATE(SUMIF(INDIRECT("'"&amp;Assemblies[Assy]&amp;"'!"&amp;"C$5:C1000"), $C141, INDIRECT("'"&amp;Assemblies[Assy]&amp;"'!"&amp;"O$5:O1000")), "x",Assemblies[Assy],".",IF(SUMIF(INDIRECT("'"&amp;Assemblies[Assy]&amp;"'!"&amp;"C$5:C1000"), $C141, INDIRECT("'"&amp;Assemblies[Assy]&amp;"'!"&amp;"A$5:A1000"))=0,NA(),SUMIF(INDIRECT("'"&amp;Assemblies[Assy]&amp;"'!"&amp;"C$5:C1000"), $C141, INDIRECT("'"&amp;Assemblies[Assy]&amp;"'!"&amp;"A$5:A1000")))),"")), " ,", ""))</f>
        <v>,</v>
      </c>
      <c r="X141" s="2" t="s">
        <v>1987</v>
      </c>
      <c r="Y141" s="2" t="s">
        <v>1382</v>
      </c>
      <c r="Z141" s="2" t="s">
        <v>1382</v>
      </c>
      <c r="AA141" s="2" t="s">
        <v>1382</v>
      </c>
    </row>
    <row r="142" spans="1:27" ht="12.75">
      <c r="A142" s="115" t="s">
        <v>2096</v>
      </c>
      <c r="B142" s="115" t="s">
        <v>54</v>
      </c>
      <c r="C142" s="2" t="str">
        <f t="shared" si="4"/>
        <v>GF12.244.02.A</v>
      </c>
      <c r="D142" s="2" t="s">
        <v>2097</v>
      </c>
      <c r="E142" s="52">
        <f t="shared" si="5"/>
        <v>268.95</v>
      </c>
      <c r="F142" s="5" t="e" cm="1">
        <f t="array" aca="1" ref="F142" ca="1">SUMPRODUCT(SUMIF(INDIRECT("'"&amp;Assemblies[Assy]&amp;"'!"&amp;"C$5:C1000"),$C142,(INDIRECT("'"&amp;Assemblies[Assy]&amp;"'!"&amp;"O$5:O1000"))))</f>
        <v>#VALUE!</v>
      </c>
      <c r="G142" s="5">
        <v>2</v>
      </c>
      <c r="H142" s="5">
        <v>2</v>
      </c>
      <c r="I142" s="2" t="s">
        <v>1791</v>
      </c>
      <c r="J142" s="2" t="s">
        <v>1792</v>
      </c>
      <c r="K142" s="2" t="s">
        <v>1770</v>
      </c>
      <c r="L142" s="2" t="s">
        <v>1786</v>
      </c>
      <c r="M142" s="2" t="s">
        <v>1779</v>
      </c>
      <c r="N142" s="8">
        <v>45105</v>
      </c>
      <c r="O142" s="8">
        <v>45133</v>
      </c>
      <c r="P142" s="8">
        <v>45163</v>
      </c>
      <c r="Q142" s="128">
        <v>45163</v>
      </c>
      <c r="R142" s="223">
        <v>55015</v>
      </c>
      <c r="S142" s="153">
        <v>268.95</v>
      </c>
      <c r="T142" s="52">
        <v>0</v>
      </c>
      <c r="U142" s="52">
        <v>0</v>
      </c>
      <c r="V142" s="52">
        <v>0</v>
      </c>
      <c r="W142" s="2" t="str" cm="1">
        <f t="array" aca="1" ref="W142" ca="1">TRIM(SUBSTITUTE(_xlfn.ARRAYTOTEXT(IFERROR(CONCATENATE(SUMIF(INDIRECT("'"&amp;Assemblies[Assy]&amp;"'!"&amp;"C$5:C1000"), $C142, INDIRECT("'"&amp;Assemblies[Assy]&amp;"'!"&amp;"O$5:O1000")), "x",Assemblies[Assy],".",IF(SUMIF(INDIRECT("'"&amp;Assemblies[Assy]&amp;"'!"&amp;"C$5:C1000"), $C142, INDIRECT("'"&amp;Assemblies[Assy]&amp;"'!"&amp;"A$5:A1000"))=0,NA(),SUMIF(INDIRECT("'"&amp;Assemblies[Assy]&amp;"'!"&amp;"C$5:C1000"), $C142, INDIRECT("'"&amp;Assemblies[Assy]&amp;"'!"&amp;"A$5:A1000")))),"")), " ,", ""))</f>
        <v>,</v>
      </c>
      <c r="X142" s="2" t="s">
        <v>1987</v>
      </c>
      <c r="Y142" s="2" t="s">
        <v>1382</v>
      </c>
      <c r="Z142" s="2" t="s">
        <v>1382</v>
      </c>
      <c r="AA142" s="2" t="s">
        <v>1382</v>
      </c>
    </row>
    <row r="143" spans="1:27" ht="12.75">
      <c r="A143" s="115" t="s">
        <v>2098</v>
      </c>
      <c r="B143" s="115" t="s">
        <v>54</v>
      </c>
      <c r="C143" s="2" t="str">
        <f t="shared" si="4"/>
        <v>GF12.244.03.A</v>
      </c>
      <c r="D143" s="2" t="s">
        <v>2099</v>
      </c>
      <c r="E143" s="52">
        <f t="shared" si="5"/>
        <v>63.55</v>
      </c>
      <c r="F143" s="5" t="e" cm="1">
        <f t="array" aca="1" ref="F143" ca="1">SUMPRODUCT(SUMIF(INDIRECT("'"&amp;Assemblies[Assy]&amp;"'!"&amp;"C$5:C1000"),$C143,(INDIRECT("'"&amp;Assemblies[Assy]&amp;"'!"&amp;"O$5:O1000"))))</f>
        <v>#VALUE!</v>
      </c>
      <c r="G143" s="5">
        <v>2</v>
      </c>
      <c r="H143" s="5">
        <v>2</v>
      </c>
      <c r="I143" s="2" t="s">
        <v>1791</v>
      </c>
      <c r="J143" s="2" t="s">
        <v>1792</v>
      </c>
      <c r="K143" s="2" t="s">
        <v>1770</v>
      </c>
      <c r="L143" s="2" t="s">
        <v>1786</v>
      </c>
      <c r="M143" s="2" t="s">
        <v>1779</v>
      </c>
      <c r="N143" s="8">
        <v>45105</v>
      </c>
      <c r="O143" s="8">
        <v>45133</v>
      </c>
      <c r="P143" s="8">
        <v>45163</v>
      </c>
      <c r="Q143" s="128">
        <v>45163</v>
      </c>
      <c r="R143" s="223">
        <v>55015</v>
      </c>
      <c r="S143" s="153">
        <v>63.55</v>
      </c>
      <c r="T143" s="52">
        <v>0</v>
      </c>
      <c r="U143" s="52">
        <v>0</v>
      </c>
      <c r="V143" s="52">
        <v>0</v>
      </c>
      <c r="W143" s="2" t="str" cm="1">
        <f t="array" aca="1" ref="W143" ca="1">TRIM(SUBSTITUTE(_xlfn.ARRAYTOTEXT(IFERROR(CONCATENATE(SUMIF(INDIRECT("'"&amp;Assemblies[Assy]&amp;"'!"&amp;"C$5:C1000"), $C143, INDIRECT("'"&amp;Assemblies[Assy]&amp;"'!"&amp;"O$5:O1000")), "x",Assemblies[Assy],".",IF(SUMIF(INDIRECT("'"&amp;Assemblies[Assy]&amp;"'!"&amp;"C$5:C1000"), $C143, INDIRECT("'"&amp;Assemblies[Assy]&amp;"'!"&amp;"A$5:A1000"))=0,NA(),SUMIF(INDIRECT("'"&amp;Assemblies[Assy]&amp;"'!"&amp;"C$5:C1000"), $C143, INDIRECT("'"&amp;Assemblies[Assy]&amp;"'!"&amp;"A$5:A1000")))),"")), " ,", ""))</f>
        <v>,</v>
      </c>
      <c r="X143" s="2" t="s">
        <v>1987</v>
      </c>
      <c r="Y143" s="2" t="s">
        <v>1382</v>
      </c>
      <c r="Z143" s="2" t="s">
        <v>1382</v>
      </c>
      <c r="AA143" s="2" t="s">
        <v>1382</v>
      </c>
    </row>
    <row r="144" spans="1:27">
      <c r="A144" s="115" t="s">
        <v>2100</v>
      </c>
      <c r="B144" s="115" t="s">
        <v>54</v>
      </c>
      <c r="C144" s="2" t="str">
        <f t="shared" si="4"/>
        <v>GF12.244.04.A</v>
      </c>
      <c r="D144" s="2" t="s">
        <v>2101</v>
      </c>
      <c r="E144" s="52">
        <f t="shared" si="5"/>
        <v>78.97</v>
      </c>
      <c r="F144" s="5" t="e" cm="1">
        <f t="array" aca="1" ref="F144" ca="1">SUMPRODUCT(SUMIF(INDIRECT("'"&amp;Assemblies[Assy]&amp;"'!"&amp;"C$5:C1000"),$C144,(INDIRECT("'"&amp;Assemblies[Assy]&amp;"'!"&amp;"O$5:O1000"))))</f>
        <v>#VALUE!</v>
      </c>
      <c r="G144" s="5">
        <v>4</v>
      </c>
      <c r="H144" s="5">
        <v>4</v>
      </c>
      <c r="I144" s="2" t="s">
        <v>1801</v>
      </c>
      <c r="J144" s="2" t="s">
        <v>1802</v>
      </c>
      <c r="K144" s="2" t="s">
        <v>1762</v>
      </c>
      <c r="L144" s="2" t="s">
        <v>1803</v>
      </c>
      <c r="M144" s="2" t="s">
        <v>1779</v>
      </c>
      <c r="N144" s="8" t="s">
        <v>1762</v>
      </c>
      <c r="O144" s="8">
        <v>45141</v>
      </c>
      <c r="P144" s="8">
        <v>45161</v>
      </c>
      <c r="Q144" s="144">
        <v>45161</v>
      </c>
      <c r="R144" s="223">
        <v>55030</v>
      </c>
      <c r="S144" s="153">
        <v>78.97</v>
      </c>
      <c r="T144" s="52">
        <v>0</v>
      </c>
      <c r="U144" s="52">
        <v>0</v>
      </c>
      <c r="V144" s="52">
        <v>0</v>
      </c>
      <c r="W144" s="2" t="str" cm="1">
        <f t="array" aca="1" ref="W144" ca="1">TRIM(SUBSTITUTE(_xlfn.ARRAYTOTEXT(IFERROR(CONCATENATE(SUMIF(INDIRECT("'"&amp;Assemblies[Assy]&amp;"'!"&amp;"C$5:C1000"), $C144, INDIRECT("'"&amp;Assemblies[Assy]&amp;"'!"&amp;"O$5:O1000")), "x",Assemblies[Assy],".",IF(SUMIF(INDIRECT("'"&amp;Assemblies[Assy]&amp;"'!"&amp;"C$5:C1000"), $C144, INDIRECT("'"&amp;Assemblies[Assy]&amp;"'!"&amp;"A$5:A1000"))=0,NA(),SUMIF(INDIRECT("'"&amp;Assemblies[Assy]&amp;"'!"&amp;"C$5:C1000"), $C144, INDIRECT("'"&amp;Assemblies[Assy]&amp;"'!"&amp;"A$5:A1000")))),"")), " ,", ""))</f>
        <v>,</v>
      </c>
      <c r="X144" s="2" t="s">
        <v>1987</v>
      </c>
      <c r="Y144" s="2" t="s">
        <v>1382</v>
      </c>
      <c r="Z144" s="187" t="s">
        <v>1804</v>
      </c>
      <c r="AA144" s="2" t="s">
        <v>1382</v>
      </c>
    </row>
    <row r="145" spans="1:27" ht="12.75">
      <c r="A145" s="115" t="s">
        <v>2102</v>
      </c>
      <c r="B145" s="115" t="s">
        <v>54</v>
      </c>
      <c r="C145" s="2" t="str">
        <f t="shared" si="4"/>
        <v>GF12.245.01.A</v>
      </c>
      <c r="D145" s="2" t="s">
        <v>2103</v>
      </c>
      <c r="E145" s="52">
        <f t="shared" si="5"/>
        <v>76.349999999999994</v>
      </c>
      <c r="F145" s="5" t="e" cm="1">
        <f t="array" aca="1" ref="F145" ca="1">SUMPRODUCT(SUMIF(INDIRECT("'"&amp;Assemblies[Assy]&amp;"'!"&amp;"C$5:C1000"),$C145,(INDIRECT("'"&amp;Assemblies[Assy]&amp;"'!"&amp;"O$5:O1000"))))</f>
        <v>#VALUE!</v>
      </c>
      <c r="G145" s="5">
        <v>2</v>
      </c>
      <c r="H145" s="5">
        <v>2</v>
      </c>
      <c r="I145" s="2" t="s">
        <v>1791</v>
      </c>
      <c r="J145" s="2" t="s">
        <v>1769</v>
      </c>
      <c r="K145" s="2" t="s">
        <v>1770</v>
      </c>
      <c r="L145" s="2" t="s">
        <v>1786</v>
      </c>
      <c r="M145" s="2" t="s">
        <v>1779</v>
      </c>
      <c r="N145" s="8">
        <v>45105</v>
      </c>
      <c r="O145" s="8">
        <v>45133</v>
      </c>
      <c r="P145" s="8">
        <v>45163</v>
      </c>
      <c r="Q145" s="128">
        <v>45163</v>
      </c>
      <c r="R145" s="223">
        <v>55015</v>
      </c>
      <c r="S145" s="153">
        <v>76.349999999999994</v>
      </c>
      <c r="T145" s="52">
        <v>0</v>
      </c>
      <c r="U145" s="52">
        <v>0</v>
      </c>
      <c r="V145" s="52">
        <v>0</v>
      </c>
      <c r="W145" s="2" t="str" cm="1">
        <f t="array" aca="1" ref="W145" ca="1">TRIM(SUBSTITUTE(_xlfn.ARRAYTOTEXT(IFERROR(CONCATENATE(SUMIF(INDIRECT("'"&amp;Assemblies[Assy]&amp;"'!"&amp;"C$5:C1000"), $C145, INDIRECT("'"&amp;Assemblies[Assy]&amp;"'!"&amp;"O$5:O1000")), "x",Assemblies[Assy],".",IF(SUMIF(INDIRECT("'"&amp;Assemblies[Assy]&amp;"'!"&amp;"C$5:C1000"), $C145, INDIRECT("'"&amp;Assemblies[Assy]&amp;"'!"&amp;"A$5:A1000"))=0,NA(),SUMIF(INDIRECT("'"&amp;Assemblies[Assy]&amp;"'!"&amp;"C$5:C1000"), $C145, INDIRECT("'"&amp;Assemblies[Assy]&amp;"'!"&amp;"A$5:A1000")))),"")), " ,", ""))</f>
        <v>,</v>
      </c>
      <c r="X145" s="2" t="s">
        <v>1987</v>
      </c>
      <c r="Y145" s="2" t="s">
        <v>1382</v>
      </c>
      <c r="Z145" s="2" t="s">
        <v>1382</v>
      </c>
      <c r="AA145" s="2" t="s">
        <v>1382</v>
      </c>
    </row>
    <row r="146" spans="1:27" ht="12.75">
      <c r="A146" s="115" t="s">
        <v>2104</v>
      </c>
      <c r="B146" s="115" t="s">
        <v>54</v>
      </c>
      <c r="C146" s="2" t="str">
        <f t="shared" si="4"/>
        <v>GF12.245.02.A</v>
      </c>
      <c r="D146" s="2" t="s">
        <v>2105</v>
      </c>
      <c r="E146" s="52">
        <f t="shared" si="5"/>
        <v>65.349999999999994</v>
      </c>
      <c r="F146" s="5" t="e" cm="1">
        <f t="array" aca="1" ref="F146" ca="1">SUMPRODUCT(SUMIF(INDIRECT("'"&amp;Assemblies[Assy]&amp;"'!"&amp;"C$5:C1000"),$C146,(INDIRECT("'"&amp;Assemblies[Assy]&amp;"'!"&amp;"O$5:O1000"))))</f>
        <v>#VALUE!</v>
      </c>
      <c r="G146" s="5">
        <v>2</v>
      </c>
      <c r="H146" s="5">
        <v>2</v>
      </c>
      <c r="I146" s="2" t="s">
        <v>1791</v>
      </c>
      <c r="J146" s="2" t="s">
        <v>1769</v>
      </c>
      <c r="K146" s="2" t="s">
        <v>1770</v>
      </c>
      <c r="L146" s="2" t="s">
        <v>1786</v>
      </c>
      <c r="M146" s="2" t="s">
        <v>1779</v>
      </c>
      <c r="N146" s="8">
        <v>45105</v>
      </c>
      <c r="O146" s="8">
        <v>45133</v>
      </c>
      <c r="P146" s="8">
        <v>45163</v>
      </c>
      <c r="Q146" s="128">
        <v>45163</v>
      </c>
      <c r="R146" s="223">
        <v>55015</v>
      </c>
      <c r="S146" s="153">
        <v>65.349999999999994</v>
      </c>
      <c r="T146" s="52">
        <v>0</v>
      </c>
      <c r="U146" s="52">
        <v>0</v>
      </c>
      <c r="V146" s="52">
        <v>0</v>
      </c>
      <c r="W146" s="2" t="str" cm="1">
        <f t="array" aca="1" ref="W146" ca="1">TRIM(SUBSTITUTE(_xlfn.ARRAYTOTEXT(IFERROR(CONCATENATE(SUMIF(INDIRECT("'"&amp;Assemblies[Assy]&amp;"'!"&amp;"C$5:C1000"), $C146, INDIRECT("'"&amp;Assemblies[Assy]&amp;"'!"&amp;"O$5:O1000")), "x",Assemblies[Assy],".",IF(SUMIF(INDIRECT("'"&amp;Assemblies[Assy]&amp;"'!"&amp;"C$5:C1000"), $C146, INDIRECT("'"&amp;Assemblies[Assy]&amp;"'!"&amp;"A$5:A1000"))=0,NA(),SUMIF(INDIRECT("'"&amp;Assemblies[Assy]&amp;"'!"&amp;"C$5:C1000"), $C146, INDIRECT("'"&amp;Assemblies[Assy]&amp;"'!"&amp;"A$5:A1000")))),"")), " ,", ""))</f>
        <v>,</v>
      </c>
      <c r="X146" s="2" t="s">
        <v>1987</v>
      </c>
      <c r="Y146" s="2" t="s">
        <v>1382</v>
      </c>
      <c r="Z146" s="2" t="s">
        <v>1382</v>
      </c>
      <c r="AA146" s="2" t="s">
        <v>1382</v>
      </c>
    </row>
    <row r="147" spans="1:27" ht="12.75">
      <c r="A147" s="115" t="s">
        <v>2106</v>
      </c>
      <c r="B147" s="115" t="s">
        <v>54</v>
      </c>
      <c r="C147" s="2" t="str">
        <f t="shared" si="4"/>
        <v>GF12.245.03.A</v>
      </c>
      <c r="D147" s="2" t="s">
        <v>2107</v>
      </c>
      <c r="E147" s="52">
        <f t="shared" si="5"/>
        <v>100</v>
      </c>
      <c r="F147" s="5" t="e" cm="1">
        <f t="array" aca="1" ref="F147" ca="1">SUMPRODUCT(SUMIF(INDIRECT("'"&amp;Assemblies[Assy]&amp;"'!"&amp;"C$5:C1000"),$C147,(INDIRECT("'"&amp;Assemblies[Assy]&amp;"'!"&amp;"O$5:O1000"))))</f>
        <v>#VALUE!</v>
      </c>
      <c r="G147" s="5">
        <v>2</v>
      </c>
      <c r="H147" s="5">
        <v>2</v>
      </c>
      <c r="I147" s="2" t="s">
        <v>2108</v>
      </c>
      <c r="J147" s="2" t="s">
        <v>1761</v>
      </c>
      <c r="K147" s="2" t="s">
        <v>1770</v>
      </c>
      <c r="L147" s="2" t="s">
        <v>1778</v>
      </c>
      <c r="M147" s="2" t="s">
        <v>1779</v>
      </c>
      <c r="N147" s="8">
        <v>45142</v>
      </c>
      <c r="O147" s="8">
        <v>45146</v>
      </c>
      <c r="P147" s="8">
        <v>45176</v>
      </c>
      <c r="Q147" s="128">
        <v>45176</v>
      </c>
      <c r="R147" s="201">
        <v>55032</v>
      </c>
      <c r="S147" s="153">
        <v>100</v>
      </c>
      <c r="T147" s="52">
        <v>0</v>
      </c>
      <c r="U147" s="52">
        <v>0</v>
      </c>
      <c r="V147" s="52">
        <v>0</v>
      </c>
      <c r="W147" s="2" t="str" cm="1">
        <f t="array" aca="1" ref="W147" ca="1">TRIM(SUBSTITUTE(_xlfn.ARRAYTOTEXT(IFERROR(CONCATENATE(SUMIF(INDIRECT("'"&amp;Assemblies[Assy]&amp;"'!"&amp;"C$5:C1000"), $C147, INDIRECT("'"&amp;Assemblies[Assy]&amp;"'!"&amp;"O$5:O1000")), "x",Assemblies[Assy],".",IF(SUMIF(INDIRECT("'"&amp;Assemblies[Assy]&amp;"'!"&amp;"C$5:C1000"), $C147, INDIRECT("'"&amp;Assemblies[Assy]&amp;"'!"&amp;"A$5:A1000"))=0,NA(),SUMIF(INDIRECT("'"&amp;Assemblies[Assy]&amp;"'!"&amp;"C$5:C1000"), $C147, INDIRECT("'"&amp;Assemblies[Assy]&amp;"'!"&amp;"A$5:A1000")))),"")), " ,", ""))</f>
        <v>,</v>
      </c>
      <c r="X147" s="2" t="s">
        <v>1987</v>
      </c>
      <c r="Y147" s="2" t="s">
        <v>1382</v>
      </c>
      <c r="Z147" s="2" t="s">
        <v>1382</v>
      </c>
      <c r="AA147" s="2" t="s">
        <v>1382</v>
      </c>
    </row>
    <row r="148" spans="1:27" ht="12.75">
      <c r="A148" s="115" t="s">
        <v>2109</v>
      </c>
      <c r="B148" s="115" t="s">
        <v>56</v>
      </c>
      <c r="C148" s="2" t="str">
        <f t="shared" si="4"/>
        <v>GF12.250.01.B</v>
      </c>
      <c r="D148" s="2" t="s">
        <v>2110</v>
      </c>
      <c r="E148" s="52">
        <f t="shared" si="5"/>
        <v>702.9</v>
      </c>
      <c r="F148" s="5" t="e" cm="1">
        <f t="array" aca="1" ref="F148" ca="1">SUMPRODUCT(SUMIF(INDIRECT("'"&amp;Assemblies[Assy]&amp;"'!"&amp;"C$5:C1000"),$C148,(INDIRECT("'"&amp;Assemblies[Assy]&amp;"'!"&amp;"O$5:O1000"))))</f>
        <v>#VALUE!</v>
      </c>
      <c r="G148" s="5">
        <v>2</v>
      </c>
      <c r="H148" s="5">
        <v>2</v>
      </c>
      <c r="I148" s="2" t="s">
        <v>2111</v>
      </c>
      <c r="J148" s="2" t="s">
        <v>1769</v>
      </c>
      <c r="K148" s="2" t="s">
        <v>1770</v>
      </c>
      <c r="L148" s="2" t="s">
        <v>1783</v>
      </c>
      <c r="M148" s="2" t="s">
        <v>1779</v>
      </c>
      <c r="N148" s="8">
        <v>45142</v>
      </c>
      <c r="O148" s="8">
        <v>45146</v>
      </c>
      <c r="P148" s="8">
        <v>45170</v>
      </c>
      <c r="Q148" s="128">
        <v>45170</v>
      </c>
      <c r="R148" s="201">
        <v>55041</v>
      </c>
      <c r="S148" s="153">
        <v>702.9</v>
      </c>
      <c r="T148" s="52">
        <v>0</v>
      </c>
      <c r="U148" s="52">
        <v>0</v>
      </c>
      <c r="V148" s="52">
        <v>0</v>
      </c>
      <c r="W148" s="2" t="str" cm="1">
        <f t="array" aca="1" ref="W148" ca="1">TRIM(SUBSTITUTE(_xlfn.ARRAYTOTEXT(IFERROR(CONCATENATE(SUMIF(INDIRECT("'"&amp;Assemblies[Assy]&amp;"'!"&amp;"C$5:C1000"), $C148, INDIRECT("'"&amp;Assemblies[Assy]&amp;"'!"&amp;"O$5:O1000")), "x",Assemblies[Assy],".",IF(SUMIF(INDIRECT("'"&amp;Assemblies[Assy]&amp;"'!"&amp;"C$5:C1000"), $C148, INDIRECT("'"&amp;Assemblies[Assy]&amp;"'!"&amp;"A$5:A1000"))=0,NA(),SUMIF(INDIRECT("'"&amp;Assemblies[Assy]&amp;"'!"&amp;"C$5:C1000"), $C148, INDIRECT("'"&amp;Assemblies[Assy]&amp;"'!"&amp;"A$5:A1000")))),"")), " ,", ""))</f>
        <v>,</v>
      </c>
      <c r="X148" s="2" t="s">
        <v>1987</v>
      </c>
      <c r="Y148" s="2" t="s">
        <v>1382</v>
      </c>
      <c r="Z148" s="2" t="s">
        <v>1382</v>
      </c>
      <c r="AA148" s="2" t="s">
        <v>1382</v>
      </c>
    </row>
    <row r="149" spans="1:27" ht="12.75">
      <c r="A149" s="115" t="s">
        <v>2112</v>
      </c>
      <c r="B149" s="115" t="s">
        <v>54</v>
      </c>
      <c r="C149" s="2" t="str">
        <f t="shared" si="4"/>
        <v>GF12.250.03.A</v>
      </c>
      <c r="D149" s="2" t="s">
        <v>2113</v>
      </c>
      <c r="E149" s="52">
        <f t="shared" si="5"/>
        <v>152.80000000000001</v>
      </c>
      <c r="F149" s="5" t="e" cm="1">
        <f t="array" aca="1" ref="F149" ca="1">SUMPRODUCT(SUMIF(INDIRECT("'"&amp;Assemblies[Assy]&amp;"'!"&amp;"C$5:C1000"),$C149,(INDIRECT("'"&amp;Assemblies[Assy]&amp;"'!"&amp;"O$5:O1000"))))</f>
        <v>#VALUE!</v>
      </c>
      <c r="G149" s="5">
        <v>2</v>
      </c>
      <c r="H149" s="5">
        <v>2</v>
      </c>
      <c r="I149" s="2" t="s">
        <v>1776</v>
      </c>
      <c r="J149" s="2" t="s">
        <v>1777</v>
      </c>
      <c r="K149" s="2" t="s">
        <v>1770</v>
      </c>
      <c r="L149" s="2" t="s">
        <v>1786</v>
      </c>
      <c r="M149" s="2" t="s">
        <v>1779</v>
      </c>
      <c r="N149" s="8">
        <v>45105</v>
      </c>
      <c r="O149" s="8">
        <v>45133</v>
      </c>
      <c r="P149" s="8">
        <v>45163</v>
      </c>
      <c r="Q149" s="128">
        <v>45163</v>
      </c>
      <c r="R149" s="223">
        <v>55015</v>
      </c>
      <c r="S149" s="153">
        <v>152.80000000000001</v>
      </c>
      <c r="T149" s="52">
        <v>0</v>
      </c>
      <c r="U149" s="52">
        <v>0</v>
      </c>
      <c r="V149" s="52">
        <v>0</v>
      </c>
      <c r="W149" s="2" t="str" cm="1">
        <f t="array" aca="1" ref="W149" ca="1">TRIM(SUBSTITUTE(_xlfn.ARRAYTOTEXT(IFERROR(CONCATENATE(SUMIF(INDIRECT("'"&amp;Assemblies[Assy]&amp;"'!"&amp;"C$5:C1000"), $C149, INDIRECT("'"&amp;Assemblies[Assy]&amp;"'!"&amp;"O$5:O1000")), "x",Assemblies[Assy],".",IF(SUMIF(INDIRECT("'"&amp;Assemblies[Assy]&amp;"'!"&amp;"C$5:C1000"), $C149, INDIRECT("'"&amp;Assemblies[Assy]&amp;"'!"&amp;"A$5:A1000"))=0,NA(),SUMIF(INDIRECT("'"&amp;Assemblies[Assy]&amp;"'!"&amp;"C$5:C1000"), $C149, INDIRECT("'"&amp;Assemblies[Assy]&amp;"'!"&amp;"A$5:A1000")))),"")), " ,", ""))</f>
        <v>,</v>
      </c>
      <c r="X149" s="2" t="s">
        <v>1987</v>
      </c>
      <c r="Y149" s="2" t="s">
        <v>1382</v>
      </c>
      <c r="Z149" s="2" t="s">
        <v>1382</v>
      </c>
      <c r="AA149" s="2" t="s">
        <v>1382</v>
      </c>
    </row>
    <row r="150" spans="1:27" ht="12.75">
      <c r="A150" s="115" t="s">
        <v>2114</v>
      </c>
      <c r="B150" s="115" t="s">
        <v>54</v>
      </c>
      <c r="C150" s="2" t="str">
        <f t="shared" si="4"/>
        <v>GF12.250.04.A</v>
      </c>
      <c r="D150" s="2" t="s">
        <v>2115</v>
      </c>
      <c r="E150" s="52">
        <f t="shared" si="5"/>
        <v>102.92</v>
      </c>
      <c r="F150" s="5" t="e" cm="1">
        <f t="array" aca="1" ref="F150" ca="1">SUMPRODUCT(SUMIF(INDIRECT("'"&amp;Assemblies[Assy]&amp;"'!"&amp;"C$5:C1000"),$C150,(INDIRECT("'"&amp;Assemblies[Assy]&amp;"'!"&amp;"O$5:O1000"))))</f>
        <v>#VALUE!</v>
      </c>
      <c r="G150" s="5">
        <v>1</v>
      </c>
      <c r="H150" s="5">
        <v>1</v>
      </c>
      <c r="I150" s="2" t="s">
        <v>1791</v>
      </c>
      <c r="J150" s="2" t="s">
        <v>1769</v>
      </c>
      <c r="K150" s="2" t="s">
        <v>1770</v>
      </c>
      <c r="L150" s="2" t="s">
        <v>1786</v>
      </c>
      <c r="M150" s="2" t="s">
        <v>1779</v>
      </c>
      <c r="N150" s="8">
        <v>45105</v>
      </c>
      <c r="O150" s="8">
        <v>45133</v>
      </c>
      <c r="P150" s="8">
        <v>45163</v>
      </c>
      <c r="Q150" s="128">
        <v>45163</v>
      </c>
      <c r="R150" s="223">
        <v>55015</v>
      </c>
      <c r="S150" s="153">
        <v>102.92</v>
      </c>
      <c r="T150" s="52">
        <v>0</v>
      </c>
      <c r="U150" s="52">
        <v>0</v>
      </c>
      <c r="V150" s="52">
        <v>0</v>
      </c>
      <c r="W150" s="2" t="str" cm="1">
        <f t="array" aca="1" ref="W150" ca="1">TRIM(SUBSTITUTE(_xlfn.ARRAYTOTEXT(IFERROR(CONCATENATE(SUMIF(INDIRECT("'"&amp;Assemblies[Assy]&amp;"'!"&amp;"C$5:C1000"), $C150, INDIRECT("'"&amp;Assemblies[Assy]&amp;"'!"&amp;"O$5:O1000")), "x",Assemblies[Assy],".",IF(SUMIF(INDIRECT("'"&amp;Assemblies[Assy]&amp;"'!"&amp;"C$5:C1000"), $C150, INDIRECT("'"&amp;Assemblies[Assy]&amp;"'!"&amp;"A$5:A1000"))=0,NA(),SUMIF(INDIRECT("'"&amp;Assemblies[Assy]&amp;"'!"&amp;"C$5:C1000"), $C150, INDIRECT("'"&amp;Assemblies[Assy]&amp;"'!"&amp;"A$5:A1000")))),"")), " ,", ""))</f>
        <v>,</v>
      </c>
      <c r="X150" s="2" t="s">
        <v>1987</v>
      </c>
      <c r="Y150" s="2" t="s">
        <v>1382</v>
      </c>
      <c r="Z150" s="2" t="s">
        <v>1382</v>
      </c>
      <c r="AA150" s="2" t="s">
        <v>1382</v>
      </c>
    </row>
    <row r="151" spans="1:27" ht="12.75">
      <c r="A151" s="115" t="s">
        <v>2116</v>
      </c>
      <c r="B151" s="115" t="s">
        <v>54</v>
      </c>
      <c r="C151" s="2" t="str">
        <f t="shared" si="4"/>
        <v>GF12.250.05.A</v>
      </c>
      <c r="D151" s="2" t="s">
        <v>2117</v>
      </c>
      <c r="E151" s="52">
        <f t="shared" si="5"/>
        <v>102.9</v>
      </c>
      <c r="F151" s="5" t="e" cm="1">
        <f t="array" aca="1" ref="F151" ca="1">SUMPRODUCT(SUMIF(INDIRECT("'"&amp;Assemblies[Assy]&amp;"'!"&amp;"C$5:C1000"),$C151,(INDIRECT("'"&amp;Assemblies[Assy]&amp;"'!"&amp;"O$5:O1000"))))</f>
        <v>#VALUE!</v>
      </c>
      <c r="G151" s="5">
        <v>1</v>
      </c>
      <c r="H151" s="5">
        <v>1</v>
      </c>
      <c r="I151" s="2" t="s">
        <v>1791</v>
      </c>
      <c r="J151" s="2" t="s">
        <v>1769</v>
      </c>
      <c r="K151" s="2" t="s">
        <v>1770</v>
      </c>
      <c r="L151" s="2" t="s">
        <v>1786</v>
      </c>
      <c r="M151" s="2" t="s">
        <v>1779</v>
      </c>
      <c r="N151" s="8">
        <v>45105</v>
      </c>
      <c r="O151" s="8">
        <v>45133</v>
      </c>
      <c r="P151" s="8">
        <v>45163</v>
      </c>
      <c r="Q151" s="128">
        <v>45163</v>
      </c>
      <c r="R151" s="223">
        <v>55015</v>
      </c>
      <c r="S151" s="153">
        <v>102.9</v>
      </c>
      <c r="T151" s="52">
        <v>0</v>
      </c>
      <c r="U151" s="52">
        <v>0</v>
      </c>
      <c r="V151" s="52">
        <v>0</v>
      </c>
      <c r="W151" s="2" t="str" cm="1">
        <f t="array" aca="1" ref="W151" ca="1">TRIM(SUBSTITUTE(_xlfn.ARRAYTOTEXT(IFERROR(CONCATENATE(SUMIF(INDIRECT("'"&amp;Assemblies[Assy]&amp;"'!"&amp;"C$5:C1000"), $C151, INDIRECT("'"&amp;Assemblies[Assy]&amp;"'!"&amp;"O$5:O1000")), "x",Assemblies[Assy],".",IF(SUMIF(INDIRECT("'"&amp;Assemblies[Assy]&amp;"'!"&amp;"C$5:C1000"), $C151, INDIRECT("'"&amp;Assemblies[Assy]&amp;"'!"&amp;"A$5:A1000"))=0,NA(),SUMIF(INDIRECT("'"&amp;Assemblies[Assy]&amp;"'!"&amp;"C$5:C1000"), $C151, INDIRECT("'"&amp;Assemblies[Assy]&amp;"'!"&amp;"A$5:A1000")))),"")), " ,", ""))</f>
        <v>,</v>
      </c>
      <c r="X151" s="2" t="s">
        <v>1987</v>
      </c>
      <c r="Y151" s="2" t="s">
        <v>1382</v>
      </c>
      <c r="Z151" s="2" t="s">
        <v>1382</v>
      </c>
      <c r="AA151" s="2" t="s">
        <v>1382</v>
      </c>
    </row>
    <row r="152" spans="1:27" ht="12.75">
      <c r="A152" s="115" t="s">
        <v>2118</v>
      </c>
      <c r="B152" s="115" t="s">
        <v>54</v>
      </c>
      <c r="C152" s="2" t="str">
        <f t="shared" si="4"/>
        <v>GF12.250.06.A</v>
      </c>
      <c r="D152" s="2" t="s">
        <v>2119</v>
      </c>
      <c r="E152" s="52">
        <f t="shared" si="5"/>
        <v>107.8</v>
      </c>
      <c r="F152" s="5" t="e" cm="1">
        <f t="array" aca="1" ref="F152" ca="1">SUMPRODUCT(SUMIF(INDIRECT("'"&amp;Assemblies[Assy]&amp;"'!"&amp;"C$5:C1000"),$C152,(INDIRECT("'"&amp;Assemblies[Assy]&amp;"'!"&amp;"O$5:O1000"))))</f>
        <v>#VALUE!</v>
      </c>
      <c r="G152" s="5">
        <v>2</v>
      </c>
      <c r="H152" s="5">
        <v>2</v>
      </c>
      <c r="I152" s="2" t="s">
        <v>1791</v>
      </c>
      <c r="J152" s="2" t="s">
        <v>1769</v>
      </c>
      <c r="K152" s="2" t="s">
        <v>1770</v>
      </c>
      <c r="L152" s="2" t="s">
        <v>1786</v>
      </c>
      <c r="M152" s="2" t="s">
        <v>1779</v>
      </c>
      <c r="N152" s="8">
        <v>45105</v>
      </c>
      <c r="O152" s="8">
        <v>45133</v>
      </c>
      <c r="P152" s="8">
        <v>45163</v>
      </c>
      <c r="Q152" s="128">
        <v>45163</v>
      </c>
      <c r="R152" s="223">
        <v>55015</v>
      </c>
      <c r="S152" s="153">
        <v>107.8</v>
      </c>
      <c r="T152" s="52">
        <v>0</v>
      </c>
      <c r="U152" s="52">
        <v>0</v>
      </c>
      <c r="V152" s="52">
        <v>0</v>
      </c>
      <c r="W152" s="2" t="str" cm="1">
        <f t="array" aca="1" ref="W152" ca="1">TRIM(SUBSTITUTE(_xlfn.ARRAYTOTEXT(IFERROR(CONCATENATE(SUMIF(INDIRECT("'"&amp;Assemblies[Assy]&amp;"'!"&amp;"C$5:C1000"), $C152, INDIRECT("'"&amp;Assemblies[Assy]&amp;"'!"&amp;"O$5:O1000")), "x",Assemblies[Assy],".",IF(SUMIF(INDIRECT("'"&amp;Assemblies[Assy]&amp;"'!"&amp;"C$5:C1000"), $C152, INDIRECT("'"&amp;Assemblies[Assy]&amp;"'!"&amp;"A$5:A1000"))=0,NA(),SUMIF(INDIRECT("'"&amp;Assemblies[Assy]&amp;"'!"&amp;"C$5:C1000"), $C152, INDIRECT("'"&amp;Assemblies[Assy]&amp;"'!"&amp;"A$5:A1000")))),"")), " ,", ""))</f>
        <v>,</v>
      </c>
      <c r="X152" s="2" t="s">
        <v>1987</v>
      </c>
      <c r="Y152" s="2" t="s">
        <v>1382</v>
      </c>
      <c r="Z152" s="2" t="s">
        <v>1382</v>
      </c>
      <c r="AA152" s="2" t="s">
        <v>1382</v>
      </c>
    </row>
    <row r="153" spans="1:27" ht="12.75">
      <c r="A153" s="115" t="s">
        <v>2120</v>
      </c>
      <c r="B153" s="115" t="s">
        <v>54</v>
      </c>
      <c r="C153" s="2" t="str">
        <f t="shared" si="4"/>
        <v>GF12.250.07.A</v>
      </c>
      <c r="D153" s="2" t="s">
        <v>2121</v>
      </c>
      <c r="E153" s="52">
        <f t="shared" si="5"/>
        <v>85.9</v>
      </c>
      <c r="F153" s="5" t="e" cm="1">
        <f t="array" aca="1" ref="F153" ca="1">SUMPRODUCT(SUMIF(INDIRECT("'"&amp;Assemblies[Assy]&amp;"'!"&amp;"C$5:C1000"),$C153,(INDIRECT("'"&amp;Assemblies[Assy]&amp;"'!"&amp;"O$5:O1000"))))</f>
        <v>#VALUE!</v>
      </c>
      <c r="G153" s="5">
        <v>2</v>
      </c>
      <c r="H153" s="5">
        <v>2</v>
      </c>
      <c r="I153" s="2" t="s">
        <v>1791</v>
      </c>
      <c r="J153" s="2" t="s">
        <v>1769</v>
      </c>
      <c r="K153" s="2" t="s">
        <v>1770</v>
      </c>
      <c r="L153" s="2" t="s">
        <v>1786</v>
      </c>
      <c r="M153" s="2" t="s">
        <v>1779</v>
      </c>
      <c r="N153" s="8">
        <v>45105</v>
      </c>
      <c r="O153" s="8">
        <v>45133</v>
      </c>
      <c r="P153" s="8">
        <v>45163</v>
      </c>
      <c r="Q153" s="128">
        <v>45163</v>
      </c>
      <c r="R153" s="223">
        <v>55015</v>
      </c>
      <c r="S153" s="153">
        <v>85.9</v>
      </c>
      <c r="T153" s="52">
        <v>0</v>
      </c>
      <c r="U153" s="52">
        <v>0</v>
      </c>
      <c r="V153" s="52">
        <v>0</v>
      </c>
      <c r="W153" s="2" t="str" cm="1">
        <f t="array" aca="1" ref="W153" ca="1">TRIM(SUBSTITUTE(_xlfn.ARRAYTOTEXT(IFERROR(CONCATENATE(SUMIF(INDIRECT("'"&amp;Assemblies[Assy]&amp;"'!"&amp;"C$5:C1000"), $C153, INDIRECT("'"&amp;Assemblies[Assy]&amp;"'!"&amp;"O$5:O1000")), "x",Assemblies[Assy],".",IF(SUMIF(INDIRECT("'"&amp;Assemblies[Assy]&amp;"'!"&amp;"C$5:C1000"), $C153, INDIRECT("'"&amp;Assemblies[Assy]&amp;"'!"&amp;"A$5:A1000"))=0,NA(),SUMIF(INDIRECT("'"&amp;Assemblies[Assy]&amp;"'!"&amp;"C$5:C1000"), $C153, INDIRECT("'"&amp;Assemblies[Assy]&amp;"'!"&amp;"A$5:A1000")))),"")), " ,", ""))</f>
        <v>,</v>
      </c>
      <c r="X153" s="2" t="s">
        <v>1987</v>
      </c>
      <c r="Y153" s="2" t="s">
        <v>1382</v>
      </c>
      <c r="Z153" s="2" t="s">
        <v>1382</v>
      </c>
      <c r="AA153" s="2" t="s">
        <v>1382</v>
      </c>
    </row>
    <row r="154" spans="1:27" ht="12.75">
      <c r="A154" s="115" t="s">
        <v>2122</v>
      </c>
      <c r="B154" s="115" t="s">
        <v>54</v>
      </c>
      <c r="C154" s="2" t="str">
        <f t="shared" si="4"/>
        <v>GF12.250.08.A</v>
      </c>
      <c r="D154" s="2" t="s">
        <v>2123</v>
      </c>
      <c r="E154" s="52">
        <f t="shared" si="5"/>
        <v>48.52</v>
      </c>
      <c r="F154" s="5" t="e" cm="1">
        <f t="array" aca="1" ref="F154" ca="1">SUMPRODUCT(SUMIF(INDIRECT("'"&amp;Assemblies[Assy]&amp;"'!"&amp;"C$5:C1000"),$C154,(INDIRECT("'"&amp;Assemblies[Assy]&amp;"'!"&amp;"O$5:O1000"))))</f>
        <v>#VALUE!</v>
      </c>
      <c r="G154" s="5">
        <v>1</v>
      </c>
      <c r="H154" s="5">
        <v>1</v>
      </c>
      <c r="I154" s="2" t="s">
        <v>1797</v>
      </c>
      <c r="J154" s="2" t="s">
        <v>1761</v>
      </c>
      <c r="K154" s="2" t="s">
        <v>1762</v>
      </c>
      <c r="L154" s="2" t="s">
        <v>1798</v>
      </c>
      <c r="M154" s="2" t="s">
        <v>1779</v>
      </c>
      <c r="N154" s="8" t="s">
        <v>1762</v>
      </c>
      <c r="O154" s="8" t="s">
        <v>1762</v>
      </c>
      <c r="P154" s="8" t="s">
        <v>1762</v>
      </c>
      <c r="Q154" s="8" t="s">
        <v>1762</v>
      </c>
      <c r="R154" s="201">
        <v>55018</v>
      </c>
      <c r="S154" s="153">
        <v>48.52</v>
      </c>
      <c r="T154" s="52">
        <v>0</v>
      </c>
      <c r="U154" s="52">
        <v>0</v>
      </c>
      <c r="V154" s="52">
        <v>0</v>
      </c>
      <c r="W154" s="2" t="str" cm="1">
        <f t="array" aca="1" ref="W154" ca="1">TRIM(SUBSTITUTE(_xlfn.ARRAYTOTEXT(IFERROR(CONCATENATE(SUMIF(INDIRECT("'"&amp;Assemblies[Assy]&amp;"'!"&amp;"C$5:C1000"), $C154, INDIRECT("'"&amp;Assemblies[Assy]&amp;"'!"&amp;"O$5:O1000")), "x",Assemblies[Assy],".",IF(SUMIF(INDIRECT("'"&amp;Assemblies[Assy]&amp;"'!"&amp;"C$5:C1000"), $C154, INDIRECT("'"&amp;Assemblies[Assy]&amp;"'!"&amp;"A$5:A1000"))=0,NA(),SUMIF(INDIRECT("'"&amp;Assemblies[Assy]&amp;"'!"&amp;"C$5:C1000"), $C154, INDIRECT("'"&amp;Assemblies[Assy]&amp;"'!"&amp;"A$5:A1000")))),"")), " ,", ""))</f>
        <v>,</v>
      </c>
      <c r="X154" s="2" t="s">
        <v>1987</v>
      </c>
      <c r="Y154" s="2" t="s">
        <v>1382</v>
      </c>
      <c r="Z154" s="2" t="s">
        <v>1382</v>
      </c>
      <c r="AA154" s="2" t="s">
        <v>1382</v>
      </c>
    </row>
    <row r="155" spans="1:27" ht="12.75">
      <c r="A155" s="115" t="s">
        <v>2124</v>
      </c>
      <c r="B155" s="115" t="s">
        <v>54</v>
      </c>
      <c r="C155" s="2" t="str">
        <f t="shared" si="4"/>
        <v>GF12.250.09.A</v>
      </c>
      <c r="D155" s="2" t="s">
        <v>2125</v>
      </c>
      <c r="E155" s="52">
        <f t="shared" si="5"/>
        <v>99.6</v>
      </c>
      <c r="F155" s="5" t="e" cm="1">
        <f t="array" aca="1" ref="F155" ca="1">SUMPRODUCT(SUMIF(INDIRECT("'"&amp;Assemblies[Assy]&amp;"'!"&amp;"C$5:C1000"),$C155,(INDIRECT("'"&amp;Assemblies[Assy]&amp;"'!"&amp;"O$5:O1000"))))</f>
        <v>#VALUE!</v>
      </c>
      <c r="G155" s="5">
        <v>1</v>
      </c>
      <c r="H155" s="5">
        <v>1</v>
      </c>
      <c r="I155" s="2" t="s">
        <v>1791</v>
      </c>
      <c r="J155" s="2" t="s">
        <v>1769</v>
      </c>
      <c r="K155" s="2" t="s">
        <v>1770</v>
      </c>
      <c r="L155" s="2" t="s">
        <v>1786</v>
      </c>
      <c r="M155" s="2" t="s">
        <v>1779</v>
      </c>
      <c r="N155" s="8">
        <v>45105</v>
      </c>
      <c r="O155" s="8">
        <v>45133</v>
      </c>
      <c r="P155" s="8">
        <v>45163</v>
      </c>
      <c r="Q155" s="128">
        <v>45163</v>
      </c>
      <c r="R155" s="223">
        <v>55015</v>
      </c>
      <c r="S155" s="153">
        <v>99.6</v>
      </c>
      <c r="T155" s="52">
        <v>0</v>
      </c>
      <c r="U155" s="52">
        <v>0</v>
      </c>
      <c r="V155" s="52">
        <v>0</v>
      </c>
      <c r="W155" s="2" t="str" cm="1">
        <f t="array" aca="1" ref="W155" ca="1">TRIM(SUBSTITUTE(_xlfn.ARRAYTOTEXT(IFERROR(CONCATENATE(SUMIF(INDIRECT("'"&amp;Assemblies[Assy]&amp;"'!"&amp;"C$5:C1000"), $C155, INDIRECT("'"&amp;Assemblies[Assy]&amp;"'!"&amp;"O$5:O1000")), "x",Assemblies[Assy],".",IF(SUMIF(INDIRECT("'"&amp;Assemblies[Assy]&amp;"'!"&amp;"C$5:C1000"), $C155, INDIRECT("'"&amp;Assemblies[Assy]&amp;"'!"&amp;"A$5:A1000"))=0,NA(),SUMIF(INDIRECT("'"&amp;Assemblies[Assy]&amp;"'!"&amp;"C$5:C1000"), $C155, INDIRECT("'"&amp;Assemblies[Assy]&amp;"'!"&amp;"A$5:A1000")))),"")), " ,", ""))</f>
        <v>,</v>
      </c>
      <c r="X155" s="2" t="s">
        <v>1987</v>
      </c>
      <c r="Y155" s="2" t="s">
        <v>1382</v>
      </c>
      <c r="Z155" s="2" t="s">
        <v>1382</v>
      </c>
      <c r="AA155" s="2" t="s">
        <v>1382</v>
      </c>
    </row>
    <row r="156" spans="1:27" ht="12.75">
      <c r="A156" s="115" t="s">
        <v>2126</v>
      </c>
      <c r="B156" s="115" t="s">
        <v>54</v>
      </c>
      <c r="C156" s="2" t="str">
        <f t="shared" si="4"/>
        <v>GF12.250.10.A</v>
      </c>
      <c r="D156" s="2" t="s">
        <v>2127</v>
      </c>
      <c r="E156" s="52">
        <f t="shared" si="5"/>
        <v>99.6</v>
      </c>
      <c r="F156" s="5" t="e" cm="1">
        <f t="array" aca="1" ref="F156" ca="1">SUMPRODUCT(SUMIF(INDIRECT("'"&amp;Assemblies[Assy]&amp;"'!"&amp;"C$5:C1000"),$C156,(INDIRECT("'"&amp;Assemblies[Assy]&amp;"'!"&amp;"O$5:O1000"))))</f>
        <v>#VALUE!</v>
      </c>
      <c r="G156" s="5">
        <v>1</v>
      </c>
      <c r="H156" s="5">
        <v>1</v>
      </c>
      <c r="I156" s="2" t="s">
        <v>1791</v>
      </c>
      <c r="J156" s="2" t="s">
        <v>1769</v>
      </c>
      <c r="K156" s="2" t="s">
        <v>1770</v>
      </c>
      <c r="L156" s="2" t="s">
        <v>1786</v>
      </c>
      <c r="M156" s="2" t="s">
        <v>1779</v>
      </c>
      <c r="N156" s="8">
        <v>45105</v>
      </c>
      <c r="O156" s="8">
        <v>45133</v>
      </c>
      <c r="P156" s="8">
        <v>45163</v>
      </c>
      <c r="Q156" s="128">
        <v>45163</v>
      </c>
      <c r="R156" s="223">
        <v>55015</v>
      </c>
      <c r="S156" s="153">
        <v>99.6</v>
      </c>
      <c r="T156" s="52">
        <v>0</v>
      </c>
      <c r="U156" s="52">
        <v>0</v>
      </c>
      <c r="V156" s="52">
        <v>0</v>
      </c>
      <c r="W156" s="2" t="str" cm="1">
        <f t="array" aca="1" ref="W156" ca="1">TRIM(SUBSTITUTE(_xlfn.ARRAYTOTEXT(IFERROR(CONCATENATE(SUMIF(INDIRECT("'"&amp;Assemblies[Assy]&amp;"'!"&amp;"C$5:C1000"), $C156, INDIRECT("'"&amp;Assemblies[Assy]&amp;"'!"&amp;"O$5:O1000")), "x",Assemblies[Assy],".",IF(SUMIF(INDIRECT("'"&amp;Assemblies[Assy]&amp;"'!"&amp;"C$5:C1000"), $C156, INDIRECT("'"&amp;Assemblies[Assy]&amp;"'!"&amp;"A$5:A1000"))=0,NA(),SUMIF(INDIRECT("'"&amp;Assemblies[Assy]&amp;"'!"&amp;"C$5:C1000"), $C156, INDIRECT("'"&amp;Assemblies[Assy]&amp;"'!"&amp;"A$5:A1000")))),"")), " ,", ""))</f>
        <v>,</v>
      </c>
      <c r="X156" s="2" t="s">
        <v>1987</v>
      </c>
      <c r="Y156" s="2" t="s">
        <v>1382</v>
      </c>
      <c r="Z156" s="2" t="s">
        <v>1382</v>
      </c>
      <c r="AA156" s="2" t="s">
        <v>1382</v>
      </c>
    </row>
    <row r="157" spans="1:27" ht="12.75">
      <c r="A157" s="115" t="s">
        <v>2128</v>
      </c>
      <c r="B157" s="115" t="s">
        <v>54</v>
      </c>
      <c r="C157" s="2" t="str">
        <f t="shared" si="4"/>
        <v>GF12.251.01.A</v>
      </c>
      <c r="D157" s="2" t="s">
        <v>1997</v>
      </c>
      <c r="E157" s="52">
        <f t="shared" si="5"/>
        <v>98.8</v>
      </c>
      <c r="F157" s="5" t="e" cm="1">
        <f t="array" aca="1" ref="F157" ca="1">SUMPRODUCT(SUMIF(INDIRECT("'"&amp;Assemblies[Assy]&amp;"'!"&amp;"C$5:C1000"),$C157,(INDIRECT("'"&amp;Assemblies[Assy]&amp;"'!"&amp;"O$5:O1000"))))</f>
        <v>#VALUE!</v>
      </c>
      <c r="G157" s="5">
        <v>2</v>
      </c>
      <c r="H157" s="5">
        <v>2</v>
      </c>
      <c r="I157" s="2" t="s">
        <v>1791</v>
      </c>
      <c r="J157" s="2" t="s">
        <v>1769</v>
      </c>
      <c r="K157" s="2" t="s">
        <v>1770</v>
      </c>
      <c r="L157" s="2" t="s">
        <v>1786</v>
      </c>
      <c r="M157" s="2" t="s">
        <v>1779</v>
      </c>
      <c r="N157" s="8">
        <v>45105</v>
      </c>
      <c r="O157" s="8">
        <v>45133</v>
      </c>
      <c r="P157" s="8">
        <v>45163</v>
      </c>
      <c r="Q157" s="128">
        <v>45163</v>
      </c>
      <c r="R157" s="223">
        <v>55015</v>
      </c>
      <c r="S157" s="153">
        <v>98.8</v>
      </c>
      <c r="T157" s="52">
        <v>0</v>
      </c>
      <c r="U157" s="52">
        <v>0</v>
      </c>
      <c r="V157" s="52">
        <v>0</v>
      </c>
      <c r="W157" s="2" t="str" cm="1">
        <f t="array" aca="1" ref="W157" ca="1">TRIM(SUBSTITUTE(_xlfn.ARRAYTOTEXT(IFERROR(CONCATENATE(SUMIF(INDIRECT("'"&amp;Assemblies[Assy]&amp;"'!"&amp;"C$5:C1000"), $C157, INDIRECT("'"&amp;Assemblies[Assy]&amp;"'!"&amp;"O$5:O1000")), "x",Assemblies[Assy],".",IF(SUMIF(INDIRECT("'"&amp;Assemblies[Assy]&amp;"'!"&amp;"C$5:C1000"), $C157, INDIRECT("'"&amp;Assemblies[Assy]&amp;"'!"&amp;"A$5:A1000"))=0,NA(),SUMIF(INDIRECT("'"&amp;Assemblies[Assy]&amp;"'!"&amp;"C$5:C1000"), $C157, INDIRECT("'"&amp;Assemblies[Assy]&amp;"'!"&amp;"A$5:A1000")))),"")), " ,", ""))</f>
        <v>,</v>
      </c>
      <c r="X157" s="2" t="s">
        <v>1987</v>
      </c>
      <c r="Y157" s="2" t="s">
        <v>1382</v>
      </c>
      <c r="Z157" s="2" t="s">
        <v>1382</v>
      </c>
      <c r="AA157" s="2" t="s">
        <v>1382</v>
      </c>
    </row>
    <row r="158" spans="1:27" ht="12.75">
      <c r="A158" s="115" t="s">
        <v>2129</v>
      </c>
      <c r="B158" s="115" t="s">
        <v>54</v>
      </c>
      <c r="C158" s="2" t="str">
        <f t="shared" si="4"/>
        <v>GF12.251.02.A</v>
      </c>
      <c r="D158" s="2" t="s">
        <v>1999</v>
      </c>
      <c r="E158" s="52">
        <f t="shared" si="5"/>
        <v>62.95</v>
      </c>
      <c r="F158" s="5" t="e" cm="1">
        <f t="array" aca="1" ref="F158" ca="1">SUMPRODUCT(SUMIF(INDIRECT("'"&amp;Assemblies[Assy]&amp;"'!"&amp;"C$5:C1000"),$C158,(INDIRECT("'"&amp;Assemblies[Assy]&amp;"'!"&amp;"O$5:O1000"))))</f>
        <v>#VALUE!</v>
      </c>
      <c r="G158" s="5">
        <v>2</v>
      </c>
      <c r="H158" s="5">
        <v>2</v>
      </c>
      <c r="I158" s="2" t="s">
        <v>1791</v>
      </c>
      <c r="J158" s="2" t="s">
        <v>1769</v>
      </c>
      <c r="K158" s="2" t="s">
        <v>1770</v>
      </c>
      <c r="L158" s="2" t="s">
        <v>1786</v>
      </c>
      <c r="M158" s="2" t="s">
        <v>1779</v>
      </c>
      <c r="N158" s="8">
        <v>45105</v>
      </c>
      <c r="O158" s="8">
        <v>45133</v>
      </c>
      <c r="P158" s="8">
        <v>45163</v>
      </c>
      <c r="Q158" s="128">
        <v>45163</v>
      </c>
      <c r="R158" s="223">
        <v>55015</v>
      </c>
      <c r="S158" s="153">
        <v>62.95</v>
      </c>
      <c r="T158" s="52">
        <v>0</v>
      </c>
      <c r="U158" s="52">
        <v>0</v>
      </c>
      <c r="V158" s="52">
        <v>0</v>
      </c>
      <c r="W158" s="2" t="str" cm="1">
        <f t="array" aca="1" ref="W158" ca="1">TRIM(SUBSTITUTE(_xlfn.ARRAYTOTEXT(IFERROR(CONCATENATE(SUMIF(INDIRECT("'"&amp;Assemblies[Assy]&amp;"'!"&amp;"C$5:C1000"), $C158, INDIRECT("'"&amp;Assemblies[Assy]&amp;"'!"&amp;"O$5:O1000")), "x",Assemblies[Assy],".",IF(SUMIF(INDIRECT("'"&amp;Assemblies[Assy]&amp;"'!"&amp;"C$5:C1000"), $C158, INDIRECT("'"&amp;Assemblies[Assy]&amp;"'!"&amp;"A$5:A1000"))=0,NA(),SUMIF(INDIRECT("'"&amp;Assemblies[Assy]&amp;"'!"&amp;"C$5:C1000"), $C158, INDIRECT("'"&amp;Assemblies[Assy]&amp;"'!"&amp;"A$5:A1000")))),"")), " ,", ""))</f>
        <v>,</v>
      </c>
      <c r="X158" s="2" t="s">
        <v>1987</v>
      </c>
      <c r="Y158" s="2" t="s">
        <v>1382</v>
      </c>
      <c r="Z158" s="2" t="s">
        <v>1382</v>
      </c>
      <c r="AA158" s="2" t="s">
        <v>1382</v>
      </c>
    </row>
    <row r="159" spans="1:27" ht="12.75">
      <c r="A159" s="115" t="s">
        <v>2130</v>
      </c>
      <c r="B159" s="115" t="s">
        <v>54</v>
      </c>
      <c r="C159" s="2" t="str">
        <f t="shared" si="4"/>
        <v>GF12.251.03.A</v>
      </c>
      <c r="D159" s="2" t="s">
        <v>2131</v>
      </c>
      <c r="E159" s="52">
        <f t="shared" si="5"/>
        <v>85.05</v>
      </c>
      <c r="F159" s="5" t="e" cm="1">
        <f t="array" aca="1" ref="F159" ca="1">SUMPRODUCT(SUMIF(INDIRECT("'"&amp;Assemblies[Assy]&amp;"'!"&amp;"C$5:C1000"),$C159,(INDIRECT("'"&amp;Assemblies[Assy]&amp;"'!"&amp;"O$5:O1000"))))</f>
        <v>#VALUE!</v>
      </c>
      <c r="G159" s="5">
        <v>2</v>
      </c>
      <c r="H159" s="5">
        <v>2</v>
      </c>
      <c r="I159" s="2" t="s">
        <v>1797</v>
      </c>
      <c r="J159" s="2" t="s">
        <v>1761</v>
      </c>
      <c r="K159" s="2" t="s">
        <v>1762</v>
      </c>
      <c r="L159" s="2" t="s">
        <v>1798</v>
      </c>
      <c r="M159" s="2" t="s">
        <v>1779</v>
      </c>
      <c r="N159" s="8" t="s">
        <v>1762</v>
      </c>
      <c r="O159" s="8" t="s">
        <v>1762</v>
      </c>
      <c r="P159" s="8" t="s">
        <v>1762</v>
      </c>
      <c r="Q159" s="8" t="s">
        <v>1762</v>
      </c>
      <c r="R159" s="201">
        <v>55018</v>
      </c>
      <c r="S159" s="153">
        <v>85.05</v>
      </c>
      <c r="T159" s="52">
        <v>0</v>
      </c>
      <c r="U159" s="52">
        <v>0</v>
      </c>
      <c r="V159" s="52">
        <v>0</v>
      </c>
      <c r="W159" s="2" t="str" cm="1">
        <f t="array" aca="1" ref="W159" ca="1">TRIM(SUBSTITUTE(_xlfn.ARRAYTOTEXT(IFERROR(CONCATENATE(SUMIF(INDIRECT("'"&amp;Assemblies[Assy]&amp;"'!"&amp;"C$5:C1000"), $C159, INDIRECT("'"&amp;Assemblies[Assy]&amp;"'!"&amp;"O$5:O1000")), "x",Assemblies[Assy],".",IF(SUMIF(INDIRECT("'"&amp;Assemblies[Assy]&amp;"'!"&amp;"C$5:C1000"), $C159, INDIRECT("'"&amp;Assemblies[Assy]&amp;"'!"&amp;"A$5:A1000"))=0,NA(),SUMIF(INDIRECT("'"&amp;Assemblies[Assy]&amp;"'!"&amp;"C$5:C1000"), $C159, INDIRECT("'"&amp;Assemblies[Assy]&amp;"'!"&amp;"A$5:A1000")))),"")), " ,", ""))</f>
        <v>,</v>
      </c>
      <c r="X159" s="2" t="s">
        <v>1987</v>
      </c>
      <c r="Y159" s="2" t="s">
        <v>1382</v>
      </c>
      <c r="Z159" s="2" t="s">
        <v>1382</v>
      </c>
      <c r="AA159" s="2" t="s">
        <v>1382</v>
      </c>
    </row>
    <row r="160" spans="1:27" ht="12.75">
      <c r="A160" s="115" t="s">
        <v>2132</v>
      </c>
      <c r="B160" s="115" t="s">
        <v>54</v>
      </c>
      <c r="C160" s="2" t="str">
        <f t="shared" si="4"/>
        <v>GF12.252.01.A</v>
      </c>
      <c r="D160" s="2" t="s">
        <v>2133</v>
      </c>
      <c r="E160" s="52">
        <f t="shared" si="5"/>
        <v>169.25</v>
      </c>
      <c r="F160" s="5" t="e" cm="1">
        <f t="array" aca="1" ref="F160" ca="1">SUMPRODUCT(SUMIF(INDIRECT("'"&amp;Assemblies[Assy]&amp;"'!"&amp;"C$5:C1000"),$C160,(INDIRECT("'"&amp;Assemblies[Assy]&amp;"'!"&amp;"O$5:O1000"))))</f>
        <v>#VALUE!</v>
      </c>
      <c r="G160" s="5">
        <v>2</v>
      </c>
      <c r="H160" s="5">
        <v>2</v>
      </c>
      <c r="I160" s="2" t="s">
        <v>1791</v>
      </c>
      <c r="J160" s="2" t="s">
        <v>1769</v>
      </c>
      <c r="K160" s="2" t="s">
        <v>1770</v>
      </c>
      <c r="L160" s="2" t="s">
        <v>1786</v>
      </c>
      <c r="M160" s="2" t="s">
        <v>1779</v>
      </c>
      <c r="N160" s="8">
        <v>45105</v>
      </c>
      <c r="O160" s="8">
        <v>45133</v>
      </c>
      <c r="P160" s="8">
        <v>45163</v>
      </c>
      <c r="Q160" s="128">
        <v>45163</v>
      </c>
      <c r="R160" s="223">
        <v>55015</v>
      </c>
      <c r="S160" s="153">
        <v>169.25</v>
      </c>
      <c r="T160" s="52">
        <v>0</v>
      </c>
      <c r="U160" s="52">
        <v>0</v>
      </c>
      <c r="V160" s="52">
        <v>0</v>
      </c>
      <c r="W160" s="2" t="str" cm="1">
        <f t="array" aca="1" ref="W160" ca="1">TRIM(SUBSTITUTE(_xlfn.ARRAYTOTEXT(IFERROR(CONCATENATE(SUMIF(INDIRECT("'"&amp;Assemblies[Assy]&amp;"'!"&amp;"C$5:C1000"), $C160, INDIRECT("'"&amp;Assemblies[Assy]&amp;"'!"&amp;"O$5:O1000")), "x",Assemblies[Assy],".",IF(SUMIF(INDIRECT("'"&amp;Assemblies[Assy]&amp;"'!"&amp;"C$5:C1000"), $C160, INDIRECT("'"&amp;Assemblies[Assy]&amp;"'!"&amp;"A$5:A1000"))=0,NA(),SUMIF(INDIRECT("'"&amp;Assemblies[Assy]&amp;"'!"&amp;"C$5:C1000"), $C160, INDIRECT("'"&amp;Assemblies[Assy]&amp;"'!"&amp;"A$5:A1000")))),"")), " ,", ""))</f>
        <v>,</v>
      </c>
      <c r="X160" s="2" t="s">
        <v>1987</v>
      </c>
      <c r="Y160" s="2" t="s">
        <v>1382</v>
      </c>
      <c r="Z160" s="2" t="s">
        <v>1382</v>
      </c>
      <c r="AA160" s="2" t="s">
        <v>1382</v>
      </c>
    </row>
    <row r="161" spans="1:27" ht="12.75">
      <c r="A161" s="115" t="s">
        <v>2134</v>
      </c>
      <c r="B161" s="115" t="s">
        <v>54</v>
      </c>
      <c r="C161" s="2" t="str">
        <f t="shared" si="4"/>
        <v>GF12.252.02.A</v>
      </c>
      <c r="D161" s="2" t="s">
        <v>2135</v>
      </c>
      <c r="E161" s="52">
        <f t="shared" si="5"/>
        <v>54.6</v>
      </c>
      <c r="F161" s="5" t="e" cm="1">
        <f t="array" aca="1" ref="F161" ca="1">SUMPRODUCT(SUMIF(INDIRECT("'"&amp;Assemblies[Assy]&amp;"'!"&amp;"C$5:C1000"),$C161,(INDIRECT("'"&amp;Assemblies[Assy]&amp;"'!"&amp;"O$5:O1000"))))</f>
        <v>#VALUE!</v>
      </c>
      <c r="G161" s="5">
        <v>2</v>
      </c>
      <c r="H161" s="5">
        <v>2</v>
      </c>
      <c r="I161" s="2" t="s">
        <v>1776</v>
      </c>
      <c r="J161" s="2" t="s">
        <v>1777</v>
      </c>
      <c r="K161" s="2" t="s">
        <v>1770</v>
      </c>
      <c r="L161" s="2" t="s">
        <v>1786</v>
      </c>
      <c r="M161" s="2" t="s">
        <v>1779</v>
      </c>
      <c r="N161" s="8">
        <v>45105</v>
      </c>
      <c r="O161" s="8">
        <v>45133</v>
      </c>
      <c r="P161" s="8">
        <v>45163</v>
      </c>
      <c r="Q161" s="128">
        <v>45163</v>
      </c>
      <c r="R161" s="223">
        <v>55015</v>
      </c>
      <c r="S161" s="153">
        <v>54.6</v>
      </c>
      <c r="T161" s="52">
        <v>0</v>
      </c>
      <c r="U161" s="52">
        <v>0</v>
      </c>
      <c r="V161" s="52">
        <v>0</v>
      </c>
      <c r="W161" s="2" t="str" cm="1">
        <f t="array" aca="1" ref="W161" ca="1">TRIM(SUBSTITUTE(_xlfn.ARRAYTOTEXT(IFERROR(CONCATENATE(SUMIF(INDIRECT("'"&amp;Assemblies[Assy]&amp;"'!"&amp;"C$5:C1000"), $C161, INDIRECT("'"&amp;Assemblies[Assy]&amp;"'!"&amp;"O$5:O1000")), "x",Assemblies[Assy],".",IF(SUMIF(INDIRECT("'"&amp;Assemblies[Assy]&amp;"'!"&amp;"C$5:C1000"), $C161, INDIRECT("'"&amp;Assemblies[Assy]&amp;"'!"&amp;"A$5:A1000"))=0,NA(),SUMIF(INDIRECT("'"&amp;Assemblies[Assy]&amp;"'!"&amp;"C$5:C1000"), $C161, INDIRECT("'"&amp;Assemblies[Assy]&amp;"'!"&amp;"A$5:A1000")))),"")), " ,", ""))</f>
        <v>,</v>
      </c>
      <c r="X161" s="2" t="s">
        <v>1987</v>
      </c>
      <c r="Y161" s="2" t="s">
        <v>1382</v>
      </c>
      <c r="Z161" s="2" t="s">
        <v>1382</v>
      </c>
      <c r="AA161" s="2" t="s">
        <v>1382</v>
      </c>
    </row>
    <row r="162" spans="1:27" ht="12.75">
      <c r="A162" s="115" t="s">
        <v>2136</v>
      </c>
      <c r="B162" s="115" t="s">
        <v>54</v>
      </c>
      <c r="C162" s="2" t="str">
        <f t="shared" si="4"/>
        <v>GF12.252.03.A</v>
      </c>
      <c r="D162" s="2" t="s">
        <v>2131</v>
      </c>
      <c r="E162" s="52">
        <f t="shared" si="5"/>
        <v>85.05</v>
      </c>
      <c r="F162" s="5" t="e" cm="1">
        <f t="array" aca="1" ref="F162" ca="1">SUMPRODUCT(SUMIF(INDIRECT("'"&amp;Assemblies[Assy]&amp;"'!"&amp;"C$5:C1000"),$C162,(INDIRECT("'"&amp;Assemblies[Assy]&amp;"'!"&amp;"O$5:O1000"))))</f>
        <v>#VALUE!</v>
      </c>
      <c r="G162" s="5">
        <v>1</v>
      </c>
      <c r="H162" s="5">
        <v>1</v>
      </c>
      <c r="I162" s="2" t="s">
        <v>1797</v>
      </c>
      <c r="J162" s="2" t="s">
        <v>1761</v>
      </c>
      <c r="K162" s="2" t="s">
        <v>1762</v>
      </c>
      <c r="L162" s="2" t="s">
        <v>1798</v>
      </c>
      <c r="M162" s="2" t="s">
        <v>1779</v>
      </c>
      <c r="N162" s="8" t="s">
        <v>1762</v>
      </c>
      <c r="O162" s="8" t="s">
        <v>1762</v>
      </c>
      <c r="P162" s="8" t="s">
        <v>1762</v>
      </c>
      <c r="Q162" s="8" t="s">
        <v>1762</v>
      </c>
      <c r="R162" s="201">
        <v>55018</v>
      </c>
      <c r="S162" s="153">
        <v>85.05</v>
      </c>
      <c r="T162" s="52">
        <v>0</v>
      </c>
      <c r="U162" s="52">
        <v>0</v>
      </c>
      <c r="V162" s="52">
        <v>0</v>
      </c>
      <c r="W162" s="2" t="str" cm="1">
        <f t="array" aca="1" ref="W162" ca="1">TRIM(SUBSTITUTE(_xlfn.ARRAYTOTEXT(IFERROR(CONCATENATE(SUMIF(INDIRECT("'"&amp;Assemblies[Assy]&amp;"'!"&amp;"C$5:C1000"), $C162, INDIRECT("'"&amp;Assemblies[Assy]&amp;"'!"&amp;"O$5:O1000")), "x",Assemblies[Assy],".",IF(SUMIF(INDIRECT("'"&amp;Assemblies[Assy]&amp;"'!"&amp;"C$5:C1000"), $C162, INDIRECT("'"&amp;Assemblies[Assy]&amp;"'!"&amp;"A$5:A1000"))=0,NA(),SUMIF(INDIRECT("'"&amp;Assemblies[Assy]&amp;"'!"&amp;"C$5:C1000"), $C162, INDIRECT("'"&amp;Assemblies[Assy]&amp;"'!"&amp;"A$5:A1000")))),"")), " ,", ""))</f>
        <v>,</v>
      </c>
      <c r="X162" s="2" t="s">
        <v>1987</v>
      </c>
      <c r="Y162" s="2" t="s">
        <v>1382</v>
      </c>
      <c r="Z162" s="2" t="s">
        <v>1382</v>
      </c>
      <c r="AA162" s="2" t="s">
        <v>1382</v>
      </c>
    </row>
    <row r="163" spans="1:27" ht="12.75">
      <c r="A163" s="115" t="s">
        <v>2137</v>
      </c>
      <c r="B163" s="115" t="s">
        <v>56</v>
      </c>
      <c r="C163" s="2" t="str">
        <f t="shared" si="4"/>
        <v>GF12.253.01.B</v>
      </c>
      <c r="D163" s="2" t="s">
        <v>2138</v>
      </c>
      <c r="E163" s="52">
        <f t="shared" si="5"/>
        <v>9.4499999999999993</v>
      </c>
      <c r="F163" s="5" t="e" cm="1">
        <f t="array" aca="1" ref="F163" ca="1">SUMPRODUCT(SUMIF(INDIRECT("'"&amp;Assemblies[Assy]&amp;"'!"&amp;"C$5:C1000"),$C163,(INDIRECT("'"&amp;Assemblies[Assy]&amp;"'!"&amp;"O$5:O1000"))))</f>
        <v>#VALUE!</v>
      </c>
      <c r="G163" s="5">
        <v>1</v>
      </c>
      <c r="H163" s="5">
        <v>1</v>
      </c>
      <c r="I163" s="2" t="s">
        <v>1797</v>
      </c>
      <c r="J163" s="2" t="s">
        <v>1761</v>
      </c>
      <c r="K163" s="2" t="s">
        <v>1762</v>
      </c>
      <c r="L163" s="2" t="s">
        <v>1798</v>
      </c>
      <c r="M163" s="2" t="s">
        <v>1779</v>
      </c>
      <c r="N163" s="8" t="s">
        <v>1762</v>
      </c>
      <c r="O163" s="8" t="s">
        <v>1762</v>
      </c>
      <c r="P163" s="8" t="s">
        <v>1762</v>
      </c>
      <c r="Q163" s="8" t="s">
        <v>1762</v>
      </c>
      <c r="R163" s="201">
        <v>55018</v>
      </c>
      <c r="S163" s="153">
        <v>9.4499999999999993</v>
      </c>
      <c r="T163" s="52">
        <v>0</v>
      </c>
      <c r="U163" s="52">
        <v>0</v>
      </c>
      <c r="V163" s="52">
        <v>0</v>
      </c>
      <c r="W163" s="2" t="str" cm="1">
        <f t="array" aca="1" ref="W163" ca="1">TRIM(SUBSTITUTE(_xlfn.ARRAYTOTEXT(IFERROR(CONCATENATE(SUMIF(INDIRECT("'"&amp;Assemblies[Assy]&amp;"'!"&amp;"C$5:C1000"), $C163, INDIRECT("'"&amp;Assemblies[Assy]&amp;"'!"&amp;"O$5:O1000")), "x",Assemblies[Assy],".",IF(SUMIF(INDIRECT("'"&amp;Assemblies[Assy]&amp;"'!"&amp;"C$5:C1000"), $C163, INDIRECT("'"&amp;Assemblies[Assy]&amp;"'!"&amp;"A$5:A1000"))=0,NA(),SUMIF(INDIRECT("'"&amp;Assemblies[Assy]&amp;"'!"&amp;"C$5:C1000"), $C163, INDIRECT("'"&amp;Assemblies[Assy]&amp;"'!"&amp;"A$5:A1000")))),"")), " ,", ""))</f>
        <v>,</v>
      </c>
      <c r="X163" s="2" t="s">
        <v>1987</v>
      </c>
      <c r="Y163" s="2" t="s">
        <v>1382</v>
      </c>
      <c r="Z163" s="2" t="s">
        <v>1382</v>
      </c>
      <c r="AA163" s="2" t="s">
        <v>1382</v>
      </c>
    </row>
    <row r="164" spans="1:27" ht="12.75">
      <c r="A164" s="115" t="s">
        <v>2139</v>
      </c>
      <c r="B164" s="115" t="s">
        <v>56</v>
      </c>
      <c r="C164" s="2" t="str">
        <f t="shared" si="4"/>
        <v>GF12.253.02.B</v>
      </c>
      <c r="D164" s="2" t="s">
        <v>2140</v>
      </c>
      <c r="E164" s="52">
        <f t="shared" si="5"/>
        <v>91.05</v>
      </c>
      <c r="F164" s="5" t="e" cm="1">
        <f t="array" aca="1" ref="F164" ca="1">SUMPRODUCT(SUMIF(INDIRECT("'"&amp;Assemblies[Assy]&amp;"'!"&amp;"C$5:C1000"),$C164,(INDIRECT("'"&amp;Assemblies[Assy]&amp;"'!"&amp;"O$5:O1000"))))</f>
        <v>#VALUE!</v>
      </c>
      <c r="G164" s="5">
        <v>2</v>
      </c>
      <c r="H164" s="5">
        <v>2</v>
      </c>
      <c r="I164" s="2" t="s">
        <v>1791</v>
      </c>
      <c r="J164" s="2" t="s">
        <v>1769</v>
      </c>
      <c r="K164" s="2" t="s">
        <v>1770</v>
      </c>
      <c r="L164" s="2" t="s">
        <v>1786</v>
      </c>
      <c r="M164" s="2" t="s">
        <v>1382</v>
      </c>
      <c r="N164" s="8">
        <v>45105</v>
      </c>
      <c r="O164" s="8">
        <v>45133</v>
      </c>
      <c r="P164" s="8">
        <v>45163</v>
      </c>
      <c r="Q164" s="128">
        <v>45163</v>
      </c>
      <c r="R164" s="222">
        <v>55015</v>
      </c>
      <c r="S164" s="153">
        <v>91.05</v>
      </c>
      <c r="T164" s="52">
        <v>0</v>
      </c>
      <c r="U164" s="52">
        <v>0</v>
      </c>
      <c r="V164" s="52">
        <v>0</v>
      </c>
      <c r="W164" s="2" t="str" cm="1">
        <f t="array" aca="1" ref="W164" ca="1">TRIM(SUBSTITUTE(_xlfn.ARRAYTOTEXT(IFERROR(CONCATENATE(SUMIF(INDIRECT("'"&amp;Assemblies[Assy]&amp;"'!"&amp;"C$5:C1000"), $C164, INDIRECT("'"&amp;Assemblies[Assy]&amp;"'!"&amp;"O$5:O1000")), "x",Assemblies[Assy],".",IF(SUMIF(INDIRECT("'"&amp;Assemblies[Assy]&amp;"'!"&amp;"C$5:C1000"), $C164, INDIRECT("'"&amp;Assemblies[Assy]&amp;"'!"&amp;"A$5:A1000"))=0,NA(),SUMIF(INDIRECT("'"&amp;Assemblies[Assy]&amp;"'!"&amp;"C$5:C1000"), $C164, INDIRECT("'"&amp;Assemblies[Assy]&amp;"'!"&amp;"A$5:A1000")))),"")), " ,", ""))</f>
        <v>,</v>
      </c>
      <c r="X164" s="2" t="s">
        <v>1987</v>
      </c>
      <c r="Y164" s="2" t="s">
        <v>1382</v>
      </c>
      <c r="Z164" s="2" t="s">
        <v>1382</v>
      </c>
      <c r="AA164" s="2" t="s">
        <v>1382</v>
      </c>
    </row>
    <row r="165" spans="1:27" ht="12.75">
      <c r="A165" s="115" t="s">
        <v>2141</v>
      </c>
      <c r="B165" s="115" t="s">
        <v>54</v>
      </c>
      <c r="C165" s="2" t="str">
        <f t="shared" si="4"/>
        <v>GF12.253.03.A</v>
      </c>
      <c r="D165" s="2" t="s">
        <v>2142</v>
      </c>
      <c r="E165" s="52">
        <f t="shared" si="5"/>
        <v>48</v>
      </c>
      <c r="F165" s="5" t="e" cm="1">
        <f t="array" aca="1" ref="F165" ca="1">SUMPRODUCT(SUMIF(INDIRECT("'"&amp;Assemblies[Assy]&amp;"'!"&amp;"C$5:C1000"),$C165,(INDIRECT("'"&amp;Assemblies[Assy]&amp;"'!"&amp;"O$5:O1000"))))</f>
        <v>#VALUE!</v>
      </c>
      <c r="G165" s="5">
        <v>7</v>
      </c>
      <c r="H165" s="5">
        <v>7</v>
      </c>
      <c r="I165" s="2" t="s">
        <v>2108</v>
      </c>
      <c r="J165" s="2" t="s">
        <v>1761</v>
      </c>
      <c r="K165" s="2" t="s">
        <v>1770</v>
      </c>
      <c r="L165" s="2" t="s">
        <v>1778</v>
      </c>
      <c r="M165" s="2" t="s">
        <v>1779</v>
      </c>
      <c r="N165" s="8">
        <v>45142</v>
      </c>
      <c r="O165" s="8">
        <v>45146</v>
      </c>
      <c r="P165" s="8">
        <v>45176</v>
      </c>
      <c r="Q165" s="128">
        <v>45176</v>
      </c>
      <c r="R165" s="201">
        <v>55032</v>
      </c>
      <c r="S165" s="153">
        <v>48</v>
      </c>
      <c r="T165" s="52">
        <v>0</v>
      </c>
      <c r="U165" s="52">
        <v>0</v>
      </c>
      <c r="V165" s="52">
        <v>0</v>
      </c>
      <c r="W165" s="2" t="str" cm="1">
        <f t="array" aca="1" ref="W165" ca="1">TRIM(SUBSTITUTE(_xlfn.ARRAYTOTEXT(IFERROR(CONCATENATE(SUMIF(INDIRECT("'"&amp;Assemblies[Assy]&amp;"'!"&amp;"C$5:C1000"), $C165, INDIRECT("'"&amp;Assemblies[Assy]&amp;"'!"&amp;"O$5:O1000")), "x",Assemblies[Assy],".",IF(SUMIF(INDIRECT("'"&amp;Assemblies[Assy]&amp;"'!"&amp;"C$5:C1000"), $C165, INDIRECT("'"&amp;Assemblies[Assy]&amp;"'!"&amp;"A$5:A1000"))=0,NA(),SUMIF(INDIRECT("'"&amp;Assemblies[Assy]&amp;"'!"&amp;"C$5:C1000"), $C165, INDIRECT("'"&amp;Assemblies[Assy]&amp;"'!"&amp;"A$5:A1000")))),"")), " ,", ""))</f>
        <v>,</v>
      </c>
      <c r="X165" s="2" t="s">
        <v>1987</v>
      </c>
      <c r="Y165" s="2" t="s">
        <v>1382</v>
      </c>
      <c r="Z165" s="2" t="s">
        <v>1382</v>
      </c>
      <c r="AA165" s="2" t="s">
        <v>1382</v>
      </c>
    </row>
    <row r="166" spans="1:27" ht="12.75">
      <c r="A166" s="115" t="s">
        <v>2143</v>
      </c>
      <c r="B166" s="115" t="s">
        <v>54</v>
      </c>
      <c r="C166" s="2" t="str">
        <f t="shared" si="4"/>
        <v>GF12.253.04.A</v>
      </c>
      <c r="D166" s="2" t="s">
        <v>2144</v>
      </c>
      <c r="E166" s="52">
        <f t="shared" si="5"/>
        <v>45</v>
      </c>
      <c r="F166" s="5" t="e" cm="1">
        <f t="array" aca="1" ref="F166" ca="1">SUMPRODUCT(SUMIF(INDIRECT("'"&amp;Assemblies[Assy]&amp;"'!"&amp;"C$5:C1000"),$C166,(INDIRECT("'"&amp;Assemblies[Assy]&amp;"'!"&amp;"O$5:O1000"))))</f>
        <v>#VALUE!</v>
      </c>
      <c r="G166" s="5">
        <v>13</v>
      </c>
      <c r="H166" s="5">
        <v>13</v>
      </c>
      <c r="I166" s="2" t="s">
        <v>2108</v>
      </c>
      <c r="J166" s="2" t="s">
        <v>1761</v>
      </c>
      <c r="K166" s="2" t="s">
        <v>1770</v>
      </c>
      <c r="L166" s="2" t="s">
        <v>1778</v>
      </c>
      <c r="M166" s="2" t="s">
        <v>1779</v>
      </c>
      <c r="N166" s="8">
        <v>45142</v>
      </c>
      <c r="O166" s="8">
        <v>45146</v>
      </c>
      <c r="P166" s="8">
        <v>45176</v>
      </c>
      <c r="Q166" s="128">
        <v>45176</v>
      </c>
      <c r="R166" s="201">
        <v>55032</v>
      </c>
      <c r="S166" s="153">
        <v>45</v>
      </c>
      <c r="T166" s="52">
        <v>0</v>
      </c>
      <c r="U166" s="52">
        <v>0</v>
      </c>
      <c r="V166" s="52">
        <v>0</v>
      </c>
      <c r="W166" s="2" t="str" cm="1">
        <f t="array" aca="1" ref="W166" ca="1">TRIM(SUBSTITUTE(_xlfn.ARRAYTOTEXT(IFERROR(CONCATENATE(SUMIF(INDIRECT("'"&amp;Assemblies[Assy]&amp;"'!"&amp;"C$5:C1000"), $C166, INDIRECT("'"&amp;Assemblies[Assy]&amp;"'!"&amp;"O$5:O1000")), "x",Assemblies[Assy],".",IF(SUMIF(INDIRECT("'"&amp;Assemblies[Assy]&amp;"'!"&amp;"C$5:C1000"), $C166, INDIRECT("'"&amp;Assemblies[Assy]&amp;"'!"&amp;"A$5:A1000"))=0,NA(),SUMIF(INDIRECT("'"&amp;Assemblies[Assy]&amp;"'!"&amp;"C$5:C1000"), $C166, INDIRECT("'"&amp;Assemblies[Assy]&amp;"'!"&amp;"A$5:A1000")))),"")), " ,", ""))</f>
        <v>,</v>
      </c>
      <c r="X166" s="2" t="s">
        <v>1987</v>
      </c>
      <c r="Y166" s="2" t="s">
        <v>1382</v>
      </c>
      <c r="Z166" s="2" t="s">
        <v>1382</v>
      </c>
      <c r="AA166" s="2" t="s">
        <v>1382</v>
      </c>
    </row>
    <row r="167" spans="1:27" ht="12.75">
      <c r="A167" s="115" t="s">
        <v>2145</v>
      </c>
      <c r="B167" s="115" t="s">
        <v>54</v>
      </c>
      <c r="C167" s="2" t="str">
        <f t="shared" si="4"/>
        <v>GF12.253.05.A</v>
      </c>
      <c r="D167" s="2" t="s">
        <v>2146</v>
      </c>
      <c r="E167" s="52">
        <f t="shared" si="5"/>
        <v>45</v>
      </c>
      <c r="F167" s="5" t="e" cm="1">
        <f t="array" aca="1" ref="F167" ca="1">SUMPRODUCT(SUMIF(INDIRECT("'"&amp;Assemblies[Assy]&amp;"'!"&amp;"C$5:C1000"),$C167,(INDIRECT("'"&amp;Assemblies[Assy]&amp;"'!"&amp;"O$5:O1000"))))</f>
        <v>#VALUE!</v>
      </c>
      <c r="G167" s="5">
        <v>6</v>
      </c>
      <c r="H167" s="5">
        <v>6</v>
      </c>
      <c r="I167" s="2" t="s">
        <v>2108</v>
      </c>
      <c r="J167" s="2" t="s">
        <v>1761</v>
      </c>
      <c r="K167" s="2" t="s">
        <v>1770</v>
      </c>
      <c r="L167" s="2" t="s">
        <v>1778</v>
      </c>
      <c r="M167" s="2" t="s">
        <v>1779</v>
      </c>
      <c r="N167" s="8">
        <v>45142</v>
      </c>
      <c r="O167" s="8">
        <v>45146</v>
      </c>
      <c r="P167" s="8">
        <v>45176</v>
      </c>
      <c r="Q167" s="128">
        <v>45176</v>
      </c>
      <c r="R167" s="201">
        <v>55032</v>
      </c>
      <c r="S167" s="153">
        <v>45</v>
      </c>
      <c r="T167" s="52">
        <v>0</v>
      </c>
      <c r="U167" s="52">
        <v>0</v>
      </c>
      <c r="V167" s="52">
        <v>0</v>
      </c>
      <c r="W167" s="2" t="str" cm="1">
        <f t="array" aca="1" ref="W167" ca="1">TRIM(SUBSTITUTE(_xlfn.ARRAYTOTEXT(IFERROR(CONCATENATE(SUMIF(INDIRECT("'"&amp;Assemblies[Assy]&amp;"'!"&amp;"C$5:C1000"), $C167, INDIRECT("'"&amp;Assemblies[Assy]&amp;"'!"&amp;"O$5:O1000")), "x",Assemblies[Assy],".",IF(SUMIF(INDIRECT("'"&amp;Assemblies[Assy]&amp;"'!"&amp;"C$5:C1000"), $C167, INDIRECT("'"&amp;Assemblies[Assy]&amp;"'!"&amp;"A$5:A1000"))=0,NA(),SUMIF(INDIRECT("'"&amp;Assemblies[Assy]&amp;"'!"&amp;"C$5:C1000"), $C167, INDIRECT("'"&amp;Assemblies[Assy]&amp;"'!"&amp;"A$5:A1000")))),"")), " ,", ""))</f>
        <v>,</v>
      </c>
      <c r="X167" s="2" t="s">
        <v>1382</v>
      </c>
      <c r="Y167" s="2" t="s">
        <v>1382</v>
      </c>
      <c r="Z167" s="2" t="s">
        <v>1382</v>
      </c>
      <c r="AA167" s="2" t="s">
        <v>1382</v>
      </c>
    </row>
    <row r="168" spans="1:27" ht="12.75">
      <c r="A168" s="115" t="s">
        <v>2147</v>
      </c>
      <c r="B168" s="115" t="s">
        <v>54</v>
      </c>
      <c r="C168" s="2" t="str">
        <f t="shared" si="4"/>
        <v>GF12.260.01.A</v>
      </c>
      <c r="D168" s="117" t="s">
        <v>2148</v>
      </c>
      <c r="E168" s="228">
        <f t="shared" si="5"/>
        <v>54.973300000000002</v>
      </c>
      <c r="F168" s="5" t="e" cm="1">
        <f t="array" aca="1" ref="F168" ca="1">SUMPRODUCT(SUMIF(INDIRECT("'"&amp;Assemblies[Assy]&amp;"'!"&amp;"C$5:C1000"),$C168,(INDIRECT("'"&amp;Assemblies[Assy]&amp;"'!"&amp;"O$5:O1000"))))</f>
        <v>#VALUE!</v>
      </c>
      <c r="G168" s="5">
        <v>2</v>
      </c>
      <c r="H168" s="5">
        <v>2</v>
      </c>
      <c r="I168" s="2" t="s">
        <v>1824</v>
      </c>
      <c r="J168" s="2" t="s">
        <v>1761</v>
      </c>
      <c r="K168" s="2" t="s">
        <v>1762</v>
      </c>
      <c r="L168" s="2" t="s">
        <v>1816</v>
      </c>
      <c r="M168" s="2" t="s">
        <v>1841</v>
      </c>
      <c r="N168" s="8">
        <v>45159</v>
      </c>
      <c r="O168" s="8">
        <v>45188</v>
      </c>
      <c r="P168" s="8">
        <v>45212</v>
      </c>
      <c r="Q168" s="8">
        <v>45212</v>
      </c>
      <c r="R168" s="223">
        <v>55157</v>
      </c>
      <c r="S168" s="153">
        <v>54.973300000000002</v>
      </c>
      <c r="T168" s="52">
        <v>0</v>
      </c>
      <c r="U168" s="52">
        <v>0</v>
      </c>
      <c r="V168" s="52">
        <v>0</v>
      </c>
      <c r="W168" s="2" t="str" cm="1">
        <f t="array" aca="1" ref="W168" ca="1">TRIM(SUBSTITUTE(_xlfn.ARRAYTOTEXT(IFERROR(CONCATENATE(SUMIF(INDIRECT("'"&amp;Assemblies[Assy]&amp;"'!"&amp;"C$5:C1000"), $C168, INDIRECT("'"&amp;Assemblies[Assy]&amp;"'!"&amp;"O$5:O1000")), "x",Assemblies[Assy],".",IF(SUMIF(INDIRECT("'"&amp;Assemblies[Assy]&amp;"'!"&amp;"C$5:C1000"), $C168, INDIRECT("'"&amp;Assemblies[Assy]&amp;"'!"&amp;"A$5:A1000"))=0,NA(),SUMIF(INDIRECT("'"&amp;Assemblies[Assy]&amp;"'!"&amp;"C$5:C1000"), $C168, INDIRECT("'"&amp;Assemblies[Assy]&amp;"'!"&amp;"A$5:A1000")))),"")), " ,", ""))</f>
        <v>,</v>
      </c>
      <c r="X168" s="2" t="s">
        <v>1773</v>
      </c>
      <c r="Y168" s="2" t="s">
        <v>1382</v>
      </c>
      <c r="Z168" s="2" t="s">
        <v>1382</v>
      </c>
      <c r="AA168" s="2" t="s">
        <v>1382</v>
      </c>
    </row>
    <row r="169" spans="1:27" ht="12.75">
      <c r="A169" s="115" t="s">
        <v>2149</v>
      </c>
      <c r="B169" s="115" t="s">
        <v>56</v>
      </c>
      <c r="C169" s="2" t="str">
        <f t="shared" si="4"/>
        <v>GF12.270.01.B</v>
      </c>
      <c r="D169" s="117" t="s">
        <v>2150</v>
      </c>
      <c r="E169" s="228">
        <f t="shared" si="5"/>
        <v>54.973300000000002</v>
      </c>
      <c r="F169" s="5" t="e" cm="1">
        <f t="array" aca="1" ref="F169" ca="1">SUMPRODUCT(SUMIF(INDIRECT("'"&amp;Assemblies[Assy]&amp;"'!"&amp;"C$5:C1000"),$C169,(INDIRECT("'"&amp;Assemblies[Assy]&amp;"'!"&amp;"O$5:O1000"))))</f>
        <v>#VALUE!</v>
      </c>
      <c r="G169" s="5">
        <v>2</v>
      </c>
      <c r="H169" s="5">
        <v>2</v>
      </c>
      <c r="I169" s="2" t="s">
        <v>1824</v>
      </c>
      <c r="J169" s="2" t="s">
        <v>1761</v>
      </c>
      <c r="K169" s="2" t="s">
        <v>1762</v>
      </c>
      <c r="L169" s="2" t="s">
        <v>1816</v>
      </c>
      <c r="M169" s="2" t="s">
        <v>1841</v>
      </c>
      <c r="N169" s="8">
        <v>45159</v>
      </c>
      <c r="O169" s="8">
        <v>45188</v>
      </c>
      <c r="P169" s="8">
        <v>45212</v>
      </c>
      <c r="Q169" s="8">
        <v>45212</v>
      </c>
      <c r="R169" s="223">
        <v>55157</v>
      </c>
      <c r="S169" s="153">
        <v>54.973300000000002</v>
      </c>
      <c r="T169" s="52">
        <v>0</v>
      </c>
      <c r="U169" s="52">
        <v>0</v>
      </c>
      <c r="V169" s="52">
        <v>0</v>
      </c>
      <c r="W169" s="2" t="str" cm="1">
        <f t="array" aca="1" ref="W169" ca="1">TRIM(SUBSTITUTE(_xlfn.ARRAYTOTEXT(IFERROR(CONCATENATE(SUMIF(INDIRECT("'"&amp;Assemblies[Assy]&amp;"'!"&amp;"C$5:C1000"), $C169, INDIRECT("'"&amp;Assemblies[Assy]&amp;"'!"&amp;"O$5:O1000")), "x",Assemblies[Assy],".",IF(SUMIF(INDIRECT("'"&amp;Assemblies[Assy]&amp;"'!"&amp;"C$5:C1000"), $C169, INDIRECT("'"&amp;Assemblies[Assy]&amp;"'!"&amp;"A$5:A1000"))=0,NA(),SUMIF(INDIRECT("'"&amp;Assemblies[Assy]&amp;"'!"&amp;"C$5:C1000"), $C169, INDIRECT("'"&amp;Assemblies[Assy]&amp;"'!"&amp;"A$5:A1000")))),"")), " ,", ""))</f>
        <v>,</v>
      </c>
      <c r="X169" s="2" t="s">
        <v>1773</v>
      </c>
      <c r="Y169" s="2" t="s">
        <v>1382</v>
      </c>
      <c r="Z169" s="2" t="s">
        <v>1382</v>
      </c>
    </row>
    <row r="170" spans="1:27" ht="12.75">
      <c r="A170" s="115" t="s">
        <v>2151</v>
      </c>
      <c r="B170" s="115" t="s">
        <v>54</v>
      </c>
      <c r="C170" s="2" t="str">
        <f t="shared" si="4"/>
        <v>GF12.270.02.A</v>
      </c>
      <c r="D170" s="117" t="s">
        <v>2152</v>
      </c>
      <c r="E170" s="228">
        <f t="shared" si="5"/>
        <v>0</v>
      </c>
      <c r="F170" s="5" t="e" cm="1">
        <f t="array" aca="1" ref="F170" ca="1">SUMPRODUCT(SUMIF(INDIRECT("'"&amp;Assemblies[Assy]&amp;"'!"&amp;"C$5:C1000"),$C170,(INDIRECT("'"&amp;Assemblies[Assy]&amp;"'!"&amp;"O$5:O1000"))))</f>
        <v>#VALUE!</v>
      </c>
      <c r="G170" s="5">
        <v>2</v>
      </c>
      <c r="H170" s="5">
        <v>2</v>
      </c>
      <c r="I170" s="2" t="s">
        <v>1824</v>
      </c>
      <c r="J170" s="2" t="s">
        <v>1761</v>
      </c>
      <c r="K170" s="2" t="s">
        <v>1762</v>
      </c>
      <c r="L170" s="2" t="s">
        <v>1816</v>
      </c>
      <c r="M170" s="2" t="s">
        <v>2153</v>
      </c>
      <c r="Q170" s="8"/>
      <c r="R170" s="223"/>
      <c r="S170" s="153"/>
      <c r="T170" s="52"/>
      <c r="V170" s="52"/>
      <c r="W170" s="2" t="str" cm="1">
        <f t="array" aca="1" ref="W170" ca="1">TRIM(SUBSTITUTE(_xlfn.ARRAYTOTEXT(IFERROR(CONCATENATE(SUMIF(INDIRECT("'"&amp;Assemblies[Assy]&amp;"'!"&amp;"C$5:C1000"), $C170, INDIRECT("'"&amp;Assemblies[Assy]&amp;"'!"&amp;"O$5:O1000")), "x",Assemblies[Assy],".",IF(SUMIF(INDIRECT("'"&amp;Assemblies[Assy]&amp;"'!"&amp;"C$5:C1000"), $C170, INDIRECT("'"&amp;Assemblies[Assy]&amp;"'!"&amp;"A$5:A1000"))=0,NA(),SUMIF(INDIRECT("'"&amp;Assemblies[Assy]&amp;"'!"&amp;"C$5:C1000"), $C170, INDIRECT("'"&amp;Assemblies[Assy]&amp;"'!"&amp;"A$5:A1000")))),"")), " ,", ""))</f>
        <v>,</v>
      </c>
      <c r="Y170" s="2"/>
      <c r="AA170" s="2" t="s">
        <v>1382</v>
      </c>
    </row>
    <row r="171" spans="1:27" ht="12.75">
      <c r="A171" s="115" t="s">
        <v>2154</v>
      </c>
      <c r="B171" s="115" t="s">
        <v>54</v>
      </c>
      <c r="C171" s="2" t="str">
        <f t="shared" si="4"/>
        <v>GF12.290.01.A</v>
      </c>
      <c r="D171" s="117" t="s">
        <v>2155</v>
      </c>
      <c r="E171" s="52">
        <f t="shared" si="5"/>
        <v>112</v>
      </c>
      <c r="F171" s="5" t="e" cm="1">
        <f t="array" aca="1" ref="F171" ca="1">SUMPRODUCT(SUMIF(INDIRECT("'"&amp;Assemblies[Assy]&amp;"'!"&amp;"C$5:C1000"),$C171,(INDIRECT("'"&amp;Assemblies[Assy]&amp;"'!"&amp;"O$5:O1000"))))</f>
        <v>#VALUE!</v>
      </c>
      <c r="G171" s="5">
        <v>2</v>
      </c>
      <c r="I171" s="2" t="s">
        <v>1824</v>
      </c>
      <c r="J171" s="2" t="s">
        <v>1761</v>
      </c>
      <c r="K171" s="2" t="s">
        <v>1762</v>
      </c>
      <c r="L171" s="2" t="s">
        <v>1816</v>
      </c>
      <c r="M171" s="2" t="s">
        <v>1933</v>
      </c>
      <c r="N171" s="8">
        <v>45159</v>
      </c>
      <c r="O171" s="8">
        <v>45188</v>
      </c>
      <c r="P171" s="8">
        <v>45212</v>
      </c>
      <c r="Q171" s="144">
        <v>45216</v>
      </c>
      <c r="R171" s="223">
        <v>55156</v>
      </c>
      <c r="S171" s="153">
        <v>112</v>
      </c>
      <c r="T171" s="52">
        <v>0</v>
      </c>
      <c r="U171" s="52">
        <v>0</v>
      </c>
      <c r="V171" s="52">
        <v>0</v>
      </c>
      <c r="W171" s="2" t="str" cm="1">
        <f t="array" aca="1" ref="W171" ca="1">TRIM(SUBSTITUTE(_xlfn.ARRAYTOTEXT(IFERROR(CONCATENATE(SUMIF(INDIRECT("'"&amp;Assemblies[Assy]&amp;"'!"&amp;"C$5:C1000"), $C171, INDIRECT("'"&amp;Assemblies[Assy]&amp;"'!"&amp;"O$5:O1000")), "x",Assemblies[Assy],".",IF(SUMIF(INDIRECT("'"&amp;Assemblies[Assy]&amp;"'!"&amp;"C$5:C1000"), $C171, INDIRECT("'"&amp;Assemblies[Assy]&amp;"'!"&amp;"A$5:A1000"))=0,NA(),SUMIF(INDIRECT("'"&amp;Assemblies[Assy]&amp;"'!"&amp;"C$5:C1000"), $C171, INDIRECT("'"&amp;Assemblies[Assy]&amp;"'!"&amp;"A$5:A1000")))),"")), " ,", ""))</f>
        <v>,</v>
      </c>
      <c r="X171" s="2" t="s">
        <v>1773</v>
      </c>
      <c r="Y171" s="2" t="s">
        <v>1382</v>
      </c>
      <c r="Z171" s="2" t="s">
        <v>1382</v>
      </c>
      <c r="AA171" s="2" t="s">
        <v>1382</v>
      </c>
    </row>
    <row r="172" spans="1:27" ht="12.75">
      <c r="A172" s="115" t="s">
        <v>2156</v>
      </c>
      <c r="B172" s="115" t="s">
        <v>54</v>
      </c>
      <c r="C172" s="2" t="str">
        <f t="shared" si="4"/>
        <v>GF12.310.01.A</v>
      </c>
      <c r="D172" s="117" t="s">
        <v>2157</v>
      </c>
      <c r="E172" s="52">
        <f t="shared" si="5"/>
        <v>413.5</v>
      </c>
      <c r="F172" s="5" t="e" cm="1">
        <f t="array" aca="1" ref="F172" ca="1">SUMPRODUCT(SUMIF(INDIRECT("'"&amp;Assemblies[Assy]&amp;"'!"&amp;"C$5:C1000"),$C172,(INDIRECT("'"&amp;Assemblies[Assy]&amp;"'!"&amp;"O$5:O1000"))))</f>
        <v>#VALUE!</v>
      </c>
      <c r="G172" s="5">
        <v>2</v>
      </c>
      <c r="H172" s="5">
        <v>2</v>
      </c>
      <c r="I172" s="2" t="s">
        <v>1791</v>
      </c>
      <c r="J172" s="2" t="s">
        <v>1769</v>
      </c>
      <c r="K172" s="2" t="s">
        <v>1770</v>
      </c>
      <c r="L172" s="2" t="s">
        <v>1783</v>
      </c>
      <c r="M172" s="2" t="s">
        <v>1779</v>
      </c>
      <c r="N172" s="8">
        <v>45141</v>
      </c>
      <c r="O172" s="8">
        <v>45141</v>
      </c>
      <c r="P172" s="8">
        <v>45171</v>
      </c>
      <c r="Q172" s="128">
        <v>45171</v>
      </c>
      <c r="R172" s="201">
        <v>55029</v>
      </c>
      <c r="S172" s="153">
        <v>413.5</v>
      </c>
      <c r="T172" s="52">
        <v>0</v>
      </c>
      <c r="U172" s="52">
        <v>0</v>
      </c>
      <c r="V172" s="52">
        <v>0</v>
      </c>
      <c r="W172" s="2" t="str" cm="1">
        <f t="array" aca="1" ref="W172" ca="1">TRIM(SUBSTITUTE(_xlfn.ARRAYTOTEXT(IFERROR(CONCATENATE(SUMIF(INDIRECT("'"&amp;Assemblies[Assy]&amp;"'!"&amp;"C$5:C1000"), $C172, INDIRECT("'"&amp;Assemblies[Assy]&amp;"'!"&amp;"O$5:O1000")), "x",Assemblies[Assy],".",IF(SUMIF(INDIRECT("'"&amp;Assemblies[Assy]&amp;"'!"&amp;"C$5:C1000"), $C172, INDIRECT("'"&amp;Assemblies[Assy]&amp;"'!"&amp;"A$5:A1000"))=0,NA(),SUMIF(INDIRECT("'"&amp;Assemblies[Assy]&amp;"'!"&amp;"C$5:C1000"), $C172, INDIRECT("'"&amp;Assemblies[Assy]&amp;"'!"&amp;"A$5:A1000")))),"")), " ,", ""))</f>
        <v>,</v>
      </c>
      <c r="X172" s="2" t="s">
        <v>1773</v>
      </c>
      <c r="Y172" s="2" t="s">
        <v>1382</v>
      </c>
      <c r="Z172" s="2" t="s">
        <v>1382</v>
      </c>
      <c r="AA172" s="2" t="s">
        <v>1382</v>
      </c>
    </row>
    <row r="173" spans="1:27" ht="12.75">
      <c r="A173" s="158" t="s">
        <v>2158</v>
      </c>
      <c r="B173" s="115" t="s">
        <v>54</v>
      </c>
      <c r="C173" s="2" t="str">
        <f t="shared" si="4"/>
        <v>GF12.311.01.A</v>
      </c>
      <c r="D173" s="155" t="s">
        <v>2159</v>
      </c>
      <c r="E173" s="52">
        <f t="shared" si="5"/>
        <v>38.5</v>
      </c>
      <c r="F173" s="5" t="e" cm="1">
        <f t="array" aca="1" ref="F173" ca="1">SUMPRODUCT(SUMIF(INDIRECT("'"&amp;Assemblies[Assy]&amp;"'!"&amp;"C$5:C1000"),$C173,(INDIRECT("'"&amp;Assemblies[Assy]&amp;"'!"&amp;"O$5:O1000"))))</f>
        <v>#VALUE!</v>
      </c>
      <c r="G173" s="5">
        <v>22</v>
      </c>
      <c r="H173" s="5">
        <v>22</v>
      </c>
      <c r="I173" s="2" t="s">
        <v>1768</v>
      </c>
      <c r="J173" s="2" t="s">
        <v>1769</v>
      </c>
      <c r="K173" s="2" t="s">
        <v>1770</v>
      </c>
      <c r="L173" s="2" t="s">
        <v>1768</v>
      </c>
      <c r="M173" s="2" t="s">
        <v>1779</v>
      </c>
      <c r="N173" s="8">
        <v>45084</v>
      </c>
      <c r="O173" s="8">
        <v>45084</v>
      </c>
      <c r="P173" s="8">
        <v>45093</v>
      </c>
      <c r="Q173" s="128">
        <v>45093</v>
      </c>
      <c r="R173" s="201">
        <v>54923</v>
      </c>
      <c r="S173" s="173">
        <v>38.5</v>
      </c>
      <c r="T173" s="52">
        <v>0</v>
      </c>
      <c r="U173" s="52">
        <v>0</v>
      </c>
      <c r="V173" s="52">
        <v>0</v>
      </c>
      <c r="W173" s="2" t="str" cm="1">
        <f t="array" aca="1" ref="W173" ca="1">TRIM(SUBSTITUTE(_xlfn.ARRAYTOTEXT(IFERROR(CONCATENATE(SUMIF(INDIRECT("'"&amp;Assemblies[Assy]&amp;"'!"&amp;"C$5:C1000"), $C173, INDIRECT("'"&amp;Assemblies[Assy]&amp;"'!"&amp;"O$5:O1000")), "x",Assemblies[Assy],".",IF(SUMIF(INDIRECT("'"&amp;Assemblies[Assy]&amp;"'!"&amp;"C$5:C1000"), $C173, INDIRECT("'"&amp;Assemblies[Assy]&amp;"'!"&amp;"A$5:A1000"))=0,NA(),SUMIF(INDIRECT("'"&amp;Assemblies[Assy]&amp;"'!"&amp;"C$5:C1000"), $C173, INDIRECT("'"&amp;Assemblies[Assy]&amp;"'!"&amp;"A$5:A1000")))),"")), " ,", ""))</f>
        <v>,</v>
      </c>
      <c r="X173" s="2" t="s">
        <v>1773</v>
      </c>
      <c r="Y173" s="2" t="s">
        <v>1382</v>
      </c>
      <c r="Z173" s="2" t="s">
        <v>1382</v>
      </c>
      <c r="AA173" s="2" t="s">
        <v>1382</v>
      </c>
    </row>
    <row r="174" spans="1:27" ht="12.75">
      <c r="A174" s="158" t="s">
        <v>2160</v>
      </c>
      <c r="B174" s="115" t="s">
        <v>54</v>
      </c>
      <c r="C174" s="2" t="str">
        <f t="shared" si="4"/>
        <v>GF12.331.01.A</v>
      </c>
      <c r="D174" s="155" t="s">
        <v>2161</v>
      </c>
      <c r="E174" s="52">
        <f t="shared" si="5"/>
        <v>0</v>
      </c>
      <c r="F174" s="5" t="e" cm="1">
        <f t="array" aca="1" ref="F174" ca="1">SUMPRODUCT(SUMIF(INDIRECT("'"&amp;Assemblies[Assy]&amp;"'!"&amp;"C$5:C1000"),$C174,(INDIRECT("'"&amp;Assemblies[Assy]&amp;"'!"&amp;"O$5:O1000"))))</f>
        <v>#VALUE!</v>
      </c>
      <c r="G174" s="5">
        <v>2</v>
      </c>
      <c r="H174" s="5">
        <v>2</v>
      </c>
      <c r="I174" s="2" t="s">
        <v>1791</v>
      </c>
      <c r="J174" s="2" t="s">
        <v>1769</v>
      </c>
      <c r="L174" s="2" t="s">
        <v>2162</v>
      </c>
      <c r="M174" s="116" t="s">
        <v>2163</v>
      </c>
      <c r="N174" s="8">
        <v>45156</v>
      </c>
      <c r="O174" s="8">
        <v>45162</v>
      </c>
      <c r="P174" s="8">
        <v>45190</v>
      </c>
      <c r="Q174" s="144">
        <v>45190</v>
      </c>
      <c r="R174" s="223">
        <v>55101</v>
      </c>
      <c r="S174" s="153">
        <v>0</v>
      </c>
      <c r="T174" s="52">
        <v>0</v>
      </c>
      <c r="U174" s="52">
        <v>0</v>
      </c>
      <c r="V174" s="52">
        <v>0</v>
      </c>
      <c r="W174" s="2" t="str" cm="1">
        <f t="array" aca="1" ref="W174" ca="1">TRIM(SUBSTITUTE(_xlfn.ARRAYTOTEXT(IFERROR(CONCATENATE(SUMIF(INDIRECT("'"&amp;Assemblies[Assy]&amp;"'!"&amp;"C$5:C1000"), $C174, INDIRECT("'"&amp;Assemblies[Assy]&amp;"'!"&amp;"O$5:O1000")), "x",Assemblies[Assy],".",IF(SUMIF(INDIRECT("'"&amp;Assemblies[Assy]&amp;"'!"&amp;"C$5:C1000"), $C174, INDIRECT("'"&amp;Assemblies[Assy]&amp;"'!"&amp;"A$5:A1000"))=0,NA(),SUMIF(INDIRECT("'"&amp;Assemblies[Assy]&amp;"'!"&amp;"C$5:C1000"), $C174, INDIRECT("'"&amp;Assemblies[Assy]&amp;"'!"&amp;"A$5:A1000")))),"")), " ,", ""))</f>
        <v>,</v>
      </c>
      <c r="X174" s="2" t="s">
        <v>1382</v>
      </c>
      <c r="Y174" s="2" t="s">
        <v>1382</v>
      </c>
      <c r="Z174" s="2" t="s">
        <v>1382</v>
      </c>
      <c r="AA174" s="2" t="s">
        <v>1382</v>
      </c>
    </row>
    <row r="175" spans="1:27" ht="12.75">
      <c r="A175" s="158" t="s">
        <v>2164</v>
      </c>
      <c r="B175" s="115" t="s">
        <v>54</v>
      </c>
      <c r="C175" s="2" t="str">
        <f t="shared" si="4"/>
        <v>GF12.331.02.A</v>
      </c>
      <c r="D175" s="155" t="s">
        <v>2165</v>
      </c>
      <c r="E175" s="52">
        <f t="shared" si="5"/>
        <v>120.21</v>
      </c>
      <c r="F175" s="5" t="e" cm="1">
        <f t="array" aca="1" ref="F175" ca="1">SUMPRODUCT(SUMIF(INDIRECT("'"&amp;Assemblies[Assy]&amp;"'!"&amp;"C$5:C1000"),$C175,(INDIRECT("'"&amp;Assemblies[Assy]&amp;"'!"&amp;"O$5:O1000"))))</f>
        <v>#VALUE!</v>
      </c>
      <c r="G175" s="5">
        <v>2</v>
      </c>
      <c r="H175" s="5">
        <v>2</v>
      </c>
      <c r="I175" s="2" t="s">
        <v>2166</v>
      </c>
      <c r="J175" s="2" t="s">
        <v>1802</v>
      </c>
      <c r="K175" s="2" t="s">
        <v>1382</v>
      </c>
      <c r="L175" s="2" t="s">
        <v>2167</v>
      </c>
      <c r="M175" s="8" t="s">
        <v>1779</v>
      </c>
      <c r="N175" s="8">
        <v>45159</v>
      </c>
      <c r="O175" s="8">
        <v>45161</v>
      </c>
      <c r="P175" s="8">
        <v>45191</v>
      </c>
      <c r="Q175" s="144">
        <v>45191</v>
      </c>
      <c r="R175" s="223">
        <v>55092</v>
      </c>
      <c r="S175" s="153">
        <v>120.21</v>
      </c>
      <c r="T175" s="52">
        <v>0</v>
      </c>
      <c r="U175" s="52">
        <v>0</v>
      </c>
      <c r="V175" s="52">
        <v>0</v>
      </c>
      <c r="W175" s="2" t="str" cm="1">
        <f t="array" aca="1" ref="W175" ca="1">TRIM(SUBSTITUTE(_xlfn.ARRAYTOTEXT(IFERROR(CONCATENATE(SUMIF(INDIRECT("'"&amp;Assemblies[Assy]&amp;"'!"&amp;"C$5:C1000"), $C175, INDIRECT("'"&amp;Assemblies[Assy]&amp;"'!"&amp;"O$5:O1000")), "x",Assemblies[Assy],".",IF(SUMIF(INDIRECT("'"&amp;Assemblies[Assy]&amp;"'!"&amp;"C$5:C1000"), $C175, INDIRECT("'"&amp;Assemblies[Assy]&amp;"'!"&amp;"A$5:A1000"))=0,NA(),SUMIF(INDIRECT("'"&amp;Assemblies[Assy]&amp;"'!"&amp;"C$5:C1000"), $C175, INDIRECT("'"&amp;Assemblies[Assy]&amp;"'!"&amp;"A$5:A1000")))),"")), " ,", ""))</f>
        <v>,</v>
      </c>
      <c r="X175" s="2" t="s">
        <v>1382</v>
      </c>
      <c r="Y175" s="2" t="s">
        <v>1382</v>
      </c>
      <c r="Z175" s="2" t="s">
        <v>1382</v>
      </c>
      <c r="AA175" s="2" t="s">
        <v>1382</v>
      </c>
    </row>
    <row r="176" spans="1:27" ht="12.75">
      <c r="A176" s="158" t="s">
        <v>2168</v>
      </c>
      <c r="B176" s="115" t="s">
        <v>54</v>
      </c>
      <c r="C176" s="161" t="str">
        <f t="shared" si="4"/>
        <v>GF12.331.03.A</v>
      </c>
      <c r="D176" s="246" t="s">
        <v>2169</v>
      </c>
      <c r="E176" s="52">
        <f t="shared" si="5"/>
        <v>0</v>
      </c>
      <c r="F176" s="5" t="e" cm="1">
        <f t="array" aca="1" ref="F176" ca="1">SUMPRODUCT(SUMIF(INDIRECT("'"&amp;Assemblies[Assy]&amp;"'!"&amp;"C$5:C1000"),$C176,(INDIRECT("'"&amp;Assemblies[Assy]&amp;"'!"&amp;"O$5:O1000"))))</f>
        <v>#VALUE!</v>
      </c>
      <c r="G176" s="5">
        <v>4</v>
      </c>
      <c r="H176" s="5">
        <v>4</v>
      </c>
      <c r="I176" s="2" t="s">
        <v>1838</v>
      </c>
      <c r="J176" s="2" t="s">
        <v>1761</v>
      </c>
      <c r="L176" s="2" t="s">
        <v>2162</v>
      </c>
      <c r="M176" s="116" t="s">
        <v>2170</v>
      </c>
      <c r="N176" s="8">
        <v>45156</v>
      </c>
      <c r="O176" s="8">
        <v>45162</v>
      </c>
      <c r="P176" s="8">
        <v>45190</v>
      </c>
      <c r="Q176" s="144">
        <v>45190</v>
      </c>
      <c r="R176" s="223">
        <v>55101</v>
      </c>
      <c r="S176" s="153">
        <v>0</v>
      </c>
      <c r="T176" s="52">
        <v>0</v>
      </c>
      <c r="U176" s="52">
        <v>0</v>
      </c>
      <c r="V176" s="52">
        <v>0</v>
      </c>
      <c r="W176" s="2" t="str" cm="1">
        <f t="array" aca="1" ref="W176" ca="1">TRIM(SUBSTITUTE(_xlfn.ARRAYTOTEXT(IFERROR(CONCATENATE(SUMIF(INDIRECT("'"&amp;Assemblies[Assy]&amp;"'!"&amp;"C$5:C1000"), $C176, INDIRECT("'"&amp;Assemblies[Assy]&amp;"'!"&amp;"O$5:O1000")), "x",Assemblies[Assy],".",IF(SUMIF(INDIRECT("'"&amp;Assemblies[Assy]&amp;"'!"&amp;"C$5:C1000"), $C176, INDIRECT("'"&amp;Assemblies[Assy]&amp;"'!"&amp;"A$5:A1000"))=0,NA(),SUMIF(INDIRECT("'"&amp;Assemblies[Assy]&amp;"'!"&amp;"C$5:C1000"), $C176, INDIRECT("'"&amp;Assemblies[Assy]&amp;"'!"&amp;"A$5:A1000")))),"")), " ,", ""))</f>
        <v>,</v>
      </c>
      <c r="X176" s="2" t="s">
        <v>1382</v>
      </c>
      <c r="Y176" s="2" t="s">
        <v>1382</v>
      </c>
      <c r="Z176" s="2" t="s">
        <v>1382</v>
      </c>
      <c r="AA176" s="2" t="s">
        <v>1382</v>
      </c>
    </row>
    <row r="177" spans="1:27" ht="12.75">
      <c r="A177" s="159" t="s">
        <v>2171</v>
      </c>
      <c r="B177" s="115" t="s">
        <v>54</v>
      </c>
      <c r="C177" s="2" t="str">
        <f t="shared" si="4"/>
        <v>GF12.331.04.A</v>
      </c>
      <c r="D177" s="186" t="s">
        <v>2172</v>
      </c>
      <c r="E177" s="52">
        <f t="shared" si="5"/>
        <v>0</v>
      </c>
      <c r="F177" s="5" t="e" cm="1">
        <f t="array" aca="1" ref="F177" ca="1">SUMPRODUCT(SUMIF(INDIRECT("'"&amp;Assemblies[Assy]&amp;"'!"&amp;"C$5:C1000"),$C177,(INDIRECT("'"&amp;Assemblies[Assy]&amp;"'!"&amp;"O$5:O1000"))))</f>
        <v>#VALUE!</v>
      </c>
      <c r="G177" s="5">
        <v>2</v>
      </c>
      <c r="H177" s="5">
        <v>2</v>
      </c>
      <c r="I177" s="2" t="s">
        <v>1838</v>
      </c>
      <c r="J177" s="2" t="s">
        <v>1761</v>
      </c>
      <c r="L177" s="2" t="s">
        <v>2162</v>
      </c>
      <c r="M177" s="116" t="s">
        <v>2173</v>
      </c>
      <c r="N177" s="8">
        <v>45156</v>
      </c>
      <c r="O177" s="8">
        <v>45162</v>
      </c>
      <c r="P177" s="8">
        <v>45190</v>
      </c>
      <c r="Q177" s="144">
        <v>45190</v>
      </c>
      <c r="R177" s="223">
        <v>55101</v>
      </c>
      <c r="S177" s="153">
        <v>0</v>
      </c>
      <c r="T177" s="52">
        <v>0</v>
      </c>
      <c r="U177" s="52">
        <v>0</v>
      </c>
      <c r="V177" s="52">
        <v>0</v>
      </c>
      <c r="W177" s="2" t="str" cm="1">
        <f t="array" aca="1" ref="W177" ca="1">TRIM(SUBSTITUTE(_xlfn.ARRAYTOTEXT(IFERROR(CONCATENATE(SUMIF(INDIRECT("'"&amp;Assemblies[Assy]&amp;"'!"&amp;"C$5:C1000"), $C177, INDIRECT("'"&amp;Assemblies[Assy]&amp;"'!"&amp;"O$5:O1000")), "x",Assemblies[Assy],".",IF(SUMIF(INDIRECT("'"&amp;Assemblies[Assy]&amp;"'!"&amp;"C$5:C1000"), $C177, INDIRECT("'"&amp;Assemblies[Assy]&amp;"'!"&amp;"A$5:A1000"))=0,NA(),SUMIF(INDIRECT("'"&amp;Assemblies[Assy]&amp;"'!"&amp;"C$5:C1000"), $C177, INDIRECT("'"&amp;Assemblies[Assy]&amp;"'!"&amp;"A$5:A1000")))),"")), " ,", ""))</f>
        <v>,</v>
      </c>
      <c r="X177" s="2" t="s">
        <v>1382</v>
      </c>
      <c r="Y177" s="2" t="s">
        <v>1382</v>
      </c>
      <c r="Z177" s="2" t="s">
        <v>1382</v>
      </c>
      <c r="AA177" s="2" t="s">
        <v>1382</v>
      </c>
    </row>
    <row r="178" spans="1:27" ht="12.75">
      <c r="A178" s="158" t="s">
        <v>2174</v>
      </c>
      <c r="B178" s="115" t="s">
        <v>54</v>
      </c>
      <c r="C178" s="2" t="str">
        <f t="shared" si="4"/>
        <v>GF12.331.05.A</v>
      </c>
      <c r="D178" s="155" t="s">
        <v>2175</v>
      </c>
      <c r="E178" s="52">
        <f t="shared" si="5"/>
        <v>73.959999999999994</v>
      </c>
      <c r="F178" s="5" t="e" cm="1">
        <f t="array" aca="1" ref="F178" ca="1">SUMPRODUCT(SUMIF(INDIRECT("'"&amp;Assemblies[Assy]&amp;"'!"&amp;"C$5:C1000"),$C178,(INDIRECT("'"&amp;Assemblies[Assy]&amp;"'!"&amp;"O$5:O1000"))))</f>
        <v>#VALUE!</v>
      </c>
      <c r="G178" s="5">
        <v>2</v>
      </c>
      <c r="H178" s="5">
        <v>2</v>
      </c>
      <c r="I178" s="2" t="s">
        <v>2176</v>
      </c>
      <c r="J178" s="2" t="s">
        <v>1802</v>
      </c>
      <c r="K178" s="2" t="s">
        <v>1382</v>
      </c>
      <c r="L178" s="2" t="s">
        <v>2167</v>
      </c>
      <c r="M178" s="8" t="s">
        <v>1779</v>
      </c>
      <c r="N178" s="8">
        <v>45159</v>
      </c>
      <c r="O178" s="8">
        <v>45161</v>
      </c>
      <c r="P178" s="8">
        <v>45191</v>
      </c>
      <c r="Q178" s="144">
        <v>45191</v>
      </c>
      <c r="R178" s="223">
        <v>55092</v>
      </c>
      <c r="S178" s="153">
        <v>73.959999999999994</v>
      </c>
      <c r="T178" s="52">
        <v>0</v>
      </c>
      <c r="U178" s="52">
        <v>0</v>
      </c>
      <c r="V178" s="52">
        <v>0</v>
      </c>
      <c r="W178" s="2" t="str" cm="1">
        <f t="array" aca="1" ref="W178" ca="1">TRIM(SUBSTITUTE(_xlfn.ARRAYTOTEXT(IFERROR(CONCATENATE(SUMIF(INDIRECT("'"&amp;Assemblies[Assy]&amp;"'!"&amp;"C$5:C1000"), $C178, INDIRECT("'"&amp;Assemblies[Assy]&amp;"'!"&amp;"O$5:O1000")), "x",Assemblies[Assy],".",IF(SUMIF(INDIRECT("'"&amp;Assemblies[Assy]&amp;"'!"&amp;"C$5:C1000"), $C178, INDIRECT("'"&amp;Assemblies[Assy]&amp;"'!"&amp;"A$5:A1000"))=0,NA(),SUMIF(INDIRECT("'"&amp;Assemblies[Assy]&amp;"'!"&amp;"C$5:C1000"), $C178, INDIRECT("'"&amp;Assemblies[Assy]&amp;"'!"&amp;"A$5:A1000")))),"")), " ,", ""))</f>
        <v>,</v>
      </c>
      <c r="X178" s="2" t="s">
        <v>1382</v>
      </c>
      <c r="Y178" s="2" t="s">
        <v>1382</v>
      </c>
      <c r="Z178" s="2" t="s">
        <v>1382</v>
      </c>
      <c r="AA178" s="2" t="s">
        <v>1382</v>
      </c>
    </row>
    <row r="179" spans="1:27" ht="12.75">
      <c r="A179" s="158" t="s">
        <v>2177</v>
      </c>
      <c r="B179" s="115" t="s">
        <v>54</v>
      </c>
      <c r="C179" s="2" t="str">
        <f t="shared" si="4"/>
        <v>GF12.331.06.A</v>
      </c>
      <c r="D179" s="155" t="s">
        <v>2178</v>
      </c>
      <c r="E179" s="52">
        <f t="shared" si="5"/>
        <v>73.959999999999994</v>
      </c>
      <c r="F179" s="5" t="e" cm="1">
        <f t="array" aca="1" ref="F179" ca="1">SUMPRODUCT(SUMIF(INDIRECT("'"&amp;Assemblies[Assy]&amp;"'!"&amp;"C$5:C1000"),$C179,(INDIRECT("'"&amp;Assemblies[Assy]&amp;"'!"&amp;"O$5:O1000"))))</f>
        <v>#VALUE!</v>
      </c>
      <c r="G179" s="5">
        <v>2</v>
      </c>
      <c r="H179" s="5">
        <v>2</v>
      </c>
      <c r="I179" s="2" t="s">
        <v>2176</v>
      </c>
      <c r="J179" s="2" t="s">
        <v>1802</v>
      </c>
      <c r="K179" s="2" t="s">
        <v>1382</v>
      </c>
      <c r="L179" s="2" t="s">
        <v>2167</v>
      </c>
      <c r="M179" s="8" t="s">
        <v>1779</v>
      </c>
      <c r="N179" s="8">
        <v>45159</v>
      </c>
      <c r="O179" s="8">
        <v>45161</v>
      </c>
      <c r="P179" s="8">
        <v>45191</v>
      </c>
      <c r="Q179" s="144">
        <v>45191</v>
      </c>
      <c r="R179" s="223">
        <v>55092</v>
      </c>
      <c r="S179" s="153">
        <v>73.959999999999994</v>
      </c>
      <c r="T179" s="52">
        <v>0</v>
      </c>
      <c r="U179" s="52">
        <v>0</v>
      </c>
      <c r="V179" s="52">
        <v>0</v>
      </c>
      <c r="W179" s="2" t="str" cm="1">
        <f t="array" aca="1" ref="W179" ca="1">TRIM(SUBSTITUTE(_xlfn.ARRAYTOTEXT(IFERROR(CONCATENATE(SUMIF(INDIRECT("'"&amp;Assemblies[Assy]&amp;"'!"&amp;"C$5:C1000"), $C179, INDIRECT("'"&amp;Assemblies[Assy]&amp;"'!"&amp;"O$5:O1000")), "x",Assemblies[Assy],".",IF(SUMIF(INDIRECT("'"&amp;Assemblies[Assy]&amp;"'!"&amp;"C$5:C1000"), $C179, INDIRECT("'"&amp;Assemblies[Assy]&amp;"'!"&amp;"A$5:A1000"))=0,NA(),SUMIF(INDIRECT("'"&amp;Assemblies[Assy]&amp;"'!"&amp;"C$5:C1000"), $C179, INDIRECT("'"&amp;Assemblies[Assy]&amp;"'!"&amp;"A$5:A1000")))),"")), " ,", ""))</f>
        <v>,</v>
      </c>
      <c r="X179" s="2" t="s">
        <v>1382</v>
      </c>
      <c r="Y179" s="2" t="s">
        <v>1382</v>
      </c>
      <c r="Z179" s="2" t="s">
        <v>1382</v>
      </c>
      <c r="AA179" s="2" t="s">
        <v>1382</v>
      </c>
    </row>
    <row r="180" spans="1:27" ht="12.75">
      <c r="A180" s="159" t="s">
        <v>2179</v>
      </c>
      <c r="B180" s="115" t="s">
        <v>54</v>
      </c>
      <c r="C180" s="2" t="str">
        <f t="shared" si="4"/>
        <v>GF12.331.07.A</v>
      </c>
      <c r="D180" s="186" t="s">
        <v>2180</v>
      </c>
      <c r="E180" s="52">
        <f t="shared" si="5"/>
        <v>0</v>
      </c>
      <c r="F180" s="5" t="e" cm="1">
        <f t="array" aca="1" ref="F180" ca="1">SUMPRODUCT(SUMIF(INDIRECT("'"&amp;Assemblies[Assy]&amp;"'!"&amp;"C$5:C1000"),$C180,(INDIRECT("'"&amp;Assemblies[Assy]&amp;"'!"&amp;"O$5:O1000"))))</f>
        <v>#VALUE!</v>
      </c>
      <c r="G180" s="5">
        <v>2</v>
      </c>
      <c r="H180" s="5">
        <v>2</v>
      </c>
      <c r="I180" s="2" t="s">
        <v>1782</v>
      </c>
      <c r="J180" s="2" t="s">
        <v>1769</v>
      </c>
      <c r="L180" s="2" t="s">
        <v>2162</v>
      </c>
      <c r="M180" s="116" t="s">
        <v>1779</v>
      </c>
      <c r="N180" s="8">
        <v>45156</v>
      </c>
      <c r="O180" s="8">
        <v>45162</v>
      </c>
      <c r="P180" s="8">
        <v>45190</v>
      </c>
      <c r="Q180" s="144">
        <v>45190</v>
      </c>
      <c r="R180" s="223">
        <v>55101</v>
      </c>
      <c r="S180" s="153">
        <v>0</v>
      </c>
      <c r="T180" s="52">
        <v>0</v>
      </c>
      <c r="U180" s="52">
        <v>0</v>
      </c>
      <c r="V180" s="52">
        <v>0</v>
      </c>
      <c r="W180" s="2" t="str" cm="1">
        <f t="array" aca="1" ref="W180" ca="1">TRIM(SUBSTITUTE(_xlfn.ARRAYTOTEXT(IFERROR(CONCATENATE(SUMIF(INDIRECT("'"&amp;Assemblies[Assy]&amp;"'!"&amp;"C$5:C1000"), $C180, INDIRECT("'"&amp;Assemblies[Assy]&amp;"'!"&amp;"O$5:O1000")), "x",Assemblies[Assy],".",IF(SUMIF(INDIRECT("'"&amp;Assemblies[Assy]&amp;"'!"&amp;"C$5:C1000"), $C180, INDIRECT("'"&amp;Assemblies[Assy]&amp;"'!"&amp;"A$5:A1000"))=0,NA(),SUMIF(INDIRECT("'"&amp;Assemblies[Assy]&amp;"'!"&amp;"C$5:C1000"), $C180, INDIRECT("'"&amp;Assemblies[Assy]&amp;"'!"&amp;"A$5:A1000")))),"")), " ,", ""))</f>
        <v>,</v>
      </c>
      <c r="X180" s="2" t="s">
        <v>1382</v>
      </c>
      <c r="Y180" s="2" t="s">
        <v>1382</v>
      </c>
      <c r="Z180" s="2" t="s">
        <v>1382</v>
      </c>
      <c r="AA180" s="2" t="s">
        <v>1382</v>
      </c>
    </row>
    <row r="181" spans="1:27" ht="12.75">
      <c r="A181" s="158" t="s">
        <v>2181</v>
      </c>
      <c r="B181" s="115" t="s">
        <v>54</v>
      </c>
      <c r="C181" s="2" t="str">
        <f t="shared" si="4"/>
        <v>GF12.331.08.A</v>
      </c>
      <c r="D181" s="155" t="s">
        <v>2182</v>
      </c>
      <c r="E181" s="52">
        <f t="shared" si="5"/>
        <v>0</v>
      </c>
      <c r="F181" s="5" t="e" cm="1">
        <f t="array" aca="1" ref="F181" ca="1">SUMPRODUCT(SUMIF(INDIRECT("'"&amp;Assemblies[Assy]&amp;"'!"&amp;"C$5:C1000"),$C181,(INDIRECT("'"&amp;Assemblies[Assy]&amp;"'!"&amp;"O$5:O1000"))))</f>
        <v>#VALUE!</v>
      </c>
      <c r="G181" s="5">
        <v>2</v>
      </c>
      <c r="H181" s="5">
        <v>2</v>
      </c>
      <c r="I181" s="2" t="s">
        <v>1782</v>
      </c>
      <c r="J181" s="2" t="s">
        <v>1769</v>
      </c>
      <c r="L181" s="2" t="s">
        <v>2162</v>
      </c>
      <c r="M181" s="116" t="s">
        <v>2163</v>
      </c>
      <c r="N181" s="8">
        <v>45156</v>
      </c>
      <c r="O181" s="8">
        <v>45162</v>
      </c>
      <c r="P181" s="8">
        <v>45190</v>
      </c>
      <c r="Q181" s="144">
        <v>45190</v>
      </c>
      <c r="R181" s="223">
        <v>55101</v>
      </c>
      <c r="S181" s="153">
        <v>0</v>
      </c>
      <c r="T181" s="52">
        <v>0</v>
      </c>
      <c r="U181" s="52">
        <v>0</v>
      </c>
      <c r="V181" s="52">
        <v>0</v>
      </c>
      <c r="W181" s="2" t="str" cm="1">
        <f t="array" aca="1" ref="W181" ca="1">TRIM(SUBSTITUTE(_xlfn.ARRAYTOTEXT(IFERROR(CONCATENATE(SUMIF(INDIRECT("'"&amp;Assemblies[Assy]&amp;"'!"&amp;"C$5:C1000"), $C181, INDIRECT("'"&amp;Assemblies[Assy]&amp;"'!"&amp;"O$5:O1000")), "x",Assemblies[Assy],".",IF(SUMIF(INDIRECT("'"&amp;Assemblies[Assy]&amp;"'!"&amp;"C$5:C1000"), $C181, INDIRECT("'"&amp;Assemblies[Assy]&amp;"'!"&amp;"A$5:A1000"))=0,NA(),SUMIF(INDIRECT("'"&amp;Assemblies[Assy]&amp;"'!"&amp;"C$5:C1000"), $C181, INDIRECT("'"&amp;Assemblies[Assy]&amp;"'!"&amp;"A$5:A1000")))),"")), " ,", ""))</f>
        <v>,</v>
      </c>
      <c r="X181" s="2" t="s">
        <v>1382</v>
      </c>
      <c r="Y181" s="2" t="s">
        <v>1382</v>
      </c>
      <c r="Z181" s="2" t="s">
        <v>1382</v>
      </c>
      <c r="AA181" s="2" t="s">
        <v>1382</v>
      </c>
    </row>
    <row r="182" spans="1:27" ht="12.75">
      <c r="A182" s="158" t="s">
        <v>2183</v>
      </c>
      <c r="B182" s="115" t="s">
        <v>54</v>
      </c>
      <c r="C182" s="2" t="str">
        <f t="shared" si="4"/>
        <v>GF12.331.09.A</v>
      </c>
      <c r="D182" s="155" t="s">
        <v>2184</v>
      </c>
      <c r="E182" s="52">
        <f t="shared" si="5"/>
        <v>0</v>
      </c>
      <c r="F182" s="5" t="e" cm="1">
        <f t="array" aca="1" ref="F182" ca="1">SUMPRODUCT(SUMIF(INDIRECT("'"&amp;Assemblies[Assy]&amp;"'!"&amp;"C$5:C1000"),$C182,(INDIRECT("'"&amp;Assemblies[Assy]&amp;"'!"&amp;"O$5:O1000"))))</f>
        <v>#VALUE!</v>
      </c>
      <c r="G182" s="5">
        <v>2</v>
      </c>
      <c r="H182" s="5">
        <v>2</v>
      </c>
      <c r="I182" s="2" t="s">
        <v>1791</v>
      </c>
      <c r="J182" s="2" t="s">
        <v>1769</v>
      </c>
      <c r="L182" s="2" t="s">
        <v>2162</v>
      </c>
      <c r="M182" s="116" t="s">
        <v>2163</v>
      </c>
      <c r="N182" s="8">
        <v>45156</v>
      </c>
      <c r="O182" s="8">
        <v>45162</v>
      </c>
      <c r="P182" s="8">
        <v>45190</v>
      </c>
      <c r="Q182" s="144">
        <v>45190</v>
      </c>
      <c r="R182" s="223">
        <v>55101</v>
      </c>
      <c r="S182" s="153">
        <v>0</v>
      </c>
      <c r="T182" s="52">
        <v>0</v>
      </c>
      <c r="U182" s="52">
        <v>0</v>
      </c>
      <c r="V182" s="52">
        <v>0</v>
      </c>
      <c r="W182" s="2" t="str" cm="1">
        <f t="array" aca="1" ref="W182" ca="1">TRIM(SUBSTITUTE(_xlfn.ARRAYTOTEXT(IFERROR(CONCATENATE(SUMIF(INDIRECT("'"&amp;Assemblies[Assy]&amp;"'!"&amp;"C$5:C1000"), $C182, INDIRECT("'"&amp;Assemblies[Assy]&amp;"'!"&amp;"O$5:O1000")), "x",Assemblies[Assy],".",IF(SUMIF(INDIRECT("'"&amp;Assemblies[Assy]&amp;"'!"&amp;"C$5:C1000"), $C182, INDIRECT("'"&amp;Assemblies[Assy]&amp;"'!"&amp;"A$5:A1000"))=0,NA(),SUMIF(INDIRECT("'"&amp;Assemblies[Assy]&amp;"'!"&amp;"C$5:C1000"), $C182, INDIRECT("'"&amp;Assemblies[Assy]&amp;"'!"&amp;"A$5:A1000")))),"")), " ,", ""))</f>
        <v>,</v>
      </c>
      <c r="X182" s="2" t="s">
        <v>1382</v>
      </c>
      <c r="Y182" s="2" t="s">
        <v>1382</v>
      </c>
      <c r="Z182" s="2" t="s">
        <v>1382</v>
      </c>
      <c r="AA182" s="2" t="s">
        <v>1382</v>
      </c>
    </row>
    <row r="183" spans="1:27" ht="12.75">
      <c r="A183" s="158" t="s">
        <v>2185</v>
      </c>
      <c r="B183" s="115" t="s">
        <v>54</v>
      </c>
      <c r="C183" s="2" t="str">
        <f t="shared" si="4"/>
        <v>GF12.331.10.A</v>
      </c>
      <c r="D183" s="155" t="s">
        <v>2186</v>
      </c>
      <c r="E183" s="52">
        <f t="shared" si="5"/>
        <v>333.5</v>
      </c>
      <c r="F183" s="5" t="e" cm="1">
        <f t="array" aca="1" ref="F183" ca="1">SUMPRODUCT(SUMIF(INDIRECT("'"&amp;Assemblies[Assy]&amp;"'!"&amp;"C$5:C1000"),$C183,(INDIRECT("'"&amp;Assemblies[Assy]&amp;"'!"&amp;"O$5:O1000"))))</f>
        <v>#VALUE!</v>
      </c>
      <c r="G183" s="5">
        <v>1</v>
      </c>
      <c r="H183" s="5">
        <v>1</v>
      </c>
      <c r="I183" s="2" t="s">
        <v>1824</v>
      </c>
      <c r="J183" s="2" t="s">
        <v>1761</v>
      </c>
      <c r="K183" s="2" t="s">
        <v>1762</v>
      </c>
      <c r="L183" s="2" t="s">
        <v>1951</v>
      </c>
      <c r="M183" s="214" t="s">
        <v>1974</v>
      </c>
      <c r="N183" s="8">
        <v>45194</v>
      </c>
      <c r="O183" s="8">
        <v>45196</v>
      </c>
      <c r="P183" s="8">
        <v>45219</v>
      </c>
      <c r="Q183" s="144">
        <v>45219</v>
      </c>
      <c r="R183" s="223">
        <v>55166</v>
      </c>
      <c r="S183" s="153">
        <v>333.5</v>
      </c>
      <c r="T183" s="52">
        <v>0</v>
      </c>
      <c r="U183" s="52">
        <v>0</v>
      </c>
      <c r="V183" s="52">
        <v>0</v>
      </c>
      <c r="W183" s="2" t="str" cm="1">
        <f t="array" aca="1" ref="W183" ca="1">TRIM(SUBSTITUTE(_xlfn.ARRAYTOTEXT(IFERROR(CONCATENATE(SUMIF(INDIRECT("'"&amp;Assemblies[Assy]&amp;"'!"&amp;"C$5:C1000"), $C183, INDIRECT("'"&amp;Assemblies[Assy]&amp;"'!"&amp;"O$5:O1000")), "x",Assemblies[Assy],".",IF(SUMIF(INDIRECT("'"&amp;Assemblies[Assy]&amp;"'!"&amp;"C$5:C1000"), $C183, INDIRECT("'"&amp;Assemblies[Assy]&amp;"'!"&amp;"A$5:A1000"))=0,NA(),SUMIF(INDIRECT("'"&amp;Assemblies[Assy]&amp;"'!"&amp;"C$5:C1000"), $C183, INDIRECT("'"&amp;Assemblies[Assy]&amp;"'!"&amp;"A$5:A1000")))),"")), " ,", ""))</f>
        <v>,</v>
      </c>
      <c r="X183" s="2" t="s">
        <v>1382</v>
      </c>
      <c r="Y183" s="2" t="s">
        <v>1382</v>
      </c>
      <c r="Z183" s="2" t="s">
        <v>1382</v>
      </c>
      <c r="AA183" s="2" t="s">
        <v>1382</v>
      </c>
    </row>
    <row r="184" spans="1:27" ht="12.75">
      <c r="A184" s="158" t="s">
        <v>2187</v>
      </c>
      <c r="B184" s="115" t="s">
        <v>54</v>
      </c>
      <c r="C184" s="2" t="str">
        <f t="shared" si="4"/>
        <v>GF12.332.01.A</v>
      </c>
      <c r="D184" s="155" t="s">
        <v>2188</v>
      </c>
      <c r="E184" s="52">
        <f t="shared" si="5"/>
        <v>37.89</v>
      </c>
      <c r="F184" s="5" t="e" cm="1">
        <f t="array" aca="1" ref="F184" ca="1">SUMPRODUCT(SUMIF(INDIRECT("'"&amp;Assemblies[Assy]&amp;"'!"&amp;"C$5:C1000"),$C184,(INDIRECT("'"&amp;Assemblies[Assy]&amp;"'!"&amp;"O$5:O1000"))))</f>
        <v>#VALUE!</v>
      </c>
      <c r="G184" s="5">
        <v>13</v>
      </c>
      <c r="H184" s="5">
        <v>13</v>
      </c>
      <c r="I184" s="2" t="s">
        <v>1791</v>
      </c>
      <c r="J184" s="2" t="s">
        <v>1769</v>
      </c>
      <c r="K184" s="2" t="s">
        <v>1382</v>
      </c>
      <c r="L184" s="2" t="s">
        <v>1803</v>
      </c>
      <c r="M184" s="8" t="s">
        <v>1779</v>
      </c>
      <c r="N184" s="8">
        <v>45161</v>
      </c>
      <c r="O184" s="8">
        <v>45161</v>
      </c>
      <c r="P184" s="8">
        <v>45181</v>
      </c>
      <c r="Q184" s="144">
        <v>45181</v>
      </c>
      <c r="R184" s="223">
        <v>55095</v>
      </c>
      <c r="S184" s="153">
        <v>37.89</v>
      </c>
      <c r="T184" s="52">
        <v>0</v>
      </c>
      <c r="U184" s="52">
        <v>0</v>
      </c>
      <c r="V184" s="52">
        <v>0</v>
      </c>
      <c r="W184" s="2" t="str" cm="1">
        <f t="array" aca="1" ref="W184" ca="1">TRIM(SUBSTITUTE(_xlfn.ARRAYTOTEXT(IFERROR(CONCATENATE(SUMIF(INDIRECT("'"&amp;Assemblies[Assy]&amp;"'!"&amp;"C$5:C1000"), $C184, INDIRECT("'"&amp;Assemblies[Assy]&amp;"'!"&amp;"O$5:O1000")), "x",Assemblies[Assy],".",IF(SUMIF(INDIRECT("'"&amp;Assemblies[Assy]&amp;"'!"&amp;"C$5:C1000"), $C184, INDIRECT("'"&amp;Assemblies[Assy]&amp;"'!"&amp;"A$5:A1000"))=0,NA(),SUMIF(INDIRECT("'"&amp;Assemblies[Assy]&amp;"'!"&amp;"C$5:C1000"), $C184, INDIRECT("'"&amp;Assemblies[Assy]&amp;"'!"&amp;"A$5:A1000")))),"")), " ,", ""))</f>
        <v>,</v>
      </c>
      <c r="X184" s="2" t="s">
        <v>1382</v>
      </c>
      <c r="Y184" s="2" t="s">
        <v>1382</v>
      </c>
      <c r="Z184" s="2" t="s">
        <v>1382</v>
      </c>
      <c r="AA184" s="2" t="s">
        <v>1382</v>
      </c>
    </row>
    <row r="185" spans="1:27" ht="12.75">
      <c r="A185" s="158" t="s">
        <v>2189</v>
      </c>
      <c r="B185" s="115" t="s">
        <v>54</v>
      </c>
      <c r="C185" s="2" t="str">
        <f t="shared" si="4"/>
        <v>GF12.332.02.A</v>
      </c>
      <c r="D185" s="155" t="s">
        <v>2190</v>
      </c>
      <c r="E185" s="52">
        <f t="shared" si="5"/>
        <v>62.17</v>
      </c>
      <c r="F185" s="5" t="e" cm="1">
        <f t="array" aca="1" ref="F185" ca="1">SUMPRODUCT(SUMIF(INDIRECT("'"&amp;Assemblies[Assy]&amp;"'!"&amp;"C$5:C1000"),$C185,(INDIRECT("'"&amp;Assemblies[Assy]&amp;"'!"&amp;"O$5:O1000"))))</f>
        <v>#VALUE!</v>
      </c>
      <c r="G185" s="5">
        <v>2</v>
      </c>
      <c r="H185" s="5">
        <v>2</v>
      </c>
      <c r="I185" s="2" t="s">
        <v>2176</v>
      </c>
      <c r="J185" s="2" t="s">
        <v>1802</v>
      </c>
      <c r="K185" s="2" t="s">
        <v>1382</v>
      </c>
      <c r="L185" s="2" t="s">
        <v>2167</v>
      </c>
      <c r="M185" s="8" t="s">
        <v>1779</v>
      </c>
      <c r="N185" s="8">
        <v>45159</v>
      </c>
      <c r="O185" s="8">
        <v>45161</v>
      </c>
      <c r="P185" s="8">
        <v>45191</v>
      </c>
      <c r="Q185" s="144">
        <v>45191</v>
      </c>
      <c r="R185" s="223">
        <v>55092</v>
      </c>
      <c r="S185" s="153">
        <v>62.17</v>
      </c>
      <c r="T185" s="52">
        <v>0</v>
      </c>
      <c r="U185" s="52">
        <v>0</v>
      </c>
      <c r="V185" s="52">
        <v>0</v>
      </c>
      <c r="W185" s="2" t="str" cm="1">
        <f t="array" aca="1" ref="W185" ca="1">TRIM(SUBSTITUTE(_xlfn.ARRAYTOTEXT(IFERROR(CONCATENATE(SUMIF(INDIRECT("'"&amp;Assemblies[Assy]&amp;"'!"&amp;"C$5:C1000"), $C185, INDIRECT("'"&amp;Assemblies[Assy]&amp;"'!"&amp;"O$5:O1000")), "x",Assemblies[Assy],".",IF(SUMIF(INDIRECT("'"&amp;Assemblies[Assy]&amp;"'!"&amp;"C$5:C1000"), $C185, INDIRECT("'"&amp;Assemblies[Assy]&amp;"'!"&amp;"A$5:A1000"))=0,NA(),SUMIF(INDIRECT("'"&amp;Assemblies[Assy]&amp;"'!"&amp;"C$5:C1000"), $C185, INDIRECT("'"&amp;Assemblies[Assy]&amp;"'!"&amp;"A$5:A1000")))),"")), " ,", ""))</f>
        <v>,</v>
      </c>
      <c r="X185" s="2" t="s">
        <v>1382</v>
      </c>
      <c r="Y185" s="2" t="s">
        <v>1382</v>
      </c>
      <c r="Z185" s="2" t="s">
        <v>1382</v>
      </c>
      <c r="AA185" s="2" t="s">
        <v>1382</v>
      </c>
    </row>
    <row r="186" spans="1:27" ht="12.75">
      <c r="A186" s="158" t="s">
        <v>2191</v>
      </c>
      <c r="B186" s="115" t="s">
        <v>54</v>
      </c>
      <c r="C186" s="2" t="str">
        <f t="shared" si="4"/>
        <v>GF12.332.03.A</v>
      </c>
      <c r="D186" s="155" t="s">
        <v>2192</v>
      </c>
      <c r="E186" s="52">
        <f t="shared" si="5"/>
        <v>61.67</v>
      </c>
      <c r="F186" s="5" t="e" cm="1">
        <f t="array" aca="1" ref="F186" ca="1">SUMPRODUCT(SUMIF(INDIRECT("'"&amp;Assemblies[Assy]&amp;"'!"&amp;"C$5:C1000"),$C186,(INDIRECT("'"&amp;Assemblies[Assy]&amp;"'!"&amp;"O$5:O1000"))))</f>
        <v>#VALUE!</v>
      </c>
      <c r="G186" s="5">
        <v>2</v>
      </c>
      <c r="H186" s="5">
        <v>2</v>
      </c>
      <c r="I186" s="2" t="s">
        <v>2176</v>
      </c>
      <c r="J186" s="2" t="s">
        <v>1802</v>
      </c>
      <c r="K186" s="2" t="s">
        <v>1382</v>
      </c>
      <c r="L186" s="2" t="s">
        <v>2167</v>
      </c>
      <c r="M186" s="8" t="s">
        <v>1779</v>
      </c>
      <c r="N186" s="8">
        <v>45159</v>
      </c>
      <c r="O186" s="8">
        <v>45161</v>
      </c>
      <c r="P186" s="8">
        <v>45191</v>
      </c>
      <c r="Q186" s="144">
        <v>45191</v>
      </c>
      <c r="R186" s="223">
        <v>55092</v>
      </c>
      <c r="S186" s="153">
        <v>61.67</v>
      </c>
      <c r="T186" s="52">
        <v>0</v>
      </c>
      <c r="U186" s="52">
        <v>0</v>
      </c>
      <c r="V186" s="52">
        <v>0</v>
      </c>
      <c r="W186" s="2" t="str" cm="1">
        <f t="array" aca="1" ref="W186" ca="1">TRIM(SUBSTITUTE(_xlfn.ARRAYTOTEXT(IFERROR(CONCATENATE(SUMIF(INDIRECT("'"&amp;Assemblies[Assy]&amp;"'!"&amp;"C$5:C1000"), $C186, INDIRECT("'"&amp;Assemblies[Assy]&amp;"'!"&amp;"O$5:O1000")), "x",Assemblies[Assy],".",IF(SUMIF(INDIRECT("'"&amp;Assemblies[Assy]&amp;"'!"&amp;"C$5:C1000"), $C186, INDIRECT("'"&amp;Assemblies[Assy]&amp;"'!"&amp;"A$5:A1000"))=0,NA(),SUMIF(INDIRECT("'"&amp;Assemblies[Assy]&amp;"'!"&amp;"C$5:C1000"), $C186, INDIRECT("'"&amp;Assemblies[Assy]&amp;"'!"&amp;"A$5:A1000")))),"")), " ,", ""))</f>
        <v>,</v>
      </c>
      <c r="X186" s="2" t="s">
        <v>1382</v>
      </c>
      <c r="Y186" s="2" t="s">
        <v>1382</v>
      </c>
      <c r="Z186" s="2" t="s">
        <v>1382</v>
      </c>
      <c r="AA186" s="2" t="s">
        <v>1382</v>
      </c>
    </row>
    <row r="187" spans="1:27" ht="12.75">
      <c r="A187" s="158" t="s">
        <v>2193</v>
      </c>
      <c r="B187" s="115" t="s">
        <v>54</v>
      </c>
      <c r="C187" s="2" t="str">
        <f t="shared" si="4"/>
        <v>GF12.332.04.A</v>
      </c>
      <c r="D187" s="155" t="s">
        <v>2194</v>
      </c>
      <c r="E187" s="52">
        <f t="shared" si="5"/>
        <v>41.74</v>
      </c>
      <c r="F187" s="5" t="e" cm="1">
        <f t="array" aca="1" ref="F187" ca="1">SUMPRODUCT(SUMIF(INDIRECT("'"&amp;Assemblies[Assy]&amp;"'!"&amp;"C$5:C1000"),$C187,(INDIRECT("'"&amp;Assemblies[Assy]&amp;"'!"&amp;"O$5:O1000"))))</f>
        <v>#VALUE!</v>
      </c>
      <c r="G187" s="5">
        <v>4</v>
      </c>
      <c r="H187" s="5">
        <v>4</v>
      </c>
      <c r="I187" s="2" t="s">
        <v>2176</v>
      </c>
      <c r="J187" s="2" t="s">
        <v>1802</v>
      </c>
      <c r="K187" s="2" t="s">
        <v>1382</v>
      </c>
      <c r="L187" s="2" t="s">
        <v>2167</v>
      </c>
      <c r="M187" s="8" t="s">
        <v>1779</v>
      </c>
      <c r="N187" s="8">
        <v>45159</v>
      </c>
      <c r="O187" s="8">
        <v>45161</v>
      </c>
      <c r="P187" s="8">
        <v>45191</v>
      </c>
      <c r="Q187" s="144">
        <v>45191</v>
      </c>
      <c r="R187" s="223">
        <v>55092</v>
      </c>
      <c r="S187" s="153">
        <v>41.74</v>
      </c>
      <c r="T187" s="52">
        <v>0</v>
      </c>
      <c r="U187" s="52">
        <v>0</v>
      </c>
      <c r="V187" s="52">
        <v>0</v>
      </c>
      <c r="W187" s="2" t="str" cm="1">
        <f t="array" aca="1" ref="W187" ca="1">TRIM(SUBSTITUTE(_xlfn.ARRAYTOTEXT(IFERROR(CONCATENATE(SUMIF(INDIRECT("'"&amp;Assemblies[Assy]&amp;"'!"&amp;"C$5:C1000"), $C187, INDIRECT("'"&amp;Assemblies[Assy]&amp;"'!"&amp;"O$5:O1000")), "x",Assemblies[Assy],".",IF(SUMIF(INDIRECT("'"&amp;Assemblies[Assy]&amp;"'!"&amp;"C$5:C1000"), $C187, INDIRECT("'"&amp;Assemblies[Assy]&amp;"'!"&amp;"A$5:A1000"))=0,NA(),SUMIF(INDIRECT("'"&amp;Assemblies[Assy]&amp;"'!"&amp;"C$5:C1000"), $C187, INDIRECT("'"&amp;Assemblies[Assy]&amp;"'!"&amp;"A$5:A1000")))),"")), " ,", ""))</f>
        <v>,</v>
      </c>
      <c r="X187" s="2" t="s">
        <v>1382</v>
      </c>
      <c r="Y187" s="2" t="s">
        <v>1382</v>
      </c>
      <c r="Z187" s="2" t="s">
        <v>1382</v>
      </c>
      <c r="AA187" s="2" t="s">
        <v>1382</v>
      </c>
    </row>
    <row r="188" spans="1:27" ht="12.75">
      <c r="A188" s="158" t="s">
        <v>2195</v>
      </c>
      <c r="B188" s="115" t="s">
        <v>54</v>
      </c>
      <c r="C188" s="2" t="str">
        <f t="shared" si="4"/>
        <v>GF12.332.05.A</v>
      </c>
      <c r="D188" s="155" t="s">
        <v>2196</v>
      </c>
      <c r="E188" s="52">
        <f t="shared" si="5"/>
        <v>0</v>
      </c>
      <c r="F188" s="5" t="e" cm="1">
        <f t="array" aca="1" ref="F188" ca="1">SUMPRODUCT(SUMIF(INDIRECT("'"&amp;Assemblies[Assy]&amp;"'!"&amp;"C$5:C1000"),$C188,(INDIRECT("'"&amp;Assemblies[Assy]&amp;"'!"&amp;"O$5:O1000"))))</f>
        <v>#VALUE!</v>
      </c>
      <c r="G188" s="5">
        <v>4</v>
      </c>
      <c r="H188" s="5">
        <v>4</v>
      </c>
      <c r="I188" s="2" t="s">
        <v>1838</v>
      </c>
      <c r="J188" s="2" t="s">
        <v>1761</v>
      </c>
      <c r="K188" s="2" t="s">
        <v>1382</v>
      </c>
      <c r="L188" s="2" t="s">
        <v>1812</v>
      </c>
      <c r="M188" s="8" t="s">
        <v>1779</v>
      </c>
      <c r="N188" s="163" t="s">
        <v>1762</v>
      </c>
      <c r="O188" s="163" t="s">
        <v>1762</v>
      </c>
      <c r="P188" s="163" t="s">
        <v>1762</v>
      </c>
      <c r="Q188" s="163" t="s">
        <v>1762</v>
      </c>
      <c r="R188" s="222" t="s">
        <v>1762</v>
      </c>
      <c r="S188" s="153">
        <v>0</v>
      </c>
      <c r="T188" s="52">
        <v>0</v>
      </c>
      <c r="U188" s="52">
        <v>0</v>
      </c>
      <c r="V188" s="52">
        <v>0</v>
      </c>
      <c r="W188" s="2" t="str" cm="1">
        <f t="array" aca="1" ref="W188" ca="1">TRIM(SUBSTITUTE(_xlfn.ARRAYTOTEXT(IFERROR(CONCATENATE(SUMIF(INDIRECT("'"&amp;Assemblies[Assy]&amp;"'!"&amp;"C$5:C1000"), $C188, INDIRECT("'"&amp;Assemblies[Assy]&amp;"'!"&amp;"O$5:O1000")), "x",Assemblies[Assy],".",IF(SUMIF(INDIRECT("'"&amp;Assemblies[Assy]&amp;"'!"&amp;"C$5:C1000"), $C188, INDIRECT("'"&amp;Assemblies[Assy]&amp;"'!"&amp;"A$5:A1000"))=0,NA(),SUMIF(INDIRECT("'"&amp;Assemblies[Assy]&amp;"'!"&amp;"C$5:C1000"), $C188, INDIRECT("'"&amp;Assemblies[Assy]&amp;"'!"&amp;"A$5:A1000")))),"")), " ,", ""))</f>
        <v>,</v>
      </c>
      <c r="X188" s="2" t="s">
        <v>1382</v>
      </c>
      <c r="Y188" s="2" t="s">
        <v>1382</v>
      </c>
      <c r="Z188" s="2" t="s">
        <v>1382</v>
      </c>
      <c r="AA188" s="2" t="s">
        <v>1382</v>
      </c>
    </row>
    <row r="189" spans="1:27" ht="12.75">
      <c r="A189" s="158" t="s">
        <v>2197</v>
      </c>
      <c r="B189" s="115" t="s">
        <v>58</v>
      </c>
      <c r="C189" s="2" t="str">
        <f t="shared" si="4"/>
        <v>GF12.332.06.C</v>
      </c>
      <c r="D189" s="155" t="s">
        <v>2198</v>
      </c>
      <c r="E189" s="52">
        <f t="shared" si="5"/>
        <v>0</v>
      </c>
      <c r="F189" s="5" t="e" cm="1">
        <f t="array" aca="1" ref="F189" ca="1">SUMPRODUCT(SUMIF(INDIRECT("'"&amp;Assemblies[Assy]&amp;"'!"&amp;"C$5:C1000"),$C189,(INDIRECT("'"&amp;Assemblies[Assy]&amp;"'!"&amp;"O$5:O1000"))))</f>
        <v>#VALUE!</v>
      </c>
      <c r="G189" s="5">
        <v>2</v>
      </c>
      <c r="H189" s="5">
        <v>2</v>
      </c>
      <c r="I189" s="2" t="s">
        <v>1791</v>
      </c>
      <c r="J189" s="2" t="s">
        <v>1769</v>
      </c>
      <c r="K189" s="2" t="s">
        <v>1382</v>
      </c>
      <c r="L189" s="2" t="s">
        <v>1812</v>
      </c>
      <c r="M189" s="8" t="s">
        <v>1779</v>
      </c>
      <c r="N189" s="163" t="s">
        <v>1762</v>
      </c>
      <c r="O189" s="163" t="s">
        <v>1762</v>
      </c>
      <c r="P189" s="163" t="s">
        <v>1762</v>
      </c>
      <c r="Q189" s="163" t="s">
        <v>1762</v>
      </c>
      <c r="R189" s="222" t="s">
        <v>1762</v>
      </c>
      <c r="S189" s="153">
        <v>0</v>
      </c>
      <c r="T189" s="52">
        <v>0</v>
      </c>
      <c r="U189" s="52">
        <v>0</v>
      </c>
      <c r="V189" s="52">
        <v>0</v>
      </c>
      <c r="W189" s="2" t="str" cm="1">
        <f t="array" aca="1" ref="W189" ca="1">TRIM(SUBSTITUTE(_xlfn.ARRAYTOTEXT(IFERROR(CONCATENATE(SUMIF(INDIRECT("'"&amp;Assemblies[Assy]&amp;"'!"&amp;"C$5:C1000"), $C189, INDIRECT("'"&amp;Assemblies[Assy]&amp;"'!"&amp;"O$5:O1000")), "x",Assemblies[Assy],".",IF(SUMIF(INDIRECT("'"&amp;Assemblies[Assy]&amp;"'!"&amp;"C$5:C1000"), $C189, INDIRECT("'"&amp;Assemblies[Assy]&amp;"'!"&amp;"A$5:A1000"))=0,NA(),SUMIF(INDIRECT("'"&amp;Assemblies[Assy]&amp;"'!"&amp;"C$5:C1000"), $C189, INDIRECT("'"&amp;Assemblies[Assy]&amp;"'!"&amp;"A$5:A1000")))),"")), " ,", ""))</f>
        <v>,</v>
      </c>
      <c r="X189" s="2" t="s">
        <v>1382</v>
      </c>
      <c r="Y189" s="2" t="s">
        <v>1382</v>
      </c>
      <c r="Z189" s="2" t="s">
        <v>1382</v>
      </c>
      <c r="AA189" s="2" t="s">
        <v>1382</v>
      </c>
    </row>
    <row r="190" spans="1:27" ht="12.75">
      <c r="A190" s="158" t="s">
        <v>2199</v>
      </c>
      <c r="B190" s="115" t="s">
        <v>54</v>
      </c>
      <c r="C190" s="2" t="str">
        <f t="shared" si="4"/>
        <v>GF12.332.07.A</v>
      </c>
      <c r="D190" s="155" t="s">
        <v>2200</v>
      </c>
      <c r="E190" s="52">
        <f t="shared" si="5"/>
        <v>27.97</v>
      </c>
      <c r="F190" s="5" t="e" cm="1">
        <f t="array" aca="1" ref="F190" ca="1">SUMPRODUCT(SUMIF(INDIRECT("'"&amp;Assemblies[Assy]&amp;"'!"&amp;"C$5:C1000"),$C190,(INDIRECT("'"&amp;Assemblies[Assy]&amp;"'!"&amp;"O$5:O1000"))))</f>
        <v>#VALUE!</v>
      </c>
      <c r="G190" s="5">
        <v>16</v>
      </c>
      <c r="H190" s="5">
        <v>16</v>
      </c>
      <c r="I190" s="2" t="s">
        <v>1791</v>
      </c>
      <c r="J190" s="2" t="s">
        <v>1769</v>
      </c>
      <c r="K190" s="2" t="s">
        <v>1382</v>
      </c>
      <c r="L190" s="2" t="s">
        <v>1803</v>
      </c>
      <c r="M190" s="8" t="s">
        <v>1779</v>
      </c>
      <c r="N190" s="8">
        <v>45161</v>
      </c>
      <c r="O190" s="8">
        <v>45161</v>
      </c>
      <c r="P190" s="8">
        <v>45181</v>
      </c>
      <c r="Q190" s="144">
        <v>45181</v>
      </c>
      <c r="R190" s="223">
        <v>55095</v>
      </c>
      <c r="S190" s="153">
        <v>27.97</v>
      </c>
      <c r="T190" s="52">
        <v>0</v>
      </c>
      <c r="U190" s="52">
        <v>0</v>
      </c>
      <c r="V190" s="52">
        <v>0</v>
      </c>
      <c r="W190" s="2" t="str" cm="1">
        <f t="array" aca="1" ref="W190" ca="1">TRIM(SUBSTITUTE(_xlfn.ARRAYTOTEXT(IFERROR(CONCATENATE(SUMIF(INDIRECT("'"&amp;Assemblies[Assy]&amp;"'!"&amp;"C$5:C1000"), $C190, INDIRECT("'"&amp;Assemblies[Assy]&amp;"'!"&amp;"O$5:O1000")), "x",Assemblies[Assy],".",IF(SUMIF(INDIRECT("'"&amp;Assemblies[Assy]&amp;"'!"&amp;"C$5:C1000"), $C190, INDIRECT("'"&amp;Assemblies[Assy]&amp;"'!"&amp;"A$5:A1000"))=0,NA(),SUMIF(INDIRECT("'"&amp;Assemblies[Assy]&amp;"'!"&amp;"C$5:C1000"), $C190, INDIRECT("'"&amp;Assemblies[Assy]&amp;"'!"&amp;"A$5:A1000")))),"")), " ,", ""))</f>
        <v>,</v>
      </c>
      <c r="X190" s="2" t="s">
        <v>1382</v>
      </c>
      <c r="Y190" s="2" t="s">
        <v>1382</v>
      </c>
      <c r="Z190" s="2" t="s">
        <v>1382</v>
      </c>
      <c r="AA190" s="2" t="s">
        <v>1382</v>
      </c>
    </row>
    <row r="191" spans="1:27" ht="12.75">
      <c r="A191" s="158" t="s">
        <v>2201</v>
      </c>
      <c r="B191" s="115" t="s">
        <v>54</v>
      </c>
      <c r="C191" s="2" t="str">
        <f t="shared" si="4"/>
        <v>GF12.332.08.A</v>
      </c>
      <c r="D191" s="155" t="s">
        <v>2202</v>
      </c>
      <c r="E191" s="52">
        <f t="shared" si="5"/>
        <v>26.98</v>
      </c>
      <c r="F191" s="5" t="e" cm="1">
        <f t="array" aca="1" ref="F191" ca="1">SUMPRODUCT(SUMIF(INDIRECT("'"&amp;Assemblies[Assy]&amp;"'!"&amp;"C$5:C1000"),$C191,(INDIRECT("'"&amp;Assemblies[Assy]&amp;"'!"&amp;"O$5:O1000"))))</f>
        <v>#VALUE!</v>
      </c>
      <c r="G191" s="5">
        <v>32</v>
      </c>
      <c r="H191" s="5">
        <v>32</v>
      </c>
      <c r="I191" s="2" t="s">
        <v>1791</v>
      </c>
      <c r="J191" s="2" t="s">
        <v>1769</v>
      </c>
      <c r="K191" s="2" t="s">
        <v>1382</v>
      </c>
      <c r="L191" s="2" t="s">
        <v>1803</v>
      </c>
      <c r="M191" s="8" t="s">
        <v>1779</v>
      </c>
      <c r="N191" s="8">
        <v>45161</v>
      </c>
      <c r="O191" s="8">
        <v>45161</v>
      </c>
      <c r="P191" s="8">
        <v>45181</v>
      </c>
      <c r="Q191" s="144">
        <v>45181</v>
      </c>
      <c r="R191" s="223">
        <v>55095</v>
      </c>
      <c r="S191" s="153">
        <v>26.98</v>
      </c>
      <c r="T191" s="52">
        <v>0</v>
      </c>
      <c r="U191" s="52">
        <v>0</v>
      </c>
      <c r="V191" s="52">
        <v>0</v>
      </c>
      <c r="W191" s="2" t="str" cm="1">
        <f t="array" aca="1" ref="W191" ca="1">TRIM(SUBSTITUTE(_xlfn.ARRAYTOTEXT(IFERROR(CONCATENATE(SUMIF(INDIRECT("'"&amp;Assemblies[Assy]&amp;"'!"&amp;"C$5:C1000"), $C191, INDIRECT("'"&amp;Assemblies[Assy]&amp;"'!"&amp;"O$5:O1000")), "x",Assemblies[Assy],".",IF(SUMIF(INDIRECT("'"&amp;Assemblies[Assy]&amp;"'!"&amp;"C$5:C1000"), $C191, INDIRECT("'"&amp;Assemblies[Assy]&amp;"'!"&amp;"A$5:A1000"))=0,NA(),SUMIF(INDIRECT("'"&amp;Assemblies[Assy]&amp;"'!"&amp;"C$5:C1000"), $C191, INDIRECT("'"&amp;Assemblies[Assy]&amp;"'!"&amp;"A$5:A1000")))),"")), " ,", ""))</f>
        <v>,</v>
      </c>
      <c r="X191" s="2" t="s">
        <v>1382</v>
      </c>
      <c r="Y191" s="2" t="s">
        <v>1382</v>
      </c>
      <c r="Z191" s="2" t="s">
        <v>1382</v>
      </c>
      <c r="AA191" s="2" t="s">
        <v>1382</v>
      </c>
    </row>
    <row r="192" spans="1:27" ht="12.75">
      <c r="A192" s="115" t="s">
        <v>2203</v>
      </c>
      <c r="B192" s="115" t="s">
        <v>54</v>
      </c>
      <c r="C192" s="2" t="str">
        <f t="shared" si="4"/>
        <v>GF12.332.09.A</v>
      </c>
      <c r="D192" s="2" t="s">
        <v>2204</v>
      </c>
      <c r="E192" s="52">
        <f t="shared" si="5"/>
        <v>45.87</v>
      </c>
      <c r="F192" s="5" t="e" cm="1">
        <f t="array" aca="1" ref="F192" ca="1">SUMPRODUCT(SUMIF(INDIRECT("'"&amp;Assemblies[Assy]&amp;"'!"&amp;"C$5:C1000"),$C192,(INDIRECT("'"&amp;Assemblies[Assy]&amp;"'!"&amp;"O$5:O1000"))))</f>
        <v>#VALUE!</v>
      </c>
      <c r="G192" s="5">
        <v>8</v>
      </c>
      <c r="H192" s="5">
        <v>8</v>
      </c>
      <c r="I192" s="2" t="s">
        <v>1791</v>
      </c>
      <c r="J192" s="2" t="s">
        <v>1769</v>
      </c>
      <c r="K192" s="2" t="s">
        <v>1382</v>
      </c>
      <c r="L192" s="2" t="s">
        <v>1803</v>
      </c>
      <c r="M192" s="8" t="s">
        <v>1779</v>
      </c>
      <c r="N192" s="8">
        <v>45161</v>
      </c>
      <c r="O192" s="8">
        <v>45161</v>
      </c>
      <c r="P192" s="8">
        <v>45181</v>
      </c>
      <c r="Q192" s="144">
        <v>45181</v>
      </c>
      <c r="R192" s="223">
        <v>55095</v>
      </c>
      <c r="S192" s="153">
        <v>45.87</v>
      </c>
      <c r="T192" s="52">
        <v>0</v>
      </c>
      <c r="U192" s="52">
        <v>0</v>
      </c>
      <c r="V192" s="52">
        <v>0</v>
      </c>
      <c r="W192" s="2" t="str" cm="1">
        <f t="array" aca="1" ref="W192" ca="1">TRIM(SUBSTITUTE(_xlfn.ARRAYTOTEXT(IFERROR(CONCATENATE(SUMIF(INDIRECT("'"&amp;Assemblies[Assy]&amp;"'!"&amp;"C$5:C1000"), $C192, INDIRECT("'"&amp;Assemblies[Assy]&amp;"'!"&amp;"O$5:O1000")), "x",Assemblies[Assy],".",IF(SUMIF(INDIRECT("'"&amp;Assemblies[Assy]&amp;"'!"&amp;"C$5:C1000"), $C192, INDIRECT("'"&amp;Assemblies[Assy]&amp;"'!"&amp;"A$5:A1000"))=0,NA(),SUMIF(INDIRECT("'"&amp;Assemblies[Assy]&amp;"'!"&amp;"C$5:C1000"), $C192, INDIRECT("'"&amp;Assemblies[Assy]&amp;"'!"&amp;"A$5:A1000")))),"")), " ,", ""))</f>
        <v>,</v>
      </c>
      <c r="X192" s="2" t="s">
        <v>1382</v>
      </c>
      <c r="Y192" s="2" t="s">
        <v>1382</v>
      </c>
      <c r="Z192" s="2" t="s">
        <v>1382</v>
      </c>
      <c r="AA192" s="2" t="s">
        <v>1382</v>
      </c>
    </row>
    <row r="193" spans="1:27" ht="12.75">
      <c r="A193" s="115" t="s">
        <v>2205</v>
      </c>
      <c r="B193" s="115" t="s">
        <v>54</v>
      </c>
      <c r="C193" s="2" t="str">
        <f t="shared" si="4"/>
        <v>GF12.333.02.A</v>
      </c>
      <c r="D193" s="2" t="s">
        <v>2206</v>
      </c>
      <c r="E193" s="52">
        <f t="shared" si="5"/>
        <v>64.5</v>
      </c>
      <c r="F193" s="5" t="e" cm="1">
        <f t="array" aca="1" ref="F193" ca="1">SUMPRODUCT(SUMIF(INDIRECT("'"&amp;Assemblies[Assy]&amp;"'!"&amp;"C$5:C1000"),$C193,(INDIRECT("'"&amp;Assemblies[Assy]&amp;"'!"&amp;"O$5:O1000"))))</f>
        <v>#VALUE!</v>
      </c>
      <c r="G193" s="5">
        <v>2</v>
      </c>
      <c r="H193" s="5">
        <v>2</v>
      </c>
      <c r="I193" s="2" t="s">
        <v>2176</v>
      </c>
      <c r="J193" s="2" t="s">
        <v>1802</v>
      </c>
      <c r="K193" s="2" t="s">
        <v>1382</v>
      </c>
      <c r="L193" s="2" t="s">
        <v>2167</v>
      </c>
      <c r="M193" s="8" t="s">
        <v>1779</v>
      </c>
      <c r="N193" s="8">
        <v>45159</v>
      </c>
      <c r="O193" s="8">
        <v>45161</v>
      </c>
      <c r="P193" s="8">
        <v>45191</v>
      </c>
      <c r="Q193" s="144">
        <v>45191</v>
      </c>
      <c r="R193" s="223">
        <v>55092</v>
      </c>
      <c r="S193" s="153">
        <v>64.5</v>
      </c>
      <c r="T193" s="52">
        <v>0</v>
      </c>
      <c r="U193" s="52">
        <v>0</v>
      </c>
      <c r="V193" s="52">
        <v>0</v>
      </c>
      <c r="W193" s="2" t="str" cm="1">
        <f t="array" aca="1" ref="W193" ca="1">TRIM(SUBSTITUTE(_xlfn.ARRAYTOTEXT(IFERROR(CONCATENATE(SUMIF(INDIRECT("'"&amp;Assemblies[Assy]&amp;"'!"&amp;"C$5:C1000"), $C193, INDIRECT("'"&amp;Assemblies[Assy]&amp;"'!"&amp;"O$5:O1000")), "x",Assemblies[Assy],".",IF(SUMIF(INDIRECT("'"&amp;Assemblies[Assy]&amp;"'!"&amp;"C$5:C1000"), $C193, INDIRECT("'"&amp;Assemblies[Assy]&amp;"'!"&amp;"A$5:A1000"))=0,NA(),SUMIF(INDIRECT("'"&amp;Assemblies[Assy]&amp;"'!"&amp;"C$5:C1000"), $C193, INDIRECT("'"&amp;Assemblies[Assy]&amp;"'!"&amp;"A$5:A1000")))),"")), " ,", ""))</f>
        <v>,</v>
      </c>
      <c r="X193" s="2" t="s">
        <v>1382</v>
      </c>
      <c r="Y193" s="2" t="s">
        <v>1382</v>
      </c>
      <c r="Z193" s="2" t="s">
        <v>1382</v>
      </c>
      <c r="AA193" s="2" t="s">
        <v>1382</v>
      </c>
    </row>
    <row r="194" spans="1:27" ht="12.75">
      <c r="A194" s="115" t="s">
        <v>2207</v>
      </c>
      <c r="B194" s="115" t="s">
        <v>54</v>
      </c>
      <c r="C194" s="2" t="str">
        <f t="shared" ref="C194:C257" si="6">_xlfn.CONCAT(A194,".",B194)</f>
        <v>GF12.333.03.A</v>
      </c>
      <c r="D194" s="2" t="s">
        <v>2208</v>
      </c>
      <c r="E194" s="52">
        <f t="shared" ref="E194:E257" si="7">S194+T194+U194+(65*V194)</f>
        <v>63.92</v>
      </c>
      <c r="F194" s="5" t="e" cm="1">
        <f t="array" aca="1" ref="F194" ca="1">SUMPRODUCT(SUMIF(INDIRECT("'"&amp;Assemblies[Assy]&amp;"'!"&amp;"C$5:C1000"),$C194,(INDIRECT("'"&amp;Assemblies[Assy]&amp;"'!"&amp;"O$5:O1000"))))</f>
        <v>#VALUE!</v>
      </c>
      <c r="G194" s="5">
        <v>2</v>
      </c>
      <c r="H194" s="5">
        <v>2</v>
      </c>
      <c r="I194" s="2" t="s">
        <v>2176</v>
      </c>
      <c r="J194" s="2" t="s">
        <v>1802</v>
      </c>
      <c r="K194" s="2" t="s">
        <v>1382</v>
      </c>
      <c r="L194" s="2" t="s">
        <v>2167</v>
      </c>
      <c r="M194" s="8" t="s">
        <v>1779</v>
      </c>
      <c r="N194" s="8">
        <v>45159</v>
      </c>
      <c r="O194" s="8">
        <v>45161</v>
      </c>
      <c r="P194" s="8">
        <v>45191</v>
      </c>
      <c r="Q194" s="144">
        <v>45191</v>
      </c>
      <c r="R194" s="223">
        <v>55092</v>
      </c>
      <c r="S194" s="153">
        <v>63.92</v>
      </c>
      <c r="T194" s="52">
        <v>0</v>
      </c>
      <c r="U194" s="52">
        <v>0</v>
      </c>
      <c r="V194" s="52">
        <v>0</v>
      </c>
      <c r="W194" s="2" t="str" cm="1">
        <f t="array" aca="1" ref="W194" ca="1">TRIM(SUBSTITUTE(_xlfn.ARRAYTOTEXT(IFERROR(CONCATENATE(SUMIF(INDIRECT("'"&amp;Assemblies[Assy]&amp;"'!"&amp;"C$5:C1000"), $C194, INDIRECT("'"&amp;Assemblies[Assy]&amp;"'!"&amp;"O$5:O1000")), "x",Assemblies[Assy],".",IF(SUMIF(INDIRECT("'"&amp;Assemblies[Assy]&amp;"'!"&amp;"C$5:C1000"), $C194, INDIRECT("'"&amp;Assemblies[Assy]&amp;"'!"&amp;"A$5:A1000"))=0,NA(),SUMIF(INDIRECT("'"&amp;Assemblies[Assy]&amp;"'!"&amp;"C$5:C1000"), $C194, INDIRECT("'"&amp;Assemblies[Assy]&amp;"'!"&amp;"A$5:A1000")))),"")), " ,", ""))</f>
        <v>,</v>
      </c>
      <c r="X194" s="2" t="s">
        <v>1382</v>
      </c>
      <c r="Y194" s="2" t="s">
        <v>1382</v>
      </c>
      <c r="Z194" s="2" t="s">
        <v>1382</v>
      </c>
      <c r="AA194" s="2" t="s">
        <v>1382</v>
      </c>
    </row>
    <row r="195" spans="1:27" ht="12.75">
      <c r="A195" s="115" t="s">
        <v>2209</v>
      </c>
      <c r="B195" s="115" t="s">
        <v>54</v>
      </c>
      <c r="C195" s="2" t="str">
        <f t="shared" si="6"/>
        <v>GF12.334.01.A</v>
      </c>
      <c r="D195" s="2" t="s">
        <v>2210</v>
      </c>
      <c r="E195" s="52">
        <f t="shared" si="7"/>
        <v>65.08</v>
      </c>
      <c r="F195" s="5" t="e" cm="1">
        <f t="array" aca="1" ref="F195" ca="1">SUMPRODUCT(SUMIF(INDIRECT("'"&amp;Assemblies[Assy]&amp;"'!"&amp;"C$5:C1000"),$C195,(INDIRECT("'"&amp;Assemblies[Assy]&amp;"'!"&amp;"O$5:O1000"))))</f>
        <v>#VALUE!</v>
      </c>
      <c r="G195" s="5">
        <v>2</v>
      </c>
      <c r="H195" s="5">
        <v>2</v>
      </c>
      <c r="I195" s="2" t="s">
        <v>2176</v>
      </c>
      <c r="J195" s="2" t="s">
        <v>1802</v>
      </c>
      <c r="K195" s="2" t="s">
        <v>1382</v>
      </c>
      <c r="L195" s="2" t="s">
        <v>2167</v>
      </c>
      <c r="M195" s="8" t="s">
        <v>1779</v>
      </c>
      <c r="N195" s="8">
        <v>45159</v>
      </c>
      <c r="O195" s="8">
        <v>45161</v>
      </c>
      <c r="P195" s="8">
        <v>45191</v>
      </c>
      <c r="Q195" s="144">
        <v>45191</v>
      </c>
      <c r="R195" s="223">
        <v>55092</v>
      </c>
      <c r="S195" s="153">
        <v>65.08</v>
      </c>
      <c r="T195" s="52">
        <v>0</v>
      </c>
      <c r="U195" s="52">
        <v>0</v>
      </c>
      <c r="V195" s="52">
        <v>0</v>
      </c>
      <c r="W195" s="2" t="str" cm="1">
        <f t="array" aca="1" ref="W195" ca="1">TRIM(SUBSTITUTE(_xlfn.ARRAYTOTEXT(IFERROR(CONCATENATE(SUMIF(INDIRECT("'"&amp;Assemblies[Assy]&amp;"'!"&amp;"C$5:C1000"), $C195, INDIRECT("'"&amp;Assemblies[Assy]&amp;"'!"&amp;"O$5:O1000")), "x",Assemblies[Assy],".",IF(SUMIF(INDIRECT("'"&amp;Assemblies[Assy]&amp;"'!"&amp;"C$5:C1000"), $C195, INDIRECT("'"&amp;Assemblies[Assy]&amp;"'!"&amp;"A$5:A1000"))=0,NA(),SUMIF(INDIRECT("'"&amp;Assemblies[Assy]&amp;"'!"&amp;"C$5:C1000"), $C195, INDIRECT("'"&amp;Assemblies[Assy]&amp;"'!"&amp;"A$5:A1000")))),"")), " ,", ""))</f>
        <v>,</v>
      </c>
      <c r="X195" s="2" t="s">
        <v>1382</v>
      </c>
      <c r="Y195" s="2" t="s">
        <v>1382</v>
      </c>
      <c r="Z195" s="2" t="s">
        <v>1382</v>
      </c>
      <c r="AA195" s="2" t="s">
        <v>1382</v>
      </c>
    </row>
    <row r="196" spans="1:27" ht="12.75">
      <c r="A196" s="115" t="s">
        <v>2211</v>
      </c>
      <c r="B196" s="115" t="s">
        <v>54</v>
      </c>
      <c r="C196" s="2" t="str">
        <f t="shared" si="6"/>
        <v>GF12.341.01.A</v>
      </c>
      <c r="D196" s="2" t="s">
        <v>2212</v>
      </c>
      <c r="E196" s="52">
        <f t="shared" si="7"/>
        <v>0</v>
      </c>
      <c r="F196" s="5" t="e" cm="1">
        <f t="array" aca="1" ref="F196" ca="1">SUMPRODUCT(SUMIF(INDIRECT("'"&amp;Assemblies[Assy]&amp;"'!"&amp;"C$5:C1000"),$C196,(INDIRECT("'"&amp;Assemblies[Assy]&amp;"'!"&amp;"O$5:O1000"))))</f>
        <v>#VALUE!</v>
      </c>
      <c r="G196" s="5">
        <v>4</v>
      </c>
      <c r="H196" s="5">
        <v>4</v>
      </c>
      <c r="I196" s="2" t="s">
        <v>2111</v>
      </c>
      <c r="J196" s="2" t="s">
        <v>2213</v>
      </c>
      <c r="L196" s="2" t="s">
        <v>2162</v>
      </c>
      <c r="M196" s="116" t="s">
        <v>2170</v>
      </c>
      <c r="N196" s="8">
        <v>45156</v>
      </c>
      <c r="O196" s="8">
        <v>45162</v>
      </c>
      <c r="P196" s="8">
        <v>45190</v>
      </c>
      <c r="Q196" s="144">
        <v>45190</v>
      </c>
      <c r="R196" s="223">
        <v>55101</v>
      </c>
      <c r="S196" s="153">
        <v>0</v>
      </c>
      <c r="T196" s="52">
        <v>0</v>
      </c>
      <c r="U196" s="52">
        <v>0</v>
      </c>
      <c r="V196" s="52">
        <v>0</v>
      </c>
      <c r="W196" s="2" t="str" cm="1">
        <f t="array" aca="1" ref="W196" ca="1">TRIM(SUBSTITUTE(_xlfn.ARRAYTOTEXT(IFERROR(CONCATENATE(SUMIF(INDIRECT("'"&amp;Assemblies[Assy]&amp;"'!"&amp;"C$5:C1000"), $C196, INDIRECT("'"&amp;Assemblies[Assy]&amp;"'!"&amp;"O$5:O1000")), "x",Assemblies[Assy],".",IF(SUMIF(INDIRECT("'"&amp;Assemblies[Assy]&amp;"'!"&amp;"C$5:C1000"), $C196, INDIRECT("'"&amp;Assemblies[Assy]&amp;"'!"&amp;"A$5:A1000"))=0,NA(),SUMIF(INDIRECT("'"&amp;Assemblies[Assy]&amp;"'!"&amp;"C$5:C1000"), $C196, INDIRECT("'"&amp;Assemblies[Assy]&amp;"'!"&amp;"A$5:A1000")))),"")), " ,", ""))</f>
        <v>,</v>
      </c>
      <c r="X196" s="2" t="s">
        <v>1773</v>
      </c>
      <c r="Y196" s="2" t="s">
        <v>2214</v>
      </c>
      <c r="Z196" s="2" t="s">
        <v>1382</v>
      </c>
      <c r="AA196" s="2" t="s">
        <v>1382</v>
      </c>
    </row>
    <row r="197" spans="1:27" ht="12.75">
      <c r="A197" s="115" t="s">
        <v>2215</v>
      </c>
      <c r="B197" s="115" t="s">
        <v>54</v>
      </c>
      <c r="C197" s="2" t="str">
        <f t="shared" si="6"/>
        <v>GF12.341.02.A</v>
      </c>
      <c r="D197" s="2" t="s">
        <v>2216</v>
      </c>
      <c r="E197" s="52">
        <f t="shared" si="7"/>
        <v>0</v>
      </c>
      <c r="F197" s="5" t="e" cm="1">
        <f t="array" aca="1" ref="F197" ca="1">SUMPRODUCT(SUMIF(INDIRECT("'"&amp;Assemblies[Assy]&amp;"'!"&amp;"C$5:C1000"),$C197,(INDIRECT("'"&amp;Assemblies[Assy]&amp;"'!"&amp;"O$5:O1000"))))</f>
        <v>#VALUE!</v>
      </c>
      <c r="G197" s="5">
        <v>3</v>
      </c>
      <c r="H197" s="5">
        <v>3</v>
      </c>
      <c r="I197" s="2" t="s">
        <v>2111</v>
      </c>
      <c r="J197" s="2" t="s">
        <v>2213</v>
      </c>
      <c r="L197" s="2" t="s">
        <v>2162</v>
      </c>
      <c r="M197" s="2" t="s">
        <v>1779</v>
      </c>
      <c r="N197" s="8">
        <v>45156</v>
      </c>
      <c r="O197" s="8">
        <v>45162</v>
      </c>
      <c r="P197" s="8">
        <v>45190</v>
      </c>
      <c r="Q197" s="144">
        <v>45190</v>
      </c>
      <c r="R197" s="223">
        <v>55101</v>
      </c>
      <c r="S197" s="153">
        <v>0</v>
      </c>
      <c r="T197" s="52">
        <v>0</v>
      </c>
      <c r="U197" s="52">
        <v>0</v>
      </c>
      <c r="V197" s="52">
        <v>0</v>
      </c>
      <c r="W197" s="2" t="str" cm="1">
        <f t="array" aca="1" ref="W197" ca="1">TRIM(SUBSTITUTE(_xlfn.ARRAYTOTEXT(IFERROR(CONCATENATE(SUMIF(INDIRECT("'"&amp;Assemblies[Assy]&amp;"'!"&amp;"C$5:C1000"), $C197, INDIRECT("'"&amp;Assemblies[Assy]&amp;"'!"&amp;"O$5:O1000")), "x",Assemblies[Assy],".",IF(SUMIF(INDIRECT("'"&amp;Assemblies[Assy]&amp;"'!"&amp;"C$5:C1000"), $C197, INDIRECT("'"&amp;Assemblies[Assy]&amp;"'!"&amp;"A$5:A1000"))=0,NA(),SUMIF(INDIRECT("'"&amp;Assemblies[Assy]&amp;"'!"&amp;"C$5:C1000"), $C197, INDIRECT("'"&amp;Assemblies[Assy]&amp;"'!"&amp;"A$5:A1000")))),"")), " ,", ""))</f>
        <v>,</v>
      </c>
      <c r="X197" s="2" t="s">
        <v>1773</v>
      </c>
      <c r="Y197" s="2" t="s">
        <v>2214</v>
      </c>
      <c r="Z197" s="2" t="s">
        <v>1382</v>
      </c>
      <c r="AA197" s="2" t="s">
        <v>1382</v>
      </c>
    </row>
    <row r="198" spans="1:27" ht="12.75">
      <c r="A198" s="115" t="s">
        <v>2217</v>
      </c>
      <c r="B198" s="115" t="s">
        <v>54</v>
      </c>
      <c r="C198" s="2" t="str">
        <f t="shared" si="6"/>
        <v>GF12.341.03.A</v>
      </c>
      <c r="D198" s="2" t="s">
        <v>2218</v>
      </c>
      <c r="E198" s="52">
        <f t="shared" si="7"/>
        <v>0</v>
      </c>
      <c r="F198" s="5" t="e" cm="1">
        <f t="array" aca="1" ref="F198" ca="1">SUMPRODUCT(SUMIF(INDIRECT("'"&amp;Assemblies[Assy]&amp;"'!"&amp;"C$5:C1000"),$C198,(INDIRECT("'"&amp;Assemblies[Assy]&amp;"'!"&amp;"O$5:O1000"))))</f>
        <v>#VALUE!</v>
      </c>
      <c r="G198" s="5">
        <v>3</v>
      </c>
      <c r="H198" s="5">
        <v>3</v>
      </c>
      <c r="I198" s="2" t="s">
        <v>1782</v>
      </c>
      <c r="J198" s="2" t="s">
        <v>2213</v>
      </c>
      <c r="L198" s="2" t="s">
        <v>2162</v>
      </c>
      <c r="M198" s="2" t="s">
        <v>1779</v>
      </c>
      <c r="N198" s="8">
        <v>45156</v>
      </c>
      <c r="O198" s="8">
        <v>45162</v>
      </c>
      <c r="P198" s="8">
        <v>45190</v>
      </c>
      <c r="Q198" s="144">
        <v>45190</v>
      </c>
      <c r="R198" s="223">
        <v>55101</v>
      </c>
      <c r="S198" s="153">
        <v>0</v>
      </c>
      <c r="T198" s="52">
        <v>0</v>
      </c>
      <c r="U198" s="52">
        <v>0</v>
      </c>
      <c r="V198" s="52">
        <v>0</v>
      </c>
      <c r="W198" s="2" t="str" cm="1">
        <f t="array" aca="1" ref="W198" ca="1">TRIM(SUBSTITUTE(_xlfn.ARRAYTOTEXT(IFERROR(CONCATENATE(SUMIF(INDIRECT("'"&amp;Assemblies[Assy]&amp;"'!"&amp;"C$5:C1000"), $C198, INDIRECT("'"&amp;Assemblies[Assy]&amp;"'!"&amp;"O$5:O1000")), "x",Assemblies[Assy],".",IF(SUMIF(INDIRECT("'"&amp;Assemblies[Assy]&amp;"'!"&amp;"C$5:C1000"), $C198, INDIRECT("'"&amp;Assemblies[Assy]&amp;"'!"&amp;"A$5:A1000"))=0,NA(),SUMIF(INDIRECT("'"&amp;Assemblies[Assy]&amp;"'!"&amp;"C$5:C1000"), $C198, INDIRECT("'"&amp;Assemblies[Assy]&amp;"'!"&amp;"A$5:A1000")))),"")), " ,", ""))</f>
        <v>,</v>
      </c>
      <c r="X198" s="2" t="s">
        <v>1773</v>
      </c>
      <c r="Y198" s="2" t="s">
        <v>2214</v>
      </c>
      <c r="Z198" s="2" t="s">
        <v>1382</v>
      </c>
      <c r="AA198" s="2" t="s">
        <v>1382</v>
      </c>
    </row>
    <row r="199" spans="1:27" ht="12.75">
      <c r="A199" s="115" t="s">
        <v>2219</v>
      </c>
      <c r="B199" s="115" t="s">
        <v>54</v>
      </c>
      <c r="C199" s="2" t="str">
        <f t="shared" si="6"/>
        <v>GF12.341.04.A</v>
      </c>
      <c r="D199" s="2" t="s">
        <v>2220</v>
      </c>
      <c r="E199" s="52">
        <f t="shared" si="7"/>
        <v>0</v>
      </c>
      <c r="F199" s="5" t="e" cm="1">
        <f t="array" aca="1" ref="F199" ca="1">SUMPRODUCT(SUMIF(INDIRECT("'"&amp;Assemblies[Assy]&amp;"'!"&amp;"C$5:C1000"),$C199,(INDIRECT("'"&amp;Assemblies[Assy]&amp;"'!"&amp;"O$5:O1000"))))</f>
        <v>#VALUE!</v>
      </c>
      <c r="G199" s="5">
        <v>2</v>
      </c>
      <c r="H199" s="5">
        <v>2</v>
      </c>
      <c r="I199" s="2" t="s">
        <v>1791</v>
      </c>
      <c r="J199" s="2" t="s">
        <v>1769</v>
      </c>
      <c r="L199" s="2" t="s">
        <v>2162</v>
      </c>
      <c r="M199" s="116" t="s">
        <v>2170</v>
      </c>
      <c r="N199" s="8">
        <v>45156</v>
      </c>
      <c r="O199" s="8">
        <v>45162</v>
      </c>
      <c r="P199" s="8">
        <v>45190</v>
      </c>
      <c r="Q199" s="144">
        <v>45190</v>
      </c>
      <c r="R199" s="223">
        <v>55101</v>
      </c>
      <c r="S199" s="153">
        <v>0</v>
      </c>
      <c r="T199" s="52">
        <v>0</v>
      </c>
      <c r="U199" s="52">
        <v>0</v>
      </c>
      <c r="V199" s="52">
        <v>0</v>
      </c>
      <c r="W199" s="2" t="str" cm="1">
        <f t="array" aca="1" ref="W199" ca="1">TRIM(SUBSTITUTE(_xlfn.ARRAYTOTEXT(IFERROR(CONCATENATE(SUMIF(INDIRECT("'"&amp;Assemblies[Assy]&amp;"'!"&amp;"C$5:C1000"), $C199, INDIRECT("'"&amp;Assemblies[Assy]&amp;"'!"&amp;"O$5:O1000")), "x",Assemblies[Assy],".",IF(SUMIF(INDIRECT("'"&amp;Assemblies[Assy]&amp;"'!"&amp;"C$5:C1000"), $C199, INDIRECT("'"&amp;Assemblies[Assy]&amp;"'!"&amp;"A$5:A1000"))=0,NA(),SUMIF(INDIRECT("'"&amp;Assemblies[Assy]&amp;"'!"&amp;"C$5:C1000"), $C199, INDIRECT("'"&amp;Assemblies[Assy]&amp;"'!"&amp;"A$5:A1000")))),"")), " ,", ""))</f>
        <v>,</v>
      </c>
      <c r="X199" s="2" t="s">
        <v>1382</v>
      </c>
      <c r="Y199" s="2" t="s">
        <v>2214</v>
      </c>
      <c r="Z199" s="2" t="s">
        <v>1382</v>
      </c>
      <c r="AA199" s="2" t="s">
        <v>1382</v>
      </c>
    </row>
    <row r="200" spans="1:27" ht="12.75">
      <c r="A200" s="115" t="s">
        <v>2221</v>
      </c>
      <c r="B200" s="115" t="s">
        <v>56</v>
      </c>
      <c r="C200" s="2" t="str">
        <f t="shared" si="6"/>
        <v>GF12.341.05.B</v>
      </c>
      <c r="D200" s="2" t="s">
        <v>2222</v>
      </c>
      <c r="E200" s="52">
        <f t="shared" si="7"/>
        <v>0</v>
      </c>
      <c r="F200" s="5" t="e" cm="1">
        <f t="array" aca="1" ref="F200" ca="1">SUMPRODUCT(SUMIF(INDIRECT("'"&amp;Assemblies[Assy]&amp;"'!"&amp;"C$5:C1000"),$C200,(INDIRECT("'"&amp;Assemblies[Assy]&amp;"'!"&amp;"O$5:O1000"))))</f>
        <v>#VALUE!</v>
      </c>
      <c r="G200" s="5">
        <v>2</v>
      </c>
      <c r="H200" s="5">
        <v>2</v>
      </c>
      <c r="I200" s="2" t="s">
        <v>2111</v>
      </c>
      <c r="J200" s="2" t="s">
        <v>2213</v>
      </c>
      <c r="L200" s="2" t="s">
        <v>2162</v>
      </c>
      <c r="M200" s="116" t="s">
        <v>2170</v>
      </c>
      <c r="N200" s="8">
        <v>45156</v>
      </c>
      <c r="O200" s="8">
        <v>45162</v>
      </c>
      <c r="P200" s="8">
        <v>45190</v>
      </c>
      <c r="Q200" s="144">
        <v>45190</v>
      </c>
      <c r="R200" s="223">
        <v>55101</v>
      </c>
      <c r="S200" s="153">
        <v>0</v>
      </c>
      <c r="T200" s="52">
        <v>0</v>
      </c>
      <c r="U200" s="52">
        <v>0</v>
      </c>
      <c r="V200" s="52">
        <v>0</v>
      </c>
      <c r="W200" s="2" t="str" cm="1">
        <f t="array" aca="1" ref="W200" ca="1">TRIM(SUBSTITUTE(_xlfn.ARRAYTOTEXT(IFERROR(CONCATENATE(SUMIF(INDIRECT("'"&amp;Assemblies[Assy]&amp;"'!"&amp;"C$5:C1000"), $C200, INDIRECT("'"&amp;Assemblies[Assy]&amp;"'!"&amp;"O$5:O1000")), "x",Assemblies[Assy],".",IF(SUMIF(INDIRECT("'"&amp;Assemblies[Assy]&amp;"'!"&amp;"C$5:C1000"), $C200, INDIRECT("'"&amp;Assemblies[Assy]&amp;"'!"&amp;"A$5:A1000"))=0,NA(),SUMIF(INDIRECT("'"&amp;Assemblies[Assy]&amp;"'!"&amp;"C$5:C1000"), $C200, INDIRECT("'"&amp;Assemblies[Assy]&amp;"'!"&amp;"A$5:A1000")))),"")), " ,", ""))</f>
        <v>,</v>
      </c>
      <c r="X200" s="2" t="s">
        <v>1773</v>
      </c>
      <c r="Y200" s="2" t="s">
        <v>2214</v>
      </c>
      <c r="Z200" s="2" t="s">
        <v>1382</v>
      </c>
      <c r="AA200" s="2" t="s">
        <v>1382</v>
      </c>
    </row>
    <row r="201" spans="1:27" ht="12.75">
      <c r="A201" s="115" t="s">
        <v>2223</v>
      </c>
      <c r="B201" s="115" t="s">
        <v>54</v>
      </c>
      <c r="C201" s="2" t="str">
        <f t="shared" si="6"/>
        <v>GF12.342.01.A</v>
      </c>
      <c r="D201" s="2" t="s">
        <v>2224</v>
      </c>
      <c r="E201" s="52">
        <f t="shared" si="7"/>
        <v>0</v>
      </c>
      <c r="F201" s="5" t="e" cm="1">
        <f t="array" aca="1" ref="F201" ca="1">SUMPRODUCT(SUMIF(INDIRECT("'"&amp;Assemblies[Assy]&amp;"'!"&amp;"C$5:C1000"),$C201,(INDIRECT("'"&amp;Assemblies[Assy]&amp;"'!"&amp;"O$5:O1000"))))</f>
        <v>#VALUE!</v>
      </c>
      <c r="G201" s="5">
        <v>2</v>
      </c>
      <c r="H201" s="5">
        <v>2</v>
      </c>
      <c r="I201" s="2" t="s">
        <v>1782</v>
      </c>
      <c r="J201" s="2" t="s">
        <v>1769</v>
      </c>
      <c r="L201" s="2" t="s">
        <v>2162</v>
      </c>
      <c r="M201" s="116" t="s">
        <v>2170</v>
      </c>
      <c r="N201" s="8">
        <v>45156</v>
      </c>
      <c r="O201" s="8">
        <v>45162</v>
      </c>
      <c r="P201" s="8">
        <v>45190</v>
      </c>
      <c r="Q201" s="144">
        <v>45190</v>
      </c>
      <c r="R201" s="223">
        <v>55101</v>
      </c>
      <c r="S201" s="153">
        <v>0</v>
      </c>
      <c r="T201" s="52">
        <v>0</v>
      </c>
      <c r="U201" s="52">
        <v>0</v>
      </c>
      <c r="V201" s="52">
        <v>0</v>
      </c>
      <c r="W201" s="2" t="str" cm="1">
        <f t="array" aca="1" ref="W201" ca="1">TRIM(SUBSTITUTE(_xlfn.ARRAYTOTEXT(IFERROR(CONCATENATE(SUMIF(INDIRECT("'"&amp;Assemblies[Assy]&amp;"'!"&amp;"C$5:C1000"), $C201, INDIRECT("'"&amp;Assemblies[Assy]&amp;"'!"&amp;"O$5:O1000")), "x",Assemblies[Assy],".",IF(SUMIF(INDIRECT("'"&amp;Assemblies[Assy]&amp;"'!"&amp;"C$5:C1000"), $C201, INDIRECT("'"&amp;Assemblies[Assy]&amp;"'!"&amp;"A$5:A1000"))=0,NA(),SUMIF(INDIRECT("'"&amp;Assemblies[Assy]&amp;"'!"&amp;"C$5:C1000"), $C201, INDIRECT("'"&amp;Assemblies[Assy]&amp;"'!"&amp;"A$5:A1000")))),"")), " ,", ""))</f>
        <v>,</v>
      </c>
      <c r="X201" s="2" t="s">
        <v>1382</v>
      </c>
      <c r="Y201" s="2" t="s">
        <v>2214</v>
      </c>
      <c r="Z201" s="2" t="s">
        <v>1382</v>
      </c>
      <c r="AA201" s="2" t="s">
        <v>1382</v>
      </c>
    </row>
    <row r="202" spans="1:27" ht="12.75">
      <c r="A202" s="115" t="s">
        <v>2225</v>
      </c>
      <c r="B202" s="115" t="s">
        <v>54</v>
      </c>
      <c r="C202" s="161" t="str">
        <f t="shared" si="6"/>
        <v>GF12.342.02.A</v>
      </c>
      <c r="D202" s="161" t="s">
        <v>2226</v>
      </c>
      <c r="E202" s="52">
        <f t="shared" si="7"/>
        <v>0</v>
      </c>
      <c r="F202" s="5" t="e" cm="1">
        <f t="array" aca="1" ref="F202" ca="1">SUMPRODUCT(SUMIF(INDIRECT("'"&amp;Assemblies[Assy]&amp;"'!"&amp;"C$5:C1000"),$C202,(INDIRECT("'"&amp;Assemblies[Assy]&amp;"'!"&amp;"O$5:O1000"))))</f>
        <v>#VALUE!</v>
      </c>
      <c r="G202" s="5">
        <v>2</v>
      </c>
      <c r="H202" s="5">
        <v>2</v>
      </c>
      <c r="I202" s="2" t="s">
        <v>1791</v>
      </c>
      <c r="J202" s="2" t="s">
        <v>1792</v>
      </c>
      <c r="K202" s="2" t="s">
        <v>1382</v>
      </c>
      <c r="L202" s="2" t="s">
        <v>1778</v>
      </c>
      <c r="M202" s="8" t="s">
        <v>1779</v>
      </c>
      <c r="N202" s="8">
        <v>45161</v>
      </c>
      <c r="O202" s="8">
        <v>45161</v>
      </c>
      <c r="P202" s="8">
        <v>45184</v>
      </c>
      <c r="Q202" s="144">
        <v>45184</v>
      </c>
      <c r="R202" s="223">
        <v>55093</v>
      </c>
      <c r="S202" s="153">
        <v>0</v>
      </c>
      <c r="T202" s="52">
        <v>0</v>
      </c>
      <c r="U202" s="52">
        <v>0</v>
      </c>
      <c r="V202" s="52">
        <v>0</v>
      </c>
      <c r="W202" s="2" t="str" cm="1">
        <f t="array" aca="1" ref="W202" ca="1">TRIM(SUBSTITUTE(_xlfn.ARRAYTOTEXT(IFERROR(CONCATENATE(SUMIF(INDIRECT("'"&amp;Assemblies[Assy]&amp;"'!"&amp;"C$5:C1000"), $C202, INDIRECT("'"&amp;Assemblies[Assy]&amp;"'!"&amp;"O$5:O1000")), "x",Assemblies[Assy],".",IF(SUMIF(INDIRECT("'"&amp;Assemblies[Assy]&amp;"'!"&amp;"C$5:C1000"), $C202, INDIRECT("'"&amp;Assemblies[Assy]&amp;"'!"&amp;"A$5:A1000"))=0,NA(),SUMIF(INDIRECT("'"&amp;Assemblies[Assy]&amp;"'!"&amp;"C$5:C1000"), $C202, INDIRECT("'"&amp;Assemblies[Assy]&amp;"'!"&amp;"A$5:A1000")))),"")), " ,", ""))</f>
        <v>,</v>
      </c>
      <c r="X202" s="2" t="s">
        <v>1382</v>
      </c>
      <c r="Y202" s="2" t="s">
        <v>2227</v>
      </c>
      <c r="Z202" s="2" t="s">
        <v>1382</v>
      </c>
      <c r="AA202" s="2" t="s">
        <v>1382</v>
      </c>
    </row>
    <row r="203" spans="1:27" ht="12.75">
      <c r="A203" s="115" t="s">
        <v>2228</v>
      </c>
      <c r="B203" s="115" t="s">
        <v>54</v>
      </c>
      <c r="C203" s="161" t="str">
        <f t="shared" si="6"/>
        <v>GF12.342.03.A</v>
      </c>
      <c r="D203" s="161" t="s">
        <v>2229</v>
      </c>
      <c r="E203" s="52">
        <f t="shared" si="7"/>
        <v>0</v>
      </c>
      <c r="F203" s="5" t="e" cm="1">
        <f t="array" aca="1" ref="F203" ca="1">SUMPRODUCT(SUMIF(INDIRECT("'"&amp;Assemblies[Assy]&amp;"'!"&amp;"C$5:C1000"),$C203,(INDIRECT("'"&amp;Assemblies[Assy]&amp;"'!"&amp;"O$5:O1000"))))</f>
        <v>#VALUE!</v>
      </c>
      <c r="G203" s="5">
        <v>2</v>
      </c>
      <c r="H203" s="5">
        <v>2</v>
      </c>
      <c r="I203" s="2" t="s">
        <v>2230</v>
      </c>
      <c r="J203" s="2" t="s">
        <v>1761</v>
      </c>
      <c r="K203" s="2" t="s">
        <v>1382</v>
      </c>
      <c r="L203" s="2" t="s">
        <v>1783</v>
      </c>
      <c r="M203" s="8" t="s">
        <v>1779</v>
      </c>
      <c r="N203" s="8">
        <v>45161</v>
      </c>
      <c r="O203" s="8">
        <v>45162</v>
      </c>
      <c r="P203" s="8">
        <v>45192</v>
      </c>
      <c r="Q203" s="144">
        <v>45192</v>
      </c>
      <c r="R203" s="223">
        <v>55100</v>
      </c>
      <c r="S203" s="153">
        <v>0</v>
      </c>
      <c r="T203" s="52">
        <v>0</v>
      </c>
      <c r="U203" s="52">
        <v>0</v>
      </c>
      <c r="V203" s="52">
        <v>0</v>
      </c>
      <c r="W203" s="2" t="str" cm="1">
        <f t="array" aca="1" ref="W203" ca="1">TRIM(SUBSTITUTE(_xlfn.ARRAYTOTEXT(IFERROR(CONCATENATE(SUMIF(INDIRECT("'"&amp;Assemblies[Assy]&amp;"'!"&amp;"C$5:C1000"), $C203, INDIRECT("'"&amp;Assemblies[Assy]&amp;"'!"&amp;"O$5:O1000")), "x",Assemblies[Assy],".",IF(SUMIF(INDIRECT("'"&amp;Assemblies[Assy]&amp;"'!"&amp;"C$5:C1000"), $C203, INDIRECT("'"&amp;Assemblies[Assy]&amp;"'!"&amp;"A$5:A1000"))=0,NA(),SUMIF(INDIRECT("'"&amp;Assemblies[Assy]&amp;"'!"&amp;"C$5:C1000"), $C203, INDIRECT("'"&amp;Assemblies[Assy]&amp;"'!"&amp;"A$5:A1000")))),"")), " ,", ""))</f>
        <v>,</v>
      </c>
      <c r="X203" s="2" t="s">
        <v>1382</v>
      </c>
      <c r="Y203" s="2" t="s">
        <v>1382</v>
      </c>
      <c r="Z203" s="2" t="s">
        <v>1382</v>
      </c>
      <c r="AA203" s="2" t="s">
        <v>1382</v>
      </c>
    </row>
    <row r="204" spans="1:27" ht="12.75">
      <c r="A204" s="115" t="s">
        <v>2231</v>
      </c>
      <c r="B204" s="115" t="s">
        <v>54</v>
      </c>
      <c r="C204" s="161" t="str">
        <f t="shared" si="6"/>
        <v>GF12.342.04.A</v>
      </c>
      <c r="D204" s="161" t="s">
        <v>2232</v>
      </c>
      <c r="E204" s="52">
        <f t="shared" si="7"/>
        <v>0</v>
      </c>
      <c r="F204" s="5" t="e" cm="1">
        <f t="array" aca="1" ref="F204" ca="1">SUMPRODUCT(SUMIF(INDIRECT("'"&amp;Assemblies[Assy]&amp;"'!"&amp;"C$5:C1000"),$C204,(INDIRECT("'"&amp;Assemblies[Assy]&amp;"'!"&amp;"O$5:O1000"))))</f>
        <v>#VALUE!</v>
      </c>
      <c r="G204" s="5">
        <v>2</v>
      </c>
      <c r="H204" s="5">
        <v>2</v>
      </c>
      <c r="I204" s="2" t="s">
        <v>2230</v>
      </c>
      <c r="J204" s="2" t="s">
        <v>1761</v>
      </c>
      <c r="K204" s="2" t="s">
        <v>1382</v>
      </c>
      <c r="L204" s="2" t="s">
        <v>1783</v>
      </c>
      <c r="M204" s="8" t="s">
        <v>1779</v>
      </c>
      <c r="N204" s="8">
        <v>45161</v>
      </c>
      <c r="O204" s="8">
        <v>45162</v>
      </c>
      <c r="P204" s="8">
        <v>45192</v>
      </c>
      <c r="Q204" s="144">
        <v>45192</v>
      </c>
      <c r="R204" s="223">
        <v>55100</v>
      </c>
      <c r="S204" s="153">
        <v>0</v>
      </c>
      <c r="T204" s="52">
        <v>0</v>
      </c>
      <c r="U204" s="52">
        <v>0</v>
      </c>
      <c r="V204" s="52">
        <v>0</v>
      </c>
      <c r="W204" s="2" t="str" cm="1">
        <f t="array" aca="1" ref="W204" ca="1">TRIM(SUBSTITUTE(_xlfn.ARRAYTOTEXT(IFERROR(CONCATENATE(SUMIF(INDIRECT("'"&amp;Assemblies[Assy]&amp;"'!"&amp;"C$5:C1000"), $C204, INDIRECT("'"&amp;Assemblies[Assy]&amp;"'!"&amp;"O$5:O1000")), "x",Assemblies[Assy],".",IF(SUMIF(INDIRECT("'"&amp;Assemblies[Assy]&amp;"'!"&amp;"C$5:C1000"), $C204, INDIRECT("'"&amp;Assemblies[Assy]&amp;"'!"&amp;"A$5:A1000"))=0,NA(),SUMIF(INDIRECT("'"&amp;Assemblies[Assy]&amp;"'!"&amp;"C$5:C1000"), $C204, INDIRECT("'"&amp;Assemblies[Assy]&amp;"'!"&amp;"A$5:A1000")))),"")), " ,", ""))</f>
        <v>,</v>
      </c>
      <c r="X204" s="2" t="s">
        <v>1382</v>
      </c>
      <c r="Y204" s="2" t="s">
        <v>1382</v>
      </c>
      <c r="Z204" s="2" t="s">
        <v>1382</v>
      </c>
      <c r="AA204" s="2" t="s">
        <v>1382</v>
      </c>
    </row>
    <row r="205" spans="1:27" ht="12.75">
      <c r="A205" s="115" t="s">
        <v>2233</v>
      </c>
      <c r="B205" s="115" t="s">
        <v>54</v>
      </c>
      <c r="C205" s="2" t="str">
        <f t="shared" si="6"/>
        <v>GF12.342.05.A</v>
      </c>
      <c r="D205" s="2" t="s">
        <v>2234</v>
      </c>
      <c r="E205" s="52">
        <f t="shared" si="7"/>
        <v>0</v>
      </c>
      <c r="F205" s="5" t="e" cm="1">
        <f t="array" aca="1" ref="F205" ca="1">SUMPRODUCT(SUMIF(INDIRECT("'"&amp;Assemblies[Assy]&amp;"'!"&amp;"C$5:C1000"),$C205,(INDIRECT("'"&amp;Assemblies[Assy]&amp;"'!"&amp;"O$5:O1000"))))</f>
        <v>#VALUE!</v>
      </c>
      <c r="G205" s="5">
        <v>2</v>
      </c>
      <c r="H205" s="5">
        <v>2</v>
      </c>
      <c r="I205" s="2" t="s">
        <v>1791</v>
      </c>
      <c r="J205" s="2" t="s">
        <v>1769</v>
      </c>
      <c r="K205" s="2" t="s">
        <v>1382</v>
      </c>
      <c r="L205" s="2" t="s">
        <v>1812</v>
      </c>
      <c r="M205" s="8" t="s">
        <v>1779</v>
      </c>
      <c r="N205" s="163" t="s">
        <v>1762</v>
      </c>
      <c r="O205" s="163" t="s">
        <v>1762</v>
      </c>
      <c r="P205" s="163" t="s">
        <v>1762</v>
      </c>
      <c r="Q205" s="163" t="s">
        <v>1762</v>
      </c>
      <c r="R205" s="222" t="s">
        <v>1762</v>
      </c>
      <c r="S205" s="153">
        <v>0</v>
      </c>
      <c r="T205" s="52">
        <v>0</v>
      </c>
      <c r="U205" s="52">
        <v>0</v>
      </c>
      <c r="V205" s="52">
        <v>0</v>
      </c>
      <c r="W205" s="2" t="str" cm="1">
        <f t="array" aca="1" ref="W205" ca="1">TRIM(SUBSTITUTE(_xlfn.ARRAYTOTEXT(IFERROR(CONCATENATE(SUMIF(INDIRECT("'"&amp;Assemblies[Assy]&amp;"'!"&amp;"C$5:C1000"), $C205, INDIRECT("'"&amp;Assemblies[Assy]&amp;"'!"&amp;"O$5:O1000")), "x",Assemblies[Assy],".",IF(SUMIF(INDIRECT("'"&amp;Assemblies[Assy]&amp;"'!"&amp;"C$5:C1000"), $C205, INDIRECT("'"&amp;Assemblies[Assy]&amp;"'!"&amp;"A$5:A1000"))=0,NA(),SUMIF(INDIRECT("'"&amp;Assemblies[Assy]&amp;"'!"&amp;"C$5:C1000"), $C205, INDIRECT("'"&amp;Assemblies[Assy]&amp;"'!"&amp;"A$5:A1000")))),"")), " ,", ""))</f>
        <v>,</v>
      </c>
      <c r="X205" s="2" t="s">
        <v>1382</v>
      </c>
      <c r="Y205" s="2" t="s">
        <v>2227</v>
      </c>
      <c r="Z205" s="2" t="s">
        <v>1382</v>
      </c>
      <c r="AA205" s="2" t="s">
        <v>1382</v>
      </c>
    </row>
    <row r="206" spans="1:27" ht="12.75">
      <c r="A206" s="115" t="s">
        <v>2235</v>
      </c>
      <c r="B206" s="115" t="s">
        <v>54</v>
      </c>
      <c r="C206" s="2" t="str">
        <f t="shared" si="6"/>
        <v>GF12.342.06.A</v>
      </c>
      <c r="D206" s="2" t="s">
        <v>2236</v>
      </c>
      <c r="E206" s="52">
        <f t="shared" si="7"/>
        <v>0</v>
      </c>
      <c r="F206" s="5" t="e" cm="1">
        <f t="array" aca="1" ref="F206" ca="1">SUMPRODUCT(SUMIF(INDIRECT("'"&amp;Assemblies[Assy]&amp;"'!"&amp;"C$5:C1000"),$C206,(INDIRECT("'"&amp;Assemblies[Assy]&amp;"'!"&amp;"O$5:O1000"))))</f>
        <v>#VALUE!</v>
      </c>
      <c r="G206" s="5">
        <v>2</v>
      </c>
      <c r="H206" s="5">
        <v>2</v>
      </c>
      <c r="I206" s="2" t="s">
        <v>1791</v>
      </c>
      <c r="J206" s="2" t="s">
        <v>1769</v>
      </c>
      <c r="K206" s="2" t="s">
        <v>1382</v>
      </c>
      <c r="L206" s="2" t="s">
        <v>1778</v>
      </c>
      <c r="M206" s="8" t="s">
        <v>1779</v>
      </c>
      <c r="N206" s="8">
        <v>45161</v>
      </c>
      <c r="O206" s="8">
        <v>45161</v>
      </c>
      <c r="P206" s="8">
        <v>45184</v>
      </c>
      <c r="Q206" s="144">
        <v>45184</v>
      </c>
      <c r="R206" s="223">
        <v>55093</v>
      </c>
      <c r="S206" s="153">
        <v>0</v>
      </c>
      <c r="T206" s="52">
        <v>0</v>
      </c>
      <c r="U206" s="52">
        <v>0</v>
      </c>
      <c r="V206" s="52">
        <v>0</v>
      </c>
      <c r="W206" s="2" t="str" cm="1">
        <f t="array" aca="1" ref="W206" ca="1">TRIM(SUBSTITUTE(_xlfn.ARRAYTOTEXT(IFERROR(CONCATENATE(SUMIF(INDIRECT("'"&amp;Assemblies[Assy]&amp;"'!"&amp;"C$5:C1000"), $C206, INDIRECT("'"&amp;Assemblies[Assy]&amp;"'!"&amp;"O$5:O1000")), "x",Assemblies[Assy],".",IF(SUMIF(INDIRECT("'"&amp;Assemblies[Assy]&amp;"'!"&amp;"C$5:C1000"), $C206, INDIRECT("'"&amp;Assemblies[Assy]&amp;"'!"&amp;"A$5:A1000"))=0,NA(),SUMIF(INDIRECT("'"&amp;Assemblies[Assy]&amp;"'!"&amp;"C$5:C1000"), $C206, INDIRECT("'"&amp;Assemblies[Assy]&amp;"'!"&amp;"A$5:A1000")))),"")), " ,", ""))</f>
        <v>,</v>
      </c>
      <c r="X206" s="2" t="s">
        <v>1382</v>
      </c>
      <c r="Y206" s="2" t="s">
        <v>2227</v>
      </c>
      <c r="Z206" s="2" t="s">
        <v>1382</v>
      </c>
      <c r="AA206" s="2" t="s">
        <v>1382</v>
      </c>
    </row>
    <row r="207" spans="1:27" ht="12.75">
      <c r="A207" s="115" t="s">
        <v>2237</v>
      </c>
      <c r="B207" s="115" t="s">
        <v>54</v>
      </c>
      <c r="C207" s="2" t="str">
        <f t="shared" si="6"/>
        <v>GF12.342.07.A</v>
      </c>
      <c r="D207" s="2" t="s">
        <v>2238</v>
      </c>
      <c r="E207" s="52">
        <f t="shared" si="7"/>
        <v>0</v>
      </c>
      <c r="F207" s="5" t="e" cm="1">
        <f t="array" aca="1" ref="F207" ca="1">SUMPRODUCT(SUMIF(INDIRECT("'"&amp;Assemblies[Assy]&amp;"'!"&amp;"C$5:C1000"),$C207,(INDIRECT("'"&amp;Assemblies[Assy]&amp;"'!"&amp;"O$5:O1000"))))</f>
        <v>#VALUE!</v>
      </c>
      <c r="G207" s="5">
        <v>2</v>
      </c>
      <c r="H207" s="5">
        <v>2</v>
      </c>
      <c r="I207" s="2" t="s">
        <v>1791</v>
      </c>
      <c r="J207" s="2" t="s">
        <v>1769</v>
      </c>
      <c r="K207" s="2" t="s">
        <v>1382</v>
      </c>
      <c r="L207" s="2" t="s">
        <v>1812</v>
      </c>
      <c r="M207" s="8" t="s">
        <v>1779</v>
      </c>
      <c r="N207" s="163" t="s">
        <v>1762</v>
      </c>
      <c r="O207" s="163" t="s">
        <v>1762</v>
      </c>
      <c r="P207" s="163" t="s">
        <v>1762</v>
      </c>
      <c r="Q207" s="163" t="s">
        <v>1762</v>
      </c>
      <c r="R207" s="222" t="s">
        <v>1762</v>
      </c>
      <c r="S207" s="153">
        <v>0</v>
      </c>
      <c r="T207" s="52">
        <v>0</v>
      </c>
      <c r="U207" s="52">
        <v>0</v>
      </c>
      <c r="V207" s="52">
        <v>0</v>
      </c>
      <c r="W207" s="2" t="str" cm="1">
        <f t="array" aca="1" ref="W207" ca="1">TRIM(SUBSTITUTE(_xlfn.ARRAYTOTEXT(IFERROR(CONCATENATE(SUMIF(INDIRECT("'"&amp;Assemblies[Assy]&amp;"'!"&amp;"C$5:C1000"), $C207, INDIRECT("'"&amp;Assemblies[Assy]&amp;"'!"&amp;"O$5:O1000")), "x",Assemblies[Assy],".",IF(SUMIF(INDIRECT("'"&amp;Assemblies[Assy]&amp;"'!"&amp;"C$5:C1000"), $C207, INDIRECT("'"&amp;Assemblies[Assy]&amp;"'!"&amp;"A$5:A1000"))=0,NA(),SUMIF(INDIRECT("'"&amp;Assemblies[Assy]&amp;"'!"&amp;"C$5:C1000"), $C207, INDIRECT("'"&amp;Assemblies[Assy]&amp;"'!"&amp;"A$5:A1000")))),"")), " ,", ""))</f>
        <v>,</v>
      </c>
      <c r="X207" s="2" t="s">
        <v>1382</v>
      </c>
      <c r="Y207" s="2" t="s">
        <v>2227</v>
      </c>
      <c r="Z207" s="2" t="s">
        <v>1382</v>
      </c>
      <c r="AA207" s="2" t="s">
        <v>1382</v>
      </c>
    </row>
    <row r="208" spans="1:27" ht="12.75">
      <c r="A208" s="115" t="s">
        <v>2239</v>
      </c>
      <c r="B208" s="115" t="s">
        <v>54</v>
      </c>
      <c r="C208" s="2" t="str">
        <f t="shared" si="6"/>
        <v>GF12.342.08.A</v>
      </c>
      <c r="D208" s="2" t="s">
        <v>2240</v>
      </c>
      <c r="E208" s="52">
        <f t="shared" si="7"/>
        <v>0</v>
      </c>
      <c r="F208" s="5" t="e" cm="1">
        <f t="array" aca="1" ref="F208" ca="1">SUMPRODUCT(SUMIF(INDIRECT("'"&amp;Assemblies[Assy]&amp;"'!"&amp;"C$5:C1000"),$C208,(INDIRECT("'"&amp;Assemblies[Assy]&amp;"'!"&amp;"O$5:O1000"))))</f>
        <v>#VALUE!</v>
      </c>
      <c r="G208" s="5">
        <v>4</v>
      </c>
      <c r="H208" s="5">
        <v>4</v>
      </c>
      <c r="I208" s="2" t="s">
        <v>1791</v>
      </c>
      <c r="J208" s="2" t="s">
        <v>1769</v>
      </c>
      <c r="K208" s="2" t="s">
        <v>1382</v>
      </c>
      <c r="L208" s="2" t="s">
        <v>1812</v>
      </c>
      <c r="M208" s="8" t="s">
        <v>1779</v>
      </c>
      <c r="N208" s="163" t="s">
        <v>1762</v>
      </c>
      <c r="O208" s="163" t="s">
        <v>1762</v>
      </c>
      <c r="P208" s="163" t="s">
        <v>1762</v>
      </c>
      <c r="Q208" s="163" t="s">
        <v>1762</v>
      </c>
      <c r="R208" s="222" t="s">
        <v>1762</v>
      </c>
      <c r="S208" s="153">
        <v>0</v>
      </c>
      <c r="T208" s="52">
        <v>0</v>
      </c>
      <c r="U208" s="52">
        <v>0</v>
      </c>
      <c r="V208" s="52">
        <v>0</v>
      </c>
      <c r="W208" s="2" t="str" cm="1">
        <f t="array" aca="1" ref="W208" ca="1">TRIM(SUBSTITUTE(_xlfn.ARRAYTOTEXT(IFERROR(CONCATENATE(SUMIF(INDIRECT("'"&amp;Assemblies[Assy]&amp;"'!"&amp;"C$5:C1000"), $C208, INDIRECT("'"&amp;Assemblies[Assy]&amp;"'!"&amp;"O$5:O1000")), "x",Assemblies[Assy],".",IF(SUMIF(INDIRECT("'"&amp;Assemblies[Assy]&amp;"'!"&amp;"C$5:C1000"), $C208, INDIRECT("'"&amp;Assemblies[Assy]&amp;"'!"&amp;"A$5:A1000"))=0,NA(),SUMIF(INDIRECT("'"&amp;Assemblies[Assy]&amp;"'!"&amp;"C$5:C1000"), $C208, INDIRECT("'"&amp;Assemblies[Assy]&amp;"'!"&amp;"A$5:A1000")))),"")), " ,", ""))</f>
        <v>,</v>
      </c>
      <c r="X208" s="2" t="s">
        <v>1382</v>
      </c>
      <c r="Y208" s="2" t="s">
        <v>2227</v>
      </c>
      <c r="Z208" s="2" t="s">
        <v>1382</v>
      </c>
      <c r="AA208" s="2" t="s">
        <v>1382</v>
      </c>
    </row>
    <row r="209" spans="1:27" ht="12.75">
      <c r="A209" s="115" t="s">
        <v>2241</v>
      </c>
      <c r="B209" s="115" t="s">
        <v>54</v>
      </c>
      <c r="C209" s="161" t="str">
        <f t="shared" si="6"/>
        <v>GF12.342.09.A</v>
      </c>
      <c r="D209" s="161" t="s">
        <v>2242</v>
      </c>
      <c r="E209" s="52">
        <f t="shared" si="7"/>
        <v>0</v>
      </c>
      <c r="F209" s="5" t="e" cm="1">
        <f t="array" aca="1" ref="F209" ca="1">SUMPRODUCT(SUMIF(INDIRECT("'"&amp;Assemblies[Assy]&amp;"'!"&amp;"C$5:C1000"),$C209,(INDIRECT("'"&amp;Assemblies[Assy]&amp;"'!"&amp;"O$5:O1000"))))</f>
        <v>#VALUE!</v>
      </c>
      <c r="G209" s="5">
        <v>4</v>
      </c>
      <c r="H209" s="5">
        <v>4</v>
      </c>
      <c r="I209" s="2" t="s">
        <v>2093</v>
      </c>
      <c r="J209" s="2" t="s">
        <v>1761</v>
      </c>
      <c r="K209" s="2" t="s">
        <v>1762</v>
      </c>
      <c r="L209" s="2" t="s">
        <v>1812</v>
      </c>
      <c r="M209" s="8" t="s">
        <v>1779</v>
      </c>
      <c r="N209" s="163" t="s">
        <v>1762</v>
      </c>
      <c r="O209" s="163" t="s">
        <v>1762</v>
      </c>
      <c r="P209" s="163" t="s">
        <v>1762</v>
      </c>
      <c r="Q209" s="163" t="s">
        <v>1762</v>
      </c>
      <c r="R209" s="222" t="s">
        <v>1762</v>
      </c>
      <c r="S209" s="153">
        <v>0</v>
      </c>
      <c r="T209" s="52">
        <v>0</v>
      </c>
      <c r="U209" s="52">
        <v>0</v>
      </c>
      <c r="V209" s="52">
        <v>0</v>
      </c>
      <c r="W209" s="2" t="str" cm="1">
        <f t="array" aca="1" ref="W209" ca="1">TRIM(SUBSTITUTE(_xlfn.ARRAYTOTEXT(IFERROR(CONCATENATE(SUMIF(INDIRECT("'"&amp;Assemblies[Assy]&amp;"'!"&amp;"C$5:C1000"), $C209, INDIRECT("'"&amp;Assemblies[Assy]&amp;"'!"&amp;"O$5:O1000")), "x",Assemblies[Assy],".",IF(SUMIF(INDIRECT("'"&amp;Assemblies[Assy]&amp;"'!"&amp;"C$5:C1000"), $C209, INDIRECT("'"&amp;Assemblies[Assy]&amp;"'!"&amp;"A$5:A1000"))=0,NA(),SUMIF(INDIRECT("'"&amp;Assemblies[Assy]&amp;"'!"&amp;"C$5:C1000"), $C209, INDIRECT("'"&amp;Assemblies[Assy]&amp;"'!"&amp;"A$5:A1000")))),"")), " ,", ""))</f>
        <v>,</v>
      </c>
      <c r="X209" s="2" t="s">
        <v>1382</v>
      </c>
      <c r="Y209" s="2" t="s">
        <v>1382</v>
      </c>
      <c r="Z209" s="2" t="s">
        <v>1382</v>
      </c>
      <c r="AA209" s="2" t="s">
        <v>1382</v>
      </c>
    </row>
    <row r="210" spans="1:27" ht="12.75">
      <c r="A210" s="115" t="s">
        <v>2243</v>
      </c>
      <c r="B210" s="115" t="s">
        <v>54</v>
      </c>
      <c r="C210" s="2" t="str">
        <f t="shared" si="6"/>
        <v>GF12.342.10.A</v>
      </c>
      <c r="D210" s="2" t="s">
        <v>2244</v>
      </c>
      <c r="E210" s="52">
        <f t="shared" si="7"/>
        <v>19.12</v>
      </c>
      <c r="F210" s="5" t="e" cm="1">
        <f t="array" aca="1" ref="F210" ca="1">SUMPRODUCT(SUMIF(INDIRECT("'"&amp;Assemblies[Assy]&amp;"'!"&amp;"C$5:C1000"),$C210,(INDIRECT("'"&amp;Assemblies[Assy]&amp;"'!"&amp;"O$5:O1000"))))</f>
        <v>#VALUE!</v>
      </c>
      <c r="G210" s="5">
        <v>4</v>
      </c>
      <c r="H210" s="5">
        <v>4</v>
      </c>
      <c r="I210" s="2" t="s">
        <v>2088</v>
      </c>
      <c r="J210" s="2" t="s">
        <v>1761</v>
      </c>
      <c r="K210" s="2" t="s">
        <v>1762</v>
      </c>
      <c r="L210" s="2" t="s">
        <v>2089</v>
      </c>
      <c r="M210" s="8" t="s">
        <v>1779</v>
      </c>
      <c r="N210" s="8">
        <v>45160</v>
      </c>
      <c r="O210" s="8">
        <v>45160</v>
      </c>
      <c r="P210" s="8">
        <v>45161</v>
      </c>
      <c r="Q210" s="144">
        <v>45161</v>
      </c>
      <c r="R210" s="223">
        <v>55086</v>
      </c>
      <c r="S210" s="153">
        <v>19.12</v>
      </c>
      <c r="T210" s="52">
        <v>0</v>
      </c>
      <c r="U210" s="52">
        <v>0</v>
      </c>
      <c r="V210" s="52">
        <v>0</v>
      </c>
      <c r="W210" s="2" t="str" cm="1">
        <f t="array" aca="1" ref="W210" ca="1">TRIM(SUBSTITUTE(_xlfn.ARRAYTOTEXT(IFERROR(CONCATENATE(SUMIF(INDIRECT("'"&amp;Assemblies[Assy]&amp;"'!"&amp;"C$5:C1000"), $C210, INDIRECT("'"&amp;Assemblies[Assy]&amp;"'!"&amp;"O$5:O1000")), "x",Assemblies[Assy],".",IF(SUMIF(INDIRECT("'"&amp;Assemblies[Assy]&amp;"'!"&amp;"C$5:C1000"), $C210, INDIRECT("'"&amp;Assemblies[Assy]&amp;"'!"&amp;"A$5:A1000"))=0,NA(),SUMIF(INDIRECT("'"&amp;Assemblies[Assy]&amp;"'!"&amp;"C$5:C1000"), $C210, INDIRECT("'"&amp;Assemblies[Assy]&amp;"'!"&amp;"A$5:A1000")))),"")), " ,", ""))</f>
        <v>,</v>
      </c>
      <c r="X210" s="2" t="s">
        <v>1382</v>
      </c>
      <c r="Y210" s="2" t="s">
        <v>1382</v>
      </c>
      <c r="Z210" s="2" t="s">
        <v>1382</v>
      </c>
      <c r="AA210" s="2" t="s">
        <v>1382</v>
      </c>
    </row>
    <row r="211" spans="1:27" ht="12.75">
      <c r="A211" s="115" t="s">
        <v>2245</v>
      </c>
      <c r="B211" s="115" t="s">
        <v>54</v>
      </c>
      <c r="C211" s="2" t="str">
        <f t="shared" si="6"/>
        <v>GF12.342.11.A</v>
      </c>
      <c r="D211" s="2" t="s">
        <v>2246</v>
      </c>
      <c r="E211" s="52">
        <f t="shared" si="7"/>
        <v>0</v>
      </c>
      <c r="F211" s="5" t="e" cm="1">
        <f t="array" aca="1" ref="F211" ca="1">SUMPRODUCT(SUMIF(INDIRECT("'"&amp;Assemblies[Assy]&amp;"'!"&amp;"C$5:C1000"),$C211,(INDIRECT("'"&amp;Assemblies[Assy]&amp;"'!"&amp;"O$5:O1000"))))</f>
        <v>#VALUE!</v>
      </c>
      <c r="G211" s="5">
        <v>2</v>
      </c>
      <c r="H211" s="5">
        <v>2</v>
      </c>
      <c r="I211" s="2" t="s">
        <v>1776</v>
      </c>
      <c r="J211" s="2" t="s">
        <v>1777</v>
      </c>
      <c r="K211" s="2" t="s">
        <v>1382</v>
      </c>
      <c r="L211" s="2" t="s">
        <v>1812</v>
      </c>
      <c r="M211" s="8" t="s">
        <v>1779</v>
      </c>
      <c r="N211" s="163" t="s">
        <v>1762</v>
      </c>
      <c r="O211" s="163" t="s">
        <v>1762</v>
      </c>
      <c r="P211" s="163" t="s">
        <v>1762</v>
      </c>
      <c r="Q211" s="163" t="s">
        <v>1762</v>
      </c>
      <c r="R211" s="222" t="s">
        <v>1762</v>
      </c>
      <c r="S211" s="153">
        <v>0</v>
      </c>
      <c r="T211" s="52">
        <v>0</v>
      </c>
      <c r="U211" s="52">
        <v>0</v>
      </c>
      <c r="V211" s="52">
        <v>0</v>
      </c>
      <c r="W211" s="2" t="str" cm="1">
        <f t="array" aca="1" ref="W211" ca="1">TRIM(SUBSTITUTE(_xlfn.ARRAYTOTEXT(IFERROR(CONCATENATE(SUMIF(INDIRECT("'"&amp;Assemblies[Assy]&amp;"'!"&amp;"C$5:C1000"), $C211, INDIRECT("'"&amp;Assemblies[Assy]&amp;"'!"&amp;"O$5:O1000")), "x",Assemblies[Assy],".",IF(SUMIF(INDIRECT("'"&amp;Assemblies[Assy]&amp;"'!"&amp;"C$5:C1000"), $C211, INDIRECT("'"&amp;Assemblies[Assy]&amp;"'!"&amp;"A$5:A1000"))=0,NA(),SUMIF(INDIRECT("'"&amp;Assemblies[Assy]&amp;"'!"&amp;"C$5:C1000"), $C211, INDIRECT("'"&amp;Assemblies[Assy]&amp;"'!"&amp;"A$5:A1000")))),"")), " ,", ""))</f>
        <v>,</v>
      </c>
      <c r="X211" s="2" t="s">
        <v>1382</v>
      </c>
      <c r="Y211" s="2" t="s">
        <v>2227</v>
      </c>
      <c r="Z211" s="2" t="s">
        <v>1382</v>
      </c>
      <c r="AA211" s="2" t="s">
        <v>1382</v>
      </c>
    </row>
    <row r="212" spans="1:27" ht="12.75">
      <c r="A212" s="115" t="s">
        <v>2247</v>
      </c>
      <c r="B212" s="115" t="s">
        <v>54</v>
      </c>
      <c r="C212" s="2" t="str">
        <f t="shared" si="6"/>
        <v>GF12.342.12.A</v>
      </c>
      <c r="D212" s="2" t="s">
        <v>2248</v>
      </c>
      <c r="E212" s="52">
        <f t="shared" si="7"/>
        <v>33.229999999999997</v>
      </c>
      <c r="F212" s="5" t="e" cm="1">
        <f t="array" aca="1" ref="F212" ca="1">SUMPRODUCT(SUMIF(INDIRECT("'"&amp;Assemblies[Assy]&amp;"'!"&amp;"C$5:C1000"),$C212,(INDIRECT("'"&amp;Assemblies[Assy]&amp;"'!"&amp;"O$5:O1000"))))</f>
        <v>#VALUE!</v>
      </c>
      <c r="G212" s="5">
        <v>4</v>
      </c>
      <c r="H212" s="5">
        <v>4</v>
      </c>
      <c r="I212" s="2" t="s">
        <v>2249</v>
      </c>
      <c r="J212" s="2" t="s">
        <v>1802</v>
      </c>
      <c r="K212" s="2" t="s">
        <v>1382</v>
      </c>
      <c r="L212" s="2" t="s">
        <v>2167</v>
      </c>
      <c r="M212" s="8" t="s">
        <v>1779</v>
      </c>
      <c r="N212" s="8">
        <v>45159</v>
      </c>
      <c r="O212" s="8">
        <v>45161</v>
      </c>
      <c r="P212" s="8">
        <v>45191</v>
      </c>
      <c r="Q212" s="144">
        <v>45191</v>
      </c>
      <c r="R212" s="223">
        <v>55092</v>
      </c>
      <c r="S212" s="153">
        <v>33.229999999999997</v>
      </c>
      <c r="T212" s="52">
        <v>0</v>
      </c>
      <c r="U212" s="52">
        <v>0</v>
      </c>
      <c r="V212" s="52">
        <v>0</v>
      </c>
      <c r="W212" s="2" t="str" cm="1">
        <f t="array" aca="1" ref="W212" ca="1">TRIM(SUBSTITUTE(_xlfn.ARRAYTOTEXT(IFERROR(CONCATENATE(SUMIF(INDIRECT("'"&amp;Assemblies[Assy]&amp;"'!"&amp;"C$5:C1000"), $C212, INDIRECT("'"&amp;Assemblies[Assy]&amp;"'!"&amp;"O$5:O1000")), "x",Assemblies[Assy],".",IF(SUMIF(INDIRECT("'"&amp;Assemblies[Assy]&amp;"'!"&amp;"C$5:C1000"), $C212, INDIRECT("'"&amp;Assemblies[Assy]&amp;"'!"&amp;"A$5:A1000"))=0,NA(),SUMIF(INDIRECT("'"&amp;Assemblies[Assy]&amp;"'!"&amp;"C$5:C1000"), $C212, INDIRECT("'"&amp;Assemblies[Assy]&amp;"'!"&amp;"A$5:A1000")))),"")), " ,", ""))</f>
        <v>,</v>
      </c>
      <c r="X212" s="2" t="s">
        <v>1382</v>
      </c>
      <c r="Y212" s="2" t="s">
        <v>1382</v>
      </c>
      <c r="Z212" s="2" t="s">
        <v>1382</v>
      </c>
      <c r="AA212" s="2" t="s">
        <v>1382</v>
      </c>
    </row>
    <row r="213" spans="1:27" ht="12.75">
      <c r="A213" s="115" t="s">
        <v>2250</v>
      </c>
      <c r="B213" s="115" t="s">
        <v>54</v>
      </c>
      <c r="C213" s="2" t="str">
        <f t="shared" si="6"/>
        <v>GF12.342.13.A</v>
      </c>
      <c r="D213" s="2" t="s">
        <v>2251</v>
      </c>
      <c r="E213" s="52">
        <f t="shared" si="7"/>
        <v>33.44</v>
      </c>
      <c r="F213" s="5" t="e" cm="1">
        <f t="array" aca="1" ref="F213" ca="1">SUMPRODUCT(SUMIF(INDIRECT("'"&amp;Assemblies[Assy]&amp;"'!"&amp;"C$5:C1000"),$C213,(INDIRECT("'"&amp;Assemblies[Assy]&amp;"'!"&amp;"O$5:O1000"))))</f>
        <v>#VALUE!</v>
      </c>
      <c r="G213" s="5">
        <v>4</v>
      </c>
      <c r="H213" s="5">
        <v>4</v>
      </c>
      <c r="I213" s="2" t="s">
        <v>2249</v>
      </c>
      <c r="J213" s="2" t="s">
        <v>1802</v>
      </c>
      <c r="K213" s="2" t="s">
        <v>1382</v>
      </c>
      <c r="L213" s="2" t="s">
        <v>2167</v>
      </c>
      <c r="M213" s="8" t="s">
        <v>1779</v>
      </c>
      <c r="N213" s="8">
        <v>45159</v>
      </c>
      <c r="O213" s="8">
        <v>45161</v>
      </c>
      <c r="P213" s="8">
        <v>45191</v>
      </c>
      <c r="Q213" s="144">
        <v>45191</v>
      </c>
      <c r="R213" s="223">
        <v>55092</v>
      </c>
      <c r="S213" s="153">
        <v>33.44</v>
      </c>
      <c r="T213" s="52">
        <v>0</v>
      </c>
      <c r="U213" s="52">
        <v>0</v>
      </c>
      <c r="V213" s="52">
        <v>0</v>
      </c>
      <c r="W213" s="2" t="str" cm="1">
        <f t="array" aca="1" ref="W213" ca="1">TRIM(SUBSTITUTE(_xlfn.ARRAYTOTEXT(IFERROR(CONCATENATE(SUMIF(INDIRECT("'"&amp;Assemblies[Assy]&amp;"'!"&amp;"C$5:C1000"), $C213, INDIRECT("'"&amp;Assemblies[Assy]&amp;"'!"&amp;"O$5:O1000")), "x",Assemblies[Assy],".",IF(SUMIF(INDIRECT("'"&amp;Assemblies[Assy]&amp;"'!"&amp;"C$5:C1000"), $C213, INDIRECT("'"&amp;Assemblies[Assy]&amp;"'!"&amp;"A$5:A1000"))=0,NA(),SUMIF(INDIRECT("'"&amp;Assemblies[Assy]&amp;"'!"&amp;"C$5:C1000"), $C213, INDIRECT("'"&amp;Assemblies[Assy]&amp;"'!"&amp;"A$5:A1000")))),"")), " ,", ""))</f>
        <v>,</v>
      </c>
      <c r="X213" s="2" t="s">
        <v>1382</v>
      </c>
      <c r="Y213" s="2" t="s">
        <v>1382</v>
      </c>
      <c r="Z213" s="2" t="s">
        <v>1382</v>
      </c>
      <c r="AA213" s="2" t="s">
        <v>1382</v>
      </c>
    </row>
    <row r="214" spans="1:27" ht="12.75">
      <c r="A214" s="115" t="s">
        <v>2252</v>
      </c>
      <c r="B214" s="115" t="s">
        <v>54</v>
      </c>
      <c r="C214" s="2" t="str">
        <f t="shared" si="6"/>
        <v>GF12.342.14.A</v>
      </c>
      <c r="D214" s="2" t="s">
        <v>2253</v>
      </c>
      <c r="E214" s="52">
        <f t="shared" si="7"/>
        <v>57.74</v>
      </c>
      <c r="F214" s="5" t="e" cm="1">
        <f t="array" aca="1" ref="F214" ca="1">SUMPRODUCT(SUMIF(INDIRECT("'"&amp;Assemblies[Assy]&amp;"'!"&amp;"C$5:C1000"),$C214,(INDIRECT("'"&amp;Assemblies[Assy]&amp;"'!"&amp;"O$5:O1000"))))</f>
        <v>#VALUE!</v>
      </c>
      <c r="G214" s="5">
        <v>8</v>
      </c>
      <c r="H214" s="5">
        <v>8</v>
      </c>
      <c r="I214" s="2" t="s">
        <v>1791</v>
      </c>
      <c r="J214" s="2" t="s">
        <v>1769</v>
      </c>
      <c r="K214" s="2" t="s">
        <v>1382</v>
      </c>
      <c r="L214" s="2" t="s">
        <v>1803</v>
      </c>
      <c r="M214" s="8" t="s">
        <v>1779</v>
      </c>
      <c r="N214" s="8">
        <v>45161</v>
      </c>
      <c r="O214" s="8">
        <v>45161</v>
      </c>
      <c r="P214" s="8">
        <v>45181</v>
      </c>
      <c r="Q214" s="144">
        <v>45181</v>
      </c>
      <c r="R214" s="223">
        <v>55095</v>
      </c>
      <c r="S214" s="153">
        <v>57.74</v>
      </c>
      <c r="T214" s="52">
        <v>0</v>
      </c>
      <c r="U214" s="52">
        <v>0</v>
      </c>
      <c r="V214" s="52">
        <v>0</v>
      </c>
      <c r="W214" s="2" t="str" cm="1">
        <f t="array" aca="1" ref="W214" ca="1">TRIM(SUBSTITUTE(_xlfn.ARRAYTOTEXT(IFERROR(CONCATENATE(SUMIF(INDIRECT("'"&amp;Assemblies[Assy]&amp;"'!"&amp;"C$5:C1000"), $C214, INDIRECT("'"&amp;Assemblies[Assy]&amp;"'!"&amp;"O$5:O1000")), "x",Assemblies[Assy],".",IF(SUMIF(INDIRECT("'"&amp;Assemblies[Assy]&amp;"'!"&amp;"C$5:C1000"), $C214, INDIRECT("'"&amp;Assemblies[Assy]&amp;"'!"&amp;"A$5:A1000"))=0,NA(),SUMIF(INDIRECT("'"&amp;Assemblies[Assy]&amp;"'!"&amp;"C$5:C1000"), $C214, INDIRECT("'"&amp;Assemblies[Assy]&amp;"'!"&amp;"A$5:A1000")))),"")), " ,", ""))</f>
        <v>,</v>
      </c>
      <c r="X214" s="2" t="s">
        <v>1382</v>
      </c>
      <c r="Y214" s="2" t="s">
        <v>2227</v>
      </c>
      <c r="Z214" s="2" t="s">
        <v>1382</v>
      </c>
      <c r="AA214" s="2" t="s">
        <v>1382</v>
      </c>
    </row>
    <row r="215" spans="1:27" ht="12.75">
      <c r="A215" s="115" t="s">
        <v>2254</v>
      </c>
      <c r="B215" s="115" t="s">
        <v>54</v>
      </c>
      <c r="C215" s="161" t="str">
        <f t="shared" si="6"/>
        <v>GF12.342.15.A</v>
      </c>
      <c r="D215" s="161" t="s">
        <v>2255</v>
      </c>
      <c r="E215" s="52">
        <f t="shared" si="7"/>
        <v>23.47</v>
      </c>
      <c r="F215" s="5" t="e" cm="1">
        <f t="array" aca="1" ref="F215" ca="1">SUMPRODUCT(SUMIF(INDIRECT("'"&amp;Assemblies[Assy]&amp;"'!"&amp;"C$5:C1000"),$C215,(INDIRECT("'"&amp;Assemblies[Assy]&amp;"'!"&amp;"O$5:O1000"))))</f>
        <v>#VALUE!</v>
      </c>
      <c r="G215" s="5">
        <v>6</v>
      </c>
      <c r="H215" s="5">
        <v>6</v>
      </c>
      <c r="I215" s="2" t="s">
        <v>2088</v>
      </c>
      <c r="J215" s="2" t="s">
        <v>1761</v>
      </c>
      <c r="K215" s="2" t="s">
        <v>1762</v>
      </c>
      <c r="L215" s="2" t="s">
        <v>2256</v>
      </c>
      <c r="M215" s="8" t="s">
        <v>1779</v>
      </c>
      <c r="N215" s="8">
        <v>45160</v>
      </c>
      <c r="O215" s="8">
        <v>45160</v>
      </c>
      <c r="P215" s="8">
        <v>45166</v>
      </c>
      <c r="Q215" s="144">
        <v>45166</v>
      </c>
      <c r="R215" s="223">
        <v>55085</v>
      </c>
      <c r="S215" s="153">
        <v>23.47</v>
      </c>
      <c r="T215" s="52">
        <v>0</v>
      </c>
      <c r="U215" s="52">
        <v>0</v>
      </c>
      <c r="V215" s="52">
        <v>0</v>
      </c>
      <c r="W215" s="2" t="str" cm="1">
        <f t="array" aca="1" ref="W215" ca="1">TRIM(SUBSTITUTE(_xlfn.ARRAYTOTEXT(IFERROR(CONCATENATE(SUMIF(INDIRECT("'"&amp;Assemblies[Assy]&amp;"'!"&amp;"C$5:C1000"), $C215, INDIRECT("'"&amp;Assemblies[Assy]&amp;"'!"&amp;"O$5:O1000")), "x",Assemblies[Assy],".",IF(SUMIF(INDIRECT("'"&amp;Assemblies[Assy]&amp;"'!"&amp;"C$5:C1000"), $C215, INDIRECT("'"&amp;Assemblies[Assy]&amp;"'!"&amp;"A$5:A1000"))=0,NA(),SUMIF(INDIRECT("'"&amp;Assemblies[Assy]&amp;"'!"&amp;"C$5:C1000"), $C215, INDIRECT("'"&amp;Assemblies[Assy]&amp;"'!"&amp;"A$5:A1000")))),"")), " ,", ""))</f>
        <v>,</v>
      </c>
      <c r="X215" s="2" t="s">
        <v>1382</v>
      </c>
      <c r="Y215" s="2" t="s">
        <v>1382</v>
      </c>
      <c r="Z215" s="2" t="s">
        <v>1382</v>
      </c>
      <c r="AA215" s="2" t="s">
        <v>1382</v>
      </c>
    </row>
    <row r="216" spans="1:27" ht="12.75">
      <c r="A216" s="115" t="s">
        <v>2257</v>
      </c>
      <c r="B216" s="115" t="s">
        <v>56</v>
      </c>
      <c r="C216" s="227" t="str">
        <f t="shared" si="6"/>
        <v>GF12.342.16.B</v>
      </c>
      <c r="D216" s="2" t="s">
        <v>2258</v>
      </c>
      <c r="E216" s="52">
        <f t="shared" si="7"/>
        <v>52.27</v>
      </c>
      <c r="F216" s="5" t="e" cm="1">
        <f t="array" aca="1" ref="F216" ca="1">SUMPRODUCT(SUMIF(INDIRECT("'"&amp;Assemblies[Assy]&amp;"'!"&amp;"C$5:C1000"),$C216,(INDIRECT("'"&amp;Assemblies[Assy]&amp;"'!"&amp;"O$5:O1000"))))</f>
        <v>#VALUE!</v>
      </c>
      <c r="G216" s="5">
        <v>2</v>
      </c>
      <c r="H216" s="5">
        <v>2</v>
      </c>
      <c r="I216" s="2" t="s">
        <v>2088</v>
      </c>
      <c r="J216" s="2" t="s">
        <v>1761</v>
      </c>
      <c r="K216" s="2" t="s">
        <v>1762</v>
      </c>
      <c r="L216" s="2" t="s">
        <v>2089</v>
      </c>
      <c r="M216" s="8" t="s">
        <v>1779</v>
      </c>
      <c r="N216" s="8">
        <v>45160</v>
      </c>
      <c r="O216" s="8">
        <v>45160</v>
      </c>
      <c r="P216" s="8">
        <v>45161</v>
      </c>
      <c r="Q216" s="144">
        <v>45161</v>
      </c>
      <c r="R216" s="223">
        <v>55086</v>
      </c>
      <c r="S216" s="153">
        <v>52.27</v>
      </c>
      <c r="T216" s="52">
        <v>0</v>
      </c>
      <c r="U216" s="52">
        <v>0</v>
      </c>
      <c r="V216" s="52">
        <v>0</v>
      </c>
      <c r="W216" s="2" t="str" cm="1">
        <f t="array" aca="1" ref="W216" ca="1">TRIM(SUBSTITUTE(_xlfn.ARRAYTOTEXT(IFERROR(CONCATENATE(SUMIF(INDIRECT("'"&amp;Assemblies[Assy]&amp;"'!"&amp;"C$5:C1000"), $C216, INDIRECT("'"&amp;Assemblies[Assy]&amp;"'!"&amp;"O$5:O1000")), "x",Assemblies[Assy],".",IF(SUMIF(INDIRECT("'"&amp;Assemblies[Assy]&amp;"'!"&amp;"C$5:C1000"), $C216, INDIRECT("'"&amp;Assemblies[Assy]&amp;"'!"&amp;"A$5:A1000"))=0,NA(),SUMIF(INDIRECT("'"&amp;Assemblies[Assy]&amp;"'!"&amp;"C$5:C1000"), $C216, INDIRECT("'"&amp;Assemblies[Assy]&amp;"'!"&amp;"A$5:A1000")))),"")), " ,", ""))</f>
        <v>,</v>
      </c>
      <c r="X216" s="2" t="s">
        <v>1382</v>
      </c>
      <c r="Y216" s="2" t="s">
        <v>1382</v>
      </c>
      <c r="Z216" s="2" t="s">
        <v>1382</v>
      </c>
      <c r="AA216" s="2" t="s">
        <v>1382</v>
      </c>
    </row>
    <row r="217" spans="1:27" ht="12.75">
      <c r="A217" s="115" t="s">
        <v>2259</v>
      </c>
      <c r="B217" s="115" t="s">
        <v>54</v>
      </c>
      <c r="C217" s="2" t="str">
        <f t="shared" si="6"/>
        <v>GF12.343.01.A</v>
      </c>
      <c r="D217" s="2" t="s">
        <v>2260</v>
      </c>
      <c r="E217" s="52">
        <f t="shared" si="7"/>
        <v>0</v>
      </c>
      <c r="F217" s="5" t="e" cm="1">
        <f t="array" aca="1" ref="F217" ca="1">SUMPRODUCT(SUMIF(INDIRECT("'"&amp;Assemblies[Assy]&amp;"'!"&amp;"C$5:C1000"),$C217,(INDIRECT("'"&amp;Assemblies[Assy]&amp;"'!"&amp;"O$5:O1000"))))</f>
        <v>#VALUE!</v>
      </c>
      <c r="G217" s="5">
        <v>2</v>
      </c>
      <c r="H217" s="5">
        <v>2</v>
      </c>
      <c r="I217" s="2" t="s">
        <v>1782</v>
      </c>
      <c r="J217" s="2" t="s">
        <v>1769</v>
      </c>
      <c r="L217" s="2" t="s">
        <v>2162</v>
      </c>
      <c r="M217" s="116" t="s">
        <v>2170</v>
      </c>
      <c r="N217" s="8">
        <v>45156</v>
      </c>
      <c r="O217" s="8">
        <v>45162</v>
      </c>
      <c r="P217" s="8">
        <v>45190</v>
      </c>
      <c r="Q217" s="144">
        <v>45190</v>
      </c>
      <c r="R217" s="223">
        <v>55101</v>
      </c>
      <c r="S217" s="153">
        <v>0</v>
      </c>
      <c r="T217" s="52">
        <v>0</v>
      </c>
      <c r="U217" s="52">
        <v>0</v>
      </c>
      <c r="V217" s="52">
        <v>0</v>
      </c>
      <c r="W217" s="2" t="str" cm="1">
        <f t="array" aca="1" ref="W217" ca="1">TRIM(SUBSTITUTE(_xlfn.ARRAYTOTEXT(IFERROR(CONCATENATE(SUMIF(INDIRECT("'"&amp;Assemblies[Assy]&amp;"'!"&amp;"C$5:C1000"), $C217, INDIRECT("'"&amp;Assemblies[Assy]&amp;"'!"&amp;"O$5:O1000")), "x",Assemblies[Assy],".",IF(SUMIF(INDIRECT("'"&amp;Assemblies[Assy]&amp;"'!"&amp;"C$5:C1000"), $C217, INDIRECT("'"&amp;Assemblies[Assy]&amp;"'!"&amp;"A$5:A1000"))=0,NA(),SUMIF(INDIRECT("'"&amp;Assemblies[Assy]&amp;"'!"&amp;"C$5:C1000"), $C217, INDIRECT("'"&amp;Assemblies[Assy]&amp;"'!"&amp;"A$5:A1000")))),"")), " ,", ""))</f>
        <v>,</v>
      </c>
      <c r="X217" s="2" t="s">
        <v>1382</v>
      </c>
      <c r="Y217" s="2" t="s">
        <v>2214</v>
      </c>
      <c r="Z217" s="2" t="s">
        <v>1382</v>
      </c>
      <c r="AA217" s="2" t="s">
        <v>1382</v>
      </c>
    </row>
    <row r="218" spans="1:27" ht="12.75">
      <c r="A218" s="115" t="s">
        <v>2261</v>
      </c>
      <c r="B218" s="115" t="s">
        <v>54</v>
      </c>
      <c r="C218" s="2" t="str">
        <f t="shared" si="6"/>
        <v>GF12.343.02.A</v>
      </c>
      <c r="D218" s="2" t="s">
        <v>2262</v>
      </c>
      <c r="E218" s="52">
        <f t="shared" si="7"/>
        <v>0</v>
      </c>
      <c r="F218" s="5" t="e" cm="1">
        <f t="array" aca="1" ref="F218" ca="1">SUMPRODUCT(SUMIF(INDIRECT("'"&amp;Assemblies[Assy]&amp;"'!"&amp;"C$5:C1000"),$C218,(INDIRECT("'"&amp;Assemblies[Assy]&amp;"'!"&amp;"O$5:O1000"))))</f>
        <v>#VALUE!</v>
      </c>
      <c r="G218" s="5">
        <v>1</v>
      </c>
      <c r="H218" s="5">
        <v>1</v>
      </c>
      <c r="I218" s="2" t="s">
        <v>1782</v>
      </c>
      <c r="J218" s="2" t="s">
        <v>1792</v>
      </c>
      <c r="L218" s="2" t="s">
        <v>2162</v>
      </c>
      <c r="M218" s="116" t="s">
        <v>2163</v>
      </c>
      <c r="N218" s="8">
        <v>45156</v>
      </c>
      <c r="O218" s="8">
        <v>45162</v>
      </c>
      <c r="P218" s="8">
        <v>45190</v>
      </c>
      <c r="Q218" s="144">
        <v>45190</v>
      </c>
      <c r="R218" s="223">
        <v>55101</v>
      </c>
      <c r="S218" s="153">
        <v>0</v>
      </c>
      <c r="T218" s="52">
        <v>0</v>
      </c>
      <c r="U218" s="52">
        <v>0</v>
      </c>
      <c r="V218" s="52">
        <v>0</v>
      </c>
      <c r="W218" s="2" t="str" cm="1">
        <f t="array" aca="1" ref="W218" ca="1">TRIM(SUBSTITUTE(_xlfn.ARRAYTOTEXT(IFERROR(CONCATENATE(SUMIF(INDIRECT("'"&amp;Assemblies[Assy]&amp;"'!"&amp;"C$5:C1000"), $C218, INDIRECT("'"&amp;Assemblies[Assy]&amp;"'!"&amp;"O$5:O1000")), "x",Assemblies[Assy],".",IF(SUMIF(INDIRECT("'"&amp;Assemblies[Assy]&amp;"'!"&amp;"C$5:C1000"), $C218, INDIRECT("'"&amp;Assemblies[Assy]&amp;"'!"&amp;"A$5:A1000"))=0,NA(),SUMIF(INDIRECT("'"&amp;Assemblies[Assy]&amp;"'!"&amp;"C$5:C1000"), $C218, INDIRECT("'"&amp;Assemblies[Assy]&amp;"'!"&amp;"A$5:A1000")))),"")), " ,", ""))</f>
        <v>,</v>
      </c>
      <c r="X218" s="2" t="s">
        <v>1382</v>
      </c>
      <c r="Y218" s="2" t="s">
        <v>1382</v>
      </c>
      <c r="Z218" s="2" t="s">
        <v>1382</v>
      </c>
      <c r="AA218" s="2" t="s">
        <v>1382</v>
      </c>
    </row>
    <row r="219" spans="1:27" ht="12.75">
      <c r="A219" s="115" t="s">
        <v>2263</v>
      </c>
      <c r="B219" s="115" t="s">
        <v>54</v>
      </c>
      <c r="C219" s="2" t="str">
        <f t="shared" si="6"/>
        <v>GF12.343.03.A</v>
      </c>
      <c r="D219" s="2" t="s">
        <v>2264</v>
      </c>
      <c r="E219" s="52">
        <f t="shared" si="7"/>
        <v>0</v>
      </c>
      <c r="F219" s="5" t="e" cm="1">
        <f t="array" aca="1" ref="F219" ca="1">SUMPRODUCT(SUMIF(INDIRECT("'"&amp;Assemblies[Assy]&amp;"'!"&amp;"C$5:C1000"),$C219,(INDIRECT("'"&amp;Assemblies[Assy]&amp;"'!"&amp;"O$5:O1000"))))</f>
        <v>#VALUE!</v>
      </c>
      <c r="G219" s="5">
        <v>2</v>
      </c>
      <c r="H219" s="5">
        <v>2</v>
      </c>
      <c r="I219" s="2" t="s">
        <v>1791</v>
      </c>
      <c r="J219" s="2" t="s">
        <v>1792</v>
      </c>
      <c r="K219" s="2" t="s">
        <v>1382</v>
      </c>
      <c r="L219" s="2" t="s">
        <v>1812</v>
      </c>
      <c r="M219" s="8" t="s">
        <v>1779</v>
      </c>
      <c r="N219" s="163" t="s">
        <v>1762</v>
      </c>
      <c r="O219" s="163" t="s">
        <v>1762</v>
      </c>
      <c r="P219" s="163" t="s">
        <v>1762</v>
      </c>
      <c r="Q219" s="163" t="s">
        <v>1762</v>
      </c>
      <c r="R219" s="222" t="s">
        <v>1762</v>
      </c>
      <c r="S219" s="153">
        <v>0</v>
      </c>
      <c r="T219" s="52">
        <v>0</v>
      </c>
      <c r="U219" s="52">
        <v>0</v>
      </c>
      <c r="V219" s="52">
        <v>0</v>
      </c>
      <c r="W219" s="2" t="str" cm="1">
        <f t="array" aca="1" ref="W219" ca="1">TRIM(SUBSTITUTE(_xlfn.ARRAYTOTEXT(IFERROR(CONCATENATE(SUMIF(INDIRECT("'"&amp;Assemblies[Assy]&amp;"'!"&amp;"C$5:C1000"), $C219, INDIRECT("'"&amp;Assemblies[Assy]&amp;"'!"&amp;"O$5:O1000")), "x",Assemblies[Assy],".",IF(SUMIF(INDIRECT("'"&amp;Assemblies[Assy]&amp;"'!"&amp;"C$5:C1000"), $C219, INDIRECT("'"&amp;Assemblies[Assy]&amp;"'!"&amp;"A$5:A1000"))=0,NA(),SUMIF(INDIRECT("'"&amp;Assemblies[Assy]&amp;"'!"&amp;"C$5:C1000"), $C219, INDIRECT("'"&amp;Assemblies[Assy]&amp;"'!"&amp;"A$5:A1000")))),"")), " ,", ""))</f>
        <v>,</v>
      </c>
      <c r="X219" s="2" t="s">
        <v>1382</v>
      </c>
      <c r="Y219" s="2" t="s">
        <v>2227</v>
      </c>
      <c r="Z219" s="2" t="s">
        <v>1382</v>
      </c>
      <c r="AA219" s="2" t="s">
        <v>1382</v>
      </c>
    </row>
    <row r="220" spans="1:27" ht="12.75">
      <c r="A220" s="115" t="s">
        <v>2265</v>
      </c>
      <c r="B220" s="115" t="s">
        <v>56</v>
      </c>
      <c r="C220" s="2" t="str">
        <f t="shared" si="6"/>
        <v>GF12.343.04.B</v>
      </c>
      <c r="D220" s="2" t="s">
        <v>2266</v>
      </c>
      <c r="E220" s="52">
        <f t="shared" si="7"/>
        <v>0</v>
      </c>
      <c r="F220" s="5" t="e" cm="1">
        <f t="array" aca="1" ref="F220" ca="1">SUMPRODUCT(SUMIF(INDIRECT("'"&amp;Assemblies[Assy]&amp;"'!"&amp;"C$5:C1000"),$C220,(INDIRECT("'"&amp;Assemblies[Assy]&amp;"'!"&amp;"O$5:O1000"))))</f>
        <v>#VALUE!</v>
      </c>
      <c r="G220" s="5">
        <v>2</v>
      </c>
      <c r="H220" s="5">
        <v>2</v>
      </c>
      <c r="I220" s="2" t="s">
        <v>1791</v>
      </c>
      <c r="J220" s="2" t="s">
        <v>1792</v>
      </c>
      <c r="K220" s="2" t="s">
        <v>1382</v>
      </c>
      <c r="L220" s="2" t="s">
        <v>1778</v>
      </c>
      <c r="M220" s="8" t="s">
        <v>1779</v>
      </c>
      <c r="N220" s="8">
        <v>45161</v>
      </c>
      <c r="O220" s="8">
        <v>45161</v>
      </c>
      <c r="P220" s="8">
        <v>45184</v>
      </c>
      <c r="Q220" s="144">
        <v>45184</v>
      </c>
      <c r="R220" s="223">
        <v>55093</v>
      </c>
      <c r="S220" s="153">
        <v>0</v>
      </c>
      <c r="T220" s="52">
        <v>0</v>
      </c>
      <c r="U220" s="52">
        <v>0</v>
      </c>
      <c r="V220" s="52">
        <v>0</v>
      </c>
      <c r="W220" s="2" t="str" cm="1">
        <f t="array" aca="1" ref="W220" ca="1">TRIM(SUBSTITUTE(_xlfn.ARRAYTOTEXT(IFERROR(CONCATENATE(SUMIF(INDIRECT("'"&amp;Assemblies[Assy]&amp;"'!"&amp;"C$5:C1000"), $C220, INDIRECT("'"&amp;Assemblies[Assy]&amp;"'!"&amp;"O$5:O1000")), "x",Assemblies[Assy],".",IF(SUMIF(INDIRECT("'"&amp;Assemblies[Assy]&amp;"'!"&amp;"C$5:C1000"), $C220, INDIRECT("'"&amp;Assemblies[Assy]&amp;"'!"&amp;"A$5:A1000"))=0,NA(),SUMIF(INDIRECT("'"&amp;Assemblies[Assy]&amp;"'!"&amp;"C$5:C1000"), $C220, INDIRECT("'"&amp;Assemblies[Assy]&amp;"'!"&amp;"A$5:A1000")))),"")), " ,", ""))</f>
        <v>,</v>
      </c>
      <c r="X220" s="2" t="s">
        <v>1382</v>
      </c>
      <c r="Y220" s="2" t="s">
        <v>2227</v>
      </c>
      <c r="Z220" s="2" t="s">
        <v>1382</v>
      </c>
      <c r="AA220" s="2" t="s">
        <v>1382</v>
      </c>
    </row>
    <row r="221" spans="1:27" ht="12.75">
      <c r="A221" s="115" t="s">
        <v>2267</v>
      </c>
      <c r="B221" s="115" t="s">
        <v>54</v>
      </c>
      <c r="C221" s="2" t="str">
        <f t="shared" si="6"/>
        <v>GF12.343.05.A</v>
      </c>
      <c r="D221" s="2" t="s">
        <v>2268</v>
      </c>
      <c r="E221" s="52">
        <f t="shared" si="7"/>
        <v>0</v>
      </c>
      <c r="F221" s="5" t="e" cm="1">
        <f t="array" aca="1" ref="F221" ca="1">SUMPRODUCT(SUMIF(INDIRECT("'"&amp;Assemblies[Assy]&amp;"'!"&amp;"C$5:C1000"),$C221,(INDIRECT("'"&amp;Assemblies[Assy]&amp;"'!"&amp;"O$5:O1000"))))</f>
        <v>#VALUE!</v>
      </c>
      <c r="G221" s="5">
        <v>2</v>
      </c>
      <c r="H221" s="5">
        <v>2</v>
      </c>
      <c r="I221" s="2" t="s">
        <v>1791</v>
      </c>
      <c r="J221" s="2" t="s">
        <v>1792</v>
      </c>
      <c r="K221" s="2" t="s">
        <v>1382</v>
      </c>
      <c r="L221" s="2" t="s">
        <v>1812</v>
      </c>
      <c r="M221" s="8" t="s">
        <v>1779</v>
      </c>
      <c r="N221" s="163" t="s">
        <v>1762</v>
      </c>
      <c r="O221" s="163" t="s">
        <v>1762</v>
      </c>
      <c r="P221" s="163" t="s">
        <v>1762</v>
      </c>
      <c r="Q221" s="163" t="s">
        <v>1762</v>
      </c>
      <c r="R221" s="222" t="s">
        <v>1762</v>
      </c>
      <c r="S221" s="153">
        <v>0</v>
      </c>
      <c r="T221" s="52">
        <v>0</v>
      </c>
      <c r="U221" s="52">
        <v>0</v>
      </c>
      <c r="V221" s="52">
        <v>0</v>
      </c>
      <c r="W221" s="2" t="str" cm="1">
        <f t="array" aca="1" ref="W221" ca="1">TRIM(SUBSTITUTE(_xlfn.ARRAYTOTEXT(IFERROR(CONCATENATE(SUMIF(INDIRECT("'"&amp;Assemblies[Assy]&amp;"'!"&amp;"C$5:C1000"), $C221, INDIRECT("'"&amp;Assemblies[Assy]&amp;"'!"&amp;"O$5:O1000")), "x",Assemblies[Assy],".",IF(SUMIF(INDIRECT("'"&amp;Assemblies[Assy]&amp;"'!"&amp;"C$5:C1000"), $C221, INDIRECT("'"&amp;Assemblies[Assy]&amp;"'!"&amp;"A$5:A1000"))=0,NA(),SUMIF(INDIRECT("'"&amp;Assemblies[Assy]&amp;"'!"&amp;"C$5:C1000"), $C221, INDIRECT("'"&amp;Assemblies[Assy]&amp;"'!"&amp;"A$5:A1000")))),"")), " ,", ""))</f>
        <v>,</v>
      </c>
      <c r="X221" s="2" t="s">
        <v>1382</v>
      </c>
      <c r="Y221" s="2" t="s">
        <v>2227</v>
      </c>
      <c r="Z221" s="2" t="s">
        <v>1382</v>
      </c>
      <c r="AA221" s="2" t="s">
        <v>1382</v>
      </c>
    </row>
    <row r="222" spans="1:27" ht="12.75">
      <c r="A222" s="115" t="s">
        <v>2269</v>
      </c>
      <c r="B222" s="115" t="s">
        <v>54</v>
      </c>
      <c r="C222" s="161" t="str">
        <f t="shared" si="6"/>
        <v>GF12.343.06.A</v>
      </c>
      <c r="D222" s="161" t="s">
        <v>2270</v>
      </c>
      <c r="E222" s="52">
        <f t="shared" si="7"/>
        <v>0</v>
      </c>
      <c r="F222" s="5" t="e" cm="1">
        <f t="array" aca="1" ref="F222" ca="1">SUMPRODUCT(SUMIF(INDIRECT("'"&amp;Assemblies[Assy]&amp;"'!"&amp;"C$5:C1000"),$C222,(INDIRECT("'"&amp;Assemblies[Assy]&amp;"'!"&amp;"O$5:O1000"))))</f>
        <v>#VALUE!</v>
      </c>
      <c r="G222" s="5">
        <v>2</v>
      </c>
      <c r="H222" s="5">
        <v>2</v>
      </c>
      <c r="I222" s="2" t="s">
        <v>2093</v>
      </c>
      <c r="J222" s="2" t="s">
        <v>1761</v>
      </c>
      <c r="K222" s="2" t="s">
        <v>1762</v>
      </c>
      <c r="L222" s="2" t="s">
        <v>1812</v>
      </c>
      <c r="M222" s="8" t="s">
        <v>1779</v>
      </c>
      <c r="N222" s="163" t="s">
        <v>1762</v>
      </c>
      <c r="O222" s="163" t="s">
        <v>1762</v>
      </c>
      <c r="P222" s="163" t="s">
        <v>1762</v>
      </c>
      <c r="Q222" s="163" t="s">
        <v>1762</v>
      </c>
      <c r="R222" s="222" t="s">
        <v>1762</v>
      </c>
      <c r="S222" s="153">
        <v>0</v>
      </c>
      <c r="T222" s="52">
        <v>0</v>
      </c>
      <c r="U222" s="52">
        <v>0</v>
      </c>
      <c r="V222" s="52">
        <v>0</v>
      </c>
      <c r="W222" s="2" t="str" cm="1">
        <f t="array" aca="1" ref="W222" ca="1">TRIM(SUBSTITUTE(_xlfn.ARRAYTOTEXT(IFERROR(CONCATENATE(SUMIF(INDIRECT("'"&amp;Assemblies[Assy]&amp;"'!"&amp;"C$5:C1000"), $C222, INDIRECT("'"&amp;Assemblies[Assy]&amp;"'!"&amp;"O$5:O1000")), "x",Assemblies[Assy],".",IF(SUMIF(INDIRECT("'"&amp;Assemblies[Assy]&amp;"'!"&amp;"C$5:C1000"), $C222, INDIRECT("'"&amp;Assemblies[Assy]&amp;"'!"&amp;"A$5:A1000"))=0,NA(),SUMIF(INDIRECT("'"&amp;Assemblies[Assy]&amp;"'!"&amp;"C$5:C1000"), $C222, INDIRECT("'"&amp;Assemblies[Assy]&amp;"'!"&amp;"A$5:A1000")))),"")), " ,", ""))</f>
        <v>,</v>
      </c>
      <c r="X222" s="2" t="s">
        <v>1382</v>
      </c>
      <c r="Y222" s="2" t="s">
        <v>1382</v>
      </c>
      <c r="Z222" s="2" t="s">
        <v>1382</v>
      </c>
      <c r="AA222" s="2" t="s">
        <v>1382</v>
      </c>
    </row>
    <row r="223" spans="1:27" ht="12.75">
      <c r="A223" s="115" t="s">
        <v>2271</v>
      </c>
      <c r="B223" s="115" t="s">
        <v>58</v>
      </c>
      <c r="C223" s="2" t="str">
        <f t="shared" si="6"/>
        <v>GF12.343.07.C</v>
      </c>
      <c r="D223" s="2" t="s">
        <v>2272</v>
      </c>
      <c r="E223" s="52">
        <f t="shared" si="7"/>
        <v>0</v>
      </c>
      <c r="F223" s="5" t="e" cm="1">
        <f t="array" aca="1" ref="F223" ca="1">SUMPRODUCT(SUMIF(INDIRECT("'"&amp;Assemblies[Assy]&amp;"'!"&amp;"C$5:C1000"),$C223,(INDIRECT("'"&amp;Assemblies[Assy]&amp;"'!"&amp;"O$5:O1000"))))</f>
        <v>#VALUE!</v>
      </c>
      <c r="G223" s="5">
        <v>2</v>
      </c>
      <c r="H223" s="5">
        <v>2</v>
      </c>
      <c r="I223" s="2" t="s">
        <v>1782</v>
      </c>
      <c r="J223" s="2" t="s">
        <v>1769</v>
      </c>
      <c r="K223" s="2" t="s">
        <v>1382</v>
      </c>
      <c r="L223" s="2" t="s">
        <v>1812</v>
      </c>
      <c r="M223" s="8" t="s">
        <v>1779</v>
      </c>
      <c r="N223" s="163" t="s">
        <v>1762</v>
      </c>
      <c r="O223" s="163" t="s">
        <v>1762</v>
      </c>
      <c r="P223" s="163" t="s">
        <v>1762</v>
      </c>
      <c r="Q223" s="163" t="s">
        <v>1762</v>
      </c>
      <c r="R223" s="222" t="s">
        <v>1762</v>
      </c>
      <c r="S223" s="153">
        <v>0</v>
      </c>
      <c r="T223" s="52">
        <v>0</v>
      </c>
      <c r="U223" s="52">
        <v>0</v>
      </c>
      <c r="V223" s="52">
        <v>0</v>
      </c>
      <c r="W223" s="2" t="str" cm="1">
        <f t="array" aca="1" ref="W223" ca="1">TRIM(SUBSTITUTE(_xlfn.ARRAYTOTEXT(IFERROR(CONCATENATE(SUMIF(INDIRECT("'"&amp;Assemblies[Assy]&amp;"'!"&amp;"C$5:C1000"), $C223, INDIRECT("'"&amp;Assemblies[Assy]&amp;"'!"&amp;"O$5:O1000")), "x",Assemblies[Assy],".",IF(SUMIF(INDIRECT("'"&amp;Assemblies[Assy]&amp;"'!"&amp;"C$5:C1000"), $C223, INDIRECT("'"&amp;Assemblies[Assy]&amp;"'!"&amp;"A$5:A1000"))=0,NA(),SUMIF(INDIRECT("'"&amp;Assemblies[Assy]&amp;"'!"&amp;"C$5:C1000"), $C223, INDIRECT("'"&amp;Assemblies[Assy]&amp;"'!"&amp;"A$5:A1000")))),"")), " ,", ""))</f>
        <v>,</v>
      </c>
      <c r="X223" s="2" t="s">
        <v>1382</v>
      </c>
      <c r="Y223" s="2" t="s">
        <v>2227</v>
      </c>
      <c r="Z223" s="2" t="s">
        <v>1382</v>
      </c>
      <c r="AA223" s="2" t="s">
        <v>1382</v>
      </c>
    </row>
    <row r="224" spans="1:27" ht="12.75">
      <c r="A224" s="115" t="s">
        <v>2273</v>
      </c>
      <c r="B224" s="115" t="s">
        <v>56</v>
      </c>
      <c r="C224" s="2" t="str">
        <f t="shared" si="6"/>
        <v>GF12.343.08.B</v>
      </c>
      <c r="D224" s="2" t="s">
        <v>2274</v>
      </c>
      <c r="E224" s="52">
        <f t="shared" si="7"/>
        <v>188.7</v>
      </c>
      <c r="F224" s="5" t="e" cm="1">
        <f t="array" aca="1" ref="F224" ca="1">SUMPRODUCT(SUMIF(INDIRECT("'"&amp;Assemblies[Assy]&amp;"'!"&amp;"C$5:C1000"),$C224,(INDIRECT("'"&amp;Assemblies[Assy]&amp;"'!"&amp;"O$5:O1000"))))</f>
        <v>#VALUE!</v>
      </c>
      <c r="G224" s="5">
        <v>1</v>
      </c>
      <c r="H224" s="5">
        <v>1</v>
      </c>
      <c r="I224" s="2" t="s">
        <v>2176</v>
      </c>
      <c r="J224" s="2" t="s">
        <v>1802</v>
      </c>
      <c r="K224" s="2" t="s">
        <v>1382</v>
      </c>
      <c r="L224" s="2" t="s">
        <v>2167</v>
      </c>
      <c r="M224" s="8" t="s">
        <v>1779</v>
      </c>
      <c r="N224" s="8">
        <v>45159</v>
      </c>
      <c r="O224" s="8">
        <v>45161</v>
      </c>
      <c r="P224" s="8">
        <v>45191</v>
      </c>
      <c r="Q224" s="144">
        <v>45191</v>
      </c>
      <c r="R224" s="223">
        <v>55092</v>
      </c>
      <c r="S224" s="153">
        <v>188.7</v>
      </c>
      <c r="T224" s="52">
        <v>0</v>
      </c>
      <c r="U224" s="52">
        <v>0</v>
      </c>
      <c r="V224" s="52">
        <v>0</v>
      </c>
      <c r="W224" s="2" t="str" cm="1">
        <f t="array" aca="1" ref="W224" ca="1">TRIM(SUBSTITUTE(_xlfn.ARRAYTOTEXT(IFERROR(CONCATENATE(SUMIF(INDIRECT("'"&amp;Assemblies[Assy]&amp;"'!"&amp;"C$5:C1000"), $C224, INDIRECT("'"&amp;Assemblies[Assy]&amp;"'!"&amp;"O$5:O1000")), "x",Assemblies[Assy],".",IF(SUMIF(INDIRECT("'"&amp;Assemblies[Assy]&amp;"'!"&amp;"C$5:C1000"), $C224, INDIRECT("'"&amp;Assemblies[Assy]&amp;"'!"&amp;"A$5:A1000"))=0,NA(),SUMIF(INDIRECT("'"&amp;Assemblies[Assy]&amp;"'!"&amp;"C$5:C1000"), $C224, INDIRECT("'"&amp;Assemblies[Assy]&amp;"'!"&amp;"A$5:A1000")))),"")), " ,", ""))</f>
        <v>,</v>
      </c>
      <c r="X224" s="2" t="s">
        <v>1382</v>
      </c>
      <c r="Y224" s="2" t="s">
        <v>1382</v>
      </c>
      <c r="Z224" s="2" t="s">
        <v>1382</v>
      </c>
      <c r="AA224" s="2" t="s">
        <v>1382</v>
      </c>
    </row>
    <row r="225" spans="1:27" ht="12.75">
      <c r="A225" s="115" t="s">
        <v>2275</v>
      </c>
      <c r="B225" s="115" t="s">
        <v>54</v>
      </c>
      <c r="C225" s="161" t="str">
        <f t="shared" si="6"/>
        <v>GF12.343.09.A</v>
      </c>
      <c r="D225" s="161" t="s">
        <v>2276</v>
      </c>
      <c r="E225" s="52">
        <f t="shared" si="7"/>
        <v>60.91</v>
      </c>
      <c r="F225" s="5" t="e" cm="1">
        <f t="array" aca="1" ref="F225" ca="1">SUMPRODUCT(SUMIF(INDIRECT("'"&amp;Assemblies[Assy]&amp;"'!"&amp;"C$5:C1000"),$C225,(INDIRECT("'"&amp;Assemblies[Assy]&amp;"'!"&amp;"O$5:O1000"))))</f>
        <v>#VALUE!</v>
      </c>
      <c r="G225" s="5">
        <v>2</v>
      </c>
      <c r="H225" s="5">
        <v>2</v>
      </c>
      <c r="I225" s="2" t="s">
        <v>2166</v>
      </c>
      <c r="J225" s="2" t="s">
        <v>1802</v>
      </c>
      <c r="K225" s="2" t="s">
        <v>1382</v>
      </c>
      <c r="L225" s="2" t="s">
        <v>2167</v>
      </c>
      <c r="M225" s="8" t="s">
        <v>1779</v>
      </c>
      <c r="N225" s="8">
        <v>45159</v>
      </c>
      <c r="O225" s="8">
        <v>45161</v>
      </c>
      <c r="P225" s="8">
        <v>45191</v>
      </c>
      <c r="Q225" s="144">
        <v>45191</v>
      </c>
      <c r="R225" s="223">
        <v>55092</v>
      </c>
      <c r="S225" s="153">
        <v>60.91</v>
      </c>
      <c r="T225" s="52">
        <v>0</v>
      </c>
      <c r="U225" s="52">
        <v>0</v>
      </c>
      <c r="V225" s="52">
        <v>0</v>
      </c>
      <c r="W225" s="2" t="str" cm="1">
        <f t="array" aca="1" ref="W225" ca="1">TRIM(SUBSTITUTE(_xlfn.ARRAYTOTEXT(IFERROR(CONCATENATE(SUMIF(INDIRECT("'"&amp;Assemblies[Assy]&amp;"'!"&amp;"C$5:C1000"), $C225, INDIRECT("'"&amp;Assemblies[Assy]&amp;"'!"&amp;"O$5:O1000")), "x",Assemblies[Assy],".",IF(SUMIF(INDIRECT("'"&amp;Assemblies[Assy]&amp;"'!"&amp;"C$5:C1000"), $C225, INDIRECT("'"&amp;Assemblies[Assy]&amp;"'!"&amp;"A$5:A1000"))=0,NA(),SUMIF(INDIRECT("'"&amp;Assemblies[Assy]&amp;"'!"&amp;"C$5:C1000"), $C225, INDIRECT("'"&amp;Assemblies[Assy]&amp;"'!"&amp;"A$5:A1000")))),"")), " ,", ""))</f>
        <v>,</v>
      </c>
      <c r="X225" s="2" t="s">
        <v>1382</v>
      </c>
      <c r="Y225" s="2" t="s">
        <v>1382</v>
      </c>
      <c r="Z225" s="2" t="s">
        <v>1382</v>
      </c>
    </row>
    <row r="226" spans="1:27" ht="12.75">
      <c r="A226" s="115" t="s">
        <v>2277</v>
      </c>
      <c r="B226" s="115" t="s">
        <v>54</v>
      </c>
      <c r="C226" s="161" t="str">
        <f t="shared" si="6"/>
        <v>GF12.343.10.A</v>
      </c>
      <c r="D226" s="161" t="s">
        <v>2278</v>
      </c>
      <c r="E226" s="52">
        <f t="shared" si="7"/>
        <v>118.77</v>
      </c>
      <c r="F226" s="5" t="e" cm="1">
        <f t="array" aca="1" ref="F226" ca="1">SUMPRODUCT(SUMIF(INDIRECT("'"&amp;Assemblies[Assy]&amp;"'!"&amp;"C$5:C1000"),$C226,(INDIRECT("'"&amp;Assemblies[Assy]&amp;"'!"&amp;"O$5:O1000"))))</f>
        <v>#VALUE!</v>
      </c>
      <c r="G226" s="5">
        <v>1</v>
      </c>
      <c r="H226" s="5">
        <v>1</v>
      </c>
      <c r="I226" s="2" t="s">
        <v>2166</v>
      </c>
      <c r="J226" s="2" t="s">
        <v>1802</v>
      </c>
      <c r="K226" s="2" t="s">
        <v>1382</v>
      </c>
      <c r="L226" s="2" t="s">
        <v>2167</v>
      </c>
      <c r="M226" s="8" t="s">
        <v>1779</v>
      </c>
      <c r="N226" s="8">
        <v>45159</v>
      </c>
      <c r="O226" s="8">
        <v>45161</v>
      </c>
      <c r="P226" s="8">
        <v>45191</v>
      </c>
      <c r="Q226" s="144">
        <v>45191</v>
      </c>
      <c r="R226" s="223">
        <v>55092</v>
      </c>
      <c r="S226" s="153">
        <v>118.77</v>
      </c>
      <c r="T226" s="52">
        <v>0</v>
      </c>
      <c r="U226" s="52">
        <v>0</v>
      </c>
      <c r="V226" s="52">
        <v>0</v>
      </c>
      <c r="W226" s="2" t="str" cm="1">
        <f t="array" aca="1" ref="W226" ca="1">TRIM(SUBSTITUTE(_xlfn.ARRAYTOTEXT(IFERROR(CONCATENATE(SUMIF(INDIRECT("'"&amp;Assemblies[Assy]&amp;"'!"&amp;"C$5:C1000"), $C226, INDIRECT("'"&amp;Assemblies[Assy]&amp;"'!"&amp;"O$5:O1000")), "x",Assemblies[Assy],".",IF(SUMIF(INDIRECT("'"&amp;Assemblies[Assy]&amp;"'!"&amp;"C$5:C1000"), $C226, INDIRECT("'"&amp;Assemblies[Assy]&amp;"'!"&amp;"A$5:A1000"))=0,NA(),SUMIF(INDIRECT("'"&amp;Assemblies[Assy]&amp;"'!"&amp;"C$5:C1000"), $C226, INDIRECT("'"&amp;Assemblies[Assy]&amp;"'!"&amp;"A$5:A1000")))),"")), " ,", ""))</f>
        <v>,</v>
      </c>
      <c r="X226" s="2" t="s">
        <v>1382</v>
      </c>
      <c r="Y226" s="2" t="s">
        <v>1382</v>
      </c>
      <c r="Z226" s="2" t="s">
        <v>1382</v>
      </c>
      <c r="AA226" s="2" t="s">
        <v>1382</v>
      </c>
    </row>
    <row r="227" spans="1:27" ht="12.75">
      <c r="A227" s="115" t="s">
        <v>2279</v>
      </c>
      <c r="B227" s="115" t="s">
        <v>54</v>
      </c>
      <c r="C227" s="2" t="str">
        <f t="shared" si="6"/>
        <v>GF12.343.11.A</v>
      </c>
      <c r="D227" s="2" t="s">
        <v>2280</v>
      </c>
      <c r="E227" s="52">
        <f t="shared" si="7"/>
        <v>0</v>
      </c>
      <c r="F227" s="5" t="e" cm="1">
        <f t="array" aca="1" ref="F227" ca="1">SUMPRODUCT(SUMIF(INDIRECT("'"&amp;Assemblies[Assy]&amp;"'!"&amp;"C$5:C1000"),$C227,(INDIRECT("'"&amp;Assemblies[Assy]&amp;"'!"&amp;"O$5:O1000"))))</f>
        <v>#VALUE!</v>
      </c>
      <c r="G227" s="5">
        <v>1</v>
      </c>
      <c r="H227" s="5">
        <v>1</v>
      </c>
      <c r="I227" s="2" t="s">
        <v>1791</v>
      </c>
      <c r="J227" s="2" t="s">
        <v>1769</v>
      </c>
      <c r="K227" s="2" t="s">
        <v>1382</v>
      </c>
      <c r="L227" s="2" t="s">
        <v>1812</v>
      </c>
      <c r="M227" s="8" t="s">
        <v>1779</v>
      </c>
      <c r="N227" s="163" t="s">
        <v>1762</v>
      </c>
      <c r="O227" s="163" t="s">
        <v>1762</v>
      </c>
      <c r="P227" s="163" t="s">
        <v>1762</v>
      </c>
      <c r="Q227" s="163" t="s">
        <v>1762</v>
      </c>
      <c r="R227" s="222" t="s">
        <v>1762</v>
      </c>
      <c r="S227" s="153">
        <v>0</v>
      </c>
      <c r="T227" s="52">
        <v>0</v>
      </c>
      <c r="U227" s="52">
        <v>0</v>
      </c>
      <c r="V227" s="52">
        <v>0</v>
      </c>
      <c r="W227" s="2" t="str" cm="1">
        <f t="array" aca="1" ref="W227" ca="1">TRIM(SUBSTITUTE(_xlfn.ARRAYTOTEXT(IFERROR(CONCATENATE(SUMIF(INDIRECT("'"&amp;Assemblies[Assy]&amp;"'!"&amp;"C$5:C1000"), $C227, INDIRECT("'"&amp;Assemblies[Assy]&amp;"'!"&amp;"O$5:O1000")), "x",Assemblies[Assy],".",IF(SUMIF(INDIRECT("'"&amp;Assemblies[Assy]&amp;"'!"&amp;"C$5:C1000"), $C227, INDIRECT("'"&amp;Assemblies[Assy]&amp;"'!"&amp;"A$5:A1000"))=0,NA(),SUMIF(INDIRECT("'"&amp;Assemblies[Assy]&amp;"'!"&amp;"C$5:C1000"), $C227, INDIRECT("'"&amp;Assemblies[Assy]&amp;"'!"&amp;"A$5:A1000")))),"")), " ,", ""))</f>
        <v>,</v>
      </c>
      <c r="X227" s="2" t="s">
        <v>1382</v>
      </c>
      <c r="Y227" s="2" t="s">
        <v>2227</v>
      </c>
      <c r="Z227" s="2" t="s">
        <v>1382</v>
      </c>
      <c r="AA227" s="2" t="s">
        <v>1382</v>
      </c>
    </row>
    <row r="228" spans="1:27" ht="12.75">
      <c r="A228" s="115" t="s">
        <v>2281</v>
      </c>
      <c r="B228" s="115" t="s">
        <v>56</v>
      </c>
      <c r="C228" s="2" t="str">
        <f t="shared" si="6"/>
        <v>GF12.343.12.B</v>
      </c>
      <c r="D228" s="2" t="s">
        <v>2282</v>
      </c>
      <c r="E228" s="52">
        <f t="shared" si="7"/>
        <v>0</v>
      </c>
      <c r="F228" s="5" t="e" cm="1">
        <f t="array" aca="1" ref="F228" ca="1">SUMPRODUCT(SUMIF(INDIRECT("'"&amp;Assemblies[Assy]&amp;"'!"&amp;"C$5:C1000"),$C228,(INDIRECT("'"&amp;Assemblies[Assy]&amp;"'!"&amp;"O$5:O1000"))))</f>
        <v>#VALUE!</v>
      </c>
      <c r="G228" s="5">
        <v>2</v>
      </c>
      <c r="H228" s="5">
        <v>2</v>
      </c>
      <c r="I228" s="2" t="s">
        <v>1791</v>
      </c>
      <c r="J228" s="2" t="s">
        <v>1769</v>
      </c>
      <c r="K228" s="2" t="s">
        <v>1382</v>
      </c>
      <c r="L228" s="2" t="s">
        <v>1812</v>
      </c>
      <c r="M228" s="8" t="s">
        <v>1779</v>
      </c>
      <c r="N228" s="163" t="s">
        <v>1762</v>
      </c>
      <c r="O228" s="163" t="s">
        <v>1762</v>
      </c>
      <c r="P228" s="163" t="s">
        <v>1762</v>
      </c>
      <c r="Q228" s="163" t="s">
        <v>1762</v>
      </c>
      <c r="R228" s="222" t="s">
        <v>1762</v>
      </c>
      <c r="S228" s="153">
        <v>0</v>
      </c>
      <c r="T228" s="52">
        <v>0</v>
      </c>
      <c r="U228" s="52">
        <v>0</v>
      </c>
      <c r="V228" s="52">
        <v>0</v>
      </c>
      <c r="W228" s="2" t="str" cm="1">
        <f t="array" aca="1" ref="W228" ca="1">TRIM(SUBSTITUTE(_xlfn.ARRAYTOTEXT(IFERROR(CONCATENATE(SUMIF(INDIRECT("'"&amp;Assemblies[Assy]&amp;"'!"&amp;"C$5:C1000"), $C228, INDIRECT("'"&amp;Assemblies[Assy]&amp;"'!"&amp;"O$5:O1000")), "x",Assemblies[Assy],".",IF(SUMIF(INDIRECT("'"&amp;Assemblies[Assy]&amp;"'!"&amp;"C$5:C1000"), $C228, INDIRECT("'"&amp;Assemblies[Assy]&amp;"'!"&amp;"A$5:A1000"))=0,NA(),SUMIF(INDIRECT("'"&amp;Assemblies[Assy]&amp;"'!"&amp;"C$5:C1000"), $C228, INDIRECT("'"&amp;Assemblies[Assy]&amp;"'!"&amp;"A$5:A1000")))),"")), " ,", ""))</f>
        <v>,</v>
      </c>
      <c r="X228" s="2" t="s">
        <v>1382</v>
      </c>
      <c r="Y228" s="2" t="s">
        <v>2227</v>
      </c>
      <c r="Z228" s="2" t="s">
        <v>1382</v>
      </c>
      <c r="AA228" s="2" t="s">
        <v>1382</v>
      </c>
    </row>
    <row r="229" spans="1:27" ht="12.75">
      <c r="A229" s="115" t="s">
        <v>2283</v>
      </c>
      <c r="B229" s="115" t="s">
        <v>56</v>
      </c>
      <c r="C229" s="2" t="str">
        <f t="shared" si="6"/>
        <v>GF12.343.13.B</v>
      </c>
      <c r="D229" s="2" t="s">
        <v>2284</v>
      </c>
      <c r="E229" s="52">
        <f t="shared" si="7"/>
        <v>122.27</v>
      </c>
      <c r="F229" s="5" t="e" cm="1">
        <f t="array" aca="1" ref="F229" ca="1">SUMPRODUCT(SUMIF(INDIRECT("'"&amp;Assemblies[Assy]&amp;"'!"&amp;"C$5:C1000"),$C229,(INDIRECT("'"&amp;Assemblies[Assy]&amp;"'!"&amp;"O$5:O1000"))))</f>
        <v>#VALUE!</v>
      </c>
      <c r="G229" s="5">
        <v>1</v>
      </c>
      <c r="H229" s="5">
        <v>1</v>
      </c>
      <c r="I229" s="2" t="s">
        <v>2176</v>
      </c>
      <c r="J229" s="2" t="s">
        <v>1802</v>
      </c>
      <c r="K229" s="2" t="s">
        <v>1382</v>
      </c>
      <c r="L229" s="2" t="s">
        <v>2167</v>
      </c>
      <c r="M229" s="8" t="s">
        <v>1779</v>
      </c>
      <c r="N229" s="8">
        <v>45159</v>
      </c>
      <c r="O229" s="8">
        <v>45161</v>
      </c>
      <c r="P229" s="8">
        <v>45191</v>
      </c>
      <c r="Q229" s="144">
        <v>45191</v>
      </c>
      <c r="R229" s="223">
        <v>55092</v>
      </c>
      <c r="S229" s="153">
        <v>122.27</v>
      </c>
      <c r="T229" s="52">
        <v>0</v>
      </c>
      <c r="U229" s="52">
        <v>0</v>
      </c>
      <c r="V229" s="52">
        <v>0</v>
      </c>
      <c r="W229" s="2" t="str" cm="1">
        <f t="array" aca="1" ref="W229" ca="1">TRIM(SUBSTITUTE(_xlfn.ARRAYTOTEXT(IFERROR(CONCATENATE(SUMIF(INDIRECT("'"&amp;Assemblies[Assy]&amp;"'!"&amp;"C$5:C1000"), $C229, INDIRECT("'"&amp;Assemblies[Assy]&amp;"'!"&amp;"O$5:O1000")), "x",Assemblies[Assy],".",IF(SUMIF(INDIRECT("'"&amp;Assemblies[Assy]&amp;"'!"&amp;"C$5:C1000"), $C229, INDIRECT("'"&amp;Assemblies[Assy]&amp;"'!"&amp;"A$5:A1000"))=0,NA(),SUMIF(INDIRECT("'"&amp;Assemblies[Assy]&amp;"'!"&amp;"C$5:C1000"), $C229, INDIRECT("'"&amp;Assemblies[Assy]&amp;"'!"&amp;"A$5:A1000")))),"")), " ,", ""))</f>
        <v>,</v>
      </c>
      <c r="X229" s="2" t="s">
        <v>1382</v>
      </c>
      <c r="Y229" s="2" t="s">
        <v>1382</v>
      </c>
      <c r="Z229" s="2" t="s">
        <v>1382</v>
      </c>
      <c r="AA229" s="2" t="s">
        <v>1382</v>
      </c>
    </row>
    <row r="230" spans="1:27" ht="12.75">
      <c r="A230" s="115" t="s">
        <v>2285</v>
      </c>
      <c r="B230" s="115" t="s">
        <v>54</v>
      </c>
      <c r="C230" s="2" t="str">
        <f t="shared" si="6"/>
        <v>GF12.344.02.A</v>
      </c>
      <c r="D230" s="2" t="s">
        <v>2286</v>
      </c>
      <c r="E230" s="52">
        <f t="shared" si="7"/>
        <v>0</v>
      </c>
      <c r="F230" s="5" t="e" cm="1">
        <f t="array" aca="1" ref="F230" ca="1">SUMPRODUCT(SUMIF(INDIRECT("'"&amp;Assemblies[Assy]&amp;"'!"&amp;"C$5:C1000"),$C230,(INDIRECT("'"&amp;Assemblies[Assy]&amp;"'!"&amp;"O$5:O1000"))))</f>
        <v>#VALUE!</v>
      </c>
      <c r="G230" s="5">
        <v>1</v>
      </c>
      <c r="H230" s="5">
        <v>1</v>
      </c>
      <c r="I230" s="2" t="s">
        <v>1782</v>
      </c>
      <c r="J230" s="2" t="s">
        <v>1792</v>
      </c>
      <c r="L230" s="2" t="s">
        <v>2162</v>
      </c>
      <c r="M230" s="116" t="s">
        <v>2163</v>
      </c>
      <c r="N230" s="8">
        <v>45156</v>
      </c>
      <c r="O230" s="8">
        <v>45162</v>
      </c>
      <c r="P230" s="8">
        <v>45190</v>
      </c>
      <c r="Q230" s="144">
        <v>45190</v>
      </c>
      <c r="R230" s="223">
        <v>55101</v>
      </c>
      <c r="S230" s="153">
        <v>0</v>
      </c>
      <c r="T230" s="52">
        <v>0</v>
      </c>
      <c r="U230" s="52">
        <v>0</v>
      </c>
      <c r="V230" s="52">
        <v>0</v>
      </c>
      <c r="W230" s="2" t="str" cm="1">
        <f t="array" aca="1" ref="W230" ca="1">TRIM(SUBSTITUTE(_xlfn.ARRAYTOTEXT(IFERROR(CONCATENATE(SUMIF(INDIRECT("'"&amp;Assemblies[Assy]&amp;"'!"&amp;"C$5:C1000"), $C230, INDIRECT("'"&amp;Assemblies[Assy]&amp;"'!"&amp;"O$5:O1000")), "x",Assemblies[Assy],".",IF(SUMIF(INDIRECT("'"&amp;Assemblies[Assy]&amp;"'!"&amp;"C$5:C1000"), $C230, INDIRECT("'"&amp;Assemblies[Assy]&amp;"'!"&amp;"A$5:A1000"))=0,NA(),SUMIF(INDIRECT("'"&amp;Assemblies[Assy]&amp;"'!"&amp;"C$5:C1000"), $C230, INDIRECT("'"&amp;Assemblies[Assy]&amp;"'!"&amp;"A$5:A1000")))),"")), " ,", ""))</f>
        <v>,</v>
      </c>
      <c r="X230" s="2" t="s">
        <v>1382</v>
      </c>
      <c r="Y230" s="2" t="s">
        <v>1382</v>
      </c>
      <c r="Z230" s="2" t="s">
        <v>1382</v>
      </c>
      <c r="AA230" s="2" t="s">
        <v>1382</v>
      </c>
    </row>
    <row r="231" spans="1:27" ht="12.75">
      <c r="A231" s="115" t="s">
        <v>2287</v>
      </c>
      <c r="B231" s="115" t="s">
        <v>56</v>
      </c>
      <c r="C231" s="2" t="str">
        <f t="shared" si="6"/>
        <v>GF12.344.08.B</v>
      </c>
      <c r="D231" s="2" t="s">
        <v>2288</v>
      </c>
      <c r="E231" s="52">
        <f t="shared" si="7"/>
        <v>189.3</v>
      </c>
      <c r="F231" s="5" t="e" cm="1">
        <f t="array" aca="1" ref="F231" ca="1">SUMPRODUCT(SUMIF(INDIRECT("'"&amp;Assemblies[Assy]&amp;"'!"&amp;"C$5:C1000"),$C231,(INDIRECT("'"&amp;Assemblies[Assy]&amp;"'!"&amp;"O$5:O1000"))))</f>
        <v>#VALUE!</v>
      </c>
      <c r="G231" s="5">
        <v>1</v>
      </c>
      <c r="H231" s="5">
        <v>1</v>
      </c>
      <c r="I231" s="2" t="s">
        <v>2176</v>
      </c>
      <c r="J231" s="2" t="s">
        <v>1802</v>
      </c>
      <c r="K231" s="2" t="s">
        <v>1382</v>
      </c>
      <c r="L231" s="2" t="s">
        <v>2167</v>
      </c>
      <c r="M231" s="8" t="s">
        <v>1779</v>
      </c>
      <c r="N231" s="8">
        <v>45159</v>
      </c>
      <c r="O231" s="8">
        <v>45161</v>
      </c>
      <c r="P231" s="8">
        <v>45191</v>
      </c>
      <c r="Q231" s="144">
        <v>45191</v>
      </c>
      <c r="R231" s="223">
        <v>55092</v>
      </c>
      <c r="S231" s="153">
        <v>189.3</v>
      </c>
      <c r="T231" s="52">
        <v>0</v>
      </c>
      <c r="U231" s="52">
        <v>0</v>
      </c>
      <c r="V231" s="52">
        <v>0</v>
      </c>
      <c r="W231" s="2" t="str" cm="1">
        <f t="array" aca="1" ref="W231" ca="1">TRIM(SUBSTITUTE(_xlfn.ARRAYTOTEXT(IFERROR(CONCATENATE(SUMIF(INDIRECT("'"&amp;Assemblies[Assy]&amp;"'!"&amp;"C$5:C1000"), $C231, INDIRECT("'"&amp;Assemblies[Assy]&amp;"'!"&amp;"O$5:O1000")), "x",Assemblies[Assy],".",IF(SUMIF(INDIRECT("'"&amp;Assemblies[Assy]&amp;"'!"&amp;"C$5:C1000"), $C231, INDIRECT("'"&amp;Assemblies[Assy]&amp;"'!"&amp;"A$5:A1000"))=0,NA(),SUMIF(INDIRECT("'"&amp;Assemblies[Assy]&amp;"'!"&amp;"C$5:C1000"), $C231, INDIRECT("'"&amp;Assemblies[Assy]&amp;"'!"&amp;"A$5:A1000")))),"")), " ,", ""))</f>
        <v>,</v>
      </c>
      <c r="X231" s="2" t="s">
        <v>1382</v>
      </c>
      <c r="Y231" s="2" t="s">
        <v>1382</v>
      </c>
      <c r="Z231" s="2" t="s">
        <v>1382</v>
      </c>
      <c r="AA231" s="2" t="s">
        <v>1382</v>
      </c>
    </row>
    <row r="232" spans="1:27" ht="12.75">
      <c r="A232" s="115" t="s">
        <v>2289</v>
      </c>
      <c r="B232" s="115" t="s">
        <v>54</v>
      </c>
      <c r="C232" s="161" t="str">
        <f t="shared" si="6"/>
        <v>GF12.344.10.A</v>
      </c>
      <c r="D232" s="161" t="s">
        <v>2290</v>
      </c>
      <c r="E232" s="52">
        <f t="shared" si="7"/>
        <v>119.07</v>
      </c>
      <c r="F232" s="5" t="e" cm="1">
        <f t="array" aca="1" ref="F232" ca="1">SUMPRODUCT(SUMIF(INDIRECT("'"&amp;Assemblies[Assy]&amp;"'!"&amp;"C$5:C1000"),$C232,(INDIRECT("'"&amp;Assemblies[Assy]&amp;"'!"&amp;"O$5:O1000"))))</f>
        <v>#VALUE!</v>
      </c>
      <c r="G232" s="5">
        <v>1</v>
      </c>
      <c r="H232" s="5">
        <v>1</v>
      </c>
      <c r="I232" s="2" t="s">
        <v>2166</v>
      </c>
      <c r="J232" s="2" t="s">
        <v>1802</v>
      </c>
      <c r="K232" s="2" t="s">
        <v>1382</v>
      </c>
      <c r="L232" s="2" t="s">
        <v>2167</v>
      </c>
      <c r="M232" s="8" t="s">
        <v>1779</v>
      </c>
      <c r="N232" s="8">
        <v>45159</v>
      </c>
      <c r="O232" s="8">
        <v>45161</v>
      </c>
      <c r="P232" s="8">
        <v>45191</v>
      </c>
      <c r="Q232" s="144">
        <v>45191</v>
      </c>
      <c r="R232" s="223">
        <v>55092</v>
      </c>
      <c r="S232" s="153">
        <v>119.07</v>
      </c>
      <c r="T232" s="52">
        <v>0</v>
      </c>
      <c r="U232" s="52">
        <v>0</v>
      </c>
      <c r="V232" s="52">
        <v>0</v>
      </c>
      <c r="W232" s="2" t="str" cm="1">
        <f t="array" aca="1" ref="W232" ca="1">TRIM(SUBSTITUTE(_xlfn.ARRAYTOTEXT(IFERROR(CONCATENATE(SUMIF(INDIRECT("'"&amp;Assemblies[Assy]&amp;"'!"&amp;"C$5:C1000"), $C232, INDIRECT("'"&amp;Assemblies[Assy]&amp;"'!"&amp;"O$5:O1000")), "x",Assemblies[Assy],".",IF(SUMIF(INDIRECT("'"&amp;Assemblies[Assy]&amp;"'!"&amp;"C$5:C1000"), $C232, INDIRECT("'"&amp;Assemblies[Assy]&amp;"'!"&amp;"A$5:A1000"))=0,NA(),SUMIF(INDIRECT("'"&amp;Assemblies[Assy]&amp;"'!"&amp;"C$5:C1000"), $C232, INDIRECT("'"&amp;Assemblies[Assy]&amp;"'!"&amp;"A$5:A1000")))),"")), " ,", ""))</f>
        <v>,</v>
      </c>
      <c r="X232" s="2" t="s">
        <v>1382</v>
      </c>
      <c r="Y232" s="2" t="s">
        <v>1382</v>
      </c>
      <c r="Z232" s="2" t="s">
        <v>1382</v>
      </c>
      <c r="AA232" s="2" t="s">
        <v>1382</v>
      </c>
    </row>
    <row r="233" spans="1:27" ht="12.75">
      <c r="A233" s="115" t="s">
        <v>2291</v>
      </c>
      <c r="B233" s="115" t="s">
        <v>54</v>
      </c>
      <c r="C233" s="2" t="str">
        <f t="shared" si="6"/>
        <v>GF12.344.11.A</v>
      </c>
      <c r="D233" s="2" t="s">
        <v>2292</v>
      </c>
      <c r="E233" s="52">
        <f t="shared" si="7"/>
        <v>0</v>
      </c>
      <c r="F233" s="5" t="e" cm="1">
        <f t="array" aca="1" ref="F233" ca="1">SUMPRODUCT(SUMIF(INDIRECT("'"&amp;Assemblies[Assy]&amp;"'!"&amp;"C$5:C1000"),$C233,(INDIRECT("'"&amp;Assemblies[Assy]&amp;"'!"&amp;"O$5:O1000"))))</f>
        <v>#VALUE!</v>
      </c>
      <c r="G233" s="5">
        <v>1</v>
      </c>
      <c r="H233" s="5">
        <v>1</v>
      </c>
      <c r="I233" s="2" t="s">
        <v>1791</v>
      </c>
      <c r="J233" s="2" t="s">
        <v>1769</v>
      </c>
      <c r="K233" s="2" t="s">
        <v>1382</v>
      </c>
      <c r="L233" s="2" t="s">
        <v>1812</v>
      </c>
      <c r="M233" s="8" t="s">
        <v>1779</v>
      </c>
      <c r="N233" s="163" t="s">
        <v>1762</v>
      </c>
      <c r="O233" s="163" t="s">
        <v>1762</v>
      </c>
      <c r="P233" s="163" t="s">
        <v>1762</v>
      </c>
      <c r="Q233" s="163" t="s">
        <v>1762</v>
      </c>
      <c r="R233" s="222" t="s">
        <v>1762</v>
      </c>
      <c r="S233" s="153">
        <v>0</v>
      </c>
      <c r="T233" s="52">
        <v>0</v>
      </c>
      <c r="U233" s="52">
        <v>0</v>
      </c>
      <c r="V233" s="52">
        <v>0</v>
      </c>
      <c r="W233" s="2" t="str" cm="1">
        <f t="array" aca="1" ref="W233" ca="1">TRIM(SUBSTITUTE(_xlfn.ARRAYTOTEXT(IFERROR(CONCATENATE(SUMIF(INDIRECT("'"&amp;Assemblies[Assy]&amp;"'!"&amp;"C$5:C1000"), $C233, INDIRECT("'"&amp;Assemblies[Assy]&amp;"'!"&amp;"O$5:O1000")), "x",Assemblies[Assy],".",IF(SUMIF(INDIRECT("'"&amp;Assemblies[Assy]&amp;"'!"&amp;"C$5:C1000"), $C233, INDIRECT("'"&amp;Assemblies[Assy]&amp;"'!"&amp;"A$5:A1000"))=0,NA(),SUMIF(INDIRECT("'"&amp;Assemblies[Assy]&amp;"'!"&amp;"C$5:C1000"), $C233, INDIRECT("'"&amp;Assemblies[Assy]&amp;"'!"&amp;"A$5:A1000")))),"")), " ,", ""))</f>
        <v>,</v>
      </c>
      <c r="X233" s="2" t="s">
        <v>1382</v>
      </c>
      <c r="Y233" s="2" t="s">
        <v>2227</v>
      </c>
      <c r="Z233" s="2" t="s">
        <v>1382</v>
      </c>
      <c r="AA233" s="2" t="s">
        <v>1382</v>
      </c>
    </row>
    <row r="234" spans="1:27" ht="12" customHeight="1">
      <c r="A234" s="115" t="s">
        <v>2293</v>
      </c>
      <c r="B234" s="115" t="s">
        <v>56</v>
      </c>
      <c r="C234" s="2" t="str">
        <f t="shared" si="6"/>
        <v>GF12.344.13.B</v>
      </c>
      <c r="D234" s="2" t="s">
        <v>2294</v>
      </c>
      <c r="E234" s="52">
        <f t="shared" si="7"/>
        <v>122.27</v>
      </c>
      <c r="F234" s="5" t="e" cm="1">
        <f t="array" aca="1" ref="F234" ca="1">SUMPRODUCT(SUMIF(INDIRECT("'"&amp;Assemblies[Assy]&amp;"'!"&amp;"C$5:C1000"),$C234,(INDIRECT("'"&amp;Assemblies[Assy]&amp;"'!"&amp;"O$5:O1000"))))</f>
        <v>#VALUE!</v>
      </c>
      <c r="G234" s="5">
        <v>1</v>
      </c>
      <c r="H234" s="5">
        <v>1</v>
      </c>
      <c r="I234" s="2" t="s">
        <v>2176</v>
      </c>
      <c r="J234" s="2" t="s">
        <v>1802</v>
      </c>
      <c r="K234" s="2" t="s">
        <v>1382</v>
      </c>
      <c r="L234" s="2" t="s">
        <v>2167</v>
      </c>
      <c r="M234" s="8" t="s">
        <v>1779</v>
      </c>
      <c r="N234" s="8">
        <v>45159</v>
      </c>
      <c r="O234" s="8">
        <v>45161</v>
      </c>
      <c r="P234" s="8">
        <v>45191</v>
      </c>
      <c r="Q234" s="144">
        <v>45191</v>
      </c>
      <c r="R234" s="223">
        <v>55092</v>
      </c>
      <c r="S234" s="153">
        <v>122.27</v>
      </c>
      <c r="T234" s="52">
        <v>0</v>
      </c>
      <c r="U234" s="52">
        <v>0</v>
      </c>
      <c r="V234" s="52">
        <v>0</v>
      </c>
      <c r="W234" s="2" t="str" cm="1">
        <f t="array" aca="1" ref="W234" ca="1">TRIM(SUBSTITUTE(_xlfn.ARRAYTOTEXT(IFERROR(CONCATENATE(SUMIF(INDIRECT("'"&amp;Assemblies[Assy]&amp;"'!"&amp;"C$5:C1000"), $C234, INDIRECT("'"&amp;Assemblies[Assy]&amp;"'!"&amp;"O$5:O1000")), "x",Assemblies[Assy],".",IF(SUMIF(INDIRECT("'"&amp;Assemblies[Assy]&amp;"'!"&amp;"C$5:C1000"), $C234, INDIRECT("'"&amp;Assemblies[Assy]&amp;"'!"&amp;"A$5:A1000"))=0,NA(),SUMIF(INDIRECT("'"&amp;Assemblies[Assy]&amp;"'!"&amp;"C$5:C1000"), $C234, INDIRECT("'"&amp;Assemblies[Assy]&amp;"'!"&amp;"A$5:A1000")))),"")), " ,", ""))</f>
        <v>,</v>
      </c>
      <c r="X234" s="2" t="s">
        <v>1382</v>
      </c>
      <c r="Y234" s="2" t="s">
        <v>1382</v>
      </c>
      <c r="Z234" s="2" t="s">
        <v>1382</v>
      </c>
      <c r="AA234" s="2" t="s">
        <v>1382</v>
      </c>
    </row>
    <row r="235" spans="1:27" ht="12.75">
      <c r="A235" s="115" t="s">
        <v>2295</v>
      </c>
      <c r="B235" s="115" t="s">
        <v>54</v>
      </c>
      <c r="C235" s="2" t="str">
        <f t="shared" si="6"/>
        <v>GF12.345.01.A</v>
      </c>
      <c r="D235" s="2" t="s">
        <v>2296</v>
      </c>
      <c r="E235" s="52">
        <f t="shared" si="7"/>
        <v>0</v>
      </c>
      <c r="F235" s="5" t="e" cm="1">
        <f t="array" aca="1" ref="F235" ca="1">SUMPRODUCT(SUMIF(INDIRECT("'"&amp;Assemblies[Assy]&amp;"'!"&amp;"C$5:C1000"),$C235,(INDIRECT("'"&amp;Assemblies[Assy]&amp;"'!"&amp;"O$5:O1000"))))</f>
        <v>#VALUE!</v>
      </c>
      <c r="G235" s="5">
        <v>3</v>
      </c>
      <c r="H235" s="5">
        <v>3</v>
      </c>
      <c r="I235" s="2" t="s">
        <v>1791</v>
      </c>
      <c r="J235" s="2" t="s">
        <v>1769</v>
      </c>
      <c r="L235" s="2" t="s">
        <v>2162</v>
      </c>
      <c r="M235" s="116" t="s">
        <v>2163</v>
      </c>
      <c r="N235" s="8">
        <v>45156</v>
      </c>
      <c r="O235" s="8">
        <v>45162</v>
      </c>
      <c r="P235" s="8">
        <v>45190</v>
      </c>
      <c r="Q235" s="144">
        <v>45190</v>
      </c>
      <c r="R235" s="223">
        <v>55101</v>
      </c>
      <c r="S235" s="153">
        <v>0</v>
      </c>
      <c r="T235" s="52">
        <v>0</v>
      </c>
      <c r="U235" s="52">
        <v>0</v>
      </c>
      <c r="V235" s="52">
        <v>0</v>
      </c>
      <c r="W235" s="2" t="str" cm="1">
        <f t="array" aca="1" ref="W235" ca="1">TRIM(SUBSTITUTE(_xlfn.ARRAYTOTEXT(IFERROR(CONCATENATE(SUMIF(INDIRECT("'"&amp;Assemblies[Assy]&amp;"'!"&amp;"C$5:C1000"), $C235, INDIRECT("'"&amp;Assemblies[Assy]&amp;"'!"&amp;"O$5:O1000")), "x",Assemblies[Assy],".",IF(SUMIF(INDIRECT("'"&amp;Assemblies[Assy]&amp;"'!"&amp;"C$5:C1000"), $C235, INDIRECT("'"&amp;Assemblies[Assy]&amp;"'!"&amp;"A$5:A1000"))=0,NA(),SUMIF(INDIRECT("'"&amp;Assemblies[Assy]&amp;"'!"&amp;"C$5:C1000"), $C235, INDIRECT("'"&amp;Assemblies[Assy]&amp;"'!"&amp;"A$5:A1000")))),"")), " ,", ""))</f>
        <v>,</v>
      </c>
      <c r="X235" s="2" t="s">
        <v>1382</v>
      </c>
      <c r="Y235" s="2" t="s">
        <v>2214</v>
      </c>
      <c r="Z235" s="2" t="s">
        <v>1382</v>
      </c>
      <c r="AA235" s="2" t="s">
        <v>1382</v>
      </c>
    </row>
    <row r="236" spans="1:27" ht="12.75">
      <c r="A236" s="115" t="s">
        <v>2297</v>
      </c>
      <c r="B236" s="115" t="s">
        <v>54</v>
      </c>
      <c r="C236" s="2" t="str">
        <f t="shared" si="6"/>
        <v>GF12.345.02.A</v>
      </c>
      <c r="D236" s="2" t="s">
        <v>2298</v>
      </c>
      <c r="E236" s="52">
        <f t="shared" si="7"/>
        <v>20.03</v>
      </c>
      <c r="F236" s="5" t="e" cm="1">
        <f t="array" aca="1" ref="F236" ca="1">SUMPRODUCT(SUMIF(INDIRECT("'"&amp;Assemblies[Assy]&amp;"'!"&amp;"C$5:C1000"),$C236,(INDIRECT("'"&amp;Assemblies[Assy]&amp;"'!"&amp;"O$5:O1000"))))</f>
        <v>#VALUE!</v>
      </c>
      <c r="G236" s="5">
        <v>6</v>
      </c>
      <c r="H236" s="5">
        <v>6</v>
      </c>
      <c r="I236" s="2" t="s">
        <v>2088</v>
      </c>
      <c r="J236" s="2" t="s">
        <v>1761</v>
      </c>
      <c r="K236" s="2" t="s">
        <v>1762</v>
      </c>
      <c r="L236" s="2" t="s">
        <v>2089</v>
      </c>
      <c r="M236" s="2" t="s">
        <v>1779</v>
      </c>
      <c r="N236" s="8">
        <v>45160</v>
      </c>
      <c r="O236" s="8">
        <v>45160</v>
      </c>
      <c r="P236" s="8">
        <v>45161</v>
      </c>
      <c r="Q236" s="144">
        <v>45161</v>
      </c>
      <c r="R236" s="223">
        <v>55086</v>
      </c>
      <c r="S236" s="153">
        <v>20.03</v>
      </c>
      <c r="T236" s="52">
        <v>0</v>
      </c>
      <c r="U236" s="52">
        <v>0</v>
      </c>
      <c r="V236" s="52">
        <v>0</v>
      </c>
      <c r="W236" s="2" t="str" cm="1">
        <f t="array" aca="1" ref="W236" ca="1">TRIM(SUBSTITUTE(_xlfn.ARRAYTOTEXT(IFERROR(CONCATENATE(SUMIF(INDIRECT("'"&amp;Assemblies[Assy]&amp;"'!"&amp;"C$5:C1000"), $C236, INDIRECT("'"&amp;Assemblies[Assy]&amp;"'!"&amp;"O$5:O1000")), "x",Assemblies[Assy],".",IF(SUMIF(INDIRECT("'"&amp;Assemblies[Assy]&amp;"'!"&amp;"C$5:C1000"), $C236, INDIRECT("'"&amp;Assemblies[Assy]&amp;"'!"&amp;"A$5:A1000"))=0,NA(),SUMIF(INDIRECT("'"&amp;Assemblies[Assy]&amp;"'!"&amp;"C$5:C1000"), $C236, INDIRECT("'"&amp;Assemblies[Assy]&amp;"'!"&amp;"A$5:A1000")))),"")), " ,", ""))</f>
        <v>,</v>
      </c>
      <c r="X236" s="2" t="s">
        <v>1382</v>
      </c>
      <c r="Y236" s="2" t="s">
        <v>1382</v>
      </c>
      <c r="Z236" s="2" t="s">
        <v>1382</v>
      </c>
      <c r="AA236" s="2" t="s">
        <v>1382</v>
      </c>
    </row>
    <row r="237" spans="1:27" ht="12.75">
      <c r="A237" s="115" t="s">
        <v>2299</v>
      </c>
      <c r="B237" s="115" t="s">
        <v>54</v>
      </c>
      <c r="C237" s="2" t="str">
        <f t="shared" si="6"/>
        <v>GF12.345.03.A</v>
      </c>
      <c r="D237" s="2" t="s">
        <v>2300</v>
      </c>
      <c r="E237" s="52">
        <f t="shared" si="7"/>
        <v>61.379999999999995</v>
      </c>
      <c r="F237" s="5" t="e" cm="1">
        <f t="array" aca="1" ref="F237" ca="1">SUMPRODUCT(SUMIF(INDIRECT("'"&amp;Assemblies[Assy]&amp;"'!"&amp;"C$5:C1000"),$C237,(INDIRECT("'"&amp;Assemblies[Assy]&amp;"'!"&amp;"O$5:O1000"))))</f>
        <v>#VALUE!</v>
      </c>
      <c r="G237" s="5">
        <v>3</v>
      </c>
      <c r="H237" s="5">
        <v>3</v>
      </c>
      <c r="I237" s="2" t="s">
        <v>1797</v>
      </c>
      <c r="J237" s="2" t="s">
        <v>1761</v>
      </c>
      <c r="K237" s="2" t="s">
        <v>1762</v>
      </c>
      <c r="L237" s="2" t="s">
        <v>1929</v>
      </c>
      <c r="M237" s="2" t="s">
        <v>1779</v>
      </c>
      <c r="N237" s="163" t="s">
        <v>1762</v>
      </c>
      <c r="O237" s="8">
        <v>45161</v>
      </c>
      <c r="P237" s="8">
        <v>45180</v>
      </c>
      <c r="Q237" s="162">
        <v>45180</v>
      </c>
      <c r="R237" s="201" t="s">
        <v>1930</v>
      </c>
      <c r="S237" s="153">
        <v>18.13</v>
      </c>
      <c r="T237" s="153">
        <v>0</v>
      </c>
      <c r="U237" s="153">
        <v>43.25</v>
      </c>
      <c r="V237" s="52">
        <v>0</v>
      </c>
      <c r="W237" s="2" t="str" cm="1">
        <f t="array" aca="1" ref="W237" ca="1">TRIM(SUBSTITUTE(_xlfn.ARRAYTOTEXT(IFERROR(CONCATENATE(SUMIF(INDIRECT("'"&amp;Assemblies[Assy]&amp;"'!"&amp;"C$5:C1000"), $C237, INDIRECT("'"&amp;Assemblies[Assy]&amp;"'!"&amp;"O$5:O1000")), "x",Assemblies[Assy],".",IF(SUMIF(INDIRECT("'"&amp;Assemblies[Assy]&amp;"'!"&amp;"C$5:C1000"), $C237, INDIRECT("'"&amp;Assemblies[Assy]&amp;"'!"&amp;"A$5:A1000"))=0,NA(),SUMIF(INDIRECT("'"&amp;Assemblies[Assy]&amp;"'!"&amp;"C$5:C1000"), $C237, INDIRECT("'"&amp;Assemblies[Assy]&amp;"'!"&amp;"A$5:A1000")))),"")), " ,", ""))</f>
        <v>,</v>
      </c>
      <c r="X237" s="2" t="s">
        <v>1773</v>
      </c>
      <c r="Y237" s="2" t="s">
        <v>1382</v>
      </c>
      <c r="Z237" s="2" t="s">
        <v>1382</v>
      </c>
      <c r="AA237" s="2" t="s">
        <v>1382</v>
      </c>
    </row>
    <row r="238" spans="1:27" ht="12.75">
      <c r="A238" s="115" t="s">
        <v>2301</v>
      </c>
      <c r="B238" s="115" t="s">
        <v>54</v>
      </c>
      <c r="C238" s="2" t="str">
        <f t="shared" si="6"/>
        <v>GF12.346.01.A</v>
      </c>
      <c r="D238" s="2" t="s">
        <v>2302</v>
      </c>
      <c r="E238" s="52">
        <f t="shared" si="7"/>
        <v>0</v>
      </c>
      <c r="F238" s="5" t="e" cm="1">
        <f t="array" aca="1" ref="F238" ca="1">SUMPRODUCT(SUMIF(INDIRECT("'"&amp;Assemblies[Assy]&amp;"'!"&amp;"C$5:C1000"),$C238,(INDIRECT("'"&amp;Assemblies[Assy]&amp;"'!"&amp;"O$5:O1000"))))</f>
        <v>#VALUE!</v>
      </c>
      <c r="G238" s="5">
        <v>2</v>
      </c>
      <c r="H238" s="5">
        <v>2</v>
      </c>
      <c r="I238" s="2" t="s">
        <v>1791</v>
      </c>
      <c r="J238" s="2" t="s">
        <v>1769</v>
      </c>
      <c r="L238" s="2" t="s">
        <v>2162</v>
      </c>
      <c r="M238" s="116" t="s">
        <v>2163</v>
      </c>
      <c r="N238" s="8">
        <v>45156</v>
      </c>
      <c r="O238" s="8">
        <v>45162</v>
      </c>
      <c r="P238" s="8">
        <v>45190</v>
      </c>
      <c r="Q238" s="144">
        <v>45190</v>
      </c>
      <c r="R238" s="223">
        <v>55101</v>
      </c>
      <c r="S238" s="153">
        <v>0</v>
      </c>
      <c r="T238" s="52">
        <v>0</v>
      </c>
      <c r="U238" s="52">
        <v>0</v>
      </c>
      <c r="V238" s="52">
        <v>0</v>
      </c>
      <c r="W238" s="2" t="str" cm="1">
        <f t="array" aca="1" ref="W238" ca="1">TRIM(SUBSTITUTE(_xlfn.ARRAYTOTEXT(IFERROR(CONCATENATE(SUMIF(INDIRECT("'"&amp;Assemblies[Assy]&amp;"'!"&amp;"C$5:C1000"), $C238, INDIRECT("'"&amp;Assemblies[Assy]&amp;"'!"&amp;"O$5:O1000")), "x",Assemblies[Assy],".",IF(SUMIF(INDIRECT("'"&amp;Assemblies[Assy]&amp;"'!"&amp;"C$5:C1000"), $C238, INDIRECT("'"&amp;Assemblies[Assy]&amp;"'!"&amp;"A$5:A1000"))=0,NA(),SUMIF(INDIRECT("'"&amp;Assemblies[Assy]&amp;"'!"&amp;"C$5:C1000"), $C238, INDIRECT("'"&amp;Assemblies[Assy]&amp;"'!"&amp;"A$5:A1000")))),"")), " ,", ""))</f>
        <v>,</v>
      </c>
      <c r="X238" s="2" t="s">
        <v>1382</v>
      </c>
      <c r="Y238" s="2" t="s">
        <v>2214</v>
      </c>
      <c r="Z238" s="2" t="s">
        <v>1382</v>
      </c>
      <c r="AA238" s="2" t="s">
        <v>1382</v>
      </c>
    </row>
    <row r="239" spans="1:27" ht="12.75">
      <c r="A239" s="115" t="s">
        <v>2303</v>
      </c>
      <c r="B239" s="115" t="s">
        <v>54</v>
      </c>
      <c r="C239" s="2" t="str">
        <f t="shared" si="6"/>
        <v>GF12.346.02.A</v>
      </c>
      <c r="D239" s="2" t="s">
        <v>2304</v>
      </c>
      <c r="E239" s="52">
        <f t="shared" si="7"/>
        <v>38.6</v>
      </c>
      <c r="F239" s="5" t="e" cm="1">
        <f t="array" aca="1" ref="F239" ca="1">SUMPRODUCT(SUMIF(INDIRECT("'"&amp;Assemblies[Assy]&amp;"'!"&amp;"C$5:C1000"),$C239,(INDIRECT("'"&amp;Assemblies[Assy]&amp;"'!"&amp;"O$5:O1000"))))</f>
        <v>#VALUE!</v>
      </c>
      <c r="G239" s="5">
        <v>4</v>
      </c>
      <c r="H239" s="5">
        <v>4</v>
      </c>
      <c r="I239" s="2" t="s">
        <v>1797</v>
      </c>
      <c r="J239" s="2" t="s">
        <v>1761</v>
      </c>
      <c r="K239" s="2" t="s">
        <v>1762</v>
      </c>
      <c r="L239" s="2" t="s">
        <v>1929</v>
      </c>
      <c r="M239" s="2" t="s">
        <v>1779</v>
      </c>
      <c r="N239" s="163" t="s">
        <v>1762</v>
      </c>
      <c r="O239" s="8">
        <v>45161</v>
      </c>
      <c r="P239" s="8">
        <v>45180</v>
      </c>
      <c r="Q239" s="162">
        <v>45180</v>
      </c>
      <c r="R239" s="201" t="s">
        <v>1930</v>
      </c>
      <c r="S239" s="153">
        <v>8.1</v>
      </c>
      <c r="T239" s="153">
        <v>0</v>
      </c>
      <c r="U239" s="153">
        <v>30.5</v>
      </c>
      <c r="V239" s="52">
        <v>0</v>
      </c>
      <c r="W239" s="2" t="str" cm="1">
        <f t="array" aca="1" ref="W239" ca="1">TRIM(SUBSTITUTE(_xlfn.ARRAYTOTEXT(IFERROR(CONCATENATE(SUMIF(INDIRECT("'"&amp;Assemblies[Assy]&amp;"'!"&amp;"C$5:C1000"), $C239, INDIRECT("'"&amp;Assemblies[Assy]&amp;"'!"&amp;"O$5:O1000")), "x",Assemblies[Assy],".",IF(SUMIF(INDIRECT("'"&amp;Assemblies[Assy]&amp;"'!"&amp;"C$5:C1000"), $C239, INDIRECT("'"&amp;Assemblies[Assy]&amp;"'!"&amp;"A$5:A1000"))=0,NA(),SUMIF(INDIRECT("'"&amp;Assemblies[Assy]&amp;"'!"&amp;"C$5:C1000"), $C239, INDIRECT("'"&amp;Assemblies[Assy]&amp;"'!"&amp;"A$5:A1000")))),"")), " ,", ""))</f>
        <v>,</v>
      </c>
      <c r="X239" s="2" t="s">
        <v>1773</v>
      </c>
      <c r="Y239" s="2" t="s">
        <v>1382</v>
      </c>
      <c r="Z239" s="2" t="s">
        <v>1382</v>
      </c>
      <c r="AA239" s="2" t="s">
        <v>1382</v>
      </c>
    </row>
    <row r="240" spans="1:27" ht="12.75">
      <c r="A240" s="115" t="s">
        <v>2305</v>
      </c>
      <c r="B240" s="115" t="s">
        <v>54</v>
      </c>
      <c r="C240" s="2" t="str">
        <f t="shared" si="6"/>
        <v>GF12.346.03.A</v>
      </c>
      <c r="D240" s="2" t="s">
        <v>2306</v>
      </c>
      <c r="E240" s="52">
        <f t="shared" si="7"/>
        <v>0</v>
      </c>
      <c r="F240" s="5" t="e" cm="1">
        <f t="array" aca="1" ref="F240" ca="1">SUMPRODUCT(SUMIF(INDIRECT("'"&amp;Assemblies[Assy]&amp;"'!"&amp;"C$5:C1000"),$C240,(INDIRECT("'"&amp;Assemblies[Assy]&amp;"'!"&amp;"O$5:O1000"))))</f>
        <v>#VALUE!</v>
      </c>
      <c r="G240" s="5">
        <v>2</v>
      </c>
      <c r="H240" s="5">
        <v>2</v>
      </c>
      <c r="I240" s="2" t="s">
        <v>1782</v>
      </c>
      <c r="J240" s="2" t="s">
        <v>1769</v>
      </c>
      <c r="L240" s="2" t="s">
        <v>2162</v>
      </c>
      <c r="M240" s="116" t="s">
        <v>1779</v>
      </c>
      <c r="N240" s="8">
        <v>45156</v>
      </c>
      <c r="O240" s="8">
        <v>45162</v>
      </c>
      <c r="P240" s="8">
        <v>45190</v>
      </c>
      <c r="Q240" s="144">
        <v>45190</v>
      </c>
      <c r="R240" s="223">
        <v>55101</v>
      </c>
      <c r="S240" s="153">
        <v>0</v>
      </c>
      <c r="T240" s="52">
        <v>0</v>
      </c>
      <c r="U240" s="52">
        <v>0</v>
      </c>
      <c r="V240" s="52">
        <v>0</v>
      </c>
      <c r="W240" s="2" t="str" cm="1">
        <f t="array" aca="1" ref="W240" ca="1">TRIM(SUBSTITUTE(_xlfn.ARRAYTOTEXT(IFERROR(CONCATENATE(SUMIF(INDIRECT("'"&amp;Assemblies[Assy]&amp;"'!"&amp;"C$5:C1000"), $C240, INDIRECT("'"&amp;Assemblies[Assy]&amp;"'!"&amp;"O$5:O1000")), "x",Assemblies[Assy],".",IF(SUMIF(INDIRECT("'"&amp;Assemblies[Assy]&amp;"'!"&amp;"C$5:C1000"), $C240, INDIRECT("'"&amp;Assemblies[Assy]&amp;"'!"&amp;"A$5:A1000"))=0,NA(),SUMIF(INDIRECT("'"&amp;Assemblies[Assy]&amp;"'!"&amp;"C$5:C1000"), $C240, INDIRECT("'"&amp;Assemblies[Assy]&amp;"'!"&amp;"A$5:A1000")))),"")), " ,", ""))</f>
        <v>,</v>
      </c>
      <c r="X240" s="2" t="s">
        <v>1382</v>
      </c>
      <c r="Y240" s="2" t="s">
        <v>2214</v>
      </c>
      <c r="Z240" s="2" t="s">
        <v>1382</v>
      </c>
      <c r="AA240" s="2" t="s">
        <v>1382</v>
      </c>
    </row>
    <row r="241" spans="1:30" ht="12.75">
      <c r="A241" s="115" t="s">
        <v>2307</v>
      </c>
      <c r="B241" s="115" t="s">
        <v>54</v>
      </c>
      <c r="C241" s="2" t="str">
        <f t="shared" si="6"/>
        <v>GF12.346.04.A</v>
      </c>
      <c r="D241" s="2" t="s">
        <v>2308</v>
      </c>
      <c r="E241" s="52">
        <f t="shared" si="7"/>
        <v>0</v>
      </c>
      <c r="F241" s="5" t="e" cm="1">
        <f t="array" aca="1" ref="F241" ca="1">SUMPRODUCT(SUMIF(INDIRECT("'"&amp;Assemblies[Assy]&amp;"'!"&amp;"C$5:C1000"),$C241,(INDIRECT("'"&amp;Assemblies[Assy]&amp;"'!"&amp;"O$5:O1000"))))</f>
        <v>#VALUE!</v>
      </c>
      <c r="G241" s="5">
        <v>6</v>
      </c>
      <c r="H241" s="5">
        <v>6</v>
      </c>
      <c r="I241" s="2" t="s">
        <v>1791</v>
      </c>
      <c r="J241" s="2" t="s">
        <v>1769</v>
      </c>
      <c r="L241" s="2" t="s">
        <v>2162</v>
      </c>
      <c r="M241" s="116" t="s">
        <v>2170</v>
      </c>
      <c r="N241" s="8">
        <v>45156</v>
      </c>
      <c r="O241" s="8">
        <v>45162</v>
      </c>
      <c r="P241" s="8">
        <v>45190</v>
      </c>
      <c r="Q241" s="144">
        <v>45190</v>
      </c>
      <c r="R241" s="223">
        <v>55101</v>
      </c>
      <c r="S241" s="153">
        <v>0</v>
      </c>
      <c r="T241" s="52">
        <v>0</v>
      </c>
      <c r="U241" s="52">
        <v>0</v>
      </c>
      <c r="V241" s="52">
        <v>0</v>
      </c>
      <c r="W241" s="2" t="str" cm="1">
        <f t="array" aca="1" ref="W241" ca="1">TRIM(SUBSTITUTE(_xlfn.ARRAYTOTEXT(IFERROR(CONCATENATE(SUMIF(INDIRECT("'"&amp;Assemblies[Assy]&amp;"'!"&amp;"C$5:C1000"), $C241, INDIRECT("'"&amp;Assemblies[Assy]&amp;"'!"&amp;"O$5:O1000")), "x",Assemblies[Assy],".",IF(SUMIF(INDIRECT("'"&amp;Assemblies[Assy]&amp;"'!"&amp;"C$5:C1000"), $C241, INDIRECT("'"&amp;Assemblies[Assy]&amp;"'!"&amp;"A$5:A1000"))=0,NA(),SUMIF(INDIRECT("'"&amp;Assemblies[Assy]&amp;"'!"&amp;"C$5:C1000"), $C241, INDIRECT("'"&amp;Assemblies[Assy]&amp;"'!"&amp;"A$5:A1000")))),"")), " ,", ""))</f>
        <v>,</v>
      </c>
      <c r="X241" s="2" t="s">
        <v>1382</v>
      </c>
      <c r="Y241" s="2" t="s">
        <v>2214</v>
      </c>
      <c r="Z241" s="2" t="s">
        <v>1382</v>
      </c>
      <c r="AA241" s="2" t="s">
        <v>1382</v>
      </c>
    </row>
    <row r="242" spans="1:30" ht="12.75">
      <c r="A242" s="115" t="s">
        <v>2309</v>
      </c>
      <c r="B242" s="115" t="s">
        <v>54</v>
      </c>
      <c r="C242" s="2" t="str">
        <f t="shared" si="6"/>
        <v>GF12.400.01.A</v>
      </c>
      <c r="D242" s="2" t="s">
        <v>2310</v>
      </c>
      <c r="E242" s="52">
        <f t="shared" si="7"/>
        <v>0</v>
      </c>
      <c r="F242" s="5" t="e" cm="1">
        <f t="array" aca="1" ref="F242" ca="1">SUMPRODUCT(SUMIF(INDIRECT("'"&amp;Assemblies[Assy]&amp;"'!"&amp;"C$5:C1000"),$C242,(INDIRECT("'"&amp;Assemblies[Assy]&amp;"'!"&amp;"O$5:O1000"))))</f>
        <v>#VALUE!</v>
      </c>
      <c r="G242" s="5">
        <v>0</v>
      </c>
      <c r="I242" s="2" t="s">
        <v>2088</v>
      </c>
      <c r="J242" s="2" t="s">
        <v>1761</v>
      </c>
      <c r="K242" s="2" t="s">
        <v>1762</v>
      </c>
      <c r="L242" s="2" t="s">
        <v>2311</v>
      </c>
      <c r="M242" s="8" t="s">
        <v>2312</v>
      </c>
      <c r="N242" s="8">
        <v>45162</v>
      </c>
      <c r="O242" s="8">
        <v>45162</v>
      </c>
      <c r="P242" s="144">
        <v>45197</v>
      </c>
      <c r="Q242" s="144">
        <v>45197</v>
      </c>
      <c r="R242" s="223">
        <v>55169</v>
      </c>
      <c r="S242" s="153">
        <v>0</v>
      </c>
      <c r="T242" s="52">
        <v>0</v>
      </c>
      <c r="U242" s="52">
        <v>0</v>
      </c>
      <c r="V242" s="52">
        <v>0</v>
      </c>
      <c r="W242" s="2" t="str" cm="1">
        <f t="array" aca="1" ref="W242" ca="1">TRIM(SUBSTITUTE(_xlfn.ARRAYTOTEXT(IFERROR(CONCATENATE(SUMIF(INDIRECT("'"&amp;Assemblies[Assy]&amp;"'!"&amp;"C$5:C1000"), $C242, INDIRECT("'"&amp;Assemblies[Assy]&amp;"'!"&amp;"O$5:O1000")), "x",Assemblies[Assy],".",IF(SUMIF(INDIRECT("'"&amp;Assemblies[Assy]&amp;"'!"&amp;"C$5:C1000"), $C242, INDIRECT("'"&amp;Assemblies[Assy]&amp;"'!"&amp;"A$5:A1000"))=0,NA(),SUMIF(INDIRECT("'"&amp;Assemblies[Assy]&amp;"'!"&amp;"C$5:C1000"), $C242, INDIRECT("'"&amp;Assemblies[Assy]&amp;"'!"&amp;"A$5:A1000")))),"")), " ,", ""))</f>
        <v>,</v>
      </c>
      <c r="X242" s="2" t="s">
        <v>1382</v>
      </c>
      <c r="Y242" s="2" t="s">
        <v>1382</v>
      </c>
      <c r="Z242" s="2" t="s">
        <v>1382</v>
      </c>
      <c r="AA242" s="2" t="s">
        <v>1382</v>
      </c>
    </row>
    <row r="243" spans="1:30" ht="12.75">
      <c r="A243" s="115" t="s">
        <v>2313</v>
      </c>
      <c r="B243" s="115" t="s">
        <v>54</v>
      </c>
      <c r="C243" s="161" t="str">
        <f t="shared" si="6"/>
        <v>GF12.410.05.A</v>
      </c>
      <c r="D243" s="161" t="s">
        <v>2314</v>
      </c>
      <c r="E243" s="52">
        <f t="shared" si="7"/>
        <v>26.56</v>
      </c>
      <c r="F243" s="5" t="e" cm="1">
        <f t="array" aca="1" ref="F243" ca="1">SUMPRODUCT(SUMIF(INDIRECT("'"&amp;Assemblies[Assy]&amp;"'!"&amp;"C$5:C1000"),$C243,(INDIRECT("'"&amp;Assemblies[Assy]&amp;"'!"&amp;"O$5:O1000"))))</f>
        <v>#VALUE!</v>
      </c>
      <c r="G243" s="5">
        <v>12</v>
      </c>
      <c r="H243" s="5">
        <v>12</v>
      </c>
      <c r="I243" s="2" t="s">
        <v>2088</v>
      </c>
      <c r="J243" s="2" t="s">
        <v>1761</v>
      </c>
      <c r="K243" s="2" t="s">
        <v>1762</v>
      </c>
      <c r="L243" s="2" t="s">
        <v>2256</v>
      </c>
      <c r="M243" s="2" t="s">
        <v>2315</v>
      </c>
      <c r="N243" s="8">
        <v>45160</v>
      </c>
      <c r="O243" s="8">
        <v>45160</v>
      </c>
      <c r="P243" s="8">
        <v>45166</v>
      </c>
      <c r="Q243" s="162">
        <v>45166</v>
      </c>
      <c r="R243" s="201">
        <v>55085</v>
      </c>
      <c r="S243" s="173">
        <v>26.56</v>
      </c>
      <c r="T243" s="52">
        <v>0</v>
      </c>
      <c r="U243" s="52">
        <v>0</v>
      </c>
      <c r="V243" s="52">
        <v>0</v>
      </c>
      <c r="W243" s="2" t="str" cm="1">
        <f t="array" aca="1" ref="W243" ca="1">TRIM(SUBSTITUTE(_xlfn.ARRAYTOTEXT(IFERROR(CONCATENATE(SUMIF(INDIRECT("'"&amp;Assemblies[Assy]&amp;"'!"&amp;"C$5:C1000"), $C243, INDIRECT("'"&amp;Assemblies[Assy]&amp;"'!"&amp;"O$5:O1000")), "x",Assemblies[Assy],".",IF(SUMIF(INDIRECT("'"&amp;Assemblies[Assy]&amp;"'!"&amp;"C$5:C1000"), $C243, INDIRECT("'"&amp;Assemblies[Assy]&amp;"'!"&amp;"A$5:A1000"))=0,NA(),SUMIF(INDIRECT("'"&amp;Assemblies[Assy]&amp;"'!"&amp;"C$5:C1000"), $C243, INDIRECT("'"&amp;Assemblies[Assy]&amp;"'!"&amp;"A$5:A1000")))),"")), " ,", ""))</f>
        <v>,</v>
      </c>
      <c r="X243" s="2" t="s">
        <v>1382</v>
      </c>
      <c r="Y243" s="2" t="s">
        <v>1382</v>
      </c>
      <c r="Z243" s="2" t="s">
        <v>1382</v>
      </c>
      <c r="AA243" s="2" t="s">
        <v>1382</v>
      </c>
    </row>
    <row r="244" spans="1:30" ht="12.75">
      <c r="A244" s="115" t="s">
        <v>2316</v>
      </c>
      <c r="B244" s="115" t="s">
        <v>54</v>
      </c>
      <c r="C244" s="2" t="str">
        <f t="shared" si="6"/>
        <v>GF12.411.01.A</v>
      </c>
      <c r="D244" s="2" t="s">
        <v>2317</v>
      </c>
      <c r="E244" s="52">
        <f t="shared" si="7"/>
        <v>0</v>
      </c>
      <c r="F244" s="5" t="e" cm="1">
        <f t="array" aca="1" ref="F244" ca="1">SUMPRODUCT(SUMIF(INDIRECT("'"&amp;Assemblies[Assy]&amp;"'!"&amp;"C$5:C1000"),$C244,(INDIRECT("'"&amp;Assemblies[Assy]&amp;"'!"&amp;"O$5:O1000"))))</f>
        <v>#VALUE!</v>
      </c>
      <c r="G244" s="5">
        <v>34</v>
      </c>
      <c r="H244" s="5">
        <v>34</v>
      </c>
      <c r="I244" s="2" t="s">
        <v>1791</v>
      </c>
      <c r="J244" s="2" t="s">
        <v>1769</v>
      </c>
      <c r="K244" s="2" t="s">
        <v>1770</v>
      </c>
      <c r="L244" s="2" t="s">
        <v>1786</v>
      </c>
      <c r="M244" s="2" t="s">
        <v>1779</v>
      </c>
      <c r="N244" s="8">
        <v>45139</v>
      </c>
      <c r="O244" s="8">
        <v>45140</v>
      </c>
      <c r="P244" s="8">
        <v>45170</v>
      </c>
      <c r="Q244" s="162">
        <v>45170</v>
      </c>
      <c r="R244" s="201">
        <v>55025</v>
      </c>
      <c r="S244" s="171">
        <v>0</v>
      </c>
      <c r="T244" s="52">
        <v>0</v>
      </c>
      <c r="U244" s="52">
        <v>0</v>
      </c>
      <c r="V244" s="52">
        <v>0</v>
      </c>
      <c r="W244" s="2" t="str" cm="1">
        <f t="array" aca="1" ref="W244" ca="1">TRIM(SUBSTITUTE(_xlfn.ARRAYTOTEXT(IFERROR(CONCATENATE(SUMIF(INDIRECT("'"&amp;Assemblies[Assy]&amp;"'!"&amp;"C$5:C1000"), $C244, INDIRECT("'"&amp;Assemblies[Assy]&amp;"'!"&amp;"O$5:O1000")), "x",Assemblies[Assy],".",IF(SUMIF(INDIRECT("'"&amp;Assemblies[Assy]&amp;"'!"&amp;"C$5:C1000"), $C244, INDIRECT("'"&amp;Assemblies[Assy]&amp;"'!"&amp;"A$5:A1000"))=0,NA(),SUMIF(INDIRECT("'"&amp;Assemblies[Assy]&amp;"'!"&amp;"C$5:C1000"), $C244, INDIRECT("'"&amp;Assemblies[Assy]&amp;"'!"&amp;"A$5:A1000")))),"")), " ,", ""))</f>
        <v>,</v>
      </c>
      <c r="X244" s="2" t="s">
        <v>1773</v>
      </c>
      <c r="Y244" s="2" t="s">
        <v>1382</v>
      </c>
      <c r="Z244" s="2" t="s">
        <v>1382</v>
      </c>
    </row>
    <row r="245" spans="1:30" ht="12.75">
      <c r="A245" s="115" t="s">
        <v>2318</v>
      </c>
      <c r="B245" s="115" t="s">
        <v>54</v>
      </c>
      <c r="C245" s="2" t="str">
        <f t="shared" si="6"/>
        <v>GF12.411.02.A</v>
      </c>
      <c r="D245" s="2" t="s">
        <v>2319</v>
      </c>
      <c r="E245" s="52">
        <f t="shared" si="7"/>
        <v>183.17</v>
      </c>
      <c r="F245" s="5" t="e" cm="1">
        <f t="array" aca="1" ref="F245" ca="1">SUMPRODUCT(SUMIF(INDIRECT("'"&amp;Assemblies[Assy]&amp;"'!"&amp;"C$5:C1000"),$C245,(INDIRECT("'"&amp;Assemblies[Assy]&amp;"'!"&amp;"O$5:O1000"))))</f>
        <v>#VALUE!</v>
      </c>
      <c r="G245" s="5">
        <v>6</v>
      </c>
      <c r="H245" s="5">
        <v>6</v>
      </c>
      <c r="I245" s="2" t="s">
        <v>1791</v>
      </c>
      <c r="J245" s="2" t="s">
        <v>1769</v>
      </c>
      <c r="K245" s="2" t="s">
        <v>1770</v>
      </c>
      <c r="L245" s="2" t="s">
        <v>1783</v>
      </c>
      <c r="M245" s="2" t="s">
        <v>1779</v>
      </c>
      <c r="N245" s="8">
        <v>45142</v>
      </c>
      <c r="O245" s="8">
        <v>45146</v>
      </c>
      <c r="P245" s="8">
        <v>45170</v>
      </c>
      <c r="Q245" s="128">
        <v>45170</v>
      </c>
      <c r="R245" s="201">
        <v>55041</v>
      </c>
      <c r="S245" s="173">
        <v>183.17</v>
      </c>
      <c r="T245" s="52">
        <v>0</v>
      </c>
      <c r="U245" s="52">
        <v>0</v>
      </c>
      <c r="V245" s="52">
        <v>0</v>
      </c>
      <c r="W245" s="2" t="str" cm="1">
        <f t="array" aca="1" ref="W245" ca="1">TRIM(SUBSTITUTE(_xlfn.ARRAYTOTEXT(IFERROR(CONCATENATE(SUMIF(INDIRECT("'"&amp;Assemblies[Assy]&amp;"'!"&amp;"C$5:C1000"), $C245, INDIRECT("'"&amp;Assemblies[Assy]&amp;"'!"&amp;"O$5:O1000")), "x",Assemblies[Assy],".",IF(SUMIF(INDIRECT("'"&amp;Assemblies[Assy]&amp;"'!"&amp;"C$5:C1000"), $C245, INDIRECT("'"&amp;Assemblies[Assy]&amp;"'!"&amp;"A$5:A1000"))=0,NA(),SUMIF(INDIRECT("'"&amp;Assemblies[Assy]&amp;"'!"&amp;"C$5:C1000"), $C245, INDIRECT("'"&amp;Assemblies[Assy]&amp;"'!"&amp;"A$5:A1000")))),"")), " ,", ""))</f>
        <v>,</v>
      </c>
      <c r="X245" s="2" t="s">
        <v>1773</v>
      </c>
      <c r="Y245" s="2" t="s">
        <v>1382</v>
      </c>
      <c r="Z245" s="2" t="s">
        <v>1382</v>
      </c>
    </row>
    <row r="246" spans="1:30" ht="12.75">
      <c r="A246" s="115" t="s">
        <v>2320</v>
      </c>
      <c r="B246" s="115" t="s">
        <v>54</v>
      </c>
      <c r="C246" s="2" t="str">
        <f t="shared" si="6"/>
        <v>GF12.411.03.A</v>
      </c>
      <c r="D246" s="2" t="s">
        <v>2321</v>
      </c>
      <c r="E246" s="52">
        <f t="shared" si="7"/>
        <v>183.17</v>
      </c>
      <c r="F246" s="5" t="e" cm="1">
        <f t="array" aca="1" ref="F246" ca="1">SUMPRODUCT(SUMIF(INDIRECT("'"&amp;Assemblies[Assy]&amp;"'!"&amp;"C$5:C1000"),$C246,(INDIRECT("'"&amp;Assemblies[Assy]&amp;"'!"&amp;"O$5:O1000"))))</f>
        <v>#VALUE!</v>
      </c>
      <c r="G246" s="5">
        <v>6</v>
      </c>
      <c r="H246" s="5">
        <v>6</v>
      </c>
      <c r="I246" s="2" t="s">
        <v>1791</v>
      </c>
      <c r="J246" s="2" t="s">
        <v>1769</v>
      </c>
      <c r="K246" s="2" t="s">
        <v>1770</v>
      </c>
      <c r="L246" s="2" t="s">
        <v>1783</v>
      </c>
      <c r="M246" s="2" t="s">
        <v>1779</v>
      </c>
      <c r="N246" s="8">
        <v>45142</v>
      </c>
      <c r="O246" s="8">
        <v>45146</v>
      </c>
      <c r="P246" s="8">
        <v>45170</v>
      </c>
      <c r="Q246" s="128">
        <v>45170</v>
      </c>
      <c r="R246" s="201">
        <v>55041</v>
      </c>
      <c r="S246" s="173">
        <v>183.17</v>
      </c>
      <c r="T246" s="52">
        <v>0</v>
      </c>
      <c r="U246" s="52">
        <v>0</v>
      </c>
      <c r="V246" s="52">
        <v>0</v>
      </c>
      <c r="W246" s="2" t="str" cm="1">
        <f t="array" aca="1" ref="W246" ca="1">TRIM(SUBSTITUTE(_xlfn.ARRAYTOTEXT(IFERROR(CONCATENATE(SUMIF(INDIRECT("'"&amp;Assemblies[Assy]&amp;"'!"&amp;"C$5:C1000"), $C246, INDIRECT("'"&amp;Assemblies[Assy]&amp;"'!"&amp;"O$5:O1000")), "x",Assemblies[Assy],".",IF(SUMIF(INDIRECT("'"&amp;Assemblies[Assy]&amp;"'!"&amp;"C$5:C1000"), $C246, INDIRECT("'"&amp;Assemblies[Assy]&amp;"'!"&amp;"A$5:A1000"))=0,NA(),SUMIF(INDIRECT("'"&amp;Assemblies[Assy]&amp;"'!"&amp;"C$5:C1000"), $C246, INDIRECT("'"&amp;Assemblies[Assy]&amp;"'!"&amp;"A$5:A1000")))),"")), " ,", ""))</f>
        <v>,</v>
      </c>
      <c r="X246" s="2" t="s">
        <v>1773</v>
      </c>
      <c r="Y246" s="2" t="s">
        <v>1382</v>
      </c>
      <c r="Z246" s="2" t="s">
        <v>1382</v>
      </c>
    </row>
    <row r="247" spans="1:30" ht="12.75">
      <c r="A247" s="115" t="s">
        <v>2322</v>
      </c>
      <c r="B247" s="115" t="s">
        <v>54</v>
      </c>
      <c r="C247" s="2" t="str">
        <f t="shared" si="6"/>
        <v>GF12.411.04.A</v>
      </c>
      <c r="D247" s="2" t="s">
        <v>2323</v>
      </c>
      <c r="E247" s="52">
        <f t="shared" si="7"/>
        <v>163.66999999999999</v>
      </c>
      <c r="F247" s="5" t="e" cm="1">
        <f t="array" aca="1" ref="F247" ca="1">SUMPRODUCT(SUMIF(INDIRECT("'"&amp;Assemblies[Assy]&amp;"'!"&amp;"C$5:C1000"),$C247,(INDIRECT("'"&amp;Assemblies[Assy]&amp;"'!"&amp;"O$5:O1000"))))</f>
        <v>#VALUE!</v>
      </c>
      <c r="G247" s="5">
        <v>6</v>
      </c>
      <c r="H247" s="5">
        <v>6</v>
      </c>
      <c r="I247" s="2" t="s">
        <v>1791</v>
      </c>
      <c r="J247" s="2" t="s">
        <v>1769</v>
      </c>
      <c r="K247" s="2" t="s">
        <v>1770</v>
      </c>
      <c r="L247" s="2" t="s">
        <v>1783</v>
      </c>
      <c r="M247" s="2" t="s">
        <v>1779</v>
      </c>
      <c r="N247" s="8">
        <v>45142</v>
      </c>
      <c r="O247" s="8">
        <v>45146</v>
      </c>
      <c r="P247" s="8">
        <v>45170</v>
      </c>
      <c r="Q247" s="128">
        <v>45170</v>
      </c>
      <c r="R247" s="201">
        <v>55041</v>
      </c>
      <c r="S247" s="173">
        <v>163.66999999999999</v>
      </c>
      <c r="T247" s="52">
        <v>0</v>
      </c>
      <c r="U247" s="52">
        <v>0</v>
      </c>
      <c r="V247" s="52">
        <v>0</v>
      </c>
      <c r="W247" s="2" t="str" cm="1">
        <f t="array" aca="1" ref="W247" ca="1">TRIM(SUBSTITUTE(_xlfn.ARRAYTOTEXT(IFERROR(CONCATENATE(SUMIF(INDIRECT("'"&amp;Assemblies[Assy]&amp;"'!"&amp;"C$5:C1000"), $C247, INDIRECT("'"&amp;Assemblies[Assy]&amp;"'!"&amp;"O$5:O1000")), "x",Assemblies[Assy],".",IF(SUMIF(INDIRECT("'"&amp;Assemblies[Assy]&amp;"'!"&amp;"C$5:C1000"), $C247, INDIRECT("'"&amp;Assemblies[Assy]&amp;"'!"&amp;"A$5:A1000"))=0,NA(),SUMIF(INDIRECT("'"&amp;Assemblies[Assy]&amp;"'!"&amp;"C$5:C1000"), $C247, INDIRECT("'"&amp;Assemblies[Assy]&amp;"'!"&amp;"A$5:A1000")))),"")), " ,", ""))</f>
        <v>,</v>
      </c>
      <c r="X247" s="2" t="s">
        <v>1773</v>
      </c>
      <c r="Y247" s="2" t="s">
        <v>1382</v>
      </c>
      <c r="Z247" s="2" t="s">
        <v>1382</v>
      </c>
    </row>
    <row r="248" spans="1:30" ht="12.75">
      <c r="A248" s="115" t="s">
        <v>2324</v>
      </c>
      <c r="B248" s="115" t="s">
        <v>54</v>
      </c>
      <c r="C248" s="2" t="str">
        <f t="shared" si="6"/>
        <v>GF12.412.01.A</v>
      </c>
      <c r="D248" s="2" t="s">
        <v>2325</v>
      </c>
      <c r="E248" s="52">
        <f t="shared" si="7"/>
        <v>53.79</v>
      </c>
      <c r="F248" s="5" t="e" cm="1">
        <f t="array" aca="1" ref="F248" ca="1">SUMPRODUCT(SUMIF(INDIRECT("'"&amp;Assemblies[Assy]&amp;"'!"&amp;"C$5:C1000"),$C248,(INDIRECT("'"&amp;Assemblies[Assy]&amp;"'!"&amp;"O$5:O1000"))))</f>
        <v>#VALUE!</v>
      </c>
      <c r="G248" s="5">
        <v>6</v>
      </c>
      <c r="H248" s="5">
        <v>6</v>
      </c>
      <c r="I248" s="2" t="s">
        <v>1797</v>
      </c>
      <c r="J248" s="2" t="s">
        <v>1761</v>
      </c>
      <c r="K248" s="2" t="s">
        <v>1762</v>
      </c>
      <c r="L248" s="2" t="s">
        <v>1798</v>
      </c>
      <c r="M248" s="2" t="s">
        <v>1779</v>
      </c>
      <c r="N248" s="8" t="s">
        <v>1762</v>
      </c>
      <c r="O248" s="8" t="s">
        <v>1762</v>
      </c>
      <c r="P248" s="8" t="s">
        <v>1762</v>
      </c>
      <c r="Q248" s="8" t="s">
        <v>1762</v>
      </c>
      <c r="R248" s="201">
        <v>55018</v>
      </c>
      <c r="S248" s="173">
        <v>53.79</v>
      </c>
      <c r="T248" s="52">
        <v>0</v>
      </c>
      <c r="U248" s="52">
        <v>0</v>
      </c>
      <c r="V248" s="52">
        <v>0</v>
      </c>
      <c r="W248" s="2" t="str" cm="1">
        <f t="array" aca="1" ref="W248" ca="1">TRIM(SUBSTITUTE(_xlfn.ARRAYTOTEXT(IFERROR(CONCATENATE(SUMIF(INDIRECT("'"&amp;Assemblies[Assy]&amp;"'!"&amp;"C$5:C1000"), $C248, INDIRECT("'"&amp;Assemblies[Assy]&amp;"'!"&amp;"O$5:O1000")), "x",Assemblies[Assy],".",IF(SUMIF(INDIRECT("'"&amp;Assemblies[Assy]&amp;"'!"&amp;"C$5:C1000"), $C248, INDIRECT("'"&amp;Assemblies[Assy]&amp;"'!"&amp;"A$5:A1000"))=0,NA(),SUMIF(INDIRECT("'"&amp;Assemblies[Assy]&amp;"'!"&amp;"C$5:C1000"), $C248, INDIRECT("'"&amp;Assemblies[Assy]&amp;"'!"&amp;"A$5:A1000")))),"")), " ,", ""))</f>
        <v>,</v>
      </c>
      <c r="X248" s="2" t="s">
        <v>1773</v>
      </c>
      <c r="Y248" s="2" t="s">
        <v>1382</v>
      </c>
      <c r="Z248" s="2" t="s">
        <v>1382</v>
      </c>
      <c r="AA248" s="2" t="s">
        <v>1382</v>
      </c>
    </row>
    <row r="249" spans="1:30" ht="12.75">
      <c r="A249" s="115" t="s">
        <v>2326</v>
      </c>
      <c r="B249" s="115" t="s">
        <v>54</v>
      </c>
      <c r="C249" s="2" t="str">
        <f t="shared" si="6"/>
        <v>GF12.412.02.A</v>
      </c>
      <c r="D249" s="2" t="s">
        <v>2327</v>
      </c>
      <c r="E249" s="52">
        <f t="shared" si="7"/>
        <v>0</v>
      </c>
      <c r="F249" s="5" t="e" cm="1">
        <f t="array" aca="1" ref="F249" ca="1">SUMPRODUCT(SUMIF(INDIRECT("'"&amp;Assemblies[Assy]&amp;"'!"&amp;"C$5:C1000"),$C249,(INDIRECT("'"&amp;Assemblies[Assy]&amp;"'!"&amp;"O$5:O1000"))))</f>
        <v>#VALUE!</v>
      </c>
      <c r="G249" s="5">
        <v>8</v>
      </c>
      <c r="H249" s="5">
        <v>8</v>
      </c>
      <c r="I249" s="2" t="s">
        <v>1791</v>
      </c>
      <c r="J249" s="2" t="s">
        <v>1769</v>
      </c>
      <c r="K249" s="2" t="s">
        <v>1770</v>
      </c>
      <c r="L249" s="2" t="s">
        <v>1786</v>
      </c>
      <c r="M249" s="2" t="s">
        <v>1779</v>
      </c>
      <c r="N249" s="8">
        <v>45139</v>
      </c>
      <c r="O249" s="8">
        <v>45140</v>
      </c>
      <c r="P249" s="8">
        <v>45170</v>
      </c>
      <c r="Q249" s="162">
        <v>45170</v>
      </c>
      <c r="R249" s="201">
        <v>55025</v>
      </c>
      <c r="S249" s="171">
        <v>0</v>
      </c>
      <c r="T249" s="52">
        <v>0</v>
      </c>
      <c r="U249" s="52">
        <v>0</v>
      </c>
      <c r="V249" s="52">
        <v>0</v>
      </c>
      <c r="W249" s="2" t="str" cm="1">
        <f t="array" aca="1" ref="W249" ca="1">TRIM(SUBSTITUTE(_xlfn.ARRAYTOTEXT(IFERROR(CONCATENATE(SUMIF(INDIRECT("'"&amp;Assemblies[Assy]&amp;"'!"&amp;"C$5:C1000"), $C249, INDIRECT("'"&amp;Assemblies[Assy]&amp;"'!"&amp;"O$5:O1000")), "x",Assemblies[Assy],".",IF(SUMIF(INDIRECT("'"&amp;Assemblies[Assy]&amp;"'!"&amp;"C$5:C1000"), $C249, INDIRECT("'"&amp;Assemblies[Assy]&amp;"'!"&amp;"A$5:A1000"))=0,NA(),SUMIF(INDIRECT("'"&amp;Assemblies[Assy]&amp;"'!"&amp;"C$5:C1000"), $C249, INDIRECT("'"&amp;Assemblies[Assy]&amp;"'!"&amp;"A$5:A1000")))),"")), " ,", ""))</f>
        <v>,</v>
      </c>
      <c r="X249" s="2" t="s">
        <v>1382</v>
      </c>
      <c r="Y249" s="2" t="s">
        <v>1382</v>
      </c>
      <c r="Z249" s="2" t="s">
        <v>1382</v>
      </c>
      <c r="AA249" s="2" t="s">
        <v>1823</v>
      </c>
      <c r="AB249" s="2">
        <v>118.57</v>
      </c>
      <c r="AC249" s="2">
        <v>1</v>
      </c>
      <c r="AD249" s="2">
        <f>AB249*AC249</f>
        <v>118.57</v>
      </c>
    </row>
    <row r="250" spans="1:30" ht="12.75">
      <c r="A250" s="115" t="s">
        <v>2328</v>
      </c>
      <c r="B250" s="115" t="s">
        <v>54</v>
      </c>
      <c r="C250" s="2" t="str">
        <f t="shared" si="6"/>
        <v>GF12.412.03.A</v>
      </c>
      <c r="D250" s="2" t="s">
        <v>2329</v>
      </c>
      <c r="E250" s="52">
        <f t="shared" si="7"/>
        <v>0</v>
      </c>
      <c r="F250" s="5" t="e" cm="1">
        <f t="array" aca="1" ref="F250" ca="1">SUMPRODUCT(SUMIF(INDIRECT("'"&amp;Assemblies[Assy]&amp;"'!"&amp;"C$5:C1000"),$C250,(INDIRECT("'"&amp;Assemblies[Assy]&amp;"'!"&amp;"O$5:O1000"))))</f>
        <v>#VALUE!</v>
      </c>
      <c r="G250" s="5">
        <v>16</v>
      </c>
      <c r="H250" s="5">
        <v>16</v>
      </c>
      <c r="I250" s="2" t="s">
        <v>1791</v>
      </c>
      <c r="J250" s="2" t="s">
        <v>1769</v>
      </c>
      <c r="K250" s="2" t="s">
        <v>1770</v>
      </c>
      <c r="L250" s="2" t="s">
        <v>1786</v>
      </c>
      <c r="M250" s="2" t="s">
        <v>1779</v>
      </c>
      <c r="N250" s="8">
        <v>45139</v>
      </c>
      <c r="O250" s="8">
        <v>45140</v>
      </c>
      <c r="P250" s="8">
        <v>45170</v>
      </c>
      <c r="Q250" s="162">
        <v>45170</v>
      </c>
      <c r="R250" s="201">
        <v>55025</v>
      </c>
      <c r="S250" s="171">
        <v>0</v>
      </c>
      <c r="T250" s="52">
        <v>0</v>
      </c>
      <c r="U250" s="52">
        <v>0</v>
      </c>
      <c r="V250" s="52">
        <v>0</v>
      </c>
      <c r="W250" s="2" t="str" cm="1">
        <f t="array" aca="1" ref="W250" ca="1">TRIM(SUBSTITUTE(_xlfn.ARRAYTOTEXT(IFERROR(CONCATENATE(SUMIF(INDIRECT("'"&amp;Assemblies[Assy]&amp;"'!"&amp;"C$5:C1000"), $C250, INDIRECT("'"&amp;Assemblies[Assy]&amp;"'!"&amp;"O$5:O1000")), "x",Assemblies[Assy],".",IF(SUMIF(INDIRECT("'"&amp;Assemblies[Assy]&amp;"'!"&amp;"C$5:C1000"), $C250, INDIRECT("'"&amp;Assemblies[Assy]&amp;"'!"&amp;"A$5:A1000"))=0,NA(),SUMIF(INDIRECT("'"&amp;Assemblies[Assy]&amp;"'!"&amp;"C$5:C1000"), $C250, INDIRECT("'"&amp;Assemblies[Assy]&amp;"'!"&amp;"A$5:A1000")))),"")), " ,", ""))</f>
        <v>,</v>
      </c>
      <c r="X250" s="2" t="s">
        <v>1382</v>
      </c>
      <c r="Y250" s="2" t="s">
        <v>1382</v>
      </c>
      <c r="Z250" s="2" t="s">
        <v>1382</v>
      </c>
      <c r="AA250" s="2" t="s">
        <v>1932</v>
      </c>
      <c r="AB250" s="2">
        <v>180</v>
      </c>
      <c r="AC250" s="2">
        <v>1</v>
      </c>
      <c r="AD250" s="2">
        <f t="shared" ref="AD250:AD267" si="8">AB250*AC250</f>
        <v>180</v>
      </c>
    </row>
    <row r="251" spans="1:30" ht="12.75">
      <c r="A251" s="115" t="s">
        <v>2330</v>
      </c>
      <c r="B251" s="115" t="s">
        <v>56</v>
      </c>
      <c r="C251" s="2" t="str">
        <f t="shared" si="6"/>
        <v>GF12.412.04.B</v>
      </c>
      <c r="D251" s="2" t="s">
        <v>2331</v>
      </c>
      <c r="E251" s="52">
        <f t="shared" si="7"/>
        <v>0</v>
      </c>
      <c r="F251" s="5" t="e" cm="1">
        <f t="array" aca="1" ref="F251" ca="1">SUMPRODUCT(SUMIF(INDIRECT("'"&amp;Assemblies[Assy]&amp;"'!"&amp;"C$5:C1000"),$C251,(INDIRECT("'"&amp;Assemblies[Assy]&amp;"'!"&amp;"O$5:O1000"))))</f>
        <v>#VALUE!</v>
      </c>
      <c r="G251" s="5">
        <v>8</v>
      </c>
      <c r="H251" s="5">
        <v>8</v>
      </c>
      <c r="I251" s="2" t="s">
        <v>1791</v>
      </c>
      <c r="J251" s="2" t="s">
        <v>1769</v>
      </c>
      <c r="K251" s="2" t="s">
        <v>1770</v>
      </c>
      <c r="L251" s="2" t="s">
        <v>1786</v>
      </c>
      <c r="M251" s="2" t="s">
        <v>1779</v>
      </c>
      <c r="N251" s="8">
        <v>45139</v>
      </c>
      <c r="O251" s="8">
        <v>45140</v>
      </c>
      <c r="P251" s="8">
        <v>45170</v>
      </c>
      <c r="Q251" s="162">
        <v>45170</v>
      </c>
      <c r="R251" s="201">
        <v>55025</v>
      </c>
      <c r="S251" s="171">
        <v>0</v>
      </c>
      <c r="T251" s="52">
        <v>0</v>
      </c>
      <c r="U251" s="52">
        <v>0</v>
      </c>
      <c r="V251" s="52">
        <v>0</v>
      </c>
      <c r="W251" s="2" t="str" cm="1">
        <f t="array" aca="1" ref="W251" ca="1">TRIM(SUBSTITUTE(_xlfn.ARRAYTOTEXT(IFERROR(CONCATENATE(SUMIF(INDIRECT("'"&amp;Assemblies[Assy]&amp;"'!"&amp;"C$5:C1000"), $C251, INDIRECT("'"&amp;Assemblies[Assy]&amp;"'!"&amp;"O$5:O1000")), "x",Assemblies[Assy],".",IF(SUMIF(INDIRECT("'"&amp;Assemblies[Assy]&amp;"'!"&amp;"C$5:C1000"), $C251, INDIRECT("'"&amp;Assemblies[Assy]&amp;"'!"&amp;"A$5:A1000"))=0,NA(),SUMIF(INDIRECT("'"&amp;Assemblies[Assy]&amp;"'!"&amp;"C$5:C1000"), $C251, INDIRECT("'"&amp;Assemblies[Assy]&amp;"'!"&amp;"A$5:A1000")))),"")), " ,", ""))</f>
        <v>,</v>
      </c>
      <c r="X251" s="2" t="s">
        <v>1382</v>
      </c>
      <c r="Y251" s="2" t="s">
        <v>1382</v>
      </c>
      <c r="Z251" s="2" t="s">
        <v>1382</v>
      </c>
      <c r="AA251" s="2" t="s">
        <v>1935</v>
      </c>
      <c r="AB251" s="2">
        <v>206</v>
      </c>
      <c r="AC251" s="2">
        <v>1</v>
      </c>
      <c r="AD251" s="2">
        <f t="shared" si="8"/>
        <v>206</v>
      </c>
    </row>
    <row r="252" spans="1:30" ht="12.75">
      <c r="A252" s="115" t="s">
        <v>2332</v>
      </c>
      <c r="B252" s="115" t="s">
        <v>56</v>
      </c>
      <c r="C252" s="2" t="str">
        <f t="shared" si="6"/>
        <v>GF12.412.05.B</v>
      </c>
      <c r="D252" s="2" t="s">
        <v>2333</v>
      </c>
      <c r="E252" s="52">
        <f t="shared" si="7"/>
        <v>0</v>
      </c>
      <c r="F252" s="5" t="e" cm="1">
        <f t="array" aca="1" ref="F252" ca="1">SUMPRODUCT(SUMIF(INDIRECT("'"&amp;Assemblies[Assy]&amp;"'!"&amp;"C$5:C1000"),$C252,(INDIRECT("'"&amp;Assemblies[Assy]&amp;"'!"&amp;"O$5:O1000"))))</f>
        <v>#VALUE!</v>
      </c>
      <c r="G252" s="5">
        <v>16</v>
      </c>
      <c r="H252" s="5">
        <v>16</v>
      </c>
      <c r="I252" s="2" t="s">
        <v>1791</v>
      </c>
      <c r="J252" s="2" t="s">
        <v>1769</v>
      </c>
      <c r="K252" s="2" t="s">
        <v>1770</v>
      </c>
      <c r="L252" s="2" t="s">
        <v>1786</v>
      </c>
      <c r="M252" s="2" t="s">
        <v>1779</v>
      </c>
      <c r="N252" s="8">
        <v>45139</v>
      </c>
      <c r="O252" s="8">
        <v>45140</v>
      </c>
      <c r="P252" s="8">
        <v>45170</v>
      </c>
      <c r="Q252" s="162">
        <v>45170</v>
      </c>
      <c r="R252" s="201">
        <v>55025</v>
      </c>
      <c r="S252" s="171">
        <v>0</v>
      </c>
      <c r="T252" s="52">
        <v>0</v>
      </c>
      <c r="U252" s="52">
        <v>0</v>
      </c>
      <c r="V252" s="52">
        <v>0</v>
      </c>
      <c r="W252" s="2" t="str" cm="1">
        <f t="array" aca="1" ref="W252" ca="1">TRIM(SUBSTITUTE(_xlfn.ARRAYTOTEXT(IFERROR(CONCATENATE(SUMIF(INDIRECT("'"&amp;Assemblies[Assy]&amp;"'!"&amp;"C$5:C1000"), $C252, INDIRECT("'"&amp;Assemblies[Assy]&amp;"'!"&amp;"O$5:O1000")), "x",Assemblies[Assy],".",IF(SUMIF(INDIRECT("'"&amp;Assemblies[Assy]&amp;"'!"&amp;"C$5:C1000"), $C252, INDIRECT("'"&amp;Assemblies[Assy]&amp;"'!"&amp;"A$5:A1000"))=0,NA(),SUMIF(INDIRECT("'"&amp;Assemblies[Assy]&amp;"'!"&amp;"C$5:C1000"), $C252, INDIRECT("'"&amp;Assemblies[Assy]&amp;"'!"&amp;"A$5:A1000")))),"")), " ,", ""))</f>
        <v>,</v>
      </c>
      <c r="X252" s="2" t="s">
        <v>1382</v>
      </c>
      <c r="Y252" s="2" t="s">
        <v>1382</v>
      </c>
      <c r="Z252" s="2" t="s">
        <v>1382</v>
      </c>
      <c r="AA252" s="2" t="s">
        <v>1938</v>
      </c>
      <c r="AB252" s="2">
        <v>55</v>
      </c>
      <c r="AC252" s="2">
        <v>4</v>
      </c>
      <c r="AD252" s="2">
        <f t="shared" si="8"/>
        <v>220</v>
      </c>
    </row>
    <row r="253" spans="1:30" ht="12.75">
      <c r="A253" s="115" t="s">
        <v>2334</v>
      </c>
      <c r="B253" s="115" t="s">
        <v>54</v>
      </c>
      <c r="C253" s="2" t="str">
        <f t="shared" si="6"/>
        <v>GF12.413.01.A</v>
      </c>
      <c r="D253" s="2" t="s">
        <v>2335</v>
      </c>
      <c r="E253" s="52">
        <f t="shared" si="7"/>
        <v>285.83999999999997</v>
      </c>
      <c r="F253" s="5" t="e" cm="1">
        <f t="array" aca="1" ref="F253" ca="1">SUMPRODUCT(SUMIF(INDIRECT("'"&amp;Assemblies[Assy]&amp;"'!"&amp;"C$5:C1000"),$C253,(INDIRECT("'"&amp;Assemblies[Assy]&amp;"'!"&amp;"O$5:O1000"))))</f>
        <v>#VALUE!</v>
      </c>
      <c r="G253" s="5">
        <v>3</v>
      </c>
      <c r="H253" s="5">
        <v>3</v>
      </c>
      <c r="I253" s="2" t="s">
        <v>2111</v>
      </c>
      <c r="J253" s="2" t="s">
        <v>1792</v>
      </c>
      <c r="K253" s="2" t="s">
        <v>1897</v>
      </c>
      <c r="L253" s="2" t="s">
        <v>1803</v>
      </c>
      <c r="M253" s="2" t="s">
        <v>1779</v>
      </c>
      <c r="N253" s="8">
        <v>45084</v>
      </c>
      <c r="O253" s="8">
        <v>45127</v>
      </c>
      <c r="P253" s="8">
        <v>45156</v>
      </c>
      <c r="Q253" s="130">
        <v>45156</v>
      </c>
      <c r="R253" s="201">
        <v>55003</v>
      </c>
      <c r="S253" s="173">
        <v>285.83999999999997</v>
      </c>
      <c r="T253" s="52">
        <v>0</v>
      </c>
      <c r="U253" s="52">
        <v>0</v>
      </c>
      <c r="V253" s="52">
        <v>0</v>
      </c>
      <c r="W253" s="2" t="str" cm="1">
        <f t="array" aca="1" ref="W253" ca="1">TRIM(SUBSTITUTE(_xlfn.ARRAYTOTEXT(IFERROR(CONCATENATE(SUMIF(INDIRECT("'"&amp;Assemblies[Assy]&amp;"'!"&amp;"C$5:C1000"), $C253, INDIRECT("'"&amp;Assemblies[Assy]&amp;"'!"&amp;"O$5:O1000")), "x",Assemblies[Assy],".",IF(SUMIF(INDIRECT("'"&amp;Assemblies[Assy]&amp;"'!"&amp;"C$5:C1000"), $C253, INDIRECT("'"&amp;Assemblies[Assy]&amp;"'!"&amp;"A$5:A1000"))=0,NA(),SUMIF(INDIRECT("'"&amp;Assemblies[Assy]&amp;"'!"&amp;"C$5:C1000"), $C253, INDIRECT("'"&amp;Assemblies[Assy]&amp;"'!"&amp;"A$5:A1000")))),"")), " ,", ""))</f>
        <v>,</v>
      </c>
      <c r="X253" s="2" t="s">
        <v>1773</v>
      </c>
      <c r="Y253" s="2" t="s">
        <v>2336</v>
      </c>
      <c r="Z253" s="2" t="s">
        <v>1382</v>
      </c>
      <c r="AA253" s="2" t="s">
        <v>1940</v>
      </c>
      <c r="AB253" s="2">
        <v>112</v>
      </c>
      <c r="AC253" s="2">
        <v>2</v>
      </c>
      <c r="AD253" s="2">
        <f t="shared" si="8"/>
        <v>224</v>
      </c>
    </row>
    <row r="254" spans="1:30" ht="12.75">
      <c r="A254" s="115" t="s">
        <v>2337</v>
      </c>
      <c r="B254" s="115" t="s">
        <v>54</v>
      </c>
      <c r="C254" s="2" t="str">
        <f t="shared" si="6"/>
        <v>GF12.413.02.A</v>
      </c>
      <c r="D254" s="2" t="s">
        <v>2338</v>
      </c>
      <c r="E254" s="52">
        <f t="shared" si="7"/>
        <v>146.12</v>
      </c>
      <c r="F254" s="5" t="e" cm="1">
        <f t="array" aca="1" ref="F254" ca="1">SUMPRODUCT(SUMIF(INDIRECT("'"&amp;Assemblies[Assy]&amp;"'!"&amp;"C$5:C1000"),$C254,(INDIRECT("'"&amp;Assemblies[Assy]&amp;"'!"&amp;"O$5:O1000"))))</f>
        <v>#VALUE!</v>
      </c>
      <c r="G254" s="5">
        <v>6</v>
      </c>
      <c r="H254" s="5">
        <v>6</v>
      </c>
      <c r="I254" s="2" t="s">
        <v>2111</v>
      </c>
      <c r="J254" s="2" t="s">
        <v>1792</v>
      </c>
      <c r="K254" s="2" t="s">
        <v>1770</v>
      </c>
      <c r="L254" s="2" t="s">
        <v>1803</v>
      </c>
      <c r="M254" s="2" t="s">
        <v>2339</v>
      </c>
      <c r="N254" s="8">
        <v>45084</v>
      </c>
      <c r="O254" s="8">
        <v>45127</v>
      </c>
      <c r="P254" s="8">
        <v>45156</v>
      </c>
      <c r="Q254" s="130">
        <v>45156</v>
      </c>
      <c r="R254" s="201">
        <v>55003</v>
      </c>
      <c r="S254" s="173">
        <v>146.12</v>
      </c>
      <c r="T254" s="52">
        <v>0</v>
      </c>
      <c r="U254" s="52">
        <v>0</v>
      </c>
      <c r="V254" s="52">
        <v>0</v>
      </c>
      <c r="W254" s="2" t="str" cm="1">
        <f t="array" aca="1" ref="W254" ca="1">TRIM(SUBSTITUTE(_xlfn.ARRAYTOTEXT(IFERROR(CONCATENATE(SUMIF(INDIRECT("'"&amp;Assemblies[Assy]&amp;"'!"&amp;"C$5:C1000"), $C254, INDIRECT("'"&amp;Assemblies[Assy]&amp;"'!"&amp;"O$5:O1000")), "x",Assemblies[Assy],".",IF(SUMIF(INDIRECT("'"&amp;Assemblies[Assy]&amp;"'!"&amp;"C$5:C1000"), $C254, INDIRECT("'"&amp;Assemblies[Assy]&amp;"'!"&amp;"A$5:A1000"))=0,NA(),SUMIF(INDIRECT("'"&amp;Assemblies[Assy]&amp;"'!"&amp;"C$5:C1000"), $C254, INDIRECT("'"&amp;Assemblies[Assy]&amp;"'!"&amp;"A$5:A1000")))),"")), " ,", ""))</f>
        <v>,</v>
      </c>
      <c r="X254" s="2" t="s">
        <v>1773</v>
      </c>
      <c r="Y254" s="2" t="s">
        <v>2336</v>
      </c>
      <c r="Z254" s="2" t="s">
        <v>1382</v>
      </c>
      <c r="AA254" s="2" t="s">
        <v>1942</v>
      </c>
      <c r="AB254" s="2">
        <v>112</v>
      </c>
      <c r="AC254" s="2">
        <v>2</v>
      </c>
      <c r="AD254" s="2">
        <f t="shared" si="8"/>
        <v>224</v>
      </c>
    </row>
    <row r="255" spans="1:30" ht="12.75">
      <c r="A255" s="115" t="s">
        <v>2340</v>
      </c>
      <c r="B255" s="115" t="s">
        <v>54</v>
      </c>
      <c r="C255" s="2" t="str">
        <f t="shared" si="6"/>
        <v>GF12.413.03.A</v>
      </c>
      <c r="D255" s="2" t="s">
        <v>2341</v>
      </c>
      <c r="E255" s="52">
        <f t="shared" si="7"/>
        <v>201.45</v>
      </c>
      <c r="F255" s="5" t="e" cm="1">
        <f t="array" aca="1" ref="F255" ca="1">SUMPRODUCT(SUMIF(INDIRECT("'"&amp;Assemblies[Assy]&amp;"'!"&amp;"C$5:C1000"),$C255,(INDIRECT("'"&amp;Assemblies[Assy]&amp;"'!"&amp;"O$5:O1000"))))</f>
        <v>#VALUE!</v>
      </c>
      <c r="G255" s="5">
        <v>6</v>
      </c>
      <c r="H255" s="5">
        <v>6</v>
      </c>
      <c r="I255" s="2" t="s">
        <v>2111</v>
      </c>
      <c r="J255" s="2" t="s">
        <v>1792</v>
      </c>
      <c r="K255" s="2" t="s">
        <v>1770</v>
      </c>
      <c r="L255" s="2" t="s">
        <v>1803</v>
      </c>
      <c r="M255" s="2" t="s">
        <v>1779</v>
      </c>
      <c r="N255" s="8">
        <v>45084</v>
      </c>
      <c r="O255" s="8">
        <v>45127</v>
      </c>
      <c r="P255" s="8">
        <v>45156</v>
      </c>
      <c r="Q255" s="130">
        <v>45156</v>
      </c>
      <c r="R255" s="201">
        <v>55003</v>
      </c>
      <c r="S255" s="173">
        <v>201.45</v>
      </c>
      <c r="T255" s="52">
        <v>0</v>
      </c>
      <c r="U255" s="52">
        <v>0</v>
      </c>
      <c r="V255" s="52">
        <v>0</v>
      </c>
      <c r="W255" s="2" t="str" cm="1">
        <f t="array" aca="1" ref="W255" ca="1">TRIM(SUBSTITUTE(_xlfn.ARRAYTOTEXT(IFERROR(CONCATENATE(SUMIF(INDIRECT("'"&amp;Assemblies[Assy]&amp;"'!"&amp;"C$5:C1000"), $C255, INDIRECT("'"&amp;Assemblies[Assy]&amp;"'!"&amp;"O$5:O1000")), "x",Assemblies[Assy],".",IF(SUMIF(INDIRECT("'"&amp;Assemblies[Assy]&amp;"'!"&amp;"C$5:C1000"), $C255, INDIRECT("'"&amp;Assemblies[Assy]&amp;"'!"&amp;"A$5:A1000"))=0,NA(),SUMIF(INDIRECT("'"&amp;Assemblies[Assy]&amp;"'!"&amp;"C$5:C1000"), $C255, INDIRECT("'"&amp;Assemblies[Assy]&amp;"'!"&amp;"A$5:A1000")))),"")), " ,", ""))</f>
        <v>,</v>
      </c>
      <c r="X255" s="2" t="s">
        <v>1773</v>
      </c>
      <c r="Y255" s="2" t="s">
        <v>2336</v>
      </c>
      <c r="Z255" s="2" t="s">
        <v>1382</v>
      </c>
      <c r="AA255" s="2" t="s">
        <v>1944</v>
      </c>
      <c r="AB255" s="2">
        <v>135.22</v>
      </c>
      <c r="AC255" s="2">
        <v>2</v>
      </c>
      <c r="AD255" s="2">
        <f t="shared" si="8"/>
        <v>270.44</v>
      </c>
    </row>
    <row r="256" spans="1:30">
      <c r="A256" s="115" t="s">
        <v>2342</v>
      </c>
      <c r="B256" s="115" t="s">
        <v>54</v>
      </c>
      <c r="C256" s="2" t="str">
        <f t="shared" si="6"/>
        <v>GF12.413.04.A</v>
      </c>
      <c r="D256" s="2" t="s">
        <v>2343</v>
      </c>
      <c r="E256" s="52">
        <f t="shared" si="7"/>
        <v>402.88</v>
      </c>
      <c r="F256" s="5" t="e" cm="1">
        <f t="array" aca="1" ref="F256" ca="1">SUMPRODUCT(SUMIF(INDIRECT("'"&amp;Assemblies[Assy]&amp;"'!"&amp;"C$5:C1000"),$C256,(INDIRECT("'"&amp;Assemblies[Assy]&amp;"'!"&amp;"O$5:O1000"))))</f>
        <v>#VALUE!</v>
      </c>
      <c r="G256" s="5">
        <v>6</v>
      </c>
      <c r="H256" s="5">
        <v>6</v>
      </c>
      <c r="I256" s="2" t="s">
        <v>2344</v>
      </c>
      <c r="J256" s="2" t="s">
        <v>1777</v>
      </c>
      <c r="K256" s="2" t="s">
        <v>1897</v>
      </c>
      <c r="L256" s="2" t="s">
        <v>1803</v>
      </c>
      <c r="M256" s="2" t="s">
        <v>1779</v>
      </c>
      <c r="N256" s="8">
        <v>45084</v>
      </c>
      <c r="O256" s="8">
        <v>45149</v>
      </c>
      <c r="P256" s="8">
        <v>45177</v>
      </c>
      <c r="Q256" s="130">
        <v>45177</v>
      </c>
      <c r="R256" s="201">
        <v>55053</v>
      </c>
      <c r="S256" s="173">
        <v>402.88</v>
      </c>
      <c r="T256" s="52">
        <v>0</v>
      </c>
      <c r="U256" s="52">
        <v>0</v>
      </c>
      <c r="V256" s="52">
        <v>0</v>
      </c>
      <c r="W256" s="2" t="str" cm="1">
        <f t="array" aca="1" ref="W256" ca="1">TRIM(SUBSTITUTE(_xlfn.ARRAYTOTEXT(IFERROR(CONCATENATE(SUMIF(INDIRECT("'"&amp;Assemblies[Assy]&amp;"'!"&amp;"C$5:C1000"), $C256, INDIRECT("'"&amp;Assemblies[Assy]&amp;"'!"&amp;"O$5:O1000")), "x",Assemblies[Assy],".",IF(SUMIF(INDIRECT("'"&amp;Assemblies[Assy]&amp;"'!"&amp;"C$5:C1000"), $C256, INDIRECT("'"&amp;Assemblies[Assy]&amp;"'!"&amp;"A$5:A1000"))=0,NA(),SUMIF(INDIRECT("'"&amp;Assemblies[Assy]&amp;"'!"&amp;"C$5:C1000"), $C256, INDIRECT("'"&amp;Assemblies[Assy]&amp;"'!"&amp;"A$5:A1000")))),"")), " ,", ""))</f>
        <v>,</v>
      </c>
      <c r="X256" s="2" t="s">
        <v>1382</v>
      </c>
      <c r="Y256" s="2" t="s">
        <v>2345</v>
      </c>
      <c r="Z256" s="187" t="s">
        <v>2346</v>
      </c>
      <c r="AA256" s="2" t="s">
        <v>1946</v>
      </c>
      <c r="AB256" s="2">
        <v>112.3</v>
      </c>
      <c r="AC256" s="2">
        <v>2</v>
      </c>
      <c r="AD256" s="2">
        <f t="shared" si="8"/>
        <v>224.6</v>
      </c>
    </row>
    <row r="257" spans="1:30" ht="12.75">
      <c r="A257" s="115" t="s">
        <v>2347</v>
      </c>
      <c r="B257" s="115" t="s">
        <v>54</v>
      </c>
      <c r="C257" s="161" t="str">
        <f t="shared" si="6"/>
        <v>GF12.413.05.A</v>
      </c>
      <c r="D257" s="161" t="s">
        <v>2348</v>
      </c>
      <c r="E257" s="52">
        <f t="shared" si="7"/>
        <v>0</v>
      </c>
      <c r="F257" s="5" t="e" cm="1">
        <f t="array" aca="1" ref="F257" ca="1">SUMPRODUCT(SUMIF(INDIRECT("'"&amp;Assemblies[Assy]&amp;"'!"&amp;"C$5:C1000"),$C257,(INDIRECT("'"&amp;Assemblies[Assy]&amp;"'!"&amp;"O$5:O1000"))))</f>
        <v>#VALUE!</v>
      </c>
      <c r="G257" s="5">
        <v>3</v>
      </c>
      <c r="H257" s="5">
        <v>3</v>
      </c>
      <c r="I257" s="2" t="s">
        <v>2093</v>
      </c>
      <c r="J257" s="2" t="s">
        <v>1761</v>
      </c>
      <c r="K257" s="2" t="s">
        <v>1762</v>
      </c>
      <c r="L257" s="2" t="s">
        <v>1812</v>
      </c>
      <c r="M257" s="2" t="s">
        <v>1779</v>
      </c>
      <c r="N257" s="163" t="s">
        <v>1762</v>
      </c>
      <c r="O257" s="163" t="s">
        <v>1762</v>
      </c>
      <c r="P257" s="163" t="s">
        <v>1762</v>
      </c>
      <c r="Q257" s="163" t="s">
        <v>1762</v>
      </c>
      <c r="R257" s="222" t="s">
        <v>1762</v>
      </c>
      <c r="S257" s="171">
        <v>0</v>
      </c>
      <c r="T257" s="52">
        <v>0</v>
      </c>
      <c r="U257" s="52">
        <v>0</v>
      </c>
      <c r="V257" s="52">
        <v>0</v>
      </c>
      <c r="W257" s="2" t="str" cm="1">
        <f t="array" aca="1" ref="W257" ca="1">TRIM(SUBSTITUTE(_xlfn.ARRAYTOTEXT(IFERROR(CONCATENATE(SUMIF(INDIRECT("'"&amp;Assemblies[Assy]&amp;"'!"&amp;"C$5:C1000"), $C257, INDIRECT("'"&amp;Assemblies[Assy]&amp;"'!"&amp;"O$5:O1000")), "x",Assemblies[Assy],".",IF(SUMIF(INDIRECT("'"&amp;Assemblies[Assy]&amp;"'!"&amp;"C$5:C1000"), $C257, INDIRECT("'"&amp;Assemblies[Assy]&amp;"'!"&amp;"A$5:A1000"))=0,NA(),SUMIF(INDIRECT("'"&amp;Assemblies[Assy]&amp;"'!"&amp;"C$5:C1000"), $C257, INDIRECT("'"&amp;Assemblies[Assy]&amp;"'!"&amp;"A$5:A1000")))),"")), " ,", ""))</f>
        <v>,</v>
      </c>
      <c r="X257" s="2" t="s">
        <v>1382</v>
      </c>
      <c r="Y257" s="2" t="s">
        <v>1382</v>
      </c>
      <c r="Z257" s="2" t="s">
        <v>1382</v>
      </c>
      <c r="AA257" s="2" t="s">
        <v>1948</v>
      </c>
      <c r="AB257" s="2">
        <v>204</v>
      </c>
      <c r="AC257" s="2">
        <v>1</v>
      </c>
      <c r="AD257" s="2">
        <f t="shared" si="8"/>
        <v>204</v>
      </c>
    </row>
    <row r="258" spans="1:30" ht="12.75">
      <c r="A258" s="115" t="s">
        <v>2349</v>
      </c>
      <c r="B258" s="115" t="s">
        <v>54</v>
      </c>
      <c r="C258" s="2" t="str">
        <f t="shared" ref="C258:C321" si="9">_xlfn.CONCAT(A258,".",B258)</f>
        <v>GF12.413.06.A</v>
      </c>
      <c r="D258" s="2" t="s">
        <v>2350</v>
      </c>
      <c r="E258" s="52">
        <f t="shared" ref="E258:E321" si="10">S258+T258+U258+(65*V258)</f>
        <v>0</v>
      </c>
      <c r="F258" s="5" t="e" cm="1">
        <f t="array" aca="1" ref="F258" ca="1">SUMPRODUCT(SUMIF(INDIRECT("'"&amp;Assemblies[Assy]&amp;"'!"&amp;"C$5:C1000"),$C258,(INDIRECT("'"&amp;Assemblies[Assy]&amp;"'!"&amp;"O$5:O1000"))))</f>
        <v>#VALUE!</v>
      </c>
      <c r="G258" s="5">
        <v>0</v>
      </c>
      <c r="H258" s="5">
        <v>16</v>
      </c>
      <c r="I258" s="2" t="s">
        <v>2088</v>
      </c>
      <c r="J258" s="2" t="s">
        <v>1761</v>
      </c>
      <c r="K258" s="2" t="s">
        <v>1762</v>
      </c>
      <c r="L258" s="2" t="s">
        <v>2089</v>
      </c>
      <c r="M258" s="2" t="s">
        <v>1779</v>
      </c>
      <c r="N258" s="163" t="s">
        <v>1762</v>
      </c>
      <c r="O258" s="163" t="s">
        <v>1762</v>
      </c>
      <c r="P258" s="163" t="s">
        <v>1762</v>
      </c>
      <c r="Q258" s="163" t="s">
        <v>1762</v>
      </c>
      <c r="R258" s="222" t="s">
        <v>1762</v>
      </c>
      <c r="S258" s="171">
        <v>0</v>
      </c>
      <c r="T258" s="52">
        <v>0</v>
      </c>
      <c r="U258" s="52">
        <v>0</v>
      </c>
      <c r="V258" s="52">
        <v>0</v>
      </c>
      <c r="W258" s="2" t="str" cm="1">
        <f t="array" aca="1" ref="W258" ca="1">TRIM(SUBSTITUTE(_xlfn.ARRAYTOTEXT(IFERROR(CONCATENATE(SUMIF(INDIRECT("'"&amp;Assemblies[Assy]&amp;"'!"&amp;"C$5:C1000"), $C258, INDIRECT("'"&amp;Assemblies[Assy]&amp;"'!"&amp;"O$5:O1000")), "x",Assemblies[Assy],".",IF(SUMIF(INDIRECT("'"&amp;Assemblies[Assy]&amp;"'!"&amp;"C$5:C1000"), $C258, INDIRECT("'"&amp;Assemblies[Assy]&amp;"'!"&amp;"A$5:A1000"))=0,NA(),SUMIF(INDIRECT("'"&amp;Assemblies[Assy]&amp;"'!"&amp;"C$5:C1000"), $C258, INDIRECT("'"&amp;Assemblies[Assy]&amp;"'!"&amp;"A$5:A1000")))),"")), " ,", ""))</f>
        <v>,</v>
      </c>
      <c r="Y258" s="2"/>
      <c r="AA258" s="2" t="s">
        <v>1973</v>
      </c>
      <c r="AB258" s="2">
        <v>180</v>
      </c>
      <c r="AC258" s="2">
        <v>1</v>
      </c>
      <c r="AD258" s="2">
        <f t="shared" si="8"/>
        <v>180</v>
      </c>
    </row>
    <row r="259" spans="1:30" ht="12.75">
      <c r="A259" s="115" t="s">
        <v>2351</v>
      </c>
      <c r="B259" s="115" t="s">
        <v>56</v>
      </c>
      <c r="C259" s="2" t="str">
        <f t="shared" si="9"/>
        <v>GF12.414.01.B</v>
      </c>
      <c r="D259" s="2" t="s">
        <v>2352</v>
      </c>
      <c r="E259" s="52">
        <f t="shared" si="10"/>
        <v>0</v>
      </c>
      <c r="F259" s="5" t="e" cm="1">
        <f t="array" aca="1" ref="F259" ca="1">SUMPRODUCT(SUMIF(INDIRECT("'"&amp;Assemblies[Assy]&amp;"'!"&amp;"C$5:C1000"),$C259,(INDIRECT("'"&amp;Assemblies[Assy]&amp;"'!"&amp;"O$5:O1000"))))</f>
        <v>#VALUE!</v>
      </c>
      <c r="G259" s="5">
        <v>18</v>
      </c>
      <c r="H259" s="5">
        <v>18</v>
      </c>
      <c r="I259" s="2" t="s">
        <v>1776</v>
      </c>
      <c r="J259" s="2" t="s">
        <v>1777</v>
      </c>
      <c r="K259" s="2" t="s">
        <v>1770</v>
      </c>
      <c r="L259" s="2" t="s">
        <v>1786</v>
      </c>
      <c r="M259" s="2" t="s">
        <v>1779</v>
      </c>
      <c r="N259" s="8">
        <v>45139</v>
      </c>
      <c r="O259" s="8">
        <v>45140</v>
      </c>
      <c r="P259" s="8">
        <v>45170</v>
      </c>
      <c r="Q259" s="162">
        <v>45170</v>
      </c>
      <c r="R259" s="201">
        <v>55025</v>
      </c>
      <c r="S259" s="171">
        <v>0</v>
      </c>
      <c r="T259" s="52">
        <v>0</v>
      </c>
      <c r="U259" s="52">
        <v>0</v>
      </c>
      <c r="V259" s="52">
        <v>0</v>
      </c>
      <c r="W259" s="2" t="str" cm="1">
        <f t="array" aca="1" ref="W259" ca="1">TRIM(SUBSTITUTE(_xlfn.ARRAYTOTEXT(IFERROR(CONCATENATE(SUMIF(INDIRECT("'"&amp;Assemblies[Assy]&amp;"'!"&amp;"C$5:C1000"), $C259, INDIRECT("'"&amp;Assemblies[Assy]&amp;"'!"&amp;"O$5:O1000")), "x",Assemblies[Assy],".",IF(SUMIF(INDIRECT("'"&amp;Assemblies[Assy]&amp;"'!"&amp;"C$5:C1000"), $C259, INDIRECT("'"&amp;Assemblies[Assy]&amp;"'!"&amp;"A$5:A1000"))=0,NA(),SUMIF(INDIRECT("'"&amp;Assemblies[Assy]&amp;"'!"&amp;"C$5:C1000"), $C259, INDIRECT("'"&amp;Assemblies[Assy]&amp;"'!"&amp;"A$5:A1000")))),"")), " ,", ""))</f>
        <v>,</v>
      </c>
      <c r="X259" s="2" t="s">
        <v>1382</v>
      </c>
      <c r="Y259" s="2" t="s">
        <v>1382</v>
      </c>
      <c r="Z259" s="2" t="s">
        <v>1382</v>
      </c>
      <c r="AA259" s="2" t="s">
        <v>1976</v>
      </c>
      <c r="AB259" s="2">
        <v>187.55</v>
      </c>
      <c r="AC259" s="2">
        <v>1</v>
      </c>
      <c r="AD259" s="2">
        <f t="shared" si="8"/>
        <v>187.55</v>
      </c>
    </row>
    <row r="260" spans="1:30" ht="12.75">
      <c r="A260" s="115" t="s">
        <v>2353</v>
      </c>
      <c r="B260" s="115" t="s">
        <v>56</v>
      </c>
      <c r="C260" s="2" t="str">
        <f t="shared" si="9"/>
        <v>GF12.414.02.B</v>
      </c>
      <c r="D260" s="2" t="s">
        <v>2354</v>
      </c>
      <c r="E260" s="52">
        <f t="shared" si="10"/>
        <v>0</v>
      </c>
      <c r="F260" s="5" t="e" cm="1">
        <f t="array" aca="1" ref="F260" ca="1">SUMPRODUCT(SUMIF(INDIRECT("'"&amp;Assemblies[Assy]&amp;"'!"&amp;"C$5:C1000"),$C260,(INDIRECT("'"&amp;Assemblies[Assy]&amp;"'!"&amp;"O$5:O1000"))))</f>
        <v>#VALUE!</v>
      </c>
      <c r="G260" s="5">
        <v>18</v>
      </c>
      <c r="H260" s="5">
        <v>18</v>
      </c>
      <c r="I260" s="2" t="s">
        <v>1776</v>
      </c>
      <c r="J260" s="2" t="s">
        <v>1777</v>
      </c>
      <c r="K260" s="2" t="s">
        <v>1770</v>
      </c>
      <c r="L260" s="2" t="s">
        <v>1786</v>
      </c>
      <c r="M260" s="2" t="s">
        <v>1779</v>
      </c>
      <c r="N260" s="8">
        <v>45139</v>
      </c>
      <c r="O260" s="8">
        <v>45140</v>
      </c>
      <c r="P260" s="8">
        <v>45170</v>
      </c>
      <c r="Q260" s="128">
        <v>45170</v>
      </c>
      <c r="R260" s="201">
        <v>55025</v>
      </c>
      <c r="S260" s="171">
        <v>0</v>
      </c>
      <c r="T260" s="52">
        <v>0</v>
      </c>
      <c r="U260" s="52">
        <v>0</v>
      </c>
      <c r="V260" s="52">
        <v>0</v>
      </c>
      <c r="W260" s="2" t="str" cm="1">
        <f t="array" aca="1" ref="W260" ca="1">TRIM(SUBSTITUTE(_xlfn.ARRAYTOTEXT(IFERROR(CONCATENATE(SUMIF(INDIRECT("'"&amp;Assemblies[Assy]&amp;"'!"&amp;"C$5:C1000"), $C260, INDIRECT("'"&amp;Assemblies[Assy]&amp;"'!"&amp;"O$5:O1000")), "x",Assemblies[Assy],".",IF(SUMIF(INDIRECT("'"&amp;Assemblies[Assy]&amp;"'!"&amp;"C$5:C1000"), $C260, INDIRECT("'"&amp;Assemblies[Assy]&amp;"'!"&amp;"A$5:A1000"))=0,NA(),SUMIF(INDIRECT("'"&amp;Assemblies[Assy]&amp;"'!"&amp;"C$5:C1000"), $C260, INDIRECT("'"&amp;Assemblies[Assy]&amp;"'!"&amp;"A$5:A1000")))),"")), " ,", ""))</f>
        <v>,</v>
      </c>
      <c r="X260" s="2" t="s">
        <v>1382</v>
      </c>
      <c r="Y260" s="2" t="s">
        <v>1382</v>
      </c>
      <c r="Z260" s="2" t="s">
        <v>1382</v>
      </c>
      <c r="AA260" s="2" t="s">
        <v>1978</v>
      </c>
      <c r="AB260" s="2">
        <v>170</v>
      </c>
      <c r="AC260" s="2">
        <v>1</v>
      </c>
      <c r="AD260" s="2">
        <f t="shared" si="8"/>
        <v>170</v>
      </c>
    </row>
    <row r="261" spans="1:30" ht="12.75">
      <c r="A261" s="115" t="s">
        <v>2355</v>
      </c>
      <c r="B261" s="115" t="s">
        <v>54</v>
      </c>
      <c r="C261" s="2" t="str">
        <f t="shared" si="9"/>
        <v>GF12.414.04.A</v>
      </c>
      <c r="D261" s="2" t="s">
        <v>2356</v>
      </c>
      <c r="E261" s="52">
        <f t="shared" si="10"/>
        <v>0</v>
      </c>
      <c r="F261" s="5" t="e" cm="1">
        <f t="array" aca="1" ref="F261" ca="1">SUMPRODUCT(SUMIF(INDIRECT("'"&amp;Assemblies[Assy]&amp;"'!"&amp;"C$5:C1000"),$C261,(INDIRECT("'"&amp;Assemblies[Assy]&amp;"'!"&amp;"O$5:O1000"))))</f>
        <v>#VALUE!</v>
      </c>
      <c r="G261" s="5">
        <v>32</v>
      </c>
      <c r="H261" s="5">
        <v>32</v>
      </c>
      <c r="I261" s="2" t="s">
        <v>2088</v>
      </c>
      <c r="J261" s="2" t="s">
        <v>1761</v>
      </c>
      <c r="K261" s="2" t="s">
        <v>1762</v>
      </c>
      <c r="L261" s="2" t="s">
        <v>2089</v>
      </c>
      <c r="M261" s="2" t="s">
        <v>1779</v>
      </c>
      <c r="N261" s="163" t="s">
        <v>1762</v>
      </c>
      <c r="O261" s="163" t="s">
        <v>1762</v>
      </c>
      <c r="P261" s="163" t="s">
        <v>1762</v>
      </c>
      <c r="Q261" s="163" t="s">
        <v>1762</v>
      </c>
      <c r="R261" s="222" t="s">
        <v>1762</v>
      </c>
      <c r="S261" s="171">
        <v>0</v>
      </c>
      <c r="T261" s="52">
        <v>0</v>
      </c>
      <c r="U261" s="52">
        <v>0</v>
      </c>
      <c r="V261" s="52">
        <v>0</v>
      </c>
      <c r="W261" s="2" t="str" cm="1">
        <f t="array" aca="1" ref="W261" ca="1">TRIM(SUBSTITUTE(_xlfn.ARRAYTOTEXT(IFERROR(CONCATENATE(SUMIF(INDIRECT("'"&amp;Assemblies[Assy]&amp;"'!"&amp;"C$5:C1000"), $C261, INDIRECT("'"&amp;Assemblies[Assy]&amp;"'!"&amp;"O$5:O1000")), "x",Assemblies[Assy],".",IF(SUMIF(INDIRECT("'"&amp;Assemblies[Assy]&amp;"'!"&amp;"C$5:C1000"), $C261, INDIRECT("'"&amp;Assemblies[Assy]&amp;"'!"&amp;"A$5:A1000"))=0,NA(),SUMIF(INDIRECT("'"&amp;Assemblies[Assy]&amp;"'!"&amp;"C$5:C1000"), $C261, INDIRECT("'"&amp;Assemblies[Assy]&amp;"'!"&amp;"A$5:A1000")))),"")), " ,", ""))</f>
        <v>,</v>
      </c>
      <c r="X261" s="2" t="s">
        <v>1382</v>
      </c>
      <c r="Y261" s="2" t="s">
        <v>1382</v>
      </c>
      <c r="Z261" s="2" t="s">
        <v>1382</v>
      </c>
      <c r="AA261" s="2" t="s">
        <v>2155</v>
      </c>
      <c r="AB261" s="2">
        <v>112</v>
      </c>
      <c r="AC261" s="2">
        <v>2</v>
      </c>
      <c r="AD261" s="2">
        <f t="shared" si="8"/>
        <v>224</v>
      </c>
    </row>
    <row r="262" spans="1:30" ht="12.75">
      <c r="A262" s="115" t="s">
        <v>2357</v>
      </c>
      <c r="B262" s="115" t="s">
        <v>54</v>
      </c>
      <c r="C262" s="2" t="str">
        <f t="shared" si="9"/>
        <v>GF12.414.05.A</v>
      </c>
      <c r="D262" s="2" t="s">
        <v>2358</v>
      </c>
      <c r="E262" s="52">
        <f t="shared" si="10"/>
        <v>0</v>
      </c>
      <c r="F262" s="5" t="e" cm="1">
        <f t="array" aca="1" ref="F262" ca="1">SUMPRODUCT(SUMIF(INDIRECT("'"&amp;Assemblies[Assy]&amp;"'!"&amp;"C$5:C1000"),$C262,(INDIRECT("'"&amp;Assemblies[Assy]&amp;"'!"&amp;"O$5:O1000"))))</f>
        <v>#VALUE!</v>
      </c>
      <c r="G262" s="5">
        <v>16</v>
      </c>
      <c r="H262" s="5">
        <v>16</v>
      </c>
      <c r="I262" s="2" t="s">
        <v>2088</v>
      </c>
      <c r="J262" s="2" t="s">
        <v>1761</v>
      </c>
      <c r="K262" s="2" t="s">
        <v>1762</v>
      </c>
      <c r="L262" s="2" t="s">
        <v>2089</v>
      </c>
      <c r="M262" s="2" t="s">
        <v>1779</v>
      </c>
      <c r="N262" s="163" t="s">
        <v>1762</v>
      </c>
      <c r="O262" s="163" t="s">
        <v>1762</v>
      </c>
      <c r="P262" s="163" t="s">
        <v>1762</v>
      </c>
      <c r="Q262" s="163" t="s">
        <v>1762</v>
      </c>
      <c r="R262" s="222" t="s">
        <v>1762</v>
      </c>
      <c r="S262" s="171">
        <v>0</v>
      </c>
      <c r="T262" s="52">
        <v>0</v>
      </c>
      <c r="U262" s="52">
        <v>0</v>
      </c>
      <c r="V262" s="52">
        <v>0</v>
      </c>
      <c r="W262" s="2" t="str" cm="1">
        <f t="array" aca="1" ref="W262" ca="1">TRIM(SUBSTITUTE(_xlfn.ARRAYTOTEXT(IFERROR(CONCATENATE(SUMIF(INDIRECT("'"&amp;Assemblies[Assy]&amp;"'!"&amp;"C$5:C1000"), $C262, INDIRECT("'"&amp;Assemblies[Assy]&amp;"'!"&amp;"O$5:O1000")), "x",Assemblies[Assy],".",IF(SUMIF(INDIRECT("'"&amp;Assemblies[Assy]&amp;"'!"&amp;"C$5:C1000"), $C262, INDIRECT("'"&amp;Assemblies[Assy]&amp;"'!"&amp;"A$5:A1000"))=0,NA(),SUMIF(INDIRECT("'"&amp;Assemblies[Assy]&amp;"'!"&amp;"C$5:C1000"), $C262, INDIRECT("'"&amp;Assemblies[Assy]&amp;"'!"&amp;"A$5:A1000")))),"")), " ,", ""))</f>
        <v>,</v>
      </c>
      <c r="X262" s="2" t="s">
        <v>1382</v>
      </c>
      <c r="Y262" s="2" t="s">
        <v>1382</v>
      </c>
      <c r="Z262" s="2" t="s">
        <v>1382</v>
      </c>
    </row>
    <row r="263" spans="1:30" ht="12.75">
      <c r="A263" s="115" t="s">
        <v>2359</v>
      </c>
      <c r="B263" s="115" t="s">
        <v>56</v>
      </c>
      <c r="C263" s="2" t="str">
        <f t="shared" si="9"/>
        <v>GF12.415.01.B</v>
      </c>
      <c r="D263" s="2" t="s">
        <v>2360</v>
      </c>
      <c r="E263" s="52">
        <f t="shared" si="10"/>
        <v>0</v>
      </c>
      <c r="F263" s="5" t="e" cm="1">
        <f t="array" aca="1" ref="F263" ca="1">SUMPRODUCT(SUMIF(INDIRECT("'"&amp;Assemblies[Assy]&amp;"'!"&amp;"C$5:C1000"),$C263,(INDIRECT("'"&amp;Assemblies[Assy]&amp;"'!"&amp;"O$5:O1000"))))</f>
        <v>#VALUE!</v>
      </c>
      <c r="G263" s="5">
        <v>24</v>
      </c>
      <c r="H263" s="5">
        <v>24</v>
      </c>
      <c r="I263" s="2" t="s">
        <v>1791</v>
      </c>
      <c r="J263" s="2" t="s">
        <v>1769</v>
      </c>
      <c r="K263" s="2" t="s">
        <v>1770</v>
      </c>
      <c r="L263" s="2" t="s">
        <v>1786</v>
      </c>
      <c r="M263" s="2" t="s">
        <v>1779</v>
      </c>
      <c r="N263" s="8">
        <v>45139</v>
      </c>
      <c r="O263" s="8">
        <v>45140</v>
      </c>
      <c r="P263" s="8">
        <v>45170</v>
      </c>
      <c r="Q263" s="162">
        <v>45170</v>
      </c>
      <c r="R263" s="201">
        <v>55025</v>
      </c>
      <c r="S263" s="171">
        <v>0</v>
      </c>
      <c r="T263" s="52">
        <v>0</v>
      </c>
      <c r="U263" s="52">
        <v>0</v>
      </c>
      <c r="V263" s="52">
        <v>0</v>
      </c>
      <c r="W263" s="2" t="str" cm="1">
        <f t="array" aca="1" ref="W263" ca="1">TRIM(SUBSTITUTE(_xlfn.ARRAYTOTEXT(IFERROR(CONCATENATE(SUMIF(INDIRECT("'"&amp;Assemblies[Assy]&amp;"'!"&amp;"C$5:C1000"), $C263, INDIRECT("'"&amp;Assemblies[Assy]&amp;"'!"&amp;"O$5:O1000")), "x",Assemblies[Assy],".",IF(SUMIF(INDIRECT("'"&amp;Assemblies[Assy]&amp;"'!"&amp;"C$5:C1000"), $C263, INDIRECT("'"&amp;Assemblies[Assy]&amp;"'!"&amp;"A$5:A1000"))=0,NA(),SUMIF(INDIRECT("'"&amp;Assemblies[Assy]&amp;"'!"&amp;"C$5:C1000"), $C263, INDIRECT("'"&amp;Assemblies[Assy]&amp;"'!"&amp;"A$5:A1000")))),"")), " ,", ""))</f>
        <v>,</v>
      </c>
      <c r="X263" s="2" t="s">
        <v>1382</v>
      </c>
      <c r="Y263" s="2" t="s">
        <v>1382</v>
      </c>
      <c r="Z263" s="2" t="s">
        <v>1382</v>
      </c>
    </row>
    <row r="264" spans="1:30" ht="12.75">
      <c r="A264" s="115" t="s">
        <v>2361</v>
      </c>
      <c r="B264" s="115" t="s">
        <v>54</v>
      </c>
      <c r="C264" s="2" t="str">
        <f t="shared" si="9"/>
        <v>GF12.416.01.A</v>
      </c>
      <c r="D264" s="2" t="s">
        <v>2362</v>
      </c>
      <c r="E264" s="52">
        <f t="shared" si="10"/>
        <v>0</v>
      </c>
      <c r="F264" s="5" t="e" cm="1">
        <f t="array" aca="1" ref="F264" ca="1">SUMPRODUCT(SUMIF(INDIRECT("'"&amp;Assemblies[Assy]&amp;"'!"&amp;"C$5:C1000"),$C264,(INDIRECT("'"&amp;Assemblies[Assy]&amp;"'!"&amp;"O$5:O1000"))))</f>
        <v>#VALUE!</v>
      </c>
      <c r="G264" s="5">
        <v>0</v>
      </c>
      <c r="I264" s="2" t="s">
        <v>1797</v>
      </c>
      <c r="J264" s="2" t="s">
        <v>1761</v>
      </c>
      <c r="K264" s="2" t="s">
        <v>1762</v>
      </c>
      <c r="L264" s="2" t="s">
        <v>2016</v>
      </c>
      <c r="M264" s="2"/>
      <c r="N264" s="163" t="s">
        <v>1762</v>
      </c>
      <c r="O264" s="163" t="s">
        <v>1762</v>
      </c>
      <c r="P264" s="163" t="s">
        <v>1762</v>
      </c>
      <c r="Q264" s="163" t="s">
        <v>1762</v>
      </c>
      <c r="R264" s="222" t="s">
        <v>1762</v>
      </c>
      <c r="S264" s="171"/>
      <c r="T264" s="52"/>
      <c r="V264" s="52"/>
      <c r="W264" s="2" t="str" cm="1">
        <f t="array" aca="1" ref="W264" ca="1">TRIM(SUBSTITUTE(_xlfn.ARRAYTOTEXT(IFERROR(CONCATENATE(SUMIF(INDIRECT("'"&amp;Assemblies[Assy]&amp;"'!"&amp;"C$5:C1000"), $C264, INDIRECT("'"&amp;Assemblies[Assy]&amp;"'!"&amp;"O$5:O1000")), "x",Assemblies[Assy],".",IF(SUMIF(INDIRECT("'"&amp;Assemblies[Assy]&amp;"'!"&amp;"C$5:C1000"), $C264, INDIRECT("'"&amp;Assemblies[Assy]&amp;"'!"&amp;"A$5:A1000"))=0,NA(),SUMIF(INDIRECT("'"&amp;Assemblies[Assy]&amp;"'!"&amp;"C$5:C1000"), $C264, INDIRECT("'"&amp;Assemblies[Assy]&amp;"'!"&amp;"A$5:A1000")))),"")), " ,", ""))</f>
        <v>,</v>
      </c>
      <c r="Y264" s="2"/>
    </row>
    <row r="265" spans="1:30" ht="12.75">
      <c r="A265" s="115" t="s">
        <v>2363</v>
      </c>
      <c r="B265" s="115" t="s">
        <v>54</v>
      </c>
      <c r="C265" s="2" t="str">
        <f t="shared" si="9"/>
        <v>GF12.416.02.A</v>
      </c>
      <c r="D265" s="2" t="s">
        <v>2364</v>
      </c>
      <c r="E265" s="52">
        <f t="shared" si="10"/>
        <v>0</v>
      </c>
      <c r="F265" s="5" t="e" cm="1">
        <f t="array" aca="1" ref="F265" ca="1">SUMPRODUCT(SUMIF(INDIRECT("'"&amp;Assemblies[Assy]&amp;"'!"&amp;"C$5:C1000"),$C265,(INDIRECT("'"&amp;Assemblies[Assy]&amp;"'!"&amp;"O$5:O1000"))))</f>
        <v>#VALUE!</v>
      </c>
      <c r="G265" s="5">
        <v>32</v>
      </c>
      <c r="H265" s="5">
        <v>32</v>
      </c>
      <c r="I265" s="2" t="s">
        <v>1776</v>
      </c>
      <c r="J265" s="2" t="s">
        <v>1777</v>
      </c>
      <c r="K265" s="2" t="s">
        <v>1770</v>
      </c>
      <c r="L265" s="2" t="s">
        <v>1786</v>
      </c>
      <c r="M265" s="2"/>
      <c r="N265" s="8">
        <v>45209</v>
      </c>
      <c r="O265" s="8">
        <v>45210</v>
      </c>
      <c r="P265" s="8">
        <v>45216</v>
      </c>
      <c r="Q265" s="162">
        <v>45216</v>
      </c>
      <c r="R265" s="201">
        <v>55203</v>
      </c>
      <c r="S265" s="171">
        <v>0</v>
      </c>
      <c r="T265" s="52">
        <v>0</v>
      </c>
      <c r="U265" s="52">
        <v>0</v>
      </c>
      <c r="V265" s="52">
        <v>0</v>
      </c>
      <c r="W265" s="2" t="str" cm="1">
        <f t="array" aca="1" ref="W265" ca="1">TRIM(SUBSTITUTE(_xlfn.ARRAYTOTEXT(IFERROR(CONCATENATE(SUMIF(INDIRECT("'"&amp;Assemblies[Assy]&amp;"'!"&amp;"C$5:C1000"), $C265, INDIRECT("'"&amp;Assemblies[Assy]&amp;"'!"&amp;"O$5:O1000")), "x",Assemblies[Assy],".",IF(SUMIF(INDIRECT("'"&amp;Assemblies[Assy]&amp;"'!"&amp;"C$5:C1000"), $C265, INDIRECT("'"&amp;Assemblies[Assy]&amp;"'!"&amp;"A$5:A1000"))=0,NA(),SUMIF(INDIRECT("'"&amp;Assemblies[Assy]&amp;"'!"&amp;"C$5:C1000"), $C265, INDIRECT("'"&amp;Assemblies[Assy]&amp;"'!"&amp;"A$5:A1000")))),"")), " ,", ""))</f>
        <v>,</v>
      </c>
      <c r="Y265" s="2"/>
    </row>
    <row r="266" spans="1:30" ht="12.75">
      <c r="A266" s="115" t="s">
        <v>2365</v>
      </c>
      <c r="B266" s="115" t="s">
        <v>54</v>
      </c>
      <c r="C266" s="2" t="str">
        <f t="shared" si="9"/>
        <v>GF12.416.03.A</v>
      </c>
      <c r="D266" s="2" t="s">
        <v>2366</v>
      </c>
      <c r="E266" s="52">
        <f t="shared" si="10"/>
        <v>0</v>
      </c>
      <c r="F266" s="5" t="e" cm="1">
        <f t="array" aca="1" ref="F266" ca="1">SUMPRODUCT(SUMIF(INDIRECT("'"&amp;Assemblies[Assy]&amp;"'!"&amp;"C$5:C1000"),$C266,(INDIRECT("'"&amp;Assemblies[Assy]&amp;"'!"&amp;"O$5:O1000"))))</f>
        <v>#VALUE!</v>
      </c>
      <c r="G266" s="5">
        <v>32</v>
      </c>
      <c r="H266" s="5">
        <v>32</v>
      </c>
      <c r="I266" s="2" t="s">
        <v>1776</v>
      </c>
      <c r="J266" s="2" t="s">
        <v>1777</v>
      </c>
      <c r="K266" s="2" t="s">
        <v>1770</v>
      </c>
      <c r="L266" s="2" t="s">
        <v>1786</v>
      </c>
      <c r="M266" s="2"/>
      <c r="N266" s="8">
        <v>45209</v>
      </c>
      <c r="O266" s="8">
        <v>45210</v>
      </c>
      <c r="P266" s="8">
        <v>45216</v>
      </c>
      <c r="Q266" s="162">
        <v>45216</v>
      </c>
      <c r="R266" s="201">
        <v>55203</v>
      </c>
      <c r="S266" s="171">
        <v>0</v>
      </c>
      <c r="T266" s="52">
        <v>0</v>
      </c>
      <c r="U266" s="52">
        <v>0</v>
      </c>
      <c r="V266" s="52">
        <v>0</v>
      </c>
      <c r="W266" s="2" t="str" cm="1">
        <f t="array" aca="1" ref="W266" ca="1">TRIM(SUBSTITUTE(_xlfn.ARRAYTOTEXT(IFERROR(CONCATENATE(SUMIF(INDIRECT("'"&amp;Assemblies[Assy]&amp;"'!"&amp;"C$5:C1000"), $C266, INDIRECT("'"&amp;Assemblies[Assy]&amp;"'!"&amp;"O$5:O1000")), "x",Assemblies[Assy],".",IF(SUMIF(INDIRECT("'"&amp;Assemblies[Assy]&amp;"'!"&amp;"C$5:C1000"), $C266, INDIRECT("'"&amp;Assemblies[Assy]&amp;"'!"&amp;"A$5:A1000"))=0,NA(),SUMIF(INDIRECT("'"&amp;Assemblies[Assy]&amp;"'!"&amp;"C$5:C1000"), $C266, INDIRECT("'"&amp;Assemblies[Assy]&amp;"'!"&amp;"A$5:A1000")))),"")), " ,", ""))</f>
        <v>,</v>
      </c>
      <c r="Y266" s="2"/>
      <c r="AA266" s="2" t="s">
        <v>2186</v>
      </c>
      <c r="AB266" s="2">
        <v>500</v>
      </c>
      <c r="AC266" s="2">
        <v>1</v>
      </c>
      <c r="AD266" s="2">
        <f t="shared" si="8"/>
        <v>500</v>
      </c>
    </row>
    <row r="267" spans="1:30" ht="12.75">
      <c r="A267" s="115" t="s">
        <v>2367</v>
      </c>
      <c r="B267" s="115" t="s">
        <v>54</v>
      </c>
      <c r="C267" s="161" t="str">
        <f t="shared" si="9"/>
        <v>GF12.423.01.A</v>
      </c>
      <c r="D267" s="161" t="s">
        <v>2368</v>
      </c>
      <c r="E267" s="52">
        <f t="shared" si="10"/>
        <v>303.24</v>
      </c>
      <c r="F267" s="5" t="e" cm="1">
        <f t="array" aca="1" ref="F267" ca="1">SUMPRODUCT(SUMIF(INDIRECT("'"&amp;Assemblies[Assy]&amp;"'!"&amp;"C$5:C1000"),$C267,(INDIRECT("'"&amp;Assemblies[Assy]&amp;"'!"&amp;"O$5:O1000"))))</f>
        <v>#VALUE!</v>
      </c>
      <c r="G267" s="5">
        <v>3</v>
      </c>
      <c r="H267" s="5">
        <v>3</v>
      </c>
      <c r="I267" s="2" t="s">
        <v>2111</v>
      </c>
      <c r="J267" s="2" t="s">
        <v>1792</v>
      </c>
      <c r="K267" s="2" t="s">
        <v>1770</v>
      </c>
      <c r="L267" s="2" t="s">
        <v>1803</v>
      </c>
      <c r="M267" s="2" t="s">
        <v>1779</v>
      </c>
      <c r="N267" s="8">
        <v>45084</v>
      </c>
      <c r="O267" s="8">
        <v>45127</v>
      </c>
      <c r="P267" s="8">
        <v>45156</v>
      </c>
      <c r="Q267" s="128">
        <v>45156</v>
      </c>
      <c r="R267" s="201">
        <v>55003</v>
      </c>
      <c r="S267" s="173">
        <v>303.24</v>
      </c>
      <c r="T267" s="52">
        <v>0</v>
      </c>
      <c r="U267" s="52">
        <v>0</v>
      </c>
      <c r="V267" s="52">
        <v>0</v>
      </c>
      <c r="W267" s="2" t="str" cm="1">
        <f t="array" aca="1" ref="W267" ca="1">TRIM(SUBSTITUTE(_xlfn.ARRAYTOTEXT(IFERROR(CONCATENATE(SUMIF(INDIRECT("'"&amp;Assemblies[Assy]&amp;"'!"&amp;"C$5:C1000"), $C267, INDIRECT("'"&amp;Assemblies[Assy]&amp;"'!"&amp;"O$5:O1000")), "x",Assemblies[Assy],".",IF(SUMIF(INDIRECT("'"&amp;Assemblies[Assy]&amp;"'!"&amp;"C$5:C1000"), $C267, INDIRECT("'"&amp;Assemblies[Assy]&amp;"'!"&amp;"A$5:A1000"))=0,NA(),SUMIF(INDIRECT("'"&amp;Assemblies[Assy]&amp;"'!"&amp;"C$5:C1000"), $C267, INDIRECT("'"&amp;Assemblies[Assy]&amp;"'!"&amp;"A$5:A1000")))),"")), " ,", ""))</f>
        <v>,</v>
      </c>
      <c r="X267" s="2" t="s">
        <v>1773</v>
      </c>
      <c r="Y267" s="2" t="s">
        <v>2336</v>
      </c>
      <c r="Z267" s="2" t="s">
        <v>1382</v>
      </c>
      <c r="AA267" s="2" t="s">
        <v>2186</v>
      </c>
      <c r="AB267" s="2">
        <v>500</v>
      </c>
      <c r="AC267" s="2">
        <v>1</v>
      </c>
      <c r="AD267" s="2">
        <f t="shared" si="8"/>
        <v>500</v>
      </c>
    </row>
    <row r="268" spans="1:30" ht="12.75">
      <c r="A268" s="115" t="s">
        <v>2369</v>
      </c>
      <c r="B268" s="115" t="s">
        <v>54</v>
      </c>
      <c r="C268" s="161" t="str">
        <f t="shared" si="9"/>
        <v>GF12.463.01.A</v>
      </c>
      <c r="D268" s="161" t="s">
        <v>2370</v>
      </c>
      <c r="E268" s="52">
        <f t="shared" si="10"/>
        <v>372.18</v>
      </c>
      <c r="F268" s="5" t="e" cm="1">
        <f t="array" aca="1" ref="F268" ca="1">SUMPRODUCT(SUMIF(INDIRECT("'"&amp;Assemblies[Assy]&amp;"'!"&amp;"C$5:C1000"),$C268,(INDIRECT("'"&amp;Assemblies[Assy]&amp;"'!"&amp;"O$5:O1000"))))</f>
        <v>#VALUE!</v>
      </c>
      <c r="G268" s="5">
        <v>2</v>
      </c>
      <c r="H268" s="5">
        <v>2</v>
      </c>
      <c r="I268" s="2" t="s">
        <v>2111</v>
      </c>
      <c r="J268" s="2" t="s">
        <v>1792</v>
      </c>
      <c r="K268" s="2" t="s">
        <v>1770</v>
      </c>
      <c r="L268" s="2" t="s">
        <v>1803</v>
      </c>
      <c r="M268" s="2" t="s">
        <v>1779</v>
      </c>
      <c r="N268" s="8">
        <v>45084</v>
      </c>
      <c r="O268" s="8">
        <v>45127</v>
      </c>
      <c r="P268" s="8">
        <v>45156</v>
      </c>
      <c r="Q268" s="144">
        <v>45156</v>
      </c>
      <c r="R268" s="201">
        <v>55003</v>
      </c>
      <c r="S268" s="173">
        <v>372.18</v>
      </c>
      <c r="T268" s="52">
        <v>0</v>
      </c>
      <c r="U268" s="52">
        <v>0</v>
      </c>
      <c r="V268" s="52">
        <v>0</v>
      </c>
      <c r="W268" s="2" t="str" cm="1">
        <f t="array" aca="1" ref="W268" ca="1">TRIM(SUBSTITUTE(_xlfn.ARRAYTOTEXT(IFERROR(CONCATENATE(SUMIF(INDIRECT("'"&amp;Assemblies[Assy]&amp;"'!"&amp;"C$5:C1000"), $C268, INDIRECT("'"&amp;Assemblies[Assy]&amp;"'!"&amp;"O$5:O1000")), "x",Assemblies[Assy],".",IF(SUMIF(INDIRECT("'"&amp;Assemblies[Assy]&amp;"'!"&amp;"C$5:C1000"), $C268, INDIRECT("'"&amp;Assemblies[Assy]&amp;"'!"&amp;"A$5:A1000"))=0,NA(),SUMIF(INDIRECT("'"&amp;Assemblies[Assy]&amp;"'!"&amp;"C$5:C1000"), $C268, INDIRECT("'"&amp;Assemblies[Assy]&amp;"'!"&amp;"A$5:A1000")))),"")), " ,", ""))</f>
        <v>,</v>
      </c>
      <c r="X268" s="2" t="s">
        <v>1773</v>
      </c>
      <c r="Y268" s="2" t="s">
        <v>2336</v>
      </c>
      <c r="Z268" s="2" t="s">
        <v>1382</v>
      </c>
      <c r="AA268" s="2" t="s">
        <v>1382</v>
      </c>
      <c r="AD268" s="2">
        <f>SUM(AD249:AD267)</f>
        <v>3633.16</v>
      </c>
    </row>
    <row r="269" spans="1:30" ht="12.75">
      <c r="A269" s="115" t="s">
        <v>2371</v>
      </c>
      <c r="B269" s="115" t="s">
        <v>56</v>
      </c>
      <c r="C269" s="2" t="str">
        <f t="shared" si="9"/>
        <v>GF12.470.01.B</v>
      </c>
      <c r="D269" s="2" t="s">
        <v>2372</v>
      </c>
      <c r="E269" s="52">
        <f t="shared" si="10"/>
        <v>413.5</v>
      </c>
      <c r="F269" s="5" t="e" cm="1">
        <f t="array" aca="1" ref="F269" ca="1">SUMPRODUCT(SUMIF(INDIRECT("'"&amp;Assemblies[Assy]&amp;"'!"&amp;"C$5:C1000"),$C269,(INDIRECT("'"&amp;Assemblies[Assy]&amp;"'!"&amp;"O$5:O1000"))))</f>
        <v>#VALUE!</v>
      </c>
      <c r="G269" s="5">
        <v>2</v>
      </c>
      <c r="H269" s="5">
        <v>2</v>
      </c>
      <c r="I269" s="2" t="s">
        <v>2111</v>
      </c>
      <c r="J269" s="2" t="s">
        <v>1769</v>
      </c>
      <c r="K269" s="2" t="s">
        <v>1770</v>
      </c>
      <c r="L269" s="2" t="s">
        <v>1783</v>
      </c>
      <c r="M269" s="2" t="s">
        <v>1779</v>
      </c>
      <c r="N269" s="8">
        <v>45142</v>
      </c>
      <c r="O269" s="8">
        <v>45146</v>
      </c>
      <c r="P269" s="8">
        <v>45170</v>
      </c>
      <c r="Q269" s="128">
        <v>45170</v>
      </c>
      <c r="R269" s="201">
        <v>55041</v>
      </c>
      <c r="S269" s="173">
        <v>413.5</v>
      </c>
      <c r="T269" s="52">
        <v>0</v>
      </c>
      <c r="U269" s="52">
        <v>0</v>
      </c>
      <c r="V269" s="52">
        <v>0</v>
      </c>
      <c r="W269" s="2" t="str" cm="1">
        <f t="array" aca="1" ref="W269" ca="1">TRIM(SUBSTITUTE(_xlfn.ARRAYTOTEXT(IFERROR(CONCATENATE(SUMIF(INDIRECT("'"&amp;Assemblies[Assy]&amp;"'!"&amp;"C$5:C1000"), $C269, INDIRECT("'"&amp;Assemblies[Assy]&amp;"'!"&amp;"O$5:O1000")), "x",Assemblies[Assy],".",IF(SUMIF(INDIRECT("'"&amp;Assemblies[Assy]&amp;"'!"&amp;"C$5:C1000"), $C269, INDIRECT("'"&amp;Assemblies[Assy]&amp;"'!"&amp;"A$5:A1000"))=0,NA(),SUMIF(INDIRECT("'"&amp;Assemblies[Assy]&amp;"'!"&amp;"C$5:C1000"), $C269, INDIRECT("'"&amp;Assemblies[Assy]&amp;"'!"&amp;"A$5:A1000")))),"")), " ,", ""))</f>
        <v>,</v>
      </c>
      <c r="X269" s="2" t="s">
        <v>1382</v>
      </c>
      <c r="Y269" s="2" t="s">
        <v>1382</v>
      </c>
      <c r="Z269" s="2" t="s">
        <v>1382</v>
      </c>
      <c r="AA269" s="2" t="s">
        <v>1382</v>
      </c>
    </row>
    <row r="270" spans="1:30" ht="12.75">
      <c r="A270" s="115" t="s">
        <v>2373</v>
      </c>
      <c r="B270" s="115" t="s">
        <v>56</v>
      </c>
      <c r="C270" s="2" t="str">
        <f t="shared" si="9"/>
        <v>GF12.470.02.B</v>
      </c>
      <c r="D270" s="2" t="s">
        <v>2374</v>
      </c>
      <c r="E270" s="52">
        <f t="shared" si="10"/>
        <v>407</v>
      </c>
      <c r="F270" s="5" t="e" cm="1">
        <f t="array" aca="1" ref="F270" ca="1">SUMPRODUCT(SUMIF(INDIRECT("'"&amp;Assemblies[Assy]&amp;"'!"&amp;"C$5:C1000"),$C270,(INDIRECT("'"&amp;Assemblies[Assy]&amp;"'!"&amp;"O$5:O1000"))))</f>
        <v>#VALUE!</v>
      </c>
      <c r="G270" s="5">
        <v>1</v>
      </c>
      <c r="H270" s="5">
        <v>1</v>
      </c>
      <c r="I270" s="2" t="s">
        <v>2111</v>
      </c>
      <c r="J270" s="2" t="s">
        <v>1769</v>
      </c>
      <c r="K270" s="2" t="s">
        <v>1770</v>
      </c>
      <c r="L270" s="2" t="s">
        <v>1783</v>
      </c>
      <c r="M270" s="2" t="s">
        <v>1779</v>
      </c>
      <c r="N270" s="8">
        <v>45142</v>
      </c>
      <c r="O270" s="8">
        <v>45146</v>
      </c>
      <c r="P270" s="8">
        <v>45170</v>
      </c>
      <c r="Q270" s="128">
        <v>45170</v>
      </c>
      <c r="R270" s="201">
        <v>55041</v>
      </c>
      <c r="S270" s="173">
        <v>407</v>
      </c>
      <c r="T270" s="52">
        <v>0</v>
      </c>
      <c r="U270" s="52">
        <v>0</v>
      </c>
      <c r="V270" s="52">
        <v>0</v>
      </c>
      <c r="W270" s="2" t="str" cm="1">
        <f t="array" aca="1" ref="W270" ca="1">TRIM(SUBSTITUTE(_xlfn.ARRAYTOTEXT(IFERROR(CONCATENATE(SUMIF(INDIRECT("'"&amp;Assemblies[Assy]&amp;"'!"&amp;"C$5:C1000"), $C270, INDIRECT("'"&amp;Assemblies[Assy]&amp;"'!"&amp;"O$5:O1000")), "x",Assemblies[Assy],".",IF(SUMIF(INDIRECT("'"&amp;Assemblies[Assy]&amp;"'!"&amp;"C$5:C1000"), $C270, INDIRECT("'"&amp;Assemblies[Assy]&amp;"'!"&amp;"A$5:A1000"))=0,NA(),SUMIF(INDIRECT("'"&amp;Assemblies[Assy]&amp;"'!"&amp;"C$5:C1000"), $C270, INDIRECT("'"&amp;Assemblies[Assy]&amp;"'!"&amp;"A$5:A1000")))),"")), " ,", ""))</f>
        <v>,</v>
      </c>
      <c r="X270" s="2" t="s">
        <v>1382</v>
      </c>
      <c r="Y270" s="2" t="s">
        <v>1382</v>
      </c>
      <c r="Z270" s="2" t="s">
        <v>1382</v>
      </c>
      <c r="AA270" s="2" t="s">
        <v>1382</v>
      </c>
    </row>
    <row r="271" spans="1:30" ht="12.75">
      <c r="A271" s="115" t="s">
        <v>2375</v>
      </c>
      <c r="B271" s="115" t="s">
        <v>56</v>
      </c>
      <c r="C271" s="2" t="str">
        <f t="shared" si="9"/>
        <v>GF12.470.03.B</v>
      </c>
      <c r="D271" s="117" t="s">
        <v>2376</v>
      </c>
      <c r="E271" s="52">
        <f t="shared" si="10"/>
        <v>199</v>
      </c>
      <c r="F271" s="5" t="e" cm="1">
        <f t="array" aca="1" ref="F271" ca="1">SUMPRODUCT(SUMIF(INDIRECT("'"&amp;Assemblies[Assy]&amp;"'!"&amp;"C$5:C1000"),$C271,(INDIRECT("'"&amp;Assemblies[Assy]&amp;"'!"&amp;"O$5:O1000"))))</f>
        <v>#VALUE!</v>
      </c>
      <c r="G271" s="5">
        <v>2</v>
      </c>
      <c r="H271" s="5">
        <v>2</v>
      </c>
      <c r="I271" s="2" t="s">
        <v>2111</v>
      </c>
      <c r="J271" s="2" t="s">
        <v>1769</v>
      </c>
      <c r="K271" s="2" t="s">
        <v>1770</v>
      </c>
      <c r="L271" s="2" t="s">
        <v>1783</v>
      </c>
      <c r="M271" s="2" t="s">
        <v>1779</v>
      </c>
      <c r="N271" s="8">
        <v>45142</v>
      </c>
      <c r="O271" s="8">
        <v>45146</v>
      </c>
      <c r="P271" s="8">
        <v>45170</v>
      </c>
      <c r="Q271" s="128">
        <v>45170</v>
      </c>
      <c r="R271" s="201">
        <v>55041</v>
      </c>
      <c r="S271" s="160">
        <v>199</v>
      </c>
      <c r="T271" s="52">
        <v>0</v>
      </c>
      <c r="U271" s="52">
        <v>0</v>
      </c>
      <c r="V271" s="52">
        <v>0</v>
      </c>
      <c r="W271" s="2" t="str" cm="1">
        <f t="array" aca="1" ref="W271" ca="1">TRIM(SUBSTITUTE(_xlfn.ARRAYTOTEXT(IFERROR(CONCATENATE(SUMIF(INDIRECT("'"&amp;Assemblies[Assy]&amp;"'!"&amp;"C$5:C1000"), $C271, INDIRECT("'"&amp;Assemblies[Assy]&amp;"'!"&amp;"O$5:O1000")), "x",Assemblies[Assy],".",IF(SUMIF(INDIRECT("'"&amp;Assemblies[Assy]&amp;"'!"&amp;"C$5:C1000"), $C271, INDIRECT("'"&amp;Assemblies[Assy]&amp;"'!"&amp;"A$5:A1000"))=0,NA(),SUMIF(INDIRECT("'"&amp;Assemblies[Assy]&amp;"'!"&amp;"C$5:C1000"), $C271, INDIRECT("'"&amp;Assemblies[Assy]&amp;"'!"&amp;"A$5:A1000")))),"")), " ,", ""))</f>
        <v>,</v>
      </c>
      <c r="X271" s="2" t="s">
        <v>1382</v>
      </c>
      <c r="Y271" s="2" t="s">
        <v>1382</v>
      </c>
      <c r="Z271" s="2" t="s">
        <v>1382</v>
      </c>
    </row>
    <row r="272" spans="1:30" ht="12.75">
      <c r="A272" s="115" t="s">
        <v>2377</v>
      </c>
      <c r="B272" s="115" t="s">
        <v>54</v>
      </c>
      <c r="C272" s="2" t="str">
        <f t="shared" si="9"/>
        <v>GF12.470.04.A</v>
      </c>
      <c r="D272" s="117" t="s">
        <v>2378</v>
      </c>
      <c r="E272" s="52">
        <f t="shared" si="10"/>
        <v>1.98</v>
      </c>
      <c r="F272" s="5" t="e" cm="1">
        <f t="array" aca="1" ref="F272" ca="1">SUMPRODUCT(SUMIF(INDIRECT("'"&amp;Assemblies[Assy]&amp;"'!"&amp;"C$5:C1000"),$C272,(INDIRECT("'"&amp;Assemblies[Assy]&amp;"'!"&amp;"O$5:O1000"))))</f>
        <v>#VALUE!</v>
      </c>
      <c r="G272" s="5">
        <v>25</v>
      </c>
      <c r="I272" s="2" t="s">
        <v>1797</v>
      </c>
      <c r="J272" s="2" t="s">
        <v>1761</v>
      </c>
      <c r="K272" s="2" t="s">
        <v>1762</v>
      </c>
      <c r="L272" s="2" t="s">
        <v>1803</v>
      </c>
      <c r="M272" s="2"/>
      <c r="N272" s="8">
        <v>45228</v>
      </c>
      <c r="O272" s="8">
        <v>45228</v>
      </c>
      <c r="P272" s="8">
        <v>45238</v>
      </c>
      <c r="Q272" s="128">
        <v>45237</v>
      </c>
      <c r="R272" s="201">
        <v>55254</v>
      </c>
      <c r="S272" s="160">
        <v>1.98</v>
      </c>
      <c r="T272" s="52">
        <v>0</v>
      </c>
      <c r="U272" s="52">
        <v>0</v>
      </c>
      <c r="V272" s="52">
        <v>0</v>
      </c>
      <c r="W272" s="2" t="str" cm="1">
        <f t="array" aca="1" ref="W272" ca="1">TRIM(SUBSTITUTE(_xlfn.ARRAYTOTEXT(IFERROR(CONCATENATE(SUMIF(INDIRECT("'"&amp;Assemblies[Assy]&amp;"'!"&amp;"C$5:C1000"), $C272, INDIRECT("'"&amp;Assemblies[Assy]&amp;"'!"&amp;"O$5:O1000")), "x",Assemblies[Assy],".",IF(SUMIF(INDIRECT("'"&amp;Assemblies[Assy]&amp;"'!"&amp;"C$5:C1000"), $C272, INDIRECT("'"&amp;Assemblies[Assy]&amp;"'!"&amp;"A$5:A1000"))=0,NA(),SUMIF(INDIRECT("'"&amp;Assemblies[Assy]&amp;"'!"&amp;"C$5:C1000"), $C272, INDIRECT("'"&amp;Assemblies[Assy]&amp;"'!"&amp;"A$5:A1000")))),"")), " ,", ""))</f>
        <v>,</v>
      </c>
      <c r="Y272" s="2"/>
    </row>
    <row r="273" spans="1:27" ht="12.75">
      <c r="A273" s="115" t="s">
        <v>2379</v>
      </c>
      <c r="B273" s="115" t="s">
        <v>54</v>
      </c>
      <c r="C273" s="2" t="str">
        <f t="shared" si="9"/>
        <v>GF12.470.05.A</v>
      </c>
      <c r="D273" s="117" t="s">
        <v>2380</v>
      </c>
      <c r="E273" s="52">
        <f t="shared" si="10"/>
        <v>2.38</v>
      </c>
      <c r="F273" s="5" t="e" cm="1">
        <f t="array" aca="1" ref="F273" ca="1">SUMPRODUCT(SUMIF(INDIRECT("'"&amp;Assemblies[Assy]&amp;"'!"&amp;"C$5:C1000"),$C273,(INDIRECT("'"&amp;Assemblies[Assy]&amp;"'!"&amp;"O$5:O1000"))))</f>
        <v>#VALUE!</v>
      </c>
      <c r="G273" s="5">
        <v>19</v>
      </c>
      <c r="I273" s="2" t="s">
        <v>1797</v>
      </c>
      <c r="J273" s="2" t="s">
        <v>1761</v>
      </c>
      <c r="K273" s="2" t="s">
        <v>1762</v>
      </c>
      <c r="L273" s="2" t="s">
        <v>1803</v>
      </c>
      <c r="M273" s="2"/>
      <c r="N273" s="8">
        <v>45228</v>
      </c>
      <c r="O273" s="8">
        <v>45228</v>
      </c>
      <c r="P273" s="8">
        <v>45238</v>
      </c>
      <c r="Q273" s="128">
        <v>45237</v>
      </c>
      <c r="R273" s="201">
        <v>55254</v>
      </c>
      <c r="S273" s="160">
        <v>2.38</v>
      </c>
      <c r="T273" s="52">
        <v>0</v>
      </c>
      <c r="U273" s="52">
        <v>0</v>
      </c>
      <c r="V273" s="52">
        <v>0</v>
      </c>
      <c r="W273" s="2" t="str" cm="1">
        <f t="array" aca="1" ref="W273" ca="1">TRIM(SUBSTITUTE(_xlfn.ARRAYTOTEXT(IFERROR(CONCATENATE(SUMIF(INDIRECT("'"&amp;Assemblies[Assy]&amp;"'!"&amp;"C$5:C1000"), $C273, INDIRECT("'"&amp;Assemblies[Assy]&amp;"'!"&amp;"O$5:O1000")), "x",Assemblies[Assy],".",IF(SUMIF(INDIRECT("'"&amp;Assemblies[Assy]&amp;"'!"&amp;"C$5:C1000"), $C273, INDIRECT("'"&amp;Assemblies[Assy]&amp;"'!"&amp;"A$5:A1000"))=0,NA(),SUMIF(INDIRECT("'"&amp;Assemblies[Assy]&amp;"'!"&amp;"C$5:C1000"), $C273, INDIRECT("'"&amp;Assemblies[Assy]&amp;"'!"&amp;"A$5:A1000")))),"")), " ,", ""))</f>
        <v>,</v>
      </c>
      <c r="Y273" s="2"/>
      <c r="AA273" s="2" t="s">
        <v>1382</v>
      </c>
    </row>
    <row r="274" spans="1:27" ht="12.75">
      <c r="A274" s="115" t="s">
        <v>2381</v>
      </c>
      <c r="B274" s="115" t="s">
        <v>56</v>
      </c>
      <c r="C274" s="2" t="str">
        <f t="shared" si="9"/>
        <v>GF12.471.01.B</v>
      </c>
      <c r="D274" s="2" t="s">
        <v>2382</v>
      </c>
      <c r="E274" s="52">
        <f t="shared" si="10"/>
        <v>0</v>
      </c>
      <c r="F274" s="5" t="e" cm="1">
        <f t="array" aca="1" ref="F274" ca="1">SUMPRODUCT(SUMIF(INDIRECT("'"&amp;Assemblies[Assy]&amp;"'!"&amp;"C$5:C1000"),$C274,(INDIRECT("'"&amp;Assemblies[Assy]&amp;"'!"&amp;"O$5:O1000"))))</f>
        <v>#VALUE!</v>
      </c>
      <c r="G274" s="5">
        <v>1</v>
      </c>
      <c r="H274" s="5">
        <v>1</v>
      </c>
      <c r="I274" s="2" t="s">
        <v>2111</v>
      </c>
      <c r="J274" s="2" t="s">
        <v>1769</v>
      </c>
      <c r="K274" s="2" t="s">
        <v>1770</v>
      </c>
      <c r="L274" s="2" t="s">
        <v>1786</v>
      </c>
      <c r="M274" s="2" t="s">
        <v>1779</v>
      </c>
      <c r="N274" s="8">
        <v>45139</v>
      </c>
      <c r="O274" s="8">
        <v>45140</v>
      </c>
      <c r="P274" s="8">
        <v>45170</v>
      </c>
      <c r="Q274" s="162">
        <v>45170</v>
      </c>
      <c r="R274" s="201">
        <v>55025</v>
      </c>
      <c r="S274" s="171">
        <v>0</v>
      </c>
      <c r="T274" s="52">
        <v>0</v>
      </c>
      <c r="U274" s="52">
        <v>0</v>
      </c>
      <c r="V274" s="52">
        <v>0</v>
      </c>
      <c r="W274" s="2" t="str" cm="1">
        <f t="array" aca="1" ref="W274" ca="1">TRIM(SUBSTITUTE(_xlfn.ARRAYTOTEXT(IFERROR(CONCATENATE(SUMIF(INDIRECT("'"&amp;Assemblies[Assy]&amp;"'!"&amp;"C$5:C1000"), $C274, INDIRECT("'"&amp;Assemblies[Assy]&amp;"'!"&amp;"O$5:O1000")), "x",Assemblies[Assy],".",IF(SUMIF(INDIRECT("'"&amp;Assemblies[Assy]&amp;"'!"&amp;"C$5:C1000"), $C274, INDIRECT("'"&amp;Assemblies[Assy]&amp;"'!"&amp;"A$5:A1000"))=0,NA(),SUMIF(INDIRECT("'"&amp;Assemblies[Assy]&amp;"'!"&amp;"C$5:C1000"), $C274, INDIRECT("'"&amp;Assemblies[Assy]&amp;"'!"&amp;"A$5:A1000")))),"")), " ,", ""))</f>
        <v>,</v>
      </c>
      <c r="X274" s="2" t="s">
        <v>1382</v>
      </c>
      <c r="Y274" s="2" t="s">
        <v>1382</v>
      </c>
      <c r="Z274" s="2" t="s">
        <v>1382</v>
      </c>
      <c r="AA274" s="2" t="s">
        <v>1382</v>
      </c>
    </row>
    <row r="275" spans="1:27" ht="12.75">
      <c r="A275" s="115" t="s">
        <v>2383</v>
      </c>
      <c r="B275" s="115" t="s">
        <v>54</v>
      </c>
      <c r="C275" s="2" t="str">
        <f t="shared" si="9"/>
        <v>GF12.471.02.A</v>
      </c>
      <c r="D275" s="2" t="s">
        <v>2384</v>
      </c>
      <c r="E275" s="52">
        <f t="shared" si="10"/>
        <v>60.1</v>
      </c>
      <c r="F275" s="5" t="e" cm="1">
        <f t="array" aca="1" ref="F275" ca="1">SUMPRODUCT(SUMIF(INDIRECT("'"&amp;Assemblies[Assy]&amp;"'!"&amp;"C$5:C1000"),$C275,(INDIRECT("'"&amp;Assemblies[Assy]&amp;"'!"&amp;"O$5:O1000"))))</f>
        <v>#VALUE!</v>
      </c>
      <c r="G275" s="5">
        <v>3</v>
      </c>
      <c r="H275" s="5">
        <v>3</v>
      </c>
      <c r="I275" s="2" t="s">
        <v>1797</v>
      </c>
      <c r="J275" s="2" t="s">
        <v>1761</v>
      </c>
      <c r="K275" s="2" t="s">
        <v>1762</v>
      </c>
      <c r="L275" s="2" t="s">
        <v>2385</v>
      </c>
      <c r="M275" s="2" t="s">
        <v>1382</v>
      </c>
      <c r="N275" s="163" t="s">
        <v>1762</v>
      </c>
      <c r="O275" s="8">
        <v>45161</v>
      </c>
      <c r="P275" s="8">
        <v>45180</v>
      </c>
      <c r="Q275" s="162">
        <v>45180</v>
      </c>
      <c r="R275" s="201" t="s">
        <v>1930</v>
      </c>
      <c r="S275" s="173">
        <v>10.1</v>
      </c>
      <c r="T275" s="52">
        <v>0</v>
      </c>
      <c r="U275" s="52">
        <v>50</v>
      </c>
      <c r="V275" s="52">
        <v>0</v>
      </c>
      <c r="W275" s="2" t="str" cm="1">
        <f t="array" aca="1" ref="W275" ca="1">TRIM(SUBSTITUTE(_xlfn.ARRAYTOTEXT(IFERROR(CONCATENATE(SUMIF(INDIRECT("'"&amp;Assemblies[Assy]&amp;"'!"&amp;"C$5:C1000"), $C275, INDIRECT("'"&amp;Assemblies[Assy]&amp;"'!"&amp;"O$5:O1000")), "x",Assemblies[Assy],".",IF(SUMIF(INDIRECT("'"&amp;Assemblies[Assy]&amp;"'!"&amp;"C$5:C1000"), $C275, INDIRECT("'"&amp;Assemblies[Assy]&amp;"'!"&amp;"A$5:A1000"))=0,NA(),SUMIF(INDIRECT("'"&amp;Assemblies[Assy]&amp;"'!"&amp;"C$5:C1000"), $C275, INDIRECT("'"&amp;Assemblies[Assy]&amp;"'!"&amp;"A$5:A1000")))),"")), " ,", ""))</f>
        <v>,</v>
      </c>
      <c r="X275" s="2" t="s">
        <v>1382</v>
      </c>
      <c r="Y275" s="2" t="s">
        <v>1382</v>
      </c>
      <c r="Z275" s="2" t="s">
        <v>1382</v>
      </c>
      <c r="AA275" s="2" t="s">
        <v>1382</v>
      </c>
    </row>
    <row r="276" spans="1:27" ht="12.75">
      <c r="A276" s="115" t="s">
        <v>2386</v>
      </c>
      <c r="B276" s="115" t="s">
        <v>54</v>
      </c>
      <c r="C276" s="2" t="str">
        <f t="shared" si="9"/>
        <v>GF12.472.01.A</v>
      </c>
      <c r="D276" s="2" t="s">
        <v>2387</v>
      </c>
      <c r="E276" s="52">
        <f t="shared" si="10"/>
        <v>0</v>
      </c>
      <c r="F276" s="5" t="e" cm="1">
        <f t="array" aca="1" ref="F276" ca="1">SUMPRODUCT(SUMIF(INDIRECT("'"&amp;Assemblies[Assy]&amp;"'!"&amp;"C$5:C1000"),$C276,(INDIRECT("'"&amp;Assemblies[Assy]&amp;"'!"&amp;"O$5:O1000"))))</f>
        <v>#VALUE!</v>
      </c>
      <c r="G276" s="5">
        <v>24</v>
      </c>
      <c r="H276" s="5">
        <v>24</v>
      </c>
      <c r="I276" s="2" t="s">
        <v>1782</v>
      </c>
      <c r="J276" s="2" t="s">
        <v>1769</v>
      </c>
      <c r="K276" s="2" t="s">
        <v>1770</v>
      </c>
      <c r="L276" s="2" t="s">
        <v>1786</v>
      </c>
      <c r="M276" s="2" t="s">
        <v>1779</v>
      </c>
      <c r="N276" s="8">
        <v>45139</v>
      </c>
      <c r="O276" s="8">
        <v>45140</v>
      </c>
      <c r="P276" s="8">
        <v>45170</v>
      </c>
      <c r="Q276" s="162">
        <v>45170</v>
      </c>
      <c r="R276" s="201">
        <v>55025</v>
      </c>
      <c r="S276" s="153">
        <v>0</v>
      </c>
      <c r="T276" s="52">
        <v>0</v>
      </c>
      <c r="U276" s="52">
        <v>0</v>
      </c>
      <c r="V276" s="52">
        <v>0</v>
      </c>
      <c r="W276" s="2" t="str" cm="1">
        <f t="array" aca="1" ref="W276" ca="1">TRIM(SUBSTITUTE(_xlfn.ARRAYTOTEXT(IFERROR(CONCATENATE(SUMIF(INDIRECT("'"&amp;Assemblies[Assy]&amp;"'!"&amp;"C$5:C1000"), $C276, INDIRECT("'"&amp;Assemblies[Assy]&amp;"'!"&amp;"O$5:O1000")), "x",Assemblies[Assy],".",IF(SUMIF(INDIRECT("'"&amp;Assemblies[Assy]&amp;"'!"&amp;"C$5:C1000"), $C276, INDIRECT("'"&amp;Assemblies[Assy]&amp;"'!"&amp;"A$5:A1000"))=0,NA(),SUMIF(INDIRECT("'"&amp;Assemblies[Assy]&amp;"'!"&amp;"C$5:C1000"), $C276, INDIRECT("'"&amp;Assemblies[Assy]&amp;"'!"&amp;"A$5:A1000")))),"")), " ,", ""))</f>
        <v>,</v>
      </c>
      <c r="X276" s="2" t="s">
        <v>1382</v>
      </c>
      <c r="Y276" s="2" t="s">
        <v>1382</v>
      </c>
      <c r="Z276" s="2" t="s">
        <v>1382</v>
      </c>
      <c r="AA276" s="2" t="s">
        <v>1382</v>
      </c>
    </row>
    <row r="277" spans="1:27" ht="12.75">
      <c r="A277" s="115" t="s">
        <v>2388</v>
      </c>
      <c r="B277" s="115" t="s">
        <v>54</v>
      </c>
      <c r="C277" s="2" t="str">
        <f t="shared" si="9"/>
        <v>GF12.473.01.A</v>
      </c>
      <c r="D277" s="117" t="s">
        <v>2389</v>
      </c>
      <c r="E277" s="52">
        <f t="shared" si="10"/>
        <v>88</v>
      </c>
      <c r="F277" s="5" t="e" cm="1">
        <f t="array" aca="1" ref="F277" ca="1">SUMPRODUCT(SUMIF(INDIRECT("'"&amp;Assemblies[Assy]&amp;"'!"&amp;"C$5:C1000"),$C277,(INDIRECT("'"&amp;Assemblies[Assy]&amp;"'!"&amp;"O$5:O1000"))))</f>
        <v>#VALUE!</v>
      </c>
      <c r="G277" s="5">
        <v>2</v>
      </c>
      <c r="H277" s="5">
        <v>2</v>
      </c>
      <c r="I277" s="2" t="s">
        <v>2088</v>
      </c>
      <c r="J277" s="2" t="s">
        <v>1761</v>
      </c>
      <c r="K277" s="2" t="s">
        <v>1762</v>
      </c>
      <c r="L277" s="2" t="s">
        <v>2390</v>
      </c>
      <c r="M277" s="2" t="s">
        <v>1779</v>
      </c>
      <c r="N277" s="8">
        <v>45160</v>
      </c>
      <c r="O277" s="8">
        <v>45160</v>
      </c>
      <c r="P277" s="8">
        <v>45163</v>
      </c>
      <c r="Q277" s="144">
        <v>45162</v>
      </c>
      <c r="R277" s="223">
        <v>55084</v>
      </c>
      <c r="S277" s="153">
        <v>88</v>
      </c>
      <c r="T277" s="52">
        <v>0</v>
      </c>
      <c r="U277" s="52">
        <v>0</v>
      </c>
      <c r="V277" s="52">
        <v>0</v>
      </c>
      <c r="W277" s="2" t="str" cm="1">
        <f t="array" aca="1" ref="W277" ca="1">TRIM(SUBSTITUTE(_xlfn.ARRAYTOTEXT(IFERROR(CONCATENATE(SUMIF(INDIRECT("'"&amp;Assemblies[Assy]&amp;"'!"&amp;"C$5:C1000"), $C277, INDIRECT("'"&amp;Assemblies[Assy]&amp;"'!"&amp;"O$5:O1000")), "x",Assemblies[Assy],".",IF(SUMIF(INDIRECT("'"&amp;Assemblies[Assy]&amp;"'!"&amp;"C$5:C1000"), $C277, INDIRECT("'"&amp;Assemblies[Assy]&amp;"'!"&amp;"A$5:A1000"))=0,NA(),SUMIF(INDIRECT("'"&amp;Assemblies[Assy]&amp;"'!"&amp;"C$5:C1000"), $C277, INDIRECT("'"&amp;Assemblies[Assy]&amp;"'!"&amp;"A$5:A1000")))),"")), " ,", ""))</f>
        <v>,</v>
      </c>
      <c r="X277" s="2" t="s">
        <v>1382</v>
      </c>
      <c r="Y277" s="2" t="s">
        <v>1382</v>
      </c>
      <c r="Z277" s="2" t="s">
        <v>1382</v>
      </c>
      <c r="AA277" s="2" t="s">
        <v>1382</v>
      </c>
    </row>
    <row r="278" spans="1:27" ht="12.75">
      <c r="A278" s="115" t="s">
        <v>2391</v>
      </c>
      <c r="B278" s="115" t="s">
        <v>54</v>
      </c>
      <c r="C278" s="2" t="str">
        <f t="shared" si="9"/>
        <v>GF12.511.01.A</v>
      </c>
      <c r="D278" s="2" t="s">
        <v>2392</v>
      </c>
      <c r="E278" s="52">
        <f t="shared" si="10"/>
        <v>243.5</v>
      </c>
      <c r="F278" s="5" t="e" cm="1">
        <f t="array" aca="1" ref="F278" ca="1">SUMPRODUCT(SUMIF(INDIRECT("'"&amp;Assemblies[Assy]&amp;"'!"&amp;"C$5:C1000"),$C278,(INDIRECT("'"&amp;Assemblies[Assy]&amp;"'!"&amp;"O$5:O1000"))))</f>
        <v>#VALUE!</v>
      </c>
      <c r="G278" s="5">
        <v>2</v>
      </c>
      <c r="H278" s="5">
        <v>2</v>
      </c>
      <c r="I278" s="2" t="s">
        <v>1782</v>
      </c>
      <c r="J278" s="2" t="s">
        <v>1769</v>
      </c>
      <c r="K278" s="2" t="s">
        <v>1770</v>
      </c>
      <c r="L278" s="2" t="s">
        <v>1783</v>
      </c>
      <c r="M278" s="2" t="s">
        <v>1779</v>
      </c>
      <c r="N278" s="8">
        <v>45142</v>
      </c>
      <c r="O278" s="8">
        <v>45146</v>
      </c>
      <c r="P278" s="8">
        <v>45170</v>
      </c>
      <c r="Q278" s="128">
        <v>45170</v>
      </c>
      <c r="R278" s="201">
        <v>55041</v>
      </c>
      <c r="S278" s="173">
        <v>243.5</v>
      </c>
      <c r="T278" s="52">
        <v>0</v>
      </c>
      <c r="U278" s="52">
        <v>0</v>
      </c>
      <c r="V278" s="52">
        <v>0</v>
      </c>
      <c r="W278" s="2" t="str" cm="1">
        <f t="array" aca="1" ref="W278" ca="1">TRIM(SUBSTITUTE(_xlfn.ARRAYTOTEXT(IFERROR(CONCATENATE(SUMIF(INDIRECT("'"&amp;Assemblies[Assy]&amp;"'!"&amp;"C$5:C1000"), $C278, INDIRECT("'"&amp;Assemblies[Assy]&amp;"'!"&amp;"O$5:O1000")), "x",Assemblies[Assy],".",IF(SUMIF(INDIRECT("'"&amp;Assemblies[Assy]&amp;"'!"&amp;"C$5:C1000"), $C278, INDIRECT("'"&amp;Assemblies[Assy]&amp;"'!"&amp;"A$5:A1000"))=0,NA(),SUMIF(INDIRECT("'"&amp;Assemblies[Assy]&amp;"'!"&amp;"C$5:C1000"), $C278, INDIRECT("'"&amp;Assemblies[Assy]&amp;"'!"&amp;"A$5:A1000")))),"")), " ,", ""))</f>
        <v>,</v>
      </c>
      <c r="X278" s="2" t="s">
        <v>1382</v>
      </c>
      <c r="Y278" s="2" t="s">
        <v>1382</v>
      </c>
      <c r="Z278" s="2" t="s">
        <v>1382</v>
      </c>
      <c r="AA278" s="2" t="s">
        <v>1382</v>
      </c>
    </row>
    <row r="279" spans="1:27" ht="12.75">
      <c r="A279" s="115" t="s">
        <v>2393</v>
      </c>
      <c r="B279" s="115" t="s">
        <v>54</v>
      </c>
      <c r="C279" s="2" t="str">
        <f t="shared" si="9"/>
        <v>GF12.511.02.A</v>
      </c>
      <c r="D279" s="2" t="s">
        <v>2394</v>
      </c>
      <c r="E279" s="52">
        <f t="shared" si="10"/>
        <v>243.5</v>
      </c>
      <c r="F279" s="5" t="e" cm="1">
        <f t="array" aca="1" ref="F279" ca="1">SUMPRODUCT(SUMIF(INDIRECT("'"&amp;Assemblies[Assy]&amp;"'!"&amp;"C$5:C1000"),$C279,(INDIRECT("'"&amp;Assemblies[Assy]&amp;"'!"&amp;"O$5:O1000"))))</f>
        <v>#VALUE!</v>
      </c>
      <c r="G279" s="5">
        <v>2</v>
      </c>
      <c r="H279" s="5">
        <v>2</v>
      </c>
      <c r="I279" s="2" t="s">
        <v>1782</v>
      </c>
      <c r="J279" s="2" t="s">
        <v>1769</v>
      </c>
      <c r="K279" s="2" t="s">
        <v>1770</v>
      </c>
      <c r="L279" s="2" t="s">
        <v>1783</v>
      </c>
      <c r="M279" s="2" t="s">
        <v>1779</v>
      </c>
      <c r="N279" s="8">
        <v>45142</v>
      </c>
      <c r="O279" s="8">
        <v>45146</v>
      </c>
      <c r="P279" s="8">
        <v>45170</v>
      </c>
      <c r="Q279" s="128">
        <v>45170</v>
      </c>
      <c r="R279" s="201">
        <v>55041</v>
      </c>
      <c r="S279" s="173">
        <v>243.5</v>
      </c>
      <c r="T279" s="52">
        <v>0</v>
      </c>
      <c r="U279" s="52">
        <v>0</v>
      </c>
      <c r="V279" s="52">
        <v>0</v>
      </c>
      <c r="W279" s="2" t="str" cm="1">
        <f t="array" aca="1" ref="W279" ca="1">TRIM(SUBSTITUTE(_xlfn.ARRAYTOTEXT(IFERROR(CONCATENATE(SUMIF(INDIRECT("'"&amp;Assemblies[Assy]&amp;"'!"&amp;"C$5:C1000"), $C279, INDIRECT("'"&amp;Assemblies[Assy]&amp;"'!"&amp;"O$5:O1000")), "x",Assemblies[Assy],".",IF(SUMIF(INDIRECT("'"&amp;Assemblies[Assy]&amp;"'!"&amp;"C$5:C1000"), $C279, INDIRECT("'"&amp;Assemblies[Assy]&amp;"'!"&amp;"A$5:A1000"))=0,NA(),SUMIF(INDIRECT("'"&amp;Assemblies[Assy]&amp;"'!"&amp;"C$5:C1000"), $C279, INDIRECT("'"&amp;Assemblies[Assy]&amp;"'!"&amp;"A$5:A1000")))),"")), " ,", ""))</f>
        <v>,</v>
      </c>
      <c r="X279" s="2" t="s">
        <v>1382</v>
      </c>
      <c r="Y279" s="2" t="s">
        <v>1382</v>
      </c>
      <c r="Z279" s="2" t="s">
        <v>1382</v>
      </c>
      <c r="AA279" s="2" t="s">
        <v>1382</v>
      </c>
    </row>
    <row r="280" spans="1:27" ht="12.75">
      <c r="A280" s="115" t="s">
        <v>2395</v>
      </c>
      <c r="B280" s="115" t="s">
        <v>54</v>
      </c>
      <c r="C280" s="2" t="str">
        <f t="shared" si="9"/>
        <v>GF12.511.03.A</v>
      </c>
      <c r="D280" s="2" t="s">
        <v>2396</v>
      </c>
      <c r="E280" s="52">
        <f t="shared" si="10"/>
        <v>261</v>
      </c>
      <c r="F280" s="5" t="e" cm="1">
        <f t="array" aca="1" ref="F280" ca="1">SUMPRODUCT(SUMIF(INDIRECT("'"&amp;Assemblies[Assy]&amp;"'!"&amp;"C$5:C1000"),$C280,(INDIRECT("'"&amp;Assemblies[Assy]&amp;"'!"&amp;"O$5:O1000"))))</f>
        <v>#VALUE!</v>
      </c>
      <c r="G280" s="5">
        <v>2</v>
      </c>
      <c r="H280" s="5">
        <v>2</v>
      </c>
      <c r="I280" s="2" t="s">
        <v>1782</v>
      </c>
      <c r="J280" s="2" t="s">
        <v>1769</v>
      </c>
      <c r="K280" s="2" t="s">
        <v>1770</v>
      </c>
      <c r="L280" s="2" t="s">
        <v>1783</v>
      </c>
      <c r="M280" s="2" t="s">
        <v>1779</v>
      </c>
      <c r="N280" s="8">
        <v>45142</v>
      </c>
      <c r="O280" s="8">
        <v>45146</v>
      </c>
      <c r="P280" s="8">
        <v>45170</v>
      </c>
      <c r="Q280" s="128">
        <v>45170</v>
      </c>
      <c r="R280" s="201">
        <v>55041</v>
      </c>
      <c r="S280" s="173">
        <v>261</v>
      </c>
      <c r="T280" s="52">
        <v>0</v>
      </c>
      <c r="U280" s="52">
        <v>0</v>
      </c>
      <c r="V280" s="52">
        <v>0</v>
      </c>
      <c r="W280" s="2" t="str" cm="1">
        <f t="array" aca="1" ref="W280" ca="1">TRIM(SUBSTITUTE(_xlfn.ARRAYTOTEXT(IFERROR(CONCATENATE(SUMIF(INDIRECT("'"&amp;Assemblies[Assy]&amp;"'!"&amp;"C$5:C1000"), $C280, INDIRECT("'"&amp;Assemblies[Assy]&amp;"'!"&amp;"O$5:O1000")), "x",Assemblies[Assy],".",IF(SUMIF(INDIRECT("'"&amp;Assemblies[Assy]&amp;"'!"&amp;"C$5:C1000"), $C280, INDIRECT("'"&amp;Assemblies[Assy]&amp;"'!"&amp;"A$5:A1000"))=0,NA(),SUMIF(INDIRECT("'"&amp;Assemblies[Assy]&amp;"'!"&amp;"C$5:C1000"), $C280, INDIRECT("'"&amp;Assemblies[Assy]&amp;"'!"&amp;"A$5:A1000")))),"")), " ,", ""))</f>
        <v>,</v>
      </c>
      <c r="X280" s="2" t="s">
        <v>1382</v>
      </c>
      <c r="Y280" s="2" t="s">
        <v>1382</v>
      </c>
      <c r="Z280" s="2" t="s">
        <v>1382</v>
      </c>
      <c r="AA280" s="2" t="s">
        <v>1382</v>
      </c>
    </row>
    <row r="281" spans="1:27" ht="12.75">
      <c r="A281" s="115" t="s">
        <v>2397</v>
      </c>
      <c r="B281" s="115" t="s">
        <v>54</v>
      </c>
      <c r="C281" s="2" t="str">
        <f t="shared" si="9"/>
        <v>GF12.513.01.A</v>
      </c>
      <c r="D281" s="2" t="s">
        <v>2398</v>
      </c>
      <c r="E281" s="52">
        <f t="shared" si="10"/>
        <v>397.88</v>
      </c>
      <c r="F281" s="5" t="e" cm="1">
        <f t="array" aca="1" ref="F281" ca="1">SUMPRODUCT(SUMIF(INDIRECT("'"&amp;Assemblies[Assy]&amp;"'!"&amp;"C$5:C1000"),$C281,(INDIRECT("'"&amp;Assemblies[Assy]&amp;"'!"&amp;"O$5:O1000"))))</f>
        <v>#VALUE!</v>
      </c>
      <c r="G281" s="5">
        <v>1</v>
      </c>
      <c r="H281" s="5">
        <v>1</v>
      </c>
      <c r="I281" s="2" t="s">
        <v>2111</v>
      </c>
      <c r="J281" s="2" t="s">
        <v>1792</v>
      </c>
      <c r="K281" s="2" t="s">
        <v>1770</v>
      </c>
      <c r="L281" s="2" t="s">
        <v>1803</v>
      </c>
      <c r="M281" s="2" t="s">
        <v>1779</v>
      </c>
      <c r="N281" s="8">
        <v>45084</v>
      </c>
      <c r="O281" s="8">
        <v>45127</v>
      </c>
      <c r="P281" s="8">
        <v>45156</v>
      </c>
      <c r="Q281" s="144">
        <v>45156</v>
      </c>
      <c r="R281" s="201">
        <v>55003</v>
      </c>
      <c r="S281" s="153">
        <v>397.88</v>
      </c>
      <c r="T281" s="52">
        <v>0</v>
      </c>
      <c r="U281" s="52">
        <v>0</v>
      </c>
      <c r="V281" s="52">
        <v>0</v>
      </c>
      <c r="W281" s="2" t="str" cm="1">
        <f t="array" aca="1" ref="W281" ca="1">TRIM(SUBSTITUTE(_xlfn.ARRAYTOTEXT(IFERROR(CONCATENATE(SUMIF(INDIRECT("'"&amp;Assemblies[Assy]&amp;"'!"&amp;"C$5:C1000"), $C281, INDIRECT("'"&amp;Assemblies[Assy]&amp;"'!"&amp;"O$5:O1000")), "x",Assemblies[Assy],".",IF(SUMIF(INDIRECT("'"&amp;Assemblies[Assy]&amp;"'!"&amp;"C$5:C1000"), $C281, INDIRECT("'"&amp;Assemblies[Assy]&amp;"'!"&amp;"A$5:A1000"))=0,NA(),SUMIF(INDIRECT("'"&amp;Assemblies[Assy]&amp;"'!"&amp;"C$5:C1000"), $C281, INDIRECT("'"&amp;Assemblies[Assy]&amp;"'!"&amp;"A$5:A1000")))),"")), " ,", ""))</f>
        <v>,</v>
      </c>
      <c r="X281" s="2" t="s">
        <v>1773</v>
      </c>
      <c r="Y281" s="2" t="s">
        <v>2336</v>
      </c>
      <c r="Z281" s="2" t="s">
        <v>1382</v>
      </c>
      <c r="AA281" s="2" t="s">
        <v>1382</v>
      </c>
    </row>
    <row r="282" spans="1:27" ht="12.75">
      <c r="A282" s="115" t="s">
        <v>2399</v>
      </c>
      <c r="B282" s="115" t="s">
        <v>54</v>
      </c>
      <c r="C282" s="2" t="str">
        <f t="shared" si="9"/>
        <v>GF12.513.02.A</v>
      </c>
      <c r="D282" s="2" t="s">
        <v>2400</v>
      </c>
      <c r="E282" s="52">
        <f t="shared" si="10"/>
        <v>266.51</v>
      </c>
      <c r="F282" s="5" t="e" cm="1">
        <f t="array" aca="1" ref="F282" ca="1">SUMPRODUCT(SUMIF(INDIRECT("'"&amp;Assemblies[Assy]&amp;"'!"&amp;"C$5:C1000"),$C282,(INDIRECT("'"&amp;Assemblies[Assy]&amp;"'!"&amp;"O$5:O1000"))))</f>
        <v>#VALUE!</v>
      </c>
      <c r="G282" s="5">
        <v>2</v>
      </c>
      <c r="H282" s="5">
        <v>2</v>
      </c>
      <c r="I282" s="2" t="s">
        <v>2111</v>
      </c>
      <c r="J282" s="2" t="s">
        <v>1792</v>
      </c>
      <c r="K282" s="2" t="s">
        <v>1770</v>
      </c>
      <c r="L282" s="2" t="s">
        <v>1803</v>
      </c>
      <c r="M282" s="2" t="s">
        <v>2339</v>
      </c>
      <c r="N282" s="8">
        <v>45084</v>
      </c>
      <c r="O282" s="8">
        <v>45127</v>
      </c>
      <c r="P282" s="8">
        <v>45156</v>
      </c>
      <c r="Q282" s="144">
        <v>45156</v>
      </c>
      <c r="R282" s="201">
        <v>55003</v>
      </c>
      <c r="S282" s="153">
        <v>266.51</v>
      </c>
      <c r="T282" s="52">
        <v>0</v>
      </c>
      <c r="U282" s="52">
        <v>0</v>
      </c>
      <c r="V282" s="52">
        <v>0</v>
      </c>
      <c r="W282" s="2" t="str" cm="1">
        <f t="array" aca="1" ref="W282" ca="1">TRIM(SUBSTITUTE(_xlfn.ARRAYTOTEXT(IFERROR(CONCATENATE(SUMIF(INDIRECT("'"&amp;Assemblies[Assy]&amp;"'!"&amp;"C$5:C1000"), $C282, INDIRECT("'"&amp;Assemblies[Assy]&amp;"'!"&amp;"O$5:O1000")), "x",Assemblies[Assy],".",IF(SUMIF(INDIRECT("'"&amp;Assemblies[Assy]&amp;"'!"&amp;"C$5:C1000"), $C282, INDIRECT("'"&amp;Assemblies[Assy]&amp;"'!"&amp;"A$5:A1000"))=0,NA(),SUMIF(INDIRECT("'"&amp;Assemblies[Assy]&amp;"'!"&amp;"C$5:C1000"), $C282, INDIRECT("'"&amp;Assemblies[Assy]&amp;"'!"&amp;"A$5:A1000")))),"")), " ,", ""))</f>
        <v>,</v>
      </c>
      <c r="X282" s="2" t="s">
        <v>1773</v>
      </c>
      <c r="Y282" s="2" t="s">
        <v>2336</v>
      </c>
      <c r="Z282" s="2" t="s">
        <v>1382</v>
      </c>
      <c r="AA282" s="2" t="s">
        <v>1382</v>
      </c>
    </row>
    <row r="283" spans="1:27" ht="12.75">
      <c r="A283" s="115" t="s">
        <v>2401</v>
      </c>
      <c r="B283" s="115" t="s">
        <v>54</v>
      </c>
      <c r="C283" s="2" t="str">
        <f t="shared" si="9"/>
        <v>GF12.513.03.A</v>
      </c>
      <c r="D283" s="2" t="s">
        <v>2402</v>
      </c>
      <c r="E283" s="52">
        <f t="shared" si="10"/>
        <v>395.2</v>
      </c>
      <c r="F283" s="5" t="e" cm="1">
        <f t="array" aca="1" ref="F283" ca="1">SUMPRODUCT(SUMIF(INDIRECT("'"&amp;Assemblies[Assy]&amp;"'!"&amp;"C$5:C1000"),$C283,(INDIRECT("'"&amp;Assemblies[Assy]&amp;"'!"&amp;"O$5:O1000"))))</f>
        <v>#VALUE!</v>
      </c>
      <c r="G283" s="5">
        <v>2</v>
      </c>
      <c r="H283" s="5">
        <v>2</v>
      </c>
      <c r="I283" s="2" t="s">
        <v>2111</v>
      </c>
      <c r="J283" s="2" t="s">
        <v>1792</v>
      </c>
      <c r="K283" s="2" t="s">
        <v>1770</v>
      </c>
      <c r="L283" s="2" t="s">
        <v>1803</v>
      </c>
      <c r="M283" s="2" t="s">
        <v>1779</v>
      </c>
      <c r="N283" s="8">
        <v>45084</v>
      </c>
      <c r="O283" s="8">
        <v>45127</v>
      </c>
      <c r="P283" s="8">
        <v>45156</v>
      </c>
      <c r="Q283" s="162">
        <v>45156</v>
      </c>
      <c r="R283" s="201">
        <v>55003</v>
      </c>
      <c r="S283" s="153">
        <v>395.2</v>
      </c>
      <c r="T283" s="52">
        <v>0</v>
      </c>
      <c r="U283" s="52">
        <v>0</v>
      </c>
      <c r="V283" s="52">
        <v>0</v>
      </c>
      <c r="W283" s="2" t="str" cm="1">
        <f t="array" aca="1" ref="W283" ca="1">TRIM(SUBSTITUTE(_xlfn.ARRAYTOTEXT(IFERROR(CONCATENATE(SUMIF(INDIRECT("'"&amp;Assemblies[Assy]&amp;"'!"&amp;"C$5:C1000"), $C283, INDIRECT("'"&amp;Assemblies[Assy]&amp;"'!"&amp;"O$5:O1000")), "x",Assemblies[Assy],".",IF(SUMIF(INDIRECT("'"&amp;Assemblies[Assy]&amp;"'!"&amp;"C$5:C1000"), $C283, INDIRECT("'"&amp;Assemblies[Assy]&amp;"'!"&amp;"A$5:A1000"))=0,NA(),SUMIF(INDIRECT("'"&amp;Assemblies[Assy]&amp;"'!"&amp;"C$5:C1000"), $C283, INDIRECT("'"&amp;Assemblies[Assy]&amp;"'!"&amp;"A$5:A1000")))),"")), " ,", ""))</f>
        <v>,</v>
      </c>
      <c r="X283" s="2" t="s">
        <v>1773</v>
      </c>
      <c r="Y283" s="2" t="s">
        <v>2336</v>
      </c>
      <c r="Z283" s="2" t="s">
        <v>1382</v>
      </c>
      <c r="AA283" s="2" t="s">
        <v>1382</v>
      </c>
    </row>
    <row r="284" spans="1:27">
      <c r="A284" s="115" t="s">
        <v>2403</v>
      </c>
      <c r="B284" s="115" t="s">
        <v>54</v>
      </c>
      <c r="C284" s="2" t="str">
        <f t="shared" si="9"/>
        <v>GF12.513.04.A</v>
      </c>
      <c r="D284" s="2" t="s">
        <v>2404</v>
      </c>
      <c r="E284" s="52">
        <f t="shared" si="10"/>
        <v>830.63</v>
      </c>
      <c r="F284" s="5" t="e" cm="1">
        <f t="array" aca="1" ref="F284" ca="1">SUMPRODUCT(SUMIF(INDIRECT("'"&amp;Assemblies[Assy]&amp;"'!"&amp;"C$5:C1000"),$C284,(INDIRECT("'"&amp;Assemblies[Assy]&amp;"'!"&amp;"O$5:O1000"))))</f>
        <v>#VALUE!</v>
      </c>
      <c r="G284" s="5">
        <v>2</v>
      </c>
      <c r="H284" s="5">
        <v>2</v>
      </c>
      <c r="I284" s="2" t="s">
        <v>2344</v>
      </c>
      <c r="J284" s="2" t="s">
        <v>1777</v>
      </c>
      <c r="K284" s="2" t="s">
        <v>1897</v>
      </c>
      <c r="L284" s="2" t="s">
        <v>1803</v>
      </c>
      <c r="M284" s="2" t="s">
        <v>1779</v>
      </c>
      <c r="N284" s="8">
        <v>45084</v>
      </c>
      <c r="O284" s="8">
        <v>45149</v>
      </c>
      <c r="P284" s="8">
        <v>45177</v>
      </c>
      <c r="Q284" s="130">
        <v>45177</v>
      </c>
      <c r="R284" s="201">
        <v>55053</v>
      </c>
      <c r="S284" s="173">
        <v>830.63</v>
      </c>
      <c r="T284" s="52">
        <v>0</v>
      </c>
      <c r="U284" s="52">
        <v>0</v>
      </c>
      <c r="V284" s="52">
        <v>0</v>
      </c>
      <c r="W284" s="2" t="str" cm="1">
        <f t="array" aca="1" ref="W284" ca="1">TRIM(SUBSTITUTE(_xlfn.ARRAYTOTEXT(IFERROR(CONCATENATE(SUMIF(INDIRECT("'"&amp;Assemblies[Assy]&amp;"'!"&amp;"C$5:C1000"), $C284, INDIRECT("'"&amp;Assemblies[Assy]&amp;"'!"&amp;"O$5:O1000")), "x",Assemblies[Assy],".",IF(SUMIF(INDIRECT("'"&amp;Assemblies[Assy]&amp;"'!"&amp;"C$5:C1000"), $C284, INDIRECT("'"&amp;Assemblies[Assy]&amp;"'!"&amp;"A$5:A1000"))=0,NA(),SUMIF(INDIRECT("'"&amp;Assemblies[Assy]&amp;"'!"&amp;"C$5:C1000"), $C284, INDIRECT("'"&amp;Assemblies[Assy]&amp;"'!"&amp;"A$5:A1000")))),"")), " ,", ""))</f>
        <v>,</v>
      </c>
      <c r="X284" s="2" t="s">
        <v>1382</v>
      </c>
      <c r="Y284" s="2" t="s">
        <v>2345</v>
      </c>
      <c r="Z284" s="187" t="s">
        <v>2346</v>
      </c>
      <c r="AA284" s="2" t="s">
        <v>1382</v>
      </c>
    </row>
    <row r="285" spans="1:27" ht="12.75">
      <c r="A285" s="115" t="s">
        <v>2405</v>
      </c>
      <c r="B285" s="115" t="s">
        <v>54</v>
      </c>
      <c r="C285" s="161" t="str">
        <f t="shared" si="9"/>
        <v>GF12.513.05.A</v>
      </c>
      <c r="D285" s="161" t="s">
        <v>2406</v>
      </c>
      <c r="E285" s="52">
        <f t="shared" si="10"/>
        <v>0</v>
      </c>
      <c r="F285" s="5" t="e" cm="1">
        <f t="array" aca="1" ref="F285" ca="1">SUMPRODUCT(SUMIF(INDIRECT("'"&amp;Assemblies[Assy]&amp;"'!"&amp;"C$5:C1000"),$C285,(INDIRECT("'"&amp;Assemblies[Assy]&amp;"'!"&amp;"O$5:O1000"))))</f>
        <v>#VALUE!</v>
      </c>
      <c r="G285" s="5">
        <v>2</v>
      </c>
      <c r="H285" s="5">
        <v>2</v>
      </c>
      <c r="I285" s="2" t="s">
        <v>2093</v>
      </c>
      <c r="J285" s="2" t="s">
        <v>1761</v>
      </c>
      <c r="K285" s="2" t="s">
        <v>1762</v>
      </c>
      <c r="L285" s="2" t="s">
        <v>1812</v>
      </c>
      <c r="M285" s="2" t="s">
        <v>1779</v>
      </c>
      <c r="N285" s="163" t="s">
        <v>1762</v>
      </c>
      <c r="O285" s="163" t="s">
        <v>1762</v>
      </c>
      <c r="P285" s="163" t="s">
        <v>1762</v>
      </c>
      <c r="Q285" s="163" t="s">
        <v>1762</v>
      </c>
      <c r="R285" s="222" t="s">
        <v>1762</v>
      </c>
      <c r="S285" s="171">
        <v>0</v>
      </c>
      <c r="T285" s="52">
        <v>0</v>
      </c>
      <c r="U285" s="52">
        <v>0</v>
      </c>
      <c r="V285" s="52">
        <v>0</v>
      </c>
      <c r="W285" s="2" t="str" cm="1">
        <f t="array" aca="1" ref="W285" ca="1">TRIM(SUBSTITUTE(_xlfn.ARRAYTOTEXT(IFERROR(CONCATENATE(SUMIF(INDIRECT("'"&amp;Assemblies[Assy]&amp;"'!"&amp;"C$5:C1000"), $C285, INDIRECT("'"&amp;Assemblies[Assy]&amp;"'!"&amp;"O$5:O1000")), "x",Assemblies[Assy],".",IF(SUMIF(INDIRECT("'"&amp;Assemblies[Assy]&amp;"'!"&amp;"C$5:C1000"), $C285, INDIRECT("'"&amp;Assemblies[Assy]&amp;"'!"&amp;"A$5:A1000"))=0,NA(),SUMIF(INDIRECT("'"&amp;Assemblies[Assy]&amp;"'!"&amp;"C$5:C1000"), $C285, INDIRECT("'"&amp;Assemblies[Assy]&amp;"'!"&amp;"A$5:A1000")))),"")), " ,", ""))</f>
        <v>,</v>
      </c>
      <c r="X285" s="2" t="s">
        <v>1382</v>
      </c>
      <c r="Y285" s="2" t="s">
        <v>1382</v>
      </c>
      <c r="Z285" s="2" t="s">
        <v>1382</v>
      </c>
      <c r="AA285" s="2" t="s">
        <v>1382</v>
      </c>
    </row>
    <row r="286" spans="1:27" ht="12.75">
      <c r="A286" s="115" t="s">
        <v>2407</v>
      </c>
      <c r="B286" s="115" t="s">
        <v>54</v>
      </c>
      <c r="C286" s="2" t="str">
        <f t="shared" si="9"/>
        <v>GF12.514.01.A</v>
      </c>
      <c r="D286" s="2" t="s">
        <v>2408</v>
      </c>
      <c r="E286" s="52">
        <f t="shared" si="10"/>
        <v>33</v>
      </c>
      <c r="F286" s="5" t="e" cm="1">
        <f t="array" aca="1" ref="F286" ca="1">SUMPRODUCT(SUMIF(INDIRECT("'"&amp;Assemblies[Assy]&amp;"'!"&amp;"C$5:C1000"),$C286,(INDIRECT("'"&amp;Assemblies[Assy]&amp;"'!"&amp;"O$5:O1000"))))</f>
        <v>#VALUE!</v>
      </c>
      <c r="G286" s="5">
        <v>2</v>
      </c>
      <c r="H286" s="5">
        <v>2</v>
      </c>
      <c r="I286" s="2" t="s">
        <v>2088</v>
      </c>
      <c r="J286" s="2" t="s">
        <v>1761</v>
      </c>
      <c r="K286" s="2" t="s">
        <v>1762</v>
      </c>
      <c r="L286" s="2" t="s">
        <v>2390</v>
      </c>
      <c r="M286" s="8" t="s">
        <v>1779</v>
      </c>
      <c r="N286" s="8">
        <v>45160</v>
      </c>
      <c r="O286" s="8">
        <v>45160</v>
      </c>
      <c r="P286" s="8">
        <v>45163</v>
      </c>
      <c r="Q286" s="144">
        <v>45162</v>
      </c>
      <c r="R286" s="223">
        <v>55084</v>
      </c>
      <c r="S286" s="153">
        <v>33</v>
      </c>
      <c r="T286" s="52">
        <v>0</v>
      </c>
      <c r="U286" s="52">
        <v>0</v>
      </c>
      <c r="V286" s="52">
        <v>0</v>
      </c>
      <c r="W286" s="2" t="str" cm="1">
        <f t="array" aca="1" ref="W286" ca="1">TRIM(SUBSTITUTE(_xlfn.ARRAYTOTEXT(IFERROR(CONCATENATE(SUMIF(INDIRECT("'"&amp;Assemblies[Assy]&amp;"'!"&amp;"C$5:C1000"), $C286, INDIRECT("'"&amp;Assemblies[Assy]&amp;"'!"&amp;"O$5:O1000")), "x",Assemblies[Assy],".",IF(SUMIF(INDIRECT("'"&amp;Assemblies[Assy]&amp;"'!"&amp;"C$5:C1000"), $C286, INDIRECT("'"&amp;Assemblies[Assy]&amp;"'!"&amp;"A$5:A1000"))=0,NA(),SUMIF(INDIRECT("'"&amp;Assemblies[Assy]&amp;"'!"&amp;"C$5:C1000"), $C286, INDIRECT("'"&amp;Assemblies[Assy]&amp;"'!"&amp;"A$5:A1000")))),"")), " ,", ""))</f>
        <v>,</v>
      </c>
      <c r="X286" s="2" t="s">
        <v>1382</v>
      </c>
      <c r="Y286" s="2" t="s">
        <v>1382</v>
      </c>
      <c r="Z286" s="2" t="s">
        <v>1382</v>
      </c>
      <c r="AA286" s="2" t="s">
        <v>1382</v>
      </c>
    </row>
    <row r="287" spans="1:27" ht="12.75">
      <c r="A287" s="115" t="s">
        <v>2409</v>
      </c>
      <c r="B287" s="115" t="s">
        <v>54</v>
      </c>
      <c r="C287" s="2" t="str">
        <f t="shared" si="9"/>
        <v>GF12.515.01.A</v>
      </c>
      <c r="D287" s="2" t="s">
        <v>2410</v>
      </c>
      <c r="E287" s="52">
        <f t="shared" si="10"/>
        <v>33</v>
      </c>
      <c r="F287" s="5" t="e" cm="1">
        <f t="array" aca="1" ref="F287" ca="1">SUMPRODUCT(SUMIF(INDIRECT("'"&amp;Assemblies[Assy]&amp;"'!"&amp;"C$5:C1000"),$C287,(INDIRECT("'"&amp;Assemblies[Assy]&amp;"'!"&amp;"O$5:O1000"))))</f>
        <v>#VALUE!</v>
      </c>
      <c r="G287" s="5">
        <v>2</v>
      </c>
      <c r="H287" s="5">
        <v>2</v>
      </c>
      <c r="I287" s="2" t="s">
        <v>2088</v>
      </c>
      <c r="J287" s="2" t="s">
        <v>1761</v>
      </c>
      <c r="K287" s="2" t="s">
        <v>1762</v>
      </c>
      <c r="L287" s="2" t="s">
        <v>2390</v>
      </c>
      <c r="M287" s="8" t="s">
        <v>1779</v>
      </c>
      <c r="N287" s="8">
        <v>45160</v>
      </c>
      <c r="O287" s="8">
        <v>45160</v>
      </c>
      <c r="P287" s="8">
        <v>45163</v>
      </c>
      <c r="Q287" s="144">
        <v>45162</v>
      </c>
      <c r="R287" s="223">
        <v>55084</v>
      </c>
      <c r="S287" s="153">
        <v>33</v>
      </c>
      <c r="T287" s="52">
        <v>0</v>
      </c>
      <c r="U287" s="52">
        <v>0</v>
      </c>
      <c r="V287" s="52">
        <v>0</v>
      </c>
      <c r="W287" s="2" t="str" cm="1">
        <f t="array" aca="1" ref="W287" ca="1">TRIM(SUBSTITUTE(_xlfn.ARRAYTOTEXT(IFERROR(CONCATENATE(SUMIF(INDIRECT("'"&amp;Assemblies[Assy]&amp;"'!"&amp;"C$5:C1000"), $C287, INDIRECT("'"&amp;Assemblies[Assy]&amp;"'!"&amp;"O$5:O1000")), "x",Assemblies[Assy],".",IF(SUMIF(INDIRECT("'"&amp;Assemblies[Assy]&amp;"'!"&amp;"C$5:C1000"), $C287, INDIRECT("'"&amp;Assemblies[Assy]&amp;"'!"&amp;"A$5:A1000"))=0,NA(),SUMIF(INDIRECT("'"&amp;Assemblies[Assy]&amp;"'!"&amp;"C$5:C1000"), $C287, INDIRECT("'"&amp;Assemblies[Assy]&amp;"'!"&amp;"A$5:A1000")))),"")), " ,", ""))</f>
        <v>,</v>
      </c>
      <c r="X287" s="2" t="s">
        <v>1382</v>
      </c>
      <c r="Y287" s="2" t="s">
        <v>1382</v>
      </c>
      <c r="Z287" s="2" t="s">
        <v>1382</v>
      </c>
      <c r="AA287" s="2" t="s">
        <v>1382</v>
      </c>
    </row>
    <row r="288" spans="1:27" ht="12.75">
      <c r="A288" s="115" t="s">
        <v>2411</v>
      </c>
      <c r="B288" s="115" t="s">
        <v>54</v>
      </c>
      <c r="C288" s="2" t="str">
        <f t="shared" si="9"/>
        <v>GF12.516.01.A</v>
      </c>
      <c r="D288" s="2" t="s">
        <v>2412</v>
      </c>
      <c r="E288" s="52">
        <f t="shared" si="10"/>
        <v>0</v>
      </c>
      <c r="F288" s="5" t="e" cm="1">
        <f t="array" aca="1" ref="F288" ca="1">SUMPRODUCT(SUMIF(INDIRECT("'"&amp;Assemblies[Assy]&amp;"'!"&amp;"C$5:C1000"),$C288,(INDIRECT("'"&amp;Assemblies[Assy]&amp;"'!"&amp;"O$5:O1000"))))</f>
        <v>#VALUE!</v>
      </c>
      <c r="G288" s="5">
        <v>0</v>
      </c>
      <c r="I288" s="2" t="s">
        <v>1797</v>
      </c>
      <c r="J288" s="2" t="s">
        <v>1761</v>
      </c>
      <c r="K288" s="2" t="s">
        <v>1762</v>
      </c>
      <c r="L288" s="2" t="s">
        <v>2016</v>
      </c>
      <c r="M288" s="2"/>
      <c r="N288" s="163" t="s">
        <v>1762</v>
      </c>
      <c r="O288" s="163" t="s">
        <v>1762</v>
      </c>
      <c r="P288" s="163" t="s">
        <v>1762</v>
      </c>
      <c r="Q288" s="163" t="s">
        <v>1762</v>
      </c>
      <c r="R288" s="222" t="s">
        <v>1762</v>
      </c>
      <c r="S288" s="171"/>
      <c r="T288" s="52"/>
      <c r="V288" s="52"/>
      <c r="W288" s="2" t="str" cm="1">
        <f t="array" aca="1" ref="W288" ca="1">TRIM(SUBSTITUTE(_xlfn.ARRAYTOTEXT(IFERROR(CONCATENATE(SUMIF(INDIRECT("'"&amp;Assemblies[Assy]&amp;"'!"&amp;"C$5:C1000"), $C288, INDIRECT("'"&amp;Assemblies[Assy]&amp;"'!"&amp;"O$5:O1000")), "x",Assemblies[Assy],".",IF(SUMIF(INDIRECT("'"&amp;Assemblies[Assy]&amp;"'!"&amp;"C$5:C1000"), $C288, INDIRECT("'"&amp;Assemblies[Assy]&amp;"'!"&amp;"A$5:A1000"))=0,NA(),SUMIF(INDIRECT("'"&amp;Assemblies[Assy]&amp;"'!"&amp;"C$5:C1000"), $C288, INDIRECT("'"&amp;Assemblies[Assy]&amp;"'!"&amp;"A$5:A1000")))),"")), " ,", ""))</f>
        <v>,</v>
      </c>
      <c r="Y288" s="2"/>
      <c r="AA288" s="2" t="s">
        <v>1382</v>
      </c>
    </row>
    <row r="289" spans="1:27" ht="12.75">
      <c r="A289" s="115" t="s">
        <v>2413</v>
      </c>
      <c r="B289" s="115" t="s">
        <v>56</v>
      </c>
      <c r="C289" s="2" t="str">
        <f t="shared" si="9"/>
        <v>GF12.522.01.B</v>
      </c>
      <c r="D289" s="2" t="s">
        <v>2414</v>
      </c>
      <c r="E289" s="52">
        <f t="shared" si="10"/>
        <v>73.400000000000006</v>
      </c>
      <c r="F289" s="5" t="e" cm="1">
        <f t="array" aca="1" ref="F289" ca="1">SUMPRODUCT(SUMIF(INDIRECT("'"&amp;Assemblies[Assy]&amp;"'!"&amp;"C$5:C1000"),$C289,(INDIRECT("'"&amp;Assemblies[Assy]&amp;"'!"&amp;"O$5:O1000"))))</f>
        <v>#VALUE!</v>
      </c>
      <c r="G289" s="5">
        <v>2</v>
      </c>
      <c r="H289" s="5">
        <v>2</v>
      </c>
      <c r="I289" s="2" t="s">
        <v>1797</v>
      </c>
      <c r="J289" s="2" t="s">
        <v>1761</v>
      </c>
      <c r="K289" s="2" t="s">
        <v>1762</v>
      </c>
      <c r="L289" s="2" t="s">
        <v>1798</v>
      </c>
      <c r="M289" s="2" t="s">
        <v>1779</v>
      </c>
      <c r="N289" s="8" t="s">
        <v>1762</v>
      </c>
      <c r="O289" s="8" t="s">
        <v>1762</v>
      </c>
      <c r="P289" s="8" t="s">
        <v>1762</v>
      </c>
      <c r="Q289" s="8" t="s">
        <v>1762</v>
      </c>
      <c r="R289" s="201">
        <v>55018</v>
      </c>
      <c r="S289" s="173">
        <v>73.400000000000006</v>
      </c>
      <c r="T289" s="52">
        <v>0</v>
      </c>
      <c r="U289" s="52">
        <v>0</v>
      </c>
      <c r="V289" s="52">
        <v>0</v>
      </c>
      <c r="W289" s="2" t="str" cm="1">
        <f t="array" aca="1" ref="W289" ca="1">TRIM(SUBSTITUTE(_xlfn.ARRAYTOTEXT(IFERROR(CONCATENATE(SUMIF(INDIRECT("'"&amp;Assemblies[Assy]&amp;"'!"&amp;"C$5:C1000"), $C289, INDIRECT("'"&amp;Assemblies[Assy]&amp;"'!"&amp;"O$5:O1000")), "x",Assemblies[Assy],".",IF(SUMIF(INDIRECT("'"&amp;Assemblies[Assy]&amp;"'!"&amp;"C$5:C1000"), $C289, INDIRECT("'"&amp;Assemblies[Assy]&amp;"'!"&amp;"A$5:A1000"))=0,NA(),SUMIF(INDIRECT("'"&amp;Assemblies[Assy]&amp;"'!"&amp;"C$5:C1000"), $C289, INDIRECT("'"&amp;Assemblies[Assy]&amp;"'!"&amp;"A$5:A1000")))),"")), " ,", ""))</f>
        <v>,</v>
      </c>
      <c r="X289" s="2" t="s">
        <v>1382</v>
      </c>
      <c r="Y289" s="2" t="s">
        <v>1382</v>
      </c>
      <c r="Z289" s="2" t="s">
        <v>1382</v>
      </c>
      <c r="AA289" s="2" t="s">
        <v>1382</v>
      </c>
    </row>
    <row r="290" spans="1:27" ht="12.75">
      <c r="A290" s="115" t="s">
        <v>2415</v>
      </c>
      <c r="B290" s="115" t="s">
        <v>54</v>
      </c>
      <c r="C290" s="161" t="str">
        <f t="shared" si="9"/>
        <v>GF12.523.01.A</v>
      </c>
      <c r="D290" s="161" t="s">
        <v>2416</v>
      </c>
      <c r="E290" s="52">
        <f t="shared" si="10"/>
        <v>466.92</v>
      </c>
      <c r="F290" s="5" t="e" cm="1">
        <f t="array" aca="1" ref="F290" ca="1">SUMPRODUCT(SUMIF(INDIRECT("'"&amp;Assemblies[Assy]&amp;"'!"&amp;"C$5:C1000"),$C290,(INDIRECT("'"&amp;Assemblies[Assy]&amp;"'!"&amp;"O$5:O1000"))))</f>
        <v>#VALUE!</v>
      </c>
      <c r="G290" s="5">
        <v>2</v>
      </c>
      <c r="H290" s="5">
        <v>2</v>
      </c>
      <c r="I290" s="2" t="s">
        <v>2111</v>
      </c>
      <c r="J290" s="2" t="s">
        <v>1792</v>
      </c>
      <c r="K290" s="2" t="s">
        <v>1770</v>
      </c>
      <c r="L290" s="2" t="s">
        <v>1803</v>
      </c>
      <c r="M290" s="2" t="s">
        <v>1779</v>
      </c>
      <c r="N290" s="8">
        <v>45084</v>
      </c>
      <c r="O290" s="8">
        <v>45127</v>
      </c>
      <c r="P290" s="8">
        <v>45156</v>
      </c>
      <c r="Q290" s="162">
        <v>45156</v>
      </c>
      <c r="R290" s="201">
        <v>55003</v>
      </c>
      <c r="S290" s="153">
        <v>466.92</v>
      </c>
      <c r="T290" s="52">
        <v>0</v>
      </c>
      <c r="U290" s="52">
        <v>0</v>
      </c>
      <c r="V290" s="52">
        <v>0</v>
      </c>
      <c r="W290" s="2" t="str" cm="1">
        <f t="array" aca="1" ref="W290" ca="1">TRIM(SUBSTITUTE(_xlfn.ARRAYTOTEXT(IFERROR(CONCATENATE(SUMIF(INDIRECT("'"&amp;Assemblies[Assy]&amp;"'!"&amp;"C$5:C1000"), $C290, INDIRECT("'"&amp;Assemblies[Assy]&amp;"'!"&amp;"O$5:O1000")), "x",Assemblies[Assy],".",IF(SUMIF(INDIRECT("'"&amp;Assemblies[Assy]&amp;"'!"&amp;"C$5:C1000"), $C290, INDIRECT("'"&amp;Assemblies[Assy]&amp;"'!"&amp;"A$5:A1000"))=0,NA(),SUMIF(INDIRECT("'"&amp;Assemblies[Assy]&amp;"'!"&amp;"C$5:C1000"), $C290, INDIRECT("'"&amp;Assemblies[Assy]&amp;"'!"&amp;"A$5:A1000")))),"")), " ,", ""))</f>
        <v>,</v>
      </c>
      <c r="X290" s="2" t="s">
        <v>1773</v>
      </c>
      <c r="Y290" s="2" t="s">
        <v>2336</v>
      </c>
      <c r="Z290" s="2" t="s">
        <v>1382</v>
      </c>
      <c r="AA290" s="2" t="s">
        <v>1382</v>
      </c>
    </row>
    <row r="291" spans="1:27" ht="12.75">
      <c r="A291" s="115" t="s">
        <v>2417</v>
      </c>
      <c r="B291" s="115" t="s">
        <v>58</v>
      </c>
      <c r="C291" s="2" t="str">
        <f t="shared" si="9"/>
        <v>GF12.530.01.C</v>
      </c>
      <c r="D291" s="2" t="s">
        <v>2418</v>
      </c>
      <c r="E291" s="52">
        <f t="shared" si="10"/>
        <v>992.5</v>
      </c>
      <c r="F291" s="5" t="e" cm="1">
        <f t="array" aca="1" ref="F291" ca="1">SUMPRODUCT(SUMIF(INDIRECT("'"&amp;Assemblies[Assy]&amp;"'!"&amp;"C$5:C1000"),$C291,(INDIRECT("'"&amp;Assemblies[Assy]&amp;"'!"&amp;"O$5:O1000"))))</f>
        <v>#VALUE!</v>
      </c>
      <c r="G291" s="5">
        <v>2</v>
      </c>
      <c r="H291" s="5">
        <v>2</v>
      </c>
      <c r="I291" s="2" t="s">
        <v>1782</v>
      </c>
      <c r="J291" s="2" t="s">
        <v>1769</v>
      </c>
      <c r="K291" s="2" t="s">
        <v>1770</v>
      </c>
      <c r="L291" s="2" t="s">
        <v>1783</v>
      </c>
      <c r="M291" s="2" t="s">
        <v>1779</v>
      </c>
      <c r="N291" s="8">
        <v>45141</v>
      </c>
      <c r="O291" s="8">
        <v>45141</v>
      </c>
      <c r="P291" s="8">
        <v>45171</v>
      </c>
      <c r="Q291" s="128">
        <v>45171</v>
      </c>
      <c r="R291" s="201">
        <v>55029</v>
      </c>
      <c r="S291" s="153">
        <v>992.5</v>
      </c>
      <c r="T291" s="52">
        <v>0</v>
      </c>
      <c r="U291" s="52">
        <v>0</v>
      </c>
      <c r="V291" s="52">
        <v>0</v>
      </c>
      <c r="W291" s="2" t="str" cm="1">
        <f t="array" aca="1" ref="W291" ca="1">TRIM(SUBSTITUTE(_xlfn.ARRAYTOTEXT(IFERROR(CONCATENATE(SUMIF(INDIRECT("'"&amp;Assemblies[Assy]&amp;"'!"&amp;"C$5:C1000"), $C291, INDIRECT("'"&amp;Assemblies[Assy]&amp;"'!"&amp;"O$5:O1000")), "x",Assemblies[Assy],".",IF(SUMIF(INDIRECT("'"&amp;Assemblies[Assy]&amp;"'!"&amp;"C$5:C1000"), $C291, INDIRECT("'"&amp;Assemblies[Assy]&amp;"'!"&amp;"A$5:A1000"))=0,NA(),SUMIF(INDIRECT("'"&amp;Assemblies[Assy]&amp;"'!"&amp;"C$5:C1000"), $C291, INDIRECT("'"&amp;Assemblies[Assy]&amp;"'!"&amp;"A$5:A1000")))),"")), " ,", ""))</f>
        <v>,</v>
      </c>
      <c r="X291" s="2" t="s">
        <v>1773</v>
      </c>
      <c r="Y291" s="2" t="s">
        <v>1382</v>
      </c>
      <c r="Z291" s="2" t="s">
        <v>1382</v>
      </c>
      <c r="AA291" s="2" t="s">
        <v>1382</v>
      </c>
    </row>
    <row r="292" spans="1:27" ht="12.75">
      <c r="A292" s="115" t="s">
        <v>2419</v>
      </c>
      <c r="B292" s="115" t="s">
        <v>56</v>
      </c>
      <c r="C292" s="2" t="str">
        <f t="shared" si="9"/>
        <v>GF12.530.02.B</v>
      </c>
      <c r="D292" s="2" t="s">
        <v>2420</v>
      </c>
      <c r="E292" s="52">
        <f t="shared" si="10"/>
        <v>0</v>
      </c>
      <c r="F292" s="5" t="e" cm="1">
        <f t="array" aca="1" ref="F292" ca="1">SUMPRODUCT(SUMIF(INDIRECT("'"&amp;Assemblies[Assy]&amp;"'!"&amp;"C$5:C1000"),$C292,(INDIRECT("'"&amp;Assemblies[Assy]&amp;"'!"&amp;"O$5:O1000"))))</f>
        <v>#VALUE!</v>
      </c>
      <c r="G292" s="5">
        <v>1</v>
      </c>
      <c r="H292" s="5">
        <v>1</v>
      </c>
      <c r="I292" s="2" t="s">
        <v>1791</v>
      </c>
      <c r="J292" s="2" t="s">
        <v>1769</v>
      </c>
      <c r="K292" s="2" t="s">
        <v>1770</v>
      </c>
      <c r="L292" s="2" t="s">
        <v>1786</v>
      </c>
      <c r="M292" s="2" t="s">
        <v>1779</v>
      </c>
      <c r="N292" s="8">
        <v>45139</v>
      </c>
      <c r="O292" s="8">
        <v>45140</v>
      </c>
      <c r="P292" s="8">
        <v>45170</v>
      </c>
      <c r="Q292" s="162">
        <v>45170</v>
      </c>
      <c r="R292" s="201">
        <v>55025</v>
      </c>
      <c r="S292" s="153">
        <v>0</v>
      </c>
      <c r="T292" s="52">
        <v>0</v>
      </c>
      <c r="U292" s="52">
        <v>0</v>
      </c>
      <c r="V292" s="52">
        <v>0</v>
      </c>
      <c r="W292" s="2" t="str" cm="1">
        <f t="array" aca="1" ref="W292" ca="1">TRIM(SUBSTITUTE(_xlfn.ARRAYTOTEXT(IFERROR(CONCATENATE(SUMIF(INDIRECT("'"&amp;Assemblies[Assy]&amp;"'!"&amp;"C$5:C1000"), $C292, INDIRECT("'"&amp;Assemblies[Assy]&amp;"'!"&amp;"O$5:O1000")), "x",Assemblies[Assy],".",IF(SUMIF(INDIRECT("'"&amp;Assemblies[Assy]&amp;"'!"&amp;"C$5:C1000"), $C292, INDIRECT("'"&amp;Assemblies[Assy]&amp;"'!"&amp;"A$5:A1000"))=0,NA(),SUMIF(INDIRECT("'"&amp;Assemblies[Assy]&amp;"'!"&amp;"C$5:C1000"), $C292, INDIRECT("'"&amp;Assemblies[Assy]&amp;"'!"&amp;"A$5:A1000")))),"")), " ,", ""))</f>
        <v>,</v>
      </c>
      <c r="X292" s="2" t="s">
        <v>1382</v>
      </c>
      <c r="Y292" s="2" t="s">
        <v>1382</v>
      </c>
      <c r="Z292" s="2" t="s">
        <v>1382</v>
      </c>
      <c r="AA292" s="2" t="s">
        <v>1382</v>
      </c>
    </row>
    <row r="293" spans="1:27" ht="12.75">
      <c r="A293" s="115" t="s">
        <v>2421</v>
      </c>
      <c r="B293" s="115" t="s">
        <v>54</v>
      </c>
      <c r="C293" s="2" t="str">
        <f t="shared" si="9"/>
        <v>GF12.530.03.A</v>
      </c>
      <c r="D293" s="2" t="s">
        <v>2422</v>
      </c>
      <c r="E293" s="52">
        <f t="shared" si="10"/>
        <v>48.52</v>
      </c>
      <c r="F293" s="5" t="e" cm="1">
        <f t="array" aca="1" ref="F293" ca="1">SUMPRODUCT(SUMIF(INDIRECT("'"&amp;Assemblies[Assy]&amp;"'!"&amp;"C$5:C1000"),$C293,(INDIRECT("'"&amp;Assemblies[Assy]&amp;"'!"&amp;"O$5:O1000"))))</f>
        <v>#VALUE!</v>
      </c>
      <c r="G293" s="5">
        <v>3</v>
      </c>
      <c r="H293" s="5">
        <v>3</v>
      </c>
      <c r="I293" s="2" t="s">
        <v>1797</v>
      </c>
      <c r="J293" s="2" t="s">
        <v>1761</v>
      </c>
      <c r="K293" s="2" t="s">
        <v>1762</v>
      </c>
      <c r="L293" s="2" t="s">
        <v>1798</v>
      </c>
      <c r="M293" s="2" t="s">
        <v>1382</v>
      </c>
      <c r="N293" s="8" t="s">
        <v>1762</v>
      </c>
      <c r="O293" s="8" t="s">
        <v>1762</v>
      </c>
      <c r="P293" s="8" t="s">
        <v>1762</v>
      </c>
      <c r="Q293" s="8" t="s">
        <v>1762</v>
      </c>
      <c r="R293" s="201">
        <v>55018</v>
      </c>
      <c r="S293" s="173">
        <v>48.52</v>
      </c>
      <c r="T293" s="52">
        <v>0</v>
      </c>
      <c r="U293" s="52">
        <v>0</v>
      </c>
      <c r="V293" s="52">
        <v>0</v>
      </c>
      <c r="W293" s="2" t="str" cm="1">
        <f t="array" aca="1" ref="W293" ca="1">TRIM(SUBSTITUTE(_xlfn.ARRAYTOTEXT(IFERROR(CONCATENATE(SUMIF(INDIRECT("'"&amp;Assemblies[Assy]&amp;"'!"&amp;"C$5:C1000"), $C293, INDIRECT("'"&amp;Assemblies[Assy]&amp;"'!"&amp;"O$5:O1000")), "x",Assemblies[Assy],".",IF(SUMIF(INDIRECT("'"&amp;Assemblies[Assy]&amp;"'!"&amp;"C$5:C1000"), $C293, INDIRECT("'"&amp;Assemblies[Assy]&amp;"'!"&amp;"A$5:A1000"))=0,NA(),SUMIF(INDIRECT("'"&amp;Assemblies[Assy]&amp;"'!"&amp;"C$5:C1000"), $C293, INDIRECT("'"&amp;Assemblies[Assy]&amp;"'!"&amp;"A$5:A1000")))),"")), " ,", ""))</f>
        <v>,</v>
      </c>
      <c r="X293" s="2" t="s">
        <v>1773</v>
      </c>
      <c r="Y293" s="2" t="s">
        <v>1382</v>
      </c>
      <c r="Z293" s="2" t="s">
        <v>1382</v>
      </c>
      <c r="AA293" s="2" t="s">
        <v>1382</v>
      </c>
    </row>
    <row r="294" spans="1:27" ht="12.75">
      <c r="A294" s="115" t="s">
        <v>2423</v>
      </c>
      <c r="B294" s="115" t="s">
        <v>54</v>
      </c>
      <c r="C294" s="2" t="str">
        <f t="shared" si="9"/>
        <v>GF12.530.05.A</v>
      </c>
      <c r="D294" s="2" t="s">
        <v>2424</v>
      </c>
      <c r="E294" s="52">
        <f t="shared" si="10"/>
        <v>35.86</v>
      </c>
      <c r="F294" s="5" t="e" cm="1">
        <f t="array" aca="1" ref="F294" ca="1">SUMPRODUCT(SUMIF(INDIRECT("'"&amp;Assemblies[Assy]&amp;"'!"&amp;"C$5:C1000"),$C294,(INDIRECT("'"&amp;Assemblies[Assy]&amp;"'!"&amp;"O$5:O1000"))))</f>
        <v>#VALUE!</v>
      </c>
      <c r="G294" s="5">
        <v>3</v>
      </c>
      <c r="H294" s="5">
        <v>3</v>
      </c>
      <c r="I294" s="2" t="s">
        <v>1797</v>
      </c>
      <c r="J294" s="2" t="s">
        <v>1761</v>
      </c>
      <c r="K294" s="2" t="s">
        <v>1762</v>
      </c>
      <c r="L294" s="2" t="s">
        <v>1929</v>
      </c>
      <c r="M294" s="2" t="s">
        <v>1779</v>
      </c>
      <c r="N294" s="163" t="s">
        <v>1762</v>
      </c>
      <c r="O294" s="8">
        <v>45161</v>
      </c>
      <c r="P294" s="8">
        <v>45180</v>
      </c>
      <c r="Q294" s="162">
        <v>45180</v>
      </c>
      <c r="R294" s="201" t="s">
        <v>1930</v>
      </c>
      <c r="S294" s="173">
        <v>5.86</v>
      </c>
      <c r="T294" s="52">
        <v>0</v>
      </c>
      <c r="U294" s="52">
        <v>30</v>
      </c>
      <c r="V294" s="52">
        <v>0</v>
      </c>
      <c r="W294" s="2" t="str" cm="1">
        <f t="array" aca="1" ref="W294" ca="1">TRIM(SUBSTITUTE(_xlfn.ARRAYTOTEXT(IFERROR(CONCATENATE(SUMIF(INDIRECT("'"&amp;Assemblies[Assy]&amp;"'!"&amp;"C$5:C1000"), $C294, INDIRECT("'"&amp;Assemblies[Assy]&amp;"'!"&amp;"O$5:O1000")), "x",Assemblies[Assy],".",IF(SUMIF(INDIRECT("'"&amp;Assemblies[Assy]&amp;"'!"&amp;"C$5:C1000"), $C294, INDIRECT("'"&amp;Assemblies[Assy]&amp;"'!"&amp;"A$5:A1000"))=0,NA(),SUMIF(INDIRECT("'"&amp;Assemblies[Assy]&amp;"'!"&amp;"C$5:C1000"), $C294, INDIRECT("'"&amp;Assemblies[Assy]&amp;"'!"&amp;"A$5:A1000")))),"")), " ,", ""))</f>
        <v>,</v>
      </c>
      <c r="X294" s="2" t="s">
        <v>1773</v>
      </c>
      <c r="Y294" s="2" t="s">
        <v>1382</v>
      </c>
      <c r="Z294" s="2" t="s">
        <v>1382</v>
      </c>
      <c r="AA294" s="2" t="s">
        <v>1382</v>
      </c>
    </row>
    <row r="295" spans="1:27" ht="12.75">
      <c r="A295" s="115" t="s">
        <v>2425</v>
      </c>
      <c r="B295" s="115" t="s">
        <v>54</v>
      </c>
      <c r="C295" s="2" t="str">
        <f t="shared" si="9"/>
        <v>GF12.530.06.A</v>
      </c>
      <c r="D295" s="2" t="s">
        <v>2426</v>
      </c>
      <c r="E295" s="52">
        <f t="shared" si="10"/>
        <v>0</v>
      </c>
      <c r="F295" s="5" t="e" cm="1">
        <f t="array" aca="1" ref="F295" ca="1">SUMPRODUCT(SUMIF(INDIRECT("'"&amp;Assemblies[Assy]&amp;"'!"&amp;"C$5:C1000"),$C295,(INDIRECT("'"&amp;Assemblies[Assy]&amp;"'!"&amp;"O$5:O1000"))))</f>
        <v>#VALUE!</v>
      </c>
      <c r="G295" s="5">
        <v>16</v>
      </c>
      <c r="H295" s="5">
        <v>16</v>
      </c>
      <c r="I295" s="2" t="s">
        <v>1791</v>
      </c>
      <c r="J295" s="2" t="s">
        <v>1769</v>
      </c>
      <c r="K295" s="2" t="s">
        <v>1770</v>
      </c>
      <c r="L295" s="2" t="s">
        <v>1786</v>
      </c>
      <c r="M295" s="2" t="s">
        <v>1779</v>
      </c>
      <c r="N295" s="8">
        <v>45139</v>
      </c>
      <c r="O295" s="8">
        <v>45140</v>
      </c>
      <c r="P295" s="8">
        <v>45170</v>
      </c>
      <c r="Q295" s="162">
        <v>45170</v>
      </c>
      <c r="R295" s="201">
        <v>55025</v>
      </c>
      <c r="S295" s="171">
        <v>0</v>
      </c>
      <c r="T295" s="52">
        <v>0</v>
      </c>
      <c r="U295" s="52">
        <v>0</v>
      </c>
      <c r="V295" s="52">
        <v>0</v>
      </c>
      <c r="W295" s="2" t="str" cm="1">
        <f t="array" aca="1" ref="W295" ca="1">TRIM(SUBSTITUTE(_xlfn.ARRAYTOTEXT(IFERROR(CONCATENATE(SUMIF(INDIRECT("'"&amp;Assemblies[Assy]&amp;"'!"&amp;"C$5:C1000"), $C295, INDIRECT("'"&amp;Assemblies[Assy]&amp;"'!"&amp;"O$5:O1000")), "x",Assemblies[Assy],".",IF(SUMIF(INDIRECT("'"&amp;Assemblies[Assy]&amp;"'!"&amp;"C$5:C1000"), $C295, INDIRECT("'"&amp;Assemblies[Assy]&amp;"'!"&amp;"A$5:A1000"))=0,NA(),SUMIF(INDIRECT("'"&amp;Assemblies[Assy]&amp;"'!"&amp;"C$5:C1000"), $C295, INDIRECT("'"&amp;Assemblies[Assy]&amp;"'!"&amp;"A$5:A1000")))),"")), " ,", ""))</f>
        <v>,</v>
      </c>
      <c r="X295" s="2" t="s">
        <v>1773</v>
      </c>
      <c r="Y295" s="2" t="s">
        <v>1382</v>
      </c>
      <c r="Z295" s="2" t="s">
        <v>1382</v>
      </c>
      <c r="AA295" s="2" t="s">
        <v>1382</v>
      </c>
    </row>
    <row r="296" spans="1:27" ht="12.75">
      <c r="A296" s="115" t="s">
        <v>2427</v>
      </c>
      <c r="B296" s="115" t="s">
        <v>54</v>
      </c>
      <c r="C296" s="2" t="str">
        <f t="shared" si="9"/>
        <v>GF12.530.07.A</v>
      </c>
      <c r="D296" s="2" t="s">
        <v>2428</v>
      </c>
      <c r="E296" s="52">
        <f t="shared" si="10"/>
        <v>0</v>
      </c>
      <c r="F296" s="5" t="e" cm="1">
        <f t="array" aca="1" ref="F296" ca="1">SUMPRODUCT(SUMIF(INDIRECT("'"&amp;Assemblies[Assy]&amp;"'!"&amp;"C$5:C1000"),$C296,(INDIRECT("'"&amp;Assemblies[Assy]&amp;"'!"&amp;"O$5:O1000"))))</f>
        <v>#VALUE!</v>
      </c>
      <c r="G296" s="5">
        <v>8</v>
      </c>
      <c r="H296" s="5">
        <v>8</v>
      </c>
      <c r="I296" s="2" t="s">
        <v>1791</v>
      </c>
      <c r="J296" s="2" t="s">
        <v>1769</v>
      </c>
      <c r="K296" s="2" t="s">
        <v>1770</v>
      </c>
      <c r="L296" s="2" t="s">
        <v>1786</v>
      </c>
      <c r="M296" s="2" t="s">
        <v>1779</v>
      </c>
      <c r="N296" s="8">
        <v>45139</v>
      </c>
      <c r="O296" s="8">
        <v>45140</v>
      </c>
      <c r="P296" s="8">
        <v>45170</v>
      </c>
      <c r="Q296" s="128">
        <v>45170</v>
      </c>
      <c r="R296" s="201">
        <v>55025</v>
      </c>
      <c r="S296" s="171">
        <v>0</v>
      </c>
      <c r="T296" s="52">
        <v>0</v>
      </c>
      <c r="U296" s="52">
        <v>0</v>
      </c>
      <c r="V296" s="52">
        <v>0</v>
      </c>
      <c r="W296" s="2" t="str" cm="1">
        <f t="array" aca="1" ref="W296" ca="1">TRIM(SUBSTITUTE(_xlfn.ARRAYTOTEXT(IFERROR(CONCATENATE(SUMIF(INDIRECT("'"&amp;Assemblies[Assy]&amp;"'!"&amp;"C$5:C1000"), $C296, INDIRECT("'"&amp;Assemblies[Assy]&amp;"'!"&amp;"O$5:O1000")), "x",Assemblies[Assy],".",IF(SUMIF(INDIRECT("'"&amp;Assemblies[Assy]&amp;"'!"&amp;"C$5:C1000"), $C296, INDIRECT("'"&amp;Assemblies[Assy]&amp;"'!"&amp;"A$5:A1000"))=0,NA(),SUMIF(INDIRECT("'"&amp;Assemblies[Assy]&amp;"'!"&amp;"C$5:C1000"), $C296, INDIRECT("'"&amp;Assemblies[Assy]&amp;"'!"&amp;"A$5:A1000")))),"")), " ,", ""))</f>
        <v>,</v>
      </c>
      <c r="X296" s="2" t="s">
        <v>1773</v>
      </c>
      <c r="Y296" s="2" t="s">
        <v>1382</v>
      </c>
      <c r="Z296" s="2" t="s">
        <v>1382</v>
      </c>
      <c r="AA296" s="2" t="s">
        <v>1382</v>
      </c>
    </row>
    <row r="297" spans="1:27" ht="12.75">
      <c r="A297" s="115" t="s">
        <v>2429</v>
      </c>
      <c r="B297" s="115" t="s">
        <v>54</v>
      </c>
      <c r="C297" s="2" t="str">
        <f t="shared" si="9"/>
        <v>GF12.540.01.A</v>
      </c>
      <c r="D297" s="2" t="s">
        <v>2430</v>
      </c>
      <c r="E297" s="52">
        <f t="shared" si="10"/>
        <v>0</v>
      </c>
      <c r="F297" s="5" t="e" cm="1">
        <f t="array" aca="1" ref="F297" ca="1">SUMPRODUCT(SUMIF(INDIRECT("'"&amp;Assemblies[Assy]&amp;"'!"&amp;"C$5:C1000"),$C297,(INDIRECT("'"&amp;Assemblies[Assy]&amp;"'!"&amp;"O$5:O1000"))))</f>
        <v>#VALUE!</v>
      </c>
      <c r="G297" s="5">
        <v>3</v>
      </c>
      <c r="H297" s="5">
        <v>3</v>
      </c>
      <c r="I297" s="2" t="s">
        <v>1791</v>
      </c>
      <c r="J297" s="2" t="s">
        <v>1769</v>
      </c>
      <c r="L297" s="2" t="s">
        <v>1786</v>
      </c>
      <c r="M297" s="231"/>
      <c r="N297" s="8">
        <v>45201</v>
      </c>
      <c r="O297" s="8">
        <v>45202</v>
      </c>
      <c r="P297" s="8">
        <v>45216</v>
      </c>
      <c r="Q297" s="8">
        <v>45216</v>
      </c>
      <c r="R297" s="201">
        <v>55179</v>
      </c>
      <c r="S297" s="171">
        <v>0</v>
      </c>
      <c r="T297" s="52">
        <v>0</v>
      </c>
      <c r="U297" s="52">
        <v>0</v>
      </c>
      <c r="V297" s="52">
        <v>0</v>
      </c>
      <c r="W297" s="2" t="str" cm="1">
        <f t="array" aca="1" ref="W297" ca="1">TRIM(SUBSTITUTE(_xlfn.ARRAYTOTEXT(IFERROR(CONCATENATE(SUMIF(INDIRECT("'"&amp;Assemblies[Assy]&amp;"'!"&amp;"C$5:C1000"), $C297, INDIRECT("'"&amp;Assemblies[Assy]&amp;"'!"&amp;"O$5:O1000")), "x",Assemblies[Assy],".",IF(SUMIF(INDIRECT("'"&amp;Assemblies[Assy]&amp;"'!"&amp;"C$5:C1000"), $C297, INDIRECT("'"&amp;Assemblies[Assy]&amp;"'!"&amp;"A$5:A1000"))=0,NA(),SUMIF(INDIRECT("'"&amp;Assemblies[Assy]&amp;"'!"&amp;"C$5:C1000"), $C297, INDIRECT("'"&amp;Assemblies[Assy]&amp;"'!"&amp;"A$5:A1000")))),"")), " ,", ""))</f>
        <v>,</v>
      </c>
      <c r="Y297" s="2" t="s">
        <v>1382</v>
      </c>
      <c r="Z297" s="2" t="s">
        <v>1382</v>
      </c>
      <c r="AA297" s="2" t="s">
        <v>1382</v>
      </c>
    </row>
    <row r="298" spans="1:27" ht="12.75">
      <c r="A298" s="115" t="s">
        <v>2431</v>
      </c>
      <c r="B298" s="115" t="s">
        <v>54</v>
      </c>
      <c r="C298" s="2" t="str">
        <f t="shared" si="9"/>
        <v>GF12.540.02.A</v>
      </c>
      <c r="D298" s="2" t="s">
        <v>2432</v>
      </c>
      <c r="E298" s="52">
        <f t="shared" si="10"/>
        <v>0</v>
      </c>
      <c r="F298" s="5" t="e" cm="1">
        <f t="array" aca="1" ref="F298" ca="1">SUMPRODUCT(SUMIF(INDIRECT("'"&amp;Assemblies[Assy]&amp;"'!"&amp;"C$5:C1000"),$C298,(INDIRECT("'"&amp;Assemblies[Assy]&amp;"'!"&amp;"O$5:O1000"))))</f>
        <v>#VALUE!</v>
      </c>
      <c r="G298" s="5">
        <v>3</v>
      </c>
      <c r="H298" s="5">
        <v>3</v>
      </c>
      <c r="I298" s="2" t="s">
        <v>1791</v>
      </c>
      <c r="J298" s="2" t="s">
        <v>1769</v>
      </c>
      <c r="L298" s="2" t="s">
        <v>1786</v>
      </c>
      <c r="M298" s="231"/>
      <c r="N298" s="8">
        <v>45201</v>
      </c>
      <c r="O298" s="8">
        <v>45202</v>
      </c>
      <c r="P298" s="8">
        <v>45216</v>
      </c>
      <c r="Q298" s="8">
        <v>45216</v>
      </c>
      <c r="R298" s="201">
        <v>55179</v>
      </c>
      <c r="S298" s="171">
        <v>0</v>
      </c>
      <c r="T298" s="52">
        <v>0</v>
      </c>
      <c r="U298" s="52">
        <v>0</v>
      </c>
      <c r="V298" s="52">
        <v>0</v>
      </c>
      <c r="W298" s="2" t="str" cm="1">
        <f t="array" aca="1" ref="W298" ca="1">TRIM(SUBSTITUTE(_xlfn.ARRAYTOTEXT(IFERROR(CONCATENATE(SUMIF(INDIRECT("'"&amp;Assemblies[Assy]&amp;"'!"&amp;"C$5:C1000"), $C298, INDIRECT("'"&amp;Assemblies[Assy]&amp;"'!"&amp;"O$5:O1000")), "x",Assemblies[Assy],".",IF(SUMIF(INDIRECT("'"&amp;Assemblies[Assy]&amp;"'!"&amp;"C$5:C1000"), $C298, INDIRECT("'"&amp;Assemblies[Assy]&amp;"'!"&amp;"A$5:A1000"))=0,NA(),SUMIF(INDIRECT("'"&amp;Assemblies[Assy]&amp;"'!"&amp;"C$5:C1000"), $C298, INDIRECT("'"&amp;Assemblies[Assy]&amp;"'!"&amp;"A$5:A1000")))),"")), " ,", ""))</f>
        <v>,</v>
      </c>
      <c r="Y298" s="2" t="s">
        <v>1382</v>
      </c>
      <c r="Z298" s="2" t="s">
        <v>1382</v>
      </c>
      <c r="AA298" s="2" t="s">
        <v>1382</v>
      </c>
    </row>
    <row r="299" spans="1:27" ht="12.75">
      <c r="A299" s="115" t="s">
        <v>2433</v>
      </c>
      <c r="B299" s="115" t="s">
        <v>54</v>
      </c>
      <c r="C299" s="2" t="str">
        <f t="shared" si="9"/>
        <v>GF12.540.03.A</v>
      </c>
      <c r="D299" s="2" t="s">
        <v>2434</v>
      </c>
      <c r="E299" s="52">
        <f t="shared" si="10"/>
        <v>0</v>
      </c>
      <c r="F299" s="5" t="e" cm="1">
        <f t="array" aca="1" ref="F299" ca="1">SUMPRODUCT(SUMIF(INDIRECT("'"&amp;Assemblies[Assy]&amp;"'!"&amp;"C$5:C1000"),$C299,(INDIRECT("'"&amp;Assemblies[Assy]&amp;"'!"&amp;"O$5:O1000"))))</f>
        <v>#VALUE!</v>
      </c>
      <c r="G299" s="5">
        <v>6</v>
      </c>
      <c r="H299" s="5">
        <v>6</v>
      </c>
      <c r="I299" s="2" t="s">
        <v>1791</v>
      </c>
      <c r="J299" s="2" t="s">
        <v>1769</v>
      </c>
      <c r="L299" s="2" t="s">
        <v>1778</v>
      </c>
      <c r="M299" s="231"/>
      <c r="N299" s="8">
        <v>45201</v>
      </c>
      <c r="O299" s="8">
        <v>45202</v>
      </c>
      <c r="P299" s="8">
        <v>45216</v>
      </c>
      <c r="Q299" s="8">
        <v>45216</v>
      </c>
      <c r="R299" s="201">
        <v>55178</v>
      </c>
      <c r="S299" s="171">
        <v>0</v>
      </c>
      <c r="T299" s="52">
        <v>0</v>
      </c>
      <c r="U299" s="52">
        <v>0</v>
      </c>
      <c r="V299" s="52">
        <v>0</v>
      </c>
      <c r="W299" s="2" t="str" cm="1">
        <f t="array" aca="1" ref="W299" ca="1">TRIM(SUBSTITUTE(_xlfn.ARRAYTOTEXT(IFERROR(CONCATENATE(SUMIF(INDIRECT("'"&amp;Assemblies[Assy]&amp;"'!"&amp;"C$5:C1000"), $C299, INDIRECT("'"&amp;Assemblies[Assy]&amp;"'!"&amp;"O$5:O1000")), "x",Assemblies[Assy],".",IF(SUMIF(INDIRECT("'"&amp;Assemblies[Assy]&amp;"'!"&amp;"C$5:C1000"), $C299, INDIRECT("'"&amp;Assemblies[Assy]&amp;"'!"&amp;"A$5:A1000"))=0,NA(),SUMIF(INDIRECT("'"&amp;Assemblies[Assy]&amp;"'!"&amp;"C$5:C1000"), $C299, INDIRECT("'"&amp;Assemblies[Assy]&amp;"'!"&amp;"A$5:A1000")))),"")), " ,", ""))</f>
        <v>,</v>
      </c>
      <c r="Y299" s="2" t="s">
        <v>1382</v>
      </c>
      <c r="Z299" s="2" t="s">
        <v>1382</v>
      </c>
      <c r="AA299" s="2" t="s">
        <v>1382</v>
      </c>
    </row>
    <row r="300" spans="1:27" ht="12.75">
      <c r="A300" s="115" t="s">
        <v>2435</v>
      </c>
      <c r="B300" s="115" t="s">
        <v>54</v>
      </c>
      <c r="C300" s="2" t="str">
        <f t="shared" si="9"/>
        <v>GF12.540.04.A</v>
      </c>
      <c r="D300" s="2" t="s">
        <v>2436</v>
      </c>
      <c r="E300" s="52">
        <f t="shared" si="10"/>
        <v>0</v>
      </c>
      <c r="F300" s="5" t="e" cm="1">
        <f t="array" aca="1" ref="F300" ca="1">SUMPRODUCT(SUMIF(INDIRECT("'"&amp;Assemblies[Assy]&amp;"'!"&amp;"C$5:C1000"),$C300,(INDIRECT("'"&amp;Assemblies[Assy]&amp;"'!"&amp;"O$5:O1000"))))</f>
        <v>#VALUE!</v>
      </c>
      <c r="G300" s="5">
        <v>6</v>
      </c>
      <c r="H300" s="5">
        <v>6</v>
      </c>
      <c r="I300" s="2" t="s">
        <v>1776</v>
      </c>
      <c r="J300" s="2" t="s">
        <v>1777</v>
      </c>
      <c r="L300" s="2" t="s">
        <v>1778</v>
      </c>
      <c r="M300" s="231"/>
      <c r="N300" s="8">
        <v>45201</v>
      </c>
      <c r="O300" s="8">
        <v>45202</v>
      </c>
      <c r="P300" s="8">
        <v>45216</v>
      </c>
      <c r="Q300" s="8">
        <v>45216</v>
      </c>
      <c r="R300" s="201">
        <v>55178</v>
      </c>
      <c r="S300" s="171">
        <v>0</v>
      </c>
      <c r="T300" s="52">
        <v>0</v>
      </c>
      <c r="U300" s="52">
        <v>0</v>
      </c>
      <c r="V300" s="52">
        <v>0</v>
      </c>
      <c r="W300" s="2" t="str" cm="1">
        <f t="array" aca="1" ref="W300" ca="1">TRIM(SUBSTITUTE(_xlfn.ARRAYTOTEXT(IFERROR(CONCATENATE(SUMIF(INDIRECT("'"&amp;Assemblies[Assy]&amp;"'!"&amp;"C$5:C1000"), $C300, INDIRECT("'"&amp;Assemblies[Assy]&amp;"'!"&amp;"O$5:O1000")), "x",Assemblies[Assy],".",IF(SUMIF(INDIRECT("'"&amp;Assemblies[Assy]&amp;"'!"&amp;"C$5:C1000"), $C300, INDIRECT("'"&amp;Assemblies[Assy]&amp;"'!"&amp;"A$5:A1000"))=0,NA(),SUMIF(INDIRECT("'"&amp;Assemblies[Assy]&amp;"'!"&amp;"C$5:C1000"), $C300, INDIRECT("'"&amp;Assemblies[Assy]&amp;"'!"&amp;"A$5:A1000")))),"")), " ,", ""))</f>
        <v>,</v>
      </c>
      <c r="Y300" s="2" t="s">
        <v>1382</v>
      </c>
      <c r="Z300" s="2" t="s">
        <v>1382</v>
      </c>
      <c r="AA300" s="2" t="s">
        <v>1382</v>
      </c>
    </row>
    <row r="301" spans="1:27" ht="12.75">
      <c r="A301" s="115" t="s">
        <v>2437</v>
      </c>
      <c r="B301" s="115" t="s">
        <v>54</v>
      </c>
      <c r="C301" s="2" t="str">
        <f t="shared" si="9"/>
        <v>GF12.540.05.A</v>
      </c>
      <c r="D301" s="2" t="s">
        <v>2438</v>
      </c>
      <c r="E301" s="52">
        <f t="shared" si="10"/>
        <v>0</v>
      </c>
      <c r="F301" s="5" t="e" cm="1">
        <f t="array" aca="1" ref="F301" ca="1">SUMPRODUCT(SUMIF(INDIRECT("'"&amp;Assemblies[Assy]&amp;"'!"&amp;"C$5:C1000"),$C301,(INDIRECT("'"&amp;Assemblies[Assy]&amp;"'!"&amp;"O$5:O1000"))))</f>
        <v>#VALUE!</v>
      </c>
      <c r="G301" s="5">
        <v>6</v>
      </c>
      <c r="H301" s="5">
        <v>6</v>
      </c>
      <c r="I301" s="2" t="s">
        <v>1797</v>
      </c>
      <c r="J301" s="2" t="s">
        <v>2439</v>
      </c>
      <c r="L301" s="2" t="s">
        <v>1778</v>
      </c>
      <c r="M301" s="231" t="s">
        <v>2440</v>
      </c>
      <c r="N301" s="8">
        <v>45201</v>
      </c>
      <c r="O301" s="8">
        <v>45202</v>
      </c>
      <c r="P301" s="8">
        <v>45216</v>
      </c>
      <c r="Q301" s="8">
        <v>45216</v>
      </c>
      <c r="R301" s="201">
        <v>55178</v>
      </c>
      <c r="S301" s="171">
        <v>0</v>
      </c>
      <c r="T301" s="52">
        <v>0</v>
      </c>
      <c r="U301" s="52">
        <v>0</v>
      </c>
      <c r="V301" s="52">
        <v>0</v>
      </c>
      <c r="W301" s="2" t="str" cm="1">
        <f t="array" aca="1" ref="W301" ca="1">TRIM(SUBSTITUTE(_xlfn.ARRAYTOTEXT(IFERROR(CONCATENATE(SUMIF(INDIRECT("'"&amp;Assemblies[Assy]&amp;"'!"&amp;"C$5:C1000"), $C301, INDIRECT("'"&amp;Assemblies[Assy]&amp;"'!"&amp;"O$5:O1000")), "x",Assemblies[Assy],".",IF(SUMIF(INDIRECT("'"&amp;Assemblies[Assy]&amp;"'!"&amp;"C$5:C1000"), $C301, INDIRECT("'"&amp;Assemblies[Assy]&amp;"'!"&amp;"A$5:A1000"))=0,NA(),SUMIF(INDIRECT("'"&amp;Assemblies[Assy]&amp;"'!"&amp;"C$5:C1000"), $C301, INDIRECT("'"&amp;Assemblies[Assy]&amp;"'!"&amp;"A$5:A1000")))),"")), " ,", ""))</f>
        <v>,</v>
      </c>
      <c r="Y301" s="2" t="s">
        <v>1382</v>
      </c>
      <c r="Z301" s="2" t="s">
        <v>1382</v>
      </c>
      <c r="AA301" s="2" t="s">
        <v>1382</v>
      </c>
    </row>
    <row r="302" spans="1:27" ht="12.75">
      <c r="A302" s="115" t="s">
        <v>2441</v>
      </c>
      <c r="B302" s="115" t="s">
        <v>54</v>
      </c>
      <c r="C302" s="2" t="str">
        <f t="shared" si="9"/>
        <v>GF12.540.06.A</v>
      </c>
      <c r="D302" s="2" t="s">
        <v>2442</v>
      </c>
      <c r="E302" s="52">
        <f t="shared" si="10"/>
        <v>0</v>
      </c>
      <c r="F302" s="5" t="e" cm="1">
        <f t="array" aca="1" ref="F302" ca="1">SUMPRODUCT(SUMIF(INDIRECT("'"&amp;Assemblies[Assy]&amp;"'!"&amp;"C$5:C1000"),$C302,(INDIRECT("'"&amp;Assemblies[Assy]&amp;"'!"&amp;"O$5:O1000"))))</f>
        <v>#VALUE!</v>
      </c>
      <c r="G302" s="5">
        <v>6</v>
      </c>
      <c r="H302" s="5">
        <v>6</v>
      </c>
      <c r="I302" s="2" t="s">
        <v>1797</v>
      </c>
      <c r="J302" s="2" t="s">
        <v>2439</v>
      </c>
      <c r="L302" s="2" t="s">
        <v>1778</v>
      </c>
      <c r="M302" s="231" t="s">
        <v>2440</v>
      </c>
      <c r="N302" s="8">
        <v>45201</v>
      </c>
      <c r="O302" s="8">
        <v>45202</v>
      </c>
      <c r="P302" s="8">
        <v>45216</v>
      </c>
      <c r="Q302" s="8">
        <v>45216</v>
      </c>
      <c r="R302" s="201">
        <v>55178</v>
      </c>
      <c r="S302" s="171">
        <v>0</v>
      </c>
      <c r="T302" s="52">
        <v>0</v>
      </c>
      <c r="U302" s="52">
        <v>0</v>
      </c>
      <c r="V302" s="52">
        <v>0</v>
      </c>
      <c r="W302" s="2" t="str" cm="1">
        <f t="array" aca="1" ref="W302" ca="1">TRIM(SUBSTITUTE(_xlfn.ARRAYTOTEXT(IFERROR(CONCATENATE(SUMIF(INDIRECT("'"&amp;Assemblies[Assy]&amp;"'!"&amp;"C$5:C1000"), $C302, INDIRECT("'"&amp;Assemblies[Assy]&amp;"'!"&amp;"O$5:O1000")), "x",Assemblies[Assy],".",IF(SUMIF(INDIRECT("'"&amp;Assemblies[Assy]&amp;"'!"&amp;"C$5:C1000"), $C302, INDIRECT("'"&amp;Assemblies[Assy]&amp;"'!"&amp;"A$5:A1000"))=0,NA(),SUMIF(INDIRECT("'"&amp;Assemblies[Assy]&amp;"'!"&amp;"C$5:C1000"), $C302, INDIRECT("'"&amp;Assemblies[Assy]&amp;"'!"&amp;"A$5:A1000")))),"")), " ,", ""))</f>
        <v>,</v>
      </c>
      <c r="Y302" s="2" t="s">
        <v>1382</v>
      </c>
      <c r="Z302" s="2" t="s">
        <v>1382</v>
      </c>
      <c r="AA302" s="2" t="s">
        <v>1382</v>
      </c>
    </row>
    <row r="303" spans="1:27" ht="12.75">
      <c r="A303" s="115" t="s">
        <v>2443</v>
      </c>
      <c r="B303" s="115" t="s">
        <v>54</v>
      </c>
      <c r="C303" s="2" t="str">
        <f t="shared" si="9"/>
        <v>GF12.610.01.A</v>
      </c>
      <c r="D303" s="117" t="s">
        <v>2444</v>
      </c>
      <c r="E303" s="52">
        <f t="shared" si="10"/>
        <v>513.5</v>
      </c>
      <c r="F303" s="5" t="e" cm="1">
        <f t="array" aca="1" ref="F303" ca="1">SUMPRODUCT(SUMIF(INDIRECT("'"&amp;Assemblies[Assy]&amp;"'!"&amp;"C$5:C1000"),$C303,(INDIRECT("'"&amp;Assemblies[Assy]&amp;"'!"&amp;"O$5:O1000"))))</f>
        <v>#VALUE!</v>
      </c>
      <c r="G303" s="5">
        <v>2</v>
      </c>
      <c r="H303" s="5">
        <v>2</v>
      </c>
      <c r="I303" s="2" t="s">
        <v>1791</v>
      </c>
      <c r="J303" s="2" t="s">
        <v>1769</v>
      </c>
      <c r="K303" s="2" t="s">
        <v>1770</v>
      </c>
      <c r="L303" s="2" t="s">
        <v>1783</v>
      </c>
      <c r="M303" s="2" t="s">
        <v>1779</v>
      </c>
      <c r="N303" s="8">
        <v>45141</v>
      </c>
      <c r="O303" s="8">
        <v>45141</v>
      </c>
      <c r="P303" s="8">
        <v>45171</v>
      </c>
      <c r="Q303" s="128">
        <v>45171</v>
      </c>
      <c r="R303" s="201">
        <v>55029</v>
      </c>
      <c r="S303" s="153">
        <v>513.5</v>
      </c>
      <c r="T303" s="52">
        <v>0</v>
      </c>
      <c r="U303" s="52">
        <v>0</v>
      </c>
      <c r="V303" s="52">
        <v>0</v>
      </c>
      <c r="W303" s="2" t="str" cm="1">
        <f t="array" aca="1" ref="W303" ca="1">TRIM(SUBSTITUTE(_xlfn.ARRAYTOTEXT(IFERROR(CONCATENATE(SUMIF(INDIRECT("'"&amp;Assemblies[Assy]&amp;"'!"&amp;"C$5:C1000"), $C303, INDIRECT("'"&amp;Assemblies[Assy]&amp;"'!"&amp;"O$5:O1000")), "x",Assemblies[Assy],".",IF(SUMIF(INDIRECT("'"&amp;Assemblies[Assy]&amp;"'!"&amp;"C$5:C1000"), $C303, INDIRECT("'"&amp;Assemblies[Assy]&amp;"'!"&amp;"A$5:A1000"))=0,NA(),SUMIF(INDIRECT("'"&amp;Assemblies[Assy]&amp;"'!"&amp;"C$5:C1000"), $C303, INDIRECT("'"&amp;Assemblies[Assy]&amp;"'!"&amp;"A$5:A1000")))),"")), " ,", ""))</f>
        <v>,</v>
      </c>
      <c r="X303" s="2" t="s">
        <v>1773</v>
      </c>
      <c r="Y303" s="2" t="s">
        <v>1382</v>
      </c>
      <c r="Z303" s="2" t="s">
        <v>1382</v>
      </c>
      <c r="AA303" s="2" t="s">
        <v>1382</v>
      </c>
    </row>
    <row r="304" spans="1:27" ht="12.75">
      <c r="A304" s="115" t="s">
        <v>2445</v>
      </c>
      <c r="B304" s="115" t="s">
        <v>54</v>
      </c>
      <c r="C304" s="2" t="str">
        <f t="shared" si="9"/>
        <v>GF12.631.10.A</v>
      </c>
      <c r="D304" s="2" t="s">
        <v>2186</v>
      </c>
      <c r="E304" s="52">
        <f t="shared" si="10"/>
        <v>333.5</v>
      </c>
      <c r="F304" s="5" t="e" cm="1">
        <f t="array" aca="1" ref="F304" ca="1">SUMPRODUCT(SUMIF(INDIRECT("'"&amp;Assemblies[Assy]&amp;"'!"&amp;"C$5:C1000"),$C304,(INDIRECT("'"&amp;Assemblies[Assy]&amp;"'!"&amp;"O$5:O1000"))))</f>
        <v>#VALUE!</v>
      </c>
      <c r="G304" s="5">
        <v>1</v>
      </c>
      <c r="H304" s="5">
        <v>1</v>
      </c>
      <c r="I304" s="2" t="s">
        <v>1824</v>
      </c>
      <c r="J304" s="2" t="s">
        <v>1761</v>
      </c>
      <c r="K304" s="2" t="s">
        <v>1762</v>
      </c>
      <c r="L304" s="2" t="s">
        <v>1951</v>
      </c>
      <c r="M304" s="214" t="s">
        <v>1974</v>
      </c>
      <c r="N304" s="8">
        <v>45194</v>
      </c>
      <c r="O304" s="8">
        <v>45196</v>
      </c>
      <c r="P304" s="8">
        <v>45219</v>
      </c>
      <c r="Q304" s="144">
        <v>45219</v>
      </c>
      <c r="R304" s="223">
        <v>55166</v>
      </c>
      <c r="S304" s="153">
        <v>333.5</v>
      </c>
      <c r="T304" s="52">
        <v>0</v>
      </c>
      <c r="U304" s="52">
        <v>0</v>
      </c>
      <c r="V304" s="52">
        <v>0</v>
      </c>
      <c r="W304" s="2" t="str" cm="1">
        <f t="array" aca="1" ref="W304" ca="1">TRIM(SUBSTITUTE(_xlfn.ARRAYTOTEXT(IFERROR(CONCATENATE(SUMIF(INDIRECT("'"&amp;Assemblies[Assy]&amp;"'!"&amp;"C$5:C1000"), $C304, INDIRECT("'"&amp;Assemblies[Assy]&amp;"'!"&amp;"O$5:O1000")), "x",Assemblies[Assy],".",IF(SUMIF(INDIRECT("'"&amp;Assemblies[Assy]&amp;"'!"&amp;"C$5:C1000"), $C304, INDIRECT("'"&amp;Assemblies[Assy]&amp;"'!"&amp;"A$5:A1000"))=0,NA(),SUMIF(INDIRECT("'"&amp;Assemblies[Assy]&amp;"'!"&amp;"C$5:C1000"), $C304, INDIRECT("'"&amp;Assemblies[Assy]&amp;"'!"&amp;"A$5:A1000")))),"")), " ,", ""))</f>
        <v>,</v>
      </c>
      <c r="X304" s="2" t="s">
        <v>1382</v>
      </c>
      <c r="Y304" s="2" t="s">
        <v>1382</v>
      </c>
      <c r="Z304" s="2" t="s">
        <v>1382</v>
      </c>
      <c r="AA304" s="2" t="s">
        <v>1382</v>
      </c>
    </row>
    <row r="305" spans="1:27" ht="12.75">
      <c r="A305" s="115" t="s">
        <v>2446</v>
      </c>
      <c r="B305" s="115" t="s">
        <v>54</v>
      </c>
      <c r="C305" s="2" t="str">
        <f t="shared" si="9"/>
        <v>GF12.632.01.A</v>
      </c>
      <c r="D305" s="2" t="s">
        <v>2447</v>
      </c>
      <c r="E305" s="52">
        <f t="shared" si="10"/>
        <v>35.020000000000003</v>
      </c>
      <c r="F305" s="5" t="e" cm="1">
        <f t="array" aca="1" ref="F305" ca="1">SUMPRODUCT(SUMIF(INDIRECT("'"&amp;Assemblies[Assy]&amp;"'!"&amp;"C$5:C1000"),$C305,(INDIRECT("'"&amp;Assemblies[Assy]&amp;"'!"&amp;"O$5:O1000"))))</f>
        <v>#VALUE!</v>
      </c>
      <c r="G305" s="5">
        <v>11</v>
      </c>
      <c r="H305" s="5">
        <v>11</v>
      </c>
      <c r="I305" s="2" t="s">
        <v>1791</v>
      </c>
      <c r="J305" s="2" t="s">
        <v>1769</v>
      </c>
      <c r="K305" s="2" t="s">
        <v>1382</v>
      </c>
      <c r="L305" s="2" t="s">
        <v>1803</v>
      </c>
      <c r="M305" s="8" t="s">
        <v>1779</v>
      </c>
      <c r="N305" s="8">
        <v>45161</v>
      </c>
      <c r="O305" s="8">
        <v>45161</v>
      </c>
      <c r="P305" s="8">
        <v>45181</v>
      </c>
      <c r="Q305" s="144">
        <v>45181</v>
      </c>
      <c r="R305" s="223">
        <v>55095</v>
      </c>
      <c r="S305" s="153">
        <v>35.020000000000003</v>
      </c>
      <c r="T305" s="52">
        <v>0</v>
      </c>
      <c r="U305" s="52">
        <v>0</v>
      </c>
      <c r="V305" s="52">
        <v>0</v>
      </c>
      <c r="W305" s="2" t="str" cm="1">
        <f t="array" aca="1" ref="W305" ca="1">TRIM(SUBSTITUTE(_xlfn.ARRAYTOTEXT(IFERROR(CONCATENATE(SUMIF(INDIRECT("'"&amp;Assemblies[Assy]&amp;"'!"&amp;"C$5:C1000"), $C305, INDIRECT("'"&amp;Assemblies[Assy]&amp;"'!"&amp;"O$5:O1000")), "x",Assemblies[Assy],".",IF(SUMIF(INDIRECT("'"&amp;Assemblies[Assy]&amp;"'!"&amp;"C$5:C1000"), $C305, INDIRECT("'"&amp;Assemblies[Assy]&amp;"'!"&amp;"A$5:A1000"))=0,NA(),SUMIF(INDIRECT("'"&amp;Assemblies[Assy]&amp;"'!"&amp;"C$5:C1000"), $C305, INDIRECT("'"&amp;Assemblies[Assy]&amp;"'!"&amp;"A$5:A1000")))),"")), " ,", ""))</f>
        <v>,</v>
      </c>
      <c r="X305" s="2" t="s">
        <v>1382</v>
      </c>
      <c r="Y305" s="2" t="s">
        <v>1382</v>
      </c>
      <c r="Z305" s="2" t="s">
        <v>1382</v>
      </c>
      <c r="AA305" s="2" t="s">
        <v>1382</v>
      </c>
    </row>
    <row r="306" spans="1:27" ht="12.75">
      <c r="A306" s="115" t="s">
        <v>2448</v>
      </c>
      <c r="B306" s="115" t="s">
        <v>54</v>
      </c>
      <c r="C306" s="2" t="str">
        <f t="shared" si="9"/>
        <v>GF12.632.02.A</v>
      </c>
      <c r="D306" s="2" t="s">
        <v>2449</v>
      </c>
      <c r="E306" s="52">
        <f t="shared" si="10"/>
        <v>114.47</v>
      </c>
      <c r="F306" s="5" t="e" cm="1">
        <f t="array" aca="1" ref="F306" ca="1">SUMPRODUCT(SUMIF(INDIRECT("'"&amp;Assemblies[Assy]&amp;"'!"&amp;"C$5:C1000"),$C306,(INDIRECT("'"&amp;Assemblies[Assy]&amp;"'!"&amp;"O$5:O1000"))))</f>
        <v>#VALUE!</v>
      </c>
      <c r="G306" s="5">
        <v>1</v>
      </c>
      <c r="H306" s="5">
        <v>1</v>
      </c>
      <c r="I306" s="2" t="s">
        <v>2176</v>
      </c>
      <c r="J306" s="2" t="s">
        <v>1802</v>
      </c>
      <c r="K306" s="2" t="s">
        <v>1382</v>
      </c>
      <c r="L306" s="2" t="s">
        <v>2167</v>
      </c>
      <c r="M306" s="8" t="s">
        <v>1779</v>
      </c>
      <c r="N306" s="8">
        <v>45159</v>
      </c>
      <c r="O306" s="8">
        <v>45161</v>
      </c>
      <c r="P306" s="8">
        <v>45191</v>
      </c>
      <c r="Q306" s="144">
        <v>45191</v>
      </c>
      <c r="R306" s="223">
        <v>55092</v>
      </c>
      <c r="S306" s="153">
        <v>114.47</v>
      </c>
      <c r="T306" s="52">
        <v>0</v>
      </c>
      <c r="U306" s="52">
        <v>0</v>
      </c>
      <c r="V306" s="52">
        <v>0</v>
      </c>
      <c r="W306" s="2" t="str" cm="1">
        <f t="array" aca="1" ref="W306" ca="1">TRIM(SUBSTITUTE(_xlfn.ARRAYTOTEXT(IFERROR(CONCATENATE(SUMIF(INDIRECT("'"&amp;Assemblies[Assy]&amp;"'!"&amp;"C$5:C1000"), $C306, INDIRECT("'"&amp;Assemblies[Assy]&amp;"'!"&amp;"O$5:O1000")), "x",Assemblies[Assy],".",IF(SUMIF(INDIRECT("'"&amp;Assemblies[Assy]&amp;"'!"&amp;"C$5:C1000"), $C306, INDIRECT("'"&amp;Assemblies[Assy]&amp;"'!"&amp;"A$5:A1000"))=0,NA(),SUMIF(INDIRECT("'"&amp;Assemblies[Assy]&amp;"'!"&amp;"C$5:C1000"), $C306, INDIRECT("'"&amp;Assemblies[Assy]&amp;"'!"&amp;"A$5:A1000")))),"")), " ,", ""))</f>
        <v>,</v>
      </c>
      <c r="X306" s="2" t="s">
        <v>1382</v>
      </c>
      <c r="Y306" s="2" t="s">
        <v>1382</v>
      </c>
      <c r="Z306" s="2" t="s">
        <v>1382</v>
      </c>
      <c r="AA306" s="2" t="s">
        <v>1382</v>
      </c>
    </row>
    <row r="307" spans="1:27" ht="12.75">
      <c r="A307" s="115" t="s">
        <v>2450</v>
      </c>
      <c r="B307" s="115" t="s">
        <v>54</v>
      </c>
      <c r="C307" s="2" t="str">
        <f t="shared" si="9"/>
        <v>GF12.632.03.A</v>
      </c>
      <c r="D307" s="2" t="s">
        <v>2451</v>
      </c>
      <c r="E307" s="52">
        <f t="shared" si="10"/>
        <v>113.87</v>
      </c>
      <c r="F307" s="5" t="e" cm="1">
        <f t="array" aca="1" ref="F307" ca="1">SUMPRODUCT(SUMIF(INDIRECT("'"&amp;Assemblies[Assy]&amp;"'!"&amp;"C$5:C1000"),$C307,(INDIRECT("'"&amp;Assemblies[Assy]&amp;"'!"&amp;"O$5:O1000"))))</f>
        <v>#VALUE!</v>
      </c>
      <c r="G307" s="5">
        <v>1</v>
      </c>
      <c r="H307" s="5">
        <v>1</v>
      </c>
      <c r="I307" s="2" t="s">
        <v>2176</v>
      </c>
      <c r="J307" s="2" t="s">
        <v>1802</v>
      </c>
      <c r="K307" s="2" t="s">
        <v>1382</v>
      </c>
      <c r="L307" s="2" t="s">
        <v>2167</v>
      </c>
      <c r="M307" s="8" t="s">
        <v>1779</v>
      </c>
      <c r="N307" s="8">
        <v>45159</v>
      </c>
      <c r="O307" s="8">
        <v>45161</v>
      </c>
      <c r="P307" s="8">
        <v>45191</v>
      </c>
      <c r="Q307" s="144">
        <v>45191</v>
      </c>
      <c r="R307" s="223">
        <v>55092</v>
      </c>
      <c r="S307" s="153">
        <v>113.87</v>
      </c>
      <c r="T307" s="52">
        <v>0</v>
      </c>
      <c r="U307" s="52">
        <v>0</v>
      </c>
      <c r="V307" s="52">
        <v>0</v>
      </c>
      <c r="W307" s="2" t="str" cm="1">
        <f t="array" aca="1" ref="W307" ca="1">TRIM(SUBSTITUTE(_xlfn.ARRAYTOTEXT(IFERROR(CONCATENATE(SUMIF(INDIRECT("'"&amp;Assemblies[Assy]&amp;"'!"&amp;"C$5:C1000"), $C307, INDIRECT("'"&amp;Assemblies[Assy]&amp;"'!"&amp;"O$5:O1000")), "x",Assemblies[Assy],".",IF(SUMIF(INDIRECT("'"&amp;Assemblies[Assy]&amp;"'!"&amp;"C$5:C1000"), $C307, INDIRECT("'"&amp;Assemblies[Assy]&amp;"'!"&amp;"A$5:A1000"))=0,NA(),SUMIF(INDIRECT("'"&amp;Assemblies[Assy]&amp;"'!"&amp;"C$5:C1000"), $C307, INDIRECT("'"&amp;Assemblies[Assy]&amp;"'!"&amp;"A$5:A1000")))),"")), " ,", ""))</f>
        <v>,</v>
      </c>
      <c r="X307" s="2" t="s">
        <v>1382</v>
      </c>
      <c r="Y307" s="2" t="s">
        <v>1382</v>
      </c>
      <c r="Z307" s="2" t="s">
        <v>1382</v>
      </c>
      <c r="AA307" s="2" t="s">
        <v>1382</v>
      </c>
    </row>
    <row r="308" spans="1:27" ht="12.75">
      <c r="A308" s="115" t="s">
        <v>2452</v>
      </c>
      <c r="B308" s="115" t="s">
        <v>54</v>
      </c>
      <c r="C308" s="2" t="str">
        <f t="shared" si="9"/>
        <v>GF12.632.04.A</v>
      </c>
      <c r="D308" s="2" t="s">
        <v>2453</v>
      </c>
      <c r="E308" s="52">
        <f t="shared" si="10"/>
        <v>113.5</v>
      </c>
      <c r="F308" s="5" t="e" cm="1">
        <f t="array" aca="1" ref="F308" ca="1">SUMPRODUCT(SUMIF(INDIRECT("'"&amp;Assemblies[Assy]&amp;"'!"&amp;"C$5:C1000"),$C308,(INDIRECT("'"&amp;Assemblies[Assy]&amp;"'!"&amp;"O$5:O1000"))))</f>
        <v>#VALUE!</v>
      </c>
      <c r="G308" s="5">
        <v>1</v>
      </c>
      <c r="H308" s="5">
        <v>1</v>
      </c>
      <c r="I308" s="2" t="s">
        <v>2176</v>
      </c>
      <c r="J308" s="2" t="s">
        <v>1802</v>
      </c>
      <c r="K308" s="2" t="s">
        <v>1382</v>
      </c>
      <c r="L308" s="2" t="s">
        <v>2167</v>
      </c>
      <c r="M308" s="8" t="s">
        <v>1779</v>
      </c>
      <c r="N308" s="8">
        <v>45159</v>
      </c>
      <c r="O308" s="8">
        <v>45161</v>
      </c>
      <c r="P308" s="8">
        <v>45191</v>
      </c>
      <c r="Q308" s="144">
        <v>45191</v>
      </c>
      <c r="R308" s="223">
        <v>55092</v>
      </c>
      <c r="S308" s="153">
        <v>113.5</v>
      </c>
      <c r="T308" s="52">
        <v>0</v>
      </c>
      <c r="U308" s="52">
        <v>0</v>
      </c>
      <c r="V308" s="52">
        <v>0</v>
      </c>
      <c r="W308" s="2" t="str" cm="1">
        <f t="array" aca="1" ref="W308" ca="1">TRIM(SUBSTITUTE(_xlfn.ARRAYTOTEXT(IFERROR(CONCATENATE(SUMIF(INDIRECT("'"&amp;Assemblies[Assy]&amp;"'!"&amp;"C$5:C1000"), $C308, INDIRECT("'"&amp;Assemblies[Assy]&amp;"'!"&amp;"O$5:O1000")), "x",Assemblies[Assy],".",IF(SUMIF(INDIRECT("'"&amp;Assemblies[Assy]&amp;"'!"&amp;"C$5:C1000"), $C308, INDIRECT("'"&amp;Assemblies[Assy]&amp;"'!"&amp;"A$5:A1000"))=0,NA(),SUMIF(INDIRECT("'"&amp;Assemblies[Assy]&amp;"'!"&amp;"C$5:C1000"), $C308, INDIRECT("'"&amp;Assemblies[Assy]&amp;"'!"&amp;"A$5:A1000")))),"")), " ,", ""))</f>
        <v>,</v>
      </c>
      <c r="X308" s="2" t="s">
        <v>1382</v>
      </c>
      <c r="Y308" s="2" t="s">
        <v>1382</v>
      </c>
      <c r="Z308" s="2" t="s">
        <v>1382</v>
      </c>
      <c r="AA308" s="2" t="s">
        <v>1382</v>
      </c>
    </row>
    <row r="309" spans="1:27" ht="12.75">
      <c r="A309" s="115" t="s">
        <v>2454</v>
      </c>
      <c r="B309" s="115" t="s">
        <v>54</v>
      </c>
      <c r="C309" s="2" t="str">
        <f t="shared" si="9"/>
        <v>GF12.632.05.A</v>
      </c>
      <c r="D309" s="2" t="s">
        <v>2455</v>
      </c>
      <c r="E309" s="52">
        <f t="shared" si="10"/>
        <v>114.47</v>
      </c>
      <c r="F309" s="5" t="e" cm="1">
        <f t="array" aca="1" ref="F309" ca="1">SUMPRODUCT(SUMIF(INDIRECT("'"&amp;Assemblies[Assy]&amp;"'!"&amp;"C$5:C1000"),$C309,(INDIRECT("'"&amp;Assemblies[Assy]&amp;"'!"&amp;"O$5:O1000"))))</f>
        <v>#VALUE!</v>
      </c>
      <c r="G309" s="5">
        <v>1</v>
      </c>
      <c r="H309" s="5">
        <v>1</v>
      </c>
      <c r="I309" s="2" t="s">
        <v>2176</v>
      </c>
      <c r="J309" s="2" t="s">
        <v>1802</v>
      </c>
      <c r="K309" s="2" t="s">
        <v>1382</v>
      </c>
      <c r="L309" s="2" t="s">
        <v>2167</v>
      </c>
      <c r="M309" s="8" t="s">
        <v>1779</v>
      </c>
      <c r="N309" s="8">
        <v>45159</v>
      </c>
      <c r="O309" s="8">
        <v>45161</v>
      </c>
      <c r="P309" s="8">
        <v>45191</v>
      </c>
      <c r="Q309" s="144">
        <v>45191</v>
      </c>
      <c r="R309" s="223">
        <v>55092</v>
      </c>
      <c r="S309" s="153">
        <v>114.47</v>
      </c>
      <c r="T309" s="52">
        <v>0</v>
      </c>
      <c r="U309" s="52">
        <v>0</v>
      </c>
      <c r="V309" s="52">
        <v>0</v>
      </c>
      <c r="W309" s="2" t="str" cm="1">
        <f t="array" aca="1" ref="W309" ca="1">TRIM(SUBSTITUTE(_xlfn.ARRAYTOTEXT(IFERROR(CONCATENATE(SUMIF(INDIRECT("'"&amp;Assemblies[Assy]&amp;"'!"&amp;"C$5:C1000"), $C309, INDIRECT("'"&amp;Assemblies[Assy]&amp;"'!"&amp;"O$5:O1000")), "x",Assemblies[Assy],".",IF(SUMIF(INDIRECT("'"&amp;Assemblies[Assy]&amp;"'!"&amp;"C$5:C1000"), $C309, INDIRECT("'"&amp;Assemblies[Assy]&amp;"'!"&amp;"A$5:A1000"))=0,NA(),SUMIF(INDIRECT("'"&amp;Assemblies[Assy]&amp;"'!"&amp;"C$5:C1000"), $C309, INDIRECT("'"&amp;Assemblies[Assy]&amp;"'!"&amp;"A$5:A1000")))),"")), " ,", ""))</f>
        <v>,</v>
      </c>
      <c r="X309" s="2" t="s">
        <v>1382</v>
      </c>
      <c r="Y309" s="2" t="s">
        <v>1382</v>
      </c>
      <c r="Z309" s="2" t="s">
        <v>1382</v>
      </c>
      <c r="AA309" s="2" t="s">
        <v>1382</v>
      </c>
    </row>
    <row r="310" spans="1:27" ht="12.75">
      <c r="A310" s="115" t="s">
        <v>2456</v>
      </c>
      <c r="B310" s="115" t="s">
        <v>54</v>
      </c>
      <c r="C310" s="2" t="str">
        <f t="shared" si="9"/>
        <v>GF12.632.06.A</v>
      </c>
      <c r="D310" s="2" t="s">
        <v>2457</v>
      </c>
      <c r="E310" s="52">
        <f t="shared" si="10"/>
        <v>93.55</v>
      </c>
      <c r="F310" s="5" t="e" cm="1">
        <f t="array" aca="1" ref="F310" ca="1">SUMPRODUCT(SUMIF(INDIRECT("'"&amp;Assemblies[Assy]&amp;"'!"&amp;"C$5:C1000"),$C310,(INDIRECT("'"&amp;Assemblies[Assy]&amp;"'!"&amp;"O$5:O1000"))))</f>
        <v>#VALUE!</v>
      </c>
      <c r="G310" s="5">
        <v>1</v>
      </c>
      <c r="H310" s="5">
        <v>1</v>
      </c>
      <c r="I310" s="2" t="s">
        <v>2166</v>
      </c>
      <c r="J310" s="2" t="s">
        <v>1802</v>
      </c>
      <c r="K310" s="2" t="s">
        <v>1382</v>
      </c>
      <c r="L310" s="2" t="s">
        <v>2167</v>
      </c>
      <c r="M310" s="8" t="s">
        <v>1779</v>
      </c>
      <c r="N310" s="8">
        <v>45159</v>
      </c>
      <c r="O310" s="8">
        <v>45161</v>
      </c>
      <c r="P310" s="8">
        <v>45191</v>
      </c>
      <c r="Q310" s="144">
        <v>45191</v>
      </c>
      <c r="R310" s="223">
        <v>55092</v>
      </c>
      <c r="S310" s="153">
        <v>93.55</v>
      </c>
      <c r="T310" s="52">
        <v>0</v>
      </c>
      <c r="U310" s="52">
        <v>0</v>
      </c>
      <c r="V310" s="52">
        <v>0</v>
      </c>
      <c r="W310" s="2" t="str" cm="1">
        <f t="array" aca="1" ref="W310" ca="1">TRIM(SUBSTITUTE(_xlfn.ARRAYTOTEXT(IFERROR(CONCATENATE(SUMIF(INDIRECT("'"&amp;Assemblies[Assy]&amp;"'!"&amp;"C$5:C1000"), $C310, INDIRECT("'"&amp;Assemblies[Assy]&amp;"'!"&amp;"O$5:O1000")), "x",Assemblies[Assy],".",IF(SUMIF(INDIRECT("'"&amp;Assemblies[Assy]&amp;"'!"&amp;"C$5:C1000"), $C310, INDIRECT("'"&amp;Assemblies[Assy]&amp;"'!"&amp;"A$5:A1000"))=0,NA(),SUMIF(INDIRECT("'"&amp;Assemblies[Assy]&amp;"'!"&amp;"C$5:C1000"), $C310, INDIRECT("'"&amp;Assemblies[Assy]&amp;"'!"&amp;"A$5:A1000")))),"")), " ,", ""))</f>
        <v>,</v>
      </c>
      <c r="X310" s="2" t="s">
        <v>1382</v>
      </c>
      <c r="Y310" s="2" t="s">
        <v>1382</v>
      </c>
      <c r="Z310" s="2" t="s">
        <v>1382</v>
      </c>
      <c r="AA310" s="2" t="s">
        <v>1382</v>
      </c>
    </row>
    <row r="311" spans="1:27" ht="12.75">
      <c r="A311" s="115" t="s">
        <v>2458</v>
      </c>
      <c r="B311" s="115" t="s">
        <v>54</v>
      </c>
      <c r="C311" s="2" t="str">
        <f t="shared" si="9"/>
        <v>GF12.632.07.A</v>
      </c>
      <c r="D311" s="2" t="s">
        <v>2459</v>
      </c>
      <c r="E311" s="52">
        <f t="shared" si="10"/>
        <v>92.68</v>
      </c>
      <c r="F311" s="5" t="e" cm="1">
        <f t="array" aca="1" ref="F311" ca="1">SUMPRODUCT(SUMIF(INDIRECT("'"&amp;Assemblies[Assy]&amp;"'!"&amp;"C$5:C1000"),$C311,(INDIRECT("'"&amp;Assemblies[Assy]&amp;"'!"&amp;"O$5:O1000"))))</f>
        <v>#VALUE!</v>
      </c>
      <c r="G311" s="5">
        <v>1</v>
      </c>
      <c r="H311" s="5">
        <v>1</v>
      </c>
      <c r="I311" s="2" t="s">
        <v>2166</v>
      </c>
      <c r="J311" s="2" t="s">
        <v>1802</v>
      </c>
      <c r="K311" s="2" t="s">
        <v>1382</v>
      </c>
      <c r="L311" s="2" t="s">
        <v>2167</v>
      </c>
      <c r="M311" s="8" t="s">
        <v>1779</v>
      </c>
      <c r="N311" s="8">
        <v>45159</v>
      </c>
      <c r="O311" s="8">
        <v>45161</v>
      </c>
      <c r="P311" s="8">
        <v>45191</v>
      </c>
      <c r="Q311" s="144">
        <v>45191</v>
      </c>
      <c r="R311" s="223">
        <v>55092</v>
      </c>
      <c r="S311" s="153">
        <v>92.68</v>
      </c>
      <c r="T311" s="52">
        <v>0</v>
      </c>
      <c r="U311" s="52">
        <v>0</v>
      </c>
      <c r="V311" s="52">
        <v>0</v>
      </c>
      <c r="W311" s="2" t="str" cm="1">
        <f t="array" aca="1" ref="W311" ca="1">TRIM(SUBSTITUTE(_xlfn.ARRAYTOTEXT(IFERROR(CONCATENATE(SUMIF(INDIRECT("'"&amp;Assemblies[Assy]&amp;"'!"&amp;"C$5:C1000"), $C311, INDIRECT("'"&amp;Assemblies[Assy]&amp;"'!"&amp;"O$5:O1000")), "x",Assemblies[Assy],".",IF(SUMIF(INDIRECT("'"&amp;Assemblies[Assy]&amp;"'!"&amp;"C$5:C1000"), $C311, INDIRECT("'"&amp;Assemblies[Assy]&amp;"'!"&amp;"A$5:A1000"))=0,NA(),SUMIF(INDIRECT("'"&amp;Assemblies[Assy]&amp;"'!"&amp;"C$5:C1000"), $C311, INDIRECT("'"&amp;Assemblies[Assy]&amp;"'!"&amp;"A$5:A1000")))),"")), " ,", ""))</f>
        <v>,</v>
      </c>
      <c r="X311" s="2" t="s">
        <v>1382</v>
      </c>
      <c r="Y311" s="2" t="s">
        <v>1382</v>
      </c>
      <c r="Z311" s="2" t="s">
        <v>1382</v>
      </c>
      <c r="AA311" s="2" t="s">
        <v>1382</v>
      </c>
    </row>
    <row r="312" spans="1:27" ht="12.75">
      <c r="A312" s="115" t="s">
        <v>2460</v>
      </c>
      <c r="B312" s="115" t="s">
        <v>54</v>
      </c>
      <c r="C312" s="2" t="str">
        <f t="shared" si="9"/>
        <v>GF12.632.08.A</v>
      </c>
      <c r="D312" s="2" t="s">
        <v>2461</v>
      </c>
      <c r="E312" s="52">
        <f t="shared" si="10"/>
        <v>92.14</v>
      </c>
      <c r="F312" s="5" t="e" cm="1">
        <f t="array" aca="1" ref="F312" ca="1">SUMPRODUCT(SUMIF(INDIRECT("'"&amp;Assemblies[Assy]&amp;"'!"&amp;"C$5:C1000"),$C312,(INDIRECT("'"&amp;Assemblies[Assy]&amp;"'!"&amp;"O$5:O1000"))))</f>
        <v>#VALUE!</v>
      </c>
      <c r="G312" s="5">
        <v>1</v>
      </c>
      <c r="H312" s="5">
        <v>1</v>
      </c>
      <c r="I312" s="2" t="s">
        <v>2166</v>
      </c>
      <c r="J312" s="2" t="s">
        <v>1802</v>
      </c>
      <c r="K312" s="2" t="s">
        <v>1382</v>
      </c>
      <c r="L312" s="2" t="s">
        <v>2167</v>
      </c>
      <c r="M312" s="8" t="s">
        <v>1779</v>
      </c>
      <c r="N312" s="8">
        <v>45159</v>
      </c>
      <c r="O312" s="8">
        <v>45161</v>
      </c>
      <c r="P312" s="8">
        <v>45191</v>
      </c>
      <c r="Q312" s="144">
        <v>45191</v>
      </c>
      <c r="R312" s="223">
        <v>55092</v>
      </c>
      <c r="S312" s="153">
        <v>92.14</v>
      </c>
      <c r="T312" s="52">
        <v>0</v>
      </c>
      <c r="U312" s="52">
        <v>0</v>
      </c>
      <c r="V312" s="52">
        <v>0</v>
      </c>
      <c r="W312" s="2" t="str" cm="1">
        <f t="array" aca="1" ref="W312" ca="1">TRIM(SUBSTITUTE(_xlfn.ARRAYTOTEXT(IFERROR(CONCATENATE(SUMIF(INDIRECT("'"&amp;Assemblies[Assy]&amp;"'!"&amp;"C$5:C1000"), $C312, INDIRECT("'"&amp;Assemblies[Assy]&amp;"'!"&amp;"O$5:O1000")), "x",Assemblies[Assy],".",IF(SUMIF(INDIRECT("'"&amp;Assemblies[Assy]&amp;"'!"&amp;"C$5:C1000"), $C312, INDIRECT("'"&amp;Assemblies[Assy]&amp;"'!"&amp;"A$5:A1000"))=0,NA(),SUMIF(INDIRECT("'"&amp;Assemblies[Assy]&amp;"'!"&amp;"C$5:C1000"), $C312, INDIRECT("'"&amp;Assemblies[Assy]&amp;"'!"&amp;"A$5:A1000")))),"")), " ,", ""))</f>
        <v>,</v>
      </c>
      <c r="X312" s="2" t="s">
        <v>1382</v>
      </c>
      <c r="Y312" s="2" t="s">
        <v>1382</v>
      </c>
      <c r="Z312" s="2" t="s">
        <v>1382</v>
      </c>
      <c r="AA312" s="2" t="s">
        <v>1382</v>
      </c>
    </row>
    <row r="313" spans="1:27" ht="12.75">
      <c r="A313" s="115" t="s">
        <v>2462</v>
      </c>
      <c r="B313" s="115" t="s">
        <v>54</v>
      </c>
      <c r="C313" s="2" t="str">
        <f t="shared" si="9"/>
        <v>GF12.632.09.A</v>
      </c>
      <c r="D313" s="2" t="s">
        <v>2463</v>
      </c>
      <c r="E313" s="52">
        <f t="shared" si="10"/>
        <v>93.55</v>
      </c>
      <c r="F313" s="5" t="e" cm="1">
        <f t="array" aca="1" ref="F313" ca="1">SUMPRODUCT(SUMIF(INDIRECT("'"&amp;Assemblies[Assy]&amp;"'!"&amp;"C$5:C1000"),$C313,(INDIRECT("'"&amp;Assemblies[Assy]&amp;"'!"&amp;"O$5:O1000"))))</f>
        <v>#VALUE!</v>
      </c>
      <c r="G313" s="5">
        <v>1</v>
      </c>
      <c r="H313" s="5">
        <v>1</v>
      </c>
      <c r="I313" s="2" t="s">
        <v>2166</v>
      </c>
      <c r="J313" s="2" t="s">
        <v>1802</v>
      </c>
      <c r="K313" s="2" t="s">
        <v>1382</v>
      </c>
      <c r="L313" s="2" t="s">
        <v>2167</v>
      </c>
      <c r="M313" s="8" t="s">
        <v>1779</v>
      </c>
      <c r="N313" s="8">
        <v>45159</v>
      </c>
      <c r="O313" s="8">
        <v>45161</v>
      </c>
      <c r="P313" s="8">
        <v>45191</v>
      </c>
      <c r="Q313" s="144">
        <v>45191</v>
      </c>
      <c r="R313" s="223">
        <v>55092</v>
      </c>
      <c r="S313" s="153">
        <v>93.55</v>
      </c>
      <c r="T313" s="52">
        <v>0</v>
      </c>
      <c r="U313" s="52">
        <v>0</v>
      </c>
      <c r="V313" s="52">
        <v>0</v>
      </c>
      <c r="W313" s="2" t="str" cm="1">
        <f t="array" aca="1" ref="W313" ca="1">TRIM(SUBSTITUTE(_xlfn.ARRAYTOTEXT(IFERROR(CONCATENATE(SUMIF(INDIRECT("'"&amp;Assemblies[Assy]&amp;"'!"&amp;"C$5:C1000"), $C313, INDIRECT("'"&amp;Assemblies[Assy]&amp;"'!"&amp;"O$5:O1000")), "x",Assemblies[Assy],".",IF(SUMIF(INDIRECT("'"&amp;Assemblies[Assy]&amp;"'!"&amp;"C$5:C1000"), $C313, INDIRECT("'"&amp;Assemblies[Assy]&amp;"'!"&amp;"A$5:A1000"))=0,NA(),SUMIF(INDIRECT("'"&amp;Assemblies[Assy]&amp;"'!"&amp;"C$5:C1000"), $C313, INDIRECT("'"&amp;Assemblies[Assy]&amp;"'!"&amp;"A$5:A1000")))),"")), " ,", ""))</f>
        <v>,</v>
      </c>
      <c r="X313" s="2" t="s">
        <v>1382</v>
      </c>
      <c r="Y313" s="2" t="s">
        <v>1382</v>
      </c>
      <c r="Z313" s="2" t="s">
        <v>1382</v>
      </c>
      <c r="AA313" s="2" t="s">
        <v>1382</v>
      </c>
    </row>
    <row r="314" spans="1:27" ht="12.75">
      <c r="A314" s="115" t="s">
        <v>2464</v>
      </c>
      <c r="B314" s="115" t="s">
        <v>54</v>
      </c>
      <c r="C314" s="2" t="str">
        <f t="shared" si="9"/>
        <v>GF12.632.10.A</v>
      </c>
      <c r="D314" s="2" t="s">
        <v>2465</v>
      </c>
      <c r="E314" s="52">
        <f t="shared" si="10"/>
        <v>34.020000000000003</v>
      </c>
      <c r="F314" s="5" t="e" cm="1">
        <f t="array" aca="1" ref="F314" ca="1">SUMPRODUCT(SUMIF(INDIRECT("'"&amp;Assemblies[Assy]&amp;"'!"&amp;"C$5:C1000"),$C314,(INDIRECT("'"&amp;Assemblies[Assy]&amp;"'!"&amp;"O$5:O1000"))))</f>
        <v>#VALUE!</v>
      </c>
      <c r="G314" s="5">
        <v>4</v>
      </c>
      <c r="H314" s="5">
        <v>4</v>
      </c>
      <c r="I314" s="2" t="s">
        <v>2166</v>
      </c>
      <c r="J314" s="2" t="s">
        <v>1802</v>
      </c>
      <c r="K314" s="2" t="s">
        <v>1382</v>
      </c>
      <c r="L314" s="2" t="s">
        <v>2167</v>
      </c>
      <c r="M314" s="8" t="s">
        <v>1779</v>
      </c>
      <c r="N314" s="8">
        <v>45159</v>
      </c>
      <c r="O314" s="8">
        <v>45161</v>
      </c>
      <c r="P314" s="8">
        <v>45191</v>
      </c>
      <c r="Q314" s="144">
        <v>45191</v>
      </c>
      <c r="R314" s="223">
        <v>55092</v>
      </c>
      <c r="S314" s="153">
        <v>34.020000000000003</v>
      </c>
      <c r="T314" s="52">
        <v>0</v>
      </c>
      <c r="U314" s="52">
        <v>0</v>
      </c>
      <c r="V314" s="52">
        <v>0</v>
      </c>
      <c r="W314" s="2" t="str" cm="1">
        <f t="array" aca="1" ref="W314" ca="1">TRIM(SUBSTITUTE(_xlfn.ARRAYTOTEXT(IFERROR(CONCATENATE(SUMIF(INDIRECT("'"&amp;Assemblies[Assy]&amp;"'!"&amp;"C$5:C1000"), $C314, INDIRECT("'"&amp;Assemblies[Assy]&amp;"'!"&amp;"O$5:O1000")), "x",Assemblies[Assy],".",IF(SUMIF(INDIRECT("'"&amp;Assemblies[Assy]&amp;"'!"&amp;"C$5:C1000"), $C314, INDIRECT("'"&amp;Assemblies[Assy]&amp;"'!"&amp;"A$5:A1000"))=0,NA(),SUMIF(INDIRECT("'"&amp;Assemblies[Assy]&amp;"'!"&amp;"C$5:C1000"), $C314, INDIRECT("'"&amp;Assemblies[Assy]&amp;"'!"&amp;"A$5:A1000")))),"")), " ,", ""))</f>
        <v>,</v>
      </c>
      <c r="X314" s="2" t="s">
        <v>1382</v>
      </c>
      <c r="Y314" s="2" t="s">
        <v>1382</v>
      </c>
      <c r="Z314" s="2" t="s">
        <v>1382</v>
      </c>
      <c r="AA314" s="2" t="s">
        <v>1382</v>
      </c>
    </row>
    <row r="315" spans="1:27" ht="12.75">
      <c r="A315" s="115" t="s">
        <v>2466</v>
      </c>
      <c r="B315" s="115" t="s">
        <v>56</v>
      </c>
      <c r="C315" s="2" t="str">
        <f t="shared" si="9"/>
        <v>GF12.632.11.B</v>
      </c>
      <c r="D315" s="2" t="s">
        <v>2467</v>
      </c>
      <c r="E315" s="52">
        <f t="shared" si="10"/>
        <v>0</v>
      </c>
      <c r="F315" s="5" t="e" cm="1">
        <f t="array" aca="1" ref="F315" ca="1">SUMPRODUCT(SUMIF(INDIRECT("'"&amp;Assemblies[Assy]&amp;"'!"&amp;"C$5:C1000"),$C315,(INDIRECT("'"&amp;Assemblies[Assy]&amp;"'!"&amp;"O$5:O1000"))))</f>
        <v>#VALUE!</v>
      </c>
      <c r="G315" s="5">
        <v>4</v>
      </c>
      <c r="H315" s="5">
        <v>4</v>
      </c>
      <c r="I315" s="2" t="s">
        <v>1838</v>
      </c>
      <c r="J315" s="2" t="s">
        <v>1761</v>
      </c>
      <c r="K315" s="2" t="s">
        <v>1382</v>
      </c>
      <c r="L315" s="2" t="s">
        <v>1812</v>
      </c>
      <c r="N315" s="163" t="s">
        <v>1762</v>
      </c>
      <c r="O315" s="163" t="s">
        <v>1762</v>
      </c>
      <c r="P315" s="163" t="s">
        <v>1762</v>
      </c>
      <c r="Q315" s="163" t="s">
        <v>1762</v>
      </c>
      <c r="R315" s="222" t="s">
        <v>1762</v>
      </c>
      <c r="S315" s="153">
        <v>0</v>
      </c>
      <c r="T315" s="52">
        <v>0</v>
      </c>
      <c r="U315" s="52">
        <v>0</v>
      </c>
      <c r="V315" s="52">
        <v>0</v>
      </c>
      <c r="W315" s="2" t="str" cm="1">
        <f t="array" aca="1" ref="W315" ca="1">TRIM(SUBSTITUTE(_xlfn.ARRAYTOTEXT(IFERROR(CONCATENATE(SUMIF(INDIRECT("'"&amp;Assemblies[Assy]&amp;"'!"&amp;"C$5:C1000"), $C315, INDIRECT("'"&amp;Assemblies[Assy]&amp;"'!"&amp;"O$5:O1000")), "x",Assemblies[Assy],".",IF(SUMIF(INDIRECT("'"&amp;Assemblies[Assy]&amp;"'!"&amp;"C$5:C1000"), $C315, INDIRECT("'"&amp;Assemblies[Assy]&amp;"'!"&amp;"A$5:A1000"))=0,NA(),SUMIF(INDIRECT("'"&amp;Assemblies[Assy]&amp;"'!"&amp;"C$5:C1000"), $C315, INDIRECT("'"&amp;Assemblies[Assy]&amp;"'!"&amp;"A$5:A1000")))),"")), " ,", ""))</f>
        <v>,</v>
      </c>
      <c r="X315" s="2" t="s">
        <v>1382</v>
      </c>
      <c r="Y315" s="2" t="s">
        <v>1382</v>
      </c>
      <c r="Z315" s="2" t="s">
        <v>1382</v>
      </c>
      <c r="AA315" s="2" t="s">
        <v>1382</v>
      </c>
    </row>
    <row r="316" spans="1:27" ht="12.75">
      <c r="A316" s="115" t="s">
        <v>2468</v>
      </c>
      <c r="B316" s="115" t="s">
        <v>56</v>
      </c>
      <c r="C316" s="2" t="str">
        <f t="shared" si="9"/>
        <v>GF12.632.12.B</v>
      </c>
      <c r="D316" s="2" t="s">
        <v>2469</v>
      </c>
      <c r="E316" s="52">
        <f t="shared" si="10"/>
        <v>0</v>
      </c>
      <c r="F316" s="5" t="e" cm="1">
        <f t="array" aca="1" ref="F316" ca="1">SUMPRODUCT(SUMIF(INDIRECT("'"&amp;Assemblies[Assy]&amp;"'!"&amp;"C$5:C1000"),$C316,(INDIRECT("'"&amp;Assemblies[Assy]&amp;"'!"&amp;"O$5:O1000"))))</f>
        <v>#VALUE!</v>
      </c>
      <c r="G316" s="5">
        <v>6</v>
      </c>
      <c r="H316" s="5">
        <v>6</v>
      </c>
      <c r="I316" s="2" t="s">
        <v>1838</v>
      </c>
      <c r="J316" s="2" t="s">
        <v>1761</v>
      </c>
      <c r="K316" s="2" t="s">
        <v>1382</v>
      </c>
      <c r="L316" s="2" t="s">
        <v>1812</v>
      </c>
      <c r="M316" s="8" t="s">
        <v>1779</v>
      </c>
      <c r="N316" s="163" t="s">
        <v>1762</v>
      </c>
      <c r="O316" s="163" t="s">
        <v>1762</v>
      </c>
      <c r="P316" s="163" t="s">
        <v>1762</v>
      </c>
      <c r="Q316" s="163" t="s">
        <v>1762</v>
      </c>
      <c r="R316" s="222" t="s">
        <v>1762</v>
      </c>
      <c r="S316" s="153">
        <v>0</v>
      </c>
      <c r="T316" s="52">
        <v>0</v>
      </c>
      <c r="U316" s="52">
        <v>0</v>
      </c>
      <c r="V316" s="52">
        <v>0</v>
      </c>
      <c r="W316" s="2" t="str" cm="1">
        <f t="array" aca="1" ref="W316" ca="1">TRIM(SUBSTITUTE(_xlfn.ARRAYTOTEXT(IFERROR(CONCATENATE(SUMIF(INDIRECT("'"&amp;Assemblies[Assy]&amp;"'!"&amp;"C$5:C1000"), $C316, INDIRECT("'"&amp;Assemblies[Assy]&amp;"'!"&amp;"O$5:O1000")), "x",Assemblies[Assy],".",IF(SUMIF(INDIRECT("'"&amp;Assemblies[Assy]&amp;"'!"&amp;"C$5:C1000"), $C316, INDIRECT("'"&amp;Assemblies[Assy]&amp;"'!"&amp;"A$5:A1000"))=0,NA(),SUMIF(INDIRECT("'"&amp;Assemblies[Assy]&amp;"'!"&amp;"C$5:C1000"), $C316, INDIRECT("'"&amp;Assemblies[Assy]&amp;"'!"&amp;"A$5:A1000")))),"")), " ,", ""))</f>
        <v>,</v>
      </c>
      <c r="X316" s="2" t="s">
        <v>1382</v>
      </c>
      <c r="Y316" s="2" t="s">
        <v>1382</v>
      </c>
      <c r="Z316" s="2" t="s">
        <v>1382</v>
      </c>
      <c r="AA316" s="2" t="s">
        <v>1382</v>
      </c>
    </row>
    <row r="317" spans="1:27" ht="12.75">
      <c r="A317" s="115" t="s">
        <v>2470</v>
      </c>
      <c r="B317" s="115" t="s">
        <v>54</v>
      </c>
      <c r="C317" s="2" t="str">
        <f t="shared" si="9"/>
        <v>GF12.632.13.A</v>
      </c>
      <c r="D317" s="2" t="s">
        <v>2471</v>
      </c>
      <c r="E317" s="52">
        <f t="shared" si="10"/>
        <v>34.020000000000003</v>
      </c>
      <c r="F317" s="5" t="e" cm="1">
        <f t="array" aca="1" ref="F317" ca="1">SUMPRODUCT(SUMIF(INDIRECT("'"&amp;Assemblies[Assy]&amp;"'!"&amp;"C$5:C1000"),$C317,(INDIRECT("'"&amp;Assemblies[Assy]&amp;"'!"&amp;"O$5:O1000"))))</f>
        <v>#VALUE!</v>
      </c>
      <c r="G317" s="5">
        <v>4</v>
      </c>
      <c r="H317" s="5">
        <v>4</v>
      </c>
      <c r="I317" s="2" t="s">
        <v>2176</v>
      </c>
      <c r="J317" s="2" t="s">
        <v>1802</v>
      </c>
      <c r="K317" s="2" t="s">
        <v>1382</v>
      </c>
      <c r="L317" s="2" t="s">
        <v>2167</v>
      </c>
      <c r="M317" s="8" t="s">
        <v>1779</v>
      </c>
      <c r="N317" s="8">
        <v>45159</v>
      </c>
      <c r="O317" s="8">
        <v>45161</v>
      </c>
      <c r="P317" s="8">
        <v>45191</v>
      </c>
      <c r="Q317" s="144">
        <v>45191</v>
      </c>
      <c r="R317" s="223">
        <v>55092</v>
      </c>
      <c r="S317" s="153">
        <v>34.020000000000003</v>
      </c>
      <c r="T317" s="52">
        <v>0</v>
      </c>
      <c r="U317" s="52">
        <v>0</v>
      </c>
      <c r="V317" s="52">
        <v>0</v>
      </c>
      <c r="W317" s="2" t="str" cm="1">
        <f t="array" aca="1" ref="W317" ca="1">TRIM(SUBSTITUTE(_xlfn.ARRAYTOTEXT(IFERROR(CONCATENATE(SUMIF(INDIRECT("'"&amp;Assemblies[Assy]&amp;"'!"&amp;"C$5:C1000"), $C317, INDIRECT("'"&amp;Assemblies[Assy]&amp;"'!"&amp;"O$5:O1000")), "x",Assemblies[Assy],".",IF(SUMIF(INDIRECT("'"&amp;Assemblies[Assy]&amp;"'!"&amp;"C$5:C1000"), $C317, INDIRECT("'"&amp;Assemblies[Assy]&amp;"'!"&amp;"A$5:A1000"))=0,NA(),SUMIF(INDIRECT("'"&amp;Assemblies[Assy]&amp;"'!"&amp;"C$5:C1000"), $C317, INDIRECT("'"&amp;Assemblies[Assy]&amp;"'!"&amp;"A$5:A1000")))),"")), " ,", ""))</f>
        <v>,</v>
      </c>
      <c r="X317" s="2" t="s">
        <v>1382</v>
      </c>
      <c r="Y317" s="2" t="s">
        <v>1382</v>
      </c>
      <c r="Z317" s="2" t="s">
        <v>1382</v>
      </c>
      <c r="AA317" s="2" t="s">
        <v>1382</v>
      </c>
    </row>
    <row r="318" spans="1:27" ht="12.75">
      <c r="A318" s="115" t="s">
        <v>2472</v>
      </c>
      <c r="B318" s="115" t="s">
        <v>54</v>
      </c>
      <c r="C318" s="2" t="str">
        <f t="shared" si="9"/>
        <v>GF12.632.14.A</v>
      </c>
      <c r="D318" s="2" t="s">
        <v>2473</v>
      </c>
      <c r="E318" s="52">
        <f t="shared" si="10"/>
        <v>127.45</v>
      </c>
      <c r="F318" s="5" t="e" cm="1">
        <f t="array" aca="1" ref="F318" ca="1">SUMPRODUCT(SUMIF(INDIRECT("'"&amp;Assemblies[Assy]&amp;"'!"&amp;"C$5:C1000"),$C318,(INDIRECT("'"&amp;Assemblies[Assy]&amp;"'!"&amp;"O$5:O1000"))))</f>
        <v>#VALUE!</v>
      </c>
      <c r="G318" s="5">
        <v>1</v>
      </c>
      <c r="H318" s="5">
        <v>1</v>
      </c>
      <c r="I318" s="2" t="s">
        <v>2166</v>
      </c>
      <c r="J318" s="2" t="s">
        <v>1802</v>
      </c>
      <c r="K318" s="2" t="s">
        <v>1382</v>
      </c>
      <c r="L318" s="2" t="s">
        <v>2167</v>
      </c>
      <c r="M318" s="8" t="s">
        <v>1779</v>
      </c>
      <c r="N318" s="8">
        <v>45159</v>
      </c>
      <c r="O318" s="8">
        <v>45161</v>
      </c>
      <c r="P318" s="8">
        <v>45191</v>
      </c>
      <c r="Q318" s="144">
        <v>45191</v>
      </c>
      <c r="R318" s="223">
        <v>55092</v>
      </c>
      <c r="S318" s="153">
        <v>127.45</v>
      </c>
      <c r="T318" s="52">
        <v>0</v>
      </c>
      <c r="U318" s="52">
        <v>0</v>
      </c>
      <c r="V318" s="52">
        <v>0</v>
      </c>
      <c r="W318" s="2" t="str" cm="1">
        <f t="array" aca="1" ref="W318" ca="1">TRIM(SUBSTITUTE(_xlfn.ARRAYTOTEXT(IFERROR(CONCATENATE(SUMIF(INDIRECT("'"&amp;Assemblies[Assy]&amp;"'!"&amp;"C$5:C1000"), $C318, INDIRECT("'"&amp;Assemblies[Assy]&amp;"'!"&amp;"O$5:O1000")), "x",Assemblies[Assy],".",IF(SUMIF(INDIRECT("'"&amp;Assemblies[Assy]&amp;"'!"&amp;"C$5:C1000"), $C318, INDIRECT("'"&amp;Assemblies[Assy]&amp;"'!"&amp;"A$5:A1000"))=0,NA(),SUMIF(INDIRECT("'"&amp;Assemblies[Assy]&amp;"'!"&amp;"C$5:C1000"), $C318, INDIRECT("'"&amp;Assemblies[Assy]&amp;"'!"&amp;"A$5:A1000")))),"")), " ,", ""))</f>
        <v>,</v>
      </c>
      <c r="X318" s="2" t="s">
        <v>1382</v>
      </c>
      <c r="Y318" s="2" t="s">
        <v>1382</v>
      </c>
      <c r="Z318" s="2" t="s">
        <v>1382</v>
      </c>
      <c r="AA318" s="2" t="s">
        <v>1382</v>
      </c>
    </row>
    <row r="319" spans="1:27" ht="12.75">
      <c r="A319" s="115" t="s">
        <v>2474</v>
      </c>
      <c r="B319" s="115" t="s">
        <v>54</v>
      </c>
      <c r="C319" s="2" t="str">
        <f t="shared" si="9"/>
        <v>GF12.633.02.A</v>
      </c>
      <c r="D319" s="2" t="s">
        <v>2475</v>
      </c>
      <c r="E319" s="52">
        <f t="shared" si="10"/>
        <v>132.69999999999999</v>
      </c>
      <c r="F319" s="5" t="e" cm="1">
        <f t="array" aca="1" ref="F319" ca="1">SUMPRODUCT(SUMIF(INDIRECT("'"&amp;Assemblies[Assy]&amp;"'!"&amp;"C$5:C1000"),$C319,(INDIRECT("'"&amp;Assemblies[Assy]&amp;"'!"&amp;"O$5:O1000"))))</f>
        <v>#VALUE!</v>
      </c>
      <c r="G319" s="5">
        <v>1</v>
      </c>
      <c r="H319" s="5">
        <v>1</v>
      </c>
      <c r="I319" s="2" t="s">
        <v>2176</v>
      </c>
      <c r="J319" s="2" t="s">
        <v>1802</v>
      </c>
      <c r="K319" s="2" t="s">
        <v>1382</v>
      </c>
      <c r="L319" s="2" t="s">
        <v>2167</v>
      </c>
      <c r="M319" s="8" t="s">
        <v>1779</v>
      </c>
      <c r="N319" s="8">
        <v>45159</v>
      </c>
      <c r="O319" s="8">
        <v>45161</v>
      </c>
      <c r="P319" s="8">
        <v>45191</v>
      </c>
      <c r="Q319" s="144">
        <v>45191</v>
      </c>
      <c r="R319" s="223">
        <v>55092</v>
      </c>
      <c r="S319" s="153">
        <v>132.69999999999999</v>
      </c>
      <c r="T319" s="52">
        <v>0</v>
      </c>
      <c r="U319" s="52">
        <v>0</v>
      </c>
      <c r="V319" s="52">
        <v>0</v>
      </c>
      <c r="W319" s="2" t="str" cm="1">
        <f t="array" aca="1" ref="W319" ca="1">TRIM(SUBSTITUTE(_xlfn.ARRAYTOTEXT(IFERROR(CONCATENATE(SUMIF(INDIRECT("'"&amp;Assemblies[Assy]&amp;"'!"&amp;"C$5:C1000"), $C319, INDIRECT("'"&amp;Assemblies[Assy]&amp;"'!"&amp;"O$5:O1000")), "x",Assemblies[Assy],".",IF(SUMIF(INDIRECT("'"&amp;Assemblies[Assy]&amp;"'!"&amp;"C$5:C1000"), $C319, INDIRECT("'"&amp;Assemblies[Assy]&amp;"'!"&amp;"A$5:A1000"))=0,NA(),SUMIF(INDIRECT("'"&amp;Assemblies[Assy]&amp;"'!"&amp;"C$5:C1000"), $C319, INDIRECT("'"&amp;Assemblies[Assy]&amp;"'!"&amp;"A$5:A1000")))),"")), " ,", ""))</f>
        <v>,</v>
      </c>
      <c r="X319" s="2" t="s">
        <v>1382</v>
      </c>
      <c r="Y319" s="2" t="s">
        <v>1382</v>
      </c>
      <c r="Z319" s="2" t="s">
        <v>1382</v>
      </c>
      <c r="AA319" s="2" t="s">
        <v>1382</v>
      </c>
    </row>
    <row r="320" spans="1:27" ht="12.75">
      <c r="A320" s="115" t="s">
        <v>2476</v>
      </c>
      <c r="B320" s="115" t="s">
        <v>54</v>
      </c>
      <c r="C320" s="2" t="str">
        <f t="shared" si="9"/>
        <v>GF12.633.03.A</v>
      </c>
      <c r="D320" s="2" t="s">
        <v>2477</v>
      </c>
      <c r="E320" s="52">
        <f t="shared" si="10"/>
        <v>132.69999999999999</v>
      </c>
      <c r="F320" s="5" t="e" cm="1">
        <f t="array" aca="1" ref="F320" ca="1">SUMPRODUCT(SUMIF(INDIRECT("'"&amp;Assemblies[Assy]&amp;"'!"&amp;"C$5:C1000"),$C320,(INDIRECT("'"&amp;Assemblies[Assy]&amp;"'!"&amp;"O$5:O1000"))))</f>
        <v>#VALUE!</v>
      </c>
      <c r="G320" s="5">
        <v>1</v>
      </c>
      <c r="H320" s="5">
        <v>1</v>
      </c>
      <c r="I320" s="2" t="s">
        <v>2176</v>
      </c>
      <c r="J320" s="2" t="s">
        <v>1802</v>
      </c>
      <c r="K320" s="2" t="s">
        <v>1382</v>
      </c>
      <c r="L320" s="2" t="s">
        <v>2167</v>
      </c>
      <c r="M320" s="8" t="s">
        <v>1779</v>
      </c>
      <c r="N320" s="8">
        <v>45159</v>
      </c>
      <c r="O320" s="8">
        <v>45161</v>
      </c>
      <c r="P320" s="8">
        <v>45191</v>
      </c>
      <c r="Q320" s="144">
        <v>45191</v>
      </c>
      <c r="R320" s="223">
        <v>55092</v>
      </c>
      <c r="S320" s="153">
        <v>132.69999999999999</v>
      </c>
      <c r="T320" s="52">
        <v>0</v>
      </c>
      <c r="U320" s="52">
        <v>0</v>
      </c>
      <c r="V320" s="52">
        <v>0</v>
      </c>
      <c r="W320" s="2" t="str" cm="1">
        <f t="array" aca="1" ref="W320" ca="1">TRIM(SUBSTITUTE(_xlfn.ARRAYTOTEXT(IFERROR(CONCATENATE(SUMIF(INDIRECT("'"&amp;Assemblies[Assy]&amp;"'!"&amp;"C$5:C1000"), $C320, INDIRECT("'"&amp;Assemblies[Assy]&amp;"'!"&amp;"O$5:O1000")), "x",Assemblies[Assy],".",IF(SUMIF(INDIRECT("'"&amp;Assemblies[Assy]&amp;"'!"&amp;"C$5:C1000"), $C320, INDIRECT("'"&amp;Assemblies[Assy]&amp;"'!"&amp;"A$5:A1000"))=0,NA(),SUMIF(INDIRECT("'"&amp;Assemblies[Assy]&amp;"'!"&amp;"C$5:C1000"), $C320, INDIRECT("'"&amp;Assemblies[Assy]&amp;"'!"&amp;"A$5:A1000")))),"")), " ,", ""))</f>
        <v>,</v>
      </c>
      <c r="X320" s="2" t="s">
        <v>1382</v>
      </c>
      <c r="Y320" s="2" t="s">
        <v>1382</v>
      </c>
      <c r="Z320" s="2" t="s">
        <v>1382</v>
      </c>
      <c r="AA320" s="2" t="s">
        <v>1382</v>
      </c>
    </row>
    <row r="321" spans="1:27" ht="12.75">
      <c r="A321" s="115" t="s">
        <v>2478</v>
      </c>
      <c r="B321" s="115" t="s">
        <v>54</v>
      </c>
      <c r="C321" s="2" t="str">
        <f t="shared" si="9"/>
        <v>GF12.633.04.A</v>
      </c>
      <c r="D321" s="2" t="s">
        <v>2479</v>
      </c>
      <c r="E321" s="52">
        <f t="shared" si="10"/>
        <v>135.57</v>
      </c>
      <c r="F321" s="5" t="e" cm="1">
        <f t="array" aca="1" ref="F321" ca="1">SUMPRODUCT(SUMIF(INDIRECT("'"&amp;Assemblies[Assy]&amp;"'!"&amp;"C$5:C1000"),$C321,(INDIRECT("'"&amp;Assemblies[Assy]&amp;"'!"&amp;"O$5:O1000"))))</f>
        <v>#VALUE!</v>
      </c>
      <c r="G321" s="5">
        <v>1</v>
      </c>
      <c r="H321" s="5">
        <v>1</v>
      </c>
      <c r="I321" s="2" t="s">
        <v>2176</v>
      </c>
      <c r="J321" s="2" t="s">
        <v>1802</v>
      </c>
      <c r="K321" s="2" t="s">
        <v>1382</v>
      </c>
      <c r="L321" s="2" t="s">
        <v>2167</v>
      </c>
      <c r="M321" s="8" t="s">
        <v>1779</v>
      </c>
      <c r="N321" s="8">
        <v>45159</v>
      </c>
      <c r="O321" s="8">
        <v>45161</v>
      </c>
      <c r="P321" s="8">
        <v>45191</v>
      </c>
      <c r="Q321" s="144">
        <v>45191</v>
      </c>
      <c r="R321" s="223">
        <v>55092</v>
      </c>
      <c r="S321" s="153">
        <v>135.57</v>
      </c>
      <c r="T321" s="52">
        <v>0</v>
      </c>
      <c r="U321" s="52">
        <v>0</v>
      </c>
      <c r="V321" s="52">
        <v>0</v>
      </c>
      <c r="W321" s="2" t="str" cm="1">
        <f t="array" aca="1" ref="W321" ca="1">TRIM(SUBSTITUTE(_xlfn.ARRAYTOTEXT(IFERROR(CONCATENATE(SUMIF(INDIRECT("'"&amp;Assemblies[Assy]&amp;"'!"&amp;"C$5:C1000"), $C321, INDIRECT("'"&amp;Assemblies[Assy]&amp;"'!"&amp;"O$5:O1000")), "x",Assemblies[Assy],".",IF(SUMIF(INDIRECT("'"&amp;Assemblies[Assy]&amp;"'!"&amp;"C$5:C1000"), $C321, INDIRECT("'"&amp;Assemblies[Assy]&amp;"'!"&amp;"A$5:A1000"))=0,NA(),SUMIF(INDIRECT("'"&amp;Assemblies[Assy]&amp;"'!"&amp;"C$5:C1000"), $C321, INDIRECT("'"&amp;Assemblies[Assy]&amp;"'!"&amp;"A$5:A1000")))),"")), " ,", ""))</f>
        <v>,</v>
      </c>
      <c r="X321" s="2" t="s">
        <v>1382</v>
      </c>
      <c r="Y321" s="2" t="s">
        <v>1382</v>
      </c>
      <c r="Z321" s="2" t="s">
        <v>1382</v>
      </c>
      <c r="AA321" s="2" t="s">
        <v>1382</v>
      </c>
    </row>
    <row r="322" spans="1:27" ht="12.75">
      <c r="A322" s="115" t="s">
        <v>2480</v>
      </c>
      <c r="B322" s="115" t="s">
        <v>54</v>
      </c>
      <c r="C322" s="2" t="str">
        <f t="shared" ref="C322:C378" si="11">_xlfn.CONCAT(A322,".",B322)</f>
        <v>GF12.633.05.A</v>
      </c>
      <c r="D322" s="2" t="s">
        <v>2481</v>
      </c>
      <c r="E322" s="52">
        <f t="shared" ref="E322:E378" si="12">S322+T322+U322+(65*V322)</f>
        <v>132.69999999999999</v>
      </c>
      <c r="F322" s="5" t="e" cm="1">
        <f t="array" aca="1" ref="F322" ca="1">SUMPRODUCT(SUMIF(INDIRECT("'"&amp;Assemblies[Assy]&amp;"'!"&amp;"C$5:C1000"),$C322,(INDIRECT("'"&amp;Assemblies[Assy]&amp;"'!"&amp;"O$5:O1000"))))</f>
        <v>#VALUE!</v>
      </c>
      <c r="G322" s="5">
        <v>1</v>
      </c>
      <c r="H322" s="5">
        <v>1</v>
      </c>
      <c r="I322" s="2" t="s">
        <v>2176</v>
      </c>
      <c r="J322" s="2" t="s">
        <v>1802</v>
      </c>
      <c r="K322" s="2" t="s">
        <v>1382</v>
      </c>
      <c r="L322" s="2" t="s">
        <v>2167</v>
      </c>
      <c r="M322" s="8" t="s">
        <v>1779</v>
      </c>
      <c r="N322" s="8">
        <v>45159</v>
      </c>
      <c r="O322" s="8">
        <v>45161</v>
      </c>
      <c r="P322" s="8">
        <v>45191</v>
      </c>
      <c r="Q322" s="144">
        <v>45191</v>
      </c>
      <c r="R322" s="223">
        <v>55092</v>
      </c>
      <c r="S322" s="153">
        <v>132.69999999999999</v>
      </c>
      <c r="T322" s="52">
        <v>0</v>
      </c>
      <c r="U322" s="52">
        <v>0</v>
      </c>
      <c r="V322" s="52">
        <v>0</v>
      </c>
      <c r="W322" s="2" t="str" cm="1">
        <f t="array" aca="1" ref="W322" ca="1">TRIM(SUBSTITUTE(_xlfn.ARRAYTOTEXT(IFERROR(CONCATENATE(SUMIF(INDIRECT("'"&amp;Assemblies[Assy]&amp;"'!"&amp;"C$5:C1000"), $C322, INDIRECT("'"&amp;Assemblies[Assy]&amp;"'!"&amp;"O$5:O1000")), "x",Assemblies[Assy],".",IF(SUMIF(INDIRECT("'"&amp;Assemblies[Assy]&amp;"'!"&amp;"C$5:C1000"), $C322, INDIRECT("'"&amp;Assemblies[Assy]&amp;"'!"&amp;"A$5:A1000"))=0,NA(),SUMIF(INDIRECT("'"&amp;Assemblies[Assy]&amp;"'!"&amp;"C$5:C1000"), $C322, INDIRECT("'"&amp;Assemblies[Assy]&amp;"'!"&amp;"A$5:A1000")))),"")), " ,", ""))</f>
        <v>,</v>
      </c>
      <c r="X322" s="2" t="s">
        <v>1382</v>
      </c>
      <c r="Y322" s="2" t="s">
        <v>1382</v>
      </c>
      <c r="Z322" s="2" t="s">
        <v>1382</v>
      </c>
      <c r="AA322" s="2" t="s">
        <v>1382</v>
      </c>
    </row>
    <row r="323" spans="1:27" ht="12.75">
      <c r="A323" s="115" t="s">
        <v>2482</v>
      </c>
      <c r="B323" s="115" t="s">
        <v>54</v>
      </c>
      <c r="C323" s="2" t="str">
        <f t="shared" si="11"/>
        <v>GF12.633.06.A</v>
      </c>
      <c r="D323" s="2" t="s">
        <v>2483</v>
      </c>
      <c r="E323" s="52">
        <f t="shared" si="12"/>
        <v>93.73</v>
      </c>
      <c r="F323" s="5" t="e" cm="1">
        <f t="array" aca="1" ref="F323" ca="1">SUMPRODUCT(SUMIF(INDIRECT("'"&amp;Assemblies[Assy]&amp;"'!"&amp;"C$5:C1000"),$C323,(INDIRECT("'"&amp;Assemblies[Assy]&amp;"'!"&amp;"O$5:O1000"))))</f>
        <v>#VALUE!</v>
      </c>
      <c r="G323" s="5">
        <v>1</v>
      </c>
      <c r="H323" s="5">
        <v>1</v>
      </c>
      <c r="I323" s="2" t="s">
        <v>2166</v>
      </c>
      <c r="J323" s="2" t="s">
        <v>1802</v>
      </c>
      <c r="K323" s="2" t="s">
        <v>1382</v>
      </c>
      <c r="L323" s="2" t="s">
        <v>2167</v>
      </c>
      <c r="M323" s="8" t="s">
        <v>1779</v>
      </c>
      <c r="N323" s="8">
        <v>45159</v>
      </c>
      <c r="O323" s="8">
        <v>45161</v>
      </c>
      <c r="P323" s="8">
        <v>45191</v>
      </c>
      <c r="Q323" s="144">
        <v>45191</v>
      </c>
      <c r="R323" s="223">
        <v>55092</v>
      </c>
      <c r="S323" s="153">
        <v>93.73</v>
      </c>
      <c r="T323" s="52">
        <v>0</v>
      </c>
      <c r="U323" s="52">
        <v>0</v>
      </c>
      <c r="V323" s="52">
        <v>0</v>
      </c>
      <c r="W323" s="2" t="str" cm="1">
        <f t="array" aca="1" ref="W323" ca="1">TRIM(SUBSTITUTE(_xlfn.ARRAYTOTEXT(IFERROR(CONCATENATE(SUMIF(INDIRECT("'"&amp;Assemblies[Assy]&amp;"'!"&amp;"C$5:C1000"), $C323, INDIRECT("'"&amp;Assemblies[Assy]&amp;"'!"&amp;"O$5:O1000")), "x",Assemblies[Assy],".",IF(SUMIF(INDIRECT("'"&amp;Assemblies[Assy]&amp;"'!"&amp;"C$5:C1000"), $C323, INDIRECT("'"&amp;Assemblies[Assy]&amp;"'!"&amp;"A$5:A1000"))=0,NA(),SUMIF(INDIRECT("'"&amp;Assemblies[Assy]&amp;"'!"&amp;"C$5:C1000"), $C323, INDIRECT("'"&amp;Assemblies[Assy]&amp;"'!"&amp;"A$5:A1000")))),"")), " ,", ""))</f>
        <v>,</v>
      </c>
      <c r="X323" s="2" t="s">
        <v>1382</v>
      </c>
      <c r="Y323" s="2" t="s">
        <v>1382</v>
      </c>
      <c r="Z323" s="2" t="s">
        <v>1382</v>
      </c>
      <c r="AA323" s="2" t="s">
        <v>1382</v>
      </c>
    </row>
    <row r="324" spans="1:27" ht="12.75">
      <c r="A324" s="115" t="s">
        <v>2484</v>
      </c>
      <c r="B324" s="115" t="s">
        <v>54</v>
      </c>
      <c r="C324" s="2" t="str">
        <f t="shared" si="11"/>
        <v>GF12.633.07.A</v>
      </c>
      <c r="D324" s="2" t="s">
        <v>2485</v>
      </c>
      <c r="E324" s="52">
        <f t="shared" si="12"/>
        <v>99.52</v>
      </c>
      <c r="F324" s="5" t="e" cm="1">
        <f t="array" aca="1" ref="F324" ca="1">SUMPRODUCT(SUMIF(INDIRECT("'"&amp;Assemblies[Assy]&amp;"'!"&amp;"C$5:C1000"),$C324,(INDIRECT("'"&amp;Assemblies[Assy]&amp;"'!"&amp;"O$5:O1000"))))</f>
        <v>#VALUE!</v>
      </c>
      <c r="G324" s="5">
        <v>1</v>
      </c>
      <c r="H324" s="5">
        <v>1</v>
      </c>
      <c r="I324" s="2" t="s">
        <v>2166</v>
      </c>
      <c r="J324" s="2" t="s">
        <v>1802</v>
      </c>
      <c r="K324" s="2" t="s">
        <v>1382</v>
      </c>
      <c r="L324" s="2" t="s">
        <v>2167</v>
      </c>
      <c r="M324" s="8" t="s">
        <v>1779</v>
      </c>
      <c r="N324" s="8">
        <v>45159</v>
      </c>
      <c r="O324" s="8">
        <v>45161</v>
      </c>
      <c r="P324" s="8">
        <v>45191</v>
      </c>
      <c r="Q324" s="144">
        <v>45191</v>
      </c>
      <c r="R324" s="223">
        <v>55092</v>
      </c>
      <c r="S324" s="153">
        <v>99.52</v>
      </c>
      <c r="T324" s="52">
        <v>0</v>
      </c>
      <c r="U324" s="52">
        <v>0</v>
      </c>
      <c r="V324" s="52">
        <v>0</v>
      </c>
      <c r="W324" s="2" t="str" cm="1">
        <f t="array" aca="1" ref="W324" ca="1">TRIM(SUBSTITUTE(_xlfn.ARRAYTOTEXT(IFERROR(CONCATENATE(SUMIF(INDIRECT("'"&amp;Assemblies[Assy]&amp;"'!"&amp;"C$5:C1000"), $C324, INDIRECT("'"&amp;Assemblies[Assy]&amp;"'!"&amp;"O$5:O1000")), "x",Assemblies[Assy],".",IF(SUMIF(INDIRECT("'"&amp;Assemblies[Assy]&amp;"'!"&amp;"C$5:C1000"), $C324, INDIRECT("'"&amp;Assemblies[Assy]&amp;"'!"&amp;"A$5:A1000"))=0,NA(),SUMIF(INDIRECT("'"&amp;Assemblies[Assy]&amp;"'!"&amp;"C$5:C1000"), $C324, INDIRECT("'"&amp;Assemblies[Assy]&amp;"'!"&amp;"A$5:A1000")))),"")), " ,", ""))</f>
        <v>,</v>
      </c>
      <c r="X324" s="2" t="s">
        <v>1382</v>
      </c>
      <c r="Y324" s="2" t="s">
        <v>1382</v>
      </c>
      <c r="Z324" s="2" t="s">
        <v>1382</v>
      </c>
      <c r="AA324" s="2" t="s">
        <v>1382</v>
      </c>
    </row>
    <row r="325" spans="1:27" ht="12.75">
      <c r="A325" s="115" t="s">
        <v>2486</v>
      </c>
      <c r="B325" s="115" t="s">
        <v>54</v>
      </c>
      <c r="C325" s="2" t="str">
        <f t="shared" si="11"/>
        <v>GF12.633.08.A</v>
      </c>
      <c r="D325" s="2" t="s">
        <v>2487</v>
      </c>
      <c r="E325" s="52">
        <f t="shared" si="12"/>
        <v>99.52</v>
      </c>
      <c r="F325" s="5" t="e" cm="1">
        <f t="array" aca="1" ref="F325" ca="1">SUMPRODUCT(SUMIF(INDIRECT("'"&amp;Assemblies[Assy]&amp;"'!"&amp;"C$5:C1000"),$C325,(INDIRECT("'"&amp;Assemblies[Assy]&amp;"'!"&amp;"O$5:O1000"))))</f>
        <v>#VALUE!</v>
      </c>
      <c r="G325" s="5">
        <v>1</v>
      </c>
      <c r="H325" s="5">
        <v>1</v>
      </c>
      <c r="I325" s="2" t="s">
        <v>2166</v>
      </c>
      <c r="J325" s="2" t="s">
        <v>1802</v>
      </c>
      <c r="K325" s="2" t="s">
        <v>1382</v>
      </c>
      <c r="L325" s="2" t="s">
        <v>2167</v>
      </c>
      <c r="M325" s="8" t="s">
        <v>1779</v>
      </c>
      <c r="N325" s="8">
        <v>45159</v>
      </c>
      <c r="O325" s="8">
        <v>45161</v>
      </c>
      <c r="P325" s="8">
        <v>45191</v>
      </c>
      <c r="Q325" s="144">
        <v>45191</v>
      </c>
      <c r="R325" s="223">
        <v>55092</v>
      </c>
      <c r="S325" s="153">
        <v>99.52</v>
      </c>
      <c r="T325" s="52">
        <v>0</v>
      </c>
      <c r="U325" s="52">
        <v>0</v>
      </c>
      <c r="V325" s="52">
        <v>0</v>
      </c>
      <c r="W325" s="2" t="str" cm="1">
        <f t="array" aca="1" ref="W325" ca="1">TRIM(SUBSTITUTE(_xlfn.ARRAYTOTEXT(IFERROR(CONCATENATE(SUMIF(INDIRECT("'"&amp;Assemblies[Assy]&amp;"'!"&amp;"C$5:C1000"), $C325, INDIRECT("'"&amp;Assemblies[Assy]&amp;"'!"&amp;"O$5:O1000")), "x",Assemblies[Assy],".",IF(SUMIF(INDIRECT("'"&amp;Assemblies[Assy]&amp;"'!"&amp;"C$5:C1000"), $C325, INDIRECT("'"&amp;Assemblies[Assy]&amp;"'!"&amp;"A$5:A1000"))=0,NA(),SUMIF(INDIRECT("'"&amp;Assemblies[Assy]&amp;"'!"&amp;"C$5:C1000"), $C325, INDIRECT("'"&amp;Assemblies[Assy]&amp;"'!"&amp;"A$5:A1000")))),"")), " ,", ""))</f>
        <v>,</v>
      </c>
      <c r="X325" s="2" t="s">
        <v>1382</v>
      </c>
      <c r="Y325" s="2" t="s">
        <v>1382</v>
      </c>
      <c r="Z325" s="2" t="s">
        <v>1382</v>
      </c>
      <c r="AA325" s="2" t="s">
        <v>1382</v>
      </c>
    </row>
    <row r="326" spans="1:27" ht="12.75">
      <c r="A326" s="115" t="s">
        <v>2488</v>
      </c>
      <c r="B326" s="115" t="s">
        <v>54</v>
      </c>
      <c r="C326" s="2" t="str">
        <f t="shared" si="11"/>
        <v>GF12.633.09.A</v>
      </c>
      <c r="D326" s="2" t="s">
        <v>2489</v>
      </c>
      <c r="E326" s="52">
        <f t="shared" si="12"/>
        <v>99.52</v>
      </c>
      <c r="F326" s="5" t="e" cm="1">
        <f t="array" aca="1" ref="F326" ca="1">SUMPRODUCT(SUMIF(INDIRECT("'"&amp;Assemblies[Assy]&amp;"'!"&amp;"C$5:C1000"),$C326,(INDIRECT("'"&amp;Assemblies[Assy]&amp;"'!"&amp;"O$5:O1000"))))</f>
        <v>#VALUE!</v>
      </c>
      <c r="G326" s="5">
        <v>1</v>
      </c>
      <c r="H326" s="5">
        <v>1</v>
      </c>
      <c r="I326" s="2" t="s">
        <v>2166</v>
      </c>
      <c r="J326" s="2" t="s">
        <v>1802</v>
      </c>
      <c r="K326" s="2" t="s">
        <v>1382</v>
      </c>
      <c r="L326" s="2" t="s">
        <v>2167</v>
      </c>
      <c r="M326" s="8" t="s">
        <v>1779</v>
      </c>
      <c r="N326" s="8">
        <v>45159</v>
      </c>
      <c r="O326" s="8">
        <v>45161</v>
      </c>
      <c r="P326" s="8">
        <v>45191</v>
      </c>
      <c r="Q326" s="144">
        <v>45191</v>
      </c>
      <c r="R326" s="223">
        <v>55092</v>
      </c>
      <c r="S326" s="153">
        <v>99.52</v>
      </c>
      <c r="T326" s="52">
        <v>0</v>
      </c>
      <c r="U326" s="52">
        <v>0</v>
      </c>
      <c r="V326" s="52">
        <v>0</v>
      </c>
      <c r="W326" s="2" t="str" cm="1">
        <f t="array" aca="1" ref="W326" ca="1">TRIM(SUBSTITUTE(_xlfn.ARRAYTOTEXT(IFERROR(CONCATENATE(SUMIF(INDIRECT("'"&amp;Assemblies[Assy]&amp;"'!"&amp;"C$5:C1000"), $C326, INDIRECT("'"&amp;Assemblies[Assy]&amp;"'!"&amp;"O$5:O1000")), "x",Assemblies[Assy],".",IF(SUMIF(INDIRECT("'"&amp;Assemblies[Assy]&amp;"'!"&amp;"C$5:C1000"), $C326, INDIRECT("'"&amp;Assemblies[Assy]&amp;"'!"&amp;"A$5:A1000"))=0,NA(),SUMIF(INDIRECT("'"&amp;Assemblies[Assy]&amp;"'!"&amp;"C$5:C1000"), $C326, INDIRECT("'"&amp;Assemblies[Assy]&amp;"'!"&amp;"A$5:A1000")))),"")), " ,", ""))</f>
        <v>,</v>
      </c>
      <c r="X326" s="2" t="s">
        <v>1382</v>
      </c>
      <c r="Y326" s="2" t="s">
        <v>1382</v>
      </c>
      <c r="Z326" s="2" t="s">
        <v>1382</v>
      </c>
      <c r="AA326" s="2" t="s">
        <v>1382</v>
      </c>
    </row>
    <row r="327" spans="1:27" ht="12.75">
      <c r="A327" s="115" t="s">
        <v>2490</v>
      </c>
      <c r="B327" s="115" t="s">
        <v>54</v>
      </c>
      <c r="C327" s="2" t="str">
        <f t="shared" si="11"/>
        <v>GF12.633.14.A</v>
      </c>
      <c r="D327" s="2" t="s">
        <v>2491</v>
      </c>
      <c r="E327" s="52">
        <f t="shared" si="12"/>
        <v>127.45</v>
      </c>
      <c r="F327" s="5" t="e" cm="1">
        <f t="array" aca="1" ref="F327" ca="1">SUMPRODUCT(SUMIF(INDIRECT("'"&amp;Assemblies[Assy]&amp;"'!"&amp;"C$5:C1000"),$C327,(INDIRECT("'"&amp;Assemblies[Assy]&amp;"'!"&amp;"O$5:O1000"))))</f>
        <v>#VALUE!</v>
      </c>
      <c r="G327" s="5">
        <v>1</v>
      </c>
      <c r="H327" s="5">
        <v>1</v>
      </c>
      <c r="I327" s="2" t="s">
        <v>2166</v>
      </c>
      <c r="J327" s="2" t="s">
        <v>1802</v>
      </c>
      <c r="K327" s="2" t="s">
        <v>1382</v>
      </c>
      <c r="L327" s="2" t="s">
        <v>2167</v>
      </c>
      <c r="M327" s="8" t="s">
        <v>1779</v>
      </c>
      <c r="N327" s="8">
        <v>45159</v>
      </c>
      <c r="O327" s="8">
        <v>45161</v>
      </c>
      <c r="P327" s="8">
        <v>45191</v>
      </c>
      <c r="Q327" s="144">
        <v>45191</v>
      </c>
      <c r="R327" s="223">
        <v>55092</v>
      </c>
      <c r="S327" s="153">
        <v>127.45</v>
      </c>
      <c r="T327" s="52">
        <v>0</v>
      </c>
      <c r="U327" s="52">
        <v>0</v>
      </c>
      <c r="V327" s="52">
        <v>0</v>
      </c>
      <c r="W327" s="2" t="str" cm="1">
        <f t="array" aca="1" ref="W327" ca="1">TRIM(SUBSTITUTE(_xlfn.ARRAYTOTEXT(IFERROR(CONCATENATE(SUMIF(INDIRECT("'"&amp;Assemblies[Assy]&amp;"'!"&amp;"C$5:C1000"), $C327, INDIRECT("'"&amp;Assemblies[Assy]&amp;"'!"&amp;"O$5:O1000")), "x",Assemblies[Assy],".",IF(SUMIF(INDIRECT("'"&amp;Assemblies[Assy]&amp;"'!"&amp;"C$5:C1000"), $C327, INDIRECT("'"&amp;Assemblies[Assy]&amp;"'!"&amp;"A$5:A1000"))=0,NA(),SUMIF(INDIRECT("'"&amp;Assemblies[Assy]&amp;"'!"&amp;"C$5:C1000"), $C327, INDIRECT("'"&amp;Assemblies[Assy]&amp;"'!"&amp;"A$5:A1000")))),"")), " ,", ""))</f>
        <v>,</v>
      </c>
      <c r="X327" s="2" t="s">
        <v>1382</v>
      </c>
      <c r="Y327" s="2" t="s">
        <v>1382</v>
      </c>
      <c r="Z327" s="2" t="s">
        <v>1382</v>
      </c>
      <c r="AA327" s="2" t="s">
        <v>1382</v>
      </c>
    </row>
    <row r="328" spans="1:27" ht="12.75">
      <c r="A328" s="115" t="s">
        <v>2492</v>
      </c>
      <c r="B328" s="115" t="s">
        <v>54</v>
      </c>
      <c r="C328" s="2" t="str">
        <f t="shared" si="11"/>
        <v>GF12.634.01.A</v>
      </c>
      <c r="D328" s="2" t="s">
        <v>2493</v>
      </c>
      <c r="E328" s="52">
        <f t="shared" si="12"/>
        <v>74.2</v>
      </c>
      <c r="F328" s="5" t="e" cm="1">
        <f t="array" aca="1" ref="F328" ca="1">SUMPRODUCT(SUMIF(INDIRECT("'"&amp;Assemblies[Assy]&amp;"'!"&amp;"C$5:C1000"),$C328,(INDIRECT("'"&amp;Assemblies[Assy]&amp;"'!"&amp;"O$5:O1000"))))</f>
        <v>#VALUE!</v>
      </c>
      <c r="G328" s="5">
        <v>2</v>
      </c>
      <c r="H328" s="5">
        <v>2</v>
      </c>
      <c r="I328" s="2" t="s">
        <v>2494</v>
      </c>
      <c r="J328" s="2" t="s">
        <v>1802</v>
      </c>
      <c r="K328" s="2" t="s">
        <v>1382</v>
      </c>
      <c r="L328" s="2" t="s">
        <v>2167</v>
      </c>
      <c r="M328" s="8" t="s">
        <v>1779</v>
      </c>
      <c r="N328" s="8">
        <v>45159</v>
      </c>
      <c r="O328" s="8">
        <v>45161</v>
      </c>
      <c r="P328" s="8">
        <v>45191</v>
      </c>
      <c r="Q328" s="144">
        <v>45191</v>
      </c>
      <c r="R328" s="223">
        <v>55092</v>
      </c>
      <c r="S328" s="153">
        <v>74.2</v>
      </c>
      <c r="T328" s="52">
        <v>0</v>
      </c>
      <c r="U328" s="52">
        <v>0</v>
      </c>
      <c r="V328" s="52">
        <v>0</v>
      </c>
      <c r="W328" s="2" t="str" cm="1">
        <f t="array" aca="1" ref="W328" ca="1">TRIM(SUBSTITUTE(_xlfn.ARRAYTOTEXT(IFERROR(CONCATENATE(SUMIF(INDIRECT("'"&amp;Assemblies[Assy]&amp;"'!"&amp;"C$5:C1000"), $C328, INDIRECT("'"&amp;Assemblies[Assy]&amp;"'!"&amp;"O$5:O1000")), "x",Assemblies[Assy],".",IF(SUMIF(INDIRECT("'"&amp;Assemblies[Assy]&amp;"'!"&amp;"C$5:C1000"), $C328, INDIRECT("'"&amp;Assemblies[Assy]&amp;"'!"&amp;"A$5:A1000"))=0,NA(),SUMIF(INDIRECT("'"&amp;Assemblies[Assy]&amp;"'!"&amp;"C$5:C1000"), $C328, INDIRECT("'"&amp;Assemblies[Assy]&amp;"'!"&amp;"A$5:A1000")))),"")), " ,", ""))</f>
        <v>,</v>
      </c>
      <c r="X328" s="2" t="s">
        <v>1382</v>
      </c>
      <c r="Y328" s="2" t="s">
        <v>1382</v>
      </c>
      <c r="Z328" s="2" t="s">
        <v>1382</v>
      </c>
      <c r="AA328" s="2" t="s">
        <v>1382</v>
      </c>
    </row>
    <row r="329" spans="1:27" ht="12.75">
      <c r="A329" s="115" t="s">
        <v>2495</v>
      </c>
      <c r="B329" s="115" t="s">
        <v>54</v>
      </c>
      <c r="C329" s="2" t="str">
        <f t="shared" si="11"/>
        <v>GF12.634.02.A</v>
      </c>
      <c r="D329" s="2" t="s">
        <v>2496</v>
      </c>
      <c r="E329" s="52">
        <f t="shared" si="12"/>
        <v>77.069999999999993</v>
      </c>
      <c r="F329" s="5" t="e" cm="1">
        <f t="array" aca="1" ref="F329" ca="1">SUMPRODUCT(SUMIF(INDIRECT("'"&amp;Assemblies[Assy]&amp;"'!"&amp;"C$5:C1000"),$C329,(INDIRECT("'"&amp;Assemblies[Assy]&amp;"'!"&amp;"O$5:O1000"))))</f>
        <v>#VALUE!</v>
      </c>
      <c r="G329" s="5">
        <v>2</v>
      </c>
      <c r="H329" s="5">
        <v>2</v>
      </c>
      <c r="I329" s="2" t="s">
        <v>2494</v>
      </c>
      <c r="J329" s="2" t="s">
        <v>1802</v>
      </c>
      <c r="K329" s="2" t="s">
        <v>1382</v>
      </c>
      <c r="L329" s="2" t="s">
        <v>2167</v>
      </c>
      <c r="M329" s="8" t="s">
        <v>1779</v>
      </c>
      <c r="N329" s="8">
        <v>45159</v>
      </c>
      <c r="O329" s="8">
        <v>45161</v>
      </c>
      <c r="P329" s="8">
        <v>45191</v>
      </c>
      <c r="Q329" s="144">
        <v>45191</v>
      </c>
      <c r="R329" s="223">
        <v>55092</v>
      </c>
      <c r="S329" s="153">
        <v>77.069999999999993</v>
      </c>
      <c r="T329" s="52">
        <v>0</v>
      </c>
      <c r="U329" s="52">
        <v>0</v>
      </c>
      <c r="V329" s="52">
        <v>0</v>
      </c>
      <c r="W329" s="2" t="str" cm="1">
        <f t="array" aca="1" ref="W329" ca="1">TRIM(SUBSTITUTE(_xlfn.ARRAYTOTEXT(IFERROR(CONCATENATE(SUMIF(INDIRECT("'"&amp;Assemblies[Assy]&amp;"'!"&amp;"C$5:C1000"), $C329, INDIRECT("'"&amp;Assemblies[Assy]&amp;"'!"&amp;"O$5:O1000")), "x",Assemblies[Assy],".",IF(SUMIF(INDIRECT("'"&amp;Assemblies[Assy]&amp;"'!"&amp;"C$5:C1000"), $C329, INDIRECT("'"&amp;Assemblies[Assy]&amp;"'!"&amp;"A$5:A1000"))=0,NA(),SUMIF(INDIRECT("'"&amp;Assemblies[Assy]&amp;"'!"&amp;"C$5:C1000"), $C329, INDIRECT("'"&amp;Assemblies[Assy]&amp;"'!"&amp;"A$5:A1000")))),"")), " ,", ""))</f>
        <v>,</v>
      </c>
      <c r="X329" s="2" t="s">
        <v>1382</v>
      </c>
      <c r="Y329" s="2" t="s">
        <v>1382</v>
      </c>
      <c r="Z329" s="2" t="s">
        <v>1382</v>
      </c>
      <c r="AA329" s="2" t="s">
        <v>1382</v>
      </c>
    </row>
    <row r="330" spans="1:27" ht="12.75">
      <c r="A330" s="115" t="s">
        <v>2497</v>
      </c>
      <c r="B330" s="115" t="s">
        <v>56</v>
      </c>
      <c r="C330" s="2" t="str">
        <f t="shared" si="11"/>
        <v>GF12.640.01.B</v>
      </c>
      <c r="D330" s="2" t="s">
        <v>2498</v>
      </c>
      <c r="E330" s="52">
        <f t="shared" si="12"/>
        <v>0</v>
      </c>
      <c r="F330" s="5" t="e" cm="1">
        <f t="array" aca="1" ref="F330" ca="1">SUMPRODUCT(SUMIF(INDIRECT("'"&amp;Assemblies[Assy]&amp;"'!"&amp;"C$5:C1000"),$C330,(INDIRECT("'"&amp;Assemblies[Assy]&amp;"'!"&amp;"O$5:O1000"))))</f>
        <v>#VALUE!</v>
      </c>
      <c r="G330" s="5">
        <v>2</v>
      </c>
      <c r="H330" s="5">
        <v>2</v>
      </c>
      <c r="I330" s="2" t="s">
        <v>1782</v>
      </c>
      <c r="J330" s="2" t="s">
        <v>2213</v>
      </c>
      <c r="L330" s="2" t="s">
        <v>2162</v>
      </c>
      <c r="M330" s="116" t="s">
        <v>2173</v>
      </c>
      <c r="N330" s="8">
        <v>45156</v>
      </c>
      <c r="O330" s="8">
        <v>45162</v>
      </c>
      <c r="P330" s="8">
        <v>45190</v>
      </c>
      <c r="Q330" s="144">
        <v>45190</v>
      </c>
      <c r="R330" s="223">
        <v>55101</v>
      </c>
      <c r="S330" s="153">
        <v>0</v>
      </c>
      <c r="T330" s="52">
        <v>0</v>
      </c>
      <c r="U330" s="52">
        <v>0</v>
      </c>
      <c r="V330" s="52">
        <v>0</v>
      </c>
      <c r="W330" s="2" t="str" cm="1">
        <f t="array" aca="1" ref="W330" ca="1">TRIM(SUBSTITUTE(_xlfn.ARRAYTOTEXT(IFERROR(CONCATENATE(SUMIF(INDIRECT("'"&amp;Assemblies[Assy]&amp;"'!"&amp;"C$5:C1000"), $C330, INDIRECT("'"&amp;Assemblies[Assy]&amp;"'!"&amp;"O$5:O1000")), "x",Assemblies[Assy],".",IF(SUMIF(INDIRECT("'"&amp;Assemblies[Assy]&amp;"'!"&amp;"C$5:C1000"), $C330, INDIRECT("'"&amp;Assemblies[Assy]&amp;"'!"&amp;"A$5:A1000"))=0,NA(),SUMIF(INDIRECT("'"&amp;Assemblies[Assy]&amp;"'!"&amp;"C$5:C1000"), $C330, INDIRECT("'"&amp;Assemblies[Assy]&amp;"'!"&amp;"A$5:A1000")))),"")), " ,", ""))</f>
        <v>,</v>
      </c>
      <c r="X330" s="2" t="s">
        <v>1773</v>
      </c>
      <c r="Y330" s="2" t="s">
        <v>1382</v>
      </c>
      <c r="Z330" s="2" t="s">
        <v>1382</v>
      </c>
      <c r="AA330" s="2" t="s">
        <v>1382</v>
      </c>
    </row>
    <row r="331" spans="1:27" ht="12.75">
      <c r="A331" s="115" t="s">
        <v>2499</v>
      </c>
      <c r="B331" s="115" t="s">
        <v>54</v>
      </c>
      <c r="C331" s="2" t="str">
        <f t="shared" si="11"/>
        <v>GF12.640.02.A</v>
      </c>
      <c r="D331" s="2" t="s">
        <v>2500</v>
      </c>
      <c r="E331" s="52">
        <f t="shared" si="12"/>
        <v>211.6</v>
      </c>
      <c r="F331" s="5" t="e" cm="1">
        <f t="array" aca="1" ref="F331" ca="1">SUMPRODUCT(SUMIF(INDIRECT("'"&amp;Assemblies[Assy]&amp;"'!"&amp;"C$5:C1000"),$C331,(INDIRECT("'"&amp;Assemblies[Assy]&amp;"'!"&amp;"O$5:O1000"))))</f>
        <v>#VALUE!</v>
      </c>
      <c r="G331" s="5">
        <v>1</v>
      </c>
      <c r="H331" s="5">
        <v>1</v>
      </c>
      <c r="I331" s="2" t="s">
        <v>2494</v>
      </c>
      <c r="J331" s="2" t="s">
        <v>1802</v>
      </c>
      <c r="K331" s="2" t="s">
        <v>1382</v>
      </c>
      <c r="L331" s="2" t="s">
        <v>2167</v>
      </c>
      <c r="M331" s="8" t="s">
        <v>1779</v>
      </c>
      <c r="N331" s="8">
        <v>45159</v>
      </c>
      <c r="O331" s="8">
        <v>45161</v>
      </c>
      <c r="P331" s="8">
        <v>45191</v>
      </c>
      <c r="Q331" s="144">
        <v>45191</v>
      </c>
      <c r="R331" s="223">
        <v>55092</v>
      </c>
      <c r="S331" s="153">
        <v>211.6</v>
      </c>
      <c r="T331" s="52">
        <v>0</v>
      </c>
      <c r="U331" s="52">
        <v>0</v>
      </c>
      <c r="V331" s="52">
        <v>0</v>
      </c>
      <c r="W331" s="2" t="str" cm="1">
        <f t="array" aca="1" ref="W331" ca="1">TRIM(SUBSTITUTE(_xlfn.ARRAYTOTEXT(IFERROR(CONCATENATE(SUMIF(INDIRECT("'"&amp;Assemblies[Assy]&amp;"'!"&amp;"C$5:C1000"), $C331, INDIRECT("'"&amp;Assemblies[Assy]&amp;"'!"&amp;"O$5:O1000")), "x",Assemblies[Assy],".",IF(SUMIF(INDIRECT("'"&amp;Assemblies[Assy]&amp;"'!"&amp;"C$5:C1000"), $C331, INDIRECT("'"&amp;Assemblies[Assy]&amp;"'!"&amp;"A$5:A1000"))=0,NA(),SUMIF(INDIRECT("'"&amp;Assemblies[Assy]&amp;"'!"&amp;"C$5:C1000"), $C331, INDIRECT("'"&amp;Assemblies[Assy]&amp;"'!"&amp;"A$5:A1000")))),"")), " ,", ""))</f>
        <v>,</v>
      </c>
      <c r="X331" s="2" t="s">
        <v>1382</v>
      </c>
      <c r="Y331" s="2" t="s">
        <v>1382</v>
      </c>
      <c r="Z331" s="2" t="s">
        <v>1382</v>
      </c>
      <c r="AA331" s="2" t="s">
        <v>1382</v>
      </c>
    </row>
    <row r="332" spans="1:27" ht="12.75">
      <c r="A332" s="115" t="s">
        <v>2501</v>
      </c>
      <c r="B332" s="115" t="s">
        <v>54</v>
      </c>
      <c r="C332" s="2" t="str">
        <f t="shared" si="11"/>
        <v>GF12.640.03.A</v>
      </c>
      <c r="D332" s="2" t="s">
        <v>2502</v>
      </c>
      <c r="E332" s="52">
        <f t="shared" si="12"/>
        <v>0</v>
      </c>
      <c r="F332" s="5" t="e" cm="1">
        <f t="array" aca="1" ref="F332" ca="1">SUMPRODUCT(SUMIF(INDIRECT("'"&amp;Assemblies[Assy]&amp;"'!"&amp;"C$5:C1000"),$C332,(INDIRECT("'"&amp;Assemblies[Assy]&amp;"'!"&amp;"O$5:O1000"))))</f>
        <v>#VALUE!</v>
      </c>
      <c r="G332" s="5">
        <v>8</v>
      </c>
      <c r="H332" s="5">
        <v>8</v>
      </c>
      <c r="I332" s="2" t="s">
        <v>1791</v>
      </c>
      <c r="J332" s="2" t="s">
        <v>1769</v>
      </c>
      <c r="L332" s="2" t="s">
        <v>2162</v>
      </c>
      <c r="M332" s="116" t="s">
        <v>2170</v>
      </c>
      <c r="N332" s="8">
        <v>45156</v>
      </c>
      <c r="O332" s="8">
        <v>45162</v>
      </c>
      <c r="P332" s="8">
        <v>45190</v>
      </c>
      <c r="Q332" s="144">
        <v>45190</v>
      </c>
      <c r="R332" s="223">
        <v>55101</v>
      </c>
      <c r="S332" s="153">
        <v>0</v>
      </c>
      <c r="T332" s="52">
        <v>0</v>
      </c>
      <c r="U332" s="52">
        <v>0</v>
      </c>
      <c r="V332" s="52">
        <v>0</v>
      </c>
      <c r="W332" s="2" t="str" cm="1">
        <f t="array" aca="1" ref="W332" ca="1">TRIM(SUBSTITUTE(_xlfn.ARRAYTOTEXT(IFERROR(CONCATENATE(SUMIF(INDIRECT("'"&amp;Assemblies[Assy]&amp;"'!"&amp;"C$5:C1000"), $C332, INDIRECT("'"&amp;Assemblies[Assy]&amp;"'!"&amp;"O$5:O1000")), "x",Assemblies[Assy],".",IF(SUMIF(INDIRECT("'"&amp;Assemblies[Assy]&amp;"'!"&amp;"C$5:C1000"), $C332, INDIRECT("'"&amp;Assemblies[Assy]&amp;"'!"&amp;"A$5:A1000"))=0,NA(),SUMIF(INDIRECT("'"&amp;Assemblies[Assy]&amp;"'!"&amp;"C$5:C1000"), $C332, INDIRECT("'"&amp;Assemblies[Assy]&amp;"'!"&amp;"A$5:A1000")))),"")), " ,", ""))</f>
        <v>,</v>
      </c>
      <c r="X332" s="2" t="s">
        <v>1382</v>
      </c>
      <c r="Y332" s="2" t="s">
        <v>1382</v>
      </c>
      <c r="Z332" s="2" t="s">
        <v>1382</v>
      </c>
      <c r="AA332" s="2" t="s">
        <v>1382</v>
      </c>
    </row>
    <row r="333" spans="1:27" ht="12.75">
      <c r="A333" s="115" t="s">
        <v>2503</v>
      </c>
      <c r="B333" s="115" t="s">
        <v>54</v>
      </c>
      <c r="C333" s="2" t="str">
        <f t="shared" si="11"/>
        <v>GF12.640.04.A</v>
      </c>
      <c r="D333" s="2" t="s">
        <v>2504</v>
      </c>
      <c r="E333" s="52">
        <f t="shared" si="12"/>
        <v>0</v>
      </c>
      <c r="F333" s="5" t="e" cm="1">
        <f t="array" aca="1" ref="F333" ca="1">SUMPRODUCT(SUMIF(INDIRECT("'"&amp;Assemblies[Assy]&amp;"'!"&amp;"C$5:C1000"),$C333,(INDIRECT("'"&amp;Assemblies[Assy]&amp;"'!"&amp;"O$5:O1000"))))</f>
        <v>#VALUE!</v>
      </c>
      <c r="G333" s="5">
        <v>8</v>
      </c>
      <c r="H333" s="5">
        <v>8</v>
      </c>
      <c r="I333" s="2" t="s">
        <v>2505</v>
      </c>
      <c r="J333" s="2" t="s">
        <v>1777</v>
      </c>
      <c r="L333" s="2" t="s">
        <v>2162</v>
      </c>
      <c r="M333" s="116" t="s">
        <v>2163</v>
      </c>
      <c r="N333" s="8">
        <v>45156</v>
      </c>
      <c r="O333" s="8">
        <v>45162</v>
      </c>
      <c r="P333" s="8">
        <v>45190</v>
      </c>
      <c r="Q333" s="144">
        <v>45190</v>
      </c>
      <c r="R333" s="223">
        <v>55101</v>
      </c>
      <c r="S333" s="153">
        <v>0</v>
      </c>
      <c r="T333" s="52">
        <v>0</v>
      </c>
      <c r="U333" s="52">
        <v>0</v>
      </c>
      <c r="V333" s="52">
        <v>0</v>
      </c>
      <c r="W333" s="2" t="str" cm="1">
        <f t="array" aca="1" ref="W333" ca="1">TRIM(SUBSTITUTE(_xlfn.ARRAYTOTEXT(IFERROR(CONCATENATE(SUMIF(INDIRECT("'"&amp;Assemblies[Assy]&amp;"'!"&amp;"C$5:C1000"), $C333, INDIRECT("'"&amp;Assemblies[Assy]&amp;"'!"&amp;"O$5:O1000")), "x",Assemblies[Assy],".",IF(SUMIF(INDIRECT("'"&amp;Assemblies[Assy]&amp;"'!"&amp;"C$5:C1000"), $C333, INDIRECT("'"&amp;Assemblies[Assy]&amp;"'!"&amp;"A$5:A1000"))=0,NA(),SUMIF(INDIRECT("'"&amp;Assemblies[Assy]&amp;"'!"&amp;"C$5:C1000"), $C333, INDIRECT("'"&amp;Assemblies[Assy]&amp;"'!"&amp;"A$5:A1000")))),"")), " ,", ""))</f>
        <v>,</v>
      </c>
      <c r="X333" s="2" t="s">
        <v>1382</v>
      </c>
      <c r="Y333" s="2" t="s">
        <v>1382</v>
      </c>
      <c r="Z333" s="2" t="s">
        <v>1382</v>
      </c>
      <c r="AA333" s="2" t="s">
        <v>1382</v>
      </c>
    </row>
    <row r="334" spans="1:27" ht="12.75">
      <c r="A334" s="115" t="s">
        <v>2506</v>
      </c>
      <c r="B334" s="115" t="s">
        <v>56</v>
      </c>
      <c r="C334" s="2" t="str">
        <f t="shared" si="11"/>
        <v>GF12.640.05.B</v>
      </c>
      <c r="D334" s="2" t="s">
        <v>2507</v>
      </c>
      <c r="E334" s="52">
        <f t="shared" si="12"/>
        <v>0</v>
      </c>
      <c r="F334" s="5" t="e" cm="1">
        <f t="array" aca="1" ref="F334" ca="1">SUMPRODUCT(SUMIF(INDIRECT("'"&amp;Assemblies[Assy]&amp;"'!"&amp;"C$5:C1000"),$C334,(INDIRECT("'"&amp;Assemblies[Assy]&amp;"'!"&amp;"O$5:O1000"))))</f>
        <v>#VALUE!</v>
      </c>
      <c r="G334" s="5">
        <v>2</v>
      </c>
      <c r="H334" s="5">
        <v>2</v>
      </c>
      <c r="I334" s="2" t="s">
        <v>1791</v>
      </c>
      <c r="J334" s="2" t="s">
        <v>1769</v>
      </c>
      <c r="L334" s="2" t="s">
        <v>2162</v>
      </c>
      <c r="M334" s="116" t="s">
        <v>2173</v>
      </c>
      <c r="N334" s="8">
        <v>45156</v>
      </c>
      <c r="O334" s="8">
        <v>45162</v>
      </c>
      <c r="P334" s="8">
        <v>45190</v>
      </c>
      <c r="Q334" s="144">
        <v>45190</v>
      </c>
      <c r="R334" s="223">
        <v>55101</v>
      </c>
      <c r="S334" s="153">
        <v>0</v>
      </c>
      <c r="T334" s="52">
        <v>0</v>
      </c>
      <c r="U334" s="52">
        <v>0</v>
      </c>
      <c r="V334" s="52">
        <v>0</v>
      </c>
      <c r="W334" s="2" t="str" cm="1">
        <f t="array" aca="1" ref="W334" ca="1">TRIM(SUBSTITUTE(_xlfn.ARRAYTOTEXT(IFERROR(CONCATENATE(SUMIF(INDIRECT("'"&amp;Assemblies[Assy]&amp;"'!"&amp;"C$5:C1000"), $C334, INDIRECT("'"&amp;Assemblies[Assy]&amp;"'!"&amp;"O$5:O1000")), "x",Assemblies[Assy],".",IF(SUMIF(INDIRECT("'"&amp;Assemblies[Assy]&amp;"'!"&amp;"C$5:C1000"), $C334, INDIRECT("'"&amp;Assemblies[Assy]&amp;"'!"&amp;"A$5:A1000"))=0,NA(),SUMIF(INDIRECT("'"&amp;Assemblies[Assy]&amp;"'!"&amp;"C$5:C1000"), $C334, INDIRECT("'"&amp;Assemblies[Assy]&amp;"'!"&amp;"A$5:A1000")))),"")), " ,", ""))</f>
        <v>,</v>
      </c>
      <c r="X334" s="2" t="s">
        <v>1382</v>
      </c>
      <c r="Y334" s="2" t="s">
        <v>1382</v>
      </c>
      <c r="Z334" s="2" t="s">
        <v>1382</v>
      </c>
      <c r="AA334" s="2" t="s">
        <v>1382</v>
      </c>
    </row>
    <row r="335" spans="1:27" ht="12.75">
      <c r="A335" s="115" t="s">
        <v>2508</v>
      </c>
      <c r="B335" s="115" t="s">
        <v>54</v>
      </c>
      <c r="C335" s="2" t="str">
        <f t="shared" si="11"/>
        <v>GF12.640.06.A</v>
      </c>
      <c r="D335" s="2" t="s">
        <v>2509</v>
      </c>
      <c r="E335" s="52">
        <f t="shared" si="12"/>
        <v>0</v>
      </c>
      <c r="F335" s="5" t="e" cm="1">
        <f t="array" aca="1" ref="F335" ca="1">SUMPRODUCT(SUMIF(INDIRECT("'"&amp;Assemblies[Assy]&amp;"'!"&amp;"C$5:C1000"),$C335,(INDIRECT("'"&amp;Assemblies[Assy]&amp;"'!"&amp;"O$5:O1000"))))</f>
        <v>#VALUE!</v>
      </c>
      <c r="G335" s="5">
        <v>2</v>
      </c>
      <c r="H335" s="5">
        <v>2</v>
      </c>
      <c r="I335" s="2" t="s">
        <v>1791</v>
      </c>
      <c r="J335" s="2" t="s">
        <v>1769</v>
      </c>
      <c r="L335" s="2" t="s">
        <v>2162</v>
      </c>
      <c r="M335" s="116" t="s">
        <v>2163</v>
      </c>
      <c r="N335" s="8">
        <v>45156</v>
      </c>
      <c r="O335" s="8">
        <v>45162</v>
      </c>
      <c r="P335" s="8">
        <v>45190</v>
      </c>
      <c r="Q335" s="144">
        <v>45190</v>
      </c>
      <c r="R335" s="223">
        <v>55101</v>
      </c>
      <c r="S335" s="153">
        <v>0</v>
      </c>
      <c r="T335" s="52">
        <v>0</v>
      </c>
      <c r="U335" s="52">
        <v>0</v>
      </c>
      <c r="V335" s="52">
        <v>0</v>
      </c>
      <c r="W335" s="2" t="str" cm="1">
        <f t="array" aca="1" ref="W335" ca="1">TRIM(SUBSTITUTE(_xlfn.ARRAYTOTEXT(IFERROR(CONCATENATE(SUMIF(INDIRECT("'"&amp;Assemblies[Assy]&amp;"'!"&amp;"C$5:C1000"), $C335, INDIRECT("'"&amp;Assemblies[Assy]&amp;"'!"&amp;"O$5:O1000")), "x",Assemblies[Assy],".",IF(SUMIF(INDIRECT("'"&amp;Assemblies[Assy]&amp;"'!"&amp;"C$5:C1000"), $C335, INDIRECT("'"&amp;Assemblies[Assy]&amp;"'!"&amp;"A$5:A1000"))=0,NA(),SUMIF(INDIRECT("'"&amp;Assemblies[Assy]&amp;"'!"&amp;"C$5:C1000"), $C335, INDIRECT("'"&amp;Assemblies[Assy]&amp;"'!"&amp;"A$5:A1000")))),"")), " ,", ""))</f>
        <v>,</v>
      </c>
      <c r="X335" s="2" t="s">
        <v>1382</v>
      </c>
      <c r="Y335" s="2" t="s">
        <v>1382</v>
      </c>
      <c r="Z335" s="2" t="s">
        <v>1382</v>
      </c>
      <c r="AA335" s="2" t="s">
        <v>1382</v>
      </c>
    </row>
    <row r="336" spans="1:27" ht="12.75">
      <c r="A336" s="115" t="s">
        <v>2510</v>
      </c>
      <c r="B336" s="115" t="s">
        <v>56</v>
      </c>
      <c r="C336" s="2" t="str">
        <f t="shared" si="11"/>
        <v>GF12.650.01.B</v>
      </c>
      <c r="D336" s="2" t="s">
        <v>2511</v>
      </c>
      <c r="E336" s="52">
        <f t="shared" si="12"/>
        <v>0</v>
      </c>
      <c r="F336" s="5" t="e" cm="1">
        <f t="array" aca="1" ref="F336" ca="1">SUMPRODUCT(SUMIF(INDIRECT("'"&amp;Assemblies[Assy]&amp;"'!"&amp;"C$5:C1000"),$C336,(INDIRECT("'"&amp;Assemblies[Assy]&amp;"'!"&amp;"O$5:O1000"))))</f>
        <v>#VALUE!</v>
      </c>
      <c r="G336" s="5">
        <v>2</v>
      </c>
      <c r="H336" s="5">
        <v>2</v>
      </c>
      <c r="I336" s="2" t="s">
        <v>1782</v>
      </c>
      <c r="J336" s="2" t="s">
        <v>2213</v>
      </c>
      <c r="L336" s="2" t="s">
        <v>2162</v>
      </c>
      <c r="M336" s="116" t="s">
        <v>1779</v>
      </c>
      <c r="N336" s="8">
        <v>45156</v>
      </c>
      <c r="O336" s="8">
        <v>45162</v>
      </c>
      <c r="P336" s="8">
        <v>45190</v>
      </c>
      <c r="Q336" s="144">
        <v>45190</v>
      </c>
      <c r="R336" s="223">
        <v>55101</v>
      </c>
      <c r="S336" s="153">
        <v>0</v>
      </c>
      <c r="T336" s="52">
        <v>0</v>
      </c>
      <c r="U336" s="52">
        <v>0</v>
      </c>
      <c r="V336" s="52">
        <v>0</v>
      </c>
      <c r="W336" s="2" t="str" cm="1">
        <f t="array" aca="1" ref="W336" ca="1">TRIM(SUBSTITUTE(_xlfn.ARRAYTOTEXT(IFERROR(CONCATENATE(SUMIF(INDIRECT("'"&amp;Assemblies[Assy]&amp;"'!"&amp;"C$5:C1000"), $C336, INDIRECT("'"&amp;Assemblies[Assy]&amp;"'!"&amp;"O$5:O1000")), "x",Assemblies[Assy],".",IF(SUMIF(INDIRECT("'"&amp;Assemblies[Assy]&amp;"'!"&amp;"C$5:C1000"), $C336, INDIRECT("'"&amp;Assemblies[Assy]&amp;"'!"&amp;"A$5:A1000"))=0,NA(),SUMIF(INDIRECT("'"&amp;Assemblies[Assy]&amp;"'!"&amp;"C$5:C1000"), $C336, INDIRECT("'"&amp;Assemblies[Assy]&amp;"'!"&amp;"A$5:A1000")))),"")), " ,", ""))</f>
        <v>,</v>
      </c>
      <c r="X336" s="2" t="s">
        <v>1382</v>
      </c>
      <c r="Y336" s="2" t="s">
        <v>1382</v>
      </c>
      <c r="Z336" s="2" t="s">
        <v>1382</v>
      </c>
    </row>
    <row r="337" spans="1:27" ht="12.75">
      <c r="A337" s="115" t="s">
        <v>2512</v>
      </c>
      <c r="B337" s="115" t="s">
        <v>54</v>
      </c>
      <c r="C337" s="2" t="str">
        <f t="shared" si="11"/>
        <v>GF12.650.02.A</v>
      </c>
      <c r="D337" s="2" t="s">
        <v>2513</v>
      </c>
      <c r="E337" s="52">
        <f t="shared" si="12"/>
        <v>0</v>
      </c>
      <c r="F337" s="5" t="e" cm="1">
        <f t="array" aca="1" ref="F337" ca="1">SUMPRODUCT(SUMIF(INDIRECT("'"&amp;Assemblies[Assy]&amp;"'!"&amp;"C$5:C1000"),$C337,(INDIRECT("'"&amp;Assemblies[Assy]&amp;"'!"&amp;"O$5:O1000"))))</f>
        <v>#VALUE!</v>
      </c>
      <c r="G337" s="5">
        <v>2</v>
      </c>
      <c r="H337" s="5">
        <v>2</v>
      </c>
      <c r="I337" s="2" t="s">
        <v>1791</v>
      </c>
      <c r="J337" s="2" t="s">
        <v>1769</v>
      </c>
      <c r="L337" s="2" t="s">
        <v>2162</v>
      </c>
      <c r="M337" s="116" t="s">
        <v>2170</v>
      </c>
      <c r="N337" s="8">
        <v>45156</v>
      </c>
      <c r="O337" s="8">
        <v>45162</v>
      </c>
      <c r="P337" s="8">
        <v>45190</v>
      </c>
      <c r="Q337" s="144">
        <v>45190</v>
      </c>
      <c r="R337" s="223">
        <v>55101</v>
      </c>
      <c r="S337" s="153">
        <v>0</v>
      </c>
      <c r="T337" s="52">
        <v>0</v>
      </c>
      <c r="U337" s="52">
        <v>0</v>
      </c>
      <c r="V337" s="52">
        <v>0</v>
      </c>
      <c r="W337" s="2" t="str" cm="1">
        <f t="array" aca="1" ref="W337" ca="1">TRIM(SUBSTITUTE(_xlfn.ARRAYTOTEXT(IFERROR(CONCATENATE(SUMIF(INDIRECT("'"&amp;Assemblies[Assy]&amp;"'!"&amp;"C$5:C1000"), $C337, INDIRECT("'"&amp;Assemblies[Assy]&amp;"'!"&amp;"O$5:O1000")), "x",Assemblies[Assy],".",IF(SUMIF(INDIRECT("'"&amp;Assemblies[Assy]&amp;"'!"&amp;"C$5:C1000"), $C337, INDIRECT("'"&amp;Assemblies[Assy]&amp;"'!"&amp;"A$5:A1000"))=0,NA(),SUMIF(INDIRECT("'"&amp;Assemblies[Assy]&amp;"'!"&amp;"C$5:C1000"), $C337, INDIRECT("'"&amp;Assemblies[Assy]&amp;"'!"&amp;"A$5:A1000")))),"")), " ,", ""))</f>
        <v>,</v>
      </c>
      <c r="X337" s="2" t="s">
        <v>1382</v>
      </c>
      <c r="Y337" s="2" t="s">
        <v>1382</v>
      </c>
      <c r="Z337" s="2" t="s">
        <v>1382</v>
      </c>
      <c r="AA337" s="2" t="s">
        <v>1382</v>
      </c>
    </row>
    <row r="338" spans="1:27" ht="12.75">
      <c r="A338" s="115" t="s">
        <v>2514</v>
      </c>
      <c r="B338" s="115" t="s">
        <v>54</v>
      </c>
      <c r="C338" s="2" t="str">
        <f t="shared" si="11"/>
        <v>GF12.650.03.A</v>
      </c>
      <c r="D338" s="2" t="s">
        <v>2515</v>
      </c>
      <c r="E338" s="52">
        <f t="shared" si="12"/>
        <v>0</v>
      </c>
      <c r="F338" s="5" t="e" cm="1">
        <f t="array" aca="1" ref="F338" ca="1">SUMPRODUCT(SUMIF(INDIRECT("'"&amp;Assemblies[Assy]&amp;"'!"&amp;"C$5:C1000"),$C338,(INDIRECT("'"&amp;Assemblies[Assy]&amp;"'!"&amp;"O$5:O1000"))))</f>
        <v>#VALUE!</v>
      </c>
      <c r="G338" s="5">
        <v>8</v>
      </c>
      <c r="H338" s="5">
        <v>8</v>
      </c>
      <c r="I338" s="2" t="s">
        <v>1791</v>
      </c>
      <c r="J338" s="2" t="s">
        <v>1769</v>
      </c>
      <c r="L338" s="2" t="s">
        <v>2162</v>
      </c>
      <c r="M338" s="116" t="s">
        <v>2170</v>
      </c>
      <c r="N338" s="8">
        <v>45156</v>
      </c>
      <c r="O338" s="8">
        <v>45162</v>
      </c>
      <c r="P338" s="8">
        <v>45190</v>
      </c>
      <c r="Q338" s="144">
        <v>45190</v>
      </c>
      <c r="R338" s="223">
        <v>55101</v>
      </c>
      <c r="S338" s="153">
        <v>0</v>
      </c>
      <c r="T338" s="52">
        <v>0</v>
      </c>
      <c r="U338" s="52">
        <v>0</v>
      </c>
      <c r="V338" s="52">
        <v>0</v>
      </c>
      <c r="W338" s="2" t="str" cm="1">
        <f t="array" aca="1" ref="W338" ca="1">TRIM(SUBSTITUTE(_xlfn.ARRAYTOTEXT(IFERROR(CONCATENATE(SUMIF(INDIRECT("'"&amp;Assemblies[Assy]&amp;"'!"&amp;"C$5:C1000"), $C338, INDIRECT("'"&amp;Assemblies[Assy]&amp;"'!"&amp;"O$5:O1000")), "x",Assemblies[Assy],".",IF(SUMIF(INDIRECT("'"&amp;Assemblies[Assy]&amp;"'!"&amp;"C$5:C1000"), $C338, INDIRECT("'"&amp;Assemblies[Assy]&amp;"'!"&amp;"A$5:A1000"))=0,NA(),SUMIF(INDIRECT("'"&amp;Assemblies[Assy]&amp;"'!"&amp;"C$5:C1000"), $C338, INDIRECT("'"&amp;Assemblies[Assy]&amp;"'!"&amp;"A$5:A1000")))),"")), " ,", ""))</f>
        <v>,</v>
      </c>
      <c r="X338" s="2" t="s">
        <v>1382</v>
      </c>
      <c r="Y338" s="2" t="s">
        <v>1382</v>
      </c>
      <c r="Z338" s="2" t="s">
        <v>1382</v>
      </c>
      <c r="AA338" s="2" t="s">
        <v>1382</v>
      </c>
    </row>
    <row r="339" spans="1:27" ht="12.75">
      <c r="A339" s="115" t="s">
        <v>2516</v>
      </c>
      <c r="B339" s="115" t="s">
        <v>54</v>
      </c>
      <c r="C339" s="161" t="str">
        <f t="shared" si="11"/>
        <v>GF12.650.04.A</v>
      </c>
      <c r="D339" s="161" t="s">
        <v>2517</v>
      </c>
      <c r="E339" s="52">
        <f t="shared" si="12"/>
        <v>0</v>
      </c>
      <c r="F339" s="5" t="e" cm="1">
        <f t="array" aca="1" ref="F339" ca="1">SUMPRODUCT(SUMIF(INDIRECT("'"&amp;Assemblies[Assy]&amp;"'!"&amp;"C$5:C1000"),$C339,(INDIRECT("'"&amp;Assemblies[Assy]&amp;"'!"&amp;"O$5:O1000"))))</f>
        <v>#VALUE!</v>
      </c>
      <c r="G339" s="5">
        <v>2</v>
      </c>
      <c r="H339" s="5">
        <v>2</v>
      </c>
      <c r="I339" s="2" t="s">
        <v>1791</v>
      </c>
      <c r="J339" s="2" t="s">
        <v>1792</v>
      </c>
      <c r="L339" s="2" t="s">
        <v>2162</v>
      </c>
      <c r="M339" s="116" t="s">
        <v>2163</v>
      </c>
      <c r="N339" s="8">
        <v>45156</v>
      </c>
      <c r="O339" s="8">
        <v>45162</v>
      </c>
      <c r="P339" s="8">
        <v>45190</v>
      </c>
      <c r="Q339" s="144">
        <v>45190</v>
      </c>
      <c r="R339" s="223">
        <v>55101</v>
      </c>
      <c r="S339" s="153">
        <v>0</v>
      </c>
      <c r="T339" s="52">
        <v>0</v>
      </c>
      <c r="U339" s="52">
        <v>0</v>
      </c>
      <c r="V339" s="52">
        <v>0</v>
      </c>
      <c r="W339" s="2" t="str" cm="1">
        <f t="array" aca="1" ref="W339" ca="1">TRIM(SUBSTITUTE(_xlfn.ARRAYTOTEXT(IFERROR(CONCATENATE(SUMIF(INDIRECT("'"&amp;Assemblies[Assy]&amp;"'!"&amp;"C$5:C1000"), $C339, INDIRECT("'"&amp;Assemblies[Assy]&amp;"'!"&amp;"O$5:O1000")), "x",Assemblies[Assy],".",IF(SUMIF(INDIRECT("'"&amp;Assemblies[Assy]&amp;"'!"&amp;"C$5:C1000"), $C339, INDIRECT("'"&amp;Assemblies[Assy]&amp;"'!"&amp;"A$5:A1000"))=0,NA(),SUMIF(INDIRECT("'"&amp;Assemblies[Assy]&amp;"'!"&amp;"C$5:C1000"), $C339, INDIRECT("'"&amp;Assemblies[Assy]&amp;"'!"&amp;"A$5:A1000")))),"")), " ,", ""))</f>
        <v>,</v>
      </c>
      <c r="X339" s="2" t="s">
        <v>1382</v>
      </c>
      <c r="Y339" s="2" t="s">
        <v>1382</v>
      </c>
      <c r="Z339" s="2" t="s">
        <v>1382</v>
      </c>
      <c r="AA339" s="2" t="s">
        <v>1382</v>
      </c>
    </row>
    <row r="340" spans="1:27" ht="12.75">
      <c r="A340" s="115" t="s">
        <v>2518</v>
      </c>
      <c r="B340" s="115" t="s">
        <v>54</v>
      </c>
      <c r="C340" s="161" t="str">
        <f t="shared" si="11"/>
        <v>GF12.650.05.A</v>
      </c>
      <c r="D340" s="161" t="s">
        <v>2519</v>
      </c>
      <c r="E340" s="52">
        <f t="shared" si="12"/>
        <v>0</v>
      </c>
      <c r="F340" s="5" t="e" cm="1">
        <f t="array" aca="1" ref="F340" ca="1">SUMPRODUCT(SUMIF(INDIRECT("'"&amp;Assemblies[Assy]&amp;"'!"&amp;"C$5:C1000"),$C340,(INDIRECT("'"&amp;Assemblies[Assy]&amp;"'!"&amp;"O$5:O1000"))))</f>
        <v>#VALUE!</v>
      </c>
      <c r="G340" s="5">
        <v>2</v>
      </c>
      <c r="H340" s="5">
        <v>2</v>
      </c>
      <c r="I340" s="2" t="s">
        <v>1791</v>
      </c>
      <c r="J340" s="2" t="s">
        <v>1792</v>
      </c>
      <c r="L340" s="2" t="s">
        <v>2162</v>
      </c>
      <c r="M340" s="116" t="s">
        <v>2163</v>
      </c>
      <c r="N340" s="8">
        <v>45156</v>
      </c>
      <c r="O340" s="8">
        <v>45162</v>
      </c>
      <c r="P340" s="8">
        <v>45190</v>
      </c>
      <c r="Q340" s="144">
        <v>45190</v>
      </c>
      <c r="R340" s="223">
        <v>55101</v>
      </c>
      <c r="S340" s="153">
        <v>0</v>
      </c>
      <c r="T340" s="52">
        <v>0</v>
      </c>
      <c r="U340" s="52">
        <v>0</v>
      </c>
      <c r="V340" s="52">
        <v>0</v>
      </c>
      <c r="W340" s="2" t="str" cm="1">
        <f t="array" aca="1" ref="W340" ca="1">TRIM(SUBSTITUTE(_xlfn.ARRAYTOTEXT(IFERROR(CONCATENATE(SUMIF(INDIRECT("'"&amp;Assemblies[Assy]&amp;"'!"&amp;"C$5:C1000"), $C340, INDIRECT("'"&amp;Assemblies[Assy]&amp;"'!"&amp;"O$5:O1000")), "x",Assemblies[Assy],".",IF(SUMIF(INDIRECT("'"&amp;Assemblies[Assy]&amp;"'!"&amp;"C$5:C1000"), $C340, INDIRECT("'"&amp;Assemblies[Assy]&amp;"'!"&amp;"A$5:A1000"))=0,NA(),SUMIF(INDIRECT("'"&amp;Assemblies[Assy]&amp;"'!"&amp;"C$5:C1000"), $C340, INDIRECT("'"&amp;Assemblies[Assy]&amp;"'!"&amp;"A$5:A1000")))),"")), " ,", ""))</f>
        <v>,</v>
      </c>
      <c r="X340" s="2" t="s">
        <v>1382</v>
      </c>
      <c r="Y340" s="2" t="s">
        <v>1382</v>
      </c>
      <c r="Z340" s="2" t="s">
        <v>1382</v>
      </c>
      <c r="AA340" s="2" t="s">
        <v>1382</v>
      </c>
    </row>
    <row r="341" spans="1:27" ht="12.75">
      <c r="A341" s="115" t="s">
        <v>2520</v>
      </c>
      <c r="B341" s="115" t="s">
        <v>54</v>
      </c>
      <c r="C341" s="2" t="str">
        <f t="shared" si="11"/>
        <v>GF12.650.06.A</v>
      </c>
      <c r="D341" s="2" t="s">
        <v>2521</v>
      </c>
      <c r="E341" s="52">
        <f t="shared" si="12"/>
        <v>0</v>
      </c>
      <c r="F341" s="5" t="e" cm="1">
        <f t="array" aca="1" ref="F341" ca="1">SUMPRODUCT(SUMIF(INDIRECT("'"&amp;Assemblies[Assy]&amp;"'!"&amp;"C$5:C1000"),$C341,(INDIRECT("'"&amp;Assemblies[Assy]&amp;"'!"&amp;"O$5:O1000"))))</f>
        <v>#VALUE!</v>
      </c>
      <c r="G341" s="5">
        <v>2</v>
      </c>
      <c r="H341" s="5">
        <v>2</v>
      </c>
      <c r="I341" s="2" t="s">
        <v>2505</v>
      </c>
      <c r="J341" s="2" t="s">
        <v>1777</v>
      </c>
      <c r="L341" s="2" t="s">
        <v>2162</v>
      </c>
      <c r="M341" s="116" t="s">
        <v>2163</v>
      </c>
      <c r="N341" s="8">
        <v>45156</v>
      </c>
      <c r="O341" s="8">
        <v>45162</v>
      </c>
      <c r="P341" s="8">
        <v>45190</v>
      </c>
      <c r="Q341" s="144">
        <v>45190</v>
      </c>
      <c r="R341" s="223">
        <v>55101</v>
      </c>
      <c r="S341" s="153">
        <v>0</v>
      </c>
      <c r="T341" s="52">
        <v>0</v>
      </c>
      <c r="U341" s="52">
        <v>0</v>
      </c>
      <c r="V341" s="52">
        <v>0</v>
      </c>
      <c r="W341" s="2" t="str" cm="1">
        <f t="array" aca="1" ref="W341" ca="1">TRIM(SUBSTITUTE(_xlfn.ARRAYTOTEXT(IFERROR(CONCATENATE(SUMIF(INDIRECT("'"&amp;Assemblies[Assy]&amp;"'!"&amp;"C$5:C1000"), $C341, INDIRECT("'"&amp;Assemblies[Assy]&amp;"'!"&amp;"O$5:O1000")), "x",Assemblies[Assy],".",IF(SUMIF(INDIRECT("'"&amp;Assemblies[Assy]&amp;"'!"&amp;"C$5:C1000"), $C341, INDIRECT("'"&amp;Assemblies[Assy]&amp;"'!"&amp;"A$5:A1000"))=0,NA(),SUMIF(INDIRECT("'"&amp;Assemblies[Assy]&amp;"'!"&amp;"C$5:C1000"), $C341, INDIRECT("'"&amp;Assemblies[Assy]&amp;"'!"&amp;"A$5:A1000")))),"")), " ,", ""))</f>
        <v>,</v>
      </c>
      <c r="X341" s="2" t="s">
        <v>1382</v>
      </c>
      <c r="Y341" s="2" t="s">
        <v>1382</v>
      </c>
      <c r="Z341" s="2" t="s">
        <v>1382</v>
      </c>
      <c r="AA341" s="2" t="s">
        <v>1382</v>
      </c>
    </row>
    <row r="342" spans="1:27" ht="12.75">
      <c r="A342" s="115" t="s">
        <v>2522</v>
      </c>
      <c r="B342" s="115" t="s">
        <v>56</v>
      </c>
      <c r="C342" s="2" t="str">
        <f t="shared" si="11"/>
        <v>GF12.651.01.B</v>
      </c>
      <c r="D342" s="2" t="s">
        <v>2523</v>
      </c>
      <c r="E342" s="52">
        <f t="shared" si="12"/>
        <v>0</v>
      </c>
      <c r="F342" s="5" t="e" cm="1">
        <f t="array" aca="1" ref="F342" ca="1">SUMPRODUCT(SUMIF(INDIRECT("'"&amp;Assemblies[Assy]&amp;"'!"&amp;"C$5:C1000"),$C342,(INDIRECT("'"&amp;Assemblies[Assy]&amp;"'!"&amp;"O$5:O1000"))))</f>
        <v>#VALUE!</v>
      </c>
      <c r="G342" s="5">
        <v>4</v>
      </c>
      <c r="H342" s="5">
        <v>4</v>
      </c>
      <c r="I342" s="2" t="s">
        <v>2505</v>
      </c>
      <c r="J342" s="2" t="s">
        <v>1777</v>
      </c>
      <c r="L342" s="2" t="s">
        <v>2162</v>
      </c>
      <c r="M342" s="116" t="s">
        <v>2163</v>
      </c>
      <c r="N342" s="8">
        <v>45156</v>
      </c>
      <c r="O342" s="8">
        <v>45162</v>
      </c>
      <c r="P342" s="8">
        <v>45190</v>
      </c>
      <c r="Q342" s="144">
        <v>45190</v>
      </c>
      <c r="R342" s="223">
        <v>55101</v>
      </c>
      <c r="S342" s="153">
        <v>0</v>
      </c>
      <c r="T342" s="52">
        <v>0</v>
      </c>
      <c r="U342" s="52">
        <v>0</v>
      </c>
      <c r="V342" s="52">
        <v>0</v>
      </c>
      <c r="W342" s="2" t="str" cm="1">
        <f t="array" aca="1" ref="W342" ca="1">TRIM(SUBSTITUTE(_xlfn.ARRAYTOTEXT(IFERROR(CONCATENATE(SUMIF(INDIRECT("'"&amp;Assemblies[Assy]&amp;"'!"&amp;"C$5:C1000"), $C342, INDIRECT("'"&amp;Assemblies[Assy]&amp;"'!"&amp;"O$5:O1000")), "x",Assemblies[Assy],".",IF(SUMIF(INDIRECT("'"&amp;Assemblies[Assy]&amp;"'!"&amp;"C$5:C1000"), $C342, INDIRECT("'"&amp;Assemblies[Assy]&amp;"'!"&amp;"A$5:A1000"))=0,NA(),SUMIF(INDIRECT("'"&amp;Assemblies[Assy]&amp;"'!"&amp;"C$5:C1000"), $C342, INDIRECT("'"&amp;Assemblies[Assy]&amp;"'!"&amp;"A$5:A1000")))),"")), " ,", ""))</f>
        <v>,</v>
      </c>
      <c r="X342" s="2" t="s">
        <v>1382</v>
      </c>
      <c r="Y342" s="2" t="s">
        <v>1382</v>
      </c>
      <c r="Z342" s="2" t="s">
        <v>1382</v>
      </c>
      <c r="AA342" s="2" t="s">
        <v>1382</v>
      </c>
    </row>
    <row r="343" spans="1:27" ht="12.75">
      <c r="A343" s="115" t="s">
        <v>2524</v>
      </c>
      <c r="B343" s="115" t="s">
        <v>54</v>
      </c>
      <c r="C343" s="2" t="str">
        <f t="shared" si="11"/>
        <v>GF12.651.02.A</v>
      </c>
      <c r="D343" s="2" t="s">
        <v>2525</v>
      </c>
      <c r="E343" s="52">
        <f t="shared" si="12"/>
        <v>0</v>
      </c>
      <c r="F343" s="5" t="e" cm="1">
        <f t="array" aca="1" ref="F343" ca="1">SUMPRODUCT(SUMIF(INDIRECT("'"&amp;Assemblies[Assy]&amp;"'!"&amp;"C$5:C1000"),$C343,(INDIRECT("'"&amp;Assemblies[Assy]&amp;"'!"&amp;"O$5:O1000"))))</f>
        <v>#VALUE!</v>
      </c>
      <c r="G343" s="5">
        <v>4</v>
      </c>
      <c r="H343" s="5">
        <v>4</v>
      </c>
      <c r="I343" s="2" t="s">
        <v>2505</v>
      </c>
      <c r="J343" s="2" t="s">
        <v>1777</v>
      </c>
      <c r="L343" s="2" t="s">
        <v>2162</v>
      </c>
      <c r="M343" s="116" t="s">
        <v>2170</v>
      </c>
      <c r="N343" s="8">
        <v>45156</v>
      </c>
      <c r="O343" s="8">
        <v>45162</v>
      </c>
      <c r="P343" s="8">
        <v>45190</v>
      </c>
      <c r="Q343" s="144">
        <v>45190</v>
      </c>
      <c r="R343" s="223">
        <v>55101</v>
      </c>
      <c r="S343" s="153">
        <v>0</v>
      </c>
      <c r="T343" s="52">
        <v>0</v>
      </c>
      <c r="U343" s="52">
        <v>0</v>
      </c>
      <c r="V343" s="52">
        <v>0</v>
      </c>
      <c r="W343" s="2" t="str" cm="1">
        <f t="array" aca="1" ref="W343" ca="1">TRIM(SUBSTITUTE(_xlfn.ARRAYTOTEXT(IFERROR(CONCATENATE(SUMIF(INDIRECT("'"&amp;Assemblies[Assy]&amp;"'!"&amp;"C$5:C1000"), $C343, INDIRECT("'"&amp;Assemblies[Assy]&amp;"'!"&amp;"O$5:O1000")), "x",Assemblies[Assy],".",IF(SUMIF(INDIRECT("'"&amp;Assemblies[Assy]&amp;"'!"&amp;"C$5:C1000"), $C343, INDIRECT("'"&amp;Assemblies[Assy]&amp;"'!"&amp;"A$5:A1000"))=0,NA(),SUMIF(INDIRECT("'"&amp;Assemblies[Assy]&amp;"'!"&amp;"C$5:C1000"), $C343, INDIRECT("'"&amp;Assemblies[Assy]&amp;"'!"&amp;"A$5:A1000")))),"")), " ,", ""))</f>
        <v>,</v>
      </c>
      <c r="X343" s="2" t="s">
        <v>1382</v>
      </c>
      <c r="Y343" s="2" t="s">
        <v>1382</v>
      </c>
      <c r="Z343" s="2" t="s">
        <v>1382</v>
      </c>
      <c r="AA343" s="2" t="s">
        <v>1382</v>
      </c>
    </row>
    <row r="344" spans="1:27" ht="12.75">
      <c r="A344" s="115" t="s">
        <v>2526</v>
      </c>
      <c r="B344" s="115" t="s">
        <v>54</v>
      </c>
      <c r="C344" s="2" t="str">
        <f t="shared" si="11"/>
        <v>GF12.651.03.A</v>
      </c>
      <c r="D344" s="2" t="s">
        <v>2521</v>
      </c>
      <c r="E344" s="52">
        <f t="shared" si="12"/>
        <v>0</v>
      </c>
      <c r="F344" s="5" t="e" cm="1">
        <f t="array" aca="1" ref="F344" ca="1">SUMPRODUCT(SUMIF(INDIRECT("'"&amp;Assemblies[Assy]&amp;"'!"&amp;"C$5:C1000"),$C344,(INDIRECT("'"&amp;Assemblies[Assy]&amp;"'!"&amp;"O$5:O1000"))))</f>
        <v>#VALUE!</v>
      </c>
      <c r="G344" s="5">
        <v>4</v>
      </c>
      <c r="H344" s="5">
        <v>4</v>
      </c>
      <c r="I344" s="2" t="s">
        <v>2505</v>
      </c>
      <c r="J344" s="2" t="s">
        <v>1777</v>
      </c>
      <c r="L344" s="2" t="s">
        <v>2162</v>
      </c>
      <c r="M344" s="116" t="s">
        <v>2170</v>
      </c>
      <c r="N344" s="8">
        <v>45156</v>
      </c>
      <c r="O344" s="8">
        <v>45162</v>
      </c>
      <c r="P344" s="8">
        <v>45190</v>
      </c>
      <c r="Q344" s="144">
        <v>45190</v>
      </c>
      <c r="R344" s="223">
        <v>55101</v>
      </c>
      <c r="S344" s="153">
        <v>0</v>
      </c>
      <c r="T344" s="52">
        <v>0</v>
      </c>
      <c r="U344" s="52">
        <v>0</v>
      </c>
      <c r="V344" s="52">
        <v>0</v>
      </c>
      <c r="W344" s="2" t="str" cm="1">
        <f t="array" aca="1" ref="W344" ca="1">TRIM(SUBSTITUTE(_xlfn.ARRAYTOTEXT(IFERROR(CONCATENATE(SUMIF(INDIRECT("'"&amp;Assemblies[Assy]&amp;"'!"&amp;"C$5:C1000"), $C344, INDIRECT("'"&amp;Assemblies[Assy]&amp;"'!"&amp;"O$5:O1000")), "x",Assemblies[Assy],".",IF(SUMIF(INDIRECT("'"&amp;Assemblies[Assy]&amp;"'!"&amp;"C$5:C1000"), $C344, INDIRECT("'"&amp;Assemblies[Assy]&amp;"'!"&amp;"A$5:A1000"))=0,NA(),SUMIF(INDIRECT("'"&amp;Assemblies[Assy]&amp;"'!"&amp;"C$5:C1000"), $C344, INDIRECT("'"&amp;Assemblies[Assy]&amp;"'!"&amp;"A$5:A1000")))),"")), " ,", ""))</f>
        <v>,</v>
      </c>
      <c r="X344" s="2" t="s">
        <v>1382</v>
      </c>
      <c r="Y344" s="2" t="s">
        <v>1382</v>
      </c>
      <c r="Z344" s="2" t="s">
        <v>1382</v>
      </c>
      <c r="AA344" s="2" t="s">
        <v>1382</v>
      </c>
    </row>
    <row r="345" spans="1:27" ht="12.75">
      <c r="A345" s="115" t="s">
        <v>2527</v>
      </c>
      <c r="B345" s="115" t="s">
        <v>54</v>
      </c>
      <c r="C345" s="2" t="str">
        <f t="shared" si="11"/>
        <v>GF12.651.04.A</v>
      </c>
      <c r="D345" s="2" t="s">
        <v>2528</v>
      </c>
      <c r="E345" s="52">
        <f t="shared" si="12"/>
        <v>0</v>
      </c>
      <c r="F345" s="5" t="e" cm="1">
        <f t="array" aca="1" ref="F345" ca="1">SUMPRODUCT(SUMIF(INDIRECT("'"&amp;Assemblies[Assy]&amp;"'!"&amp;"C$5:C1000"),$C345,(INDIRECT("'"&amp;Assemblies[Assy]&amp;"'!"&amp;"O$5:O1000"))))</f>
        <v>#VALUE!</v>
      </c>
      <c r="G345" s="5">
        <v>8</v>
      </c>
      <c r="H345" s="5">
        <v>8</v>
      </c>
      <c r="I345" s="2" t="s">
        <v>2505</v>
      </c>
      <c r="J345" s="2" t="s">
        <v>1777</v>
      </c>
      <c r="L345" s="2" t="s">
        <v>2162</v>
      </c>
      <c r="M345" s="116" t="s">
        <v>2163</v>
      </c>
      <c r="N345" s="8">
        <v>45156</v>
      </c>
      <c r="O345" s="8">
        <v>45162</v>
      </c>
      <c r="P345" s="8">
        <v>45190</v>
      </c>
      <c r="Q345" s="144">
        <v>45190</v>
      </c>
      <c r="R345" s="223">
        <v>55101</v>
      </c>
      <c r="S345" s="153">
        <v>0</v>
      </c>
      <c r="T345" s="52">
        <v>0</v>
      </c>
      <c r="U345" s="52">
        <v>0</v>
      </c>
      <c r="V345" s="52">
        <v>0</v>
      </c>
      <c r="W345" s="2" t="str" cm="1">
        <f t="array" aca="1" ref="W345" ca="1">TRIM(SUBSTITUTE(_xlfn.ARRAYTOTEXT(IFERROR(CONCATENATE(SUMIF(INDIRECT("'"&amp;Assemblies[Assy]&amp;"'!"&amp;"C$5:C1000"), $C345, INDIRECT("'"&amp;Assemblies[Assy]&amp;"'!"&amp;"O$5:O1000")), "x",Assemblies[Assy],".",IF(SUMIF(INDIRECT("'"&amp;Assemblies[Assy]&amp;"'!"&amp;"C$5:C1000"), $C345, INDIRECT("'"&amp;Assemblies[Assy]&amp;"'!"&amp;"A$5:A1000"))=0,NA(),SUMIF(INDIRECT("'"&amp;Assemblies[Assy]&amp;"'!"&amp;"C$5:C1000"), $C345, INDIRECT("'"&amp;Assemblies[Assy]&amp;"'!"&amp;"A$5:A1000")))),"")), " ,", ""))</f>
        <v>,</v>
      </c>
      <c r="X345" s="2" t="s">
        <v>1382</v>
      </c>
      <c r="Y345" s="2" t="s">
        <v>1382</v>
      </c>
      <c r="Z345" s="2" t="s">
        <v>1382</v>
      </c>
      <c r="AA345" s="2" t="s">
        <v>1382</v>
      </c>
    </row>
    <row r="346" spans="1:27" ht="12.75">
      <c r="A346" s="115" t="s">
        <v>2529</v>
      </c>
      <c r="B346" s="115" t="s">
        <v>54</v>
      </c>
      <c r="C346" s="2" t="str">
        <f t="shared" si="11"/>
        <v>GF12.653.01.A</v>
      </c>
      <c r="D346" s="2" t="s">
        <v>2530</v>
      </c>
      <c r="E346" s="52">
        <f t="shared" si="12"/>
        <v>0</v>
      </c>
      <c r="F346" s="5" t="e" cm="1">
        <f t="array" aca="1" ref="F346" ca="1">SUMPRODUCT(SUMIF(INDIRECT("'"&amp;Assemblies[Assy]&amp;"'!"&amp;"C$5:C1000"),$C346,(INDIRECT("'"&amp;Assemblies[Assy]&amp;"'!"&amp;"O$5:O1000"))))</f>
        <v>#VALUE!</v>
      </c>
      <c r="G346" s="5">
        <v>2</v>
      </c>
      <c r="H346" s="5">
        <v>2</v>
      </c>
      <c r="I346" s="2" t="s">
        <v>1791</v>
      </c>
      <c r="J346" s="2" t="s">
        <v>1769</v>
      </c>
      <c r="L346" s="2" t="s">
        <v>2162</v>
      </c>
      <c r="M346" s="116" t="s">
        <v>2163</v>
      </c>
      <c r="N346" s="8">
        <v>45156</v>
      </c>
      <c r="O346" s="8">
        <v>45162</v>
      </c>
      <c r="P346" s="8">
        <v>45190</v>
      </c>
      <c r="Q346" s="144">
        <v>45190</v>
      </c>
      <c r="R346" s="223">
        <v>55101</v>
      </c>
      <c r="S346" s="153">
        <v>0</v>
      </c>
      <c r="T346" s="52">
        <v>0</v>
      </c>
      <c r="U346" s="52">
        <v>0</v>
      </c>
      <c r="V346" s="52">
        <v>0</v>
      </c>
      <c r="W346" s="2" t="str" cm="1">
        <f t="array" aca="1" ref="W346" ca="1">TRIM(SUBSTITUTE(_xlfn.ARRAYTOTEXT(IFERROR(CONCATENATE(SUMIF(INDIRECT("'"&amp;Assemblies[Assy]&amp;"'!"&amp;"C$5:C1000"), $C346, INDIRECT("'"&amp;Assemblies[Assy]&amp;"'!"&amp;"O$5:O1000")), "x",Assemblies[Assy],".",IF(SUMIF(INDIRECT("'"&amp;Assemblies[Assy]&amp;"'!"&amp;"C$5:C1000"), $C346, INDIRECT("'"&amp;Assemblies[Assy]&amp;"'!"&amp;"A$5:A1000"))=0,NA(),SUMIF(INDIRECT("'"&amp;Assemblies[Assy]&amp;"'!"&amp;"C$5:C1000"), $C346, INDIRECT("'"&amp;Assemblies[Assy]&amp;"'!"&amp;"A$5:A1000")))),"")), " ,", ""))</f>
        <v>,</v>
      </c>
      <c r="X346" s="2" t="s">
        <v>1382</v>
      </c>
      <c r="Y346" s="2" t="s">
        <v>1382</v>
      </c>
      <c r="Z346" s="2" t="s">
        <v>1382</v>
      </c>
      <c r="AA346" s="2" t="s">
        <v>1382</v>
      </c>
    </row>
    <row r="347" spans="1:27" ht="12.75">
      <c r="A347" s="115" t="s">
        <v>2531</v>
      </c>
      <c r="B347" s="115" t="s">
        <v>54</v>
      </c>
      <c r="C347" s="2" t="str">
        <f t="shared" si="11"/>
        <v>GF12.653.02.A</v>
      </c>
      <c r="D347" s="2" t="s">
        <v>2532</v>
      </c>
      <c r="E347" s="52">
        <f t="shared" si="12"/>
        <v>0</v>
      </c>
      <c r="F347" s="5" t="e" cm="1">
        <f t="array" aca="1" ref="F347" ca="1">SUMPRODUCT(SUMIF(INDIRECT("'"&amp;Assemblies[Assy]&amp;"'!"&amp;"C$5:C1000"),$C347,(INDIRECT("'"&amp;Assemblies[Assy]&amp;"'!"&amp;"O$5:O1000"))))</f>
        <v>#VALUE!</v>
      </c>
      <c r="G347" s="5">
        <v>2</v>
      </c>
      <c r="H347" s="5">
        <v>2</v>
      </c>
      <c r="I347" s="2" t="s">
        <v>1791</v>
      </c>
      <c r="J347" s="2" t="s">
        <v>1769</v>
      </c>
      <c r="L347" s="2" t="s">
        <v>2162</v>
      </c>
      <c r="M347" s="116" t="s">
        <v>2163</v>
      </c>
      <c r="N347" s="8">
        <v>45156</v>
      </c>
      <c r="O347" s="8">
        <v>45162</v>
      </c>
      <c r="P347" s="8">
        <v>45190</v>
      </c>
      <c r="Q347" s="144">
        <v>45190</v>
      </c>
      <c r="R347" s="223">
        <v>55101</v>
      </c>
      <c r="S347" s="153">
        <v>0</v>
      </c>
      <c r="T347" s="52">
        <v>0</v>
      </c>
      <c r="U347" s="52">
        <v>0</v>
      </c>
      <c r="V347" s="52">
        <v>0</v>
      </c>
      <c r="W347" s="2" t="str" cm="1">
        <f t="array" aca="1" ref="W347" ca="1">TRIM(SUBSTITUTE(_xlfn.ARRAYTOTEXT(IFERROR(CONCATENATE(SUMIF(INDIRECT("'"&amp;Assemblies[Assy]&amp;"'!"&amp;"C$5:C1000"), $C347, INDIRECT("'"&amp;Assemblies[Assy]&amp;"'!"&amp;"O$5:O1000")), "x",Assemblies[Assy],".",IF(SUMIF(INDIRECT("'"&amp;Assemblies[Assy]&amp;"'!"&amp;"C$5:C1000"), $C347, INDIRECT("'"&amp;Assemblies[Assy]&amp;"'!"&amp;"A$5:A1000"))=0,NA(),SUMIF(INDIRECT("'"&amp;Assemblies[Assy]&amp;"'!"&amp;"C$5:C1000"), $C347, INDIRECT("'"&amp;Assemblies[Assy]&amp;"'!"&amp;"A$5:A1000")))),"")), " ,", ""))</f>
        <v>,</v>
      </c>
      <c r="X347" s="2" t="s">
        <v>1382</v>
      </c>
      <c r="Y347" s="2" t="s">
        <v>1382</v>
      </c>
      <c r="Z347" s="2" t="s">
        <v>1382</v>
      </c>
      <c r="AA347" s="2" t="s">
        <v>1382</v>
      </c>
    </row>
    <row r="348" spans="1:27" ht="12.75">
      <c r="A348" s="115" t="s">
        <v>2533</v>
      </c>
      <c r="B348" s="115" t="s">
        <v>54</v>
      </c>
      <c r="C348" s="161" t="str">
        <f t="shared" si="11"/>
        <v>GF12.653.03.A</v>
      </c>
      <c r="D348" s="161" t="s">
        <v>2534</v>
      </c>
      <c r="E348" s="52">
        <f t="shared" si="12"/>
        <v>45.33</v>
      </c>
      <c r="F348" s="5" t="e" cm="1">
        <f t="array" aca="1" ref="F348" ca="1">SUMPRODUCT(SUMIF(INDIRECT("'"&amp;Assemblies[Assy]&amp;"'!"&amp;"C$5:C1000"),$C348,(INDIRECT("'"&amp;Assemblies[Assy]&amp;"'!"&amp;"O$5:O1000"))))</f>
        <v>#VALUE!</v>
      </c>
      <c r="G348" s="5">
        <v>2</v>
      </c>
      <c r="H348" s="5">
        <v>2</v>
      </c>
      <c r="I348" s="2" t="s">
        <v>2494</v>
      </c>
      <c r="J348" s="2" t="s">
        <v>1802</v>
      </c>
      <c r="K348" s="2" t="s">
        <v>1382</v>
      </c>
      <c r="L348" s="2" t="s">
        <v>2167</v>
      </c>
      <c r="M348" s="8" t="s">
        <v>1779</v>
      </c>
      <c r="N348" s="8">
        <v>45159</v>
      </c>
      <c r="O348" s="8">
        <v>45161</v>
      </c>
      <c r="P348" s="8">
        <v>45191</v>
      </c>
      <c r="Q348" s="144">
        <v>45191</v>
      </c>
      <c r="R348" s="223">
        <v>55092</v>
      </c>
      <c r="S348" s="153">
        <v>45.33</v>
      </c>
      <c r="T348" s="52">
        <v>0</v>
      </c>
      <c r="U348" s="52">
        <v>0</v>
      </c>
      <c r="V348" s="52">
        <v>0</v>
      </c>
      <c r="W348" s="2" t="str" cm="1">
        <f t="array" aca="1" ref="W348" ca="1">TRIM(SUBSTITUTE(_xlfn.ARRAYTOTEXT(IFERROR(CONCATENATE(SUMIF(INDIRECT("'"&amp;Assemblies[Assy]&amp;"'!"&amp;"C$5:C1000"), $C348, INDIRECT("'"&amp;Assemblies[Assy]&amp;"'!"&amp;"O$5:O1000")), "x",Assemblies[Assy],".",IF(SUMIF(INDIRECT("'"&amp;Assemblies[Assy]&amp;"'!"&amp;"C$5:C1000"), $C348, INDIRECT("'"&amp;Assemblies[Assy]&amp;"'!"&amp;"A$5:A1000"))=0,NA(),SUMIF(INDIRECT("'"&amp;Assemblies[Assy]&amp;"'!"&amp;"C$5:C1000"), $C348, INDIRECT("'"&amp;Assemblies[Assy]&amp;"'!"&amp;"A$5:A1000")))),"")), " ,", ""))</f>
        <v>,</v>
      </c>
      <c r="X348" s="2" t="s">
        <v>1382</v>
      </c>
      <c r="Y348" s="2" t="s">
        <v>1382</v>
      </c>
      <c r="Z348" s="2" t="s">
        <v>1382</v>
      </c>
      <c r="AA348" s="2" t="s">
        <v>1382</v>
      </c>
    </row>
    <row r="349" spans="1:27" ht="12.75">
      <c r="A349" s="115" t="s">
        <v>2535</v>
      </c>
      <c r="B349" s="115" t="s">
        <v>54</v>
      </c>
      <c r="C349" s="161" t="str">
        <f t="shared" si="11"/>
        <v>GF12.653.04.A</v>
      </c>
      <c r="D349" s="161" t="s">
        <v>2536</v>
      </c>
      <c r="E349" s="52">
        <f t="shared" si="12"/>
        <v>123.63</v>
      </c>
      <c r="F349" s="5" t="e" cm="1">
        <f t="array" aca="1" ref="F349" ca="1">SUMPRODUCT(SUMIF(INDIRECT("'"&amp;Assemblies[Assy]&amp;"'!"&amp;"C$5:C1000"),$C349,(INDIRECT("'"&amp;Assemblies[Assy]&amp;"'!"&amp;"O$5:O1000"))))</f>
        <v>#VALUE!</v>
      </c>
      <c r="G349" s="5">
        <v>1</v>
      </c>
      <c r="H349" s="5">
        <v>1</v>
      </c>
      <c r="I349" s="2" t="s">
        <v>2494</v>
      </c>
      <c r="J349" s="2" t="s">
        <v>1802</v>
      </c>
      <c r="K349" s="2" t="s">
        <v>1382</v>
      </c>
      <c r="L349" s="2" t="s">
        <v>2167</v>
      </c>
      <c r="M349" s="8" t="s">
        <v>1779</v>
      </c>
      <c r="N349" s="8">
        <v>45159</v>
      </c>
      <c r="O349" s="8">
        <v>45161</v>
      </c>
      <c r="P349" s="8">
        <v>45191</v>
      </c>
      <c r="Q349" s="144">
        <v>45191</v>
      </c>
      <c r="R349" s="223">
        <v>55092</v>
      </c>
      <c r="S349" s="153">
        <v>123.63</v>
      </c>
      <c r="T349" s="52">
        <v>0</v>
      </c>
      <c r="U349" s="52">
        <v>0</v>
      </c>
      <c r="V349" s="52">
        <v>0</v>
      </c>
      <c r="W349" s="2" t="str" cm="1">
        <f t="array" aca="1" ref="W349" ca="1">TRIM(SUBSTITUTE(_xlfn.ARRAYTOTEXT(IFERROR(CONCATENATE(SUMIF(INDIRECT("'"&amp;Assemblies[Assy]&amp;"'!"&amp;"C$5:C1000"), $C349, INDIRECT("'"&amp;Assemblies[Assy]&amp;"'!"&amp;"O$5:O1000")), "x",Assemblies[Assy],".",IF(SUMIF(INDIRECT("'"&amp;Assemblies[Assy]&amp;"'!"&amp;"C$5:C1000"), $C349, INDIRECT("'"&amp;Assemblies[Assy]&amp;"'!"&amp;"A$5:A1000"))=0,NA(),SUMIF(INDIRECT("'"&amp;Assemblies[Assy]&amp;"'!"&amp;"C$5:C1000"), $C349, INDIRECT("'"&amp;Assemblies[Assy]&amp;"'!"&amp;"A$5:A1000")))),"")), " ,", ""))</f>
        <v>,</v>
      </c>
      <c r="X349" s="2" t="s">
        <v>1382</v>
      </c>
      <c r="Y349" s="2" t="s">
        <v>1382</v>
      </c>
      <c r="Z349" s="2" t="s">
        <v>1382</v>
      </c>
      <c r="AA349" s="2" t="s">
        <v>1382</v>
      </c>
    </row>
    <row r="350" spans="1:27" ht="12.75">
      <c r="A350" s="115" t="s">
        <v>2537</v>
      </c>
      <c r="B350" s="115" t="s">
        <v>54</v>
      </c>
      <c r="C350" s="161" t="str">
        <f t="shared" si="11"/>
        <v>GF12.653.05.A</v>
      </c>
      <c r="D350" s="161" t="s">
        <v>2538</v>
      </c>
      <c r="E350" s="52">
        <f t="shared" si="12"/>
        <v>123.63</v>
      </c>
      <c r="F350" s="5" t="e" cm="1">
        <f t="array" aca="1" ref="F350" ca="1">SUMPRODUCT(SUMIF(INDIRECT("'"&amp;Assemblies[Assy]&amp;"'!"&amp;"C$5:C1000"),$C350,(INDIRECT("'"&amp;Assemblies[Assy]&amp;"'!"&amp;"O$5:O1000"))))</f>
        <v>#VALUE!</v>
      </c>
      <c r="G350" s="5">
        <v>1</v>
      </c>
      <c r="H350" s="5">
        <v>1</v>
      </c>
      <c r="I350" s="2" t="s">
        <v>2494</v>
      </c>
      <c r="J350" s="2" t="s">
        <v>1802</v>
      </c>
      <c r="K350" s="2" t="s">
        <v>1382</v>
      </c>
      <c r="L350" s="2" t="s">
        <v>2167</v>
      </c>
      <c r="M350" s="8" t="s">
        <v>1779</v>
      </c>
      <c r="N350" s="8">
        <v>45159</v>
      </c>
      <c r="O350" s="8">
        <v>45161</v>
      </c>
      <c r="P350" s="8">
        <v>45191</v>
      </c>
      <c r="Q350" s="144">
        <v>45191</v>
      </c>
      <c r="R350" s="223">
        <v>55092</v>
      </c>
      <c r="S350" s="153">
        <v>123.63</v>
      </c>
      <c r="T350" s="52">
        <v>0</v>
      </c>
      <c r="U350" s="52">
        <v>0</v>
      </c>
      <c r="V350" s="52">
        <v>0</v>
      </c>
      <c r="W350" s="2" t="str" cm="1">
        <f t="array" aca="1" ref="W350" ca="1">TRIM(SUBSTITUTE(_xlfn.ARRAYTOTEXT(IFERROR(CONCATENATE(SUMIF(INDIRECT("'"&amp;Assemblies[Assy]&amp;"'!"&amp;"C$5:C1000"), $C350, INDIRECT("'"&amp;Assemblies[Assy]&amp;"'!"&amp;"O$5:O1000")), "x",Assemblies[Assy],".",IF(SUMIF(INDIRECT("'"&amp;Assemblies[Assy]&amp;"'!"&amp;"C$5:C1000"), $C350, INDIRECT("'"&amp;Assemblies[Assy]&amp;"'!"&amp;"A$5:A1000"))=0,NA(),SUMIF(INDIRECT("'"&amp;Assemblies[Assy]&amp;"'!"&amp;"C$5:C1000"), $C350, INDIRECT("'"&amp;Assemblies[Assy]&amp;"'!"&amp;"A$5:A1000")))),"")), " ,", ""))</f>
        <v>,</v>
      </c>
      <c r="X350" s="2" t="s">
        <v>1382</v>
      </c>
      <c r="Y350" s="2" t="s">
        <v>1382</v>
      </c>
      <c r="Z350" s="2" t="s">
        <v>1382</v>
      </c>
      <c r="AA350" s="2" t="s">
        <v>1382</v>
      </c>
    </row>
    <row r="351" spans="1:27" ht="12.75">
      <c r="A351" s="115" t="s">
        <v>2539</v>
      </c>
      <c r="B351" s="115" t="s">
        <v>54</v>
      </c>
      <c r="C351" s="2" t="str">
        <f t="shared" si="11"/>
        <v>GF12.654.01.A</v>
      </c>
      <c r="D351" s="2" t="s">
        <v>2540</v>
      </c>
      <c r="E351" s="52">
        <f t="shared" si="12"/>
        <v>0</v>
      </c>
      <c r="F351" s="5" t="e" cm="1">
        <f t="array" aca="1" ref="F351" ca="1">SUMPRODUCT(SUMIF(INDIRECT("'"&amp;Assemblies[Assy]&amp;"'!"&amp;"C$5:C1000"),$C351,(INDIRECT("'"&amp;Assemblies[Assy]&amp;"'!"&amp;"O$5:O1000"))))</f>
        <v>#VALUE!</v>
      </c>
      <c r="G351" s="5">
        <v>2</v>
      </c>
      <c r="H351" s="5">
        <v>2</v>
      </c>
      <c r="I351" s="2" t="s">
        <v>1791</v>
      </c>
      <c r="J351" s="2" t="s">
        <v>1769</v>
      </c>
      <c r="L351" s="2" t="s">
        <v>2162</v>
      </c>
      <c r="M351" s="116" t="s">
        <v>2170</v>
      </c>
      <c r="N351" s="8">
        <v>45156</v>
      </c>
      <c r="O351" s="8">
        <v>45162</v>
      </c>
      <c r="P351" s="8">
        <v>45190</v>
      </c>
      <c r="Q351" s="144">
        <v>45190</v>
      </c>
      <c r="R351" s="223">
        <v>55101</v>
      </c>
      <c r="S351" s="153">
        <v>0</v>
      </c>
      <c r="T351" s="52">
        <v>0</v>
      </c>
      <c r="U351" s="52">
        <v>0</v>
      </c>
      <c r="V351" s="52">
        <v>0</v>
      </c>
      <c r="W351" s="2" t="str" cm="1">
        <f t="array" aca="1" ref="W351" ca="1">TRIM(SUBSTITUTE(_xlfn.ARRAYTOTEXT(IFERROR(CONCATENATE(SUMIF(INDIRECT("'"&amp;Assemblies[Assy]&amp;"'!"&amp;"C$5:C1000"), $C351, INDIRECT("'"&amp;Assemblies[Assy]&amp;"'!"&amp;"O$5:O1000")), "x",Assemblies[Assy],".",IF(SUMIF(INDIRECT("'"&amp;Assemblies[Assy]&amp;"'!"&amp;"C$5:C1000"), $C351, INDIRECT("'"&amp;Assemblies[Assy]&amp;"'!"&amp;"A$5:A1000"))=0,NA(),SUMIF(INDIRECT("'"&amp;Assemblies[Assy]&amp;"'!"&amp;"C$5:C1000"), $C351, INDIRECT("'"&amp;Assemblies[Assy]&amp;"'!"&amp;"A$5:A1000")))),"")), " ,", ""))</f>
        <v>,</v>
      </c>
      <c r="X351" s="2" t="s">
        <v>1382</v>
      </c>
      <c r="Y351" s="2" t="s">
        <v>1382</v>
      </c>
      <c r="Z351" s="2" t="s">
        <v>1382</v>
      </c>
      <c r="AA351" s="2" t="s">
        <v>1382</v>
      </c>
    </row>
    <row r="352" spans="1:27" ht="12.75">
      <c r="A352" s="115" t="s">
        <v>2541</v>
      </c>
      <c r="B352" s="115" t="s">
        <v>54</v>
      </c>
      <c r="C352" s="2" t="str">
        <f t="shared" si="11"/>
        <v>GF12.654.02.A</v>
      </c>
      <c r="D352" s="2" t="s">
        <v>2542</v>
      </c>
      <c r="E352" s="52">
        <f t="shared" si="12"/>
        <v>0</v>
      </c>
      <c r="F352" s="5" t="e" cm="1">
        <f t="array" aca="1" ref="F352" ca="1">SUMPRODUCT(SUMIF(INDIRECT("'"&amp;Assemblies[Assy]&amp;"'!"&amp;"C$5:C1000"),$C352,(INDIRECT("'"&amp;Assemblies[Assy]&amp;"'!"&amp;"O$5:O1000"))))</f>
        <v>#VALUE!</v>
      </c>
      <c r="G352" s="5">
        <v>2</v>
      </c>
      <c r="H352" s="5">
        <v>2</v>
      </c>
      <c r="I352" s="2" t="s">
        <v>1791</v>
      </c>
      <c r="J352" s="2" t="s">
        <v>1769</v>
      </c>
      <c r="L352" s="2" t="s">
        <v>2162</v>
      </c>
      <c r="M352" s="116" t="s">
        <v>2163</v>
      </c>
      <c r="N352" s="8">
        <v>45156</v>
      </c>
      <c r="O352" s="8">
        <v>45162</v>
      </c>
      <c r="P352" s="8">
        <v>45190</v>
      </c>
      <c r="Q352" s="144">
        <v>45190</v>
      </c>
      <c r="R352" s="223">
        <v>55101</v>
      </c>
      <c r="S352" s="153">
        <v>0</v>
      </c>
      <c r="T352" s="52">
        <v>0</v>
      </c>
      <c r="U352" s="52">
        <v>0</v>
      </c>
      <c r="V352" s="52">
        <v>0</v>
      </c>
      <c r="W352" s="2" t="str" cm="1">
        <f t="array" aca="1" ref="W352" ca="1">TRIM(SUBSTITUTE(_xlfn.ARRAYTOTEXT(IFERROR(CONCATENATE(SUMIF(INDIRECT("'"&amp;Assemblies[Assy]&amp;"'!"&amp;"C$5:C1000"), $C352, INDIRECT("'"&amp;Assemblies[Assy]&amp;"'!"&amp;"O$5:O1000")), "x",Assemblies[Assy],".",IF(SUMIF(INDIRECT("'"&amp;Assemblies[Assy]&amp;"'!"&amp;"C$5:C1000"), $C352, INDIRECT("'"&amp;Assemblies[Assy]&amp;"'!"&amp;"A$5:A1000"))=0,NA(),SUMIF(INDIRECT("'"&amp;Assemblies[Assy]&amp;"'!"&amp;"C$5:C1000"), $C352, INDIRECT("'"&amp;Assemblies[Assy]&amp;"'!"&amp;"A$5:A1000")))),"")), " ,", ""))</f>
        <v>,</v>
      </c>
      <c r="X352" s="2" t="s">
        <v>1382</v>
      </c>
      <c r="Y352" s="2" t="s">
        <v>1382</v>
      </c>
      <c r="Z352" s="2" t="s">
        <v>1382</v>
      </c>
      <c r="AA352" s="2" t="s">
        <v>1382</v>
      </c>
    </row>
    <row r="353" spans="1:27" ht="12.75">
      <c r="A353" s="115" t="s">
        <v>2543</v>
      </c>
      <c r="B353" s="115" t="s">
        <v>54</v>
      </c>
      <c r="C353" s="161" t="str">
        <f t="shared" si="11"/>
        <v>GF12.654.03.A</v>
      </c>
      <c r="D353" s="161" t="s">
        <v>2544</v>
      </c>
      <c r="E353" s="52">
        <f t="shared" si="12"/>
        <v>153.05000000000001</v>
      </c>
      <c r="F353" s="5" t="e" cm="1">
        <f t="array" aca="1" ref="F353" ca="1">SUMPRODUCT(SUMIF(INDIRECT("'"&amp;Assemblies[Assy]&amp;"'!"&amp;"C$5:C1000"),$C353,(INDIRECT("'"&amp;Assemblies[Assy]&amp;"'!"&amp;"O$5:O1000"))))</f>
        <v>#VALUE!</v>
      </c>
      <c r="G353" s="5">
        <v>2</v>
      </c>
      <c r="H353" s="5">
        <v>2</v>
      </c>
      <c r="I353" s="2" t="s">
        <v>1791</v>
      </c>
      <c r="J353" s="2" t="s">
        <v>1792</v>
      </c>
      <c r="K353" s="2" t="s">
        <v>1770</v>
      </c>
      <c r="L353" s="2" t="s">
        <v>1803</v>
      </c>
      <c r="M353" s="8" t="s">
        <v>1779</v>
      </c>
      <c r="N353" s="8">
        <v>45188</v>
      </c>
      <c r="O353" s="8">
        <v>45188</v>
      </c>
      <c r="P353" s="8">
        <v>45204</v>
      </c>
      <c r="Q353" s="144">
        <v>45204</v>
      </c>
      <c r="R353" s="223">
        <v>55159</v>
      </c>
      <c r="S353" s="52">
        <v>153.05000000000001</v>
      </c>
      <c r="T353" s="52">
        <v>0</v>
      </c>
      <c r="U353" s="52">
        <v>0</v>
      </c>
      <c r="V353" s="52">
        <v>0</v>
      </c>
      <c r="W353" s="2" t="str" cm="1">
        <f t="array" aca="1" ref="W353" ca="1">TRIM(SUBSTITUTE(_xlfn.ARRAYTOTEXT(IFERROR(CONCATENATE(SUMIF(INDIRECT("'"&amp;Assemblies[Assy]&amp;"'!"&amp;"C$5:C1000"), $C353, INDIRECT("'"&amp;Assemblies[Assy]&amp;"'!"&amp;"O$5:O1000")), "x",Assemblies[Assy],".",IF(SUMIF(INDIRECT("'"&amp;Assemblies[Assy]&amp;"'!"&amp;"C$5:C1000"), $C353, INDIRECT("'"&amp;Assemblies[Assy]&amp;"'!"&amp;"A$5:A1000"))=0,NA(),SUMIF(INDIRECT("'"&amp;Assemblies[Assy]&amp;"'!"&amp;"C$5:C1000"), $C353, INDIRECT("'"&amp;Assemblies[Assy]&amp;"'!"&amp;"A$5:A1000")))),"")), " ,", ""))</f>
        <v>,</v>
      </c>
      <c r="X353" s="2" t="s">
        <v>1382</v>
      </c>
      <c r="Y353" s="2" t="s">
        <v>1382</v>
      </c>
      <c r="Z353" s="2" t="s">
        <v>1382</v>
      </c>
      <c r="AA353" s="2" t="s">
        <v>1382</v>
      </c>
    </row>
    <row r="354" spans="1:27" ht="12.75">
      <c r="A354" s="115" t="s">
        <v>2545</v>
      </c>
      <c r="B354" s="115" t="s">
        <v>54</v>
      </c>
      <c r="C354" s="161" t="str">
        <f t="shared" si="11"/>
        <v>GF12.654.04.A</v>
      </c>
      <c r="D354" s="161" t="s">
        <v>2546</v>
      </c>
      <c r="E354" s="52">
        <f t="shared" si="12"/>
        <v>153.97</v>
      </c>
      <c r="F354" s="5" t="e" cm="1">
        <f t="array" aca="1" ref="F354" ca="1">SUMPRODUCT(SUMIF(INDIRECT("'"&amp;Assemblies[Assy]&amp;"'!"&amp;"C$5:C1000"),$C354,(INDIRECT("'"&amp;Assemblies[Assy]&amp;"'!"&amp;"O$5:O1000"))))</f>
        <v>#VALUE!</v>
      </c>
      <c r="G354" s="5">
        <v>2</v>
      </c>
      <c r="H354" s="5">
        <v>2</v>
      </c>
      <c r="I354" s="2" t="s">
        <v>1791</v>
      </c>
      <c r="J354" s="2" t="s">
        <v>1792</v>
      </c>
      <c r="K354" s="2" t="s">
        <v>1770</v>
      </c>
      <c r="L354" s="2" t="s">
        <v>1803</v>
      </c>
      <c r="M354" s="8" t="s">
        <v>1779</v>
      </c>
      <c r="N354" s="8">
        <v>45188</v>
      </c>
      <c r="O354" s="8">
        <v>45188</v>
      </c>
      <c r="P354" s="8">
        <v>45204</v>
      </c>
      <c r="Q354" s="144">
        <v>45204</v>
      </c>
      <c r="R354" s="223">
        <v>55159</v>
      </c>
      <c r="S354" s="52">
        <v>153.97</v>
      </c>
      <c r="T354" s="52">
        <v>0</v>
      </c>
      <c r="U354" s="52">
        <v>0</v>
      </c>
      <c r="V354" s="52">
        <v>0</v>
      </c>
      <c r="W354" s="2" t="str" cm="1">
        <f t="array" aca="1" ref="W354" ca="1">TRIM(SUBSTITUTE(_xlfn.ARRAYTOTEXT(IFERROR(CONCATENATE(SUMIF(INDIRECT("'"&amp;Assemblies[Assy]&amp;"'!"&amp;"C$5:C1000"), $C354, INDIRECT("'"&amp;Assemblies[Assy]&amp;"'!"&amp;"O$5:O1000")), "x",Assemblies[Assy],".",IF(SUMIF(INDIRECT("'"&amp;Assemblies[Assy]&amp;"'!"&amp;"C$5:C1000"), $C354, INDIRECT("'"&amp;Assemblies[Assy]&amp;"'!"&amp;"A$5:A1000"))=0,NA(),SUMIF(INDIRECT("'"&amp;Assemblies[Assy]&amp;"'!"&amp;"C$5:C1000"), $C354, INDIRECT("'"&amp;Assemblies[Assy]&amp;"'!"&amp;"A$5:A1000")))),"")), " ,", ""))</f>
        <v>,</v>
      </c>
      <c r="X354" s="2" t="s">
        <v>1382</v>
      </c>
      <c r="Y354" s="2" t="s">
        <v>1382</v>
      </c>
      <c r="Z354" s="2" t="s">
        <v>1382</v>
      </c>
    </row>
    <row r="355" spans="1:27" ht="12.75">
      <c r="A355" s="115" t="s">
        <v>2547</v>
      </c>
      <c r="B355" s="115" t="s">
        <v>54</v>
      </c>
      <c r="C355" s="161" t="str">
        <f t="shared" si="11"/>
        <v>GF12.654.05.A</v>
      </c>
      <c r="D355" s="161" t="s">
        <v>2548</v>
      </c>
      <c r="E355" s="52">
        <f t="shared" si="12"/>
        <v>155.03</v>
      </c>
      <c r="F355" s="5" t="e" cm="1">
        <f t="array" aca="1" ref="F355" ca="1">SUMPRODUCT(SUMIF(INDIRECT("'"&amp;Assemblies[Assy]&amp;"'!"&amp;"C$5:C1000"),$C355,(INDIRECT("'"&amp;Assemblies[Assy]&amp;"'!"&amp;"O$5:O1000"))))</f>
        <v>#VALUE!</v>
      </c>
      <c r="G355" s="5">
        <v>2</v>
      </c>
      <c r="H355" s="5">
        <v>2</v>
      </c>
      <c r="I355" s="2" t="s">
        <v>1791</v>
      </c>
      <c r="J355" s="2" t="s">
        <v>1792</v>
      </c>
      <c r="K355" s="2" t="s">
        <v>1770</v>
      </c>
      <c r="L355" s="2" t="s">
        <v>1803</v>
      </c>
      <c r="M355" s="8" t="s">
        <v>1779</v>
      </c>
      <c r="N355" s="8">
        <v>45188</v>
      </c>
      <c r="O355" s="8">
        <v>45188</v>
      </c>
      <c r="P355" s="8">
        <v>45204</v>
      </c>
      <c r="Q355" s="144">
        <v>45204</v>
      </c>
      <c r="R355" s="223">
        <v>55159</v>
      </c>
      <c r="S355" s="52">
        <v>155.03</v>
      </c>
      <c r="T355" s="52">
        <v>0</v>
      </c>
      <c r="U355" s="52">
        <v>0</v>
      </c>
      <c r="V355" s="52">
        <v>0</v>
      </c>
      <c r="W355" s="2" t="str" cm="1">
        <f t="array" aca="1" ref="W355" ca="1">TRIM(SUBSTITUTE(_xlfn.ARRAYTOTEXT(IFERROR(CONCATENATE(SUMIF(INDIRECT("'"&amp;Assemblies[Assy]&amp;"'!"&amp;"C$5:C1000"), $C355, INDIRECT("'"&amp;Assemblies[Assy]&amp;"'!"&amp;"O$5:O1000")), "x",Assemblies[Assy],".",IF(SUMIF(INDIRECT("'"&amp;Assemblies[Assy]&amp;"'!"&amp;"C$5:C1000"), $C355, INDIRECT("'"&amp;Assemblies[Assy]&amp;"'!"&amp;"A$5:A1000"))=0,NA(),SUMIF(INDIRECT("'"&amp;Assemblies[Assy]&amp;"'!"&amp;"C$5:C1000"), $C355, INDIRECT("'"&amp;Assemblies[Assy]&amp;"'!"&amp;"A$5:A1000")))),"")), " ,", ""))</f>
        <v>,</v>
      </c>
      <c r="X355" s="2" t="s">
        <v>1382</v>
      </c>
      <c r="Y355" s="2" t="s">
        <v>1382</v>
      </c>
      <c r="Z355" s="2" t="s">
        <v>1382</v>
      </c>
    </row>
    <row r="356" spans="1:27" ht="12.75">
      <c r="A356" s="115" t="s">
        <v>2549</v>
      </c>
      <c r="B356" s="115" t="s">
        <v>54</v>
      </c>
      <c r="C356" s="161" t="str">
        <f t="shared" si="11"/>
        <v>GF12.654.06.A</v>
      </c>
      <c r="D356" s="161" t="s">
        <v>2550</v>
      </c>
      <c r="E356" s="52">
        <f t="shared" si="12"/>
        <v>156.34</v>
      </c>
      <c r="F356" s="5" t="e" cm="1">
        <f t="array" aca="1" ref="F356" ca="1">SUMPRODUCT(SUMIF(INDIRECT("'"&amp;Assemblies[Assy]&amp;"'!"&amp;"C$5:C1000"),$C356,(INDIRECT("'"&amp;Assemblies[Assy]&amp;"'!"&amp;"O$5:O1000"))))</f>
        <v>#VALUE!</v>
      </c>
      <c r="G356" s="5">
        <v>2</v>
      </c>
      <c r="H356" s="5">
        <v>2</v>
      </c>
      <c r="I356" s="2" t="s">
        <v>1791</v>
      </c>
      <c r="J356" s="2" t="s">
        <v>1792</v>
      </c>
      <c r="K356" s="2" t="s">
        <v>1770</v>
      </c>
      <c r="L356" s="2" t="s">
        <v>1803</v>
      </c>
      <c r="M356" s="8" t="s">
        <v>1779</v>
      </c>
      <c r="N356" s="8">
        <v>45188</v>
      </c>
      <c r="O356" s="8">
        <v>45188</v>
      </c>
      <c r="P356" s="8">
        <v>45204</v>
      </c>
      <c r="Q356" s="144">
        <v>45204</v>
      </c>
      <c r="R356" s="223">
        <v>55159</v>
      </c>
      <c r="S356" s="52">
        <v>156.34</v>
      </c>
      <c r="T356" s="52">
        <v>0</v>
      </c>
      <c r="U356" s="52">
        <v>0</v>
      </c>
      <c r="V356" s="52">
        <v>0</v>
      </c>
      <c r="W356" s="2" t="str" cm="1">
        <f t="array" aca="1" ref="W356" ca="1">TRIM(SUBSTITUTE(_xlfn.ARRAYTOTEXT(IFERROR(CONCATENATE(SUMIF(INDIRECT("'"&amp;Assemblies[Assy]&amp;"'!"&amp;"C$5:C1000"), $C356, INDIRECT("'"&amp;Assemblies[Assy]&amp;"'!"&amp;"O$5:O1000")), "x",Assemblies[Assy],".",IF(SUMIF(INDIRECT("'"&amp;Assemblies[Assy]&amp;"'!"&amp;"C$5:C1000"), $C356, INDIRECT("'"&amp;Assemblies[Assy]&amp;"'!"&amp;"A$5:A1000"))=0,NA(),SUMIF(INDIRECT("'"&amp;Assemblies[Assy]&amp;"'!"&amp;"C$5:C1000"), $C356, INDIRECT("'"&amp;Assemblies[Assy]&amp;"'!"&amp;"A$5:A1000")))),"")), " ,", ""))</f>
        <v>,</v>
      </c>
      <c r="X356" s="2" t="s">
        <v>1382</v>
      </c>
      <c r="Y356" s="2" t="s">
        <v>1382</v>
      </c>
      <c r="Z356" s="2" t="s">
        <v>1382</v>
      </c>
    </row>
    <row r="357" spans="1:27" ht="12.75">
      <c r="A357" s="115" t="s">
        <v>2551</v>
      </c>
      <c r="B357" s="115" t="s">
        <v>54</v>
      </c>
      <c r="C357" s="2" t="str">
        <f t="shared" si="11"/>
        <v>GF12.655.01.A</v>
      </c>
      <c r="D357" s="2" t="s">
        <v>2552</v>
      </c>
      <c r="E357" s="52">
        <f t="shared" si="12"/>
        <v>0</v>
      </c>
      <c r="F357" s="5" t="e" cm="1">
        <f t="array" aca="1" ref="F357" ca="1">SUMPRODUCT(SUMIF(INDIRECT("'"&amp;Assemblies[Assy]&amp;"'!"&amp;"C$5:C1000"),$C357,(INDIRECT("'"&amp;Assemblies[Assy]&amp;"'!"&amp;"O$5:O1000"))))</f>
        <v>#VALUE!</v>
      </c>
      <c r="G357" s="5">
        <v>2</v>
      </c>
      <c r="H357" s="5">
        <v>2</v>
      </c>
      <c r="I357" s="2" t="s">
        <v>1791</v>
      </c>
      <c r="J357" s="2" t="s">
        <v>1769</v>
      </c>
      <c r="L357" s="2" t="s">
        <v>2162</v>
      </c>
      <c r="M357" s="116" t="s">
        <v>2170</v>
      </c>
      <c r="N357" s="8">
        <v>45156</v>
      </c>
      <c r="O357" s="8">
        <v>45162</v>
      </c>
      <c r="P357" s="8">
        <v>45190</v>
      </c>
      <c r="Q357" s="144">
        <v>45190</v>
      </c>
      <c r="R357" s="223">
        <v>55101</v>
      </c>
      <c r="S357" s="153">
        <v>0</v>
      </c>
      <c r="T357" s="52">
        <v>0</v>
      </c>
      <c r="U357" s="52">
        <v>0</v>
      </c>
      <c r="V357" s="52">
        <v>0</v>
      </c>
      <c r="W357" s="2" t="str" cm="1">
        <f t="array" aca="1" ref="W357" ca="1">TRIM(SUBSTITUTE(_xlfn.ARRAYTOTEXT(IFERROR(CONCATENATE(SUMIF(INDIRECT("'"&amp;Assemblies[Assy]&amp;"'!"&amp;"C$5:C1000"), $C357, INDIRECT("'"&amp;Assemblies[Assy]&amp;"'!"&amp;"O$5:O1000")), "x",Assemblies[Assy],".",IF(SUMIF(INDIRECT("'"&amp;Assemblies[Assy]&amp;"'!"&amp;"C$5:C1000"), $C357, INDIRECT("'"&amp;Assemblies[Assy]&amp;"'!"&amp;"A$5:A1000"))=0,NA(),SUMIF(INDIRECT("'"&amp;Assemblies[Assy]&amp;"'!"&amp;"C$5:C1000"), $C357, INDIRECT("'"&amp;Assemblies[Assy]&amp;"'!"&amp;"A$5:A1000")))),"")), " ,", ""))</f>
        <v>,</v>
      </c>
      <c r="X357" s="2" t="s">
        <v>1382</v>
      </c>
      <c r="Y357" s="2" t="s">
        <v>1382</v>
      </c>
      <c r="Z357" s="2" t="s">
        <v>1382</v>
      </c>
    </row>
    <row r="358" spans="1:27" ht="12.75">
      <c r="A358" s="115" t="s">
        <v>2553</v>
      </c>
      <c r="B358" s="115" t="s">
        <v>56</v>
      </c>
      <c r="C358" s="2" t="str">
        <f t="shared" si="11"/>
        <v>GF12.655.02.B</v>
      </c>
      <c r="D358" s="2" t="s">
        <v>2554</v>
      </c>
      <c r="E358" s="52">
        <f t="shared" si="12"/>
        <v>0</v>
      </c>
      <c r="F358" s="5" t="e" cm="1">
        <f t="array" aca="1" ref="F358" ca="1">SUMPRODUCT(SUMIF(INDIRECT("'"&amp;Assemblies[Assy]&amp;"'!"&amp;"C$5:C1000"),$C358,(INDIRECT("'"&amp;Assemblies[Assy]&amp;"'!"&amp;"O$5:O1000"))))</f>
        <v>#VALUE!</v>
      </c>
      <c r="G358" s="5">
        <v>2</v>
      </c>
      <c r="H358" s="5">
        <v>2</v>
      </c>
      <c r="I358" s="2" t="s">
        <v>2505</v>
      </c>
      <c r="J358" s="2" t="s">
        <v>1777</v>
      </c>
      <c r="L358" s="2" t="s">
        <v>2162</v>
      </c>
      <c r="M358" s="116" t="s">
        <v>2163</v>
      </c>
      <c r="N358" s="8">
        <v>45156</v>
      </c>
      <c r="O358" s="8">
        <v>45162</v>
      </c>
      <c r="P358" s="8">
        <v>45190</v>
      </c>
      <c r="Q358" s="144">
        <v>45190</v>
      </c>
      <c r="R358" s="223">
        <v>55101</v>
      </c>
      <c r="S358" s="153">
        <v>0</v>
      </c>
      <c r="T358" s="52">
        <v>0</v>
      </c>
      <c r="U358" s="52">
        <v>0</v>
      </c>
      <c r="V358" s="52">
        <v>0</v>
      </c>
      <c r="W358" s="2" t="str" cm="1">
        <f t="array" aca="1" ref="W358" ca="1">TRIM(SUBSTITUTE(_xlfn.ARRAYTOTEXT(IFERROR(CONCATENATE(SUMIF(INDIRECT("'"&amp;Assemblies[Assy]&amp;"'!"&amp;"C$5:C1000"), $C358, INDIRECT("'"&amp;Assemblies[Assy]&amp;"'!"&amp;"O$5:O1000")), "x",Assemblies[Assy],".",IF(SUMIF(INDIRECT("'"&amp;Assemblies[Assy]&amp;"'!"&amp;"C$5:C1000"), $C358, INDIRECT("'"&amp;Assemblies[Assy]&amp;"'!"&amp;"A$5:A1000"))=0,NA(),SUMIF(INDIRECT("'"&amp;Assemblies[Assy]&amp;"'!"&amp;"C$5:C1000"), $C358, INDIRECT("'"&amp;Assemblies[Assy]&amp;"'!"&amp;"A$5:A1000")))),"")), " ,", ""))</f>
        <v>,</v>
      </c>
      <c r="X358" s="2" t="s">
        <v>1382</v>
      </c>
      <c r="Y358" s="2" t="s">
        <v>1382</v>
      </c>
      <c r="Z358" s="2" t="s">
        <v>1382</v>
      </c>
    </row>
    <row r="359" spans="1:27" ht="12.75">
      <c r="A359" s="115" t="s">
        <v>2555</v>
      </c>
      <c r="B359" s="115" t="s">
        <v>54</v>
      </c>
      <c r="C359" s="2" t="str">
        <f t="shared" si="11"/>
        <v>GF12.655.03.A</v>
      </c>
      <c r="D359" s="2" t="s">
        <v>2556</v>
      </c>
      <c r="E359" s="52">
        <f t="shared" si="12"/>
        <v>0</v>
      </c>
      <c r="F359" s="5" t="e" cm="1">
        <f t="array" aca="1" ref="F359" ca="1">SUMPRODUCT(SUMIF(INDIRECT("'"&amp;Assemblies[Assy]&amp;"'!"&amp;"C$5:C1000"),$C359,(INDIRECT("'"&amp;Assemblies[Assy]&amp;"'!"&amp;"O$5:O1000"))))</f>
        <v>#VALUE!</v>
      </c>
      <c r="G359" s="5">
        <v>2</v>
      </c>
      <c r="H359" s="5">
        <v>2</v>
      </c>
      <c r="I359" s="2" t="s">
        <v>1791</v>
      </c>
      <c r="J359" s="2" t="s">
        <v>1769</v>
      </c>
      <c r="L359" s="2" t="s">
        <v>2162</v>
      </c>
      <c r="M359" s="116" t="s">
        <v>2173</v>
      </c>
      <c r="N359" s="8">
        <v>45156</v>
      </c>
      <c r="O359" s="8">
        <v>45162</v>
      </c>
      <c r="P359" s="8">
        <v>45190</v>
      </c>
      <c r="Q359" s="144">
        <v>45190</v>
      </c>
      <c r="R359" s="223">
        <v>55101</v>
      </c>
      <c r="S359" s="153">
        <v>0</v>
      </c>
      <c r="T359" s="52">
        <v>0</v>
      </c>
      <c r="U359" s="52">
        <v>0</v>
      </c>
      <c r="V359" s="52">
        <v>0</v>
      </c>
      <c r="W359" s="2" t="str" cm="1">
        <f t="array" aca="1" ref="W359" ca="1">TRIM(SUBSTITUTE(_xlfn.ARRAYTOTEXT(IFERROR(CONCATENATE(SUMIF(INDIRECT("'"&amp;Assemblies[Assy]&amp;"'!"&amp;"C$5:C1000"), $C359, INDIRECT("'"&amp;Assemblies[Assy]&amp;"'!"&amp;"O$5:O1000")), "x",Assemblies[Assy],".",IF(SUMIF(INDIRECT("'"&amp;Assemblies[Assy]&amp;"'!"&amp;"C$5:C1000"), $C359, INDIRECT("'"&amp;Assemblies[Assy]&amp;"'!"&amp;"A$5:A1000"))=0,NA(),SUMIF(INDIRECT("'"&amp;Assemblies[Assy]&amp;"'!"&amp;"C$5:C1000"), $C359, INDIRECT("'"&amp;Assemblies[Assy]&amp;"'!"&amp;"A$5:A1000")))),"")), " ,", ""))</f>
        <v>,</v>
      </c>
      <c r="X359" s="2" t="s">
        <v>1382</v>
      </c>
      <c r="Y359" s="2" t="s">
        <v>1382</v>
      </c>
      <c r="Z359" s="2" t="s">
        <v>1382</v>
      </c>
      <c r="AA359" s="2" t="s">
        <v>1382</v>
      </c>
    </row>
    <row r="360" spans="1:27" ht="12.75">
      <c r="A360" s="115" t="s">
        <v>2557</v>
      </c>
      <c r="B360" s="115" t="s">
        <v>54</v>
      </c>
      <c r="C360" s="2" t="str">
        <f t="shared" si="11"/>
        <v>GF12.655.04.A</v>
      </c>
      <c r="D360" s="2" t="s">
        <v>2558</v>
      </c>
      <c r="E360" s="52">
        <f t="shared" si="12"/>
        <v>0</v>
      </c>
      <c r="F360" s="5" t="e" cm="1">
        <f t="array" aca="1" ref="F360" ca="1">SUMPRODUCT(SUMIF(INDIRECT("'"&amp;Assemblies[Assy]&amp;"'!"&amp;"C$5:C1000"),$C360,(INDIRECT("'"&amp;Assemblies[Assy]&amp;"'!"&amp;"O$5:O1000"))))</f>
        <v>#VALUE!</v>
      </c>
      <c r="G360" s="5">
        <v>2</v>
      </c>
      <c r="H360" s="5">
        <v>2</v>
      </c>
      <c r="I360" s="2" t="s">
        <v>1791</v>
      </c>
      <c r="J360" s="2" t="s">
        <v>1769</v>
      </c>
      <c r="L360" s="2" t="s">
        <v>2162</v>
      </c>
      <c r="M360" s="116" t="s">
        <v>2163</v>
      </c>
      <c r="N360" s="8">
        <v>45156</v>
      </c>
      <c r="O360" s="8">
        <v>45162</v>
      </c>
      <c r="P360" s="8">
        <v>45190</v>
      </c>
      <c r="Q360" s="144">
        <v>45190</v>
      </c>
      <c r="R360" s="223">
        <v>55101</v>
      </c>
      <c r="S360" s="153">
        <v>0</v>
      </c>
      <c r="T360" s="52">
        <v>0</v>
      </c>
      <c r="U360" s="52">
        <v>0</v>
      </c>
      <c r="V360" s="52">
        <v>0</v>
      </c>
      <c r="W360" s="2" t="str" cm="1">
        <f t="array" aca="1" ref="W360" ca="1">TRIM(SUBSTITUTE(_xlfn.ARRAYTOTEXT(IFERROR(CONCATENATE(SUMIF(INDIRECT("'"&amp;Assemblies[Assy]&amp;"'!"&amp;"C$5:C1000"), $C360, INDIRECT("'"&amp;Assemblies[Assy]&amp;"'!"&amp;"O$5:O1000")), "x",Assemblies[Assy],".",IF(SUMIF(INDIRECT("'"&amp;Assemblies[Assy]&amp;"'!"&amp;"C$5:C1000"), $C360, INDIRECT("'"&amp;Assemblies[Assy]&amp;"'!"&amp;"A$5:A1000"))=0,NA(),SUMIF(INDIRECT("'"&amp;Assemblies[Assy]&amp;"'!"&amp;"C$5:C1000"), $C360, INDIRECT("'"&amp;Assemblies[Assy]&amp;"'!"&amp;"A$5:A1000")))),"")), " ,", ""))</f>
        <v>,</v>
      </c>
      <c r="X360" s="2" t="s">
        <v>1382</v>
      </c>
      <c r="Y360" s="2" t="s">
        <v>1382</v>
      </c>
      <c r="Z360" s="2" t="s">
        <v>1382</v>
      </c>
      <c r="AA360" s="2" t="s">
        <v>1382</v>
      </c>
    </row>
    <row r="361" spans="1:27" ht="12.75">
      <c r="A361" s="115" t="s">
        <v>2559</v>
      </c>
      <c r="B361" s="115" t="s">
        <v>54</v>
      </c>
      <c r="C361" s="161" t="str">
        <f t="shared" si="11"/>
        <v>GF12.655.05.A</v>
      </c>
      <c r="D361" s="161" t="s">
        <v>2560</v>
      </c>
      <c r="E361" s="52">
        <f t="shared" si="12"/>
        <v>0</v>
      </c>
      <c r="F361" s="5" t="e" cm="1">
        <f t="array" aca="1" ref="F361" ca="1">SUMPRODUCT(SUMIF(INDIRECT("'"&amp;Assemblies[Assy]&amp;"'!"&amp;"C$5:C1000"),$C361,(INDIRECT("'"&amp;Assemblies[Assy]&amp;"'!"&amp;"O$5:O1000"))))</f>
        <v>#VALUE!</v>
      </c>
      <c r="G361" s="5">
        <v>2</v>
      </c>
      <c r="H361" s="5">
        <v>2</v>
      </c>
      <c r="I361" s="2" t="s">
        <v>1838</v>
      </c>
      <c r="J361" s="2" t="s">
        <v>1761</v>
      </c>
      <c r="L361" s="2" t="s">
        <v>2162</v>
      </c>
      <c r="M361" s="116" t="s">
        <v>2170</v>
      </c>
      <c r="N361" s="8">
        <v>45156</v>
      </c>
      <c r="O361" s="8">
        <v>45162</v>
      </c>
      <c r="P361" s="8">
        <v>45190</v>
      </c>
      <c r="Q361" s="144">
        <v>45190</v>
      </c>
      <c r="R361" s="223">
        <v>55101</v>
      </c>
      <c r="S361" s="153">
        <v>0</v>
      </c>
      <c r="T361" s="52">
        <v>0</v>
      </c>
      <c r="U361" s="52">
        <v>0</v>
      </c>
      <c r="V361" s="52">
        <v>0</v>
      </c>
      <c r="W361" s="2" t="str" cm="1">
        <f t="array" aca="1" ref="W361" ca="1">TRIM(SUBSTITUTE(_xlfn.ARRAYTOTEXT(IFERROR(CONCATENATE(SUMIF(INDIRECT("'"&amp;Assemblies[Assy]&amp;"'!"&amp;"C$5:C1000"), $C361, INDIRECT("'"&amp;Assemblies[Assy]&amp;"'!"&amp;"O$5:O1000")), "x",Assemblies[Assy],".",IF(SUMIF(INDIRECT("'"&amp;Assemblies[Assy]&amp;"'!"&amp;"C$5:C1000"), $C361, INDIRECT("'"&amp;Assemblies[Assy]&amp;"'!"&amp;"A$5:A1000"))=0,NA(),SUMIF(INDIRECT("'"&amp;Assemblies[Assy]&amp;"'!"&amp;"C$5:C1000"), $C361, INDIRECT("'"&amp;Assemblies[Assy]&amp;"'!"&amp;"A$5:A1000")))),"")), " ,", ""))</f>
        <v>,</v>
      </c>
      <c r="X361" s="2" t="s">
        <v>1382</v>
      </c>
      <c r="Y361" s="2" t="s">
        <v>1382</v>
      </c>
      <c r="Z361" s="2" t="s">
        <v>1382</v>
      </c>
      <c r="AA361" s="2" t="s">
        <v>1382</v>
      </c>
    </row>
    <row r="362" spans="1:27" ht="12.75">
      <c r="A362" s="115" t="s">
        <v>2561</v>
      </c>
      <c r="B362" s="115" t="s">
        <v>54</v>
      </c>
      <c r="C362" s="161" t="str">
        <f t="shared" si="11"/>
        <v>GF12.655.06.A</v>
      </c>
      <c r="D362" s="161" t="s">
        <v>2562</v>
      </c>
      <c r="E362" s="52">
        <f t="shared" si="12"/>
        <v>0</v>
      </c>
      <c r="F362" s="5" t="e" cm="1">
        <f t="array" aca="1" ref="F362" ca="1">SUMPRODUCT(SUMIF(INDIRECT("'"&amp;Assemblies[Assy]&amp;"'!"&amp;"C$5:C1000"),$C362,(INDIRECT("'"&amp;Assemblies[Assy]&amp;"'!"&amp;"O$5:O1000"))))</f>
        <v>#VALUE!</v>
      </c>
      <c r="G362" s="5">
        <v>2</v>
      </c>
      <c r="H362" s="5">
        <v>2</v>
      </c>
      <c r="I362" s="2" t="s">
        <v>1838</v>
      </c>
      <c r="J362" s="2" t="s">
        <v>1761</v>
      </c>
      <c r="L362" s="2" t="s">
        <v>2162</v>
      </c>
      <c r="M362" s="116" t="s">
        <v>2170</v>
      </c>
      <c r="N362" s="8">
        <v>45156</v>
      </c>
      <c r="O362" s="8">
        <v>45162</v>
      </c>
      <c r="P362" s="8">
        <v>45190</v>
      </c>
      <c r="Q362" s="144">
        <v>45190</v>
      </c>
      <c r="R362" s="223">
        <v>55101</v>
      </c>
      <c r="S362" s="153">
        <v>0</v>
      </c>
      <c r="T362" s="52">
        <v>0</v>
      </c>
      <c r="U362" s="52">
        <v>0</v>
      </c>
      <c r="V362" s="52">
        <v>0</v>
      </c>
      <c r="W362" s="2" t="str" cm="1">
        <f t="array" aca="1" ref="W362" ca="1">TRIM(SUBSTITUTE(_xlfn.ARRAYTOTEXT(IFERROR(CONCATENATE(SUMIF(INDIRECT("'"&amp;Assemblies[Assy]&amp;"'!"&amp;"C$5:C1000"), $C362, INDIRECT("'"&amp;Assemblies[Assy]&amp;"'!"&amp;"O$5:O1000")), "x",Assemblies[Assy],".",IF(SUMIF(INDIRECT("'"&amp;Assemblies[Assy]&amp;"'!"&amp;"C$5:C1000"), $C362, INDIRECT("'"&amp;Assemblies[Assy]&amp;"'!"&amp;"A$5:A1000"))=0,NA(),SUMIF(INDIRECT("'"&amp;Assemblies[Assy]&amp;"'!"&amp;"C$5:C1000"), $C362, INDIRECT("'"&amp;Assemblies[Assy]&amp;"'!"&amp;"A$5:A1000")))),"")), " ,", ""))</f>
        <v>,</v>
      </c>
      <c r="X362" s="2" t="s">
        <v>1382</v>
      </c>
      <c r="Y362" s="2" t="s">
        <v>1382</v>
      </c>
      <c r="Z362" s="2" t="s">
        <v>1382</v>
      </c>
      <c r="AA362" s="2" t="s">
        <v>1382</v>
      </c>
    </row>
    <row r="363" spans="1:27" ht="12.75">
      <c r="A363" s="115" t="s">
        <v>2563</v>
      </c>
      <c r="B363" s="115" t="s">
        <v>54</v>
      </c>
      <c r="C363" s="2" t="str">
        <f t="shared" si="11"/>
        <v>GF12.655.07.A</v>
      </c>
      <c r="D363" s="2" t="s">
        <v>2564</v>
      </c>
      <c r="E363" s="52">
        <f t="shared" si="12"/>
        <v>72.260000000000005</v>
      </c>
      <c r="F363" s="5" t="e" cm="1">
        <f t="array" aca="1" ref="F363" ca="1">SUMPRODUCT(SUMIF(INDIRECT("'"&amp;Assemblies[Assy]&amp;"'!"&amp;"C$5:C1000"),$C363,(INDIRECT("'"&amp;Assemblies[Assy]&amp;"'!"&amp;"O$5:O1000"))))</f>
        <v>#VALUE!</v>
      </c>
      <c r="G363" s="5">
        <v>2</v>
      </c>
      <c r="H363" s="5">
        <v>2</v>
      </c>
      <c r="I363" s="2" t="s">
        <v>2494</v>
      </c>
      <c r="J363" s="2" t="s">
        <v>1802</v>
      </c>
      <c r="K363" s="2" t="s">
        <v>1382</v>
      </c>
      <c r="L363" s="2" t="s">
        <v>2167</v>
      </c>
      <c r="M363" s="8" t="s">
        <v>1779</v>
      </c>
      <c r="N363" s="8">
        <v>45159</v>
      </c>
      <c r="O363" s="8">
        <v>45161</v>
      </c>
      <c r="P363" s="8">
        <v>45191</v>
      </c>
      <c r="Q363" s="144">
        <v>45191</v>
      </c>
      <c r="R363" s="223">
        <v>55092</v>
      </c>
      <c r="S363" s="153">
        <v>72.260000000000005</v>
      </c>
      <c r="T363" s="52">
        <v>0</v>
      </c>
      <c r="U363" s="52">
        <v>0</v>
      </c>
      <c r="V363" s="52">
        <v>0</v>
      </c>
      <c r="W363" s="2" t="str" cm="1">
        <f t="array" aca="1" ref="W363" ca="1">TRIM(SUBSTITUTE(_xlfn.ARRAYTOTEXT(IFERROR(CONCATENATE(SUMIF(INDIRECT("'"&amp;Assemblies[Assy]&amp;"'!"&amp;"C$5:C1000"), $C363, INDIRECT("'"&amp;Assemblies[Assy]&amp;"'!"&amp;"O$5:O1000")), "x",Assemblies[Assy],".",IF(SUMIF(INDIRECT("'"&amp;Assemblies[Assy]&amp;"'!"&amp;"C$5:C1000"), $C363, INDIRECT("'"&amp;Assemblies[Assy]&amp;"'!"&amp;"A$5:A1000"))=0,NA(),SUMIF(INDIRECT("'"&amp;Assemblies[Assy]&amp;"'!"&amp;"C$5:C1000"), $C363, INDIRECT("'"&amp;Assemblies[Assy]&amp;"'!"&amp;"A$5:A1000")))),"")), " ,", ""))</f>
        <v>,</v>
      </c>
      <c r="X363" s="2" t="s">
        <v>1382</v>
      </c>
      <c r="Y363" s="2" t="s">
        <v>1382</v>
      </c>
      <c r="Z363" s="2" t="s">
        <v>1382</v>
      </c>
      <c r="AA363" s="2" t="s">
        <v>1382</v>
      </c>
    </row>
    <row r="364" spans="1:27" ht="12.75">
      <c r="A364" s="115" t="s">
        <v>2565</v>
      </c>
      <c r="B364" s="115" t="s">
        <v>54</v>
      </c>
      <c r="C364" s="161" t="str">
        <f t="shared" si="11"/>
        <v>GF12.663.04.A</v>
      </c>
      <c r="D364" s="161" t="s">
        <v>2566</v>
      </c>
      <c r="E364" s="52">
        <f t="shared" si="12"/>
        <v>123.63</v>
      </c>
      <c r="F364" s="5" t="e" cm="1">
        <f t="array" aca="1" ref="F364" ca="1">SUMPRODUCT(SUMIF(INDIRECT("'"&amp;Assemblies[Assy]&amp;"'!"&amp;"C$5:C1000"),$C364,(INDIRECT("'"&amp;Assemblies[Assy]&amp;"'!"&amp;"O$5:O1000"))))</f>
        <v>#VALUE!</v>
      </c>
      <c r="G364" s="5">
        <v>1</v>
      </c>
      <c r="H364" s="5">
        <v>1</v>
      </c>
      <c r="I364" s="2" t="s">
        <v>2494</v>
      </c>
      <c r="J364" s="2" t="s">
        <v>1802</v>
      </c>
      <c r="K364" s="2" t="s">
        <v>1382</v>
      </c>
      <c r="L364" s="2" t="s">
        <v>2167</v>
      </c>
      <c r="M364" s="8" t="s">
        <v>1779</v>
      </c>
      <c r="N364" s="8">
        <v>45159</v>
      </c>
      <c r="O364" s="8">
        <v>45161</v>
      </c>
      <c r="P364" s="8">
        <v>45191</v>
      </c>
      <c r="Q364" s="144">
        <v>45191</v>
      </c>
      <c r="R364" s="223">
        <v>55092</v>
      </c>
      <c r="S364" s="153">
        <v>123.63</v>
      </c>
      <c r="T364" s="52">
        <v>0</v>
      </c>
      <c r="U364" s="52">
        <v>0</v>
      </c>
      <c r="V364" s="52">
        <v>0</v>
      </c>
      <c r="W364" s="2" t="str" cm="1">
        <f t="array" aca="1" ref="W364" ca="1">TRIM(SUBSTITUTE(_xlfn.ARRAYTOTEXT(IFERROR(CONCATENATE(SUMIF(INDIRECT("'"&amp;Assemblies[Assy]&amp;"'!"&amp;"C$5:C1000"), $C364, INDIRECT("'"&amp;Assemblies[Assy]&amp;"'!"&amp;"O$5:O1000")), "x",Assemblies[Assy],".",IF(SUMIF(INDIRECT("'"&amp;Assemblies[Assy]&amp;"'!"&amp;"C$5:C1000"), $C364, INDIRECT("'"&amp;Assemblies[Assy]&amp;"'!"&amp;"A$5:A1000"))=0,NA(),SUMIF(INDIRECT("'"&amp;Assemblies[Assy]&amp;"'!"&amp;"C$5:C1000"), $C364, INDIRECT("'"&amp;Assemblies[Assy]&amp;"'!"&amp;"A$5:A1000")))),"")), " ,", ""))</f>
        <v>,</v>
      </c>
      <c r="X364" s="2" t="s">
        <v>1382</v>
      </c>
      <c r="Y364" s="2" t="s">
        <v>1382</v>
      </c>
      <c r="Z364" s="2" t="s">
        <v>1382</v>
      </c>
      <c r="AA364" s="2" t="s">
        <v>1382</v>
      </c>
    </row>
    <row r="365" spans="1:27" ht="12.75">
      <c r="A365" s="115" t="s">
        <v>2567</v>
      </c>
      <c r="B365" s="115" t="s">
        <v>54</v>
      </c>
      <c r="C365" s="161" t="str">
        <f t="shared" si="11"/>
        <v>GF12.663.05.A</v>
      </c>
      <c r="D365" s="161" t="s">
        <v>2568</v>
      </c>
      <c r="E365" s="52">
        <f t="shared" si="12"/>
        <v>123.63</v>
      </c>
      <c r="F365" s="5" t="e" cm="1">
        <f t="array" aca="1" ref="F365" ca="1">SUMPRODUCT(SUMIF(INDIRECT("'"&amp;Assemblies[Assy]&amp;"'!"&amp;"C$5:C1000"),$C365,(INDIRECT("'"&amp;Assemblies[Assy]&amp;"'!"&amp;"O$5:O1000"))))</f>
        <v>#VALUE!</v>
      </c>
      <c r="G365" s="5">
        <v>1</v>
      </c>
      <c r="H365" s="5">
        <v>1</v>
      </c>
      <c r="I365" s="2" t="s">
        <v>2494</v>
      </c>
      <c r="J365" s="2" t="s">
        <v>1802</v>
      </c>
      <c r="K365" s="2" t="s">
        <v>1382</v>
      </c>
      <c r="L365" s="2" t="s">
        <v>2167</v>
      </c>
      <c r="M365" s="8" t="s">
        <v>1779</v>
      </c>
      <c r="N365" s="8">
        <v>45159</v>
      </c>
      <c r="O365" s="8">
        <v>45161</v>
      </c>
      <c r="P365" s="8">
        <v>45191</v>
      </c>
      <c r="Q365" s="144">
        <v>45191</v>
      </c>
      <c r="R365" s="223">
        <v>55092</v>
      </c>
      <c r="S365" s="153">
        <v>123.63</v>
      </c>
      <c r="T365" s="52">
        <v>0</v>
      </c>
      <c r="U365" s="52">
        <v>0</v>
      </c>
      <c r="V365" s="52">
        <v>0</v>
      </c>
      <c r="W365" s="2" t="str" cm="1">
        <f t="array" aca="1" ref="W365" ca="1">TRIM(SUBSTITUTE(_xlfn.ARRAYTOTEXT(IFERROR(CONCATENATE(SUMIF(INDIRECT("'"&amp;Assemblies[Assy]&amp;"'!"&amp;"C$5:C1000"), $C365, INDIRECT("'"&amp;Assemblies[Assy]&amp;"'!"&amp;"O$5:O1000")), "x",Assemblies[Assy],".",IF(SUMIF(INDIRECT("'"&amp;Assemblies[Assy]&amp;"'!"&amp;"C$5:C1000"), $C365, INDIRECT("'"&amp;Assemblies[Assy]&amp;"'!"&amp;"A$5:A1000"))=0,NA(),SUMIF(INDIRECT("'"&amp;Assemblies[Assy]&amp;"'!"&amp;"C$5:C1000"), $C365, INDIRECT("'"&amp;Assemblies[Assy]&amp;"'!"&amp;"A$5:A1000")))),"")), " ,", ""))</f>
        <v>,</v>
      </c>
      <c r="X365" s="2" t="s">
        <v>1382</v>
      </c>
      <c r="Y365" s="2" t="s">
        <v>1382</v>
      </c>
      <c r="Z365" s="2" t="s">
        <v>1382</v>
      </c>
      <c r="AA365" s="2" t="s">
        <v>1382</v>
      </c>
    </row>
    <row r="366" spans="1:27" ht="12.75">
      <c r="A366" s="115" t="s">
        <v>2569</v>
      </c>
      <c r="B366" s="115" t="s">
        <v>54</v>
      </c>
      <c r="C366" s="2" t="str">
        <f t="shared" si="11"/>
        <v>GF12.710.01.A</v>
      </c>
      <c r="D366" s="117" t="s">
        <v>2570</v>
      </c>
      <c r="E366" s="52">
        <f t="shared" si="12"/>
        <v>0</v>
      </c>
      <c r="F366" s="5" t="e" cm="1">
        <f t="array" aca="1" ref="F366" ca="1">SUMPRODUCT(SUMIF(INDIRECT("'"&amp;Assemblies[Assy]&amp;"'!"&amp;"C$5:C1000"),$C366,(INDIRECT("'"&amp;Assemblies[Assy]&amp;"'!"&amp;"O$5:O1000"))))</f>
        <v>#VALUE!</v>
      </c>
      <c r="G366" s="5">
        <v>2</v>
      </c>
      <c r="H366" s="5">
        <v>2</v>
      </c>
      <c r="I366" s="2" t="s">
        <v>1791</v>
      </c>
      <c r="J366" s="2" t="s">
        <v>1769</v>
      </c>
      <c r="K366" s="2" t="s">
        <v>1382</v>
      </c>
      <c r="L366" s="2" t="s">
        <v>1778</v>
      </c>
      <c r="M366" s="2" t="s">
        <v>1779</v>
      </c>
      <c r="N366" s="8">
        <v>45161</v>
      </c>
      <c r="O366" s="8">
        <v>45161</v>
      </c>
      <c r="P366" s="8">
        <v>45184</v>
      </c>
      <c r="Q366" s="144">
        <v>45184</v>
      </c>
      <c r="R366" s="223">
        <v>55093</v>
      </c>
      <c r="S366" s="153">
        <v>0</v>
      </c>
      <c r="T366" s="52">
        <v>0</v>
      </c>
      <c r="U366" s="52">
        <v>0</v>
      </c>
      <c r="V366" s="52">
        <v>0</v>
      </c>
      <c r="W366" s="2" t="str" cm="1">
        <f t="array" aca="1" ref="W366" ca="1">TRIM(SUBSTITUTE(_xlfn.ARRAYTOTEXT(IFERROR(CONCATENATE(SUMIF(INDIRECT("'"&amp;Assemblies[Assy]&amp;"'!"&amp;"C$5:C1000"), $C366, INDIRECT("'"&amp;Assemblies[Assy]&amp;"'!"&amp;"O$5:O1000")), "x",Assemblies[Assy],".",IF(SUMIF(INDIRECT("'"&amp;Assemblies[Assy]&amp;"'!"&amp;"C$5:C1000"), $C366, INDIRECT("'"&amp;Assemblies[Assy]&amp;"'!"&amp;"A$5:A1000"))=0,NA(),SUMIF(INDIRECT("'"&amp;Assemblies[Assy]&amp;"'!"&amp;"C$5:C1000"), $C366, INDIRECT("'"&amp;Assemblies[Assy]&amp;"'!"&amp;"A$5:A1000")))),"")), " ,", ""))</f>
        <v>,</v>
      </c>
      <c r="X366" s="2" t="s">
        <v>1382</v>
      </c>
      <c r="Y366" s="2" t="s">
        <v>1382</v>
      </c>
      <c r="Z366" s="2" t="s">
        <v>1382</v>
      </c>
      <c r="AA366" s="2" t="s">
        <v>1382</v>
      </c>
    </row>
    <row r="367" spans="1:27" ht="12.75">
      <c r="A367" s="115" t="s">
        <v>2571</v>
      </c>
      <c r="B367" s="115" t="s">
        <v>54</v>
      </c>
      <c r="C367" s="161" t="str">
        <f t="shared" si="11"/>
        <v>GF12.710.02.A</v>
      </c>
      <c r="D367" s="245" t="s">
        <v>2572</v>
      </c>
      <c r="E367" s="52">
        <f t="shared" si="12"/>
        <v>0</v>
      </c>
      <c r="F367" s="5" t="e" cm="1">
        <f t="array" aca="1" ref="F367" ca="1">SUMPRODUCT(SUMIF(INDIRECT("'"&amp;Assemblies[Assy]&amp;"'!"&amp;"C$5:C1000"),$C367,(INDIRECT("'"&amp;Assemblies[Assy]&amp;"'!"&amp;"O$5:O1000"))))</f>
        <v>#VALUE!</v>
      </c>
      <c r="G367" s="5">
        <v>1</v>
      </c>
      <c r="H367" s="5">
        <v>1</v>
      </c>
      <c r="I367" s="2" t="s">
        <v>2573</v>
      </c>
      <c r="J367" s="2" t="s">
        <v>2574</v>
      </c>
      <c r="L367" s="2" t="s">
        <v>2162</v>
      </c>
      <c r="M367" s="2" t="s">
        <v>1779</v>
      </c>
      <c r="N367" s="8">
        <v>45159</v>
      </c>
      <c r="O367" s="8">
        <v>45162</v>
      </c>
      <c r="P367" s="8">
        <v>45190</v>
      </c>
      <c r="Q367" s="144">
        <v>45190</v>
      </c>
      <c r="R367" s="223">
        <v>55101</v>
      </c>
      <c r="S367" s="153">
        <v>0</v>
      </c>
      <c r="T367" s="52">
        <v>0</v>
      </c>
      <c r="U367" s="52">
        <v>0</v>
      </c>
      <c r="V367" s="52">
        <v>0</v>
      </c>
      <c r="W367" s="2" t="str" cm="1">
        <f t="array" aca="1" ref="W367" ca="1">TRIM(SUBSTITUTE(_xlfn.ARRAYTOTEXT(IFERROR(CONCATENATE(SUMIF(INDIRECT("'"&amp;Assemblies[Assy]&amp;"'!"&amp;"C$5:C1000"), $C367, INDIRECT("'"&amp;Assemblies[Assy]&amp;"'!"&amp;"O$5:O1000")), "x",Assemblies[Assy],".",IF(SUMIF(INDIRECT("'"&amp;Assemblies[Assy]&amp;"'!"&amp;"C$5:C1000"), $C367, INDIRECT("'"&amp;Assemblies[Assy]&amp;"'!"&amp;"A$5:A1000"))=0,NA(),SUMIF(INDIRECT("'"&amp;Assemblies[Assy]&amp;"'!"&amp;"C$5:C1000"), $C367, INDIRECT("'"&amp;Assemblies[Assy]&amp;"'!"&amp;"A$5:A1000")))),"")), " ,", ""))</f>
        <v>,</v>
      </c>
      <c r="X367" s="2" t="s">
        <v>1382</v>
      </c>
      <c r="Y367" s="2" t="s">
        <v>1382</v>
      </c>
      <c r="Z367" s="2" t="s">
        <v>1382</v>
      </c>
      <c r="AA367" s="2" t="s">
        <v>1382</v>
      </c>
    </row>
    <row r="368" spans="1:27" ht="12.75">
      <c r="A368" s="115" t="s">
        <v>2575</v>
      </c>
      <c r="B368" s="115" t="s">
        <v>54</v>
      </c>
      <c r="C368" s="2" t="str">
        <f t="shared" si="11"/>
        <v>GF12.710.03.A</v>
      </c>
      <c r="D368" s="117" t="s">
        <v>2576</v>
      </c>
      <c r="E368" s="52">
        <f t="shared" si="12"/>
        <v>180.7</v>
      </c>
      <c r="F368" s="5" t="e" cm="1">
        <f t="array" aca="1" ref="F368" ca="1">SUMPRODUCT(SUMIF(INDIRECT("'"&amp;Assemblies[Assy]&amp;"'!"&amp;"C$5:C1000"),$C368,(INDIRECT("'"&amp;Assemblies[Assy]&amp;"'!"&amp;"O$5:O1000"))))</f>
        <v>#VALUE!</v>
      </c>
      <c r="G368" s="5">
        <v>1</v>
      </c>
      <c r="H368" s="5">
        <v>1</v>
      </c>
      <c r="I368" s="2" t="s">
        <v>2494</v>
      </c>
      <c r="J368" s="2" t="s">
        <v>1802</v>
      </c>
      <c r="K368" s="2" t="s">
        <v>1382</v>
      </c>
      <c r="L368" s="2" t="s">
        <v>2167</v>
      </c>
      <c r="M368" s="2" t="s">
        <v>1779</v>
      </c>
      <c r="N368" s="8">
        <v>45159</v>
      </c>
      <c r="O368" s="8">
        <v>45161</v>
      </c>
      <c r="P368" s="8">
        <v>45191</v>
      </c>
      <c r="Q368" s="144">
        <v>45191</v>
      </c>
      <c r="R368" s="223">
        <v>55092</v>
      </c>
      <c r="S368" s="153">
        <v>180.7</v>
      </c>
      <c r="T368" s="52">
        <v>0</v>
      </c>
      <c r="U368" s="52">
        <v>0</v>
      </c>
      <c r="V368" s="52">
        <v>0</v>
      </c>
      <c r="W368" s="2" t="str" cm="1">
        <f t="array" aca="1" ref="W368" ca="1">TRIM(SUBSTITUTE(_xlfn.ARRAYTOTEXT(IFERROR(CONCATENATE(SUMIF(INDIRECT("'"&amp;Assemblies[Assy]&amp;"'!"&amp;"C$5:C1000"), $C368, INDIRECT("'"&amp;Assemblies[Assy]&amp;"'!"&amp;"O$5:O1000")), "x",Assemblies[Assy],".",IF(SUMIF(INDIRECT("'"&amp;Assemblies[Assy]&amp;"'!"&amp;"C$5:C1000"), $C368, INDIRECT("'"&amp;Assemblies[Assy]&amp;"'!"&amp;"A$5:A1000"))=0,NA(),SUMIF(INDIRECT("'"&amp;Assemblies[Assy]&amp;"'!"&amp;"C$5:C1000"), $C368, INDIRECT("'"&amp;Assemblies[Assy]&amp;"'!"&amp;"A$5:A1000")))),"")), " ,", ""))</f>
        <v>,</v>
      </c>
      <c r="X368" s="2" t="s">
        <v>1382</v>
      </c>
      <c r="Y368" s="2" t="s">
        <v>1382</v>
      </c>
      <c r="Z368" s="2" t="s">
        <v>1382</v>
      </c>
      <c r="AA368" s="2" t="s">
        <v>1382</v>
      </c>
    </row>
    <row r="369" spans="1:27" ht="12.75">
      <c r="A369" s="115" t="s">
        <v>2577</v>
      </c>
      <c r="B369" s="115" t="s">
        <v>54</v>
      </c>
      <c r="C369" s="2" t="str">
        <f t="shared" si="11"/>
        <v>GF12.710.04.A</v>
      </c>
      <c r="D369" s="117" t="s">
        <v>2578</v>
      </c>
      <c r="E369" s="52">
        <f t="shared" si="12"/>
        <v>0</v>
      </c>
      <c r="F369" s="5" t="e" cm="1">
        <f t="array" aca="1" ref="F369" ca="1">SUMPRODUCT(SUMIF(INDIRECT("'"&amp;Assemblies[Assy]&amp;"'!"&amp;"C$5:C1000"),$C369,(INDIRECT("'"&amp;Assemblies[Assy]&amp;"'!"&amp;"O$5:O1000"))))</f>
        <v>#VALUE!</v>
      </c>
      <c r="G369" s="5">
        <v>1</v>
      </c>
      <c r="H369" s="5">
        <v>1</v>
      </c>
      <c r="I369" s="2" t="s">
        <v>1791</v>
      </c>
      <c r="J369" s="2" t="s">
        <v>1769</v>
      </c>
      <c r="K369" s="2" t="s">
        <v>1382</v>
      </c>
      <c r="L369" s="2" t="s">
        <v>1783</v>
      </c>
      <c r="M369" s="2" t="s">
        <v>1779</v>
      </c>
      <c r="N369" s="8">
        <v>45161</v>
      </c>
      <c r="O369" s="8">
        <v>45162</v>
      </c>
      <c r="P369" s="8">
        <v>45177</v>
      </c>
      <c r="Q369" s="144">
        <v>45177</v>
      </c>
      <c r="R369" s="223">
        <v>55102</v>
      </c>
      <c r="S369" s="153">
        <v>0</v>
      </c>
      <c r="T369" s="52">
        <v>0</v>
      </c>
      <c r="U369" s="52">
        <v>0</v>
      </c>
      <c r="V369" s="52">
        <v>0</v>
      </c>
      <c r="W369" s="2" t="str" cm="1">
        <f t="array" aca="1" ref="W369" ca="1">TRIM(SUBSTITUTE(_xlfn.ARRAYTOTEXT(IFERROR(CONCATENATE(SUMIF(INDIRECT("'"&amp;Assemblies[Assy]&amp;"'!"&amp;"C$5:C1000"), $C369, INDIRECT("'"&amp;Assemblies[Assy]&amp;"'!"&amp;"O$5:O1000")), "x",Assemblies[Assy],".",IF(SUMIF(INDIRECT("'"&amp;Assemblies[Assy]&amp;"'!"&amp;"C$5:C1000"), $C369, INDIRECT("'"&amp;Assemblies[Assy]&amp;"'!"&amp;"A$5:A1000"))=0,NA(),SUMIF(INDIRECT("'"&amp;Assemblies[Assy]&amp;"'!"&amp;"C$5:C1000"), $C369, INDIRECT("'"&amp;Assemblies[Assy]&amp;"'!"&amp;"A$5:A1000")))),"")), " ,", ""))</f>
        <v>,</v>
      </c>
      <c r="X369" s="2" t="s">
        <v>1382</v>
      </c>
      <c r="Y369" s="2" t="s">
        <v>1382</v>
      </c>
      <c r="Z369" s="2" t="s">
        <v>1382</v>
      </c>
      <c r="AA369" s="2" t="s">
        <v>1382</v>
      </c>
    </row>
    <row r="370" spans="1:27" ht="12.75">
      <c r="A370" s="115" t="s">
        <v>2579</v>
      </c>
      <c r="B370" s="115" t="s">
        <v>54</v>
      </c>
      <c r="C370" s="2" t="str">
        <f t="shared" si="11"/>
        <v>GF12.720.01.A</v>
      </c>
      <c r="D370" s="117" t="s">
        <v>2580</v>
      </c>
      <c r="E370" s="52">
        <f t="shared" si="12"/>
        <v>0</v>
      </c>
      <c r="F370" s="5" t="e" cm="1">
        <f t="array" aca="1" ref="F370" ca="1">SUMPRODUCT(SUMIF(INDIRECT("'"&amp;Assemblies[Assy]&amp;"'!"&amp;"C$5:C1000"),$C370,(INDIRECT("'"&amp;Assemblies[Assy]&amp;"'!"&amp;"O$5:O1000"))))</f>
        <v>#VALUE!</v>
      </c>
      <c r="G370" s="5">
        <v>4</v>
      </c>
      <c r="H370" s="5">
        <v>4</v>
      </c>
      <c r="I370" s="2" t="s">
        <v>2581</v>
      </c>
      <c r="J370" s="2" t="s">
        <v>1777</v>
      </c>
      <c r="K370" s="2" t="s">
        <v>1382</v>
      </c>
      <c r="L370" s="2" t="s">
        <v>1812</v>
      </c>
      <c r="M370" s="2" t="s">
        <v>1779</v>
      </c>
      <c r="N370" s="163" t="s">
        <v>1762</v>
      </c>
      <c r="O370" s="163" t="s">
        <v>1762</v>
      </c>
      <c r="P370" s="163" t="s">
        <v>1762</v>
      </c>
      <c r="Q370" s="163" t="s">
        <v>1762</v>
      </c>
      <c r="R370" s="222" t="s">
        <v>1762</v>
      </c>
      <c r="S370" s="153">
        <v>0</v>
      </c>
      <c r="T370" s="52">
        <v>0</v>
      </c>
      <c r="U370" s="52">
        <v>0</v>
      </c>
      <c r="V370" s="52">
        <v>0</v>
      </c>
      <c r="W370" s="2" t="str" cm="1">
        <f t="array" aca="1" ref="W370" ca="1">TRIM(SUBSTITUTE(_xlfn.ARRAYTOTEXT(IFERROR(CONCATENATE(SUMIF(INDIRECT("'"&amp;Assemblies[Assy]&amp;"'!"&amp;"C$5:C1000"), $C370, INDIRECT("'"&amp;Assemblies[Assy]&amp;"'!"&amp;"O$5:O1000")), "x",Assemblies[Assy],".",IF(SUMIF(INDIRECT("'"&amp;Assemblies[Assy]&amp;"'!"&amp;"C$5:C1000"), $C370, INDIRECT("'"&amp;Assemblies[Assy]&amp;"'!"&amp;"A$5:A1000"))=0,NA(),SUMIF(INDIRECT("'"&amp;Assemblies[Assy]&amp;"'!"&amp;"C$5:C1000"), $C370, INDIRECT("'"&amp;Assemblies[Assy]&amp;"'!"&amp;"A$5:A1000")))),"")), " ,", ""))</f>
        <v>,</v>
      </c>
      <c r="X370" s="2" t="s">
        <v>1382</v>
      </c>
      <c r="Y370" s="2" t="s">
        <v>1382</v>
      </c>
      <c r="Z370" s="2" t="s">
        <v>1382</v>
      </c>
      <c r="AA370" s="2" t="s">
        <v>1382</v>
      </c>
    </row>
    <row r="371" spans="1:27" ht="12.75">
      <c r="A371" s="115" t="s">
        <v>2582</v>
      </c>
      <c r="B371" s="115" t="s">
        <v>54</v>
      </c>
      <c r="C371" s="2" t="str">
        <f t="shared" si="11"/>
        <v>GF12.730.01.A</v>
      </c>
      <c r="D371" s="117" t="s">
        <v>2583</v>
      </c>
      <c r="E371" s="52">
        <f t="shared" si="12"/>
        <v>0</v>
      </c>
      <c r="F371" s="5" t="e" cm="1">
        <f t="array" aca="1" ref="F371" ca="1">SUMPRODUCT(SUMIF(INDIRECT("'"&amp;Assemblies[Assy]&amp;"'!"&amp;"C$5:C1000"),$C371,(INDIRECT("'"&amp;Assemblies[Assy]&amp;"'!"&amp;"O$5:O1000"))))</f>
        <v>#VALUE!</v>
      </c>
      <c r="G371" s="5">
        <v>1</v>
      </c>
      <c r="H371" s="5">
        <v>1</v>
      </c>
      <c r="I371" s="2" t="s">
        <v>1791</v>
      </c>
      <c r="J371" s="2" t="s">
        <v>1769</v>
      </c>
      <c r="K371" s="2" t="s">
        <v>1382</v>
      </c>
      <c r="L371" s="2" t="s">
        <v>1812</v>
      </c>
      <c r="M371" s="2" t="s">
        <v>1779</v>
      </c>
      <c r="N371" s="163" t="s">
        <v>1762</v>
      </c>
      <c r="O371" s="163" t="s">
        <v>1762</v>
      </c>
      <c r="P371" s="163" t="s">
        <v>1762</v>
      </c>
      <c r="Q371" s="163" t="s">
        <v>1762</v>
      </c>
      <c r="R371" s="222" t="s">
        <v>1762</v>
      </c>
      <c r="S371" s="153">
        <v>0</v>
      </c>
      <c r="T371" s="52">
        <v>0</v>
      </c>
      <c r="U371" s="52">
        <v>0</v>
      </c>
      <c r="V371" s="52">
        <v>0</v>
      </c>
      <c r="W371" s="2" t="str" cm="1">
        <f t="array" aca="1" ref="W371" ca="1">TRIM(SUBSTITUTE(_xlfn.ARRAYTOTEXT(IFERROR(CONCATENATE(SUMIF(INDIRECT("'"&amp;Assemblies[Assy]&amp;"'!"&amp;"C$5:C1000"), $C371, INDIRECT("'"&amp;Assemblies[Assy]&amp;"'!"&amp;"O$5:O1000")), "x",Assemblies[Assy],".",IF(SUMIF(INDIRECT("'"&amp;Assemblies[Assy]&amp;"'!"&amp;"C$5:C1000"), $C371, INDIRECT("'"&amp;Assemblies[Assy]&amp;"'!"&amp;"A$5:A1000"))=0,NA(),SUMIF(INDIRECT("'"&amp;Assemblies[Assy]&amp;"'!"&amp;"C$5:C1000"), $C371, INDIRECT("'"&amp;Assemblies[Assy]&amp;"'!"&amp;"A$5:A1000")))),"")), " ,", ""))</f>
        <v>,</v>
      </c>
      <c r="X371" s="2" t="s">
        <v>1382</v>
      </c>
      <c r="Y371" s="2" t="s">
        <v>1382</v>
      </c>
      <c r="Z371" s="2" t="s">
        <v>1382</v>
      </c>
      <c r="AA371" s="2" t="s">
        <v>1382</v>
      </c>
    </row>
    <row r="372" spans="1:27" ht="12.75">
      <c r="A372" s="115" t="s">
        <v>2584</v>
      </c>
      <c r="B372" s="115" t="s">
        <v>54</v>
      </c>
      <c r="C372" s="2" t="str">
        <f t="shared" si="11"/>
        <v>GF12.730.02.A</v>
      </c>
      <c r="D372" s="117" t="s">
        <v>2585</v>
      </c>
      <c r="E372" s="52">
        <f t="shared" si="12"/>
        <v>0</v>
      </c>
      <c r="F372" s="5" t="e" cm="1">
        <f t="array" aca="1" ref="F372" ca="1">SUMPRODUCT(SUMIF(INDIRECT("'"&amp;Assemblies[Assy]&amp;"'!"&amp;"C$5:C1000"),$C372,(INDIRECT("'"&amp;Assemblies[Assy]&amp;"'!"&amp;"O$5:O1000"))))</f>
        <v>#VALUE!</v>
      </c>
      <c r="G372" s="5">
        <v>1</v>
      </c>
      <c r="H372" s="5">
        <v>1</v>
      </c>
      <c r="I372" s="2" t="s">
        <v>2581</v>
      </c>
      <c r="J372" s="2" t="s">
        <v>1777</v>
      </c>
      <c r="K372" s="2" t="s">
        <v>1382</v>
      </c>
      <c r="L372" s="2" t="s">
        <v>1812</v>
      </c>
      <c r="M372" s="2" t="s">
        <v>1779</v>
      </c>
      <c r="N372" s="163" t="s">
        <v>1762</v>
      </c>
      <c r="O372" s="163" t="s">
        <v>1762</v>
      </c>
      <c r="P372" s="163" t="s">
        <v>1762</v>
      </c>
      <c r="Q372" s="163" t="s">
        <v>1762</v>
      </c>
      <c r="R372" s="222" t="s">
        <v>1762</v>
      </c>
      <c r="S372" s="153">
        <v>0</v>
      </c>
      <c r="T372" s="52">
        <v>0</v>
      </c>
      <c r="U372" s="52">
        <v>0</v>
      </c>
      <c r="V372" s="52">
        <v>0</v>
      </c>
      <c r="W372" s="2" t="str" cm="1">
        <f t="array" aca="1" ref="W372" ca="1">TRIM(SUBSTITUTE(_xlfn.ARRAYTOTEXT(IFERROR(CONCATENATE(SUMIF(INDIRECT("'"&amp;Assemblies[Assy]&amp;"'!"&amp;"C$5:C1000"), $C372, INDIRECT("'"&amp;Assemblies[Assy]&amp;"'!"&amp;"O$5:O1000")), "x",Assemblies[Assy],".",IF(SUMIF(INDIRECT("'"&amp;Assemblies[Assy]&amp;"'!"&amp;"C$5:C1000"), $C372, INDIRECT("'"&amp;Assemblies[Assy]&amp;"'!"&amp;"A$5:A1000"))=0,NA(),SUMIF(INDIRECT("'"&amp;Assemblies[Assy]&amp;"'!"&amp;"C$5:C1000"), $C372, INDIRECT("'"&amp;Assemblies[Assy]&amp;"'!"&amp;"A$5:A1000")))),"")), " ,", ""))</f>
        <v>,</v>
      </c>
      <c r="X372" s="2" t="s">
        <v>1382</v>
      </c>
      <c r="Y372" s="2" t="s">
        <v>1382</v>
      </c>
      <c r="Z372" s="2" t="s">
        <v>1382</v>
      </c>
      <c r="AA372" s="2" t="s">
        <v>1382</v>
      </c>
    </row>
    <row r="373" spans="1:27" ht="12.75">
      <c r="A373" s="115" t="s">
        <v>2586</v>
      </c>
      <c r="B373" s="115" t="s">
        <v>56</v>
      </c>
      <c r="C373" s="2" t="str">
        <f t="shared" si="11"/>
        <v>GF12.730.03.B</v>
      </c>
      <c r="D373" s="117" t="s">
        <v>2587</v>
      </c>
      <c r="E373" s="52">
        <f t="shared" si="12"/>
        <v>208.81</v>
      </c>
      <c r="F373" s="5" t="e" cm="1">
        <f t="array" aca="1" ref="F373" ca="1">SUMPRODUCT(SUMIF(INDIRECT("'"&amp;Assemblies[Assy]&amp;"'!"&amp;"C$5:C1000"),$C373,(INDIRECT("'"&amp;Assemblies[Assy]&amp;"'!"&amp;"O$5:O1000"))))</f>
        <v>#VALUE!</v>
      </c>
      <c r="G373" s="5">
        <v>1</v>
      </c>
      <c r="H373" s="5">
        <v>1</v>
      </c>
      <c r="I373" s="2" t="s">
        <v>2588</v>
      </c>
      <c r="J373" s="2" t="s">
        <v>1802</v>
      </c>
      <c r="K373" s="2" t="s">
        <v>1382</v>
      </c>
      <c r="L373" s="2" t="s">
        <v>2167</v>
      </c>
      <c r="M373" s="2" t="s">
        <v>1779</v>
      </c>
      <c r="N373" s="8">
        <v>45159</v>
      </c>
      <c r="O373" s="8">
        <v>45161</v>
      </c>
      <c r="P373" s="8">
        <v>45191</v>
      </c>
      <c r="Q373" s="144">
        <v>45191</v>
      </c>
      <c r="R373" s="223">
        <v>55092</v>
      </c>
      <c r="S373" s="153">
        <v>208.81</v>
      </c>
      <c r="T373" s="52">
        <v>0</v>
      </c>
      <c r="U373" s="52">
        <v>0</v>
      </c>
      <c r="V373" s="52">
        <v>0</v>
      </c>
      <c r="W373" s="2" t="str" cm="1">
        <f t="array" aca="1" ref="W373" ca="1">TRIM(SUBSTITUTE(_xlfn.ARRAYTOTEXT(IFERROR(CONCATENATE(SUMIF(INDIRECT("'"&amp;Assemblies[Assy]&amp;"'!"&amp;"C$5:C1000"), $C373, INDIRECT("'"&amp;Assemblies[Assy]&amp;"'!"&amp;"O$5:O1000")), "x",Assemblies[Assy],".",IF(SUMIF(INDIRECT("'"&amp;Assemblies[Assy]&amp;"'!"&amp;"C$5:C1000"), $C373, INDIRECT("'"&amp;Assemblies[Assy]&amp;"'!"&amp;"A$5:A1000"))=0,NA(),SUMIF(INDIRECT("'"&amp;Assemblies[Assy]&amp;"'!"&amp;"C$5:C1000"), $C373, INDIRECT("'"&amp;Assemblies[Assy]&amp;"'!"&amp;"A$5:A1000")))),"")), " ,", ""))</f>
        <v>,</v>
      </c>
      <c r="X373" s="2" t="s">
        <v>1382</v>
      </c>
      <c r="Y373" s="2" t="s">
        <v>1382</v>
      </c>
      <c r="Z373" s="2" t="s">
        <v>1382</v>
      </c>
      <c r="AA373" s="2" t="s">
        <v>1382</v>
      </c>
    </row>
    <row r="374" spans="1:27" ht="12.75">
      <c r="A374" s="115" t="s">
        <v>2589</v>
      </c>
      <c r="B374" s="115" t="s">
        <v>54</v>
      </c>
      <c r="C374" s="2" t="str">
        <f t="shared" si="11"/>
        <v>GF12.740.01.A</v>
      </c>
      <c r="D374" s="117" t="s">
        <v>2590</v>
      </c>
      <c r="E374" s="52">
        <f t="shared" si="12"/>
        <v>121.54</v>
      </c>
      <c r="F374" s="5" t="e" cm="1">
        <f t="array" aca="1" ref="F374" ca="1">SUMPRODUCT(SUMIF(INDIRECT("'"&amp;Assemblies[Assy]&amp;"'!"&amp;"C$5:C1000"),$C374,(INDIRECT("'"&amp;Assemblies[Assy]&amp;"'!"&amp;"O$5:O1000"))))</f>
        <v>#VALUE!</v>
      </c>
      <c r="G374" s="5">
        <v>4</v>
      </c>
      <c r="H374" s="5">
        <v>4</v>
      </c>
      <c r="I374" s="2" t="s">
        <v>2591</v>
      </c>
      <c r="J374" s="2" t="s">
        <v>1802</v>
      </c>
      <c r="K374" s="2" t="s">
        <v>1382</v>
      </c>
      <c r="L374" s="2" t="s">
        <v>2167</v>
      </c>
      <c r="M374" s="2" t="s">
        <v>1779</v>
      </c>
      <c r="N374" s="8">
        <v>45159</v>
      </c>
      <c r="O374" s="8">
        <v>45161</v>
      </c>
      <c r="P374" s="8">
        <v>45191</v>
      </c>
      <c r="Q374" s="162">
        <v>45191</v>
      </c>
      <c r="R374" s="223">
        <v>55092</v>
      </c>
      <c r="S374" s="153">
        <v>121.54</v>
      </c>
      <c r="T374" s="52">
        <v>0</v>
      </c>
      <c r="U374" s="52">
        <v>0</v>
      </c>
      <c r="V374" s="52">
        <v>0</v>
      </c>
      <c r="W374" s="2" t="str" cm="1">
        <f t="array" aca="1" ref="W374" ca="1">TRIM(SUBSTITUTE(_xlfn.ARRAYTOTEXT(IFERROR(CONCATENATE(SUMIF(INDIRECT("'"&amp;Assemblies[Assy]&amp;"'!"&amp;"C$5:C1000"), $C374, INDIRECT("'"&amp;Assemblies[Assy]&amp;"'!"&amp;"O$5:O1000")), "x",Assemblies[Assy],".",IF(SUMIF(INDIRECT("'"&amp;Assemblies[Assy]&amp;"'!"&amp;"C$5:C1000"), $C374, INDIRECT("'"&amp;Assemblies[Assy]&amp;"'!"&amp;"A$5:A1000"))=0,NA(),SUMIF(INDIRECT("'"&amp;Assemblies[Assy]&amp;"'!"&amp;"C$5:C1000"), $C374, INDIRECT("'"&amp;Assemblies[Assy]&amp;"'!"&amp;"A$5:A1000")))),"")), " ,", ""))</f>
        <v>,</v>
      </c>
      <c r="X374" s="2" t="s">
        <v>1382</v>
      </c>
      <c r="Y374" s="2" t="s">
        <v>1382</v>
      </c>
      <c r="Z374" s="2" t="s">
        <v>1382</v>
      </c>
      <c r="AA374" s="2" t="s">
        <v>1382</v>
      </c>
    </row>
    <row r="375" spans="1:27" ht="12.75">
      <c r="A375" s="115" t="s">
        <v>2592</v>
      </c>
      <c r="B375" s="115" t="s">
        <v>54</v>
      </c>
      <c r="C375" s="2" t="str">
        <f t="shared" si="11"/>
        <v>GF12.740.02.A</v>
      </c>
      <c r="D375" s="117" t="s">
        <v>2593</v>
      </c>
      <c r="E375" s="52">
        <f t="shared" si="12"/>
        <v>0</v>
      </c>
      <c r="F375" s="5" t="e" cm="1">
        <f t="array" aca="1" ref="F375" ca="1">SUMPRODUCT(SUMIF(INDIRECT("'"&amp;Assemblies[Assy]&amp;"'!"&amp;"C$5:C1000"),$C375,(INDIRECT("'"&amp;Assemblies[Assy]&amp;"'!"&amp;"O$5:O1000"))))</f>
        <v>#VALUE!</v>
      </c>
      <c r="G375" s="5">
        <v>4</v>
      </c>
      <c r="H375" s="5">
        <v>4</v>
      </c>
      <c r="I375" s="2" t="s">
        <v>2581</v>
      </c>
      <c r="J375" s="2" t="s">
        <v>1777</v>
      </c>
      <c r="K375" s="2" t="s">
        <v>1382</v>
      </c>
      <c r="L375" s="2" t="s">
        <v>1778</v>
      </c>
      <c r="M375" s="2" t="s">
        <v>1779</v>
      </c>
      <c r="N375" s="8">
        <v>45161</v>
      </c>
      <c r="O375" s="8">
        <v>45161</v>
      </c>
      <c r="P375" s="8">
        <v>45184</v>
      </c>
      <c r="Q375" s="144">
        <v>45184</v>
      </c>
      <c r="R375" s="223">
        <v>55093</v>
      </c>
      <c r="S375" s="153">
        <v>0</v>
      </c>
      <c r="T375" s="52">
        <v>0</v>
      </c>
      <c r="U375" s="52">
        <v>0</v>
      </c>
      <c r="V375" s="52">
        <v>0</v>
      </c>
      <c r="W375" s="2" t="str" cm="1">
        <f t="array" aca="1" ref="W375" ca="1">TRIM(SUBSTITUTE(_xlfn.ARRAYTOTEXT(IFERROR(CONCATENATE(SUMIF(INDIRECT("'"&amp;Assemblies[Assy]&amp;"'!"&amp;"C$5:C1000"), $C375, INDIRECT("'"&amp;Assemblies[Assy]&amp;"'!"&amp;"O$5:O1000")), "x",Assemblies[Assy],".",IF(SUMIF(INDIRECT("'"&amp;Assemblies[Assy]&amp;"'!"&amp;"C$5:C1000"), $C375, INDIRECT("'"&amp;Assemblies[Assy]&amp;"'!"&amp;"A$5:A1000"))=0,NA(),SUMIF(INDIRECT("'"&amp;Assemblies[Assy]&amp;"'!"&amp;"C$5:C1000"), $C375, INDIRECT("'"&amp;Assemblies[Assy]&amp;"'!"&amp;"A$5:A1000")))),"")), " ,", ""))</f>
        <v>,</v>
      </c>
      <c r="X375" s="2" t="s">
        <v>1382</v>
      </c>
      <c r="Y375" s="2" t="s">
        <v>1382</v>
      </c>
      <c r="Z375" s="2" t="s">
        <v>1382</v>
      </c>
    </row>
    <row r="376" spans="1:27" ht="12.75">
      <c r="A376" s="115" t="s">
        <v>2594</v>
      </c>
      <c r="B376" s="115" t="s">
        <v>54</v>
      </c>
      <c r="C376" s="161" t="str">
        <f t="shared" si="11"/>
        <v>GF12.740.03.A</v>
      </c>
      <c r="D376" s="245" t="s">
        <v>2595</v>
      </c>
      <c r="E376" s="52">
        <f t="shared" si="12"/>
        <v>0</v>
      </c>
      <c r="F376" s="5" t="e" cm="1">
        <f t="array" aca="1" ref="F376" ca="1">SUMPRODUCT(SUMIF(INDIRECT("'"&amp;Assemblies[Assy]&amp;"'!"&amp;"C$5:C1000"),$C376,(INDIRECT("'"&amp;Assemblies[Assy]&amp;"'!"&amp;"O$5:O1000"))))</f>
        <v>#VALUE!</v>
      </c>
      <c r="G376" s="5">
        <v>4</v>
      </c>
      <c r="H376" s="5">
        <v>4</v>
      </c>
      <c r="I376" s="2" t="s">
        <v>2093</v>
      </c>
      <c r="J376" s="2" t="s">
        <v>1761</v>
      </c>
      <c r="K376" s="2" t="s">
        <v>1762</v>
      </c>
      <c r="L376" s="2" t="s">
        <v>1812</v>
      </c>
      <c r="M376" s="2" t="s">
        <v>1779</v>
      </c>
      <c r="N376" s="163" t="s">
        <v>1762</v>
      </c>
      <c r="O376" s="163" t="s">
        <v>1762</v>
      </c>
      <c r="P376" s="163" t="s">
        <v>1762</v>
      </c>
      <c r="Q376" s="163" t="s">
        <v>1762</v>
      </c>
      <c r="R376" s="222" t="s">
        <v>1762</v>
      </c>
      <c r="S376" s="153">
        <v>0</v>
      </c>
      <c r="T376" s="52">
        <v>0</v>
      </c>
      <c r="U376" s="52">
        <v>0</v>
      </c>
      <c r="V376" s="52">
        <v>0</v>
      </c>
      <c r="W376" s="2" t="str" cm="1">
        <f t="array" aca="1" ref="W376" ca="1">TRIM(SUBSTITUTE(_xlfn.ARRAYTOTEXT(IFERROR(CONCATENATE(SUMIF(INDIRECT("'"&amp;Assemblies[Assy]&amp;"'!"&amp;"C$5:C1000"), $C376, INDIRECT("'"&amp;Assemblies[Assy]&amp;"'!"&amp;"O$5:O1000")), "x",Assemblies[Assy],".",IF(SUMIF(INDIRECT("'"&amp;Assemblies[Assy]&amp;"'!"&amp;"C$5:C1000"), $C376, INDIRECT("'"&amp;Assemblies[Assy]&amp;"'!"&amp;"A$5:A1000"))=0,NA(),SUMIF(INDIRECT("'"&amp;Assemblies[Assy]&amp;"'!"&amp;"C$5:C1000"), $C376, INDIRECT("'"&amp;Assemblies[Assy]&amp;"'!"&amp;"A$5:A1000")))),"")), " ,", ""))</f>
        <v>,</v>
      </c>
      <c r="X376" s="2" t="s">
        <v>1382</v>
      </c>
      <c r="Y376" s="2" t="s">
        <v>1382</v>
      </c>
      <c r="Z376" s="2" t="s">
        <v>1382</v>
      </c>
    </row>
    <row r="377" spans="1:27" ht="12.75">
      <c r="A377" s="115" t="s">
        <v>2596</v>
      </c>
      <c r="B377" s="115" t="s">
        <v>54</v>
      </c>
      <c r="C377" s="2" t="str">
        <f t="shared" si="11"/>
        <v>GF12.750.01.A</v>
      </c>
      <c r="D377" s="117" t="s">
        <v>2597</v>
      </c>
      <c r="E377" s="52">
        <f t="shared" si="12"/>
        <v>0</v>
      </c>
      <c r="F377" s="5" t="e" cm="1">
        <f t="array" aca="1" ref="F377" ca="1">SUMPRODUCT(SUMIF(INDIRECT("'"&amp;Assemblies[Assy]&amp;"'!"&amp;"C$5:C1000"),$C377,(INDIRECT("'"&amp;Assemblies[Assy]&amp;"'!"&amp;"O$5:O1000"))))</f>
        <v>#VALUE!</v>
      </c>
      <c r="G377" s="5">
        <v>1</v>
      </c>
      <c r="H377" s="5">
        <v>1</v>
      </c>
      <c r="I377" s="2" t="s">
        <v>1791</v>
      </c>
      <c r="J377" s="2" t="s">
        <v>1769</v>
      </c>
      <c r="K377" s="2" t="s">
        <v>1382</v>
      </c>
      <c r="L377" s="2" t="s">
        <v>1812</v>
      </c>
      <c r="M377" s="2" t="s">
        <v>1779</v>
      </c>
      <c r="N377" s="163" t="s">
        <v>1762</v>
      </c>
      <c r="O377" s="163" t="s">
        <v>1762</v>
      </c>
      <c r="P377" s="163" t="s">
        <v>1762</v>
      </c>
      <c r="Q377" s="163" t="s">
        <v>1762</v>
      </c>
      <c r="R377" s="222" t="s">
        <v>1762</v>
      </c>
      <c r="S377" s="171">
        <v>0</v>
      </c>
      <c r="T377" s="52">
        <v>0</v>
      </c>
      <c r="U377" s="52">
        <v>0</v>
      </c>
      <c r="V377" s="52">
        <v>0</v>
      </c>
      <c r="W377" s="2" t="str" cm="1">
        <f t="array" aca="1" ref="W377" ca="1">TRIM(SUBSTITUTE(_xlfn.ARRAYTOTEXT(IFERROR(CONCATENATE(SUMIF(INDIRECT("'"&amp;Assemblies[Assy]&amp;"'!"&amp;"C$5:C1000"), $C377, INDIRECT("'"&amp;Assemblies[Assy]&amp;"'!"&amp;"O$5:O1000")), "x",Assemblies[Assy],".",IF(SUMIF(INDIRECT("'"&amp;Assemblies[Assy]&amp;"'!"&amp;"C$5:C1000"), $C377, INDIRECT("'"&amp;Assemblies[Assy]&amp;"'!"&amp;"A$5:A1000"))=0,NA(),SUMIF(INDIRECT("'"&amp;Assemblies[Assy]&amp;"'!"&amp;"C$5:C1000"), $C377, INDIRECT("'"&amp;Assemblies[Assy]&amp;"'!"&amp;"A$5:A1000")))),"")), " ,", ""))</f>
        <v>,</v>
      </c>
      <c r="X377" s="2" t="s">
        <v>1382</v>
      </c>
      <c r="Y377" s="2" t="s">
        <v>1382</v>
      </c>
      <c r="Z377" s="2" t="s">
        <v>1382</v>
      </c>
    </row>
    <row r="378" spans="1:27" ht="12.75">
      <c r="A378" s="115" t="s">
        <v>2598</v>
      </c>
      <c r="B378" s="115" t="s">
        <v>54</v>
      </c>
      <c r="C378" s="2" t="str">
        <f t="shared" si="11"/>
        <v>GF12.811.01.A</v>
      </c>
      <c r="D378" s="2" t="s">
        <v>2599</v>
      </c>
      <c r="E378" s="52">
        <f t="shared" si="12"/>
        <v>0</v>
      </c>
      <c r="F378" s="5" t="e" cm="1">
        <f t="array" aca="1" ref="F378" ca="1">SUMPRODUCT(SUMIF(INDIRECT("'"&amp;Assemblies[Assy]&amp;"'!"&amp;"C$5:C1000"),$C378,(INDIRECT("'"&amp;Assemblies[Assy]&amp;"'!"&amp;"O$5:O1000"))))</f>
        <v>#VALUE!</v>
      </c>
      <c r="G378" s="5">
        <v>4</v>
      </c>
      <c r="H378" s="5">
        <v>4</v>
      </c>
      <c r="I378" s="2" t="s">
        <v>1791</v>
      </c>
      <c r="J378" s="2" t="s">
        <v>1769</v>
      </c>
      <c r="K378" s="2" t="s">
        <v>1382</v>
      </c>
      <c r="L378" s="2" t="s">
        <v>1812</v>
      </c>
      <c r="M378" s="8" t="s">
        <v>1779</v>
      </c>
      <c r="N378" s="163" t="s">
        <v>1762</v>
      </c>
      <c r="O378" s="163" t="s">
        <v>1762</v>
      </c>
      <c r="P378" s="163" t="s">
        <v>1762</v>
      </c>
      <c r="Q378" s="163" t="s">
        <v>1762</v>
      </c>
      <c r="R378" s="222" t="s">
        <v>1762</v>
      </c>
      <c r="S378" s="153">
        <v>0</v>
      </c>
      <c r="T378" s="52">
        <v>0</v>
      </c>
      <c r="U378" s="52">
        <v>0</v>
      </c>
      <c r="V378" s="52">
        <v>0</v>
      </c>
      <c r="W378" s="2" t="str" cm="1">
        <f t="array" aca="1" ref="W378" ca="1">TRIM(SUBSTITUTE(_xlfn.ARRAYTOTEXT(IFERROR(CONCATENATE(SUMIF(INDIRECT("'"&amp;Assemblies[Assy]&amp;"'!"&amp;"C$5:C1000"), $C378, INDIRECT("'"&amp;Assemblies[Assy]&amp;"'!"&amp;"O$5:O1000")), "x",Assemblies[Assy],".",IF(SUMIF(INDIRECT("'"&amp;Assemblies[Assy]&amp;"'!"&amp;"C$5:C1000"), $C378, INDIRECT("'"&amp;Assemblies[Assy]&amp;"'!"&amp;"A$5:A1000"))=0,NA(),SUMIF(INDIRECT("'"&amp;Assemblies[Assy]&amp;"'!"&amp;"C$5:C1000"), $C378, INDIRECT("'"&amp;Assemblies[Assy]&amp;"'!"&amp;"A$5:A1000")))),"")), " ,", ""))</f>
        <v>,</v>
      </c>
      <c r="X378" s="2" t="s">
        <v>1382</v>
      </c>
      <c r="Y378" s="2" t="s">
        <v>1382</v>
      </c>
      <c r="Z378" s="2" t="s">
        <v>1382</v>
      </c>
    </row>
    <row r="379" spans="1:27" ht="12.75">
      <c r="P379" s="144"/>
      <c r="Q379" s="144"/>
      <c r="R379" s="223"/>
      <c r="S379" s="153"/>
      <c r="T379" s="52"/>
      <c r="V379" s="52"/>
      <c r="Y379" s="2"/>
    </row>
    <row r="380" spans="1:27" ht="12.75">
      <c r="P380" s="144"/>
      <c r="Q380" s="144"/>
      <c r="R380" s="223"/>
      <c r="S380" s="153"/>
      <c r="T380" s="52"/>
      <c r="V380" s="52"/>
      <c r="Y380" s="2"/>
    </row>
    <row r="381" spans="1:27" ht="12.75">
      <c r="P381" s="144"/>
      <c r="Q381" s="144"/>
      <c r="R381" s="223"/>
      <c r="S381" s="153"/>
      <c r="T381" s="52"/>
      <c r="V381" s="52"/>
      <c r="Y381" s="2"/>
    </row>
    <row r="382" spans="1:27" ht="12.75">
      <c r="P382" s="144"/>
      <c r="Q382" s="144"/>
      <c r="R382" s="223"/>
      <c r="S382" s="153"/>
      <c r="T382" s="52"/>
      <c r="V382" s="52"/>
      <c r="Y382" s="2"/>
    </row>
    <row r="383" spans="1:27" ht="15.75">
      <c r="B383" s="115" t="s">
        <v>1382</v>
      </c>
      <c r="C383" s="2" t="s">
        <v>1382</v>
      </c>
      <c r="D383" s="206" t="s">
        <v>2600</v>
      </c>
      <c r="E383" s="207" t="s">
        <v>1382</v>
      </c>
      <c r="F383" s="208" t="e">
        <f ca="1">SUM(Machined[Total Qty])</f>
        <v>#VALUE!</v>
      </c>
      <c r="I383" s="2" t="s">
        <v>1382</v>
      </c>
      <c r="J383" s="2" t="s">
        <v>1382</v>
      </c>
      <c r="K383" s="2" t="s">
        <v>1382</v>
      </c>
      <c r="L383" s="2" t="s">
        <v>1382</v>
      </c>
      <c r="M383" s="8" t="s">
        <v>1779</v>
      </c>
      <c r="N383" s="8" t="s">
        <v>1382</v>
      </c>
      <c r="O383" s="8" t="s">
        <v>1382</v>
      </c>
      <c r="P383" s="8" t="s">
        <v>1382</v>
      </c>
      <c r="Q383" s="5" t="s">
        <v>1382</v>
      </c>
      <c r="R383" s="211" t="s">
        <v>1382</v>
      </c>
      <c r="S383" s="129" t="s">
        <v>1382</v>
      </c>
      <c r="T383" s="129" t="s">
        <v>1382</v>
      </c>
      <c r="U383" s="52" t="s">
        <v>1382</v>
      </c>
      <c r="V383" s="2" t="s">
        <v>1382</v>
      </c>
      <c r="W383" s="2" t="s">
        <v>1382</v>
      </c>
      <c r="X383" s="2" t="s">
        <v>1382</v>
      </c>
      <c r="Y383" s="2" t="s">
        <v>1382</v>
      </c>
      <c r="Z383" s="2" t="s">
        <v>1382</v>
      </c>
    </row>
    <row r="384" spans="1:27" ht="15.75">
      <c r="A384" s="115" t="s">
        <v>1382</v>
      </c>
      <c r="B384" s="115" t="s">
        <v>1382</v>
      </c>
      <c r="C384" s="2" t="s">
        <v>1382</v>
      </c>
      <c r="D384" s="206" t="s">
        <v>2601</v>
      </c>
      <c r="E384" s="207" t="s">
        <v>1382</v>
      </c>
      <c r="F384" s="208" t="e">
        <f ca="1">F383-F385</f>
        <v>#VALUE!</v>
      </c>
      <c r="I384" s="2" t="s">
        <v>1382</v>
      </c>
      <c r="J384" s="2" t="s">
        <v>1382</v>
      </c>
      <c r="K384" s="2" t="s">
        <v>1382</v>
      </c>
      <c r="L384" s="2" t="s">
        <v>1382</v>
      </c>
      <c r="M384" s="8" t="s">
        <v>1779</v>
      </c>
      <c r="N384" s="8" t="s">
        <v>1382</v>
      </c>
      <c r="O384" s="8" t="s">
        <v>1382</v>
      </c>
      <c r="P384" s="8" t="s">
        <v>1382</v>
      </c>
      <c r="Q384" s="5" t="s">
        <v>1382</v>
      </c>
      <c r="R384" s="211" t="s">
        <v>1382</v>
      </c>
      <c r="S384" s="129" t="s">
        <v>1382</v>
      </c>
      <c r="T384" s="129" t="s">
        <v>1382</v>
      </c>
      <c r="U384" s="52" t="s">
        <v>1382</v>
      </c>
      <c r="V384" s="2" t="s">
        <v>1382</v>
      </c>
      <c r="W384" s="2" t="s">
        <v>1382</v>
      </c>
      <c r="X384" s="2" t="s">
        <v>1382</v>
      </c>
      <c r="Y384" s="2" t="s">
        <v>1382</v>
      </c>
      <c r="Z384" s="2" t="s">
        <v>1382</v>
      </c>
    </row>
    <row r="385" spans="1:26" ht="15.75">
      <c r="A385" s="115" t="s">
        <v>1382</v>
      </c>
      <c r="B385" s="115" t="s">
        <v>1382</v>
      </c>
      <c r="C385" s="2" t="s">
        <v>1382</v>
      </c>
      <c r="D385" s="206" t="s">
        <v>2602</v>
      </c>
      <c r="E385" s="207" t="s">
        <v>1382</v>
      </c>
      <c r="F385" s="208" t="e">
        <f ca="1">SUMIF(Machined[PO],"", Machined[Total Qty])</f>
        <v>#VALUE!</v>
      </c>
      <c r="I385" s="2" t="s">
        <v>1382</v>
      </c>
      <c r="J385" s="2" t="s">
        <v>1382</v>
      </c>
      <c r="K385" s="2" t="s">
        <v>1382</v>
      </c>
      <c r="L385" s="2" t="s">
        <v>1382</v>
      </c>
      <c r="M385" s="8" t="s">
        <v>1779</v>
      </c>
      <c r="N385" s="8" t="s">
        <v>1382</v>
      </c>
      <c r="O385" s="8" t="s">
        <v>1382</v>
      </c>
      <c r="P385" s="8" t="s">
        <v>1382</v>
      </c>
      <c r="Q385" s="5" t="s">
        <v>1382</v>
      </c>
      <c r="R385" s="211" t="s">
        <v>1382</v>
      </c>
      <c r="S385" s="129" t="s">
        <v>1382</v>
      </c>
      <c r="T385" s="129" t="s">
        <v>1382</v>
      </c>
      <c r="U385" s="52" t="s">
        <v>1382</v>
      </c>
      <c r="V385" s="2" t="s">
        <v>1382</v>
      </c>
      <c r="W385" s="2" t="s">
        <v>1382</v>
      </c>
      <c r="X385" s="2" t="s">
        <v>1382</v>
      </c>
      <c r="Y385" s="2" t="s">
        <v>1382</v>
      </c>
      <c r="Z385" s="2" t="s">
        <v>1382</v>
      </c>
    </row>
    <row r="386" spans="1:26" ht="15.75">
      <c r="A386" s="115" t="s">
        <v>1382</v>
      </c>
      <c r="B386" s="115" t="s">
        <v>1382</v>
      </c>
      <c r="C386" s="2" t="s">
        <v>1382</v>
      </c>
      <c r="D386" s="206" t="s">
        <v>2603</v>
      </c>
      <c r="E386" s="207" t="s">
        <v>1382</v>
      </c>
      <c r="F386" s="209" t="e">
        <f ca="1">F385/F383</f>
        <v>#VALUE!</v>
      </c>
      <c r="I386" s="2" t="s">
        <v>1382</v>
      </c>
      <c r="J386" s="2" t="s">
        <v>1382</v>
      </c>
      <c r="K386" s="2" t="s">
        <v>1382</v>
      </c>
      <c r="L386" s="2" t="s">
        <v>1382</v>
      </c>
      <c r="M386" s="8" t="s">
        <v>1779</v>
      </c>
      <c r="N386" s="8" t="s">
        <v>1382</v>
      </c>
      <c r="O386" s="8" t="s">
        <v>1382</v>
      </c>
      <c r="P386" s="8" t="s">
        <v>1382</v>
      </c>
      <c r="Q386" s="5" t="s">
        <v>1382</v>
      </c>
      <c r="R386" s="211" t="s">
        <v>1382</v>
      </c>
      <c r="S386" s="129" t="s">
        <v>1382</v>
      </c>
      <c r="T386" s="129" t="s">
        <v>1382</v>
      </c>
      <c r="U386" s="52" t="s">
        <v>1382</v>
      </c>
      <c r="V386" s="2" t="s">
        <v>1382</v>
      </c>
      <c r="W386" s="2" t="s">
        <v>1382</v>
      </c>
      <c r="X386" s="2" t="s">
        <v>1382</v>
      </c>
      <c r="Y386" s="2" t="s">
        <v>1382</v>
      </c>
      <c r="Z386" s="2" t="s">
        <v>1382</v>
      </c>
    </row>
    <row r="387" spans="1:26" ht="12.75">
      <c r="A387" s="115" t="s">
        <v>1382</v>
      </c>
      <c r="B387" s="115" t="s">
        <v>1382</v>
      </c>
      <c r="C387" s="2" t="s">
        <v>1382</v>
      </c>
      <c r="D387" s="2" t="s">
        <v>1382</v>
      </c>
      <c r="E387" s="52" t="s">
        <v>1382</v>
      </c>
      <c r="F387" s="5" t="s">
        <v>1382</v>
      </c>
      <c r="I387" s="2" t="s">
        <v>1382</v>
      </c>
      <c r="J387" s="2" t="s">
        <v>1382</v>
      </c>
      <c r="K387" s="2" t="s">
        <v>1382</v>
      </c>
      <c r="L387" s="2" t="s">
        <v>1382</v>
      </c>
      <c r="M387" s="8" t="s">
        <v>1779</v>
      </c>
      <c r="N387" s="8" t="s">
        <v>1382</v>
      </c>
      <c r="O387" s="8" t="s">
        <v>1382</v>
      </c>
      <c r="P387" s="8" t="s">
        <v>1382</v>
      </c>
      <c r="Q387" s="5" t="s">
        <v>1382</v>
      </c>
      <c r="R387" s="211" t="s">
        <v>1382</v>
      </c>
      <c r="S387" s="129" t="s">
        <v>1382</v>
      </c>
      <c r="T387" s="129" t="s">
        <v>1382</v>
      </c>
      <c r="U387" s="52" t="s">
        <v>1382</v>
      </c>
      <c r="V387" s="2" t="s">
        <v>1382</v>
      </c>
      <c r="W387" s="2" t="s">
        <v>1382</v>
      </c>
      <c r="X387" s="2" t="s">
        <v>1382</v>
      </c>
      <c r="Y387" s="2" t="s">
        <v>1382</v>
      </c>
      <c r="Z387" s="2" t="s">
        <v>1382</v>
      </c>
    </row>
    <row r="388" spans="1:26" ht="12.75">
      <c r="A388" s="115" t="s">
        <v>1382</v>
      </c>
      <c r="B388" s="115" t="s">
        <v>1382</v>
      </c>
      <c r="C388" s="2" t="s">
        <v>1382</v>
      </c>
      <c r="D388" s="55"/>
      <c r="I388" s="2" t="s">
        <v>1382</v>
      </c>
      <c r="J388" s="2" t="s">
        <v>1382</v>
      </c>
      <c r="K388" s="2" t="s">
        <v>1382</v>
      </c>
      <c r="L388" s="2" t="s">
        <v>1382</v>
      </c>
      <c r="M388" s="8" t="s">
        <v>1779</v>
      </c>
      <c r="N388" s="8" t="s">
        <v>1382</v>
      </c>
      <c r="O388" s="8" t="s">
        <v>1382</v>
      </c>
      <c r="P388" s="8" t="s">
        <v>1382</v>
      </c>
      <c r="Q388" s="5" t="s">
        <v>1382</v>
      </c>
      <c r="R388" s="211" t="s">
        <v>1382</v>
      </c>
      <c r="S388" s="129" t="s">
        <v>1382</v>
      </c>
      <c r="T388" s="129" t="s">
        <v>1382</v>
      </c>
      <c r="U388" s="52" t="s">
        <v>1382</v>
      </c>
      <c r="V388" s="2" t="s">
        <v>1382</v>
      </c>
      <c r="W388" s="2" t="s">
        <v>1382</v>
      </c>
      <c r="X388" s="2" t="s">
        <v>1382</v>
      </c>
      <c r="Y388" s="2" t="s">
        <v>1382</v>
      </c>
      <c r="Z388" s="2" t="s">
        <v>1382</v>
      </c>
    </row>
    <row r="389" spans="1:26" ht="12.75">
      <c r="A389" s="115" t="s">
        <v>1382</v>
      </c>
      <c r="B389" s="115" t="s">
        <v>1382</v>
      </c>
      <c r="C389" s="2" t="s">
        <v>1382</v>
      </c>
      <c r="I389" s="2" t="s">
        <v>1382</v>
      </c>
      <c r="J389" s="2" t="s">
        <v>1382</v>
      </c>
      <c r="K389" s="2" t="s">
        <v>1382</v>
      </c>
      <c r="L389" s="2" t="s">
        <v>1382</v>
      </c>
      <c r="M389" s="8" t="s">
        <v>1779</v>
      </c>
      <c r="N389" s="8" t="s">
        <v>1382</v>
      </c>
      <c r="O389" s="8" t="s">
        <v>1382</v>
      </c>
      <c r="P389" s="8" t="s">
        <v>1382</v>
      </c>
      <c r="Q389" s="5" t="s">
        <v>1382</v>
      </c>
      <c r="R389" s="211" t="s">
        <v>1382</v>
      </c>
      <c r="S389" s="129" t="s">
        <v>1382</v>
      </c>
      <c r="T389" s="129" t="s">
        <v>1382</v>
      </c>
      <c r="U389" s="52" t="s">
        <v>1382</v>
      </c>
      <c r="V389" s="2" t="s">
        <v>1382</v>
      </c>
      <c r="W389" s="2" t="s">
        <v>1382</v>
      </c>
      <c r="X389" s="2" t="s">
        <v>1382</v>
      </c>
      <c r="Y389" s="2" t="s">
        <v>1382</v>
      </c>
      <c r="Z389" s="2" t="s">
        <v>1382</v>
      </c>
    </row>
    <row r="390" spans="1:26" ht="12.75">
      <c r="A390" s="115" t="s">
        <v>1382</v>
      </c>
      <c r="B390" s="115" t="s">
        <v>1382</v>
      </c>
      <c r="C390" s="2" t="s">
        <v>1382</v>
      </c>
      <c r="I390" s="2" t="s">
        <v>1382</v>
      </c>
      <c r="J390" s="2" t="s">
        <v>1382</v>
      </c>
      <c r="K390" s="2" t="s">
        <v>1382</v>
      </c>
      <c r="L390" s="2" t="s">
        <v>1382</v>
      </c>
      <c r="M390" s="8" t="s">
        <v>1779</v>
      </c>
      <c r="N390" s="8" t="s">
        <v>1382</v>
      </c>
      <c r="O390" s="8" t="s">
        <v>1382</v>
      </c>
      <c r="P390" s="8" t="s">
        <v>1382</v>
      </c>
      <c r="Q390" s="5" t="s">
        <v>1382</v>
      </c>
      <c r="R390" s="211" t="s">
        <v>1382</v>
      </c>
      <c r="S390" s="129" t="s">
        <v>1382</v>
      </c>
      <c r="T390" s="129" t="s">
        <v>1382</v>
      </c>
      <c r="U390" s="52" t="s">
        <v>1382</v>
      </c>
      <c r="V390" s="2" t="s">
        <v>1382</v>
      </c>
      <c r="W390" s="2" t="s">
        <v>1382</v>
      </c>
      <c r="X390" s="2" t="s">
        <v>1382</v>
      </c>
      <c r="Y390" s="2" t="s">
        <v>1382</v>
      </c>
      <c r="Z390" s="2" t="s">
        <v>1382</v>
      </c>
    </row>
    <row r="391" spans="1:26" ht="12.75">
      <c r="A391" s="115" t="s">
        <v>1382</v>
      </c>
      <c r="B391" s="115" t="s">
        <v>1382</v>
      </c>
      <c r="C391" s="2" t="s">
        <v>1382</v>
      </c>
      <c r="I391" s="2" t="s">
        <v>1382</v>
      </c>
      <c r="J391" s="2" t="s">
        <v>1382</v>
      </c>
      <c r="K391" s="2" t="s">
        <v>1382</v>
      </c>
      <c r="L391" s="2" t="s">
        <v>1382</v>
      </c>
      <c r="M391" s="8" t="s">
        <v>1779</v>
      </c>
      <c r="N391" s="8" t="s">
        <v>1382</v>
      </c>
      <c r="O391" s="8" t="s">
        <v>1382</v>
      </c>
      <c r="P391" s="8" t="s">
        <v>1382</v>
      </c>
      <c r="Q391" s="5" t="s">
        <v>1382</v>
      </c>
      <c r="R391" s="211" t="s">
        <v>1382</v>
      </c>
      <c r="S391" s="129" t="s">
        <v>1382</v>
      </c>
      <c r="T391" s="129" t="s">
        <v>1382</v>
      </c>
      <c r="U391" s="52" t="s">
        <v>1382</v>
      </c>
      <c r="V391" s="2" t="s">
        <v>1382</v>
      </c>
      <c r="W391" s="2" t="s">
        <v>1382</v>
      </c>
      <c r="X391" s="2" t="s">
        <v>1382</v>
      </c>
      <c r="Y391" s="2" t="s">
        <v>1382</v>
      </c>
      <c r="Z391" s="2" t="s">
        <v>1382</v>
      </c>
    </row>
    <row r="392" spans="1:26" ht="12.75">
      <c r="A392" s="115" t="s">
        <v>1382</v>
      </c>
      <c r="B392" s="115" t="s">
        <v>1382</v>
      </c>
      <c r="C392" s="2" t="s">
        <v>1382</v>
      </c>
      <c r="I392" s="2" t="s">
        <v>1382</v>
      </c>
      <c r="J392" s="2" t="s">
        <v>1382</v>
      </c>
      <c r="K392" s="2" t="s">
        <v>1382</v>
      </c>
      <c r="L392" s="2" t="s">
        <v>1382</v>
      </c>
      <c r="M392" s="8" t="s">
        <v>1779</v>
      </c>
      <c r="N392" s="8" t="s">
        <v>1382</v>
      </c>
      <c r="O392" s="8" t="s">
        <v>1382</v>
      </c>
      <c r="P392" s="8" t="s">
        <v>1382</v>
      </c>
      <c r="Q392" s="5" t="s">
        <v>1382</v>
      </c>
      <c r="R392" s="211" t="s">
        <v>1382</v>
      </c>
      <c r="S392" s="129" t="s">
        <v>1382</v>
      </c>
      <c r="T392" s="129" t="s">
        <v>1382</v>
      </c>
      <c r="U392" s="52" t="s">
        <v>1382</v>
      </c>
      <c r="V392" s="2" t="s">
        <v>1382</v>
      </c>
      <c r="W392" s="2" t="s">
        <v>1382</v>
      </c>
      <c r="X392" s="2" t="s">
        <v>1382</v>
      </c>
      <c r="Y392" s="2" t="s">
        <v>1382</v>
      </c>
      <c r="Z392" s="2" t="s">
        <v>1382</v>
      </c>
    </row>
    <row r="393" spans="1:26" ht="12.75">
      <c r="A393" s="115" t="s">
        <v>1382</v>
      </c>
      <c r="B393" s="115" t="s">
        <v>1382</v>
      </c>
      <c r="C393" s="2" t="s">
        <v>1382</v>
      </c>
      <c r="I393" s="2" t="s">
        <v>1382</v>
      </c>
      <c r="J393" s="2" t="s">
        <v>1382</v>
      </c>
      <c r="K393" s="2" t="s">
        <v>1382</v>
      </c>
      <c r="L393" s="2" t="s">
        <v>1382</v>
      </c>
      <c r="M393" s="8" t="s">
        <v>1779</v>
      </c>
      <c r="N393" s="8" t="s">
        <v>1382</v>
      </c>
      <c r="O393" s="8" t="s">
        <v>1382</v>
      </c>
      <c r="P393" s="8" t="s">
        <v>1382</v>
      </c>
      <c r="Q393" s="5" t="s">
        <v>1382</v>
      </c>
      <c r="R393" s="211" t="s">
        <v>1382</v>
      </c>
      <c r="S393" s="129" t="s">
        <v>1382</v>
      </c>
      <c r="T393" s="129" t="s">
        <v>1382</v>
      </c>
      <c r="U393" s="52" t="s">
        <v>1382</v>
      </c>
      <c r="V393" s="2" t="s">
        <v>1382</v>
      </c>
      <c r="W393" s="2" t="s">
        <v>1382</v>
      </c>
      <c r="X393" s="2" t="s">
        <v>1382</v>
      </c>
      <c r="Y393" s="2" t="s">
        <v>1382</v>
      </c>
      <c r="Z393" s="2" t="s">
        <v>1382</v>
      </c>
    </row>
    <row r="394" spans="1:26" ht="12.75">
      <c r="A394" s="115" t="s">
        <v>1382</v>
      </c>
      <c r="B394" s="115" t="s">
        <v>1382</v>
      </c>
      <c r="C394" s="2" t="s">
        <v>1382</v>
      </c>
      <c r="I394" s="2" t="s">
        <v>1382</v>
      </c>
      <c r="J394" s="2" t="s">
        <v>1382</v>
      </c>
      <c r="K394" s="2" t="s">
        <v>1382</v>
      </c>
      <c r="L394" s="2" t="s">
        <v>1382</v>
      </c>
      <c r="M394" s="8" t="s">
        <v>1779</v>
      </c>
      <c r="N394" s="8" t="s">
        <v>1382</v>
      </c>
      <c r="O394" s="8" t="s">
        <v>1382</v>
      </c>
      <c r="P394" s="8" t="s">
        <v>1382</v>
      </c>
      <c r="Q394" s="5" t="s">
        <v>1382</v>
      </c>
      <c r="R394" s="211" t="s">
        <v>1382</v>
      </c>
      <c r="S394" s="129" t="s">
        <v>1382</v>
      </c>
      <c r="T394" s="129" t="s">
        <v>1382</v>
      </c>
      <c r="U394" s="52" t="s">
        <v>1382</v>
      </c>
      <c r="V394" s="2" t="s">
        <v>1382</v>
      </c>
      <c r="W394" s="2" t="s">
        <v>1382</v>
      </c>
      <c r="X394" s="2" t="s">
        <v>1382</v>
      </c>
      <c r="Y394" s="2" t="s">
        <v>1382</v>
      </c>
      <c r="Z394" s="2" t="s">
        <v>1382</v>
      </c>
    </row>
    <row r="395" spans="1:26" ht="12.75">
      <c r="A395" s="115" t="s">
        <v>1382</v>
      </c>
      <c r="B395" s="115" t="s">
        <v>1382</v>
      </c>
      <c r="C395" s="2" t="s">
        <v>1382</v>
      </c>
      <c r="D395" s="55"/>
      <c r="E395" s="210"/>
      <c r="F395" s="56"/>
      <c r="I395" s="2" t="s">
        <v>1382</v>
      </c>
      <c r="J395" s="2" t="s">
        <v>1382</v>
      </c>
      <c r="K395" s="2" t="s">
        <v>1382</v>
      </c>
      <c r="L395" s="2" t="s">
        <v>1382</v>
      </c>
      <c r="M395" s="8" t="s">
        <v>1779</v>
      </c>
      <c r="N395" s="8" t="s">
        <v>1382</v>
      </c>
      <c r="O395" s="8" t="s">
        <v>1382</v>
      </c>
      <c r="P395" s="8" t="s">
        <v>1382</v>
      </c>
      <c r="Q395" s="5" t="s">
        <v>1382</v>
      </c>
      <c r="R395" s="211" t="s">
        <v>1382</v>
      </c>
      <c r="S395" s="129" t="s">
        <v>1382</v>
      </c>
      <c r="T395" s="129" t="s">
        <v>1382</v>
      </c>
      <c r="U395" s="52" t="s">
        <v>1382</v>
      </c>
      <c r="V395" s="2" t="s">
        <v>1382</v>
      </c>
      <c r="W395" s="2" t="s">
        <v>1382</v>
      </c>
      <c r="X395" s="2" t="s">
        <v>1382</v>
      </c>
      <c r="Y395" s="2" t="s">
        <v>1382</v>
      </c>
      <c r="Z395" s="2" t="s">
        <v>1382</v>
      </c>
    </row>
    <row r="396" spans="1:26" ht="12.75">
      <c r="A396" s="115" t="s">
        <v>1382</v>
      </c>
      <c r="B396" s="115" t="s">
        <v>1382</v>
      </c>
      <c r="C396" s="2" t="s">
        <v>1382</v>
      </c>
      <c r="I396" s="2" t="s">
        <v>1382</v>
      </c>
      <c r="J396" s="2" t="s">
        <v>1382</v>
      </c>
      <c r="K396" s="2" t="s">
        <v>1382</v>
      </c>
      <c r="L396" s="2" t="s">
        <v>1382</v>
      </c>
      <c r="M396" s="8" t="s">
        <v>1779</v>
      </c>
      <c r="N396" s="8" t="s">
        <v>1382</v>
      </c>
      <c r="O396" s="8" t="s">
        <v>1382</v>
      </c>
      <c r="P396" s="8" t="s">
        <v>1382</v>
      </c>
      <c r="Q396" s="5" t="s">
        <v>1382</v>
      </c>
      <c r="R396" s="211" t="s">
        <v>1382</v>
      </c>
      <c r="S396" s="129" t="s">
        <v>1382</v>
      </c>
      <c r="T396" s="129" t="s">
        <v>1382</v>
      </c>
      <c r="U396" s="52" t="s">
        <v>1382</v>
      </c>
      <c r="V396" s="2" t="s">
        <v>1382</v>
      </c>
      <c r="W396" s="2" t="s">
        <v>1382</v>
      </c>
      <c r="X396" s="2" t="s">
        <v>1382</v>
      </c>
      <c r="Y396" s="2" t="s">
        <v>1382</v>
      </c>
      <c r="Z396" s="2" t="s">
        <v>1382</v>
      </c>
    </row>
    <row r="397" spans="1:26" ht="12.75">
      <c r="A397" s="115" t="s">
        <v>1382</v>
      </c>
      <c r="B397" s="115" t="s">
        <v>1382</v>
      </c>
      <c r="C397" s="2" t="s">
        <v>1382</v>
      </c>
      <c r="D397" s="55"/>
      <c r="E397" s="210"/>
      <c r="F397" s="56"/>
      <c r="I397" s="2" t="s">
        <v>1382</v>
      </c>
      <c r="J397" s="2" t="s">
        <v>1382</v>
      </c>
      <c r="K397" s="2" t="s">
        <v>1382</v>
      </c>
      <c r="L397" s="2" t="s">
        <v>1382</v>
      </c>
      <c r="M397" s="8" t="s">
        <v>1779</v>
      </c>
      <c r="N397" s="8" t="s">
        <v>1382</v>
      </c>
      <c r="O397" s="8" t="s">
        <v>1382</v>
      </c>
      <c r="P397" s="8" t="s">
        <v>1382</v>
      </c>
      <c r="Q397" s="5" t="s">
        <v>1382</v>
      </c>
      <c r="R397" s="211" t="s">
        <v>1382</v>
      </c>
      <c r="S397" s="129" t="s">
        <v>1382</v>
      </c>
      <c r="T397" s="129" t="s">
        <v>1382</v>
      </c>
      <c r="U397" s="52" t="s">
        <v>1382</v>
      </c>
      <c r="V397" s="2" t="s">
        <v>1382</v>
      </c>
      <c r="W397" s="2" t="s">
        <v>1382</v>
      </c>
      <c r="X397" s="2" t="s">
        <v>1382</v>
      </c>
      <c r="Y397" s="2" t="s">
        <v>1382</v>
      </c>
      <c r="Z397" s="2" t="s">
        <v>1382</v>
      </c>
    </row>
  </sheetData>
  <phoneticPr fontId="8" type="noConversion"/>
  <conditionalFormatting sqref="Q339:Q377 Q301:Q319 Q2:Q5 Q8:Q294">
    <cfRule type="cellIs" dxfId="131" priority="11" operator="lessThanOrEqual">
      <formula>P2</formula>
    </cfRule>
    <cfRule type="cellIs" dxfId="130" priority="12" operator="greaterThan">
      <formula>P2</formula>
    </cfRule>
  </conditionalFormatting>
  <conditionalFormatting sqref="H2:H382">
    <cfRule type="cellIs" dxfId="129" priority="1" operator="greaterThan">
      <formula>F2</formula>
    </cfRule>
    <cfRule type="cellIs" dxfId="128" priority="133" operator="equal">
      <formula>F2</formula>
    </cfRule>
    <cfRule type="cellIs" dxfId="127" priority="134" operator="lessThan">
      <formula>F2</formula>
    </cfRule>
    <cfRule type="expression" dxfId="126" priority="135">
      <formula>AND(Q2&lt;=TODAY(),H2&lt;G2)</formula>
    </cfRule>
  </conditionalFormatting>
  <conditionalFormatting sqref="G2:G382">
    <cfRule type="cellIs" dxfId="125" priority="3" operator="lessThan">
      <formula>F2</formula>
    </cfRule>
    <cfRule type="cellIs" dxfId="124" priority="4" operator="equal">
      <formula>F2</formula>
    </cfRule>
    <cfRule type="cellIs" dxfId="123" priority="5" operator="greaterThan">
      <formula>F2</formula>
    </cfRule>
  </conditionalFormatting>
  <conditionalFormatting sqref="C2:C382">
    <cfRule type="duplicateValues" dxfId="122" priority="317"/>
  </conditionalFormatting>
  <hyperlinks>
    <hyperlink ref="Z54" r:id="rId1" display="https://www.xometry.com/orders/275A2-15045" xr:uid="{16941B40-3A54-4C22-B772-66F2FF211BA5}"/>
    <hyperlink ref="Z133" r:id="rId2" display="https://www.xometry.com/orders/275A2-1504B" xr:uid="{E29B186C-8BBB-427E-A060-33A64A45F8A9}"/>
    <hyperlink ref="Z144" r:id="rId3" display="https://www.xometry.com/orders/275A2-1504B" xr:uid="{33BDC437-2A6C-4C85-8F05-5BA23744F45D}"/>
    <hyperlink ref="Z11" r:id="rId4" display="https://www.xometry.com/orders/275A2-1504B" xr:uid="{354BD220-10C3-4681-B875-E63143832F5F}"/>
    <hyperlink ref="Z14" r:id="rId5" display="https://www.xometry.com/orders/275A2-1504B" xr:uid="{5499B231-41ED-42B9-880E-D54A185AE799}"/>
    <hyperlink ref="Z121" r:id="rId6" display="https://www.xometry.com/orders/275A2-15045" xr:uid="{288DC511-CA5C-4A78-91AF-970F4B802DE1}"/>
    <hyperlink ref="Z53" r:id="rId7" display="https://www.xometry.com/orders/275A2-15046" xr:uid="{19B15050-01E5-40A0-ABDC-BE58EFEBBE79}"/>
    <hyperlink ref="Z256" r:id="rId8" xr:uid="{6FB0A50E-B681-4B2D-BA1F-3F752AF2D4C7}"/>
    <hyperlink ref="Z284" r:id="rId9" xr:uid="{68D71666-7F37-4500-BF38-EE3F7B71E0BD}"/>
  </hyperlinks>
  <pageMargins left="0.7" right="0.7" top="0.75" bottom="0.75" header="0.3" footer="0.3"/>
  <pageSetup paperSize="3" fitToHeight="0" orientation="landscape" horizontalDpi="1200" verticalDpi="1200" r:id="rId10"/>
  <tableParts count="1">
    <tablePart r:id="rId11"/>
  </tableParts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4BB6D0-20D8-496F-9F0F-09A096353EB4}">
  <sheetPr codeName="Sheet148">
    <pageSetUpPr fitToPage="1"/>
  </sheetPr>
  <dimension ref="A1:V612"/>
  <sheetViews>
    <sheetView zoomScale="85" zoomScaleNormal="85" workbookViewId="0">
      <pane ySplit="1" topLeftCell="A20" activePane="bottomLeft" state="frozen"/>
      <selection pane="bottomLeft" activeCell="A60" sqref="A60"/>
      <selection activeCell="G23" sqref="G23"/>
    </sheetView>
  </sheetViews>
  <sheetFormatPr defaultColWidth="9.140625" defaultRowHeight="12.75"/>
  <cols>
    <col min="1" max="1" width="23.28515625" style="133" customWidth="1"/>
    <col min="2" max="2" width="70.140625" style="2" customWidth="1"/>
    <col min="3" max="3" width="14.28515625" style="203" bestFit="1" customWidth="1"/>
    <col min="4" max="8" width="9.7109375" style="2" customWidth="1"/>
    <col min="9" max="10" width="8.7109375" style="117" bestFit="1" customWidth="1"/>
    <col min="11" max="11" width="8.85546875" style="135" customWidth="1"/>
    <col min="12" max="12" width="39.5703125" style="2" bestFit="1" customWidth="1"/>
    <col min="13" max="13" width="11.5703125" style="8" bestFit="1" customWidth="1"/>
    <col min="14" max="14" width="9.85546875" style="8" bestFit="1" customWidth="1"/>
    <col min="15" max="15" width="9.140625" style="8" bestFit="1" customWidth="1"/>
    <col min="16" max="16" width="8.7109375" style="8" bestFit="1" customWidth="1"/>
    <col min="17" max="17" width="21.85546875" style="229" customWidth="1"/>
    <col min="18" max="18" width="129" style="115" customWidth="1"/>
    <col min="19" max="19" width="13.5703125" style="56" bestFit="1" customWidth="1"/>
    <col min="20" max="20" width="9.140625" style="2"/>
    <col min="21" max="21" width="10.5703125" style="2" bestFit="1" customWidth="1"/>
    <col min="22" max="22" width="43" style="2" bestFit="1" customWidth="1"/>
    <col min="23" max="16384" width="9.140625" style="2"/>
  </cols>
  <sheetData>
    <row r="1" spans="1:22" s="56" customFormat="1">
      <c r="A1" s="151" t="s">
        <v>2604</v>
      </c>
      <c r="B1" s="56" t="s">
        <v>15</v>
      </c>
      <c r="C1" s="202" t="s">
        <v>44</v>
      </c>
      <c r="D1" s="56" t="s">
        <v>2605</v>
      </c>
      <c r="E1" s="56" t="s">
        <v>2606</v>
      </c>
      <c r="F1" s="56" t="s">
        <v>2607</v>
      </c>
      <c r="G1" s="56" t="s">
        <v>1748</v>
      </c>
      <c r="H1" s="56" t="s">
        <v>2608</v>
      </c>
      <c r="I1" s="176" t="s">
        <v>16</v>
      </c>
      <c r="J1" s="176" t="s">
        <v>17</v>
      </c>
      <c r="K1" s="151" t="s">
        <v>2609</v>
      </c>
      <c r="L1" s="56" t="s">
        <v>18</v>
      </c>
      <c r="M1" s="118" t="s">
        <v>51</v>
      </c>
      <c r="N1" s="118" t="s">
        <v>20</v>
      </c>
      <c r="O1" s="118" t="s">
        <v>21</v>
      </c>
      <c r="P1" s="118" t="s">
        <v>52</v>
      </c>
      <c r="Q1" s="230" t="s">
        <v>2610</v>
      </c>
      <c r="R1" s="56" t="s">
        <v>1378</v>
      </c>
      <c r="S1" s="145" t="s">
        <v>2611</v>
      </c>
      <c r="T1" s="56" t="s">
        <v>1382</v>
      </c>
      <c r="U1" s="56" t="s">
        <v>1382</v>
      </c>
      <c r="V1" s="56" t="s">
        <v>1382</v>
      </c>
    </row>
    <row r="2" spans="1:22" ht="12.75" customHeight="1">
      <c r="A2" s="247" t="s">
        <v>1164</v>
      </c>
      <c r="B2" s="248" t="s">
        <v>2612</v>
      </c>
      <c r="C2" s="168">
        <v>254.8</v>
      </c>
      <c r="D2" s="5">
        <v>1</v>
      </c>
      <c r="E2" s="5" t="e" cm="1">
        <f t="array" aca="1" ref="E2" ca="1">SUMPRODUCT(SUMIF(INDIRECT("'"&amp;Assemblies[Assy]&amp;"'!"&amp;"C:C"),$A2,(INDIRECT("'"&amp;Assemblies[Assy]&amp;"'!"&amp;"O:O"))))</f>
        <v>#VALUE!</v>
      </c>
      <c r="F2" s="5" t="e">
        <f t="shared" ref="F2:F65" ca="1" si="0">E2/D2</f>
        <v>#VALUE!</v>
      </c>
      <c r="G2" s="5">
        <v>6</v>
      </c>
      <c r="H2" s="2">
        <v>6</v>
      </c>
      <c r="I2" s="117" t="s">
        <v>2613</v>
      </c>
      <c r="J2" s="117" t="s">
        <v>2613</v>
      </c>
      <c r="K2" s="135" t="s">
        <v>1382</v>
      </c>
      <c r="L2" s="2" t="s">
        <v>1382</v>
      </c>
      <c r="M2" s="8" t="s">
        <v>1762</v>
      </c>
      <c r="N2" s="8">
        <v>45001</v>
      </c>
      <c r="O2" s="8">
        <v>45031</v>
      </c>
      <c r="P2" s="8">
        <v>45031</v>
      </c>
      <c r="Q2" s="229">
        <v>54806</v>
      </c>
      <c r="R2" s="115" t="str" cm="1">
        <f t="array" aca="1" ref="R2" ca="1">TRIM(SUBSTITUTE(_xlfn.ARRAYTOTEXT(IFERROR(CONCATENATE(SUMIF(INDIRECT("'"&amp;Assemblies[Assy]&amp;"'!"&amp;"C$5:C1000"), $A2, INDIRECT("'"&amp;Assemblies[Assy]&amp;"'!"&amp;"O$5:O1000")), "x",Assemblies[Assy],".",IF(SUMIF(INDIRECT("'"&amp;Assemblies[Assy]&amp;"'!"&amp;"C$5:C1000"), $A2, INDIRECT("'"&amp;Assemblies[Assy]&amp;"'!"&amp;"A$5:A1000"))=0,NA(),SUMIF(INDIRECT("'"&amp;Assemblies[Assy]&amp;"'!"&amp;"C$5:C1000"), $A2, INDIRECT("'"&amp;Assemblies[Assy]&amp;"'!"&amp;"A$5:A1000")))),"")), " ,", ""))</f>
        <v>,</v>
      </c>
      <c r="S2" s="146">
        <v>45199</v>
      </c>
      <c r="T2" s="2" t="s">
        <v>1382</v>
      </c>
      <c r="U2" s="2" t="s">
        <v>1382</v>
      </c>
      <c r="V2" s="2" t="s">
        <v>1382</v>
      </c>
    </row>
    <row r="3" spans="1:22" ht="12.75" customHeight="1">
      <c r="A3" s="247" t="s">
        <v>1074</v>
      </c>
      <c r="B3" s="161" t="s">
        <v>2614</v>
      </c>
      <c r="C3" s="203">
        <v>262.68</v>
      </c>
      <c r="D3" s="5">
        <v>1</v>
      </c>
      <c r="E3" s="5" t="e" cm="1">
        <f t="array" aca="1" ref="E3" ca="1">SUMPRODUCT(SUMIF(INDIRECT("'"&amp;Assemblies[Assy]&amp;"'!"&amp;"C:C"),$A3,(INDIRECT("'"&amp;Assemblies[Assy]&amp;"'!"&amp;"O:O"))))</f>
        <v>#VALUE!</v>
      </c>
      <c r="F3" s="5" t="e">
        <f t="shared" ca="1" si="0"/>
        <v>#VALUE!</v>
      </c>
      <c r="G3" s="5">
        <v>7</v>
      </c>
      <c r="H3" s="2">
        <v>7</v>
      </c>
      <c r="I3" s="117" t="s">
        <v>2613</v>
      </c>
      <c r="J3" s="117" t="s">
        <v>2613</v>
      </c>
      <c r="K3" s="135" t="s">
        <v>1382</v>
      </c>
      <c r="L3" s="2" t="s">
        <v>1382</v>
      </c>
      <c r="M3" s="8" t="s">
        <v>1762</v>
      </c>
      <c r="N3" s="8">
        <v>45001</v>
      </c>
      <c r="O3" s="8">
        <v>45031</v>
      </c>
      <c r="P3" s="8">
        <v>45031</v>
      </c>
      <c r="Q3" s="229">
        <v>54804</v>
      </c>
      <c r="R3" s="115" t="str" cm="1">
        <f t="array" aca="1" ref="R3" ca="1">TRIM(SUBSTITUTE(_xlfn.ARRAYTOTEXT(IFERROR(CONCATENATE(SUMIF(INDIRECT("'"&amp;Assemblies[Assy]&amp;"'!"&amp;"C$5:C1000"), $A3, INDIRECT("'"&amp;Assemblies[Assy]&amp;"'!"&amp;"O$5:O1000")), "x",Assemblies[Assy],".",IF(SUMIF(INDIRECT("'"&amp;Assemblies[Assy]&amp;"'!"&amp;"C$5:C1000"), $A3, INDIRECT("'"&amp;Assemblies[Assy]&amp;"'!"&amp;"A$5:A1000"))=0,NA(),SUMIF(INDIRECT("'"&amp;Assemblies[Assy]&amp;"'!"&amp;"C$5:C1000"), $A3, INDIRECT("'"&amp;Assemblies[Assy]&amp;"'!"&amp;"A$5:A1000")))),"")), " ,", ""))</f>
        <v>,</v>
      </c>
      <c r="S3" s="56" t="s">
        <v>1382</v>
      </c>
      <c r="T3" s="2" t="s">
        <v>1382</v>
      </c>
      <c r="U3" s="2" t="e">
        <f ca="1">SUM(E2:E829)</f>
        <v>#VALUE!</v>
      </c>
      <c r="V3" s="2" t="e">
        <f ca="1">SUMIF(I:I, "MCM", E:E)</f>
        <v>#VALUE!</v>
      </c>
    </row>
    <row r="4" spans="1:22" ht="12.75" customHeight="1">
      <c r="A4" s="133" t="s">
        <v>1073</v>
      </c>
      <c r="B4" s="22" t="s">
        <v>2615</v>
      </c>
      <c r="C4" s="203">
        <v>68</v>
      </c>
      <c r="D4" s="5">
        <v>1</v>
      </c>
      <c r="E4" s="5" t="e" cm="1">
        <f t="array" aca="1" ref="E4" ca="1">SUMPRODUCT(SUMIF(INDIRECT("'"&amp;Assemblies[Assy]&amp;"'!"&amp;"C:C"),$A4,(INDIRECT("'"&amp;Assemblies[Assy]&amp;"'!"&amp;"O:O"))))</f>
        <v>#VALUE!</v>
      </c>
      <c r="F4" s="5" t="e">
        <f t="shared" ca="1" si="0"/>
        <v>#VALUE!</v>
      </c>
      <c r="G4" s="5">
        <v>7</v>
      </c>
      <c r="H4" s="2">
        <v>7</v>
      </c>
      <c r="I4" s="117" t="s">
        <v>2613</v>
      </c>
      <c r="J4" s="117" t="s">
        <v>2613</v>
      </c>
      <c r="K4" s="135" t="s">
        <v>1382</v>
      </c>
      <c r="L4" s="2" t="s">
        <v>1382</v>
      </c>
      <c r="M4" s="8" t="s">
        <v>1762</v>
      </c>
      <c r="N4" s="8">
        <v>45001</v>
      </c>
      <c r="O4" s="8">
        <v>45031</v>
      </c>
      <c r="P4" s="8">
        <v>45031</v>
      </c>
      <c r="Q4" s="229">
        <v>54804</v>
      </c>
      <c r="R4" s="115" t="str" cm="1">
        <f t="array" aca="1" ref="R4" ca="1">TRIM(SUBSTITUTE(_xlfn.ARRAYTOTEXT(IFERROR(CONCATENATE(SUMIF(INDIRECT("'"&amp;Assemblies[Assy]&amp;"'!"&amp;"C$5:C1000"), $A4, INDIRECT("'"&amp;Assemblies[Assy]&amp;"'!"&amp;"O$5:O1000")), "x",Assemblies[Assy],".",IF(SUMIF(INDIRECT("'"&amp;Assemblies[Assy]&amp;"'!"&amp;"C$5:C1000"), $A4, INDIRECT("'"&amp;Assemblies[Assy]&amp;"'!"&amp;"A$5:A1000"))=0,NA(),SUMIF(INDIRECT("'"&amp;Assemblies[Assy]&amp;"'!"&amp;"C$5:C1000"), $A4, INDIRECT("'"&amp;Assemblies[Assy]&amp;"'!"&amp;"A$5:A1000")))),"")), " ,", ""))</f>
        <v>,</v>
      </c>
      <c r="S4" s="56" t="s">
        <v>1382</v>
      </c>
      <c r="T4" s="2" t="s">
        <v>1382</v>
      </c>
      <c r="U4" s="2" t="s">
        <v>1382</v>
      </c>
      <c r="V4" s="2" t="s">
        <v>1382</v>
      </c>
    </row>
    <row r="5" spans="1:22" ht="12.75" customHeight="1">
      <c r="A5" s="133" t="s">
        <v>1163</v>
      </c>
      <c r="B5" s="2" t="s">
        <v>2616</v>
      </c>
      <c r="C5" s="168">
        <v>98</v>
      </c>
      <c r="D5" s="5">
        <v>1</v>
      </c>
      <c r="E5" s="5" t="e" cm="1">
        <f t="array" aca="1" ref="E5" ca="1">SUMPRODUCT(SUMIF(INDIRECT("'"&amp;Assemblies[Assy]&amp;"'!"&amp;"C:C"),$A5,(INDIRECT("'"&amp;Assemblies[Assy]&amp;"'!"&amp;"O:O"))))</f>
        <v>#VALUE!</v>
      </c>
      <c r="F5" s="5" t="e">
        <f t="shared" ca="1" si="0"/>
        <v>#VALUE!</v>
      </c>
      <c r="G5" s="5">
        <v>3</v>
      </c>
      <c r="H5" s="2">
        <v>3</v>
      </c>
      <c r="I5" s="117" t="s">
        <v>2613</v>
      </c>
      <c r="J5" s="117" t="s">
        <v>2613</v>
      </c>
      <c r="K5" s="135" t="s">
        <v>1382</v>
      </c>
      <c r="L5" s="2" t="s">
        <v>1382</v>
      </c>
      <c r="M5" s="8" t="s">
        <v>1762</v>
      </c>
      <c r="N5" s="8">
        <v>45001</v>
      </c>
      <c r="O5" s="8">
        <v>45031</v>
      </c>
      <c r="P5" s="8">
        <v>45031</v>
      </c>
      <c r="Q5" s="229">
        <v>54809</v>
      </c>
      <c r="R5" s="115" t="str" cm="1">
        <f t="array" aca="1" ref="R5" ca="1">TRIM(SUBSTITUTE(_xlfn.ARRAYTOTEXT(IFERROR(CONCATENATE(SUMIF(INDIRECT("'"&amp;Assemblies[Assy]&amp;"'!"&amp;"C$5:C1000"), $A5, INDIRECT("'"&amp;Assemblies[Assy]&amp;"'!"&amp;"O$5:O1000")), "x",Assemblies[Assy],".",IF(SUMIF(INDIRECT("'"&amp;Assemblies[Assy]&amp;"'!"&amp;"C$5:C1000"), $A5, INDIRECT("'"&amp;Assemblies[Assy]&amp;"'!"&amp;"A$5:A1000"))=0,NA(),SUMIF(INDIRECT("'"&amp;Assemblies[Assy]&amp;"'!"&amp;"C$5:C1000"), $A5, INDIRECT("'"&amp;Assemblies[Assy]&amp;"'!"&amp;"A$5:A1000")))),"")), " ,", ""))</f>
        <v>,</v>
      </c>
      <c r="S5" s="56" t="s">
        <v>1382</v>
      </c>
      <c r="T5" s="2" t="s">
        <v>1382</v>
      </c>
      <c r="U5" s="2" t="s">
        <v>1382</v>
      </c>
      <c r="V5" s="2" t="s">
        <v>1382</v>
      </c>
    </row>
    <row r="6" spans="1:22" ht="12.75" customHeight="1">
      <c r="A6" s="247" t="s">
        <v>1072</v>
      </c>
      <c r="B6" s="161" t="s">
        <v>2617</v>
      </c>
      <c r="C6" s="203">
        <v>4.25</v>
      </c>
      <c r="D6" s="5">
        <v>1</v>
      </c>
      <c r="E6" s="5" t="e" cm="1">
        <f t="array" aca="1" ref="E6" ca="1">SUMPRODUCT(SUMIF(INDIRECT("'"&amp;Assemblies[Assy]&amp;"'!"&amp;"C:C"),$A6,(INDIRECT("'"&amp;Assemblies[Assy]&amp;"'!"&amp;"O:O"))))</f>
        <v>#VALUE!</v>
      </c>
      <c r="F6" s="5" t="e">
        <f t="shared" ca="1" si="0"/>
        <v>#VALUE!</v>
      </c>
      <c r="G6" s="5">
        <v>26</v>
      </c>
      <c r="H6" s="2">
        <v>26</v>
      </c>
      <c r="I6" s="117" t="s">
        <v>2613</v>
      </c>
      <c r="J6" s="117" t="s">
        <v>2613</v>
      </c>
      <c r="K6" s="135" t="s">
        <v>1382</v>
      </c>
      <c r="L6" s="2" t="s">
        <v>1382</v>
      </c>
      <c r="M6" s="8" t="s">
        <v>1762</v>
      </c>
      <c r="N6" s="8">
        <v>45001</v>
      </c>
      <c r="O6" s="8">
        <v>45031</v>
      </c>
      <c r="P6" s="8">
        <v>45031</v>
      </c>
      <c r="Q6" s="229">
        <v>54804</v>
      </c>
      <c r="R6" s="115" t="str" cm="1">
        <f t="array" aca="1" ref="R6" ca="1">TRIM(SUBSTITUTE(_xlfn.ARRAYTOTEXT(IFERROR(CONCATENATE(SUMIF(INDIRECT("'"&amp;Assemblies[Assy]&amp;"'!"&amp;"C$5:C1000"), $A6, INDIRECT("'"&amp;Assemblies[Assy]&amp;"'!"&amp;"O$5:O1000")), "x",Assemblies[Assy],".",IF(SUMIF(INDIRECT("'"&amp;Assemblies[Assy]&amp;"'!"&amp;"C$5:C1000"), $A6, INDIRECT("'"&amp;Assemblies[Assy]&amp;"'!"&amp;"A$5:A1000"))=0,NA(),SUMIF(INDIRECT("'"&amp;Assemblies[Assy]&amp;"'!"&amp;"C$5:C1000"), $A6, INDIRECT("'"&amp;Assemblies[Assy]&amp;"'!"&amp;"A$5:A1000")))),"")), " ,", ""))</f>
        <v>,</v>
      </c>
      <c r="S6" s="56" t="s">
        <v>1382</v>
      </c>
      <c r="T6" s="2" t="s">
        <v>1382</v>
      </c>
      <c r="U6" s="2" t="s">
        <v>1382</v>
      </c>
      <c r="V6" s="2" t="s">
        <v>1382</v>
      </c>
    </row>
    <row r="7" spans="1:22" ht="12.75" customHeight="1">
      <c r="A7" s="247" t="s">
        <v>1165</v>
      </c>
      <c r="B7" s="161" t="s">
        <v>2618</v>
      </c>
      <c r="C7" s="168">
        <v>45.75</v>
      </c>
      <c r="D7" s="5">
        <v>1</v>
      </c>
      <c r="E7" s="5" t="e" cm="1">
        <f t="array" aca="1" ref="E7" ca="1">SUMPRODUCT(SUMIF(INDIRECT("'"&amp;Assemblies[Assy]&amp;"'!"&amp;"C:C"),$A7,(INDIRECT("'"&amp;Assemblies[Assy]&amp;"'!"&amp;"O:O"))))</f>
        <v>#VALUE!</v>
      </c>
      <c r="F7" s="5" t="e">
        <f t="shared" ca="1" si="0"/>
        <v>#VALUE!</v>
      </c>
      <c r="G7" s="5">
        <v>5</v>
      </c>
      <c r="H7" s="2">
        <v>5</v>
      </c>
      <c r="I7" s="117" t="s">
        <v>2613</v>
      </c>
      <c r="J7" s="117" t="s">
        <v>2613</v>
      </c>
      <c r="K7" s="135" t="s">
        <v>1382</v>
      </c>
      <c r="L7" s="2" t="s">
        <v>1382</v>
      </c>
      <c r="M7" s="8" t="s">
        <v>1762</v>
      </c>
      <c r="N7" s="8">
        <v>45001</v>
      </c>
      <c r="O7" s="8">
        <v>45031</v>
      </c>
      <c r="P7" s="8">
        <v>45031</v>
      </c>
      <c r="Q7" s="229">
        <v>54808</v>
      </c>
      <c r="R7" s="115" t="str" cm="1">
        <f t="array" aca="1" ref="R7" ca="1">TRIM(SUBSTITUTE(_xlfn.ARRAYTOTEXT(IFERROR(CONCATENATE(SUMIF(INDIRECT("'"&amp;Assemblies[Assy]&amp;"'!"&amp;"C$5:C1000"), $A7, INDIRECT("'"&amp;Assemblies[Assy]&amp;"'!"&amp;"O$5:O1000")), "x",Assemblies[Assy],".",IF(SUMIF(INDIRECT("'"&amp;Assemblies[Assy]&amp;"'!"&amp;"C$5:C1000"), $A7, INDIRECT("'"&amp;Assemblies[Assy]&amp;"'!"&amp;"A$5:A1000"))=0,NA(),SUMIF(INDIRECT("'"&amp;Assemblies[Assy]&amp;"'!"&amp;"C$5:C1000"), $A7, INDIRECT("'"&amp;Assemblies[Assy]&amp;"'!"&amp;"A$5:A1000")))),"")), " ,", ""))</f>
        <v>,</v>
      </c>
      <c r="S7" s="56" t="s">
        <v>1382</v>
      </c>
      <c r="T7" s="2" t="s">
        <v>1382</v>
      </c>
      <c r="U7" s="2" t="s">
        <v>1382</v>
      </c>
      <c r="V7" s="2" t="s">
        <v>1382</v>
      </c>
    </row>
    <row r="8" spans="1:22" ht="12.75" customHeight="1">
      <c r="A8" s="247" t="s">
        <v>1076</v>
      </c>
      <c r="B8" s="161" t="s">
        <v>2619</v>
      </c>
      <c r="C8" s="168">
        <v>45.75</v>
      </c>
      <c r="D8" s="5">
        <v>1</v>
      </c>
      <c r="E8" s="5" t="e" cm="1">
        <f t="array" aca="1" ref="E8" ca="1">SUMPRODUCT(SUMIF(INDIRECT("'"&amp;Assemblies[Assy]&amp;"'!"&amp;"C:C"),$A8,(INDIRECT("'"&amp;Assemblies[Assy]&amp;"'!"&amp;"O:O"))))</f>
        <v>#VALUE!</v>
      </c>
      <c r="F8" s="5" t="e">
        <f t="shared" ca="1" si="0"/>
        <v>#VALUE!</v>
      </c>
      <c r="G8" s="5">
        <v>21</v>
      </c>
      <c r="H8" s="2">
        <v>21</v>
      </c>
      <c r="I8" s="117" t="s">
        <v>2613</v>
      </c>
      <c r="J8" s="117" t="s">
        <v>2613</v>
      </c>
      <c r="K8" s="135" t="s">
        <v>1382</v>
      </c>
      <c r="L8" s="2" t="s">
        <v>1382</v>
      </c>
      <c r="M8" s="8" t="s">
        <v>1762</v>
      </c>
      <c r="N8" s="8">
        <v>45001</v>
      </c>
      <c r="O8" s="8">
        <v>45031</v>
      </c>
      <c r="P8" s="8">
        <v>45031</v>
      </c>
      <c r="Q8" s="229">
        <v>54807</v>
      </c>
      <c r="R8" s="115" t="str" cm="1">
        <f t="array" aca="1" ref="R8" ca="1">TRIM(SUBSTITUTE(_xlfn.ARRAYTOTEXT(IFERROR(CONCATENATE(SUMIF(INDIRECT("'"&amp;Assemblies[Assy]&amp;"'!"&amp;"C$5:C1000"), $A8, INDIRECT("'"&amp;Assemblies[Assy]&amp;"'!"&amp;"O$5:O1000")), "x",Assemblies[Assy],".",IF(SUMIF(INDIRECT("'"&amp;Assemblies[Assy]&amp;"'!"&amp;"C$5:C1000"), $A8, INDIRECT("'"&amp;Assemblies[Assy]&amp;"'!"&amp;"A$5:A1000"))=0,NA(),SUMIF(INDIRECT("'"&amp;Assemblies[Assy]&amp;"'!"&amp;"C$5:C1000"), $A8, INDIRECT("'"&amp;Assemblies[Assy]&amp;"'!"&amp;"A$5:A1000")))),"")), " ,", ""))</f>
        <v>,</v>
      </c>
      <c r="S8" s="56" t="s">
        <v>1382</v>
      </c>
      <c r="T8" s="2" t="s">
        <v>1382</v>
      </c>
      <c r="U8" s="2" t="s">
        <v>1382</v>
      </c>
      <c r="V8" s="2" t="s">
        <v>1382</v>
      </c>
    </row>
    <row r="9" spans="1:22" ht="12.75" customHeight="1">
      <c r="A9" s="133" t="s">
        <v>792</v>
      </c>
      <c r="B9" s="2" t="s">
        <v>2620</v>
      </c>
      <c r="C9" s="168">
        <v>38785</v>
      </c>
      <c r="D9" s="5">
        <v>1</v>
      </c>
      <c r="E9" s="5" t="e" cm="1">
        <f t="array" aca="1" ref="E9" ca="1">SUMPRODUCT(SUMIF(INDIRECT("'"&amp;Assemblies[Assy]&amp;"'!"&amp;"C:C"),$A9,(INDIRECT("'"&amp;Assemblies[Assy]&amp;"'!"&amp;"O:O"))))</f>
        <v>#VALUE!</v>
      </c>
      <c r="F9" s="5" t="e">
        <f t="shared" ca="1" si="0"/>
        <v>#VALUE!</v>
      </c>
      <c r="G9" s="5">
        <v>1</v>
      </c>
      <c r="H9" s="2">
        <v>1</v>
      </c>
      <c r="I9" s="117" t="s">
        <v>2621</v>
      </c>
      <c r="J9" s="117" t="s">
        <v>2621</v>
      </c>
      <c r="K9" s="135" t="s">
        <v>1382</v>
      </c>
      <c r="L9" s="2" t="s">
        <v>1382</v>
      </c>
      <c r="M9" s="8" t="s">
        <v>1762</v>
      </c>
      <c r="N9" s="8">
        <v>44981</v>
      </c>
      <c r="O9" s="8">
        <v>45117</v>
      </c>
      <c r="P9" s="8">
        <v>45135</v>
      </c>
      <c r="Q9" s="229">
        <v>54758</v>
      </c>
      <c r="R9" s="115" t="str" cm="1">
        <f t="array" aca="1" ref="R9" ca="1">TRIM(SUBSTITUTE(_xlfn.ARRAYTOTEXT(IFERROR(CONCATENATE(SUMIF(INDIRECT("'"&amp;Assemblies[Assy]&amp;"'!"&amp;"C$5:C1000"), $A9, INDIRECT("'"&amp;Assemblies[Assy]&amp;"'!"&amp;"O$5:O1000")), "x",Assemblies[Assy],".",IF(SUMIF(INDIRECT("'"&amp;Assemblies[Assy]&amp;"'!"&amp;"C$5:C1000"), $A9, INDIRECT("'"&amp;Assemblies[Assy]&amp;"'!"&amp;"A$5:A1000"))=0,NA(),SUMIF(INDIRECT("'"&amp;Assemblies[Assy]&amp;"'!"&amp;"C$5:C1000"), $A9, INDIRECT("'"&amp;Assemblies[Assy]&amp;"'!"&amp;"A$5:A1000")))),"")), " ,", ""))</f>
        <v>,</v>
      </c>
      <c r="S9" s="56" t="s">
        <v>1382</v>
      </c>
      <c r="T9" s="2" t="s">
        <v>1382</v>
      </c>
      <c r="U9" s="2" t="s">
        <v>1382</v>
      </c>
      <c r="V9" s="2" t="s">
        <v>1382</v>
      </c>
    </row>
    <row r="10" spans="1:22" ht="12.75" customHeight="1">
      <c r="A10" s="133" t="s">
        <v>1205</v>
      </c>
      <c r="B10" s="2" t="s">
        <v>2622</v>
      </c>
      <c r="C10" s="168">
        <v>34061</v>
      </c>
      <c r="D10" s="5">
        <v>1</v>
      </c>
      <c r="E10" s="5" t="e" cm="1">
        <f t="array" aca="1" ref="E10" ca="1">SUMPRODUCT(SUMIF(INDIRECT("'"&amp;Assemblies[Assy]&amp;"'!"&amp;"C:C"),$A10,(INDIRECT("'"&amp;Assemblies[Assy]&amp;"'!"&amp;"O:O"))))</f>
        <v>#VALUE!</v>
      </c>
      <c r="F10" s="5" t="e">
        <f t="shared" ca="1" si="0"/>
        <v>#VALUE!</v>
      </c>
      <c r="G10" s="5">
        <v>1</v>
      </c>
      <c r="H10" s="2">
        <v>1</v>
      </c>
      <c r="I10" s="117" t="s">
        <v>2621</v>
      </c>
      <c r="J10" s="117" t="s">
        <v>2621</v>
      </c>
      <c r="K10" s="135" t="s">
        <v>1382</v>
      </c>
      <c r="L10" s="2" t="s">
        <v>1382</v>
      </c>
      <c r="M10" s="8" t="s">
        <v>1762</v>
      </c>
      <c r="N10" s="8">
        <v>44981</v>
      </c>
      <c r="O10" s="8">
        <v>45117</v>
      </c>
      <c r="P10" s="8">
        <v>45135</v>
      </c>
      <c r="Q10" s="229">
        <v>54758</v>
      </c>
      <c r="R10" s="115" t="str" cm="1">
        <f t="array" aca="1" ref="R10" ca="1">TRIM(SUBSTITUTE(_xlfn.ARRAYTOTEXT(IFERROR(CONCATENATE(SUMIF(INDIRECT("'"&amp;Assemblies[Assy]&amp;"'!"&amp;"C$5:C1000"), $A10, INDIRECT("'"&amp;Assemblies[Assy]&amp;"'!"&amp;"O$5:O1000")), "x",Assemblies[Assy],".",IF(SUMIF(INDIRECT("'"&amp;Assemblies[Assy]&amp;"'!"&amp;"C$5:C1000"), $A10, INDIRECT("'"&amp;Assemblies[Assy]&amp;"'!"&amp;"A$5:A1000"))=0,NA(),SUMIF(INDIRECT("'"&amp;Assemblies[Assy]&amp;"'!"&amp;"C$5:C1000"), $A10, INDIRECT("'"&amp;Assemblies[Assy]&amp;"'!"&amp;"A$5:A1000")))),"")), " ,", ""))</f>
        <v>,</v>
      </c>
      <c r="S10" s="56" t="s">
        <v>1382</v>
      </c>
      <c r="T10" s="2" t="s">
        <v>1382</v>
      </c>
      <c r="U10" s="2" t="s">
        <v>1382</v>
      </c>
      <c r="V10" s="2" t="s">
        <v>1382</v>
      </c>
    </row>
    <row r="11" spans="1:22" ht="12.75" customHeight="1">
      <c r="A11" s="133" t="s">
        <v>84</v>
      </c>
      <c r="B11" s="2" t="s">
        <v>2623</v>
      </c>
      <c r="C11" s="168"/>
      <c r="D11" s="5">
        <v>1</v>
      </c>
      <c r="E11" s="5" t="e" cm="1">
        <f t="array" aca="1" ref="E11" ca="1">SUMPRODUCT(SUMIF(INDIRECT("'"&amp;Assemblies[Assy]&amp;"'!"&amp;"C:C"),$A11,(INDIRECT("'"&amp;Assemblies[Assy]&amp;"'!"&amp;"O:O"))))</f>
        <v>#VALUE!</v>
      </c>
      <c r="F11" s="5" t="e">
        <f t="shared" ca="1" si="0"/>
        <v>#VALUE!</v>
      </c>
      <c r="G11" s="5"/>
      <c r="I11" s="117" t="s">
        <v>2624</v>
      </c>
      <c r="R11" s="115" t="str" cm="1">
        <f t="array" aca="1" ref="R11" ca="1">TRIM(SUBSTITUTE(_xlfn.ARRAYTOTEXT(IFERROR(CONCATENATE(SUMIF(INDIRECT("'"&amp;Assemblies!$B$2:$B$152&amp;"'!"&amp;"C$5:C1000"), $A11, INDIRECT("'"&amp;Assemblies!$B$2:$B$152&amp;"'!"&amp;"O$5:O1000")), "x",Assemblies!$B$2:$B$152,".",IF(SUMIF(INDIRECT("'"&amp;Assemblies!$B$2:$B$152&amp;"'!"&amp;"C$5:C1000"), $A11, INDIRECT("'"&amp;Assemblies!$B$2:$B$152&amp;"'!"&amp;"A$5:A1000"))=0,NA(),SUMIF(INDIRECT("'"&amp;Assemblies!$B$2:$B$152&amp;"'!"&amp;"C$5:C1000"), $A11, INDIRECT("'"&amp;Assemblies!$B$2:$B$152&amp;"'!"&amp;"A$5:A1000")))),"")), " ,", ""))</f>
        <v>,</v>
      </c>
      <c r="S11" s="56" t="s">
        <v>1382</v>
      </c>
      <c r="T11" s="2" t="s">
        <v>1382</v>
      </c>
      <c r="U11" s="2" t="s">
        <v>1382</v>
      </c>
      <c r="V11" s="2" t="s">
        <v>1382</v>
      </c>
    </row>
    <row r="12" spans="1:22" ht="12.75" customHeight="1">
      <c r="A12" s="133" t="s">
        <v>140</v>
      </c>
      <c r="B12" s="2" t="s">
        <v>2625</v>
      </c>
      <c r="C12" s="168">
        <v>414.17</v>
      </c>
      <c r="D12" s="5">
        <v>1</v>
      </c>
      <c r="E12" s="5" t="e" cm="1">
        <f t="array" aca="1" ref="E12" ca="1">SUMPRODUCT(SUMIF(INDIRECT("'"&amp;Assemblies[Assy]&amp;"'!"&amp;"C:C"),$A12,(INDIRECT("'"&amp;Assemblies[Assy]&amp;"'!"&amp;"O:O"))))</f>
        <v>#VALUE!</v>
      </c>
      <c r="F12" s="5" t="e">
        <f t="shared" ca="1" si="0"/>
        <v>#VALUE!</v>
      </c>
      <c r="G12" s="5">
        <v>6</v>
      </c>
      <c r="H12" s="2">
        <v>6</v>
      </c>
      <c r="I12" s="117" t="s">
        <v>2626</v>
      </c>
      <c r="J12" s="117" t="s">
        <v>2627</v>
      </c>
      <c r="K12" s="135" t="s">
        <v>1382</v>
      </c>
      <c r="L12" s="2" t="s">
        <v>1382</v>
      </c>
      <c r="M12" s="8" t="s">
        <v>1762</v>
      </c>
      <c r="N12" s="8">
        <v>45007</v>
      </c>
      <c r="O12" s="8">
        <v>45037</v>
      </c>
      <c r="P12" s="8">
        <v>45037</v>
      </c>
      <c r="Q12" s="229">
        <v>54818</v>
      </c>
      <c r="R12" s="115" t="str" cm="1">
        <f t="array" aca="1" ref="R12" ca="1">TRIM(SUBSTITUTE(_xlfn.ARRAYTOTEXT(IFERROR(CONCATENATE(SUMIF(INDIRECT("'"&amp;Assemblies[Assy]&amp;"'!"&amp;"C$5:C1000"), $A12, INDIRECT("'"&amp;Assemblies[Assy]&amp;"'!"&amp;"O$5:O1000")), "x",Assemblies[Assy],".",IF(SUMIF(INDIRECT("'"&amp;Assemblies[Assy]&amp;"'!"&amp;"C$5:C1000"), $A12, INDIRECT("'"&amp;Assemblies[Assy]&amp;"'!"&amp;"A$5:A1000"))=0,NA(),SUMIF(INDIRECT("'"&amp;Assemblies[Assy]&amp;"'!"&amp;"C$5:C1000"), $A12, INDIRECT("'"&amp;Assemblies[Assy]&amp;"'!"&amp;"A$5:A1000")))),"")), " ,", ""))</f>
        <v>,</v>
      </c>
      <c r="S12" s="56" t="s">
        <v>1382</v>
      </c>
      <c r="T12" s="2" t="s">
        <v>1382</v>
      </c>
      <c r="U12" s="2" t="s">
        <v>1382</v>
      </c>
      <c r="V12" s="2" t="s">
        <v>1382</v>
      </c>
    </row>
    <row r="13" spans="1:22" ht="12.75" customHeight="1">
      <c r="A13" s="247" t="s">
        <v>143</v>
      </c>
      <c r="B13" s="161" t="s">
        <v>2628</v>
      </c>
      <c r="C13" s="168">
        <v>74.17</v>
      </c>
      <c r="D13" s="5">
        <v>1</v>
      </c>
      <c r="E13" s="5" t="e" cm="1">
        <f t="array" aca="1" ref="E13" ca="1">SUMPRODUCT(SUMIF(INDIRECT("'"&amp;Assemblies[Assy]&amp;"'!"&amp;"C:C"),$A13,(INDIRECT("'"&amp;Assemblies[Assy]&amp;"'!"&amp;"O:O"))))</f>
        <v>#VALUE!</v>
      </c>
      <c r="F13" s="5" t="e">
        <f t="shared" ca="1" si="0"/>
        <v>#VALUE!</v>
      </c>
      <c r="G13" s="5">
        <v>6</v>
      </c>
      <c r="H13" s="2">
        <v>6</v>
      </c>
      <c r="I13" s="117" t="s">
        <v>2626</v>
      </c>
      <c r="J13" s="117" t="s">
        <v>2627</v>
      </c>
      <c r="K13" s="135" t="s">
        <v>1382</v>
      </c>
      <c r="L13" s="2" t="s">
        <v>1382</v>
      </c>
      <c r="M13" s="8" t="s">
        <v>1762</v>
      </c>
      <c r="N13" s="8">
        <v>45084</v>
      </c>
      <c r="O13" s="8">
        <v>45098</v>
      </c>
      <c r="P13" s="8">
        <v>45098</v>
      </c>
      <c r="Q13" s="229">
        <v>54919</v>
      </c>
      <c r="R13" s="115" t="str" cm="1">
        <f t="array" aca="1" ref="R13" ca="1">TRIM(SUBSTITUTE(_xlfn.ARRAYTOTEXT(IFERROR(CONCATENATE(SUMIF(INDIRECT("'"&amp;Assemblies[Assy]&amp;"'!"&amp;"C$5:C1000"), $A13, INDIRECT("'"&amp;Assemblies[Assy]&amp;"'!"&amp;"O$5:O1000")), "x",Assemblies[Assy],".",IF(SUMIF(INDIRECT("'"&amp;Assemblies[Assy]&amp;"'!"&amp;"C$5:C1000"), $A13, INDIRECT("'"&amp;Assemblies[Assy]&amp;"'!"&amp;"A$5:A1000"))=0,NA(),SUMIF(INDIRECT("'"&amp;Assemblies[Assy]&amp;"'!"&amp;"C$5:C1000"), $A13, INDIRECT("'"&amp;Assemblies[Assy]&amp;"'!"&amp;"A$5:A1000")))),"")), " ,", ""))</f>
        <v>,</v>
      </c>
      <c r="S13" s="56" t="s">
        <v>1382</v>
      </c>
      <c r="T13" s="2" t="s">
        <v>1382</v>
      </c>
      <c r="U13" s="2" t="s">
        <v>1382</v>
      </c>
      <c r="V13" s="2" t="s">
        <v>1382</v>
      </c>
    </row>
    <row r="14" spans="1:22" ht="12.75" customHeight="1">
      <c r="A14" s="247" t="s">
        <v>180</v>
      </c>
      <c r="B14" s="161" t="s">
        <v>2629</v>
      </c>
      <c r="C14" s="168">
        <v>369.17</v>
      </c>
      <c r="D14" s="5">
        <v>1</v>
      </c>
      <c r="E14" s="5" t="e" cm="1">
        <f t="array" aca="1" ref="E14" ca="1">SUMPRODUCT(SUMIF(INDIRECT("'"&amp;Assemblies[Assy]&amp;"'!"&amp;"C:C"),$A14,(INDIRECT("'"&amp;Assemblies[Assy]&amp;"'!"&amp;"O:O"))))</f>
        <v>#VALUE!</v>
      </c>
      <c r="F14" s="5" t="e">
        <f t="shared" ca="1" si="0"/>
        <v>#VALUE!</v>
      </c>
      <c r="G14" s="5">
        <v>8</v>
      </c>
      <c r="H14" s="2">
        <v>8</v>
      </c>
      <c r="I14" s="117" t="s">
        <v>2626</v>
      </c>
      <c r="J14" s="117" t="s">
        <v>2627</v>
      </c>
      <c r="K14" s="135" t="s">
        <v>1382</v>
      </c>
      <c r="L14" s="2" t="s">
        <v>1382</v>
      </c>
      <c r="M14" s="8" t="s">
        <v>1762</v>
      </c>
      <c r="N14" s="8">
        <v>45007</v>
      </c>
      <c r="O14" s="8">
        <v>45037</v>
      </c>
      <c r="P14" s="8">
        <v>45037</v>
      </c>
      <c r="Q14" s="229">
        <v>54818</v>
      </c>
      <c r="R14" s="115" t="str" cm="1">
        <f t="array" aca="1" ref="R14" ca="1">TRIM(SUBSTITUTE(_xlfn.ARRAYTOTEXT(IFERROR(CONCATENATE(SUMIF(INDIRECT("'"&amp;Assemblies[Assy]&amp;"'!"&amp;"C$5:C1000"), $A14, INDIRECT("'"&amp;Assemblies[Assy]&amp;"'!"&amp;"O$5:O1000")), "x",Assemblies[Assy],".",IF(SUMIF(INDIRECT("'"&amp;Assemblies[Assy]&amp;"'!"&amp;"C$5:C1000"), $A14, INDIRECT("'"&amp;Assemblies[Assy]&amp;"'!"&amp;"A$5:A1000"))=0,NA(),SUMIF(INDIRECT("'"&amp;Assemblies[Assy]&amp;"'!"&amp;"C$5:C1000"), $A14, INDIRECT("'"&amp;Assemblies[Assy]&amp;"'!"&amp;"A$5:A1000")))),"")), " ,", ""))</f>
        <v>,</v>
      </c>
      <c r="S14" s="56" t="s">
        <v>1382</v>
      </c>
      <c r="T14" s="2" t="s">
        <v>1382</v>
      </c>
      <c r="U14" s="2" t="s">
        <v>1382</v>
      </c>
      <c r="V14" s="2" t="s">
        <v>1382</v>
      </c>
    </row>
    <row r="15" spans="1:22" ht="12.75" customHeight="1">
      <c r="A15" s="247" t="s">
        <v>144</v>
      </c>
      <c r="B15" s="161" t="s">
        <v>2630</v>
      </c>
      <c r="C15" s="168">
        <v>274.55</v>
      </c>
      <c r="D15" s="5">
        <v>1</v>
      </c>
      <c r="E15" s="5" t="e" cm="1">
        <f t="array" aca="1" ref="E15" ca="1">SUMPRODUCT(SUMIF(INDIRECT("'"&amp;Assemblies[Assy]&amp;"'!"&amp;"C:C"),$A15,(INDIRECT("'"&amp;Assemblies[Assy]&amp;"'!"&amp;"O:O"))))</f>
        <v>#VALUE!</v>
      </c>
      <c r="F15" s="5" t="e">
        <f t="shared" ca="1" si="0"/>
        <v>#VALUE!</v>
      </c>
      <c r="G15" s="5">
        <v>3</v>
      </c>
      <c r="H15" s="2">
        <v>3</v>
      </c>
      <c r="I15" s="117" t="s">
        <v>2626</v>
      </c>
      <c r="J15" s="117" t="s">
        <v>2627</v>
      </c>
      <c r="K15" s="135" t="s">
        <v>1382</v>
      </c>
      <c r="L15" s="2" t="s">
        <v>1382</v>
      </c>
      <c r="M15" s="8" t="s">
        <v>1762</v>
      </c>
      <c r="N15" s="8">
        <v>45089</v>
      </c>
      <c r="O15" s="8">
        <v>45106</v>
      </c>
      <c r="P15" s="8">
        <v>45106</v>
      </c>
      <c r="Q15" s="229">
        <v>54929</v>
      </c>
      <c r="R15" s="115" t="str" cm="1">
        <f t="array" aca="1" ref="R15" ca="1">TRIM(SUBSTITUTE(_xlfn.ARRAYTOTEXT(IFERROR(CONCATENATE(SUMIF(INDIRECT("'"&amp;Assemblies[Assy]&amp;"'!"&amp;"C$5:C1000"), $A15, INDIRECT("'"&amp;Assemblies[Assy]&amp;"'!"&amp;"O$5:O1000")), "x",Assemblies[Assy],".",IF(SUMIF(INDIRECT("'"&amp;Assemblies[Assy]&amp;"'!"&amp;"C$5:C1000"), $A15, INDIRECT("'"&amp;Assemblies[Assy]&amp;"'!"&amp;"A$5:A1000"))=0,NA(),SUMIF(INDIRECT("'"&amp;Assemblies[Assy]&amp;"'!"&amp;"C$5:C1000"), $A15, INDIRECT("'"&amp;Assemblies[Assy]&amp;"'!"&amp;"A$5:A1000")))),"")), " ,", ""))</f>
        <v>,</v>
      </c>
      <c r="S15" s="56" t="s">
        <v>1382</v>
      </c>
      <c r="T15" s="2" t="s">
        <v>1382</v>
      </c>
      <c r="U15" s="2" t="s">
        <v>1382</v>
      </c>
      <c r="V15" s="2" t="s">
        <v>1382</v>
      </c>
    </row>
    <row r="16" spans="1:22" ht="12.75" customHeight="1">
      <c r="A16" s="247" t="s">
        <v>2631</v>
      </c>
      <c r="B16" s="161" t="s">
        <v>2632</v>
      </c>
      <c r="C16" s="168">
        <v>269.12</v>
      </c>
      <c r="D16" s="5">
        <v>1</v>
      </c>
      <c r="E16" s="5" cm="1">
        <f t="array" aca="1" ref="E16" ca="1">SUMPRODUCT(SUMIF(INDIRECT("'"&amp;Assemblies[Assy]&amp;"'!"&amp;"C:C"),$A16,(INDIRECT("'"&amp;Assemblies[Assy]&amp;"'!"&amp;"O:O"))))</f>
        <v>0</v>
      </c>
      <c r="F16" s="5">
        <f t="shared" ca="1" si="0"/>
        <v>0</v>
      </c>
      <c r="G16" s="5">
        <v>2</v>
      </c>
      <c r="H16" s="2">
        <v>2</v>
      </c>
      <c r="I16" s="117" t="s">
        <v>2626</v>
      </c>
      <c r="J16" s="117" t="s">
        <v>2627</v>
      </c>
      <c r="K16" s="135" t="s">
        <v>1382</v>
      </c>
      <c r="L16" s="2" t="s">
        <v>1779</v>
      </c>
      <c r="M16" s="8" t="s">
        <v>1762</v>
      </c>
      <c r="N16" s="8">
        <v>45013</v>
      </c>
      <c r="O16" s="8">
        <v>45043</v>
      </c>
      <c r="P16" s="8">
        <v>45043</v>
      </c>
      <c r="Q16" s="229">
        <v>54826</v>
      </c>
      <c r="R16" s="115" t="str" cm="1">
        <f t="array" aca="1" ref="R16" ca="1">TRIM(SUBSTITUTE(_xlfn.ARRAYTOTEXT(IFERROR(CONCATENATE(SUMIF(INDIRECT("'"&amp;Assemblies[Assy]&amp;"'!"&amp;"C$5:C1000"), $A16, INDIRECT("'"&amp;Assemblies[Assy]&amp;"'!"&amp;"O$5:O1000")), "x",Assemblies[Assy],".",IF(SUMIF(INDIRECT("'"&amp;Assemblies[Assy]&amp;"'!"&amp;"C$5:C1000"), $A16, INDIRECT("'"&amp;Assemblies[Assy]&amp;"'!"&amp;"A$5:A1000"))=0,NA(),SUMIF(INDIRECT("'"&amp;Assemblies[Assy]&amp;"'!"&amp;"C$5:C1000"), $A16, INDIRECT("'"&amp;Assemblies[Assy]&amp;"'!"&amp;"A$5:A1000")))),"")), " ,", ""))</f>
        <v>,</v>
      </c>
      <c r="S16" s="56" t="s">
        <v>1382</v>
      </c>
      <c r="T16" s="2" t="s">
        <v>1382</v>
      </c>
      <c r="U16" s="2" t="s">
        <v>1382</v>
      </c>
      <c r="V16" s="2" t="s">
        <v>1382</v>
      </c>
    </row>
    <row r="17" spans="1:22" ht="12.75" hidden="1" customHeight="1">
      <c r="A17" s="133" t="s">
        <v>145</v>
      </c>
      <c r="B17" s="2" t="s">
        <v>2633</v>
      </c>
      <c r="C17" s="168"/>
      <c r="D17" s="5">
        <v>1</v>
      </c>
      <c r="E17" s="5" t="e" cm="1">
        <f t="array" aca="1" ref="E17" ca="1">SUMPRODUCT(SUMIF(INDIRECT("'"&amp;Assemblies[Assy]&amp;"'!"&amp;"C:C"),$A17,(INDIRECT("'"&amp;Assemblies[Assy]&amp;"'!"&amp;"O:O"))))</f>
        <v>#VALUE!</v>
      </c>
      <c r="F17" s="5" t="e">
        <f t="shared" ca="1" si="0"/>
        <v>#VALUE!</v>
      </c>
      <c r="G17" s="5"/>
      <c r="I17" s="117" t="s">
        <v>2634</v>
      </c>
      <c r="J17" s="117" t="s">
        <v>2635</v>
      </c>
      <c r="R17" s="115" t="str" cm="1">
        <f t="array" aca="1" ref="R17" ca="1">TRIM(SUBSTITUTE(_xlfn.ARRAYTOTEXT(IFERROR(CONCATENATE(SUMIF(INDIRECT("'"&amp;Assemblies!$B$2:$B$152&amp;"'!"&amp;"C$5:C1000"), $A17, INDIRECT("'"&amp;Assemblies!$B$2:$B$152&amp;"'!"&amp;"O$5:O1000")), "x",Assemblies!$B$2:$B$152,".",IF(SUMIF(INDIRECT("'"&amp;Assemblies!$B$2:$B$152&amp;"'!"&amp;"C$5:C1000"), $A17, INDIRECT("'"&amp;Assemblies!$B$2:$B$152&amp;"'!"&amp;"A$5:A1000"))=0,NA(),SUMIF(INDIRECT("'"&amp;Assemblies!$B$2:$B$152&amp;"'!"&amp;"C$5:C1000"), $A17, INDIRECT("'"&amp;Assemblies!$B$2:$B$152&amp;"'!"&amp;"A$5:A1000")))),"")), " ,", ""))</f>
        <v>,</v>
      </c>
      <c r="S17" s="56" t="s">
        <v>1382</v>
      </c>
      <c r="T17" s="2" t="s">
        <v>1382</v>
      </c>
      <c r="U17" s="2" t="s">
        <v>1382</v>
      </c>
      <c r="V17" s="2" t="s">
        <v>1382</v>
      </c>
    </row>
    <row r="18" spans="1:22" ht="12.75" customHeight="1">
      <c r="A18" s="247" t="s">
        <v>2636</v>
      </c>
      <c r="B18" s="161" t="s">
        <v>2637</v>
      </c>
      <c r="C18" s="168">
        <v>351.6</v>
      </c>
      <c r="D18" s="5">
        <v>1</v>
      </c>
      <c r="E18" s="5" cm="1">
        <f t="array" aca="1" ref="E18" ca="1">SUMPRODUCT(SUMIF(INDIRECT("'"&amp;Assemblies[Assy]&amp;"'!"&amp;"C:C"),$A18,(INDIRECT("'"&amp;Assemblies[Assy]&amp;"'!"&amp;"O:O"))))</f>
        <v>0</v>
      </c>
      <c r="F18" s="5">
        <f t="shared" ca="1" si="0"/>
        <v>0</v>
      </c>
      <c r="G18" s="5">
        <v>2</v>
      </c>
      <c r="H18" s="2">
        <v>2</v>
      </c>
      <c r="I18" s="117" t="s">
        <v>2626</v>
      </c>
      <c r="J18" s="117" t="s">
        <v>2627</v>
      </c>
      <c r="K18" s="135" t="s">
        <v>1382</v>
      </c>
      <c r="L18" s="2" t="s">
        <v>1779</v>
      </c>
      <c r="M18" s="8" t="s">
        <v>1762</v>
      </c>
      <c r="N18" s="8">
        <v>45096</v>
      </c>
      <c r="O18" s="8">
        <v>45126</v>
      </c>
      <c r="P18" s="8">
        <v>45126</v>
      </c>
      <c r="Q18" s="229">
        <v>54946</v>
      </c>
      <c r="R18" s="115" t="str" cm="1">
        <f t="array" aca="1" ref="R18" ca="1">TRIM(SUBSTITUTE(_xlfn.ARRAYTOTEXT(IFERROR(CONCATENATE(SUMIF(INDIRECT("'"&amp;Assemblies[Assy]&amp;"'!"&amp;"C$5:C1000"), $A18, INDIRECT("'"&amp;Assemblies[Assy]&amp;"'!"&amp;"O$5:O1000")), "x",Assemblies[Assy],".",IF(SUMIF(INDIRECT("'"&amp;Assemblies[Assy]&amp;"'!"&amp;"C$5:C1000"), $A18, INDIRECT("'"&amp;Assemblies[Assy]&amp;"'!"&amp;"A$5:A1000"))=0,NA(),SUMIF(INDIRECT("'"&amp;Assemblies[Assy]&amp;"'!"&amp;"C$5:C1000"), $A18, INDIRECT("'"&amp;Assemblies[Assy]&amp;"'!"&amp;"A$5:A1000")))),"")), " ,", ""))</f>
        <v>,</v>
      </c>
      <c r="S18" s="56" t="s">
        <v>1382</v>
      </c>
      <c r="T18" s="2" t="s">
        <v>1382</v>
      </c>
      <c r="U18" s="2" t="s">
        <v>1382</v>
      </c>
      <c r="V18" s="2" t="s">
        <v>1382</v>
      </c>
    </row>
    <row r="19" spans="1:22" ht="12.75" customHeight="1">
      <c r="A19" s="247" t="s">
        <v>141</v>
      </c>
      <c r="B19" s="161" t="s">
        <v>2638</v>
      </c>
      <c r="C19" s="168">
        <v>85</v>
      </c>
      <c r="D19" s="5">
        <v>1</v>
      </c>
      <c r="E19" s="5" t="e" cm="1">
        <f t="array" aca="1" ref="E19" ca="1">SUMPRODUCT(SUMIF(INDIRECT("'"&amp;Assemblies[Assy]&amp;"'!"&amp;"C:C"),$A19,(INDIRECT("'"&amp;Assemblies[Assy]&amp;"'!"&amp;"O:O"))))</f>
        <v>#VALUE!</v>
      </c>
      <c r="F19" s="5" t="e">
        <f t="shared" ca="1" si="0"/>
        <v>#VALUE!</v>
      </c>
      <c r="G19" s="5">
        <v>20</v>
      </c>
      <c r="H19" s="2">
        <v>20</v>
      </c>
      <c r="I19" s="117" t="s">
        <v>2626</v>
      </c>
      <c r="J19" s="117" t="s">
        <v>2627</v>
      </c>
      <c r="K19" s="135" t="s">
        <v>1382</v>
      </c>
      <c r="L19" s="2" t="s">
        <v>1382</v>
      </c>
      <c r="M19" s="8" t="s">
        <v>1762</v>
      </c>
      <c r="N19" s="8">
        <v>45007</v>
      </c>
      <c r="O19" s="8">
        <v>45037</v>
      </c>
      <c r="P19" s="8">
        <v>45037</v>
      </c>
      <c r="Q19" s="229">
        <v>54818</v>
      </c>
      <c r="R19" s="115" t="str" cm="1">
        <f t="array" aca="1" ref="R19" ca="1">TRIM(SUBSTITUTE(_xlfn.ARRAYTOTEXT(IFERROR(CONCATENATE(SUMIF(INDIRECT("'"&amp;Assemblies[Assy]&amp;"'!"&amp;"C$5:C1000"), $A19, INDIRECT("'"&amp;Assemblies[Assy]&amp;"'!"&amp;"O$5:O1000")), "x",Assemblies[Assy],".",IF(SUMIF(INDIRECT("'"&amp;Assemblies[Assy]&amp;"'!"&amp;"C$5:C1000"), $A19, INDIRECT("'"&amp;Assemblies[Assy]&amp;"'!"&amp;"A$5:A1000"))=0,NA(),SUMIF(INDIRECT("'"&amp;Assemblies[Assy]&amp;"'!"&amp;"C$5:C1000"), $A19, INDIRECT("'"&amp;Assemblies[Assy]&amp;"'!"&amp;"A$5:A1000")))),"")), " ,", ""))</f>
        <v>,</v>
      </c>
      <c r="S19" s="56" t="s">
        <v>1382</v>
      </c>
      <c r="T19" s="2" t="s">
        <v>1382</v>
      </c>
      <c r="U19" s="2" t="s">
        <v>1382</v>
      </c>
      <c r="V19" s="2" t="s">
        <v>1382</v>
      </c>
    </row>
    <row r="20" spans="1:22" ht="12.75" customHeight="1">
      <c r="A20" s="247" t="s">
        <v>142</v>
      </c>
      <c r="B20" s="161" t="s">
        <v>2639</v>
      </c>
      <c r="C20" s="168">
        <v>110.83</v>
      </c>
      <c r="D20" s="5">
        <v>1</v>
      </c>
      <c r="E20" s="5" t="e" cm="1">
        <f t="array" aca="1" ref="E20" ca="1">SUMPRODUCT(SUMIF(INDIRECT("'"&amp;Assemblies[Assy]&amp;"'!"&amp;"C:C"),$A20,(INDIRECT("'"&amp;Assemblies[Assy]&amp;"'!"&amp;"O:O"))))</f>
        <v>#VALUE!</v>
      </c>
      <c r="F20" s="5" t="e">
        <f t="shared" ca="1" si="0"/>
        <v>#VALUE!</v>
      </c>
      <c r="G20" s="5">
        <v>20</v>
      </c>
      <c r="H20" s="2">
        <v>20</v>
      </c>
      <c r="I20" s="117" t="s">
        <v>2626</v>
      </c>
      <c r="J20" s="117" t="s">
        <v>2627</v>
      </c>
      <c r="K20" s="135" t="s">
        <v>1382</v>
      </c>
      <c r="L20" s="2" t="s">
        <v>1382</v>
      </c>
      <c r="M20" s="8" t="s">
        <v>1762</v>
      </c>
      <c r="N20" s="8">
        <v>45007</v>
      </c>
      <c r="O20" s="8">
        <v>45037</v>
      </c>
      <c r="P20" s="8">
        <v>45037</v>
      </c>
      <c r="Q20" s="229">
        <v>54818</v>
      </c>
      <c r="R20" s="115" t="str" cm="1">
        <f t="array" aca="1" ref="R20" ca="1">TRIM(SUBSTITUTE(_xlfn.ARRAYTOTEXT(IFERROR(CONCATENATE(SUMIF(INDIRECT("'"&amp;Assemblies[Assy]&amp;"'!"&amp;"C$5:C1000"), $A20, INDIRECT("'"&amp;Assemblies[Assy]&amp;"'!"&amp;"O$5:O1000")), "x",Assemblies[Assy],".",IF(SUMIF(INDIRECT("'"&amp;Assemblies[Assy]&amp;"'!"&amp;"C$5:C1000"), $A20, INDIRECT("'"&amp;Assemblies[Assy]&amp;"'!"&amp;"A$5:A1000"))=0,NA(),SUMIF(INDIRECT("'"&amp;Assemblies[Assy]&amp;"'!"&amp;"C$5:C1000"), $A20, INDIRECT("'"&amp;Assemblies[Assy]&amp;"'!"&amp;"A$5:A1000")))),"")), " ,", ""))</f>
        <v>,</v>
      </c>
      <c r="S20" s="56" t="s">
        <v>1382</v>
      </c>
      <c r="T20" s="2" t="s">
        <v>1382</v>
      </c>
      <c r="U20" s="2" t="s">
        <v>1382</v>
      </c>
      <c r="V20" s="2" t="s">
        <v>1382</v>
      </c>
    </row>
    <row r="21" spans="1:22" ht="12.75" hidden="1" customHeight="1">
      <c r="A21" s="133" t="s">
        <v>168</v>
      </c>
      <c r="B21" s="2" t="s">
        <v>2640</v>
      </c>
      <c r="C21" s="168"/>
      <c r="D21" s="5">
        <v>1</v>
      </c>
      <c r="E21" s="5" t="e" cm="1">
        <f t="array" aca="1" ref="E21" ca="1">SUMPRODUCT(SUMIF(INDIRECT("'"&amp;Assemblies[Assy]&amp;"'!"&amp;"C:C"),$A21,(INDIRECT("'"&amp;Assemblies[Assy]&amp;"'!"&amp;"O:O"))))</f>
        <v>#VALUE!</v>
      </c>
      <c r="F21" s="5" t="e">
        <f t="shared" ca="1" si="0"/>
        <v>#VALUE!</v>
      </c>
      <c r="G21" s="5"/>
      <c r="I21" s="117" t="s">
        <v>2634</v>
      </c>
      <c r="J21" s="117" t="s">
        <v>2635</v>
      </c>
      <c r="R21" s="115" t="str" cm="1">
        <f t="array" aca="1" ref="R21" ca="1">TRIM(SUBSTITUTE(_xlfn.ARRAYTOTEXT(IFERROR(CONCATENATE(SUMIF(INDIRECT("'"&amp;Assemblies!$B$2:$B$152&amp;"'!"&amp;"C$5:C1000"), $A21, INDIRECT("'"&amp;Assemblies!$B$2:$B$152&amp;"'!"&amp;"O$5:O1000")), "x",Assemblies!$B$2:$B$152,".",IF(SUMIF(INDIRECT("'"&amp;Assemblies!$B$2:$B$152&amp;"'!"&amp;"C$5:C1000"), $A21, INDIRECT("'"&amp;Assemblies!$B$2:$B$152&amp;"'!"&amp;"A$5:A1000"))=0,NA(),SUMIF(INDIRECT("'"&amp;Assemblies!$B$2:$B$152&amp;"'!"&amp;"C$5:C1000"), $A21, INDIRECT("'"&amp;Assemblies!$B$2:$B$152&amp;"'!"&amp;"A$5:A1000")))),"")), " ,", ""))</f>
        <v>,</v>
      </c>
      <c r="S21" s="56" t="s">
        <v>1382</v>
      </c>
      <c r="T21" s="2" t="s">
        <v>1382</v>
      </c>
      <c r="U21" s="2" t="s">
        <v>1382</v>
      </c>
      <c r="V21" s="2" t="s">
        <v>1382</v>
      </c>
    </row>
    <row r="22" spans="1:22" ht="12.75" customHeight="1">
      <c r="A22" s="247" t="s">
        <v>187</v>
      </c>
      <c r="B22" s="161" t="s">
        <v>2641</v>
      </c>
      <c r="C22" s="168">
        <v>27</v>
      </c>
      <c r="D22" s="5">
        <v>1</v>
      </c>
      <c r="E22" s="5" t="e" cm="1">
        <f t="array" aca="1" ref="E22" ca="1">SUMPRODUCT(SUMIF(INDIRECT("'"&amp;Assemblies[Assy]&amp;"'!"&amp;"C:C"),$A22,(INDIRECT("'"&amp;Assemblies[Assy]&amp;"'!"&amp;"O:O"))))</f>
        <v>#VALUE!</v>
      </c>
      <c r="F22" s="5" t="e">
        <f t="shared" ca="1" si="0"/>
        <v>#VALUE!</v>
      </c>
      <c r="G22" s="5">
        <v>20</v>
      </c>
      <c r="H22" s="2">
        <v>20</v>
      </c>
      <c r="I22" s="117" t="s">
        <v>2626</v>
      </c>
      <c r="J22" s="117" t="s">
        <v>2627</v>
      </c>
      <c r="K22" s="135" t="s">
        <v>1382</v>
      </c>
      <c r="L22" s="2" t="s">
        <v>1382</v>
      </c>
      <c r="M22" s="8" t="s">
        <v>1762</v>
      </c>
      <c r="N22" s="8">
        <v>45014</v>
      </c>
      <c r="O22" s="8">
        <v>45044</v>
      </c>
      <c r="P22" s="8">
        <v>45044</v>
      </c>
      <c r="Q22" s="229">
        <v>54828</v>
      </c>
      <c r="R22" s="115" t="str" cm="1">
        <f t="array" aca="1" ref="R22" ca="1">TRIM(SUBSTITUTE(_xlfn.ARRAYTOTEXT(IFERROR(CONCATENATE(SUMIF(INDIRECT("'"&amp;Assemblies[Assy]&amp;"'!"&amp;"C$5:C1000"), $A22, INDIRECT("'"&amp;Assemblies[Assy]&amp;"'!"&amp;"O$5:O1000")), "x",Assemblies[Assy],".",IF(SUMIF(INDIRECT("'"&amp;Assemblies[Assy]&amp;"'!"&amp;"C$5:C1000"), $A22, INDIRECT("'"&amp;Assemblies[Assy]&amp;"'!"&amp;"A$5:A1000"))=0,NA(),SUMIF(INDIRECT("'"&amp;Assemblies[Assy]&amp;"'!"&amp;"C$5:C1000"), $A22, INDIRECT("'"&amp;Assemblies[Assy]&amp;"'!"&amp;"A$5:A1000")))),"")), " ,", ""))</f>
        <v>,</v>
      </c>
      <c r="S22" s="56" t="s">
        <v>1382</v>
      </c>
      <c r="T22" s="2" t="s">
        <v>1382</v>
      </c>
      <c r="U22" s="2" t="s">
        <v>1382</v>
      </c>
      <c r="V22" s="2" t="s">
        <v>1382</v>
      </c>
    </row>
    <row r="23" spans="1:22" ht="12.75" customHeight="1">
      <c r="A23" s="247" t="s">
        <v>593</v>
      </c>
      <c r="B23" s="161" t="s">
        <v>2642</v>
      </c>
      <c r="C23" s="203">
        <v>596.57000000000005</v>
      </c>
      <c r="D23" s="5">
        <v>1</v>
      </c>
      <c r="E23" s="5" t="e" cm="1">
        <f t="array" aca="1" ref="E23" ca="1">SUMPRODUCT(SUMIF(INDIRECT("'"&amp;Assemblies[Assy]&amp;"'!"&amp;"C:C"),$A23,(INDIRECT("'"&amp;Assemblies[Assy]&amp;"'!"&amp;"O:O"))))</f>
        <v>#VALUE!</v>
      </c>
      <c r="F23" s="5" t="e">
        <f t="shared" ca="1" si="0"/>
        <v>#VALUE!</v>
      </c>
      <c r="G23" s="5">
        <v>2</v>
      </c>
      <c r="H23" s="2">
        <v>2</v>
      </c>
      <c r="I23" s="117" t="s">
        <v>2643</v>
      </c>
      <c r="J23" s="117" t="s">
        <v>2644</v>
      </c>
      <c r="K23" s="135" t="s">
        <v>1382</v>
      </c>
      <c r="L23" s="2" t="s">
        <v>1382</v>
      </c>
      <c r="M23" s="8" t="s">
        <v>1762</v>
      </c>
      <c r="N23" s="8">
        <v>45077</v>
      </c>
      <c r="O23" s="8">
        <v>45133</v>
      </c>
      <c r="P23" s="8">
        <v>45133</v>
      </c>
      <c r="Q23" s="229">
        <v>54911</v>
      </c>
      <c r="R23" s="115" t="str" cm="1">
        <f t="array" aca="1" ref="R23" ca="1">TRIM(SUBSTITUTE(_xlfn.ARRAYTOTEXT(IFERROR(CONCATENATE(SUMIF(INDIRECT("'"&amp;Assemblies[Assy]&amp;"'!"&amp;"C$5:C1000"), $A23, INDIRECT("'"&amp;Assemblies[Assy]&amp;"'!"&amp;"O$5:O1000")), "x",Assemblies[Assy],".",IF(SUMIF(INDIRECT("'"&amp;Assemblies[Assy]&amp;"'!"&amp;"C$5:C1000"), $A23, INDIRECT("'"&amp;Assemblies[Assy]&amp;"'!"&amp;"A$5:A1000"))=0,NA(),SUMIF(INDIRECT("'"&amp;Assemblies[Assy]&amp;"'!"&amp;"C$5:C1000"), $A23, INDIRECT("'"&amp;Assemblies[Assy]&amp;"'!"&amp;"A$5:A1000")))),"")), " ,", ""))</f>
        <v>,</v>
      </c>
      <c r="S23" s="56" t="s">
        <v>1382</v>
      </c>
      <c r="T23" s="2" t="s">
        <v>1382</v>
      </c>
      <c r="U23" s="2" t="s">
        <v>1382</v>
      </c>
      <c r="V23" s="2" t="s">
        <v>1382</v>
      </c>
    </row>
    <row r="24" spans="1:22" ht="12.75" customHeight="1">
      <c r="A24" s="247" t="s">
        <v>70</v>
      </c>
      <c r="B24" s="161" t="s">
        <v>2645</v>
      </c>
      <c r="C24" s="168">
        <v>1775.0735999999999</v>
      </c>
      <c r="D24" s="5">
        <v>1</v>
      </c>
      <c r="E24" s="5" t="e" cm="1">
        <f t="array" aca="1" ref="E24" ca="1">SUMPRODUCT(SUMIF(INDIRECT("'"&amp;Assemblies[Assy]&amp;"'!"&amp;"C:C"),$A24,(INDIRECT("'"&amp;Assemblies[Assy]&amp;"'!"&amp;"O:O"))))</f>
        <v>#VALUE!</v>
      </c>
      <c r="F24" s="5" t="e">
        <f t="shared" ca="1" si="0"/>
        <v>#VALUE!</v>
      </c>
      <c r="G24" s="5">
        <v>15</v>
      </c>
      <c r="H24" s="2">
        <v>15</v>
      </c>
      <c r="I24" s="117" t="s">
        <v>2646</v>
      </c>
      <c r="J24" s="117" t="s">
        <v>2647</v>
      </c>
      <c r="K24" s="135" t="s">
        <v>1382</v>
      </c>
      <c r="L24" s="2" t="s">
        <v>1382</v>
      </c>
      <c r="M24" s="8" t="s">
        <v>1762</v>
      </c>
      <c r="N24" s="8">
        <v>44881</v>
      </c>
      <c r="O24" s="8">
        <v>44986</v>
      </c>
      <c r="P24" s="8">
        <v>44986</v>
      </c>
      <c r="Q24" s="229">
        <v>54563</v>
      </c>
      <c r="R24" s="115" t="str" cm="1">
        <f t="array" aca="1" ref="R24" ca="1">TRIM(SUBSTITUTE(_xlfn.ARRAYTOTEXT(IFERROR(CONCATENATE(SUMIF(INDIRECT("'"&amp;Assemblies[Assy]&amp;"'!"&amp;"C$5:C1000"), $A24, INDIRECT("'"&amp;Assemblies[Assy]&amp;"'!"&amp;"O$5:O1000")), "x",Assemblies[Assy],".",IF(SUMIF(INDIRECT("'"&amp;Assemblies[Assy]&amp;"'!"&amp;"C$5:C1000"), $A24, INDIRECT("'"&amp;Assemblies[Assy]&amp;"'!"&amp;"A$5:A1000"))=0,NA(),SUMIF(INDIRECT("'"&amp;Assemblies[Assy]&amp;"'!"&amp;"C$5:C1000"), $A24, INDIRECT("'"&amp;Assemblies[Assy]&amp;"'!"&amp;"A$5:A1000")))),"")), " ,", ""))</f>
        <v>,</v>
      </c>
      <c r="S24" s="56" t="s">
        <v>1382</v>
      </c>
      <c r="T24" s="2" t="s">
        <v>1382</v>
      </c>
      <c r="U24" s="2" t="s">
        <v>1382</v>
      </c>
      <c r="V24" s="2" t="s">
        <v>1382</v>
      </c>
    </row>
    <row r="25" spans="1:22" ht="12.75" customHeight="1">
      <c r="A25" s="247" t="s">
        <v>71</v>
      </c>
      <c r="B25" s="161" t="s">
        <v>2648</v>
      </c>
      <c r="C25" s="168">
        <v>1527.3927000000001</v>
      </c>
      <c r="D25" s="5">
        <v>1</v>
      </c>
      <c r="E25" s="5" t="e" cm="1">
        <f t="array" aca="1" ref="E25" ca="1">SUMPRODUCT(SUMIF(INDIRECT("'"&amp;Assemblies[Assy]&amp;"'!"&amp;"C:C"),$A25,(INDIRECT("'"&amp;Assemblies[Assy]&amp;"'!"&amp;"O:O"))))</f>
        <v>#VALUE!</v>
      </c>
      <c r="F25" s="5" t="e">
        <f t="shared" ca="1" si="0"/>
        <v>#VALUE!</v>
      </c>
      <c r="G25" s="5">
        <v>2</v>
      </c>
      <c r="H25" s="2">
        <v>2</v>
      </c>
      <c r="I25" s="117" t="s">
        <v>2646</v>
      </c>
      <c r="J25" s="117" t="s">
        <v>2647</v>
      </c>
      <c r="K25" s="135" t="s">
        <v>1382</v>
      </c>
      <c r="L25" s="2" t="s">
        <v>1382</v>
      </c>
      <c r="M25" s="8" t="s">
        <v>1762</v>
      </c>
      <c r="N25" s="8">
        <v>44881</v>
      </c>
      <c r="O25" s="8">
        <v>44986</v>
      </c>
      <c r="P25" s="8">
        <v>44986</v>
      </c>
      <c r="Q25" s="229">
        <v>54563</v>
      </c>
      <c r="R25" s="115" t="str" cm="1">
        <f t="array" aca="1" ref="R25" ca="1">TRIM(SUBSTITUTE(_xlfn.ARRAYTOTEXT(IFERROR(CONCATENATE(SUMIF(INDIRECT("'"&amp;Assemblies[Assy]&amp;"'!"&amp;"C$5:C1000"), $A25, INDIRECT("'"&amp;Assemblies[Assy]&amp;"'!"&amp;"O$5:O1000")), "x",Assemblies[Assy],".",IF(SUMIF(INDIRECT("'"&amp;Assemblies[Assy]&amp;"'!"&amp;"C$5:C1000"), $A25, INDIRECT("'"&amp;Assemblies[Assy]&amp;"'!"&amp;"A$5:A1000"))=0,NA(),SUMIF(INDIRECT("'"&amp;Assemblies[Assy]&amp;"'!"&amp;"C$5:C1000"), $A25, INDIRECT("'"&amp;Assemblies[Assy]&amp;"'!"&amp;"A$5:A1000")))),"")), " ,", ""))</f>
        <v>,</v>
      </c>
      <c r="S25" s="56" t="s">
        <v>1382</v>
      </c>
      <c r="T25" s="2" t="s">
        <v>1382</v>
      </c>
      <c r="U25" s="2" t="s">
        <v>1382</v>
      </c>
      <c r="V25" s="2" t="s">
        <v>1382</v>
      </c>
    </row>
    <row r="26" spans="1:22" ht="12.75" customHeight="1">
      <c r="A26" s="247" t="s">
        <v>74</v>
      </c>
      <c r="B26" s="161" t="s">
        <v>2649</v>
      </c>
      <c r="C26" s="168">
        <v>389.38</v>
      </c>
      <c r="D26" s="5">
        <v>1</v>
      </c>
      <c r="E26" s="5" t="e" cm="1">
        <f t="array" aca="1" ref="E26" ca="1">SUMPRODUCT(SUMIF(INDIRECT("'"&amp;Assemblies[Assy]&amp;"'!"&amp;"C:C"),$A26,(INDIRECT("'"&amp;Assemblies[Assy]&amp;"'!"&amp;"O:O"))))</f>
        <v>#VALUE!</v>
      </c>
      <c r="F26" s="5" t="e">
        <f t="shared" ca="1" si="0"/>
        <v>#VALUE!</v>
      </c>
      <c r="G26" s="5">
        <v>4</v>
      </c>
      <c r="H26" s="2">
        <v>4</v>
      </c>
      <c r="I26" s="117" t="s">
        <v>2646</v>
      </c>
      <c r="J26" s="117" t="s">
        <v>2650</v>
      </c>
      <c r="K26" s="135" t="s">
        <v>1382</v>
      </c>
      <c r="L26" s="2" t="s">
        <v>1382</v>
      </c>
      <c r="M26" s="8" t="s">
        <v>1762</v>
      </c>
      <c r="N26" s="8">
        <v>45089</v>
      </c>
      <c r="O26" s="8">
        <v>45096</v>
      </c>
      <c r="P26" s="8">
        <v>45096</v>
      </c>
      <c r="Q26" s="229">
        <v>54933</v>
      </c>
      <c r="R26" s="115" t="str" cm="1">
        <f t="array" aca="1" ref="R26" ca="1">TRIM(SUBSTITUTE(_xlfn.ARRAYTOTEXT(IFERROR(CONCATENATE(SUMIF(INDIRECT("'"&amp;Assemblies[Assy]&amp;"'!"&amp;"C$5:C1000"), $A26, INDIRECT("'"&amp;Assemblies[Assy]&amp;"'!"&amp;"O$5:O1000")), "x",Assemblies[Assy],".",IF(SUMIF(INDIRECT("'"&amp;Assemblies[Assy]&amp;"'!"&amp;"C$5:C1000"), $A26, INDIRECT("'"&amp;Assemblies[Assy]&amp;"'!"&amp;"A$5:A1000"))=0,NA(),SUMIF(INDIRECT("'"&amp;Assemblies[Assy]&amp;"'!"&amp;"C$5:C1000"), $A26, INDIRECT("'"&amp;Assemblies[Assy]&amp;"'!"&amp;"A$5:A1000")))),"")), " ,", ""))</f>
        <v>,</v>
      </c>
      <c r="S26" s="56" t="s">
        <v>1382</v>
      </c>
      <c r="T26" s="2" t="s">
        <v>1382</v>
      </c>
      <c r="U26" s="2" t="s">
        <v>1382</v>
      </c>
      <c r="V26" s="2" t="s">
        <v>1382</v>
      </c>
    </row>
    <row r="27" spans="1:22" ht="12.75" customHeight="1">
      <c r="A27" s="133" t="s">
        <v>75</v>
      </c>
      <c r="B27" s="2" t="s">
        <v>2651</v>
      </c>
      <c r="C27" s="168">
        <v>1233.1842999999999</v>
      </c>
      <c r="D27" s="5">
        <v>1</v>
      </c>
      <c r="E27" s="5" t="e" cm="1">
        <f t="array" aca="1" ref="E27" ca="1">SUMPRODUCT(SUMIF(INDIRECT("'"&amp;Assemblies[Assy]&amp;"'!"&amp;"C:C"),$A27,(INDIRECT("'"&amp;Assemblies[Assy]&amp;"'!"&amp;"O:O"))))</f>
        <v>#VALUE!</v>
      </c>
      <c r="F27" s="5" t="e">
        <f t="shared" ca="1" si="0"/>
        <v>#VALUE!</v>
      </c>
      <c r="G27" s="5">
        <v>2</v>
      </c>
      <c r="H27" s="2">
        <v>2</v>
      </c>
      <c r="I27" s="117" t="s">
        <v>2646</v>
      </c>
      <c r="J27" s="117" t="s">
        <v>2647</v>
      </c>
      <c r="K27" s="135" t="s">
        <v>1382</v>
      </c>
      <c r="L27" s="2" t="s">
        <v>2652</v>
      </c>
      <c r="M27" s="8" t="s">
        <v>1762</v>
      </c>
      <c r="N27" s="8">
        <v>45089</v>
      </c>
      <c r="O27" s="8">
        <v>45105</v>
      </c>
      <c r="P27" s="8">
        <v>45105</v>
      </c>
      <c r="Q27" s="229" t="s">
        <v>2653</v>
      </c>
      <c r="R27" s="115" t="str" cm="1">
        <f t="array" aca="1" ref="R27" ca="1">TRIM(SUBSTITUTE(_xlfn.ARRAYTOTEXT(IFERROR(CONCATENATE(SUMIF(INDIRECT("'"&amp;Assemblies[Assy]&amp;"'!"&amp;"C$5:C1000"), $A27, INDIRECT("'"&amp;Assemblies[Assy]&amp;"'!"&amp;"O$5:O1000")), "x",Assemblies[Assy],".",IF(SUMIF(INDIRECT("'"&amp;Assemblies[Assy]&amp;"'!"&amp;"C$5:C1000"), $A27, INDIRECT("'"&amp;Assemblies[Assy]&amp;"'!"&amp;"A$5:A1000"))=0,NA(),SUMIF(INDIRECT("'"&amp;Assemblies[Assy]&amp;"'!"&amp;"C$5:C1000"), $A27, INDIRECT("'"&amp;Assemblies[Assy]&amp;"'!"&amp;"A$5:A1000")))),"")), " ,", ""))</f>
        <v>,</v>
      </c>
      <c r="S27" s="56" t="s">
        <v>1382</v>
      </c>
      <c r="T27" s="2" t="s">
        <v>1382</v>
      </c>
      <c r="U27" s="2" t="s">
        <v>1382</v>
      </c>
      <c r="V27" s="2" t="s">
        <v>1382</v>
      </c>
    </row>
    <row r="28" spans="1:22" ht="12.75" customHeight="1">
      <c r="A28" s="133" t="s">
        <v>72</v>
      </c>
      <c r="B28" s="2" t="s">
        <v>2654</v>
      </c>
      <c r="C28" s="168">
        <v>325</v>
      </c>
      <c r="D28" s="5">
        <v>1</v>
      </c>
      <c r="E28" s="5" t="e" cm="1">
        <f t="array" aca="1" ref="E28" ca="1">SUMPRODUCT(SUMIF(INDIRECT("'"&amp;Assemblies[Assy]&amp;"'!"&amp;"C:C"),$A28,(INDIRECT("'"&amp;Assemblies[Assy]&amp;"'!"&amp;"O:O"))))</f>
        <v>#VALUE!</v>
      </c>
      <c r="F28" s="5" t="e">
        <f t="shared" ca="1" si="0"/>
        <v>#VALUE!</v>
      </c>
      <c r="G28" s="5">
        <v>1</v>
      </c>
      <c r="H28" s="2">
        <v>1</v>
      </c>
      <c r="I28" s="117" t="s">
        <v>2646</v>
      </c>
      <c r="J28" s="117" t="s">
        <v>2655</v>
      </c>
      <c r="K28" s="135" t="s">
        <v>1382</v>
      </c>
      <c r="L28" s="2" t="s">
        <v>1382</v>
      </c>
      <c r="M28" s="8" t="s">
        <v>1762</v>
      </c>
      <c r="N28" s="8">
        <v>45012</v>
      </c>
      <c r="O28" s="8">
        <v>45016</v>
      </c>
      <c r="P28" s="8">
        <v>45016</v>
      </c>
      <c r="Q28" s="229">
        <v>54822</v>
      </c>
      <c r="R28" s="115" t="str" cm="1">
        <f t="array" aca="1" ref="R28" ca="1">TRIM(SUBSTITUTE(_xlfn.ARRAYTOTEXT(IFERROR(CONCATENATE(SUMIF(INDIRECT("'"&amp;Assemblies[Assy]&amp;"'!"&amp;"C$5:C1000"), $A28, INDIRECT("'"&amp;Assemblies[Assy]&amp;"'!"&amp;"O$5:O1000")), "x",Assemblies[Assy],".",IF(SUMIF(INDIRECT("'"&amp;Assemblies[Assy]&amp;"'!"&amp;"C$5:C1000"), $A28, INDIRECT("'"&amp;Assemblies[Assy]&amp;"'!"&amp;"A$5:A1000"))=0,NA(),SUMIF(INDIRECT("'"&amp;Assemblies[Assy]&amp;"'!"&amp;"C$5:C1000"), $A28, INDIRECT("'"&amp;Assemblies[Assy]&amp;"'!"&amp;"A$5:A1000")))),"")), " ,", ""))</f>
        <v>,</v>
      </c>
      <c r="S28" s="56" t="s">
        <v>1382</v>
      </c>
      <c r="T28" s="2" t="s">
        <v>1382</v>
      </c>
      <c r="U28" s="2" t="s">
        <v>1382</v>
      </c>
      <c r="V28" s="2" t="s">
        <v>1382</v>
      </c>
    </row>
    <row r="29" spans="1:22" ht="12.75" customHeight="1">
      <c r="A29" s="133" t="s">
        <v>73</v>
      </c>
      <c r="B29" s="2" t="s">
        <v>2656</v>
      </c>
      <c r="C29" s="168">
        <v>4261.5113000000001</v>
      </c>
      <c r="D29" s="5">
        <v>1</v>
      </c>
      <c r="E29" s="5" t="e" cm="1">
        <f t="array" aca="1" ref="E29" ca="1">SUMPRODUCT(SUMIF(INDIRECT("'"&amp;Assemblies[Assy]&amp;"'!"&amp;"C:C"),$A29,(INDIRECT("'"&amp;Assemblies[Assy]&amp;"'!"&amp;"O:O"))))</f>
        <v>#VALUE!</v>
      </c>
      <c r="F29" s="5" t="e">
        <f t="shared" ca="1" si="0"/>
        <v>#VALUE!</v>
      </c>
      <c r="G29" s="5">
        <v>1</v>
      </c>
      <c r="H29" s="2">
        <v>1</v>
      </c>
      <c r="I29" s="117" t="s">
        <v>2646</v>
      </c>
      <c r="J29" s="117" t="s">
        <v>2647</v>
      </c>
      <c r="K29" s="135" t="s">
        <v>1382</v>
      </c>
      <c r="L29" s="2" t="s">
        <v>1382</v>
      </c>
      <c r="M29" s="8" t="s">
        <v>1762</v>
      </c>
      <c r="N29" s="8">
        <v>45061</v>
      </c>
      <c r="O29" s="8">
        <v>45114</v>
      </c>
      <c r="P29" s="8">
        <v>45114</v>
      </c>
      <c r="Q29" s="229">
        <v>54893</v>
      </c>
      <c r="R29" s="115" t="str" cm="1">
        <f t="array" aca="1" ref="R29" ca="1">TRIM(SUBSTITUTE(_xlfn.ARRAYTOTEXT(IFERROR(CONCATENATE(SUMIF(INDIRECT("'"&amp;Assemblies[Assy]&amp;"'!"&amp;"C$5:C1000"), $A29, INDIRECT("'"&amp;Assemblies[Assy]&amp;"'!"&amp;"O$5:O1000")), "x",Assemblies[Assy],".",IF(SUMIF(INDIRECT("'"&amp;Assemblies[Assy]&amp;"'!"&amp;"C$5:C1000"), $A29, INDIRECT("'"&amp;Assemblies[Assy]&amp;"'!"&amp;"A$5:A1000"))=0,NA(),SUMIF(INDIRECT("'"&amp;Assemblies[Assy]&amp;"'!"&amp;"C$5:C1000"), $A29, INDIRECT("'"&amp;Assemblies[Assy]&amp;"'!"&amp;"A$5:A1000")))),"")), " ,", ""))</f>
        <v>,</v>
      </c>
      <c r="S29" s="56" t="s">
        <v>1382</v>
      </c>
      <c r="T29" s="2" t="s">
        <v>1382</v>
      </c>
      <c r="U29" s="2" t="s">
        <v>1382</v>
      </c>
      <c r="V29" s="2" t="s">
        <v>1382</v>
      </c>
    </row>
    <row r="30" spans="1:22" ht="12.75" customHeight="1">
      <c r="A30" s="133" t="s">
        <v>673</v>
      </c>
      <c r="B30" s="2" t="s">
        <v>2657</v>
      </c>
      <c r="C30" s="203">
        <v>221.66759999999999</v>
      </c>
      <c r="D30" s="5">
        <v>1</v>
      </c>
      <c r="E30" s="5" t="e" cm="1">
        <f t="array" aca="1" ref="E30" ca="1">SUMPRODUCT(SUMIF(INDIRECT("'"&amp;Assemblies[Assy]&amp;"'!"&amp;"C:C"),$A30,(INDIRECT("'"&amp;Assemblies[Assy]&amp;"'!"&amp;"O:O"))))</f>
        <v>#VALUE!</v>
      </c>
      <c r="F30" s="5" t="e">
        <f t="shared" ca="1" si="0"/>
        <v>#VALUE!</v>
      </c>
      <c r="G30" s="5">
        <v>2</v>
      </c>
      <c r="H30" s="2">
        <v>2</v>
      </c>
      <c r="I30" s="117" t="s">
        <v>2646</v>
      </c>
      <c r="J30" s="117" t="s">
        <v>2647</v>
      </c>
      <c r="K30" s="135" t="s">
        <v>1382</v>
      </c>
      <c r="L30" s="2" t="s">
        <v>2658</v>
      </c>
      <c r="M30" s="8">
        <v>45089</v>
      </c>
      <c r="N30" s="8">
        <v>45092</v>
      </c>
      <c r="O30" s="8">
        <v>45139</v>
      </c>
      <c r="P30" s="8">
        <v>45155</v>
      </c>
      <c r="Q30" s="229">
        <v>54940</v>
      </c>
      <c r="R30" s="115" t="str" cm="1">
        <f t="array" aca="1" ref="R30" ca="1">TRIM(SUBSTITUTE(_xlfn.ARRAYTOTEXT(IFERROR(CONCATENATE(SUMIF(INDIRECT("'"&amp;Assemblies[Assy]&amp;"'!"&amp;"C$5:C1000"), $A30, INDIRECT("'"&amp;Assemblies[Assy]&amp;"'!"&amp;"O$5:O1000")), "x",Assemblies[Assy],".",IF(SUMIF(INDIRECT("'"&amp;Assemblies[Assy]&amp;"'!"&amp;"C$5:C1000"), $A30, INDIRECT("'"&amp;Assemblies[Assy]&amp;"'!"&amp;"A$5:A1000"))=0,NA(),SUMIF(INDIRECT("'"&amp;Assemblies[Assy]&amp;"'!"&amp;"C$5:C1000"), $A30, INDIRECT("'"&amp;Assemblies[Assy]&amp;"'!"&amp;"A$5:A1000")))),"")), " ,", ""))</f>
        <v>,</v>
      </c>
      <c r="S30" s="56" t="s">
        <v>1382</v>
      </c>
      <c r="T30" s="2" t="s">
        <v>1382</v>
      </c>
      <c r="U30" s="2" t="s">
        <v>1382</v>
      </c>
      <c r="V30" s="2" t="s">
        <v>1382</v>
      </c>
    </row>
    <row r="31" spans="1:22" ht="12.75" customHeight="1">
      <c r="A31" s="133" t="s">
        <v>419</v>
      </c>
      <c r="B31" s="2" t="s">
        <v>2659</v>
      </c>
      <c r="C31" s="203">
        <v>183.85980000000001</v>
      </c>
      <c r="D31" s="5">
        <v>1</v>
      </c>
      <c r="E31" s="5" t="e" cm="1">
        <f t="array" aca="1" ref="E31" ca="1">SUMPRODUCT(SUMIF(INDIRECT("'"&amp;Assemblies[Assy]&amp;"'!"&amp;"C:C"),$A31,(INDIRECT("'"&amp;Assemblies[Assy]&amp;"'!"&amp;"O:O"))))</f>
        <v>#VALUE!</v>
      </c>
      <c r="F31" s="5" t="e">
        <f t="shared" ca="1" si="0"/>
        <v>#VALUE!</v>
      </c>
      <c r="G31" s="5">
        <v>5</v>
      </c>
      <c r="H31" s="2">
        <v>5</v>
      </c>
      <c r="I31" s="117" t="s">
        <v>2646</v>
      </c>
      <c r="J31" s="117" t="s">
        <v>2647</v>
      </c>
      <c r="K31" s="135" t="s">
        <v>1382</v>
      </c>
      <c r="L31" s="2" t="s">
        <v>2660</v>
      </c>
      <c r="M31" s="8">
        <v>45089</v>
      </c>
      <c r="N31" s="8">
        <v>45092</v>
      </c>
      <c r="O31" s="8">
        <v>45139</v>
      </c>
      <c r="P31" s="8">
        <v>45155</v>
      </c>
      <c r="Q31" s="229">
        <v>54940</v>
      </c>
      <c r="R31" s="115" t="str" cm="1">
        <f t="array" aca="1" ref="R31" ca="1">TRIM(SUBSTITUTE(_xlfn.ARRAYTOTEXT(IFERROR(CONCATENATE(SUMIF(INDIRECT("'"&amp;Assemblies[Assy]&amp;"'!"&amp;"C$5:C1000"), $A31, INDIRECT("'"&amp;Assemblies[Assy]&amp;"'!"&amp;"O$5:O1000")), "x",Assemblies[Assy],".",IF(SUMIF(INDIRECT("'"&amp;Assemblies[Assy]&amp;"'!"&amp;"C$5:C1000"), $A31, INDIRECT("'"&amp;Assemblies[Assy]&amp;"'!"&amp;"A$5:A1000"))=0,NA(),SUMIF(INDIRECT("'"&amp;Assemblies[Assy]&amp;"'!"&amp;"C$5:C1000"), $A31, INDIRECT("'"&amp;Assemblies[Assy]&amp;"'!"&amp;"A$5:A1000")))),"")), " ,", ""))</f>
        <v>,</v>
      </c>
      <c r="S31" s="56" t="s">
        <v>1382</v>
      </c>
      <c r="T31" s="2" t="s">
        <v>1382</v>
      </c>
      <c r="U31" s="2" t="s">
        <v>1382</v>
      </c>
      <c r="V31" s="2" t="s">
        <v>1382</v>
      </c>
    </row>
    <row r="32" spans="1:22" ht="12.75" customHeight="1">
      <c r="A32" s="133" t="s">
        <v>1099</v>
      </c>
      <c r="B32" s="2" t="s">
        <v>2661</v>
      </c>
      <c r="C32" s="203">
        <v>475.95030000000003</v>
      </c>
      <c r="D32" s="5">
        <v>1</v>
      </c>
      <c r="E32" s="5" t="e" cm="1">
        <f t="array" aca="1" ref="E32" ca="1">SUMPRODUCT(SUMIF(INDIRECT("'"&amp;Assemblies[Assy]&amp;"'!"&amp;"C:C"),$A32,(INDIRECT("'"&amp;Assemblies[Assy]&amp;"'!"&amp;"O:O"))))</f>
        <v>#VALUE!</v>
      </c>
      <c r="F32" s="5" t="e">
        <f t="shared" ca="1" si="0"/>
        <v>#VALUE!</v>
      </c>
      <c r="G32" s="5">
        <v>0</v>
      </c>
      <c r="H32" s="2">
        <v>4</v>
      </c>
      <c r="I32" s="117" t="s">
        <v>2646</v>
      </c>
      <c r="J32" s="117" t="s">
        <v>2647</v>
      </c>
      <c r="K32" s="135" t="s">
        <v>1382</v>
      </c>
      <c r="L32" s="2" t="s">
        <v>2662</v>
      </c>
      <c r="M32" s="8" t="s">
        <v>2663</v>
      </c>
      <c r="N32" s="8" t="s">
        <v>2663</v>
      </c>
      <c r="O32" s="8" t="s">
        <v>2663</v>
      </c>
      <c r="P32" s="8">
        <v>45155</v>
      </c>
      <c r="Q32" s="229" t="s">
        <v>2663</v>
      </c>
      <c r="R32" s="115" t="str" cm="1">
        <f t="array" aca="1" ref="R32" ca="1">TRIM(SUBSTITUTE(_xlfn.ARRAYTOTEXT(IFERROR(CONCATENATE(SUMIF(INDIRECT("'"&amp;Assemblies[Assy]&amp;"'!"&amp;"C$5:C1000"), $A32, INDIRECT("'"&amp;Assemblies[Assy]&amp;"'!"&amp;"O$5:O1000")), "x",Assemblies[Assy],".",IF(SUMIF(INDIRECT("'"&amp;Assemblies[Assy]&amp;"'!"&amp;"C$5:C1000"), $A32, INDIRECT("'"&amp;Assemblies[Assy]&amp;"'!"&amp;"A$5:A1000"))=0,NA(),SUMIF(INDIRECT("'"&amp;Assemblies[Assy]&amp;"'!"&amp;"C$5:C1000"), $A32, INDIRECT("'"&amp;Assemblies[Assy]&amp;"'!"&amp;"A$5:A1000")))),"")), " ,", ""))</f>
        <v>,</v>
      </c>
      <c r="S32" s="56" t="s">
        <v>1382</v>
      </c>
      <c r="T32" s="2" t="s">
        <v>1382</v>
      </c>
      <c r="U32" s="2" t="s">
        <v>1382</v>
      </c>
      <c r="V32" s="2" t="s">
        <v>1382</v>
      </c>
    </row>
    <row r="33" spans="1:22" ht="12.75" customHeight="1">
      <c r="A33" s="133" t="s">
        <v>1064</v>
      </c>
      <c r="B33" s="2" t="s">
        <v>2664</v>
      </c>
      <c r="C33" s="203">
        <v>475.95030000000003</v>
      </c>
      <c r="D33" s="5">
        <v>1</v>
      </c>
      <c r="E33" s="5" t="e" cm="1">
        <f t="array" aca="1" ref="E33" ca="1">SUMPRODUCT(SUMIF(INDIRECT("'"&amp;Assemblies[Assy]&amp;"'!"&amp;"C:C"),$A33,(INDIRECT("'"&amp;Assemblies[Assy]&amp;"'!"&amp;"O:O"))))</f>
        <v>#VALUE!</v>
      </c>
      <c r="F33" s="5" t="e">
        <f t="shared" ca="1" si="0"/>
        <v>#VALUE!</v>
      </c>
      <c r="G33" s="5">
        <v>2</v>
      </c>
      <c r="H33" s="2">
        <v>6</v>
      </c>
      <c r="I33" s="117" t="s">
        <v>2646</v>
      </c>
      <c r="J33" s="117" t="s">
        <v>2647</v>
      </c>
      <c r="K33" s="135" t="s">
        <v>1382</v>
      </c>
      <c r="L33" s="2" t="s">
        <v>2665</v>
      </c>
      <c r="M33" s="8">
        <v>45089</v>
      </c>
      <c r="N33" s="8">
        <v>45092</v>
      </c>
      <c r="O33" s="8">
        <v>45155</v>
      </c>
      <c r="P33" s="8">
        <v>45155</v>
      </c>
      <c r="Q33" s="229" t="s">
        <v>2666</v>
      </c>
      <c r="R33" s="115" t="str" cm="1">
        <f t="array" aca="1" ref="R33" ca="1">TRIM(SUBSTITUTE(_xlfn.ARRAYTOTEXT(IFERROR(CONCATENATE(SUMIF(INDIRECT("'"&amp;Assemblies[Assy]&amp;"'!"&amp;"C$5:C1000"), $A33, INDIRECT("'"&amp;Assemblies[Assy]&amp;"'!"&amp;"O$5:O1000")), "x",Assemblies[Assy],".",IF(SUMIF(INDIRECT("'"&amp;Assemblies[Assy]&amp;"'!"&amp;"C$5:C1000"), $A33, INDIRECT("'"&amp;Assemblies[Assy]&amp;"'!"&amp;"A$5:A1000"))=0,NA(),SUMIF(INDIRECT("'"&amp;Assemblies[Assy]&amp;"'!"&amp;"C$5:C1000"), $A33, INDIRECT("'"&amp;Assemblies[Assy]&amp;"'!"&amp;"A$5:A1000")))),"")), " ,", ""))</f>
        <v>,</v>
      </c>
      <c r="S33" s="56" t="s">
        <v>1382</v>
      </c>
      <c r="T33" s="2" t="s">
        <v>1382</v>
      </c>
      <c r="U33" s="2" t="s">
        <v>1382</v>
      </c>
      <c r="V33" s="2" t="s">
        <v>1382</v>
      </c>
    </row>
    <row r="34" spans="1:22" ht="12.75" customHeight="1">
      <c r="A34" s="133" t="s">
        <v>418</v>
      </c>
      <c r="B34" s="2" t="s">
        <v>2667</v>
      </c>
      <c r="C34" s="203">
        <v>481.34809999999999</v>
      </c>
      <c r="D34" s="5">
        <v>1</v>
      </c>
      <c r="E34" s="5" t="e" cm="1">
        <f t="array" aca="1" ref="E34" ca="1">SUMPRODUCT(SUMIF(INDIRECT("'"&amp;Assemblies[Assy]&amp;"'!"&amp;"C:C"),$A34,(INDIRECT("'"&amp;Assemblies[Assy]&amp;"'!"&amp;"O:O"))))</f>
        <v>#VALUE!</v>
      </c>
      <c r="F34" s="5" t="e">
        <f t="shared" ca="1" si="0"/>
        <v>#VALUE!</v>
      </c>
      <c r="G34" s="5">
        <v>5</v>
      </c>
      <c r="H34" s="2">
        <v>5</v>
      </c>
      <c r="I34" s="117" t="s">
        <v>2646</v>
      </c>
      <c r="J34" s="117" t="s">
        <v>2647</v>
      </c>
      <c r="K34" s="135" t="s">
        <v>1382</v>
      </c>
      <c r="L34" s="2" t="s">
        <v>2660</v>
      </c>
      <c r="M34" s="8">
        <v>45089</v>
      </c>
      <c r="N34" s="8">
        <v>45092</v>
      </c>
      <c r="O34" s="8">
        <v>45139</v>
      </c>
      <c r="P34" s="8">
        <v>45155</v>
      </c>
      <c r="Q34" s="229">
        <v>54940</v>
      </c>
      <c r="R34" s="115" t="str" cm="1">
        <f t="array" aca="1" ref="R34" ca="1">TRIM(SUBSTITUTE(_xlfn.ARRAYTOTEXT(IFERROR(CONCATENATE(SUMIF(INDIRECT("'"&amp;Assemblies[Assy]&amp;"'!"&amp;"C$5:C1000"), $A34, INDIRECT("'"&amp;Assemblies[Assy]&amp;"'!"&amp;"O$5:O1000")), "x",Assemblies[Assy],".",IF(SUMIF(INDIRECT("'"&amp;Assemblies[Assy]&amp;"'!"&amp;"C$5:C1000"), $A34, INDIRECT("'"&amp;Assemblies[Assy]&amp;"'!"&amp;"A$5:A1000"))=0,NA(),SUMIF(INDIRECT("'"&amp;Assemblies[Assy]&amp;"'!"&amp;"C$5:C1000"), $A34, INDIRECT("'"&amp;Assemblies[Assy]&amp;"'!"&amp;"A$5:A1000")))),"")), " ,", ""))</f>
        <v>,</v>
      </c>
      <c r="S34" s="56" t="s">
        <v>1382</v>
      </c>
      <c r="T34" s="2" t="s">
        <v>1382</v>
      </c>
      <c r="U34" s="2" t="s">
        <v>1382</v>
      </c>
      <c r="V34" s="2" t="s">
        <v>1382</v>
      </c>
    </row>
    <row r="35" spans="1:22" ht="12.75" customHeight="1">
      <c r="A35" s="133" t="s">
        <v>674</v>
      </c>
      <c r="B35" s="2" t="s">
        <v>2668</v>
      </c>
      <c r="C35" s="203">
        <v>595.0829</v>
      </c>
      <c r="D35" s="5">
        <v>1</v>
      </c>
      <c r="E35" s="5" t="e" cm="1">
        <f t="array" aca="1" ref="E35" ca="1">SUMPRODUCT(SUMIF(INDIRECT("'"&amp;Assemblies[Assy]&amp;"'!"&amp;"C:C"),$A35,(INDIRECT("'"&amp;Assemblies[Assy]&amp;"'!"&amp;"O:O"))))</f>
        <v>#VALUE!</v>
      </c>
      <c r="F35" s="5" t="e">
        <f t="shared" ca="1" si="0"/>
        <v>#VALUE!</v>
      </c>
      <c r="G35" s="5">
        <v>2</v>
      </c>
      <c r="H35" s="2">
        <v>2</v>
      </c>
      <c r="I35" s="117" t="s">
        <v>2646</v>
      </c>
      <c r="J35" s="117" t="s">
        <v>2647</v>
      </c>
      <c r="K35" s="135" t="s">
        <v>1382</v>
      </c>
      <c r="L35" s="2" t="s">
        <v>2658</v>
      </c>
      <c r="M35" s="8">
        <v>45089</v>
      </c>
      <c r="N35" s="8">
        <v>45092</v>
      </c>
      <c r="O35" s="8">
        <v>45139</v>
      </c>
      <c r="P35" s="8">
        <v>45155</v>
      </c>
      <c r="Q35" s="229">
        <v>54940</v>
      </c>
      <c r="R35" s="115" t="str" cm="1">
        <f t="array" aca="1" ref="R35" ca="1">TRIM(SUBSTITUTE(_xlfn.ARRAYTOTEXT(IFERROR(CONCATENATE(SUMIF(INDIRECT("'"&amp;Assemblies[Assy]&amp;"'!"&amp;"C$5:C1000"), $A35, INDIRECT("'"&amp;Assemblies[Assy]&amp;"'!"&amp;"O$5:O1000")), "x",Assemblies[Assy],".",IF(SUMIF(INDIRECT("'"&amp;Assemblies[Assy]&amp;"'!"&amp;"C$5:C1000"), $A35, INDIRECT("'"&amp;Assemblies[Assy]&amp;"'!"&amp;"A$5:A1000"))=0,NA(),SUMIF(INDIRECT("'"&amp;Assemblies[Assy]&amp;"'!"&amp;"C$5:C1000"), $A35, INDIRECT("'"&amp;Assemblies[Assy]&amp;"'!"&amp;"A$5:A1000")))),"")), " ,", ""))</f>
        <v>,</v>
      </c>
      <c r="S35" s="56" t="s">
        <v>1382</v>
      </c>
      <c r="T35" s="2" t="s">
        <v>1382</v>
      </c>
      <c r="U35" s="2" t="s">
        <v>1382</v>
      </c>
      <c r="V35" s="2" t="s">
        <v>1382</v>
      </c>
    </row>
    <row r="36" spans="1:22" ht="12.75" customHeight="1">
      <c r="A36" s="247" t="s">
        <v>1343</v>
      </c>
      <c r="B36" s="161" t="s">
        <v>2669</v>
      </c>
      <c r="C36" s="203">
        <v>1474.1541</v>
      </c>
      <c r="D36" s="5">
        <v>1</v>
      </c>
      <c r="E36" s="5" t="e" cm="1">
        <f t="array" aca="1" ref="E36" ca="1">SUMPRODUCT(SUMIF(INDIRECT("'"&amp;Assemblies[Assy]&amp;"'!"&amp;"C:C"),$A36,(INDIRECT("'"&amp;Assemblies[Assy]&amp;"'!"&amp;"O:O"))))</f>
        <v>#VALUE!</v>
      </c>
      <c r="F36" s="5" t="e">
        <f t="shared" ca="1" si="0"/>
        <v>#VALUE!</v>
      </c>
      <c r="G36" s="5">
        <v>2</v>
      </c>
      <c r="H36" s="2">
        <v>2</v>
      </c>
      <c r="I36" s="117" t="s">
        <v>2646</v>
      </c>
      <c r="J36" s="117" t="s">
        <v>2647</v>
      </c>
      <c r="K36" s="135" t="s">
        <v>1382</v>
      </c>
      <c r="L36" s="2" t="s">
        <v>1382</v>
      </c>
      <c r="M36" s="8" t="s">
        <v>1762</v>
      </c>
      <c r="N36" s="8">
        <v>44881</v>
      </c>
      <c r="O36" s="8">
        <v>44986</v>
      </c>
      <c r="P36" s="8">
        <v>44986</v>
      </c>
      <c r="Q36" s="229">
        <v>54563</v>
      </c>
      <c r="R36" s="115" t="str" cm="1">
        <f t="array" aca="1" ref="R36" ca="1">TRIM(SUBSTITUTE(_xlfn.ARRAYTOTEXT(IFERROR(CONCATENATE(SUMIF(INDIRECT("'"&amp;Assemblies[Assy]&amp;"'!"&amp;"C$5:C1000"), $A36, INDIRECT("'"&amp;Assemblies[Assy]&amp;"'!"&amp;"O$5:O1000")), "x",Assemblies[Assy],".",IF(SUMIF(INDIRECT("'"&amp;Assemblies[Assy]&amp;"'!"&amp;"C$5:C1000"), $A36, INDIRECT("'"&amp;Assemblies[Assy]&amp;"'!"&amp;"A$5:A1000"))=0,NA(),SUMIF(INDIRECT("'"&amp;Assemblies[Assy]&amp;"'!"&amp;"C$5:C1000"), $A36, INDIRECT("'"&amp;Assemblies[Assy]&amp;"'!"&amp;"A$5:A1000")))),"")), " ,", ""))</f>
        <v>,</v>
      </c>
      <c r="S36" s="56" t="s">
        <v>1382</v>
      </c>
      <c r="T36" s="2" t="s">
        <v>1382</v>
      </c>
      <c r="U36" s="2" t="s">
        <v>1382</v>
      </c>
      <c r="V36" s="2" t="s">
        <v>1382</v>
      </c>
    </row>
    <row r="37" spans="1:22" ht="12.75" customHeight="1">
      <c r="A37" s="247" t="s">
        <v>1061</v>
      </c>
      <c r="B37" s="161" t="s">
        <v>2670</v>
      </c>
      <c r="C37" s="203">
        <v>2414.9888000000001</v>
      </c>
      <c r="D37" s="5">
        <v>1</v>
      </c>
      <c r="E37" s="5" t="e" cm="1">
        <f t="array" aca="1" ref="E37" ca="1">SUMPRODUCT(SUMIF(INDIRECT("'"&amp;Assemblies[Assy]&amp;"'!"&amp;"C:C"),$A37,(INDIRECT("'"&amp;Assemblies[Assy]&amp;"'!"&amp;"O:O"))))</f>
        <v>#VALUE!</v>
      </c>
      <c r="F37" s="5" t="e">
        <f t="shared" ca="1" si="0"/>
        <v>#VALUE!</v>
      </c>
      <c r="G37" s="5">
        <v>8</v>
      </c>
      <c r="H37" s="2">
        <v>8</v>
      </c>
      <c r="I37" s="117" t="s">
        <v>2646</v>
      </c>
      <c r="J37" s="117" t="s">
        <v>2647</v>
      </c>
      <c r="K37" s="135" t="s">
        <v>1382</v>
      </c>
      <c r="L37" s="2" t="s">
        <v>1382</v>
      </c>
      <c r="M37" s="8" t="s">
        <v>1762</v>
      </c>
      <c r="N37" s="8">
        <v>44881</v>
      </c>
      <c r="O37" s="8">
        <v>44986</v>
      </c>
      <c r="P37" s="8">
        <v>44986</v>
      </c>
      <c r="Q37" s="229">
        <v>54563</v>
      </c>
      <c r="R37" s="115" t="str" cm="1">
        <f t="array" aca="1" ref="R37" ca="1">TRIM(SUBSTITUTE(_xlfn.ARRAYTOTEXT(IFERROR(CONCATENATE(SUMIF(INDIRECT("'"&amp;Assemblies[Assy]&amp;"'!"&amp;"C$5:C1000"), $A37, INDIRECT("'"&amp;Assemblies[Assy]&amp;"'!"&amp;"O$5:O1000")), "x",Assemblies[Assy],".",IF(SUMIF(INDIRECT("'"&amp;Assemblies[Assy]&amp;"'!"&amp;"C$5:C1000"), $A37, INDIRECT("'"&amp;Assemblies[Assy]&amp;"'!"&amp;"A$5:A1000"))=0,NA(),SUMIF(INDIRECT("'"&amp;Assemblies[Assy]&amp;"'!"&amp;"C$5:C1000"), $A37, INDIRECT("'"&amp;Assemblies[Assy]&amp;"'!"&amp;"A$5:A1000")))),"")), " ,", ""))</f>
        <v>,</v>
      </c>
      <c r="S37" s="56" t="s">
        <v>1382</v>
      </c>
      <c r="T37" s="2" t="s">
        <v>1382</v>
      </c>
      <c r="U37" s="2" t="s">
        <v>1382</v>
      </c>
      <c r="V37" s="2" t="s">
        <v>1382</v>
      </c>
    </row>
    <row r="38" spans="1:22" ht="12.75" customHeight="1">
      <c r="A38" s="247" t="s">
        <v>442</v>
      </c>
      <c r="B38" s="161" t="s">
        <v>2671</v>
      </c>
      <c r="C38" s="203">
        <v>3673.3872999999999</v>
      </c>
      <c r="D38" s="5">
        <v>1</v>
      </c>
      <c r="E38" s="5" t="e" cm="1">
        <f t="array" aca="1" ref="E38" ca="1">SUMPRODUCT(SUMIF(INDIRECT("'"&amp;Assemblies[Assy]&amp;"'!"&amp;"C:C"),$A38,(INDIRECT("'"&amp;Assemblies[Assy]&amp;"'!"&amp;"O:O"))))</f>
        <v>#VALUE!</v>
      </c>
      <c r="F38" s="5" t="e">
        <f t="shared" ca="1" si="0"/>
        <v>#VALUE!</v>
      </c>
      <c r="G38" s="5">
        <v>7</v>
      </c>
      <c r="H38" s="2">
        <v>7</v>
      </c>
      <c r="I38" s="117" t="s">
        <v>2646</v>
      </c>
      <c r="J38" s="117" t="s">
        <v>2647</v>
      </c>
      <c r="K38" s="135" t="s">
        <v>1382</v>
      </c>
      <c r="L38" s="2" t="s">
        <v>1382</v>
      </c>
      <c r="M38" s="8" t="s">
        <v>1762</v>
      </c>
      <c r="N38" s="8">
        <v>44881</v>
      </c>
      <c r="O38" s="8">
        <v>44986</v>
      </c>
      <c r="P38" s="8">
        <v>44986</v>
      </c>
      <c r="Q38" s="229">
        <v>54563</v>
      </c>
      <c r="R38" s="115" t="str" cm="1">
        <f t="array" aca="1" ref="R38" ca="1">TRIM(SUBSTITUTE(_xlfn.ARRAYTOTEXT(IFERROR(CONCATENATE(SUMIF(INDIRECT("'"&amp;Assemblies[Assy]&amp;"'!"&amp;"C$5:C1000"), $A38, INDIRECT("'"&amp;Assemblies[Assy]&amp;"'!"&amp;"O$5:O1000")), "x",Assemblies[Assy],".",IF(SUMIF(INDIRECT("'"&amp;Assemblies[Assy]&amp;"'!"&amp;"C$5:C1000"), $A38, INDIRECT("'"&amp;Assemblies[Assy]&amp;"'!"&amp;"A$5:A1000"))=0,NA(),SUMIF(INDIRECT("'"&amp;Assemblies[Assy]&amp;"'!"&amp;"C$5:C1000"), $A38, INDIRECT("'"&amp;Assemblies[Assy]&amp;"'!"&amp;"A$5:A1000")))),"")), " ,", ""))</f>
        <v>,</v>
      </c>
      <c r="S38" s="56" t="s">
        <v>1382</v>
      </c>
      <c r="T38" s="2" t="s">
        <v>1382</v>
      </c>
      <c r="U38" s="2" t="s">
        <v>1382</v>
      </c>
      <c r="V38" s="2" t="s">
        <v>1382</v>
      </c>
    </row>
    <row r="39" spans="1:22" ht="12.75" hidden="1" customHeight="1">
      <c r="A39" s="133" t="s">
        <v>85</v>
      </c>
      <c r="B39" s="2" t="s">
        <v>2672</v>
      </c>
      <c r="C39" s="168"/>
      <c r="D39" s="5">
        <v>1</v>
      </c>
      <c r="E39" s="5" t="e" cm="1">
        <f t="array" aca="1" ref="E39" ca="1">SUMPRODUCT(SUMIF(INDIRECT("'"&amp;Assemblies[Assy]&amp;"'!"&amp;"C:C"),$A39,(INDIRECT("'"&amp;Assemblies[Assy]&amp;"'!"&amp;"O:O"))))</f>
        <v>#VALUE!</v>
      </c>
      <c r="F39" s="5" t="e">
        <f t="shared" ca="1" si="0"/>
        <v>#VALUE!</v>
      </c>
      <c r="G39" s="5"/>
      <c r="I39" s="117" t="s">
        <v>2646</v>
      </c>
      <c r="J39" s="117" t="s">
        <v>2635</v>
      </c>
      <c r="R39" s="115" t="str" cm="1">
        <f t="array" aca="1" ref="R39" ca="1">TRIM(SUBSTITUTE(_xlfn.ARRAYTOTEXT(IFERROR(CONCATENATE(SUMIF(INDIRECT("'"&amp;Assemblies!$B$2:$B$152&amp;"'!"&amp;"C$5:C1000"), $A39, INDIRECT("'"&amp;Assemblies!$B$2:$B$152&amp;"'!"&amp;"O$5:O1000")), "x",Assemblies!$B$2:$B$152,".",IF(SUMIF(INDIRECT("'"&amp;Assemblies!$B$2:$B$152&amp;"'!"&amp;"C$5:C1000"), $A39, INDIRECT("'"&amp;Assemblies!$B$2:$B$152&amp;"'!"&amp;"A$5:A1000"))=0,NA(),SUMIF(INDIRECT("'"&amp;Assemblies!$B$2:$B$152&amp;"'!"&amp;"C$5:C1000"), $A39, INDIRECT("'"&amp;Assemblies!$B$2:$B$152&amp;"'!"&amp;"A$5:A1000")))),"")), " ,", ""))</f>
        <v>,</v>
      </c>
      <c r="S39" s="56" t="s">
        <v>1382</v>
      </c>
      <c r="T39" s="2" t="s">
        <v>1382</v>
      </c>
      <c r="U39" s="2" t="s">
        <v>1382</v>
      </c>
      <c r="V39" s="2" t="s">
        <v>1382</v>
      </c>
    </row>
    <row r="40" spans="1:22" ht="12.75" hidden="1" customHeight="1">
      <c r="A40" s="133" t="s">
        <v>86</v>
      </c>
      <c r="B40" s="2" t="s">
        <v>2673</v>
      </c>
      <c r="C40" s="168"/>
      <c r="D40" s="5">
        <v>1</v>
      </c>
      <c r="E40" s="5" t="e" cm="1">
        <f t="array" aca="1" ref="E40" ca="1">SUMPRODUCT(SUMIF(INDIRECT("'"&amp;Assemblies[Assy]&amp;"'!"&amp;"C:C"),$A40,(INDIRECT("'"&amp;Assemblies[Assy]&amp;"'!"&amp;"O:O"))))</f>
        <v>#VALUE!</v>
      </c>
      <c r="F40" s="5" t="e">
        <f t="shared" ca="1" si="0"/>
        <v>#VALUE!</v>
      </c>
      <c r="G40" s="5"/>
      <c r="I40" s="117" t="s">
        <v>2646</v>
      </c>
      <c r="J40" s="117" t="s">
        <v>2635</v>
      </c>
      <c r="R40" s="115" t="str" cm="1">
        <f t="array" aca="1" ref="R40" ca="1">TRIM(SUBSTITUTE(_xlfn.ARRAYTOTEXT(IFERROR(CONCATENATE(SUMIF(INDIRECT("'"&amp;Assemblies!$B$2:$B$152&amp;"'!"&amp;"C$5:C1000"), $A40, INDIRECT("'"&amp;Assemblies!$B$2:$B$152&amp;"'!"&amp;"O$5:O1000")), "x",Assemblies!$B$2:$B$152,".",IF(SUMIF(INDIRECT("'"&amp;Assemblies!$B$2:$B$152&amp;"'!"&amp;"C$5:C1000"), $A40, INDIRECT("'"&amp;Assemblies!$B$2:$B$152&amp;"'!"&amp;"A$5:A1000"))=0,NA(),SUMIF(INDIRECT("'"&amp;Assemblies!$B$2:$B$152&amp;"'!"&amp;"C$5:C1000"), $A40, INDIRECT("'"&amp;Assemblies!$B$2:$B$152&amp;"'!"&amp;"A$5:A1000")))),"")), " ,", ""))</f>
        <v>,</v>
      </c>
      <c r="S40" s="56" t="s">
        <v>1382</v>
      </c>
      <c r="T40" s="2" t="s">
        <v>1382</v>
      </c>
      <c r="U40" s="2" t="s">
        <v>1382</v>
      </c>
      <c r="V40" s="2" t="s">
        <v>1382</v>
      </c>
    </row>
    <row r="41" spans="1:22" ht="12.75" hidden="1" customHeight="1">
      <c r="A41" s="133" t="s">
        <v>87</v>
      </c>
      <c r="B41" s="2" t="s">
        <v>2674</v>
      </c>
      <c r="C41" s="168"/>
      <c r="D41" s="5">
        <v>1</v>
      </c>
      <c r="E41" s="5" t="e" cm="1">
        <f t="array" aca="1" ref="E41" ca="1">SUMPRODUCT(SUMIF(INDIRECT("'"&amp;Assemblies[Assy]&amp;"'!"&amp;"C:C"),$A41,(INDIRECT("'"&amp;Assemblies[Assy]&amp;"'!"&amp;"O:O"))))</f>
        <v>#VALUE!</v>
      </c>
      <c r="F41" s="5" t="e">
        <f t="shared" ca="1" si="0"/>
        <v>#VALUE!</v>
      </c>
      <c r="G41" s="5"/>
      <c r="I41" s="117" t="s">
        <v>2646</v>
      </c>
      <c r="J41" s="117" t="s">
        <v>2635</v>
      </c>
      <c r="R41" s="115" t="str" cm="1">
        <f t="array" aca="1" ref="R41" ca="1">TRIM(SUBSTITUTE(_xlfn.ARRAYTOTEXT(IFERROR(CONCATENATE(SUMIF(INDIRECT("'"&amp;Assemblies!$B$2:$B$152&amp;"'!"&amp;"C$5:C1000"), $A41, INDIRECT("'"&amp;Assemblies!$B$2:$B$152&amp;"'!"&amp;"O$5:O1000")), "x",Assemblies!$B$2:$B$152,".",IF(SUMIF(INDIRECT("'"&amp;Assemblies!$B$2:$B$152&amp;"'!"&amp;"C$5:C1000"), $A41, INDIRECT("'"&amp;Assemblies!$B$2:$B$152&amp;"'!"&amp;"A$5:A1000"))=0,NA(),SUMIF(INDIRECT("'"&amp;Assemblies!$B$2:$B$152&amp;"'!"&amp;"C$5:C1000"), $A41, INDIRECT("'"&amp;Assemblies!$B$2:$B$152&amp;"'!"&amp;"A$5:A1000")))),"")), " ,", ""))</f>
        <v>,</v>
      </c>
      <c r="S41" s="56" t="s">
        <v>1382</v>
      </c>
      <c r="T41" s="2" t="s">
        <v>1382</v>
      </c>
      <c r="U41" s="2" t="s">
        <v>1382</v>
      </c>
      <c r="V41" s="2" t="s">
        <v>1382</v>
      </c>
    </row>
    <row r="42" spans="1:22" ht="12.75" customHeight="1">
      <c r="A42" s="247" t="s">
        <v>1342</v>
      </c>
      <c r="B42" s="161" t="s">
        <v>2675</v>
      </c>
      <c r="C42" s="203">
        <v>6260.44</v>
      </c>
      <c r="D42" s="5">
        <v>1</v>
      </c>
      <c r="E42" s="5" t="e" cm="1">
        <f t="array" aca="1" ref="E42" ca="1">SUMPRODUCT(SUMIF(INDIRECT("'"&amp;Assemblies[Assy]&amp;"'!"&amp;"C:C"),$A42,(INDIRECT("'"&amp;Assemblies[Assy]&amp;"'!"&amp;"O:O"))))</f>
        <v>#VALUE!</v>
      </c>
      <c r="F42" s="5" t="e">
        <f t="shared" ca="1" si="0"/>
        <v>#VALUE!</v>
      </c>
      <c r="G42" s="5">
        <v>1</v>
      </c>
      <c r="H42" s="2">
        <v>1</v>
      </c>
      <c r="I42" s="117" t="s">
        <v>2676</v>
      </c>
      <c r="J42" s="117" t="s">
        <v>2647</v>
      </c>
      <c r="K42" s="135" t="s">
        <v>1382</v>
      </c>
      <c r="L42" s="2" t="s">
        <v>1382</v>
      </c>
      <c r="M42" s="8" t="s">
        <v>1762</v>
      </c>
      <c r="N42" s="8">
        <v>45000</v>
      </c>
      <c r="O42" s="8">
        <v>45085</v>
      </c>
      <c r="P42" s="8">
        <v>45085</v>
      </c>
      <c r="Q42" s="229">
        <v>54800</v>
      </c>
      <c r="R42" s="115" t="str" cm="1">
        <f t="array" aca="1" ref="R42" ca="1">TRIM(SUBSTITUTE(_xlfn.ARRAYTOTEXT(IFERROR(CONCATENATE(SUMIF(INDIRECT("'"&amp;Assemblies[Assy]&amp;"'!"&amp;"C$5:C1000"), $A42, INDIRECT("'"&amp;Assemblies[Assy]&amp;"'!"&amp;"O$5:O1000")), "x",Assemblies[Assy],".",IF(SUMIF(INDIRECT("'"&amp;Assemblies[Assy]&amp;"'!"&amp;"C$5:C1000"), $A42, INDIRECT("'"&amp;Assemblies[Assy]&amp;"'!"&amp;"A$5:A1000"))=0,NA(),SUMIF(INDIRECT("'"&amp;Assemblies[Assy]&amp;"'!"&amp;"C$5:C1000"), $A42, INDIRECT("'"&amp;Assemblies[Assy]&amp;"'!"&amp;"A$5:A1000")))),"")), " ,", ""))</f>
        <v>,</v>
      </c>
      <c r="S42" s="56" t="s">
        <v>1382</v>
      </c>
      <c r="T42" s="2" t="s">
        <v>1382</v>
      </c>
      <c r="U42" s="2" t="s">
        <v>1382</v>
      </c>
      <c r="V42" s="2" t="s">
        <v>1382</v>
      </c>
    </row>
    <row r="43" spans="1:22" ht="12.75" customHeight="1">
      <c r="A43" s="133" t="s">
        <v>1341</v>
      </c>
      <c r="B43" s="2" t="s">
        <v>2677</v>
      </c>
      <c r="C43" s="168">
        <v>10.4533</v>
      </c>
      <c r="D43" s="5">
        <v>1</v>
      </c>
      <c r="E43" s="5" t="e" cm="1">
        <f t="array" aca="1" ref="E43" ca="1">SUMPRODUCT(SUMIF(INDIRECT("'"&amp;Assemblies[Assy]&amp;"'!"&amp;"C:C"),$A43,(INDIRECT("'"&amp;Assemblies[Assy]&amp;"'!"&amp;"O:O"))))</f>
        <v>#VALUE!</v>
      </c>
      <c r="F43" s="5" t="e">
        <f t="shared" ca="1" si="0"/>
        <v>#VALUE!</v>
      </c>
      <c r="G43" s="5">
        <v>8</v>
      </c>
      <c r="H43" s="2">
        <v>8</v>
      </c>
      <c r="I43" s="117" t="s">
        <v>2676</v>
      </c>
      <c r="J43" s="117" t="s">
        <v>2647</v>
      </c>
      <c r="K43" s="135" t="s">
        <v>1382</v>
      </c>
      <c r="L43" s="2" t="s">
        <v>1382</v>
      </c>
      <c r="M43" s="8" t="s">
        <v>1762</v>
      </c>
      <c r="N43" s="8">
        <v>45162</v>
      </c>
      <c r="O43" s="8">
        <v>45184</v>
      </c>
      <c r="P43" s="8">
        <v>45197</v>
      </c>
      <c r="Q43" s="229">
        <v>55073</v>
      </c>
      <c r="R43" s="115" t="str" cm="1">
        <f t="array" aca="1" ref="R43" ca="1">TRIM(SUBSTITUTE(_xlfn.ARRAYTOTEXT(IFERROR(CONCATENATE(SUMIF(INDIRECT("'"&amp;Assemblies[Assy]&amp;"'!"&amp;"C$5:C1000"), $A43, INDIRECT("'"&amp;Assemblies[Assy]&amp;"'!"&amp;"O$5:O1000")), "x",Assemblies[Assy],".",IF(SUMIF(INDIRECT("'"&amp;Assemblies[Assy]&amp;"'!"&amp;"C$5:C1000"), $A43, INDIRECT("'"&amp;Assemblies[Assy]&amp;"'!"&amp;"A$5:A1000"))=0,NA(),SUMIF(INDIRECT("'"&amp;Assemblies[Assy]&amp;"'!"&amp;"C$5:C1000"), $A43, INDIRECT("'"&amp;Assemblies[Assy]&amp;"'!"&amp;"A$5:A1000")))),"")), " ,", ""))</f>
        <v>,</v>
      </c>
      <c r="S43" s="56" t="s">
        <v>1382</v>
      </c>
      <c r="T43" s="2" t="s">
        <v>1382</v>
      </c>
      <c r="U43" s="2" t="s">
        <v>1382</v>
      </c>
      <c r="V43" s="2" t="s">
        <v>1382</v>
      </c>
    </row>
    <row r="44" spans="1:22" ht="12.75" customHeight="1">
      <c r="A44" s="133" t="s">
        <v>689</v>
      </c>
      <c r="B44" s="2" t="s">
        <v>2678</v>
      </c>
      <c r="C44" s="203">
        <v>365.86399999999998</v>
      </c>
      <c r="D44" s="5">
        <v>1</v>
      </c>
      <c r="E44" s="5" t="e" cm="1">
        <f t="array" aca="1" ref="E44" ca="1">SUMPRODUCT(SUMIF(INDIRECT("'"&amp;Assemblies[Assy]&amp;"'!"&amp;"C:C"),$A44,(INDIRECT("'"&amp;Assemblies[Assy]&amp;"'!"&amp;"O:O"))))</f>
        <v>#VALUE!</v>
      </c>
      <c r="F44" s="5" t="e">
        <f t="shared" ca="1" si="0"/>
        <v>#VALUE!</v>
      </c>
      <c r="G44" s="5">
        <v>4</v>
      </c>
      <c r="H44" s="2">
        <v>4</v>
      </c>
      <c r="I44" s="117" t="s">
        <v>2676</v>
      </c>
      <c r="J44" s="117" t="s">
        <v>2647</v>
      </c>
      <c r="K44" s="135" t="s">
        <v>1382</v>
      </c>
      <c r="L44" s="2" t="s">
        <v>1382</v>
      </c>
      <c r="M44" s="8">
        <v>45093</v>
      </c>
      <c r="N44" s="8">
        <v>45093</v>
      </c>
      <c r="O44" s="8">
        <v>45184</v>
      </c>
      <c r="P44" s="8">
        <v>45184</v>
      </c>
      <c r="Q44" s="229">
        <v>54942</v>
      </c>
      <c r="R44" s="115" t="str" cm="1">
        <f t="array" aca="1" ref="R44" ca="1">TRIM(SUBSTITUTE(_xlfn.ARRAYTOTEXT(IFERROR(CONCATENATE(SUMIF(INDIRECT("'"&amp;Assemblies[Assy]&amp;"'!"&amp;"C$5:C1000"), $A44, INDIRECT("'"&amp;Assemblies[Assy]&amp;"'!"&amp;"O$5:O1000")), "x",Assemblies[Assy],".",IF(SUMIF(INDIRECT("'"&amp;Assemblies[Assy]&amp;"'!"&amp;"C$5:C1000"), $A44, INDIRECT("'"&amp;Assemblies[Assy]&amp;"'!"&amp;"A$5:A1000"))=0,NA(),SUMIF(INDIRECT("'"&amp;Assemblies[Assy]&amp;"'!"&amp;"C$5:C1000"), $A44, INDIRECT("'"&amp;Assemblies[Assy]&amp;"'!"&amp;"A$5:A1000")))),"")), " ,", ""))</f>
        <v>,</v>
      </c>
      <c r="S44" s="56" t="s">
        <v>1382</v>
      </c>
      <c r="T44" s="2" t="s">
        <v>1382</v>
      </c>
      <c r="U44" s="2" t="s">
        <v>1382</v>
      </c>
      <c r="V44" s="2" t="s">
        <v>1382</v>
      </c>
    </row>
    <row r="45" spans="1:22" ht="12.75" customHeight="1">
      <c r="A45" s="133" t="s">
        <v>405</v>
      </c>
      <c r="B45" s="2" t="s">
        <v>2679</v>
      </c>
      <c r="C45" s="203">
        <v>87.938500000000005</v>
      </c>
      <c r="D45" s="5">
        <v>1</v>
      </c>
      <c r="E45" s="5" t="e" cm="1">
        <f t="array" aca="1" ref="E45" ca="1">SUMPRODUCT(SUMIF(INDIRECT("'"&amp;Assemblies[Assy]&amp;"'!"&amp;"C:C"),$A45,(INDIRECT("'"&amp;Assemblies[Assy]&amp;"'!"&amp;"O:O"))))</f>
        <v>#VALUE!</v>
      </c>
      <c r="F45" s="5" t="e">
        <f t="shared" ca="1" si="0"/>
        <v>#VALUE!</v>
      </c>
      <c r="G45" s="5">
        <v>10</v>
      </c>
      <c r="H45" s="2">
        <v>10</v>
      </c>
      <c r="I45" s="117" t="s">
        <v>2676</v>
      </c>
      <c r="J45" s="117" t="s">
        <v>2647</v>
      </c>
      <c r="K45" s="135" t="s">
        <v>1382</v>
      </c>
      <c r="L45" s="2" t="s">
        <v>1382</v>
      </c>
      <c r="M45" s="8">
        <v>45093</v>
      </c>
      <c r="N45" s="8">
        <v>45093</v>
      </c>
      <c r="O45" s="8">
        <v>45184</v>
      </c>
      <c r="P45" s="8">
        <v>45184</v>
      </c>
      <c r="Q45" s="229">
        <v>54942</v>
      </c>
      <c r="R45" s="115" t="str" cm="1">
        <f t="array" aca="1" ref="R45" ca="1">TRIM(SUBSTITUTE(_xlfn.ARRAYTOTEXT(IFERROR(CONCATENATE(SUMIF(INDIRECT("'"&amp;Assemblies[Assy]&amp;"'!"&amp;"C$5:C1000"), $A45, INDIRECT("'"&amp;Assemblies[Assy]&amp;"'!"&amp;"O$5:O1000")), "x",Assemblies[Assy],".",IF(SUMIF(INDIRECT("'"&amp;Assemblies[Assy]&amp;"'!"&amp;"C$5:C1000"), $A45, INDIRECT("'"&amp;Assemblies[Assy]&amp;"'!"&amp;"A$5:A1000"))=0,NA(),SUMIF(INDIRECT("'"&amp;Assemblies[Assy]&amp;"'!"&amp;"C$5:C1000"), $A45, INDIRECT("'"&amp;Assemblies[Assy]&amp;"'!"&amp;"A$5:A1000")))),"")), " ,", ""))</f>
        <v>,</v>
      </c>
      <c r="S45" s="56" t="s">
        <v>1382</v>
      </c>
      <c r="T45" s="2" t="s">
        <v>1382</v>
      </c>
      <c r="U45" s="2" t="s">
        <v>1382</v>
      </c>
      <c r="V45" s="2" t="s">
        <v>1382</v>
      </c>
    </row>
    <row r="46" spans="1:22" ht="12.75" customHeight="1">
      <c r="A46" s="133" t="s">
        <v>584</v>
      </c>
      <c r="B46" s="2" t="s">
        <v>2680</v>
      </c>
      <c r="C46" s="203">
        <v>113.18429999999999</v>
      </c>
      <c r="D46" s="5">
        <v>1</v>
      </c>
      <c r="E46" s="5" t="e" cm="1">
        <f t="array" aca="1" ref="E46" ca="1">SUMPRODUCT(SUMIF(INDIRECT("'"&amp;Assemblies[Assy]&amp;"'!"&amp;"C:C"),$A46,(INDIRECT("'"&amp;Assemblies[Assy]&amp;"'!"&amp;"O:O"))))</f>
        <v>#VALUE!</v>
      </c>
      <c r="F46" s="5" t="e">
        <f t="shared" ca="1" si="0"/>
        <v>#VALUE!</v>
      </c>
      <c r="G46" s="5">
        <v>12</v>
      </c>
      <c r="H46" s="2">
        <v>12</v>
      </c>
      <c r="I46" s="117" t="s">
        <v>2676</v>
      </c>
      <c r="J46" s="117" t="s">
        <v>2647</v>
      </c>
      <c r="K46" s="135" t="s">
        <v>1382</v>
      </c>
      <c r="L46" s="2" t="s">
        <v>1382</v>
      </c>
      <c r="M46" s="8">
        <v>45093</v>
      </c>
      <c r="N46" s="8">
        <v>45093</v>
      </c>
      <c r="O46" s="8">
        <v>45184</v>
      </c>
      <c r="P46" s="8">
        <v>45184</v>
      </c>
      <c r="Q46" s="229">
        <v>54942</v>
      </c>
      <c r="R46" s="115" t="str" cm="1">
        <f t="array" aca="1" ref="R46" ca="1">TRIM(SUBSTITUTE(_xlfn.ARRAYTOTEXT(IFERROR(CONCATENATE(SUMIF(INDIRECT("'"&amp;Assemblies[Assy]&amp;"'!"&amp;"C$5:C1000"), $A46, INDIRECT("'"&amp;Assemblies[Assy]&amp;"'!"&amp;"O$5:O1000")), "x",Assemblies[Assy],".",IF(SUMIF(INDIRECT("'"&amp;Assemblies[Assy]&amp;"'!"&amp;"C$5:C1000"), $A46, INDIRECT("'"&amp;Assemblies[Assy]&amp;"'!"&amp;"A$5:A1000"))=0,NA(),SUMIF(INDIRECT("'"&amp;Assemblies[Assy]&amp;"'!"&amp;"C$5:C1000"), $A46, INDIRECT("'"&amp;Assemblies[Assy]&amp;"'!"&amp;"A$5:A1000")))),"")), " ,", ""))</f>
        <v>,</v>
      </c>
      <c r="S46" s="56" t="s">
        <v>1382</v>
      </c>
      <c r="T46" s="2" t="s">
        <v>1382</v>
      </c>
      <c r="U46" s="2" t="s">
        <v>1382</v>
      </c>
      <c r="V46" s="2" t="s">
        <v>1382</v>
      </c>
    </row>
    <row r="47" spans="1:22" ht="12.75" customHeight="1">
      <c r="A47" s="133" t="s">
        <v>887</v>
      </c>
      <c r="B47" s="115" t="s">
        <v>2681</v>
      </c>
      <c r="C47" s="203">
        <v>103.7362</v>
      </c>
      <c r="D47" s="5">
        <v>1</v>
      </c>
      <c r="E47" s="5" t="e" cm="1">
        <f t="array" aca="1" ref="E47" ca="1">SUMPRODUCT(SUMIF(INDIRECT("'"&amp;Assemblies[Assy]&amp;"'!"&amp;"C:C"),$A47,(INDIRECT("'"&amp;Assemblies[Assy]&amp;"'!"&amp;"O:O"))))</f>
        <v>#VALUE!</v>
      </c>
      <c r="F47" s="5" t="e">
        <f t="shared" ca="1" si="0"/>
        <v>#VALUE!</v>
      </c>
      <c r="G47" s="5">
        <v>16</v>
      </c>
      <c r="H47" s="2">
        <v>16</v>
      </c>
      <c r="I47" s="117" t="s">
        <v>2676</v>
      </c>
      <c r="J47" s="117" t="s">
        <v>2647</v>
      </c>
      <c r="K47" s="135" t="s">
        <v>1382</v>
      </c>
      <c r="L47" s="2" t="s">
        <v>1382</v>
      </c>
      <c r="M47" s="8">
        <v>45093</v>
      </c>
      <c r="N47" s="8">
        <v>45093</v>
      </c>
      <c r="O47" s="8">
        <v>45184</v>
      </c>
      <c r="P47" s="8">
        <v>45184</v>
      </c>
      <c r="Q47" s="229">
        <v>54942</v>
      </c>
      <c r="R47" s="115" t="str" cm="1">
        <f t="array" aca="1" ref="R47" ca="1">TRIM(SUBSTITUTE(_xlfn.ARRAYTOTEXT(IFERROR(CONCATENATE(SUMIF(INDIRECT("'"&amp;Assemblies[Assy]&amp;"'!"&amp;"C$5:C1000"), $A47, INDIRECT("'"&amp;Assemblies[Assy]&amp;"'!"&amp;"O$5:O1000")), "x",Assemblies[Assy],".",IF(SUMIF(INDIRECT("'"&amp;Assemblies[Assy]&amp;"'!"&amp;"C$5:C1000"), $A47, INDIRECT("'"&amp;Assemblies[Assy]&amp;"'!"&amp;"A$5:A1000"))=0,NA(),SUMIF(INDIRECT("'"&amp;Assemblies[Assy]&amp;"'!"&amp;"C$5:C1000"), $A47, INDIRECT("'"&amp;Assemblies[Assy]&amp;"'!"&amp;"A$5:A1000")))),"")), " ,", ""))</f>
        <v>,</v>
      </c>
      <c r="S47" s="56" t="s">
        <v>1382</v>
      </c>
      <c r="T47" s="2" t="s">
        <v>1382</v>
      </c>
      <c r="U47" s="2" t="s">
        <v>1382</v>
      </c>
      <c r="V47" s="2" t="s">
        <v>1382</v>
      </c>
    </row>
    <row r="48" spans="1:22" ht="12.75" customHeight="1">
      <c r="A48" s="133" t="s">
        <v>881</v>
      </c>
      <c r="B48" s="2" t="s">
        <v>2682</v>
      </c>
      <c r="C48" s="203">
        <v>466.46</v>
      </c>
      <c r="D48" s="5">
        <v>1</v>
      </c>
      <c r="E48" s="5" t="e" cm="1">
        <f t="array" aca="1" ref="E48" ca="1">SUMPRODUCT(SUMIF(INDIRECT("'"&amp;Assemblies[Assy]&amp;"'!"&amp;"C:C"),$A48,(INDIRECT("'"&amp;Assemblies[Assy]&amp;"'!"&amp;"O:O"))))</f>
        <v>#VALUE!</v>
      </c>
      <c r="F48" s="5" t="e">
        <f t="shared" ca="1" si="0"/>
        <v>#VALUE!</v>
      </c>
      <c r="G48" s="5">
        <v>4</v>
      </c>
      <c r="H48" s="2">
        <v>4</v>
      </c>
      <c r="I48" s="117" t="s">
        <v>2676</v>
      </c>
      <c r="J48" s="117" t="s">
        <v>2647</v>
      </c>
      <c r="K48" s="135" t="s">
        <v>1382</v>
      </c>
      <c r="L48" s="2" t="s">
        <v>1382</v>
      </c>
      <c r="M48" s="8">
        <v>45093</v>
      </c>
      <c r="N48" s="8">
        <v>45093</v>
      </c>
      <c r="O48" s="8">
        <v>45184</v>
      </c>
      <c r="P48" s="8">
        <v>45184</v>
      </c>
      <c r="Q48" s="229">
        <v>54942</v>
      </c>
      <c r="R48" s="115" t="str" cm="1">
        <f t="array" aca="1" ref="R48" ca="1">TRIM(SUBSTITUTE(_xlfn.ARRAYTOTEXT(IFERROR(CONCATENATE(SUMIF(INDIRECT("'"&amp;Assemblies[Assy]&amp;"'!"&amp;"C$5:C1000"), $A48, INDIRECT("'"&amp;Assemblies[Assy]&amp;"'!"&amp;"O$5:O1000")), "x",Assemblies[Assy],".",IF(SUMIF(INDIRECT("'"&amp;Assemblies[Assy]&amp;"'!"&amp;"C$5:C1000"), $A48, INDIRECT("'"&amp;Assemblies[Assy]&amp;"'!"&amp;"A$5:A1000"))=0,NA(),SUMIF(INDIRECT("'"&amp;Assemblies[Assy]&amp;"'!"&amp;"C$5:C1000"), $A48, INDIRECT("'"&amp;Assemblies[Assy]&amp;"'!"&amp;"A$5:A1000")))),"")), " ,", ""))</f>
        <v>,</v>
      </c>
      <c r="S48" s="56" t="s">
        <v>1382</v>
      </c>
      <c r="T48" s="2" t="s">
        <v>1382</v>
      </c>
      <c r="U48" s="2" t="s">
        <v>1382</v>
      </c>
      <c r="V48" s="2" t="s">
        <v>1382</v>
      </c>
    </row>
    <row r="49" spans="1:22" ht="12.75" customHeight="1">
      <c r="A49" s="133" t="s">
        <v>261</v>
      </c>
      <c r="B49" s="115" t="s">
        <v>2683</v>
      </c>
      <c r="C49" s="203">
        <v>693.75549999999998</v>
      </c>
      <c r="D49" s="5">
        <v>1</v>
      </c>
      <c r="E49" s="5" t="e" cm="1">
        <f t="array" aca="1" ref="E49" ca="1">SUMPRODUCT(SUMIF(INDIRECT("'"&amp;Assemblies[Assy]&amp;"'!"&amp;"C:C"),$A49,(INDIRECT("'"&amp;Assemblies[Assy]&amp;"'!"&amp;"O:O"))))</f>
        <v>#VALUE!</v>
      </c>
      <c r="F49" s="5" t="e">
        <f t="shared" ca="1" si="0"/>
        <v>#VALUE!</v>
      </c>
      <c r="G49" s="5">
        <v>4</v>
      </c>
      <c r="H49" s="2">
        <v>4</v>
      </c>
      <c r="I49" s="117" t="s">
        <v>2676</v>
      </c>
      <c r="J49" s="117" t="s">
        <v>2647</v>
      </c>
      <c r="K49" s="135" t="s">
        <v>1382</v>
      </c>
      <c r="L49" s="2" t="s">
        <v>1382</v>
      </c>
      <c r="M49" s="8">
        <v>45093</v>
      </c>
      <c r="N49" s="8">
        <v>45093</v>
      </c>
      <c r="O49" s="8">
        <v>45184</v>
      </c>
      <c r="P49" s="8">
        <v>45184</v>
      </c>
      <c r="Q49" s="229">
        <v>54942</v>
      </c>
      <c r="R49" s="115" t="str" cm="1">
        <f t="array" aca="1" ref="R49" ca="1">TRIM(SUBSTITUTE(_xlfn.ARRAYTOTEXT(IFERROR(CONCATENATE(SUMIF(INDIRECT("'"&amp;Assemblies[Assy]&amp;"'!"&amp;"C$5:C1000"), $A49, INDIRECT("'"&amp;Assemblies[Assy]&amp;"'!"&amp;"O$5:O1000")), "x",Assemblies[Assy],".",IF(SUMIF(INDIRECT("'"&amp;Assemblies[Assy]&amp;"'!"&amp;"C$5:C1000"), $A49, INDIRECT("'"&amp;Assemblies[Assy]&amp;"'!"&amp;"A$5:A1000"))=0,NA(),SUMIF(INDIRECT("'"&amp;Assemblies[Assy]&amp;"'!"&amp;"C$5:C1000"), $A49, INDIRECT("'"&amp;Assemblies[Assy]&amp;"'!"&amp;"A$5:A1000")))),"")), " ,", ""))</f>
        <v>,</v>
      </c>
      <c r="S49" s="56" t="s">
        <v>1382</v>
      </c>
      <c r="T49" s="2" t="s">
        <v>1382</v>
      </c>
      <c r="U49" s="2" t="s">
        <v>1382</v>
      </c>
      <c r="V49" s="2" t="s">
        <v>1382</v>
      </c>
    </row>
    <row r="50" spans="1:22" ht="12.75" customHeight="1">
      <c r="A50" s="133" t="s">
        <v>1265</v>
      </c>
      <c r="B50" s="2" t="s">
        <v>2684</v>
      </c>
      <c r="C50" s="203">
        <v>148.238</v>
      </c>
      <c r="D50" s="5">
        <v>1</v>
      </c>
      <c r="E50" s="5" t="e" cm="1">
        <f t="array" aca="1" ref="E50" ca="1">SUMPRODUCT(SUMIF(INDIRECT("'"&amp;Assemblies[Assy]&amp;"'!"&amp;"C:C"),$A50,(INDIRECT("'"&amp;Assemblies[Assy]&amp;"'!"&amp;"O:O"))))</f>
        <v>#VALUE!</v>
      </c>
      <c r="F50" s="5" t="e">
        <f t="shared" ca="1" si="0"/>
        <v>#VALUE!</v>
      </c>
      <c r="G50" s="5">
        <v>4</v>
      </c>
      <c r="H50" s="2">
        <v>4</v>
      </c>
      <c r="I50" s="117" t="s">
        <v>2676</v>
      </c>
      <c r="J50" s="117" t="s">
        <v>2647</v>
      </c>
      <c r="K50" s="135" t="s">
        <v>1382</v>
      </c>
      <c r="L50" s="2" t="s">
        <v>1382</v>
      </c>
      <c r="M50" s="8">
        <v>45093</v>
      </c>
      <c r="N50" s="8">
        <v>45093</v>
      </c>
      <c r="O50" s="8">
        <v>45184</v>
      </c>
      <c r="P50" s="8">
        <v>45184</v>
      </c>
      <c r="Q50" s="229">
        <v>54942</v>
      </c>
      <c r="R50" s="115" t="str" cm="1">
        <f t="array" aca="1" ref="R50" ca="1">TRIM(SUBSTITUTE(_xlfn.ARRAYTOTEXT(IFERROR(CONCATENATE(SUMIF(INDIRECT("'"&amp;Assemblies[Assy]&amp;"'!"&amp;"C$5:C1000"), $A50, INDIRECT("'"&amp;Assemblies[Assy]&amp;"'!"&amp;"O$5:O1000")), "x",Assemblies[Assy],".",IF(SUMIF(INDIRECT("'"&amp;Assemblies[Assy]&amp;"'!"&amp;"C$5:C1000"), $A50, INDIRECT("'"&amp;Assemblies[Assy]&amp;"'!"&amp;"A$5:A1000"))=0,NA(),SUMIF(INDIRECT("'"&amp;Assemblies[Assy]&amp;"'!"&amp;"C$5:C1000"), $A50, INDIRECT("'"&amp;Assemblies[Assy]&amp;"'!"&amp;"A$5:A1000")))),"")), " ,", ""))</f>
        <v>,</v>
      </c>
      <c r="S50" s="56" t="s">
        <v>1382</v>
      </c>
      <c r="T50" s="2" t="s">
        <v>1382</v>
      </c>
      <c r="U50" s="2" t="s">
        <v>1382</v>
      </c>
      <c r="V50" s="2" t="s">
        <v>1382</v>
      </c>
    </row>
    <row r="51" spans="1:22" ht="12.75" customHeight="1">
      <c r="A51" s="133" t="s">
        <v>1133</v>
      </c>
      <c r="B51" s="2" t="s">
        <v>2685</v>
      </c>
      <c r="C51" s="203">
        <v>170.96619999999999</v>
      </c>
      <c r="D51" s="5">
        <v>1</v>
      </c>
      <c r="E51" s="5" t="e" cm="1">
        <f t="array" aca="1" ref="E51" ca="1">SUMPRODUCT(SUMIF(INDIRECT("'"&amp;Assemblies[Assy]&amp;"'!"&amp;"C:C"),$A51,(INDIRECT("'"&amp;Assemblies[Assy]&amp;"'!"&amp;"O:O"))))</f>
        <v>#VALUE!</v>
      </c>
      <c r="F51" s="5" t="e">
        <f t="shared" ca="1" si="0"/>
        <v>#VALUE!</v>
      </c>
      <c r="G51" s="5">
        <v>24</v>
      </c>
      <c r="H51" s="2">
        <v>24</v>
      </c>
      <c r="I51" s="117" t="s">
        <v>2676</v>
      </c>
      <c r="J51" s="117" t="s">
        <v>2647</v>
      </c>
      <c r="K51" s="135" t="s">
        <v>1382</v>
      </c>
      <c r="L51" s="2" t="s">
        <v>1382</v>
      </c>
      <c r="M51" s="8">
        <v>45093</v>
      </c>
      <c r="N51" s="8">
        <v>45093</v>
      </c>
      <c r="O51" s="8">
        <v>45184</v>
      </c>
      <c r="P51" s="8">
        <v>45184</v>
      </c>
      <c r="Q51" s="229">
        <v>54942</v>
      </c>
      <c r="R51" s="115" t="str" cm="1">
        <f t="array" aca="1" ref="R51" ca="1">TRIM(SUBSTITUTE(_xlfn.ARRAYTOTEXT(IFERROR(CONCATENATE(SUMIF(INDIRECT("'"&amp;Assemblies[Assy]&amp;"'!"&amp;"C$5:C1000"), $A51, INDIRECT("'"&amp;Assemblies[Assy]&amp;"'!"&amp;"O$5:O1000")), "x",Assemblies[Assy],".",IF(SUMIF(INDIRECT("'"&amp;Assemblies[Assy]&amp;"'!"&amp;"C$5:C1000"), $A51, INDIRECT("'"&amp;Assemblies[Assy]&amp;"'!"&amp;"A$5:A1000"))=0,NA(),SUMIF(INDIRECT("'"&amp;Assemblies[Assy]&amp;"'!"&amp;"C$5:C1000"), $A51, INDIRECT("'"&amp;Assemblies[Assy]&amp;"'!"&amp;"A$5:A1000")))),"")), " ,", ""))</f>
        <v>,</v>
      </c>
      <c r="S51" s="56" t="s">
        <v>1382</v>
      </c>
      <c r="T51" s="2" t="s">
        <v>1382</v>
      </c>
      <c r="U51" s="2" t="s">
        <v>1382</v>
      </c>
      <c r="V51" s="2" t="s">
        <v>1382</v>
      </c>
    </row>
    <row r="52" spans="1:22" ht="12.75" customHeight="1">
      <c r="A52" s="133" t="s">
        <v>757</v>
      </c>
      <c r="B52" s="2" t="s">
        <v>2686</v>
      </c>
      <c r="C52" s="203">
        <v>261.89269999999999</v>
      </c>
      <c r="D52" s="5">
        <v>1</v>
      </c>
      <c r="E52" s="5" t="e" cm="1">
        <f t="array" aca="1" ref="E52" ca="1">SUMPRODUCT(SUMIF(INDIRECT("'"&amp;Assemblies[Assy]&amp;"'!"&amp;"C:C"),$A52,(INDIRECT("'"&amp;Assemblies[Assy]&amp;"'!"&amp;"O:O"))))</f>
        <v>#VALUE!</v>
      </c>
      <c r="F52" s="5" t="e">
        <f t="shared" ca="1" si="0"/>
        <v>#VALUE!</v>
      </c>
      <c r="G52" s="5">
        <v>4</v>
      </c>
      <c r="H52" s="2">
        <v>4</v>
      </c>
      <c r="I52" s="117" t="s">
        <v>2676</v>
      </c>
      <c r="J52" s="117" t="s">
        <v>2647</v>
      </c>
      <c r="K52" s="135" t="s">
        <v>1382</v>
      </c>
      <c r="L52" s="2" t="s">
        <v>1382</v>
      </c>
      <c r="M52" s="8">
        <v>45093</v>
      </c>
      <c r="N52" s="8">
        <v>45093</v>
      </c>
      <c r="O52" s="8">
        <v>45184</v>
      </c>
      <c r="P52" s="8">
        <v>45184</v>
      </c>
      <c r="Q52" s="229">
        <v>54942</v>
      </c>
      <c r="R52" s="115" t="str" cm="1">
        <f t="array" aca="1" ref="R52" ca="1">TRIM(SUBSTITUTE(_xlfn.ARRAYTOTEXT(IFERROR(CONCATENATE(SUMIF(INDIRECT("'"&amp;Assemblies[Assy]&amp;"'!"&amp;"C$5:C1000"), $A52, INDIRECT("'"&amp;Assemblies[Assy]&amp;"'!"&amp;"O$5:O1000")), "x",Assemblies[Assy],".",IF(SUMIF(INDIRECT("'"&amp;Assemblies[Assy]&amp;"'!"&amp;"C$5:C1000"), $A52, INDIRECT("'"&amp;Assemblies[Assy]&amp;"'!"&amp;"A$5:A1000"))=0,NA(),SUMIF(INDIRECT("'"&amp;Assemblies[Assy]&amp;"'!"&amp;"C$5:C1000"), $A52, INDIRECT("'"&amp;Assemblies[Assy]&amp;"'!"&amp;"A$5:A1000")))),"")), " ,", ""))</f>
        <v>,</v>
      </c>
      <c r="S52" s="56" t="s">
        <v>1382</v>
      </c>
      <c r="T52" s="2" t="s">
        <v>1382</v>
      </c>
      <c r="U52" s="2" t="s">
        <v>1382</v>
      </c>
      <c r="V52" s="2" t="s">
        <v>1382</v>
      </c>
    </row>
    <row r="53" spans="1:22" ht="12.75" customHeight="1">
      <c r="A53" s="133" t="s">
        <v>269</v>
      </c>
      <c r="B53" s="115" t="s">
        <v>2687</v>
      </c>
      <c r="C53" s="203">
        <v>284.62079999999997</v>
      </c>
      <c r="D53" s="5">
        <v>1</v>
      </c>
      <c r="E53" s="5" t="e" cm="1">
        <f t="array" aca="1" ref="E53" ca="1">SUMPRODUCT(SUMIF(INDIRECT("'"&amp;Assemblies[Assy]&amp;"'!"&amp;"C:C"),$A53,(INDIRECT("'"&amp;Assemblies[Assy]&amp;"'!"&amp;"O:O"))))</f>
        <v>#VALUE!</v>
      </c>
      <c r="F53" s="5" t="e">
        <f t="shared" ca="1" si="0"/>
        <v>#VALUE!</v>
      </c>
      <c r="G53" s="5">
        <v>4</v>
      </c>
      <c r="H53" s="2">
        <v>4</v>
      </c>
      <c r="I53" s="117" t="s">
        <v>2676</v>
      </c>
      <c r="J53" s="117" t="s">
        <v>2647</v>
      </c>
      <c r="K53" s="135" t="s">
        <v>1382</v>
      </c>
      <c r="L53" s="2" t="s">
        <v>1382</v>
      </c>
      <c r="M53" s="8">
        <v>45093</v>
      </c>
      <c r="N53" s="8">
        <v>45093</v>
      </c>
      <c r="O53" s="8">
        <v>45184</v>
      </c>
      <c r="P53" s="8">
        <v>45184</v>
      </c>
      <c r="Q53" s="229">
        <v>54942</v>
      </c>
      <c r="R53" s="115" t="str" cm="1">
        <f t="array" aca="1" ref="R53" ca="1">TRIM(SUBSTITUTE(_xlfn.ARRAYTOTEXT(IFERROR(CONCATENATE(SUMIF(INDIRECT("'"&amp;Assemblies[Assy]&amp;"'!"&amp;"C$5:C1000"), $A53, INDIRECT("'"&amp;Assemblies[Assy]&amp;"'!"&amp;"O$5:O1000")), "x",Assemblies[Assy],".",IF(SUMIF(INDIRECT("'"&amp;Assemblies[Assy]&amp;"'!"&amp;"C$5:C1000"), $A53, INDIRECT("'"&amp;Assemblies[Assy]&amp;"'!"&amp;"A$5:A1000"))=0,NA(),SUMIF(INDIRECT("'"&amp;Assemblies[Assy]&amp;"'!"&amp;"C$5:C1000"), $A53, INDIRECT("'"&amp;Assemblies[Assy]&amp;"'!"&amp;"A$5:A1000")))),"")), " ,", ""))</f>
        <v>,</v>
      </c>
      <c r="S53" s="56" t="s">
        <v>1382</v>
      </c>
      <c r="T53" s="2" t="s">
        <v>1382</v>
      </c>
      <c r="U53" s="2" t="s">
        <v>1382</v>
      </c>
      <c r="V53" s="2" t="s">
        <v>1382</v>
      </c>
    </row>
    <row r="54" spans="1:22" ht="12.75" customHeight="1">
      <c r="A54" s="133" t="s">
        <v>1199</v>
      </c>
      <c r="B54" s="2" t="s">
        <v>2688</v>
      </c>
      <c r="C54" s="203">
        <v>791.654</v>
      </c>
      <c r="D54" s="5">
        <v>1</v>
      </c>
      <c r="E54" s="5" t="e" cm="1">
        <f t="array" aca="1" ref="E54" ca="1">SUMPRODUCT(SUMIF(INDIRECT("'"&amp;Assemblies[Assy]&amp;"'!"&amp;"C:C"),$A54,(INDIRECT("'"&amp;Assemblies[Assy]&amp;"'!"&amp;"O:O"))))</f>
        <v>#VALUE!</v>
      </c>
      <c r="F54" s="5" t="e">
        <f t="shared" ca="1" si="0"/>
        <v>#VALUE!</v>
      </c>
      <c r="G54" s="5">
        <v>2</v>
      </c>
      <c r="H54" s="2">
        <v>2</v>
      </c>
      <c r="I54" s="117" t="s">
        <v>2676</v>
      </c>
      <c r="J54" s="117" t="s">
        <v>2647</v>
      </c>
      <c r="K54" s="135" t="s">
        <v>1382</v>
      </c>
      <c r="L54" s="2" t="s">
        <v>1382</v>
      </c>
      <c r="M54" s="8">
        <v>45093</v>
      </c>
      <c r="N54" s="8">
        <v>45093</v>
      </c>
      <c r="O54" s="8">
        <v>45184</v>
      </c>
      <c r="P54" s="8">
        <v>45184</v>
      </c>
      <c r="Q54" s="229">
        <v>54942</v>
      </c>
      <c r="R54" s="115" t="str" cm="1">
        <f t="array" aca="1" ref="R54" ca="1">TRIM(SUBSTITUTE(_xlfn.ARRAYTOTEXT(IFERROR(CONCATENATE(SUMIF(INDIRECT("'"&amp;Assemblies[Assy]&amp;"'!"&amp;"C$5:C1000"), $A54, INDIRECT("'"&amp;Assemblies[Assy]&amp;"'!"&amp;"O$5:O1000")), "x",Assemblies[Assy],".",IF(SUMIF(INDIRECT("'"&amp;Assemblies[Assy]&amp;"'!"&amp;"C$5:C1000"), $A54, INDIRECT("'"&amp;Assemblies[Assy]&amp;"'!"&amp;"A$5:A1000"))=0,NA(),SUMIF(INDIRECT("'"&amp;Assemblies[Assy]&amp;"'!"&amp;"C$5:C1000"), $A54, INDIRECT("'"&amp;Assemblies[Assy]&amp;"'!"&amp;"A$5:A1000")))),"")), " ,", ""))</f>
        <v>,</v>
      </c>
      <c r="S54" s="56" t="s">
        <v>1382</v>
      </c>
      <c r="T54" s="2" t="s">
        <v>1382</v>
      </c>
      <c r="U54" s="2" t="s">
        <v>1382</v>
      </c>
      <c r="V54" s="2" t="s">
        <v>1382</v>
      </c>
    </row>
    <row r="55" spans="1:22" ht="12.75" customHeight="1">
      <c r="A55" s="133" t="s">
        <v>784</v>
      </c>
      <c r="B55" s="2" t="s">
        <v>2689</v>
      </c>
      <c r="C55" s="203">
        <v>862.49450000000002</v>
      </c>
      <c r="D55" s="5">
        <v>1</v>
      </c>
      <c r="E55" s="5" t="e" cm="1">
        <f t="array" aca="1" ref="E55" ca="1">SUMPRODUCT(SUMIF(INDIRECT("'"&amp;Assemblies[Assy]&amp;"'!"&amp;"C:C"),$A55,(INDIRECT("'"&amp;Assemblies[Assy]&amp;"'!"&amp;"O:O"))))</f>
        <v>#VALUE!</v>
      </c>
      <c r="F55" s="5" t="e">
        <f t="shared" ca="1" si="0"/>
        <v>#VALUE!</v>
      </c>
      <c r="G55" s="5">
        <v>2</v>
      </c>
      <c r="H55" s="2">
        <v>2</v>
      </c>
      <c r="I55" s="117" t="s">
        <v>2676</v>
      </c>
      <c r="J55" s="117" t="s">
        <v>2647</v>
      </c>
      <c r="K55" s="135" t="s">
        <v>1382</v>
      </c>
      <c r="L55" s="2" t="s">
        <v>1382</v>
      </c>
      <c r="M55" s="8">
        <v>45093</v>
      </c>
      <c r="N55" s="8">
        <v>45093</v>
      </c>
      <c r="O55" s="8">
        <v>45184</v>
      </c>
      <c r="P55" s="8">
        <v>45184</v>
      </c>
      <c r="Q55" s="229">
        <v>54942</v>
      </c>
      <c r="R55" s="115" t="str" cm="1">
        <f t="array" aca="1" ref="R55" ca="1">TRIM(SUBSTITUTE(_xlfn.ARRAYTOTEXT(IFERROR(CONCATENATE(SUMIF(INDIRECT("'"&amp;Assemblies[Assy]&amp;"'!"&amp;"C$5:C1000"), $A55, INDIRECT("'"&amp;Assemblies[Assy]&amp;"'!"&amp;"O$5:O1000")), "x",Assemblies[Assy],".",IF(SUMIF(INDIRECT("'"&amp;Assemblies[Assy]&amp;"'!"&amp;"C$5:C1000"), $A55, INDIRECT("'"&amp;Assemblies[Assy]&amp;"'!"&amp;"A$5:A1000"))=0,NA(),SUMIF(INDIRECT("'"&amp;Assemblies[Assy]&amp;"'!"&amp;"C$5:C1000"), $A55, INDIRECT("'"&amp;Assemblies[Assy]&amp;"'!"&amp;"A$5:A1000")))),"")), " ,", ""))</f>
        <v>,</v>
      </c>
      <c r="S55" s="56" t="s">
        <v>1382</v>
      </c>
      <c r="T55" s="2" t="s">
        <v>1382</v>
      </c>
      <c r="U55" s="2" t="s">
        <v>1382</v>
      </c>
      <c r="V55" s="2" t="s">
        <v>1382</v>
      </c>
    </row>
    <row r="56" spans="1:22" ht="12.75" customHeight="1">
      <c r="A56" s="133" t="s">
        <v>1089</v>
      </c>
      <c r="B56" s="2" t="s">
        <v>2690</v>
      </c>
      <c r="C56" s="203">
        <v>109.21420000000001</v>
      </c>
      <c r="D56" s="5">
        <v>1</v>
      </c>
      <c r="E56" s="5" t="e" cm="1">
        <f t="array" aca="1" ref="E56" ca="1">SUMPRODUCT(SUMIF(INDIRECT("'"&amp;Assemblies[Assy]&amp;"'!"&amp;"C:C"),$A56,(INDIRECT("'"&amp;Assemblies[Assy]&amp;"'!"&amp;"O:O"))))</f>
        <v>#VALUE!</v>
      </c>
      <c r="F56" s="5" t="e">
        <f t="shared" ca="1" si="0"/>
        <v>#VALUE!</v>
      </c>
      <c r="G56" s="5">
        <v>24</v>
      </c>
      <c r="H56" s="2">
        <v>24</v>
      </c>
      <c r="I56" s="117" t="s">
        <v>2676</v>
      </c>
      <c r="J56" s="117" t="s">
        <v>2647</v>
      </c>
      <c r="K56" s="135" t="s">
        <v>1382</v>
      </c>
      <c r="L56" s="2" t="s">
        <v>1382</v>
      </c>
      <c r="M56" s="8">
        <v>45093</v>
      </c>
      <c r="N56" s="8">
        <v>45093</v>
      </c>
      <c r="O56" s="8">
        <v>45184</v>
      </c>
      <c r="P56" s="8">
        <v>45184</v>
      </c>
      <c r="Q56" s="229">
        <v>54942</v>
      </c>
      <c r="R56" s="115" t="str" cm="1">
        <f t="array" aca="1" ref="R56" ca="1">TRIM(SUBSTITUTE(_xlfn.ARRAYTOTEXT(IFERROR(CONCATENATE(SUMIF(INDIRECT("'"&amp;Assemblies[Assy]&amp;"'!"&amp;"C$5:C1000"), $A56, INDIRECT("'"&amp;Assemblies[Assy]&amp;"'!"&amp;"O$5:O1000")), "x",Assemblies[Assy],".",IF(SUMIF(INDIRECT("'"&amp;Assemblies[Assy]&amp;"'!"&amp;"C$5:C1000"), $A56, INDIRECT("'"&amp;Assemblies[Assy]&amp;"'!"&amp;"A$5:A1000"))=0,NA(),SUMIF(INDIRECT("'"&amp;Assemblies[Assy]&amp;"'!"&amp;"C$5:C1000"), $A56, INDIRECT("'"&amp;Assemblies[Assy]&amp;"'!"&amp;"A$5:A1000")))),"")), " ,", ""))</f>
        <v>,</v>
      </c>
      <c r="S56" s="56" t="s">
        <v>1382</v>
      </c>
      <c r="T56" s="2" t="s">
        <v>1382</v>
      </c>
      <c r="U56" s="2" t="s">
        <v>1382</v>
      </c>
      <c r="V56" s="2" t="s">
        <v>1382</v>
      </c>
    </row>
    <row r="57" spans="1:22" ht="12.75" customHeight="1">
      <c r="A57" s="133" t="s">
        <v>934</v>
      </c>
      <c r="B57" s="115" t="s">
        <v>2691</v>
      </c>
      <c r="C57" s="203">
        <v>147.4357</v>
      </c>
      <c r="D57" s="5">
        <v>1</v>
      </c>
      <c r="E57" s="5" t="e" cm="1">
        <f t="array" aca="1" ref="E57" ca="1">SUMPRODUCT(SUMIF(INDIRECT("'"&amp;Assemblies[Assy]&amp;"'!"&amp;"C:C"),$A57,(INDIRECT("'"&amp;Assemblies[Assy]&amp;"'!"&amp;"O:O"))))</f>
        <v>#VALUE!</v>
      </c>
      <c r="F57" s="5" t="e">
        <f t="shared" ca="1" si="0"/>
        <v>#VALUE!</v>
      </c>
      <c r="G57" s="5">
        <v>16</v>
      </c>
      <c r="H57" s="2">
        <v>16</v>
      </c>
      <c r="I57" s="117" t="s">
        <v>2676</v>
      </c>
      <c r="J57" s="117" t="s">
        <v>2647</v>
      </c>
      <c r="K57" s="135" t="s">
        <v>1382</v>
      </c>
      <c r="L57" s="2" t="s">
        <v>1382</v>
      </c>
      <c r="M57" s="8">
        <v>45093</v>
      </c>
      <c r="N57" s="8">
        <v>45093</v>
      </c>
      <c r="O57" s="8">
        <v>45184</v>
      </c>
      <c r="P57" s="8">
        <v>45184</v>
      </c>
      <c r="Q57" s="229">
        <v>54942</v>
      </c>
      <c r="R57" s="115" t="str" cm="1">
        <f t="array" aca="1" ref="R57" ca="1">TRIM(SUBSTITUTE(_xlfn.ARRAYTOTEXT(IFERROR(CONCATENATE(SUMIF(INDIRECT("'"&amp;Assemblies[Assy]&amp;"'!"&amp;"C$5:C1000"), $A57, INDIRECT("'"&amp;Assemblies[Assy]&amp;"'!"&amp;"O$5:O1000")), "x",Assemblies[Assy],".",IF(SUMIF(INDIRECT("'"&amp;Assemblies[Assy]&amp;"'!"&amp;"C$5:C1000"), $A57, INDIRECT("'"&amp;Assemblies[Assy]&amp;"'!"&amp;"A$5:A1000"))=0,NA(),SUMIF(INDIRECT("'"&amp;Assemblies[Assy]&amp;"'!"&amp;"C$5:C1000"), $A57, INDIRECT("'"&amp;Assemblies[Assy]&amp;"'!"&amp;"A$5:A1000")))),"")), " ,", ""))</f>
        <v>,</v>
      </c>
      <c r="S57" s="56" t="s">
        <v>1382</v>
      </c>
      <c r="T57" s="2" t="s">
        <v>1382</v>
      </c>
      <c r="U57" s="2" t="s">
        <v>1382</v>
      </c>
      <c r="V57" s="2" t="s">
        <v>1382</v>
      </c>
    </row>
    <row r="58" spans="1:22" ht="12.75" customHeight="1">
      <c r="A58" s="133" t="s">
        <v>406</v>
      </c>
      <c r="B58" s="2" t="s">
        <v>2692</v>
      </c>
      <c r="C58" s="203">
        <v>138.67920000000001</v>
      </c>
      <c r="D58" s="5">
        <v>1</v>
      </c>
      <c r="E58" s="5" t="e" cm="1">
        <f t="array" aca="1" ref="E58" ca="1">SUMPRODUCT(SUMIF(INDIRECT("'"&amp;Assemblies[Assy]&amp;"'!"&amp;"C:C"),$A58,(INDIRECT("'"&amp;Assemblies[Assy]&amp;"'!"&amp;"O:O"))))</f>
        <v>#VALUE!</v>
      </c>
      <c r="F58" s="5" t="e">
        <f t="shared" ca="1" si="0"/>
        <v>#VALUE!</v>
      </c>
      <c r="G58" s="5">
        <v>30</v>
      </c>
      <c r="H58" s="2">
        <v>30</v>
      </c>
      <c r="I58" s="117" t="s">
        <v>2676</v>
      </c>
      <c r="J58" s="117" t="s">
        <v>2647</v>
      </c>
      <c r="K58" s="135" t="s">
        <v>1382</v>
      </c>
      <c r="L58" s="2" t="s">
        <v>1779</v>
      </c>
      <c r="M58" s="8">
        <v>45093</v>
      </c>
      <c r="N58" s="8">
        <v>45093</v>
      </c>
      <c r="O58" s="8">
        <v>45184</v>
      </c>
      <c r="P58" s="8">
        <v>45184</v>
      </c>
      <c r="Q58" s="229">
        <v>54942</v>
      </c>
      <c r="R58" s="115" t="str" cm="1">
        <f t="array" aca="1" ref="R58" ca="1">TRIM(SUBSTITUTE(_xlfn.ARRAYTOTEXT(IFERROR(CONCATENATE(SUMIF(INDIRECT("'"&amp;Assemblies[Assy]&amp;"'!"&amp;"C$5:C1000"), $A58, INDIRECT("'"&amp;Assemblies[Assy]&amp;"'!"&amp;"O$5:O1000")), "x",Assemblies[Assy],".",IF(SUMIF(INDIRECT("'"&amp;Assemblies[Assy]&amp;"'!"&amp;"C$5:C1000"), $A58, INDIRECT("'"&amp;Assemblies[Assy]&amp;"'!"&amp;"A$5:A1000"))=0,NA(),SUMIF(INDIRECT("'"&amp;Assemblies[Assy]&amp;"'!"&amp;"C$5:C1000"), $A58, INDIRECT("'"&amp;Assemblies[Assy]&amp;"'!"&amp;"A$5:A1000")))),"")), " ,", ""))</f>
        <v>,</v>
      </c>
      <c r="S58" s="56" t="s">
        <v>1382</v>
      </c>
      <c r="T58" s="2" t="s">
        <v>1382</v>
      </c>
      <c r="U58" s="2" t="s">
        <v>1382</v>
      </c>
      <c r="V58" s="2" t="s">
        <v>1382</v>
      </c>
    </row>
    <row r="59" spans="1:22" ht="12.75" customHeight="1">
      <c r="A59" s="133" t="s">
        <v>715</v>
      </c>
      <c r="B59" s="2" t="s">
        <v>2693</v>
      </c>
      <c r="C59" s="203">
        <v>79.043700000000001</v>
      </c>
      <c r="D59" s="5">
        <v>1</v>
      </c>
      <c r="E59" s="5" t="e" cm="1">
        <f t="array" aca="1" ref="E59" ca="1">SUMPRODUCT(SUMIF(INDIRECT("'"&amp;Assemblies[Assy]&amp;"'!"&amp;"C:C"),$A59,(INDIRECT("'"&amp;Assemblies[Assy]&amp;"'!"&amp;"O:O"))))</f>
        <v>#VALUE!</v>
      </c>
      <c r="F59" s="5" t="e">
        <f t="shared" ca="1" si="0"/>
        <v>#VALUE!</v>
      </c>
      <c r="G59" s="5">
        <v>20</v>
      </c>
      <c r="H59" s="2">
        <v>20</v>
      </c>
      <c r="I59" s="117" t="s">
        <v>2676</v>
      </c>
      <c r="J59" s="117" t="s">
        <v>2647</v>
      </c>
      <c r="K59" s="135" t="s">
        <v>1382</v>
      </c>
      <c r="L59" s="2" t="s">
        <v>1382</v>
      </c>
      <c r="M59" s="8">
        <v>45093</v>
      </c>
      <c r="N59" s="8">
        <v>45093</v>
      </c>
      <c r="O59" s="8">
        <v>45184</v>
      </c>
      <c r="P59" s="8">
        <v>45184</v>
      </c>
      <c r="Q59" s="229">
        <v>54942</v>
      </c>
      <c r="R59" s="115" t="str" cm="1">
        <f t="array" aca="1" ref="R59" ca="1">TRIM(SUBSTITUTE(_xlfn.ARRAYTOTEXT(IFERROR(CONCATENATE(SUMIF(INDIRECT("'"&amp;Assemblies[Assy]&amp;"'!"&amp;"C$5:C1000"), $A59, INDIRECT("'"&amp;Assemblies[Assy]&amp;"'!"&amp;"O$5:O1000")), "x",Assemblies[Assy],".",IF(SUMIF(INDIRECT("'"&amp;Assemblies[Assy]&amp;"'!"&amp;"C$5:C1000"), $A59, INDIRECT("'"&amp;Assemblies[Assy]&amp;"'!"&amp;"A$5:A1000"))=0,NA(),SUMIF(INDIRECT("'"&amp;Assemblies[Assy]&amp;"'!"&amp;"C$5:C1000"), $A59, INDIRECT("'"&amp;Assemblies[Assy]&amp;"'!"&amp;"A$5:A1000")))),"")), " ,", ""))</f>
        <v>,</v>
      </c>
      <c r="S59" s="56" t="s">
        <v>1382</v>
      </c>
      <c r="T59" s="2" t="s">
        <v>1382</v>
      </c>
      <c r="U59" s="2" t="s">
        <v>1382</v>
      </c>
      <c r="V59" s="2" t="s">
        <v>1382</v>
      </c>
    </row>
    <row r="60" spans="1:22" ht="12.75" customHeight="1">
      <c r="A60" s="247" t="s">
        <v>360</v>
      </c>
      <c r="B60" s="161" t="s">
        <v>2694</v>
      </c>
      <c r="C60" s="203">
        <v>14.042899999999999</v>
      </c>
      <c r="D60" s="5">
        <v>1</v>
      </c>
      <c r="E60" s="5" t="e" cm="1">
        <f t="array" aca="1" ref="E60" ca="1">SUMPRODUCT(SUMIF(INDIRECT("'"&amp;Assemblies[Assy]&amp;"'!"&amp;"C:C"),$A60,(INDIRECT("'"&amp;Assemblies[Assy]&amp;"'!"&amp;"O:O"))))</f>
        <v>#VALUE!</v>
      </c>
      <c r="F60" s="5" t="e">
        <f t="shared" ca="1" si="0"/>
        <v>#VALUE!</v>
      </c>
      <c r="G60" s="5">
        <v>12</v>
      </c>
      <c r="H60" s="2">
        <v>12</v>
      </c>
      <c r="I60" s="117" t="s">
        <v>1760</v>
      </c>
      <c r="J60" s="117" t="s">
        <v>2647</v>
      </c>
      <c r="K60" s="135" t="s">
        <v>1382</v>
      </c>
      <c r="L60" s="2" t="s">
        <v>1382</v>
      </c>
      <c r="M60" s="8" t="s">
        <v>1762</v>
      </c>
      <c r="N60" s="8">
        <v>45162</v>
      </c>
      <c r="O60" s="8">
        <v>45184</v>
      </c>
      <c r="P60" s="8">
        <v>45197</v>
      </c>
      <c r="Q60" s="229">
        <v>55073</v>
      </c>
      <c r="R60" s="115" t="str" cm="1">
        <f t="array" aca="1" ref="R60" ca="1">TRIM(SUBSTITUTE(_xlfn.ARRAYTOTEXT(IFERROR(CONCATENATE(SUMIF(INDIRECT("'"&amp;Assemblies[Assy]&amp;"'!"&amp;"C$5:C1000"), $A60, INDIRECT("'"&amp;Assemblies[Assy]&amp;"'!"&amp;"O$5:O1000")), "x",Assemblies[Assy],".",IF(SUMIF(INDIRECT("'"&amp;Assemblies[Assy]&amp;"'!"&amp;"C$5:C1000"), $A60, INDIRECT("'"&amp;Assemblies[Assy]&amp;"'!"&amp;"A$5:A1000"))=0,NA(),SUMIF(INDIRECT("'"&amp;Assemblies[Assy]&amp;"'!"&amp;"C$5:C1000"), $A60, INDIRECT("'"&amp;Assemblies[Assy]&amp;"'!"&amp;"A$5:A1000")))),"")), " ,", ""))</f>
        <v>,</v>
      </c>
      <c r="S60" s="56" t="s">
        <v>1382</v>
      </c>
      <c r="T60" s="2" t="s">
        <v>1382</v>
      </c>
      <c r="U60" s="2" t="s">
        <v>1382</v>
      </c>
      <c r="V60" s="2" t="s">
        <v>1382</v>
      </c>
    </row>
    <row r="61" spans="1:22" ht="12.75" customHeight="1">
      <c r="A61" s="133" t="s">
        <v>691</v>
      </c>
      <c r="B61" s="2" t="s">
        <v>2695</v>
      </c>
      <c r="C61" s="203">
        <v>19.057099999999998</v>
      </c>
      <c r="D61" s="5">
        <v>1</v>
      </c>
      <c r="E61" s="5" t="e" cm="1">
        <f t="array" aca="1" ref="E61" ca="1">SUMPRODUCT(SUMIF(INDIRECT("'"&amp;Assemblies[Assy]&amp;"'!"&amp;"C:C"),$A61,(INDIRECT("'"&amp;Assemblies[Assy]&amp;"'!"&amp;"O:O"))))</f>
        <v>#VALUE!</v>
      </c>
      <c r="F61" s="5" t="e">
        <f t="shared" ca="1" si="0"/>
        <v>#VALUE!</v>
      </c>
      <c r="G61" s="5">
        <v>7</v>
      </c>
      <c r="H61" s="2">
        <v>7</v>
      </c>
      <c r="I61" s="117" t="s">
        <v>1760</v>
      </c>
      <c r="J61" s="117" t="s">
        <v>2647</v>
      </c>
      <c r="K61" s="135" t="s">
        <v>1382</v>
      </c>
      <c r="L61" s="2" t="s">
        <v>1382</v>
      </c>
      <c r="M61" s="8" t="s">
        <v>1762</v>
      </c>
      <c r="N61" s="8">
        <v>45162</v>
      </c>
      <c r="O61" s="8">
        <v>45184</v>
      </c>
      <c r="P61" s="8">
        <v>45197</v>
      </c>
      <c r="Q61" s="229" t="s">
        <v>2696</v>
      </c>
      <c r="R61" s="115" t="str" cm="1">
        <f t="array" aca="1" ref="R61" ca="1">TRIM(SUBSTITUTE(_xlfn.ARRAYTOTEXT(IFERROR(CONCATENATE(SUMIF(INDIRECT("'"&amp;Assemblies[Assy]&amp;"'!"&amp;"C$5:C1000"), $A61, INDIRECT("'"&amp;Assemblies[Assy]&amp;"'!"&amp;"O$5:O1000")), "x",Assemblies[Assy],".",IF(SUMIF(INDIRECT("'"&amp;Assemblies[Assy]&amp;"'!"&amp;"C$5:C1000"), $A61, INDIRECT("'"&amp;Assemblies[Assy]&amp;"'!"&amp;"A$5:A1000"))=0,NA(),SUMIF(INDIRECT("'"&amp;Assemblies[Assy]&amp;"'!"&amp;"C$5:C1000"), $A61, INDIRECT("'"&amp;Assemblies[Assy]&amp;"'!"&amp;"A$5:A1000")))),"")), " ,", ""))</f>
        <v>,</v>
      </c>
      <c r="S61" s="56" t="s">
        <v>1382</v>
      </c>
      <c r="T61" s="2" t="s">
        <v>1382</v>
      </c>
      <c r="U61" s="2" t="s">
        <v>1382</v>
      </c>
      <c r="V61" s="2" t="s">
        <v>1382</v>
      </c>
    </row>
    <row r="62" spans="1:22" ht="12.75" customHeight="1">
      <c r="A62" s="133" t="s">
        <v>2697</v>
      </c>
      <c r="B62" s="2" t="s">
        <v>2698</v>
      </c>
      <c r="C62" s="203">
        <v>7.3285999999999998</v>
      </c>
      <c r="D62" s="5">
        <v>1</v>
      </c>
      <c r="E62" s="5" cm="1">
        <f t="array" aca="1" ref="E62" ca="1">SUMPRODUCT(SUMIF(INDIRECT("'"&amp;Assemblies[Assy]&amp;"'!"&amp;"C:C"),$A62,(INDIRECT("'"&amp;Assemblies[Assy]&amp;"'!"&amp;"O:O"))))</f>
        <v>0</v>
      </c>
      <c r="F62" s="5">
        <f t="shared" ca="1" si="0"/>
        <v>0</v>
      </c>
      <c r="G62" s="5">
        <v>0</v>
      </c>
      <c r="I62" s="117" t="s">
        <v>1760</v>
      </c>
      <c r="J62" s="117" t="s">
        <v>2647</v>
      </c>
      <c r="K62" s="135" t="s">
        <v>1382</v>
      </c>
      <c r="L62" s="2" t="s">
        <v>1382</v>
      </c>
      <c r="M62" s="8" t="s">
        <v>1762</v>
      </c>
      <c r="N62" s="8">
        <v>45162</v>
      </c>
      <c r="O62" s="8">
        <v>45184</v>
      </c>
      <c r="P62" s="8">
        <v>45197</v>
      </c>
      <c r="Q62" s="229">
        <v>55073</v>
      </c>
      <c r="R62" s="115" t="str" cm="1">
        <f t="array" aca="1" ref="R62" ca="1">TRIM(SUBSTITUTE(_xlfn.ARRAYTOTEXT(IFERROR(CONCATENATE(SUMIF(INDIRECT("'"&amp;Assemblies[Assy]&amp;"'!"&amp;"C$5:C1000"), $A62, INDIRECT("'"&amp;Assemblies[Assy]&amp;"'!"&amp;"O$5:O1000")), "x",Assemblies[Assy],".",IF(SUMIF(INDIRECT("'"&amp;Assemblies[Assy]&amp;"'!"&amp;"C$5:C1000"), $A62, INDIRECT("'"&amp;Assemblies[Assy]&amp;"'!"&amp;"A$5:A1000"))=0,NA(),SUMIF(INDIRECT("'"&amp;Assemblies[Assy]&amp;"'!"&amp;"C$5:C1000"), $A62, INDIRECT("'"&amp;Assemblies[Assy]&amp;"'!"&amp;"A$5:A1000")))),"")), " ,", ""))</f>
        <v>,</v>
      </c>
      <c r="S62" s="56" t="s">
        <v>1382</v>
      </c>
      <c r="T62" s="2" t="s">
        <v>1382</v>
      </c>
      <c r="U62" s="2" t="s">
        <v>1382</v>
      </c>
      <c r="V62" s="2" t="s">
        <v>1382</v>
      </c>
    </row>
    <row r="63" spans="1:22" ht="12.75" customHeight="1">
      <c r="A63" s="133" t="s">
        <v>280</v>
      </c>
      <c r="B63" s="2" t="s">
        <v>2699</v>
      </c>
      <c r="C63" s="203">
        <v>0.77139999999999997</v>
      </c>
      <c r="D63" s="5">
        <v>1</v>
      </c>
      <c r="E63" s="5" t="e" cm="1">
        <f t="array" aca="1" ref="E63" ca="1">SUMPRODUCT(SUMIF(INDIRECT("'"&amp;Assemblies[Assy]&amp;"'!"&amp;"C:C"),$A63,(INDIRECT("'"&amp;Assemblies[Assy]&amp;"'!"&amp;"O:O"))))</f>
        <v>#VALUE!</v>
      </c>
      <c r="F63" s="5" t="e">
        <f t="shared" ca="1" si="0"/>
        <v>#VALUE!</v>
      </c>
      <c r="G63" s="5">
        <v>350</v>
      </c>
      <c r="H63" s="2">
        <v>350</v>
      </c>
      <c r="I63" s="117" t="s">
        <v>1760</v>
      </c>
      <c r="J63" s="117" t="s">
        <v>2647</v>
      </c>
      <c r="K63" s="135" t="s">
        <v>1382</v>
      </c>
      <c r="L63" s="2" t="s">
        <v>1779</v>
      </c>
      <c r="M63" s="8">
        <v>45104</v>
      </c>
      <c r="N63" s="8">
        <v>45105</v>
      </c>
      <c r="O63" s="8">
        <v>45133</v>
      </c>
      <c r="P63" s="8">
        <v>45133</v>
      </c>
      <c r="Q63" s="229">
        <v>54968</v>
      </c>
      <c r="R63" s="115" t="str" cm="1">
        <f t="array" aca="1" ref="R63" ca="1">TRIM(SUBSTITUTE(_xlfn.ARRAYTOTEXT(IFERROR(CONCATENATE(SUMIF(INDIRECT("'"&amp;Assemblies[Assy]&amp;"'!"&amp;"C$5:C1000"), $A63, INDIRECT("'"&amp;Assemblies[Assy]&amp;"'!"&amp;"O$5:O1000")), "x",Assemblies[Assy],".",IF(SUMIF(INDIRECT("'"&amp;Assemblies[Assy]&amp;"'!"&amp;"C$5:C1000"), $A63, INDIRECT("'"&amp;Assemblies[Assy]&amp;"'!"&amp;"A$5:A1000"))=0,NA(),SUMIF(INDIRECT("'"&amp;Assemblies[Assy]&amp;"'!"&amp;"C$5:C1000"), $A63, INDIRECT("'"&amp;Assemblies[Assy]&amp;"'!"&amp;"A$5:A1000")))),"")), " ,", ""))</f>
        <v>,</v>
      </c>
      <c r="S63" s="56" t="s">
        <v>1382</v>
      </c>
      <c r="T63" s="2" t="s">
        <v>1382</v>
      </c>
      <c r="U63" s="2" t="s">
        <v>1382</v>
      </c>
      <c r="V63" s="2" t="s">
        <v>1382</v>
      </c>
    </row>
    <row r="64" spans="1:22" ht="12.75" customHeight="1">
      <c r="A64" s="133" t="s">
        <v>690</v>
      </c>
      <c r="B64" s="2" t="s">
        <v>2700</v>
      </c>
      <c r="C64" s="203">
        <v>0.98570000000000002</v>
      </c>
      <c r="D64" s="5">
        <v>1</v>
      </c>
      <c r="E64" s="5" t="e" cm="1">
        <f t="array" aca="1" ref="E64" ca="1">SUMPRODUCT(SUMIF(INDIRECT("'"&amp;Assemblies[Assy]&amp;"'!"&amp;"C:C"),$A64,(INDIRECT("'"&amp;Assemblies[Assy]&amp;"'!"&amp;"O:O"))))</f>
        <v>#VALUE!</v>
      </c>
      <c r="F64" s="5" t="e">
        <f t="shared" ca="1" si="0"/>
        <v>#VALUE!</v>
      </c>
      <c r="G64" s="5">
        <v>100</v>
      </c>
      <c r="H64" s="2">
        <v>100</v>
      </c>
      <c r="I64" s="117" t="s">
        <v>1760</v>
      </c>
      <c r="J64" s="117" t="s">
        <v>2647</v>
      </c>
      <c r="K64" s="135" t="s">
        <v>1382</v>
      </c>
      <c r="L64" s="2" t="s">
        <v>1779</v>
      </c>
      <c r="M64" s="8">
        <v>45104</v>
      </c>
      <c r="N64" s="8">
        <v>45105</v>
      </c>
      <c r="O64" s="8">
        <v>45133</v>
      </c>
      <c r="P64" s="8">
        <v>45133</v>
      </c>
      <c r="Q64" s="229">
        <v>54968</v>
      </c>
      <c r="R64" s="115" t="str" cm="1">
        <f t="array" aca="1" ref="R64" ca="1">TRIM(SUBSTITUTE(_xlfn.ARRAYTOTEXT(IFERROR(CONCATENATE(SUMIF(INDIRECT("'"&amp;Assemblies[Assy]&amp;"'!"&amp;"C$5:C1000"), $A64, INDIRECT("'"&amp;Assemblies[Assy]&amp;"'!"&amp;"O$5:O1000")), "x",Assemblies[Assy],".",IF(SUMIF(INDIRECT("'"&amp;Assemblies[Assy]&amp;"'!"&amp;"C$5:C1000"), $A64, INDIRECT("'"&amp;Assemblies[Assy]&amp;"'!"&amp;"A$5:A1000"))=0,NA(),SUMIF(INDIRECT("'"&amp;Assemblies[Assy]&amp;"'!"&amp;"C$5:C1000"), $A64, INDIRECT("'"&amp;Assemblies[Assy]&amp;"'!"&amp;"A$5:A1000")))),"")), " ,", ""))</f>
        <v>,</v>
      </c>
      <c r="S64" s="56" t="s">
        <v>1382</v>
      </c>
      <c r="T64" s="2" t="s">
        <v>1382</v>
      </c>
      <c r="U64" s="2" t="s">
        <v>1382</v>
      </c>
      <c r="V64" s="2" t="s">
        <v>1382</v>
      </c>
    </row>
    <row r="65" spans="1:22" ht="12.75" customHeight="1">
      <c r="A65" s="133" t="s">
        <v>594</v>
      </c>
      <c r="B65" s="2" t="s">
        <v>2701</v>
      </c>
      <c r="C65" s="203">
        <v>0.98570000000000002</v>
      </c>
      <c r="D65" s="5">
        <v>1</v>
      </c>
      <c r="E65" s="5" t="e" cm="1">
        <f t="array" aca="1" ref="E65" ca="1">SUMPRODUCT(SUMIF(INDIRECT("'"&amp;Assemblies[Assy]&amp;"'!"&amp;"C:C"),$A65,(INDIRECT("'"&amp;Assemblies[Assy]&amp;"'!"&amp;"O:O"))))</f>
        <v>#VALUE!</v>
      </c>
      <c r="F65" s="5" t="e">
        <f t="shared" ca="1" si="0"/>
        <v>#VALUE!</v>
      </c>
      <c r="G65" s="5">
        <v>25</v>
      </c>
      <c r="H65" s="2">
        <v>25</v>
      </c>
      <c r="I65" s="117" t="s">
        <v>1760</v>
      </c>
      <c r="J65" s="117" t="s">
        <v>2647</v>
      </c>
      <c r="K65" s="135" t="s">
        <v>1382</v>
      </c>
      <c r="L65" s="2" t="s">
        <v>1382</v>
      </c>
      <c r="M65" s="8">
        <v>45104</v>
      </c>
      <c r="N65" s="8">
        <v>45105</v>
      </c>
      <c r="O65" s="8">
        <v>45133</v>
      </c>
      <c r="P65" s="8">
        <v>45133</v>
      </c>
      <c r="Q65" s="229">
        <v>54968</v>
      </c>
      <c r="R65" s="115" t="str" cm="1">
        <f t="array" aca="1" ref="R65" ca="1">TRIM(SUBSTITUTE(_xlfn.ARRAYTOTEXT(IFERROR(CONCATENATE(SUMIF(INDIRECT("'"&amp;Assemblies[Assy]&amp;"'!"&amp;"C$5:C1000"), $A65, INDIRECT("'"&amp;Assemblies[Assy]&amp;"'!"&amp;"O$5:O1000")), "x",Assemblies[Assy],".",IF(SUMIF(INDIRECT("'"&amp;Assemblies[Assy]&amp;"'!"&amp;"C$5:C1000"), $A65, INDIRECT("'"&amp;Assemblies[Assy]&amp;"'!"&amp;"A$5:A1000"))=0,NA(),SUMIF(INDIRECT("'"&amp;Assemblies[Assy]&amp;"'!"&amp;"C$5:C1000"), $A65, INDIRECT("'"&amp;Assemblies[Assy]&amp;"'!"&amp;"A$5:A1000")))),"")), " ,", ""))</f>
        <v>,</v>
      </c>
      <c r="S65" s="56" t="s">
        <v>1382</v>
      </c>
      <c r="T65" s="2" t="s">
        <v>1382</v>
      </c>
      <c r="U65" s="2" t="s">
        <v>1382</v>
      </c>
      <c r="V65" s="2" t="s">
        <v>1382</v>
      </c>
    </row>
    <row r="66" spans="1:22" ht="12.75" customHeight="1">
      <c r="A66" s="133" t="s">
        <v>475</v>
      </c>
      <c r="B66" s="2" t="s">
        <v>2702</v>
      </c>
      <c r="C66" s="168">
        <v>0.97140000000000004</v>
      </c>
      <c r="D66" s="5">
        <v>1</v>
      </c>
      <c r="E66" s="5" t="e" cm="1">
        <f t="array" aca="1" ref="E66" ca="1">SUMPRODUCT(SUMIF(INDIRECT("'"&amp;Assemblies[Assy]&amp;"'!"&amp;"C:C"),$A66,(INDIRECT("'"&amp;Assemblies[Assy]&amp;"'!"&amp;"O:O"))))</f>
        <v>#VALUE!</v>
      </c>
      <c r="F66" s="5" t="e">
        <f t="shared" ref="F66:F129" ca="1" si="1">E66/D66</f>
        <v>#VALUE!</v>
      </c>
      <c r="G66" s="5">
        <v>0</v>
      </c>
      <c r="H66" s="2">
        <v>1</v>
      </c>
      <c r="I66" s="117" t="s">
        <v>1760</v>
      </c>
      <c r="J66" s="117" t="s">
        <v>2647</v>
      </c>
      <c r="L66" s="2" t="s">
        <v>2703</v>
      </c>
      <c r="R66" s="115" t="str" cm="1">
        <f t="array" aca="1" ref="R66" ca="1">TRIM(SUBSTITUTE(_xlfn.ARRAYTOTEXT(IFERROR(CONCATENATE(SUMIF(INDIRECT("'"&amp;Assemblies!$B$2:$B$152&amp;"'!"&amp;"C$5:C1000"), $A66, INDIRECT("'"&amp;Assemblies!$B$2:$B$152&amp;"'!"&amp;"O$5:O1000")), "x",Assemblies!$B$2:$B$152,".",IF(SUMIF(INDIRECT("'"&amp;Assemblies!$B$2:$B$152&amp;"'!"&amp;"C$5:C1000"), $A66, INDIRECT("'"&amp;Assemblies!$B$2:$B$152&amp;"'!"&amp;"A$5:A1000"))=0,NA(),SUMIF(INDIRECT("'"&amp;Assemblies!$B$2:$B$152&amp;"'!"&amp;"C$5:C1000"), $A66, INDIRECT("'"&amp;Assemblies!$B$2:$B$152&amp;"'!"&amp;"A$5:A1000")))),"")), " ,", ""))</f>
        <v>,</v>
      </c>
      <c r="S66" s="56" t="s">
        <v>1382</v>
      </c>
      <c r="T66" s="2" t="s">
        <v>1382</v>
      </c>
      <c r="U66" s="2" t="s">
        <v>1382</v>
      </c>
      <c r="V66" s="2" t="s">
        <v>1382</v>
      </c>
    </row>
    <row r="67" spans="1:22" ht="12.75" customHeight="1">
      <c r="A67" s="133" t="s">
        <v>325</v>
      </c>
      <c r="B67" s="2" t="s">
        <v>2704</v>
      </c>
      <c r="C67" s="203">
        <v>0.64290000000000003</v>
      </c>
      <c r="D67" s="5">
        <v>1</v>
      </c>
      <c r="E67" s="5" t="e" cm="1">
        <f t="array" aca="1" ref="E67" ca="1">SUMPRODUCT(SUMIF(INDIRECT("'"&amp;Assemblies[Assy]&amp;"'!"&amp;"C:C"),$A67,(INDIRECT("'"&amp;Assemblies[Assy]&amp;"'!"&amp;"O:O"))))</f>
        <v>#VALUE!</v>
      </c>
      <c r="F67" s="5" t="e">
        <f t="shared" ca="1" si="1"/>
        <v>#VALUE!</v>
      </c>
      <c r="G67" s="5">
        <v>164</v>
      </c>
      <c r="H67" s="2">
        <v>164</v>
      </c>
      <c r="I67" s="117" t="s">
        <v>1760</v>
      </c>
      <c r="J67" s="117" t="s">
        <v>2647</v>
      </c>
      <c r="K67" s="135" t="s">
        <v>1382</v>
      </c>
      <c r="L67" s="2" t="s">
        <v>2705</v>
      </c>
      <c r="M67" s="8">
        <v>45104</v>
      </c>
      <c r="N67" s="8">
        <v>45105</v>
      </c>
      <c r="O67" s="8">
        <v>45133</v>
      </c>
      <c r="P67" s="8">
        <v>45133</v>
      </c>
      <c r="Q67" s="229">
        <v>54968</v>
      </c>
      <c r="R67" s="115" t="str" cm="1">
        <f t="array" aca="1" ref="R67" ca="1">TRIM(SUBSTITUTE(_xlfn.ARRAYTOTEXT(IFERROR(CONCATENATE(SUMIF(INDIRECT("'"&amp;Assemblies[Assy]&amp;"'!"&amp;"C$5:C1000"), $A67, INDIRECT("'"&amp;Assemblies[Assy]&amp;"'!"&amp;"O$5:O1000")), "x",Assemblies[Assy],".",IF(SUMIF(INDIRECT("'"&amp;Assemblies[Assy]&amp;"'!"&amp;"C$5:C1000"), $A67, INDIRECT("'"&amp;Assemblies[Assy]&amp;"'!"&amp;"A$5:A1000"))=0,NA(),SUMIF(INDIRECT("'"&amp;Assemblies[Assy]&amp;"'!"&amp;"C$5:C1000"), $A67, INDIRECT("'"&amp;Assemblies[Assy]&amp;"'!"&amp;"A$5:A1000")))),"")), " ,", ""))</f>
        <v>,</v>
      </c>
      <c r="S67" s="56" t="s">
        <v>1382</v>
      </c>
      <c r="T67" s="2" t="s">
        <v>1382</v>
      </c>
      <c r="U67" s="2" t="s">
        <v>1382</v>
      </c>
      <c r="V67" s="2" t="s">
        <v>1382</v>
      </c>
    </row>
    <row r="68" spans="1:22" ht="12.75" customHeight="1">
      <c r="A68" s="133" t="s">
        <v>286</v>
      </c>
      <c r="B68" s="2" t="s">
        <v>2706</v>
      </c>
      <c r="C68" s="203">
        <v>0.64290000000000003</v>
      </c>
      <c r="D68" s="5">
        <v>1</v>
      </c>
      <c r="E68" s="5" t="e" cm="1">
        <f t="array" aca="1" ref="E68" ca="1">SUMPRODUCT(SUMIF(INDIRECT("'"&amp;Assemblies[Assy]&amp;"'!"&amp;"C:C"),$A68,(INDIRECT("'"&amp;Assemblies[Assy]&amp;"'!"&amp;"O:O"))))</f>
        <v>#VALUE!</v>
      </c>
      <c r="F68" s="5" t="e">
        <f t="shared" ca="1" si="1"/>
        <v>#VALUE!</v>
      </c>
      <c r="G68" s="5">
        <v>400</v>
      </c>
      <c r="H68" s="2">
        <v>250</v>
      </c>
      <c r="I68" s="117" t="s">
        <v>1760</v>
      </c>
      <c r="J68" s="117" t="s">
        <v>2647</v>
      </c>
      <c r="K68" s="135" t="s">
        <v>1382</v>
      </c>
      <c r="M68" s="8">
        <v>45104</v>
      </c>
      <c r="N68" s="8">
        <v>45105</v>
      </c>
      <c r="O68" s="8">
        <v>45133</v>
      </c>
      <c r="P68" s="8">
        <v>45133</v>
      </c>
      <c r="Q68" s="229" t="s">
        <v>2707</v>
      </c>
      <c r="R68" s="115" t="str" cm="1">
        <f t="array" aca="1" ref="R68" ca="1">TRIM(SUBSTITUTE(_xlfn.ARRAYTOTEXT(IFERROR(CONCATENATE(SUMIF(INDIRECT("'"&amp;Assemblies[Assy]&amp;"'!"&amp;"C$5:C1000"), $A68, INDIRECT("'"&amp;Assemblies[Assy]&amp;"'!"&amp;"O$5:O1000")), "x",Assemblies[Assy],".",IF(SUMIF(INDIRECT("'"&amp;Assemblies[Assy]&amp;"'!"&amp;"C$5:C1000"), $A68, INDIRECT("'"&amp;Assemblies[Assy]&amp;"'!"&amp;"A$5:A1000"))=0,NA(),SUMIF(INDIRECT("'"&amp;Assemblies[Assy]&amp;"'!"&amp;"C$5:C1000"), $A68, INDIRECT("'"&amp;Assemblies[Assy]&amp;"'!"&amp;"A$5:A1000")))),"")), " ,", ""))</f>
        <v>,</v>
      </c>
      <c r="S68" s="56" t="s">
        <v>1382</v>
      </c>
      <c r="T68" s="2" t="s">
        <v>1382</v>
      </c>
      <c r="U68" s="2" t="s">
        <v>1382</v>
      </c>
      <c r="V68" s="2" t="s">
        <v>1382</v>
      </c>
    </row>
    <row r="69" spans="1:22" ht="12.75" customHeight="1">
      <c r="A69" s="133" t="s">
        <v>262</v>
      </c>
      <c r="B69" s="2" t="s">
        <v>2708</v>
      </c>
      <c r="C69" s="203">
        <v>0.64290000000000003</v>
      </c>
      <c r="D69" s="5">
        <v>1</v>
      </c>
      <c r="E69" s="5" t="e" cm="1">
        <f t="array" aca="1" ref="E69" ca="1">SUMPRODUCT(SUMIF(INDIRECT("'"&amp;Assemblies[Assy]&amp;"'!"&amp;"C:C"),$A69,(INDIRECT("'"&amp;Assemblies[Assy]&amp;"'!"&amp;"O:O"))))</f>
        <v>#VALUE!</v>
      </c>
      <c r="F69" s="5" t="e">
        <f t="shared" ca="1" si="1"/>
        <v>#VALUE!</v>
      </c>
      <c r="G69" s="5">
        <v>1000</v>
      </c>
      <c r="H69" s="2">
        <v>1000</v>
      </c>
      <c r="I69" s="117" t="s">
        <v>1760</v>
      </c>
      <c r="J69" s="117" t="s">
        <v>2647</v>
      </c>
      <c r="K69" s="135" t="s">
        <v>1382</v>
      </c>
      <c r="L69" s="2" t="s">
        <v>1779</v>
      </c>
      <c r="M69" s="8">
        <v>45104</v>
      </c>
      <c r="N69" s="8">
        <v>45105</v>
      </c>
      <c r="O69" s="8">
        <v>45133</v>
      </c>
      <c r="P69" s="8">
        <v>45133</v>
      </c>
      <c r="Q69" s="229" t="s">
        <v>2709</v>
      </c>
      <c r="R69" s="115" t="str" cm="1">
        <f t="array" aca="1" ref="R69" ca="1">TRIM(SUBSTITUTE(_xlfn.ARRAYTOTEXT(IFERROR(CONCATENATE(SUMIF(INDIRECT("'"&amp;Assemblies[Assy]&amp;"'!"&amp;"C$5:C1000"), $A69, INDIRECT("'"&amp;Assemblies[Assy]&amp;"'!"&amp;"O$5:O1000")), "x",Assemblies[Assy],".",IF(SUMIF(INDIRECT("'"&amp;Assemblies[Assy]&amp;"'!"&amp;"C$5:C1000"), $A69, INDIRECT("'"&amp;Assemblies[Assy]&amp;"'!"&amp;"A$5:A1000"))=0,NA(),SUMIF(INDIRECT("'"&amp;Assemblies[Assy]&amp;"'!"&amp;"C$5:C1000"), $A69, INDIRECT("'"&amp;Assemblies[Assy]&amp;"'!"&amp;"A$5:A1000")))),"")), " ,", ""))</f>
        <v>,</v>
      </c>
      <c r="S69" s="56" t="s">
        <v>1382</v>
      </c>
      <c r="T69" s="2" t="s">
        <v>1382</v>
      </c>
      <c r="U69" s="2" t="s">
        <v>1382</v>
      </c>
      <c r="V69" s="2" t="s">
        <v>1382</v>
      </c>
    </row>
    <row r="70" spans="1:22" ht="12.75" customHeight="1">
      <c r="A70" s="133" t="s">
        <v>256</v>
      </c>
      <c r="B70" s="157" t="s">
        <v>2710</v>
      </c>
      <c r="C70" s="204">
        <v>0.64290000000000003</v>
      </c>
      <c r="D70" s="5">
        <v>1</v>
      </c>
      <c r="E70" s="5" t="e" cm="1">
        <f t="array" aca="1" ref="E70" ca="1">SUMPRODUCT(SUMIF(INDIRECT("'"&amp;Assemblies[Assy]&amp;"'!"&amp;"C:C"),$A70,(INDIRECT("'"&amp;Assemblies[Assy]&amp;"'!"&amp;"O:O"))))</f>
        <v>#VALUE!</v>
      </c>
      <c r="F70" s="5" t="e">
        <f t="shared" ca="1" si="1"/>
        <v>#VALUE!</v>
      </c>
      <c r="G70" s="5">
        <v>600</v>
      </c>
      <c r="H70" s="2">
        <v>600</v>
      </c>
      <c r="I70" s="117" t="s">
        <v>1760</v>
      </c>
      <c r="J70" s="117" t="s">
        <v>2647</v>
      </c>
      <c r="K70" s="135" t="s">
        <v>1382</v>
      </c>
      <c r="L70" s="2" t="s">
        <v>1779</v>
      </c>
      <c r="M70" s="8">
        <v>45104</v>
      </c>
      <c r="N70" s="8">
        <v>45105</v>
      </c>
      <c r="O70" s="8">
        <v>45133</v>
      </c>
      <c r="P70" s="8">
        <v>45133</v>
      </c>
      <c r="Q70" s="229" t="s">
        <v>2711</v>
      </c>
      <c r="R70" s="115" t="str" cm="1">
        <f t="array" aca="1" ref="R70" ca="1">TRIM(SUBSTITUTE(_xlfn.ARRAYTOTEXT(IFERROR(CONCATENATE(SUMIF(INDIRECT("'"&amp;Assemblies[Assy]&amp;"'!"&amp;"C$5:C1000"), $A70, INDIRECT("'"&amp;Assemblies[Assy]&amp;"'!"&amp;"O$5:O1000")), "x",Assemblies[Assy],".",IF(SUMIF(INDIRECT("'"&amp;Assemblies[Assy]&amp;"'!"&amp;"C$5:C1000"), $A70, INDIRECT("'"&amp;Assemblies[Assy]&amp;"'!"&amp;"A$5:A1000"))=0,NA(),SUMIF(INDIRECT("'"&amp;Assemblies[Assy]&amp;"'!"&amp;"C$5:C1000"), $A70, INDIRECT("'"&amp;Assemblies[Assy]&amp;"'!"&amp;"A$5:A1000")))),"")), " ,", ""))</f>
        <v>,</v>
      </c>
      <c r="S70" s="56" t="s">
        <v>1382</v>
      </c>
      <c r="T70" s="2" t="s">
        <v>1382</v>
      </c>
      <c r="U70" s="2" t="s">
        <v>1382</v>
      </c>
      <c r="V70" s="2" t="s">
        <v>1382</v>
      </c>
    </row>
    <row r="71" spans="1:22" ht="12.75" customHeight="1">
      <c r="A71" s="133" t="s">
        <v>244</v>
      </c>
      <c r="B71" s="2" t="s">
        <v>2712</v>
      </c>
      <c r="C71" s="203">
        <v>5.2857000000000003</v>
      </c>
      <c r="D71" s="5">
        <v>1</v>
      </c>
      <c r="E71" s="5" t="e" cm="1">
        <f t="array" aca="1" ref="E71" ca="1">SUMPRODUCT(SUMIF(INDIRECT("'"&amp;Assemblies[Assy]&amp;"'!"&amp;"C:C"),$A71,(INDIRECT("'"&amp;Assemblies[Assy]&amp;"'!"&amp;"O:O"))))</f>
        <v>#VALUE!</v>
      </c>
      <c r="F71" s="5" t="e">
        <f t="shared" ca="1" si="1"/>
        <v>#VALUE!</v>
      </c>
      <c r="G71" s="5">
        <v>1017</v>
      </c>
      <c r="H71" s="2">
        <v>1017</v>
      </c>
      <c r="I71" s="117" t="s">
        <v>1760</v>
      </c>
      <c r="J71" s="117" t="s">
        <v>2647</v>
      </c>
      <c r="K71" s="135" t="s">
        <v>1382</v>
      </c>
      <c r="L71" s="2" t="s">
        <v>2713</v>
      </c>
      <c r="M71" s="8" t="s">
        <v>1762</v>
      </c>
      <c r="N71" s="8">
        <v>45089</v>
      </c>
      <c r="O71" s="8">
        <v>45124</v>
      </c>
      <c r="P71" s="8">
        <v>45124</v>
      </c>
      <c r="Q71" s="229" t="s">
        <v>2714</v>
      </c>
      <c r="R71" s="115" t="str" cm="1">
        <f t="array" aca="1" ref="R71" ca="1">TRIM(SUBSTITUTE(_xlfn.ARRAYTOTEXT(IFERROR(CONCATENATE(SUMIF(INDIRECT("'"&amp;Assemblies[Assy]&amp;"'!"&amp;"C$5:C1000"), $A71, INDIRECT("'"&amp;Assemblies[Assy]&amp;"'!"&amp;"O$5:O1000")), "x",Assemblies[Assy],".",IF(SUMIF(INDIRECT("'"&amp;Assemblies[Assy]&amp;"'!"&amp;"C$5:C1000"), $A71, INDIRECT("'"&amp;Assemblies[Assy]&amp;"'!"&amp;"A$5:A1000"))=0,NA(),SUMIF(INDIRECT("'"&amp;Assemblies[Assy]&amp;"'!"&amp;"C$5:C1000"), $A71, INDIRECT("'"&amp;Assemblies[Assy]&amp;"'!"&amp;"A$5:A1000")))),"")), " ,", ""))</f>
        <v>,</v>
      </c>
      <c r="S71" s="56" t="s">
        <v>1382</v>
      </c>
      <c r="T71" s="2" t="s">
        <v>1382</v>
      </c>
      <c r="U71" s="2" t="s">
        <v>1382</v>
      </c>
      <c r="V71" s="2" t="s">
        <v>1382</v>
      </c>
    </row>
    <row r="72" spans="1:22" ht="12.75" customHeight="1">
      <c r="A72" s="133" t="s">
        <v>243</v>
      </c>
      <c r="B72" s="2" t="s">
        <v>2715</v>
      </c>
      <c r="C72" s="203">
        <v>5.2857000000000003</v>
      </c>
      <c r="D72" s="5">
        <v>1</v>
      </c>
      <c r="E72" s="5" t="e" cm="1">
        <f t="array" aca="1" ref="E72" ca="1">SUMPRODUCT(SUMIF(INDIRECT("'"&amp;Assemblies[Assy]&amp;"'!"&amp;"C:C"),$A72,(INDIRECT("'"&amp;Assemblies[Assy]&amp;"'!"&amp;"O:O"))))</f>
        <v>#VALUE!</v>
      </c>
      <c r="F72" s="5" t="e">
        <f t="shared" ca="1" si="1"/>
        <v>#VALUE!</v>
      </c>
      <c r="G72" s="5">
        <v>500</v>
      </c>
      <c r="H72" s="2">
        <v>500</v>
      </c>
      <c r="I72" s="117" t="s">
        <v>1760</v>
      </c>
      <c r="J72" s="117" t="s">
        <v>2647</v>
      </c>
      <c r="K72" s="135" t="s">
        <v>1382</v>
      </c>
      <c r="L72" s="2" t="s">
        <v>1779</v>
      </c>
      <c r="M72" s="8" t="s">
        <v>1762</v>
      </c>
      <c r="N72" s="8">
        <v>45089</v>
      </c>
      <c r="O72" s="8">
        <v>45124</v>
      </c>
      <c r="P72" s="8">
        <v>45124</v>
      </c>
      <c r="Q72" s="229">
        <v>54927</v>
      </c>
      <c r="R72" s="115" t="str" cm="1">
        <f t="array" aca="1" ref="R72" ca="1">TRIM(SUBSTITUTE(_xlfn.ARRAYTOTEXT(IFERROR(CONCATENATE(SUMIF(INDIRECT("'"&amp;Assemblies[Assy]&amp;"'!"&amp;"C$5:C1000"), $A72, INDIRECT("'"&amp;Assemblies[Assy]&amp;"'!"&amp;"O$5:O1000")), "x",Assemblies[Assy],".",IF(SUMIF(INDIRECT("'"&amp;Assemblies[Assy]&amp;"'!"&amp;"C$5:C1000"), $A72, INDIRECT("'"&amp;Assemblies[Assy]&amp;"'!"&amp;"A$5:A1000"))=0,NA(),SUMIF(INDIRECT("'"&amp;Assemblies[Assy]&amp;"'!"&amp;"C$5:C1000"), $A72, INDIRECT("'"&amp;Assemblies[Assy]&amp;"'!"&amp;"A$5:A1000")))),"")), " ,", ""))</f>
        <v>,</v>
      </c>
      <c r="S72" s="56" t="s">
        <v>1382</v>
      </c>
      <c r="T72" s="2" t="s">
        <v>1382</v>
      </c>
      <c r="U72" s="2" t="s">
        <v>1382</v>
      </c>
      <c r="V72" s="2" t="s">
        <v>1382</v>
      </c>
    </row>
    <row r="73" spans="1:22" ht="12.75" customHeight="1">
      <c r="A73" s="133" t="s">
        <v>771</v>
      </c>
      <c r="B73" s="2" t="s">
        <v>2716</v>
      </c>
      <c r="C73" s="203">
        <v>25.428599999999999</v>
      </c>
      <c r="D73" s="5">
        <v>2</v>
      </c>
      <c r="E73" s="5" t="e" cm="1">
        <f t="array" aca="1" ref="E73" ca="1">SUMPRODUCT(SUMIF(INDIRECT("'"&amp;Assemblies[Assy]&amp;"'!"&amp;"C:C"),$A73,(INDIRECT("'"&amp;Assemblies[Assy]&amp;"'!"&amp;"O:O"))))</f>
        <v>#VALUE!</v>
      </c>
      <c r="F73" s="5" t="e">
        <f t="shared" ca="1" si="1"/>
        <v>#VALUE!</v>
      </c>
      <c r="G73" s="5">
        <v>30</v>
      </c>
      <c r="H73" s="2">
        <v>30</v>
      </c>
      <c r="I73" s="117" t="s">
        <v>1760</v>
      </c>
      <c r="J73" s="117" t="s">
        <v>2647</v>
      </c>
      <c r="K73" s="135" t="s">
        <v>1382</v>
      </c>
      <c r="L73" s="2" t="s">
        <v>1779</v>
      </c>
      <c r="M73" s="8" t="s">
        <v>1762</v>
      </c>
      <c r="N73" s="8">
        <v>45162</v>
      </c>
      <c r="O73" s="8">
        <v>45184</v>
      </c>
      <c r="P73" s="8">
        <v>45197</v>
      </c>
      <c r="Q73" s="229">
        <v>55073</v>
      </c>
      <c r="R73" s="115" t="str" cm="1">
        <f t="array" aca="1" ref="R73" ca="1">TRIM(SUBSTITUTE(_xlfn.ARRAYTOTEXT(IFERROR(CONCATENATE(SUMIF(INDIRECT("'"&amp;Assemblies[Assy]&amp;"'!"&amp;"C$5:C1000"), $A73, INDIRECT("'"&amp;Assemblies[Assy]&amp;"'!"&amp;"O$5:O1000")), "x",Assemblies[Assy],".",IF(SUMIF(INDIRECT("'"&amp;Assemblies[Assy]&amp;"'!"&amp;"C$5:C1000"), $A73, INDIRECT("'"&amp;Assemblies[Assy]&amp;"'!"&amp;"A$5:A1000"))=0,NA(),SUMIF(INDIRECT("'"&amp;Assemblies[Assy]&amp;"'!"&amp;"C$5:C1000"), $A73, INDIRECT("'"&amp;Assemblies[Assy]&amp;"'!"&amp;"A$5:A1000")))),"")), " ,", ""))</f>
        <v>,</v>
      </c>
      <c r="S73" s="56" t="s">
        <v>1382</v>
      </c>
      <c r="T73" s="2" t="s">
        <v>1382</v>
      </c>
      <c r="U73" s="2" t="s">
        <v>1382</v>
      </c>
      <c r="V73" s="2" t="s">
        <v>1382</v>
      </c>
    </row>
    <row r="74" spans="1:22" ht="12.75" customHeight="1">
      <c r="A74" s="247" t="s">
        <v>310</v>
      </c>
      <c r="B74" s="161" t="s">
        <v>2717</v>
      </c>
      <c r="C74" s="168">
        <v>1.0428999999999999</v>
      </c>
      <c r="D74" s="5">
        <v>1</v>
      </c>
      <c r="E74" s="5" t="e" cm="1">
        <f t="array" aca="1" ref="E74" ca="1">SUMPRODUCT(SUMIF(INDIRECT("'"&amp;Assemblies[Assy]&amp;"'!"&amp;"C:C"),$A74,(INDIRECT("'"&amp;Assemblies[Assy]&amp;"'!"&amp;"O:O"))))</f>
        <v>#VALUE!</v>
      </c>
      <c r="F74" s="5" t="e">
        <f t="shared" ca="1" si="1"/>
        <v>#VALUE!</v>
      </c>
      <c r="G74" s="5">
        <v>2</v>
      </c>
      <c r="H74" s="2">
        <v>2</v>
      </c>
      <c r="I74" s="117" t="s">
        <v>1760</v>
      </c>
      <c r="J74" s="117" t="s">
        <v>2647</v>
      </c>
      <c r="L74" s="2" t="s">
        <v>1382</v>
      </c>
      <c r="M74" s="8" t="s">
        <v>1762</v>
      </c>
      <c r="N74" s="8">
        <v>45196</v>
      </c>
      <c r="O74" s="8">
        <v>45203</v>
      </c>
      <c r="Q74" s="229">
        <v>55169</v>
      </c>
      <c r="R74" s="115" t="str" cm="1">
        <f t="array" aca="1" ref="R74" ca="1">TRIM(SUBSTITUTE(_xlfn.ARRAYTOTEXT(IFERROR(CONCATENATE(SUMIF(INDIRECT("'"&amp;Assemblies[Assy]&amp;"'!"&amp;"C$5:C1000"), $A74, INDIRECT("'"&amp;Assemblies[Assy]&amp;"'!"&amp;"O$5:O1000")), "x",Assemblies[Assy],".",IF(SUMIF(INDIRECT("'"&amp;Assemblies[Assy]&amp;"'!"&amp;"C$5:C1000"), $A74, INDIRECT("'"&amp;Assemblies[Assy]&amp;"'!"&amp;"A$5:A1000"))=0,NA(),SUMIF(INDIRECT("'"&amp;Assemblies[Assy]&amp;"'!"&amp;"C$5:C1000"), $A74, INDIRECT("'"&amp;Assemblies[Assy]&amp;"'!"&amp;"A$5:A1000")))),"")), " ,", ""))</f>
        <v>,</v>
      </c>
      <c r="S74" s="56" t="s">
        <v>1382</v>
      </c>
      <c r="T74" s="2" t="s">
        <v>1382</v>
      </c>
      <c r="U74" s="2" t="s">
        <v>1382</v>
      </c>
      <c r="V74" s="2" t="s">
        <v>1382</v>
      </c>
    </row>
    <row r="75" spans="1:22" ht="12.75" customHeight="1">
      <c r="A75" s="247" t="s">
        <v>800</v>
      </c>
      <c r="B75" s="161" t="s">
        <v>2718</v>
      </c>
      <c r="C75" s="168">
        <v>2.4571000000000001</v>
      </c>
      <c r="D75" s="5">
        <v>1</v>
      </c>
      <c r="E75" s="5" t="e" cm="1">
        <f t="array" aca="1" ref="E75" ca="1">SUMPRODUCT(SUMIF(INDIRECT("'"&amp;Assemblies[Assy]&amp;"'!"&amp;"C:C"),$A75,(INDIRECT("'"&amp;Assemblies[Assy]&amp;"'!"&amp;"O:O"))))</f>
        <v>#VALUE!</v>
      </c>
      <c r="F75" s="5" t="e">
        <f t="shared" ca="1" si="1"/>
        <v>#VALUE!</v>
      </c>
      <c r="G75" s="5">
        <v>4</v>
      </c>
      <c r="H75" s="2">
        <v>4</v>
      </c>
      <c r="I75" s="117" t="s">
        <v>1760</v>
      </c>
      <c r="J75" s="117" t="s">
        <v>2647</v>
      </c>
      <c r="L75" s="2" t="s">
        <v>1382</v>
      </c>
      <c r="M75" s="8" t="s">
        <v>1762</v>
      </c>
      <c r="N75" s="8">
        <v>45196</v>
      </c>
      <c r="O75" s="8">
        <v>45203</v>
      </c>
      <c r="Q75" s="229">
        <v>55169</v>
      </c>
      <c r="R75" s="115" t="str" cm="1">
        <f t="array" aca="1" ref="R75" ca="1">TRIM(SUBSTITUTE(_xlfn.ARRAYTOTEXT(IFERROR(CONCATENATE(SUMIF(INDIRECT("'"&amp;Assemblies[Assy]&amp;"'!"&amp;"C$5:C1000"), $A75, INDIRECT("'"&amp;Assemblies[Assy]&amp;"'!"&amp;"O$5:O1000")), "x",Assemblies[Assy],".",IF(SUMIF(INDIRECT("'"&amp;Assemblies[Assy]&amp;"'!"&amp;"C$5:C1000"), $A75, INDIRECT("'"&amp;Assemblies[Assy]&amp;"'!"&amp;"A$5:A1000"))=0,NA(),SUMIF(INDIRECT("'"&amp;Assemblies[Assy]&amp;"'!"&amp;"C$5:C1000"), $A75, INDIRECT("'"&amp;Assemblies[Assy]&amp;"'!"&amp;"A$5:A1000")))),"")), " ,", ""))</f>
        <v>,</v>
      </c>
      <c r="S75" s="56" t="s">
        <v>1382</v>
      </c>
      <c r="T75" s="2" t="s">
        <v>1382</v>
      </c>
      <c r="U75" s="2" t="s">
        <v>1382</v>
      </c>
      <c r="V75" s="2" t="s">
        <v>1382</v>
      </c>
    </row>
    <row r="76" spans="1:22" ht="12.75" customHeight="1">
      <c r="A76" s="247" t="s">
        <v>245</v>
      </c>
      <c r="B76" s="161" t="s">
        <v>2719</v>
      </c>
      <c r="C76" s="168">
        <v>3.2429000000000001</v>
      </c>
      <c r="D76" s="5">
        <v>1</v>
      </c>
      <c r="E76" s="5" t="e" cm="1">
        <f t="array" aca="1" ref="E76" ca="1">SUMPRODUCT(SUMIF(INDIRECT("'"&amp;Assemblies[Assy]&amp;"'!"&amp;"C:C"),$A76,(INDIRECT("'"&amp;Assemblies[Assy]&amp;"'!"&amp;"O:O"))))</f>
        <v>#VALUE!</v>
      </c>
      <c r="F76" s="5" t="e">
        <f t="shared" ca="1" si="1"/>
        <v>#VALUE!</v>
      </c>
      <c r="G76" s="5">
        <v>30</v>
      </c>
      <c r="H76" s="2">
        <v>30</v>
      </c>
      <c r="I76" s="117" t="s">
        <v>1760</v>
      </c>
      <c r="J76" s="117" t="s">
        <v>2647</v>
      </c>
      <c r="K76" s="135" t="s">
        <v>1382</v>
      </c>
      <c r="L76" s="2" t="s">
        <v>1382</v>
      </c>
      <c r="M76" s="8" t="s">
        <v>1762</v>
      </c>
      <c r="N76" s="8">
        <v>45162</v>
      </c>
      <c r="O76" s="8">
        <v>45184</v>
      </c>
      <c r="P76" s="8">
        <v>45197</v>
      </c>
      <c r="Q76" s="229">
        <v>55073</v>
      </c>
      <c r="R76" s="115" t="str" cm="1">
        <f t="array" aca="1" ref="R76" ca="1">TRIM(SUBSTITUTE(_xlfn.ARRAYTOTEXT(IFERROR(CONCATENATE(SUMIF(INDIRECT("'"&amp;Assemblies[Assy]&amp;"'!"&amp;"C$5:C1000"), $A76, INDIRECT("'"&amp;Assemblies[Assy]&amp;"'!"&amp;"O$5:O1000")), "x",Assemblies[Assy],".",IF(SUMIF(INDIRECT("'"&amp;Assemblies[Assy]&amp;"'!"&amp;"C$5:C1000"), $A76, INDIRECT("'"&amp;Assemblies[Assy]&amp;"'!"&amp;"A$5:A1000"))=0,NA(),SUMIF(INDIRECT("'"&amp;Assemblies[Assy]&amp;"'!"&amp;"C$5:C1000"), $A76, INDIRECT("'"&amp;Assemblies[Assy]&amp;"'!"&amp;"A$5:A1000")))),"")), " ,", ""))</f>
        <v>,</v>
      </c>
      <c r="S76" s="56" t="s">
        <v>1382</v>
      </c>
      <c r="T76" s="2" t="s">
        <v>1382</v>
      </c>
      <c r="U76" s="2" t="s">
        <v>1382</v>
      </c>
      <c r="V76" s="2" t="s">
        <v>1382</v>
      </c>
    </row>
    <row r="77" spans="1:22" ht="12.75" customHeight="1">
      <c r="A77" s="247" t="s">
        <v>309</v>
      </c>
      <c r="B77" s="161" t="s">
        <v>2720</v>
      </c>
      <c r="C77" s="168">
        <v>3.9</v>
      </c>
      <c r="D77" s="5">
        <v>1</v>
      </c>
      <c r="E77" s="5" t="e" cm="1">
        <f t="array" aca="1" ref="E77" ca="1">SUMPRODUCT(SUMIF(INDIRECT("'"&amp;Assemblies[Assy]&amp;"'!"&amp;"C:C"),$A77,(INDIRECT("'"&amp;Assemblies[Assy]&amp;"'!"&amp;"O:O"))))</f>
        <v>#VALUE!</v>
      </c>
      <c r="F77" s="5" t="e">
        <f t="shared" ca="1" si="1"/>
        <v>#VALUE!</v>
      </c>
      <c r="G77" s="5">
        <v>320</v>
      </c>
      <c r="H77" s="2">
        <v>320</v>
      </c>
      <c r="I77" s="117" t="s">
        <v>1760</v>
      </c>
      <c r="J77" s="117" t="s">
        <v>2647</v>
      </c>
      <c r="K77" s="135" t="s">
        <v>1382</v>
      </c>
      <c r="L77" s="2" t="s">
        <v>1779</v>
      </c>
      <c r="M77" s="8">
        <v>45104</v>
      </c>
      <c r="N77" s="8">
        <v>45105</v>
      </c>
      <c r="O77" s="8">
        <v>45133</v>
      </c>
      <c r="P77" s="8">
        <v>45133</v>
      </c>
      <c r="Q77" s="229" t="s">
        <v>2711</v>
      </c>
      <c r="R77" s="115" t="str" cm="1">
        <f t="array" aca="1" ref="R77" ca="1">TRIM(SUBSTITUTE(_xlfn.ARRAYTOTEXT(IFERROR(CONCATENATE(SUMIF(INDIRECT("'"&amp;Assemblies[Assy]&amp;"'!"&amp;"C$5:C1000"), $A77, INDIRECT("'"&amp;Assemblies[Assy]&amp;"'!"&amp;"O$5:O1000")), "x",Assemblies[Assy],".",IF(SUMIF(INDIRECT("'"&amp;Assemblies[Assy]&amp;"'!"&amp;"C$5:C1000"), $A77, INDIRECT("'"&amp;Assemblies[Assy]&amp;"'!"&amp;"A$5:A1000"))=0,NA(),SUMIF(INDIRECT("'"&amp;Assemblies[Assy]&amp;"'!"&amp;"C$5:C1000"), $A77, INDIRECT("'"&amp;Assemblies[Assy]&amp;"'!"&amp;"A$5:A1000")))),"")), " ,", ""))</f>
        <v>,</v>
      </c>
      <c r="S77" s="56" t="s">
        <v>1382</v>
      </c>
      <c r="T77" s="2" t="s">
        <v>1382</v>
      </c>
      <c r="U77" s="2" t="s">
        <v>1382</v>
      </c>
      <c r="V77" s="2" t="s">
        <v>1382</v>
      </c>
    </row>
    <row r="78" spans="1:22" ht="12.75" hidden="1" customHeight="1">
      <c r="A78" s="133" t="s">
        <v>190</v>
      </c>
      <c r="B78" s="2" t="s">
        <v>2721</v>
      </c>
      <c r="C78" s="168"/>
      <c r="D78" s="5">
        <v>1</v>
      </c>
      <c r="E78" s="5" t="e" cm="1">
        <f t="array" aca="1" ref="E78" ca="1">SUMPRODUCT(SUMIF(INDIRECT("'"&amp;Assemblies[Assy]&amp;"'!"&amp;"C:C"),$A78,(INDIRECT("'"&amp;Assemblies[Assy]&amp;"'!"&amp;"O:O"))))</f>
        <v>#VALUE!</v>
      </c>
      <c r="F78" s="5" t="e">
        <f t="shared" ca="1" si="1"/>
        <v>#VALUE!</v>
      </c>
      <c r="G78" s="5"/>
      <c r="I78" s="117" t="s">
        <v>2722</v>
      </c>
      <c r="J78" s="117" t="s">
        <v>2635</v>
      </c>
      <c r="R78" s="115" t="str" cm="1">
        <f t="array" aca="1" ref="R78" ca="1">TRIM(SUBSTITUTE(_xlfn.ARRAYTOTEXT(IFERROR(CONCATENATE(SUMIF(INDIRECT("'"&amp;Assemblies!$B$2:$B$152&amp;"'!"&amp;"C$5:C1000"), $A78, INDIRECT("'"&amp;Assemblies!$B$2:$B$152&amp;"'!"&amp;"O$5:O1000")), "x",Assemblies!$B$2:$B$152,".",IF(SUMIF(INDIRECT("'"&amp;Assemblies!$B$2:$B$152&amp;"'!"&amp;"C$5:C1000"), $A78, INDIRECT("'"&amp;Assemblies!$B$2:$B$152&amp;"'!"&amp;"A$5:A1000"))=0,NA(),SUMIF(INDIRECT("'"&amp;Assemblies!$B$2:$B$152&amp;"'!"&amp;"C$5:C1000"), $A78, INDIRECT("'"&amp;Assemblies!$B$2:$B$152&amp;"'!"&amp;"A$5:A1000")))),"")), " ,", ""))</f>
        <v>,</v>
      </c>
      <c r="S78" s="56" t="s">
        <v>1382</v>
      </c>
      <c r="T78" s="2" t="s">
        <v>1382</v>
      </c>
      <c r="U78" s="2" t="s">
        <v>1382</v>
      </c>
      <c r="V78" s="2" t="s">
        <v>1382</v>
      </c>
    </row>
    <row r="79" spans="1:22" ht="12.75" hidden="1" customHeight="1">
      <c r="A79" s="133" t="s">
        <v>88</v>
      </c>
      <c r="B79" s="2" t="s">
        <v>2723</v>
      </c>
      <c r="C79" s="168"/>
      <c r="D79" s="5">
        <v>1</v>
      </c>
      <c r="E79" s="5" t="e" cm="1">
        <f t="array" aca="1" ref="E79" ca="1">SUMPRODUCT(SUMIF(INDIRECT("'"&amp;Assemblies[Assy]&amp;"'!"&amp;"C:C"),$A79,(INDIRECT("'"&amp;Assemblies[Assy]&amp;"'!"&amp;"O:O"))))</f>
        <v>#VALUE!</v>
      </c>
      <c r="F79" s="5" t="e">
        <f t="shared" ca="1" si="1"/>
        <v>#VALUE!</v>
      </c>
      <c r="G79" s="5"/>
      <c r="I79" s="117" t="s">
        <v>2722</v>
      </c>
      <c r="J79" s="117" t="s">
        <v>2635</v>
      </c>
      <c r="R79" s="115" t="str" cm="1">
        <f t="array" aca="1" ref="R79" ca="1">TRIM(SUBSTITUTE(_xlfn.ARRAYTOTEXT(IFERROR(CONCATENATE(SUMIF(INDIRECT("'"&amp;Assemblies!$B$2:$B$152&amp;"'!"&amp;"C$5:C1000"), $A79, INDIRECT("'"&amp;Assemblies!$B$2:$B$152&amp;"'!"&amp;"O$5:O1000")), "x",Assemblies!$B$2:$B$152,".",IF(SUMIF(INDIRECT("'"&amp;Assemblies!$B$2:$B$152&amp;"'!"&amp;"C$5:C1000"), $A79, INDIRECT("'"&amp;Assemblies!$B$2:$B$152&amp;"'!"&amp;"A$5:A1000"))=0,NA(),SUMIF(INDIRECT("'"&amp;Assemblies!$B$2:$B$152&amp;"'!"&amp;"C$5:C1000"), $A79, INDIRECT("'"&amp;Assemblies!$B$2:$B$152&amp;"'!"&amp;"A$5:A1000")))),"")), " ,", ""))</f>
        <v>,</v>
      </c>
      <c r="S79" s="56" t="s">
        <v>1382</v>
      </c>
      <c r="T79" s="2" t="s">
        <v>1382</v>
      </c>
      <c r="U79" s="2" t="s">
        <v>1382</v>
      </c>
      <c r="V79" s="2" t="s">
        <v>1382</v>
      </c>
    </row>
    <row r="80" spans="1:22" ht="12.75" hidden="1" customHeight="1">
      <c r="A80" s="133" t="s">
        <v>160</v>
      </c>
      <c r="B80" s="2" t="s">
        <v>2724</v>
      </c>
      <c r="C80" s="168"/>
      <c r="D80" s="5">
        <v>1</v>
      </c>
      <c r="E80" s="5" t="e" cm="1">
        <f t="array" aca="1" ref="E80" ca="1">SUMPRODUCT(SUMIF(INDIRECT("'"&amp;Assemblies[Assy]&amp;"'!"&amp;"C:C"),$A80,(INDIRECT("'"&amp;Assemblies[Assy]&amp;"'!"&amp;"O:O"))))</f>
        <v>#VALUE!</v>
      </c>
      <c r="F80" s="5" t="e">
        <f t="shared" ca="1" si="1"/>
        <v>#VALUE!</v>
      </c>
      <c r="G80" s="5"/>
      <c r="I80" s="117" t="s">
        <v>2725</v>
      </c>
      <c r="J80" s="117" t="s">
        <v>2635</v>
      </c>
      <c r="R80" s="115" t="str" cm="1">
        <f t="array" aca="1" ref="R80" ca="1">TRIM(SUBSTITUTE(_xlfn.ARRAYTOTEXT(IFERROR(CONCATENATE(SUMIF(INDIRECT("'"&amp;Assemblies!$B$2:$B$152&amp;"'!"&amp;"C$5:C1000"), $A80, INDIRECT("'"&amp;Assemblies!$B$2:$B$152&amp;"'!"&amp;"O$5:O1000")), "x",Assemblies!$B$2:$B$152,".",IF(SUMIF(INDIRECT("'"&amp;Assemblies!$B$2:$B$152&amp;"'!"&amp;"C$5:C1000"), $A80, INDIRECT("'"&amp;Assemblies!$B$2:$B$152&amp;"'!"&amp;"A$5:A1000"))=0,NA(),SUMIF(INDIRECT("'"&amp;Assemblies!$B$2:$B$152&amp;"'!"&amp;"C$5:C1000"), $A80, INDIRECT("'"&amp;Assemblies!$B$2:$B$152&amp;"'!"&amp;"A$5:A1000")))),"")), " ,", ""))</f>
        <v>,</v>
      </c>
      <c r="S80" s="56" t="s">
        <v>1382</v>
      </c>
      <c r="T80" s="2" t="s">
        <v>1382</v>
      </c>
      <c r="U80" s="2" t="s">
        <v>1382</v>
      </c>
      <c r="V80" s="2" t="s">
        <v>1382</v>
      </c>
    </row>
    <row r="81" spans="1:22" ht="12.75" hidden="1" customHeight="1">
      <c r="A81" s="133" t="s">
        <v>104</v>
      </c>
      <c r="B81" s="2" t="s">
        <v>2726</v>
      </c>
      <c r="C81" s="168"/>
      <c r="D81" s="5">
        <v>1</v>
      </c>
      <c r="E81" s="5" t="e" cm="1">
        <f t="array" aca="1" ref="E81" ca="1">SUMPRODUCT(SUMIF(INDIRECT("'"&amp;Assemblies[Assy]&amp;"'!"&amp;"C:C"),$A81,(INDIRECT("'"&amp;Assemblies[Assy]&amp;"'!"&amp;"O:O"))))</f>
        <v>#VALUE!</v>
      </c>
      <c r="F81" s="5" t="e">
        <f t="shared" ca="1" si="1"/>
        <v>#VALUE!</v>
      </c>
      <c r="G81" s="5"/>
      <c r="I81" s="117" t="s">
        <v>2725</v>
      </c>
      <c r="J81" s="117" t="s">
        <v>2635</v>
      </c>
      <c r="R81" s="115" t="str" cm="1">
        <f t="array" aca="1" ref="R81" ca="1">TRIM(SUBSTITUTE(_xlfn.ARRAYTOTEXT(IFERROR(CONCATENATE(SUMIF(INDIRECT("'"&amp;Assemblies!$B$2:$B$152&amp;"'!"&amp;"C$5:C1000"), $A81, INDIRECT("'"&amp;Assemblies!$B$2:$B$152&amp;"'!"&amp;"O$5:O1000")), "x",Assemblies!$B$2:$B$152,".",IF(SUMIF(INDIRECT("'"&amp;Assemblies!$B$2:$B$152&amp;"'!"&amp;"C$5:C1000"), $A81, INDIRECT("'"&amp;Assemblies!$B$2:$B$152&amp;"'!"&amp;"A$5:A1000"))=0,NA(),SUMIF(INDIRECT("'"&amp;Assemblies!$B$2:$B$152&amp;"'!"&amp;"C$5:C1000"), $A81, INDIRECT("'"&amp;Assemblies!$B$2:$B$152&amp;"'!"&amp;"A$5:A1000")))),"")), " ,", ""))</f>
        <v>,</v>
      </c>
      <c r="S81" s="56" t="s">
        <v>1382</v>
      </c>
      <c r="T81" s="2" t="s">
        <v>1382</v>
      </c>
      <c r="U81" s="2" t="s">
        <v>1382</v>
      </c>
      <c r="V81" s="2" t="s">
        <v>1382</v>
      </c>
    </row>
    <row r="82" spans="1:22" ht="12.75" hidden="1" customHeight="1">
      <c r="A82" s="133" t="s">
        <v>166</v>
      </c>
      <c r="B82" s="2" t="s">
        <v>2727</v>
      </c>
      <c r="C82" s="168"/>
      <c r="D82" s="5">
        <v>1</v>
      </c>
      <c r="E82" s="5" t="e" cm="1">
        <f t="array" aca="1" ref="E82" ca="1">SUMPRODUCT(SUMIF(INDIRECT("'"&amp;Assemblies[Assy]&amp;"'!"&amp;"C:C"),$A82,(INDIRECT("'"&amp;Assemblies[Assy]&amp;"'!"&amp;"O:O"))))</f>
        <v>#VALUE!</v>
      </c>
      <c r="F82" s="5" t="e">
        <f t="shared" ca="1" si="1"/>
        <v>#VALUE!</v>
      </c>
      <c r="G82" s="5"/>
      <c r="I82" s="117" t="s">
        <v>2728</v>
      </c>
      <c r="J82" s="117" t="s">
        <v>2635</v>
      </c>
      <c r="R82" s="115" t="str" cm="1">
        <f t="array" aca="1" ref="R82" ca="1">TRIM(SUBSTITUTE(_xlfn.ARRAYTOTEXT(IFERROR(CONCATENATE(SUMIF(INDIRECT("'"&amp;Assemblies!$B$2:$B$152&amp;"'!"&amp;"C$5:C1000"), $A82, INDIRECT("'"&amp;Assemblies!$B$2:$B$152&amp;"'!"&amp;"O$5:O1000")), "x",Assemblies!$B$2:$B$152,".",IF(SUMIF(INDIRECT("'"&amp;Assemblies!$B$2:$B$152&amp;"'!"&amp;"C$5:C1000"), $A82, INDIRECT("'"&amp;Assemblies!$B$2:$B$152&amp;"'!"&amp;"A$5:A1000"))=0,NA(),SUMIF(INDIRECT("'"&amp;Assemblies!$B$2:$B$152&amp;"'!"&amp;"C$5:C1000"), $A82, INDIRECT("'"&amp;Assemblies!$B$2:$B$152&amp;"'!"&amp;"A$5:A1000")))),"")), " ,", ""))</f>
        <v>,</v>
      </c>
      <c r="S82" s="56" t="s">
        <v>1382</v>
      </c>
      <c r="T82" s="2" t="s">
        <v>1382</v>
      </c>
      <c r="U82" s="2" t="s">
        <v>1382</v>
      </c>
      <c r="V82" s="2" t="s">
        <v>1382</v>
      </c>
    </row>
    <row r="83" spans="1:22" ht="12.75" hidden="1" customHeight="1">
      <c r="A83" s="133" t="s">
        <v>167</v>
      </c>
      <c r="B83" s="2" t="s">
        <v>2729</v>
      </c>
      <c r="C83" s="168"/>
      <c r="D83" s="5">
        <v>1</v>
      </c>
      <c r="E83" s="5" t="e" cm="1">
        <f t="array" aca="1" ref="E83" ca="1">SUMPRODUCT(SUMIF(INDIRECT("'"&amp;Assemblies[Assy]&amp;"'!"&amp;"C:C"),$A83,(INDIRECT("'"&amp;Assemblies[Assy]&amp;"'!"&amp;"O:O"))))</f>
        <v>#VALUE!</v>
      </c>
      <c r="F83" s="5" t="e">
        <f t="shared" ca="1" si="1"/>
        <v>#VALUE!</v>
      </c>
      <c r="G83" s="5"/>
      <c r="I83" s="117" t="s">
        <v>2728</v>
      </c>
      <c r="J83" s="117" t="s">
        <v>2635</v>
      </c>
      <c r="R83" s="115" t="str" cm="1">
        <f t="array" aca="1" ref="R83" ca="1">TRIM(SUBSTITUTE(_xlfn.ARRAYTOTEXT(IFERROR(CONCATENATE(SUMIF(INDIRECT("'"&amp;Assemblies!$B$2:$B$152&amp;"'!"&amp;"C$5:C1000"), $A83, INDIRECT("'"&amp;Assemblies!$B$2:$B$152&amp;"'!"&amp;"O$5:O1000")), "x",Assemblies!$B$2:$B$152,".",IF(SUMIF(INDIRECT("'"&amp;Assemblies!$B$2:$B$152&amp;"'!"&amp;"C$5:C1000"), $A83, INDIRECT("'"&amp;Assemblies!$B$2:$B$152&amp;"'!"&amp;"A$5:A1000"))=0,NA(),SUMIF(INDIRECT("'"&amp;Assemblies!$B$2:$B$152&amp;"'!"&amp;"C$5:C1000"), $A83, INDIRECT("'"&amp;Assemblies!$B$2:$B$152&amp;"'!"&amp;"A$5:A1000")))),"")), " ,", ""))</f>
        <v>,</v>
      </c>
      <c r="S83" s="56" t="s">
        <v>1382</v>
      </c>
      <c r="T83" s="2" t="s">
        <v>1382</v>
      </c>
      <c r="U83" s="2" t="s">
        <v>1382</v>
      </c>
      <c r="V83" s="2" t="s">
        <v>1382</v>
      </c>
    </row>
    <row r="84" spans="1:22" ht="12.75" customHeight="1">
      <c r="A84" s="133" t="s">
        <v>212</v>
      </c>
      <c r="B84" s="2" t="s">
        <v>2730</v>
      </c>
      <c r="C84" s="168">
        <v>10</v>
      </c>
      <c r="D84" s="5">
        <v>1</v>
      </c>
      <c r="E84" s="5" t="e" cm="1">
        <f t="array" aca="1" ref="E84" ca="1">SUMPRODUCT(SUMIF(INDIRECT("'"&amp;Assemblies[Assy]&amp;"'!"&amp;"C:C"),$A84,(INDIRECT("'"&amp;Assemblies[Assy]&amp;"'!"&amp;"O:O"))))</f>
        <v>#VALUE!</v>
      </c>
      <c r="F84" s="5" t="e">
        <f t="shared" ca="1" si="1"/>
        <v>#VALUE!</v>
      </c>
      <c r="G84" s="5">
        <v>1</v>
      </c>
      <c r="H84" s="2">
        <v>1</v>
      </c>
      <c r="I84" s="117" t="s">
        <v>2728</v>
      </c>
      <c r="J84" s="117" t="s">
        <v>2728</v>
      </c>
      <c r="L84" s="2" t="s">
        <v>2731</v>
      </c>
      <c r="M84" s="8" t="s">
        <v>1762</v>
      </c>
      <c r="N84" s="8" t="s">
        <v>1762</v>
      </c>
      <c r="O84" s="8" t="s">
        <v>1762</v>
      </c>
      <c r="P84" s="8" t="s">
        <v>1762</v>
      </c>
      <c r="Q84" s="229" t="s">
        <v>1762</v>
      </c>
      <c r="R84" s="115" t="str" cm="1">
        <f t="array" aca="1" ref="R84" ca="1">TRIM(SUBSTITUTE(_xlfn.ARRAYTOTEXT(IFERROR(CONCATENATE(SUMIF(INDIRECT("'"&amp;Assemblies[Assy]&amp;"'!"&amp;"C$5:C1000"), $A84, INDIRECT("'"&amp;Assemblies[Assy]&amp;"'!"&amp;"O$5:O1000")), "x",Assemblies[Assy],".",IF(SUMIF(INDIRECT("'"&amp;Assemblies[Assy]&amp;"'!"&amp;"C$5:C1000"), $A84, INDIRECT("'"&amp;Assemblies[Assy]&amp;"'!"&amp;"A$5:A1000"))=0,NA(),SUMIF(INDIRECT("'"&amp;Assemblies[Assy]&amp;"'!"&amp;"C$5:C1000"), $A84, INDIRECT("'"&amp;Assemblies[Assy]&amp;"'!"&amp;"A$5:A1000")))),"")), " ,", ""))</f>
        <v>,</v>
      </c>
      <c r="S84" s="56" t="s">
        <v>1382</v>
      </c>
      <c r="T84" s="2" t="s">
        <v>1382</v>
      </c>
      <c r="U84" s="2" t="s">
        <v>1382</v>
      </c>
      <c r="V84" s="2" t="s">
        <v>1382</v>
      </c>
    </row>
    <row r="85" spans="1:22" ht="12.75" customHeight="1">
      <c r="A85" s="133" t="s">
        <v>213</v>
      </c>
      <c r="B85" s="2" t="s">
        <v>2732</v>
      </c>
      <c r="C85" s="168">
        <v>10</v>
      </c>
      <c r="D85" s="5">
        <v>1</v>
      </c>
      <c r="E85" s="5" t="e" cm="1">
        <f t="array" aca="1" ref="E85" ca="1">SUMPRODUCT(SUMIF(INDIRECT("'"&amp;Assemblies[Assy]&amp;"'!"&amp;"C:C"),$A85,(INDIRECT("'"&amp;Assemblies[Assy]&amp;"'!"&amp;"O:O"))))</f>
        <v>#VALUE!</v>
      </c>
      <c r="F85" s="5" t="e">
        <f t="shared" ca="1" si="1"/>
        <v>#VALUE!</v>
      </c>
      <c r="G85" s="5">
        <v>1</v>
      </c>
      <c r="H85" s="2">
        <v>1</v>
      </c>
      <c r="I85" s="117" t="s">
        <v>2728</v>
      </c>
      <c r="J85" s="117" t="s">
        <v>2728</v>
      </c>
      <c r="L85" s="2" t="s">
        <v>2731</v>
      </c>
      <c r="M85" s="8" t="s">
        <v>1762</v>
      </c>
      <c r="N85" s="8" t="s">
        <v>1762</v>
      </c>
      <c r="O85" s="8" t="s">
        <v>1762</v>
      </c>
      <c r="P85" s="8" t="s">
        <v>1762</v>
      </c>
      <c r="Q85" s="229" t="s">
        <v>1762</v>
      </c>
      <c r="R85" s="115" t="str" cm="1">
        <f t="array" aca="1" ref="R85" ca="1">TRIM(SUBSTITUTE(_xlfn.ARRAYTOTEXT(IFERROR(CONCATENATE(SUMIF(INDIRECT("'"&amp;Assemblies[Assy]&amp;"'!"&amp;"C$5:C1000"), $A85, INDIRECT("'"&amp;Assemblies[Assy]&amp;"'!"&amp;"O$5:O1000")), "x",Assemblies[Assy],".",IF(SUMIF(INDIRECT("'"&amp;Assemblies[Assy]&amp;"'!"&amp;"C$5:C1000"), $A85, INDIRECT("'"&amp;Assemblies[Assy]&amp;"'!"&amp;"A$5:A1000"))=0,NA(),SUMIF(INDIRECT("'"&amp;Assemblies[Assy]&amp;"'!"&amp;"C$5:C1000"), $A85, INDIRECT("'"&amp;Assemblies[Assy]&amp;"'!"&amp;"A$5:A1000")))),"")), " ,", ""))</f>
        <v>,</v>
      </c>
      <c r="S85" s="56" t="s">
        <v>1382</v>
      </c>
      <c r="T85" s="2" t="s">
        <v>1382</v>
      </c>
      <c r="U85" s="2" t="s">
        <v>1382</v>
      </c>
      <c r="V85" s="2" t="s">
        <v>1382</v>
      </c>
    </row>
    <row r="86" spans="1:22" ht="12.75" customHeight="1">
      <c r="A86" s="133" t="s">
        <v>214</v>
      </c>
      <c r="B86" s="2" t="s">
        <v>2733</v>
      </c>
      <c r="C86" s="168">
        <v>10</v>
      </c>
      <c r="D86" s="5">
        <v>1</v>
      </c>
      <c r="E86" s="5" t="e" cm="1">
        <f t="array" aca="1" ref="E86" ca="1">SUMPRODUCT(SUMIF(INDIRECT("'"&amp;Assemblies[Assy]&amp;"'!"&amp;"C:C"),$A86,(INDIRECT("'"&amp;Assemblies[Assy]&amp;"'!"&amp;"O:O"))))</f>
        <v>#VALUE!</v>
      </c>
      <c r="F86" s="5" t="e">
        <f t="shared" ca="1" si="1"/>
        <v>#VALUE!</v>
      </c>
      <c r="G86" s="5">
        <v>1</v>
      </c>
      <c r="H86" s="2">
        <v>1</v>
      </c>
      <c r="I86" s="117" t="s">
        <v>2728</v>
      </c>
      <c r="J86" s="117" t="s">
        <v>2728</v>
      </c>
      <c r="L86" s="2" t="s">
        <v>2731</v>
      </c>
      <c r="M86" s="8" t="s">
        <v>1762</v>
      </c>
      <c r="N86" s="8" t="s">
        <v>1762</v>
      </c>
      <c r="O86" s="8" t="s">
        <v>1762</v>
      </c>
      <c r="P86" s="8" t="s">
        <v>1762</v>
      </c>
      <c r="Q86" s="229" t="s">
        <v>1762</v>
      </c>
      <c r="R86" s="115" t="str" cm="1">
        <f t="array" aca="1" ref="R86" ca="1">TRIM(SUBSTITUTE(_xlfn.ARRAYTOTEXT(IFERROR(CONCATENATE(SUMIF(INDIRECT("'"&amp;Assemblies[Assy]&amp;"'!"&amp;"C$5:C1000"), $A86, INDIRECT("'"&amp;Assemblies[Assy]&amp;"'!"&amp;"O$5:O1000")), "x",Assemblies[Assy],".",IF(SUMIF(INDIRECT("'"&amp;Assemblies[Assy]&amp;"'!"&amp;"C$5:C1000"), $A86, INDIRECT("'"&amp;Assemblies[Assy]&amp;"'!"&amp;"A$5:A1000"))=0,NA(),SUMIF(INDIRECT("'"&amp;Assemblies[Assy]&amp;"'!"&amp;"C$5:C1000"), $A86, INDIRECT("'"&amp;Assemblies[Assy]&amp;"'!"&amp;"A$5:A1000")))),"")), " ,", ""))</f>
        <v>,</v>
      </c>
      <c r="S86" s="56" t="s">
        <v>1382</v>
      </c>
      <c r="T86" s="2" t="s">
        <v>1382</v>
      </c>
      <c r="U86" s="2" t="s">
        <v>1382</v>
      </c>
      <c r="V86" s="2" t="s">
        <v>1382</v>
      </c>
    </row>
    <row r="87" spans="1:22" ht="12.75" hidden="1" customHeight="1">
      <c r="A87" s="133" t="s">
        <v>92</v>
      </c>
      <c r="B87" s="2" t="s">
        <v>2734</v>
      </c>
      <c r="C87" s="168"/>
      <c r="D87" s="5">
        <v>1</v>
      </c>
      <c r="E87" s="5" t="e" cm="1">
        <f t="array" aca="1" ref="E87" ca="1">SUMPRODUCT(SUMIF(INDIRECT("'"&amp;Assemblies[Assy]&amp;"'!"&amp;"C:C"),$A87,(INDIRECT("'"&amp;Assemblies[Assy]&amp;"'!"&amp;"O:O"))))</f>
        <v>#VALUE!</v>
      </c>
      <c r="F87" s="5" t="e">
        <f t="shared" ca="1" si="1"/>
        <v>#VALUE!</v>
      </c>
      <c r="G87" s="5"/>
      <c r="I87" s="117" t="s">
        <v>2735</v>
      </c>
      <c r="J87" s="117" t="s">
        <v>2635</v>
      </c>
      <c r="R87" s="115" t="str" cm="1">
        <f t="array" aca="1" ref="R87" ca="1">TRIM(SUBSTITUTE(_xlfn.ARRAYTOTEXT(IFERROR(CONCATENATE(SUMIF(INDIRECT("'"&amp;Assemblies!$B$2:$B$152&amp;"'!"&amp;"C$5:C1000"), $A87, INDIRECT("'"&amp;Assemblies!$B$2:$B$152&amp;"'!"&amp;"O$5:O1000")), "x",Assemblies!$B$2:$B$152,".",IF(SUMIF(INDIRECT("'"&amp;Assemblies!$B$2:$B$152&amp;"'!"&amp;"C$5:C1000"), $A87, INDIRECT("'"&amp;Assemblies!$B$2:$B$152&amp;"'!"&amp;"A$5:A1000"))=0,NA(),SUMIF(INDIRECT("'"&amp;Assemblies!$B$2:$B$152&amp;"'!"&amp;"C$5:C1000"), $A87, INDIRECT("'"&amp;Assemblies!$B$2:$B$152&amp;"'!"&amp;"A$5:A1000")))),"")), " ,", ""))</f>
        <v>,</v>
      </c>
      <c r="S87" s="56" t="s">
        <v>1382</v>
      </c>
      <c r="T87" s="2" t="s">
        <v>1382</v>
      </c>
      <c r="U87" s="2" t="s">
        <v>1382</v>
      </c>
      <c r="V87" s="2" t="s">
        <v>1382</v>
      </c>
    </row>
    <row r="88" spans="1:22" ht="12.75" hidden="1" customHeight="1">
      <c r="A88" s="133" t="s">
        <v>93</v>
      </c>
      <c r="B88" s="2" t="s">
        <v>2736</v>
      </c>
      <c r="C88" s="168"/>
      <c r="D88" s="5">
        <v>1</v>
      </c>
      <c r="E88" s="5" t="e" cm="1">
        <f t="array" aca="1" ref="E88" ca="1">SUMPRODUCT(SUMIF(INDIRECT("'"&amp;Assemblies[Assy]&amp;"'!"&amp;"C:C"),$A88,(INDIRECT("'"&amp;Assemblies[Assy]&amp;"'!"&amp;"O:O"))))</f>
        <v>#VALUE!</v>
      </c>
      <c r="F88" s="5" t="e">
        <f t="shared" ca="1" si="1"/>
        <v>#VALUE!</v>
      </c>
      <c r="G88" s="5"/>
      <c r="I88" s="117" t="s">
        <v>2735</v>
      </c>
      <c r="J88" s="117" t="s">
        <v>2635</v>
      </c>
      <c r="R88" s="115" t="str" cm="1">
        <f t="array" aca="1" ref="R88" ca="1">TRIM(SUBSTITUTE(_xlfn.ARRAYTOTEXT(IFERROR(CONCATENATE(SUMIF(INDIRECT("'"&amp;Assemblies!$B$2:$B$152&amp;"'!"&amp;"C$5:C1000"), $A88, INDIRECT("'"&amp;Assemblies!$B$2:$B$152&amp;"'!"&amp;"O$5:O1000")), "x",Assemblies!$B$2:$B$152,".",IF(SUMIF(INDIRECT("'"&amp;Assemblies!$B$2:$B$152&amp;"'!"&amp;"C$5:C1000"), $A88, INDIRECT("'"&amp;Assemblies!$B$2:$B$152&amp;"'!"&amp;"A$5:A1000"))=0,NA(),SUMIF(INDIRECT("'"&amp;Assemblies!$B$2:$B$152&amp;"'!"&amp;"C$5:C1000"), $A88, INDIRECT("'"&amp;Assemblies!$B$2:$B$152&amp;"'!"&amp;"A$5:A1000")))),"")), " ,", ""))</f>
        <v>,</v>
      </c>
      <c r="S88" s="56" t="s">
        <v>1382</v>
      </c>
      <c r="T88" s="2" t="s">
        <v>1382</v>
      </c>
      <c r="U88" s="2" t="s">
        <v>1382</v>
      </c>
      <c r="V88" s="2" t="s">
        <v>1382</v>
      </c>
    </row>
    <row r="89" spans="1:22" ht="12.75" hidden="1" customHeight="1">
      <c r="A89" s="133" t="s">
        <v>94</v>
      </c>
      <c r="B89" s="2" t="s">
        <v>2737</v>
      </c>
      <c r="C89" s="168"/>
      <c r="D89" s="5">
        <v>1</v>
      </c>
      <c r="E89" s="5" t="e" cm="1">
        <f t="array" aca="1" ref="E89" ca="1">SUMPRODUCT(SUMIF(INDIRECT("'"&amp;Assemblies[Assy]&amp;"'!"&amp;"C:C"),$A89,(INDIRECT("'"&amp;Assemblies[Assy]&amp;"'!"&amp;"O:O"))))</f>
        <v>#VALUE!</v>
      </c>
      <c r="F89" s="5" t="e">
        <f t="shared" ca="1" si="1"/>
        <v>#VALUE!</v>
      </c>
      <c r="G89" s="5"/>
      <c r="I89" s="117" t="s">
        <v>2735</v>
      </c>
      <c r="J89" s="117" t="s">
        <v>2635</v>
      </c>
      <c r="R89" s="115" t="str" cm="1">
        <f t="array" aca="1" ref="R89" ca="1">TRIM(SUBSTITUTE(_xlfn.ARRAYTOTEXT(IFERROR(CONCATENATE(SUMIF(INDIRECT("'"&amp;Assemblies!$B$2:$B$152&amp;"'!"&amp;"C$5:C1000"), $A89, INDIRECT("'"&amp;Assemblies!$B$2:$B$152&amp;"'!"&amp;"O$5:O1000")), "x",Assemblies!$B$2:$B$152,".",IF(SUMIF(INDIRECT("'"&amp;Assemblies!$B$2:$B$152&amp;"'!"&amp;"C$5:C1000"), $A89, INDIRECT("'"&amp;Assemblies!$B$2:$B$152&amp;"'!"&amp;"A$5:A1000"))=0,NA(),SUMIF(INDIRECT("'"&amp;Assemblies!$B$2:$B$152&amp;"'!"&amp;"C$5:C1000"), $A89, INDIRECT("'"&amp;Assemblies!$B$2:$B$152&amp;"'!"&amp;"A$5:A1000")))),"")), " ,", ""))</f>
        <v>,</v>
      </c>
      <c r="S89" s="56" t="s">
        <v>1382</v>
      </c>
      <c r="T89" s="2" t="s">
        <v>1382</v>
      </c>
      <c r="U89" s="2" t="s">
        <v>1382</v>
      </c>
      <c r="V89" s="2" t="s">
        <v>1382</v>
      </c>
    </row>
    <row r="90" spans="1:22" ht="12.75" hidden="1" customHeight="1">
      <c r="A90" s="133" t="s">
        <v>150</v>
      </c>
      <c r="B90" s="2" t="s">
        <v>2738</v>
      </c>
      <c r="C90" s="168"/>
      <c r="D90" s="5">
        <v>1</v>
      </c>
      <c r="E90" s="5" t="e" cm="1">
        <f t="array" aca="1" ref="E90" ca="1">SUMPRODUCT(SUMIF(INDIRECT("'"&amp;Assemblies[Assy]&amp;"'!"&amp;"C:C"),$A90,(INDIRECT("'"&amp;Assemblies[Assy]&amp;"'!"&amp;"O:O"))))</f>
        <v>#VALUE!</v>
      </c>
      <c r="F90" s="5" t="e">
        <f t="shared" ca="1" si="1"/>
        <v>#VALUE!</v>
      </c>
      <c r="G90" s="5"/>
      <c r="I90" s="117" t="s">
        <v>2735</v>
      </c>
      <c r="J90" s="117" t="s">
        <v>2635</v>
      </c>
      <c r="R90" s="115" t="str" cm="1">
        <f t="array" aca="1" ref="R90" ca="1">TRIM(SUBSTITUTE(_xlfn.ARRAYTOTEXT(IFERROR(CONCATENATE(SUMIF(INDIRECT("'"&amp;Assemblies!$B$2:$B$152&amp;"'!"&amp;"C$5:C1000"), $A90, INDIRECT("'"&amp;Assemblies!$B$2:$B$152&amp;"'!"&amp;"O$5:O1000")), "x",Assemblies!$B$2:$B$152,".",IF(SUMIF(INDIRECT("'"&amp;Assemblies!$B$2:$B$152&amp;"'!"&amp;"C$5:C1000"), $A90, INDIRECT("'"&amp;Assemblies!$B$2:$B$152&amp;"'!"&amp;"A$5:A1000"))=0,NA(),SUMIF(INDIRECT("'"&amp;Assemblies!$B$2:$B$152&amp;"'!"&amp;"C$5:C1000"), $A90, INDIRECT("'"&amp;Assemblies!$B$2:$B$152&amp;"'!"&amp;"A$5:A1000")))),"")), " ,", ""))</f>
        <v>,</v>
      </c>
      <c r="S90" s="56" t="s">
        <v>1382</v>
      </c>
      <c r="T90" s="2" t="s">
        <v>1382</v>
      </c>
      <c r="U90" s="2" t="s">
        <v>1382</v>
      </c>
      <c r="V90" s="2" t="s">
        <v>1382</v>
      </c>
    </row>
    <row r="91" spans="1:22" ht="12.75" hidden="1" customHeight="1">
      <c r="A91" s="133" t="s">
        <v>95</v>
      </c>
      <c r="B91" s="2" t="s">
        <v>2739</v>
      </c>
      <c r="C91" s="168"/>
      <c r="D91" s="5">
        <v>1</v>
      </c>
      <c r="E91" s="5" t="e" cm="1">
        <f t="array" aca="1" ref="E91" ca="1">SUMPRODUCT(SUMIF(INDIRECT("'"&amp;Assemblies[Assy]&amp;"'!"&amp;"C:C"),$A91,(INDIRECT("'"&amp;Assemblies[Assy]&amp;"'!"&amp;"O:O"))))</f>
        <v>#VALUE!</v>
      </c>
      <c r="F91" s="5" t="e">
        <f t="shared" ca="1" si="1"/>
        <v>#VALUE!</v>
      </c>
      <c r="G91" s="5"/>
      <c r="I91" s="117" t="s">
        <v>2735</v>
      </c>
      <c r="J91" s="117" t="s">
        <v>2635</v>
      </c>
      <c r="R91" s="115" t="str" cm="1">
        <f t="array" aca="1" ref="R91" ca="1">TRIM(SUBSTITUTE(_xlfn.ARRAYTOTEXT(IFERROR(CONCATENATE(SUMIF(INDIRECT("'"&amp;Assemblies!$B$2:$B$152&amp;"'!"&amp;"C$5:C1000"), $A91, INDIRECT("'"&amp;Assemblies!$B$2:$B$152&amp;"'!"&amp;"O$5:O1000")), "x",Assemblies!$B$2:$B$152,".",IF(SUMIF(INDIRECT("'"&amp;Assemblies!$B$2:$B$152&amp;"'!"&amp;"C$5:C1000"), $A91, INDIRECT("'"&amp;Assemblies!$B$2:$B$152&amp;"'!"&amp;"A$5:A1000"))=0,NA(),SUMIF(INDIRECT("'"&amp;Assemblies!$B$2:$B$152&amp;"'!"&amp;"C$5:C1000"), $A91, INDIRECT("'"&amp;Assemblies!$B$2:$B$152&amp;"'!"&amp;"A$5:A1000")))),"")), " ,", ""))</f>
        <v>,</v>
      </c>
      <c r="S91" s="56" t="s">
        <v>1382</v>
      </c>
      <c r="T91" s="2" t="s">
        <v>1382</v>
      </c>
      <c r="U91" s="2" t="s">
        <v>1382</v>
      </c>
      <c r="V91" s="2" t="s">
        <v>1382</v>
      </c>
    </row>
    <row r="92" spans="1:22" ht="12.75" hidden="1" customHeight="1">
      <c r="A92" s="133" t="s">
        <v>131</v>
      </c>
      <c r="B92" s="2" t="s">
        <v>2740</v>
      </c>
      <c r="C92" s="168"/>
      <c r="D92" s="5">
        <v>1</v>
      </c>
      <c r="E92" s="5" t="e" cm="1">
        <f t="array" aca="1" ref="E92" ca="1">SUMPRODUCT(SUMIF(INDIRECT("'"&amp;Assemblies[Assy]&amp;"'!"&amp;"C:C"),$A92,(INDIRECT("'"&amp;Assemblies[Assy]&amp;"'!"&amp;"O:O"))))</f>
        <v>#VALUE!</v>
      </c>
      <c r="F92" s="5" t="e">
        <f t="shared" ca="1" si="1"/>
        <v>#VALUE!</v>
      </c>
      <c r="G92" s="5"/>
      <c r="I92" s="117" t="s">
        <v>2635</v>
      </c>
      <c r="J92" s="117" t="s">
        <v>2635</v>
      </c>
      <c r="R92" s="115" t="str" cm="1">
        <f t="array" aca="1" ref="R92" ca="1">TRIM(SUBSTITUTE(_xlfn.ARRAYTOTEXT(IFERROR(CONCATENATE(SUMIF(INDIRECT("'"&amp;Assemblies!$B$2:$B$152&amp;"'!"&amp;"C$5:C1000"), $A92, INDIRECT("'"&amp;Assemblies!$B$2:$B$152&amp;"'!"&amp;"O$5:O1000")), "x",Assemblies!$B$2:$B$152,".",IF(SUMIF(INDIRECT("'"&amp;Assemblies!$B$2:$B$152&amp;"'!"&amp;"C$5:C1000"), $A92, INDIRECT("'"&amp;Assemblies!$B$2:$B$152&amp;"'!"&amp;"A$5:A1000"))=0,NA(),SUMIF(INDIRECT("'"&amp;Assemblies!$B$2:$B$152&amp;"'!"&amp;"C$5:C1000"), $A92, INDIRECT("'"&amp;Assemblies!$B$2:$B$152&amp;"'!"&amp;"A$5:A1000")))),"")), " ,", ""))</f>
        <v>,</v>
      </c>
      <c r="S92" s="56" t="s">
        <v>1382</v>
      </c>
      <c r="T92" s="2" t="s">
        <v>1382</v>
      </c>
      <c r="U92" s="2" t="s">
        <v>1382</v>
      </c>
      <c r="V92" s="2" t="s">
        <v>1382</v>
      </c>
    </row>
    <row r="93" spans="1:22" ht="12.75" hidden="1" customHeight="1">
      <c r="A93" s="133" t="s">
        <v>125</v>
      </c>
      <c r="B93" s="2" t="s">
        <v>2741</v>
      </c>
      <c r="C93" s="168"/>
      <c r="D93" s="5">
        <v>1</v>
      </c>
      <c r="E93" s="5" t="e" cm="1">
        <f t="array" aca="1" ref="E93" ca="1">SUMPRODUCT(SUMIF(INDIRECT("'"&amp;Assemblies[Assy]&amp;"'!"&amp;"C:C"),$A93,(INDIRECT("'"&amp;Assemblies[Assy]&amp;"'!"&amp;"O:O"))))</f>
        <v>#VALUE!</v>
      </c>
      <c r="F93" s="5" t="e">
        <f t="shared" ca="1" si="1"/>
        <v>#VALUE!</v>
      </c>
      <c r="G93" s="5"/>
      <c r="I93" s="117" t="s">
        <v>2635</v>
      </c>
      <c r="J93" s="117" t="s">
        <v>2635</v>
      </c>
      <c r="R93" s="115" t="str" cm="1">
        <f t="array" aca="1" ref="R93" ca="1">TRIM(SUBSTITUTE(_xlfn.ARRAYTOTEXT(IFERROR(CONCATENATE(SUMIF(INDIRECT("'"&amp;Assemblies!$B$2:$B$152&amp;"'!"&amp;"C$5:C1000"), $A93, INDIRECT("'"&amp;Assemblies!$B$2:$B$152&amp;"'!"&amp;"O$5:O1000")), "x",Assemblies!$B$2:$B$152,".",IF(SUMIF(INDIRECT("'"&amp;Assemblies!$B$2:$B$152&amp;"'!"&amp;"C$5:C1000"), $A93, INDIRECT("'"&amp;Assemblies!$B$2:$B$152&amp;"'!"&amp;"A$5:A1000"))=0,NA(),SUMIF(INDIRECT("'"&amp;Assemblies!$B$2:$B$152&amp;"'!"&amp;"C$5:C1000"), $A93, INDIRECT("'"&amp;Assemblies!$B$2:$B$152&amp;"'!"&amp;"A$5:A1000")))),"")), " ,", ""))</f>
        <v>,</v>
      </c>
      <c r="S93" s="56" t="s">
        <v>1382</v>
      </c>
      <c r="T93" s="2" t="s">
        <v>1382</v>
      </c>
      <c r="U93" s="2" t="s">
        <v>1382</v>
      </c>
      <c r="V93" s="2" t="s">
        <v>1382</v>
      </c>
    </row>
    <row r="94" spans="1:22" ht="12.75" hidden="1" customHeight="1">
      <c r="A94" s="133" t="s">
        <v>149</v>
      </c>
      <c r="B94" s="2" t="s">
        <v>2740</v>
      </c>
      <c r="C94" s="168"/>
      <c r="D94" s="5">
        <v>1</v>
      </c>
      <c r="E94" s="5" t="e" cm="1">
        <f t="array" aca="1" ref="E94" ca="1">SUMPRODUCT(SUMIF(INDIRECT("'"&amp;Assemblies[Assy]&amp;"'!"&amp;"C:C"),$A94,(INDIRECT("'"&amp;Assemblies[Assy]&amp;"'!"&amp;"O:O"))))</f>
        <v>#VALUE!</v>
      </c>
      <c r="F94" s="5" t="e">
        <f t="shared" ca="1" si="1"/>
        <v>#VALUE!</v>
      </c>
      <c r="G94" s="5"/>
      <c r="I94" s="117" t="s">
        <v>2635</v>
      </c>
      <c r="J94" s="117" t="s">
        <v>2635</v>
      </c>
      <c r="R94" s="115" t="str" cm="1">
        <f t="array" aca="1" ref="R94" ca="1">TRIM(SUBSTITUTE(_xlfn.ARRAYTOTEXT(IFERROR(CONCATENATE(SUMIF(INDIRECT("'"&amp;Assemblies!$B$2:$B$152&amp;"'!"&amp;"C$5:C1000"), $A94, INDIRECT("'"&amp;Assemblies!$B$2:$B$152&amp;"'!"&amp;"O$5:O1000")), "x",Assemblies!$B$2:$B$152,".",IF(SUMIF(INDIRECT("'"&amp;Assemblies!$B$2:$B$152&amp;"'!"&amp;"C$5:C1000"), $A94, INDIRECT("'"&amp;Assemblies!$B$2:$B$152&amp;"'!"&amp;"A$5:A1000"))=0,NA(),SUMIF(INDIRECT("'"&amp;Assemblies!$B$2:$B$152&amp;"'!"&amp;"C$5:C1000"), $A94, INDIRECT("'"&amp;Assemblies!$B$2:$B$152&amp;"'!"&amp;"A$5:A1000")))),"")), " ,", ""))</f>
        <v>,</v>
      </c>
      <c r="S94" s="56" t="s">
        <v>1382</v>
      </c>
      <c r="T94" s="2" t="s">
        <v>1382</v>
      </c>
      <c r="U94" s="2" t="s">
        <v>1382</v>
      </c>
      <c r="V94" s="2" t="s">
        <v>1382</v>
      </c>
    </row>
    <row r="95" spans="1:22" ht="12.75" hidden="1" customHeight="1">
      <c r="A95" s="133" t="s">
        <v>181</v>
      </c>
      <c r="B95" s="2" t="s">
        <v>2742</v>
      </c>
      <c r="C95" s="168"/>
      <c r="D95" s="5">
        <v>1</v>
      </c>
      <c r="E95" s="5" t="e" cm="1">
        <f t="array" aca="1" ref="E95" ca="1">SUMPRODUCT(SUMIF(INDIRECT("'"&amp;Assemblies[Assy]&amp;"'!"&amp;"C:C"),$A95,(INDIRECT("'"&amp;Assemblies[Assy]&amp;"'!"&amp;"O:O"))))</f>
        <v>#VALUE!</v>
      </c>
      <c r="F95" s="5" t="e">
        <f t="shared" ca="1" si="1"/>
        <v>#VALUE!</v>
      </c>
      <c r="G95" s="5"/>
      <c r="I95" s="117" t="s">
        <v>2635</v>
      </c>
      <c r="J95" s="117" t="s">
        <v>2635</v>
      </c>
      <c r="R95" s="115" t="str" cm="1">
        <f t="array" aca="1" ref="R95" ca="1">TRIM(SUBSTITUTE(_xlfn.ARRAYTOTEXT(IFERROR(CONCATENATE(SUMIF(INDIRECT("'"&amp;Assemblies!$B$2:$B$152&amp;"'!"&amp;"C$5:C1000"), $A95, INDIRECT("'"&amp;Assemblies!$B$2:$B$152&amp;"'!"&amp;"O$5:O1000")), "x",Assemblies!$B$2:$B$152,".",IF(SUMIF(INDIRECT("'"&amp;Assemblies!$B$2:$B$152&amp;"'!"&amp;"C$5:C1000"), $A95, INDIRECT("'"&amp;Assemblies!$B$2:$B$152&amp;"'!"&amp;"A$5:A1000"))=0,NA(),SUMIF(INDIRECT("'"&amp;Assemblies!$B$2:$B$152&amp;"'!"&amp;"C$5:C1000"), $A95, INDIRECT("'"&amp;Assemblies!$B$2:$B$152&amp;"'!"&amp;"A$5:A1000")))),"")), " ,", ""))</f>
        <v>,</v>
      </c>
      <c r="S95" s="56" t="s">
        <v>1382</v>
      </c>
      <c r="T95" s="2" t="s">
        <v>1382</v>
      </c>
      <c r="U95" s="2" t="s">
        <v>1382</v>
      </c>
      <c r="V95" s="2" t="s">
        <v>1382</v>
      </c>
    </row>
    <row r="96" spans="1:22" ht="12.75" hidden="1" customHeight="1">
      <c r="A96" s="133" t="s">
        <v>198</v>
      </c>
      <c r="B96" s="2" t="s">
        <v>2740</v>
      </c>
      <c r="C96" s="168"/>
      <c r="D96" s="5">
        <v>1</v>
      </c>
      <c r="E96" s="5" t="e" cm="1">
        <f t="array" aca="1" ref="E96" ca="1">SUMPRODUCT(SUMIF(INDIRECT("'"&amp;Assemblies[Assy]&amp;"'!"&amp;"C:C"),$A96,(INDIRECT("'"&amp;Assemblies[Assy]&amp;"'!"&amp;"O:O"))))</f>
        <v>#VALUE!</v>
      </c>
      <c r="F96" s="5" t="e">
        <f t="shared" ca="1" si="1"/>
        <v>#VALUE!</v>
      </c>
      <c r="G96" s="5"/>
      <c r="I96" s="117" t="s">
        <v>2635</v>
      </c>
      <c r="J96" s="117" t="s">
        <v>2635</v>
      </c>
      <c r="R96" s="115" t="str" cm="1">
        <f t="array" aca="1" ref="R96" ca="1">TRIM(SUBSTITUTE(_xlfn.ARRAYTOTEXT(IFERROR(CONCATENATE(SUMIF(INDIRECT("'"&amp;Assemblies!$B$2:$B$152&amp;"'!"&amp;"C$5:C1000"), $A96, INDIRECT("'"&amp;Assemblies!$B$2:$B$152&amp;"'!"&amp;"O$5:O1000")), "x",Assemblies!$B$2:$B$152,".",IF(SUMIF(INDIRECT("'"&amp;Assemblies!$B$2:$B$152&amp;"'!"&amp;"C$5:C1000"), $A96, INDIRECT("'"&amp;Assemblies!$B$2:$B$152&amp;"'!"&amp;"A$5:A1000"))=0,NA(),SUMIF(INDIRECT("'"&amp;Assemblies!$B$2:$B$152&amp;"'!"&amp;"C$5:C1000"), $A96, INDIRECT("'"&amp;Assemblies!$B$2:$B$152&amp;"'!"&amp;"A$5:A1000")))),"")), " ,", ""))</f>
        <v>,</v>
      </c>
      <c r="S96" s="56" t="s">
        <v>1382</v>
      </c>
      <c r="T96" s="2" t="s">
        <v>1382</v>
      </c>
      <c r="U96" s="2" t="s">
        <v>1382</v>
      </c>
      <c r="V96" s="2" t="s">
        <v>1382</v>
      </c>
    </row>
    <row r="97" spans="1:22" ht="12.75" hidden="1" customHeight="1">
      <c r="A97" s="133" t="s">
        <v>199</v>
      </c>
      <c r="B97" s="2" t="s">
        <v>2740</v>
      </c>
      <c r="C97" s="168"/>
      <c r="D97" s="5">
        <v>1</v>
      </c>
      <c r="E97" s="5" t="e" cm="1">
        <f t="array" aca="1" ref="E97" ca="1">SUMPRODUCT(SUMIF(INDIRECT("'"&amp;Assemblies[Assy]&amp;"'!"&amp;"C:C"),$A97,(INDIRECT("'"&amp;Assemblies[Assy]&amp;"'!"&amp;"O:O"))))</f>
        <v>#VALUE!</v>
      </c>
      <c r="F97" s="5" t="e">
        <f t="shared" ca="1" si="1"/>
        <v>#VALUE!</v>
      </c>
      <c r="G97" s="5"/>
      <c r="I97" s="117" t="s">
        <v>2635</v>
      </c>
      <c r="J97" s="117" t="s">
        <v>2635</v>
      </c>
      <c r="R97" s="115" t="str" cm="1">
        <f t="array" aca="1" ref="R97" ca="1">TRIM(SUBSTITUTE(_xlfn.ARRAYTOTEXT(IFERROR(CONCATENATE(SUMIF(INDIRECT("'"&amp;Assemblies!$B$2:$B$152&amp;"'!"&amp;"C$5:C1000"), $A97, INDIRECT("'"&amp;Assemblies!$B$2:$B$152&amp;"'!"&amp;"O$5:O1000")), "x",Assemblies!$B$2:$B$152,".",IF(SUMIF(INDIRECT("'"&amp;Assemblies!$B$2:$B$152&amp;"'!"&amp;"C$5:C1000"), $A97, INDIRECT("'"&amp;Assemblies!$B$2:$B$152&amp;"'!"&amp;"A$5:A1000"))=0,NA(),SUMIF(INDIRECT("'"&amp;Assemblies!$B$2:$B$152&amp;"'!"&amp;"C$5:C1000"), $A97, INDIRECT("'"&amp;Assemblies!$B$2:$B$152&amp;"'!"&amp;"A$5:A1000")))),"")), " ,", ""))</f>
        <v>,</v>
      </c>
      <c r="S97" s="56" t="s">
        <v>1382</v>
      </c>
      <c r="T97" s="2" t="s">
        <v>1382</v>
      </c>
      <c r="U97" s="2" t="s">
        <v>1382</v>
      </c>
      <c r="V97" s="2" t="s">
        <v>1382</v>
      </c>
    </row>
    <row r="98" spans="1:22" ht="12.75" hidden="1" customHeight="1">
      <c r="A98" s="133" t="s">
        <v>204</v>
      </c>
      <c r="B98" s="2" t="s">
        <v>2740</v>
      </c>
      <c r="C98" s="168"/>
      <c r="D98" s="5">
        <v>1</v>
      </c>
      <c r="E98" s="5" t="e" cm="1">
        <f t="array" aca="1" ref="E98" ca="1">SUMPRODUCT(SUMIF(INDIRECT("'"&amp;Assemblies[Assy]&amp;"'!"&amp;"C:C"),$A98,(INDIRECT("'"&amp;Assemblies[Assy]&amp;"'!"&amp;"O:O"))))</f>
        <v>#VALUE!</v>
      </c>
      <c r="F98" s="5" t="e">
        <f t="shared" ca="1" si="1"/>
        <v>#VALUE!</v>
      </c>
      <c r="G98" s="5"/>
      <c r="I98" s="117" t="s">
        <v>2635</v>
      </c>
      <c r="J98" s="117" t="s">
        <v>2635</v>
      </c>
      <c r="R98" s="115" t="str" cm="1">
        <f t="array" aca="1" ref="R98" ca="1">TRIM(SUBSTITUTE(_xlfn.ARRAYTOTEXT(IFERROR(CONCATENATE(SUMIF(INDIRECT("'"&amp;Assemblies!$B$2:$B$152&amp;"'!"&amp;"C$5:C1000"), $A98, INDIRECT("'"&amp;Assemblies!$B$2:$B$152&amp;"'!"&amp;"O$5:O1000")), "x",Assemblies!$B$2:$B$152,".",IF(SUMIF(INDIRECT("'"&amp;Assemblies!$B$2:$B$152&amp;"'!"&amp;"C$5:C1000"), $A98, INDIRECT("'"&amp;Assemblies!$B$2:$B$152&amp;"'!"&amp;"A$5:A1000"))=0,NA(),SUMIF(INDIRECT("'"&amp;Assemblies!$B$2:$B$152&amp;"'!"&amp;"C$5:C1000"), $A98, INDIRECT("'"&amp;Assemblies!$B$2:$B$152&amp;"'!"&amp;"A$5:A1000")))),"")), " ,", ""))</f>
        <v>,</v>
      </c>
      <c r="S98" s="56" t="s">
        <v>1382</v>
      </c>
      <c r="T98" s="2" t="s">
        <v>1382</v>
      </c>
      <c r="U98" s="2" t="s">
        <v>1382</v>
      </c>
      <c r="V98" s="2" t="s">
        <v>1382</v>
      </c>
    </row>
    <row r="99" spans="1:22" ht="12.75" hidden="1" customHeight="1">
      <c r="A99" s="133" t="s">
        <v>205</v>
      </c>
      <c r="B99" s="2" t="s">
        <v>2740</v>
      </c>
      <c r="C99" s="168"/>
      <c r="D99" s="5">
        <v>1</v>
      </c>
      <c r="E99" s="5" t="e" cm="1">
        <f t="array" aca="1" ref="E99" ca="1">SUMPRODUCT(SUMIF(INDIRECT("'"&amp;Assemblies[Assy]&amp;"'!"&amp;"C:C"),$A99,(INDIRECT("'"&amp;Assemblies[Assy]&amp;"'!"&amp;"O:O"))))</f>
        <v>#VALUE!</v>
      </c>
      <c r="F99" s="5" t="e">
        <f t="shared" ca="1" si="1"/>
        <v>#VALUE!</v>
      </c>
      <c r="G99" s="5"/>
      <c r="I99" s="117" t="s">
        <v>2635</v>
      </c>
      <c r="J99" s="117" t="s">
        <v>2635</v>
      </c>
      <c r="R99" s="115" t="str" cm="1">
        <f t="array" aca="1" ref="R99" ca="1">TRIM(SUBSTITUTE(_xlfn.ARRAYTOTEXT(IFERROR(CONCATENATE(SUMIF(INDIRECT("'"&amp;Assemblies!$B$2:$B$152&amp;"'!"&amp;"C$5:C1000"), $A99, INDIRECT("'"&amp;Assemblies!$B$2:$B$152&amp;"'!"&amp;"O$5:O1000")), "x",Assemblies!$B$2:$B$152,".",IF(SUMIF(INDIRECT("'"&amp;Assemblies!$B$2:$B$152&amp;"'!"&amp;"C$5:C1000"), $A99, INDIRECT("'"&amp;Assemblies!$B$2:$B$152&amp;"'!"&amp;"A$5:A1000"))=0,NA(),SUMIF(INDIRECT("'"&amp;Assemblies!$B$2:$B$152&amp;"'!"&amp;"C$5:C1000"), $A99, INDIRECT("'"&amp;Assemblies!$B$2:$B$152&amp;"'!"&amp;"A$5:A1000")))),"")), " ,", ""))</f>
        <v>,</v>
      </c>
      <c r="S99" s="56" t="s">
        <v>1382</v>
      </c>
      <c r="T99" s="2" t="s">
        <v>1382</v>
      </c>
      <c r="U99" s="2" t="s">
        <v>1382</v>
      </c>
      <c r="V99" s="2" t="s">
        <v>1382</v>
      </c>
    </row>
    <row r="100" spans="1:22" ht="12.75" hidden="1" customHeight="1">
      <c r="A100" s="133" t="s">
        <v>215</v>
      </c>
      <c r="B100" s="2" t="s">
        <v>2740</v>
      </c>
      <c r="C100" s="168"/>
      <c r="D100" s="5">
        <v>1</v>
      </c>
      <c r="E100" s="5" t="e" cm="1">
        <f t="array" aca="1" ref="E100" ca="1">SUMPRODUCT(SUMIF(INDIRECT("'"&amp;Assemblies[Assy]&amp;"'!"&amp;"C:C"),$A100,(INDIRECT("'"&amp;Assemblies[Assy]&amp;"'!"&amp;"O:O"))))</f>
        <v>#VALUE!</v>
      </c>
      <c r="F100" s="5" t="e">
        <f t="shared" ca="1" si="1"/>
        <v>#VALUE!</v>
      </c>
      <c r="G100" s="5"/>
      <c r="I100" s="117" t="s">
        <v>2635</v>
      </c>
      <c r="J100" s="117" t="s">
        <v>2635</v>
      </c>
      <c r="R100" s="115" t="str" cm="1">
        <f t="array" aca="1" ref="R100" ca="1">TRIM(SUBSTITUTE(_xlfn.ARRAYTOTEXT(IFERROR(CONCATENATE(SUMIF(INDIRECT("'"&amp;Assemblies!$B$2:$B$152&amp;"'!"&amp;"C$5:C1000"), $A100, INDIRECT("'"&amp;Assemblies!$B$2:$B$152&amp;"'!"&amp;"O$5:O1000")), "x",Assemblies!$B$2:$B$152,".",IF(SUMIF(INDIRECT("'"&amp;Assemblies!$B$2:$B$152&amp;"'!"&amp;"C$5:C1000"), $A100, INDIRECT("'"&amp;Assemblies!$B$2:$B$152&amp;"'!"&amp;"A$5:A1000"))=0,NA(),SUMIF(INDIRECT("'"&amp;Assemblies!$B$2:$B$152&amp;"'!"&amp;"C$5:C1000"), $A100, INDIRECT("'"&amp;Assemblies!$B$2:$B$152&amp;"'!"&amp;"A$5:A1000")))),"")), " ,", ""))</f>
        <v>,</v>
      </c>
    </row>
    <row r="101" spans="1:22" ht="12.75" hidden="1" customHeight="1">
      <c r="A101" s="133" t="s">
        <v>197</v>
      </c>
      <c r="B101" s="2" t="s">
        <v>2743</v>
      </c>
      <c r="C101" s="168"/>
      <c r="D101" s="5">
        <v>1</v>
      </c>
      <c r="E101" s="5" t="e" cm="1">
        <f t="array" aca="1" ref="E101" ca="1">SUMPRODUCT(SUMIF(INDIRECT("'"&amp;Assemblies[Assy]&amp;"'!"&amp;"C:C"),$A101,(INDIRECT("'"&amp;Assemblies[Assy]&amp;"'!"&amp;"O:O"))))</f>
        <v>#VALUE!</v>
      </c>
      <c r="F101" s="5" t="e">
        <f t="shared" ca="1" si="1"/>
        <v>#VALUE!</v>
      </c>
      <c r="G101" s="5"/>
      <c r="I101" s="117" t="s">
        <v>2744</v>
      </c>
      <c r="J101" s="117" t="s">
        <v>2635</v>
      </c>
      <c r="R101" s="115" t="str" cm="1">
        <f t="array" aca="1" ref="R101" ca="1">TRIM(SUBSTITUTE(_xlfn.ARRAYTOTEXT(IFERROR(CONCATENATE(SUMIF(INDIRECT("'"&amp;Assemblies!$B$2:$B$152&amp;"'!"&amp;"C$5:C1000"), $A101, INDIRECT("'"&amp;Assemblies!$B$2:$B$152&amp;"'!"&amp;"O$5:O1000")), "x",Assemblies!$B$2:$B$152,".",IF(SUMIF(INDIRECT("'"&amp;Assemblies!$B$2:$B$152&amp;"'!"&amp;"C$5:C1000"), $A101, INDIRECT("'"&amp;Assemblies!$B$2:$B$152&amp;"'!"&amp;"A$5:A1000"))=0,NA(),SUMIF(INDIRECT("'"&amp;Assemblies!$B$2:$B$152&amp;"'!"&amp;"C$5:C1000"), $A101, INDIRECT("'"&amp;Assemblies!$B$2:$B$152&amp;"'!"&amp;"A$5:A1000")))),"")), " ,", ""))</f>
        <v>,</v>
      </c>
    </row>
    <row r="102" spans="1:22" ht="12.75" hidden="1" customHeight="1">
      <c r="A102" s="133" t="s">
        <v>195</v>
      </c>
      <c r="B102" s="2" t="s">
        <v>2745</v>
      </c>
      <c r="C102" s="168"/>
      <c r="D102" s="5">
        <v>1</v>
      </c>
      <c r="E102" s="5" t="e" cm="1">
        <f t="array" aca="1" ref="E102" ca="1">SUMPRODUCT(SUMIF(INDIRECT("'"&amp;Assemblies[Assy]&amp;"'!"&amp;"C:C"),$A102,(INDIRECT("'"&amp;Assemblies[Assy]&amp;"'!"&amp;"O:O"))))</f>
        <v>#VALUE!</v>
      </c>
      <c r="F102" s="5" t="e">
        <f t="shared" ca="1" si="1"/>
        <v>#VALUE!</v>
      </c>
      <c r="G102" s="5"/>
      <c r="I102" s="117" t="s">
        <v>2744</v>
      </c>
      <c r="J102" s="117" t="s">
        <v>2635</v>
      </c>
      <c r="R102" s="115" t="str" cm="1">
        <f t="array" aca="1" ref="R102" ca="1">TRIM(SUBSTITUTE(_xlfn.ARRAYTOTEXT(IFERROR(CONCATENATE(SUMIF(INDIRECT("'"&amp;Assemblies!$B$2:$B$152&amp;"'!"&amp;"C$5:C1000"), $A102, INDIRECT("'"&amp;Assemblies!$B$2:$B$152&amp;"'!"&amp;"O$5:O1000")), "x",Assemblies!$B$2:$B$152,".",IF(SUMIF(INDIRECT("'"&amp;Assemblies!$B$2:$B$152&amp;"'!"&amp;"C$5:C1000"), $A102, INDIRECT("'"&amp;Assemblies!$B$2:$B$152&amp;"'!"&amp;"A$5:A1000"))=0,NA(),SUMIF(INDIRECT("'"&amp;Assemblies!$B$2:$B$152&amp;"'!"&amp;"C$5:C1000"), $A102, INDIRECT("'"&amp;Assemblies!$B$2:$B$152&amp;"'!"&amp;"A$5:A1000")))),"")), " ,", ""))</f>
        <v>,</v>
      </c>
    </row>
    <row r="103" spans="1:22" ht="12.75" customHeight="1">
      <c r="A103" s="247" t="s">
        <v>1348</v>
      </c>
      <c r="B103" s="161" t="s">
        <v>2746</v>
      </c>
      <c r="C103" s="203">
        <v>177.61</v>
      </c>
      <c r="D103" s="5">
        <v>1</v>
      </c>
      <c r="E103" s="5" t="e" cm="1">
        <f t="array" aca="1" ref="E103" ca="1">SUMPRODUCT(SUMIF(INDIRECT("'"&amp;Assemblies[Assy]&amp;"'!"&amp;"C:C"),$A103,(INDIRECT("'"&amp;Assemblies[Assy]&amp;"'!"&amp;"O:O"))))</f>
        <v>#VALUE!</v>
      </c>
      <c r="F103" s="5" t="e">
        <f t="shared" ca="1" si="1"/>
        <v>#VALUE!</v>
      </c>
      <c r="G103" s="5">
        <v>1</v>
      </c>
      <c r="H103" s="2">
        <v>1</v>
      </c>
      <c r="I103" s="117" t="s">
        <v>2747</v>
      </c>
      <c r="J103" s="117" t="s">
        <v>2747</v>
      </c>
      <c r="K103" s="135" t="s">
        <v>1382</v>
      </c>
      <c r="L103" s="2" t="s">
        <v>1382</v>
      </c>
      <c r="M103" s="8">
        <v>45125</v>
      </c>
      <c r="N103" s="8">
        <v>45149</v>
      </c>
      <c r="O103" s="8">
        <v>45177</v>
      </c>
      <c r="P103" s="8">
        <v>45156</v>
      </c>
      <c r="Q103" s="229">
        <v>55052</v>
      </c>
      <c r="R103" s="115" t="str" cm="1">
        <f t="array" aca="1" ref="R103" ca="1">TRIM(SUBSTITUTE(_xlfn.ARRAYTOTEXT(IFERROR(CONCATENATE(SUMIF(INDIRECT("'"&amp;Assemblies[Assy]&amp;"'!"&amp;"C$5:C1000"), $A103, INDIRECT("'"&amp;Assemblies[Assy]&amp;"'!"&amp;"O$5:O1000")), "x",Assemblies[Assy],".",IF(SUMIF(INDIRECT("'"&amp;Assemblies[Assy]&amp;"'!"&amp;"C$5:C1000"), $A103, INDIRECT("'"&amp;Assemblies[Assy]&amp;"'!"&amp;"A$5:A1000"))=0,NA(),SUMIF(INDIRECT("'"&amp;Assemblies[Assy]&amp;"'!"&amp;"C$5:C1000"), $A103, INDIRECT("'"&amp;Assemblies[Assy]&amp;"'!"&amp;"A$5:A1000")))),"")), " ,", ""))</f>
        <v>,</v>
      </c>
    </row>
    <row r="104" spans="1:22" ht="12.75" customHeight="1">
      <c r="A104" s="247" t="s">
        <v>1349</v>
      </c>
      <c r="B104" s="161" t="s">
        <v>2748</v>
      </c>
      <c r="C104" s="203">
        <v>20.21</v>
      </c>
      <c r="D104" s="5">
        <v>1</v>
      </c>
      <c r="E104" s="5" t="e" cm="1">
        <f t="array" aca="1" ref="E104" ca="1">SUMPRODUCT(SUMIF(INDIRECT("'"&amp;Assemblies[Assy]&amp;"'!"&amp;"C:C"),$A104,(INDIRECT("'"&amp;Assemblies[Assy]&amp;"'!"&amp;"O:O"))))</f>
        <v>#VALUE!</v>
      </c>
      <c r="F104" s="5" t="e">
        <f t="shared" ca="1" si="1"/>
        <v>#VALUE!</v>
      </c>
      <c r="G104" s="5">
        <v>1</v>
      </c>
      <c r="H104" s="2">
        <v>1</v>
      </c>
      <c r="I104" s="117" t="s">
        <v>2747</v>
      </c>
      <c r="J104" s="117" t="s">
        <v>2747</v>
      </c>
      <c r="K104" s="135" t="s">
        <v>1382</v>
      </c>
      <c r="L104" s="2" t="s">
        <v>1382</v>
      </c>
      <c r="M104" s="8">
        <v>45125</v>
      </c>
      <c r="N104" s="8">
        <v>45149</v>
      </c>
      <c r="O104" s="8">
        <v>45177</v>
      </c>
      <c r="P104" s="8">
        <v>45156</v>
      </c>
      <c r="Q104" s="229">
        <v>55052</v>
      </c>
      <c r="R104" s="115" t="str" cm="1">
        <f t="array" aca="1" ref="R104" ca="1">TRIM(SUBSTITUTE(_xlfn.ARRAYTOTEXT(IFERROR(CONCATENATE(SUMIF(INDIRECT("'"&amp;Assemblies[Assy]&amp;"'!"&amp;"C$5:C1000"), $A104, INDIRECT("'"&amp;Assemblies[Assy]&amp;"'!"&amp;"O$5:O1000")), "x",Assemblies[Assy],".",IF(SUMIF(INDIRECT("'"&amp;Assemblies[Assy]&amp;"'!"&amp;"C$5:C1000"), $A104, INDIRECT("'"&amp;Assemblies[Assy]&amp;"'!"&amp;"A$5:A1000"))=0,NA(),SUMIF(INDIRECT("'"&amp;Assemblies[Assy]&amp;"'!"&amp;"C$5:C1000"), $A104, INDIRECT("'"&amp;Assemblies[Assy]&amp;"'!"&amp;"A$5:A1000")))),"")), " ,", ""))</f>
        <v>,</v>
      </c>
      <c r="S104" s="56" t="s">
        <v>1382</v>
      </c>
      <c r="T104" s="2" t="s">
        <v>1382</v>
      </c>
      <c r="U104" s="2" t="s">
        <v>1382</v>
      </c>
      <c r="V104" s="2" t="s">
        <v>1382</v>
      </c>
    </row>
    <row r="105" spans="1:22" ht="12.75" customHeight="1">
      <c r="A105" s="133" t="s">
        <v>1370</v>
      </c>
      <c r="B105" s="2" t="s">
        <v>2749</v>
      </c>
      <c r="C105" s="168">
        <v>154.82689999999999</v>
      </c>
      <c r="D105" s="5">
        <v>1</v>
      </c>
      <c r="E105" s="5" t="e" cm="1">
        <f t="array" aca="1" ref="E105" ca="1">SUMPRODUCT(SUMIF(INDIRECT("'"&amp;Assemblies[Assy]&amp;"'!"&amp;"C:C"),$A105,(INDIRECT("'"&amp;Assemblies[Assy]&amp;"'!"&amp;"O:O"))))</f>
        <v>#VALUE!</v>
      </c>
      <c r="F105" s="5" t="e">
        <f t="shared" ca="1" si="1"/>
        <v>#VALUE!</v>
      </c>
      <c r="G105" s="5">
        <v>4</v>
      </c>
      <c r="I105" s="117" t="s">
        <v>2750</v>
      </c>
      <c r="J105" s="117" t="s">
        <v>2647</v>
      </c>
      <c r="K105" s="135" t="s">
        <v>1382</v>
      </c>
      <c r="L105" s="2" t="s">
        <v>1382</v>
      </c>
      <c r="M105" s="8" t="s">
        <v>1762</v>
      </c>
      <c r="N105" s="8">
        <v>45162</v>
      </c>
      <c r="O105" s="8">
        <v>45184</v>
      </c>
      <c r="P105" s="8">
        <v>45197</v>
      </c>
      <c r="Q105" s="229">
        <v>55073</v>
      </c>
      <c r="R105" s="115" t="str" cm="1">
        <f t="array" aca="1" ref="R105" ca="1">TRIM(SUBSTITUTE(_xlfn.ARRAYTOTEXT(IFERROR(CONCATENATE(SUMIF(INDIRECT("'"&amp;Assemblies[Assy]&amp;"'!"&amp;"C$5:C1000"), $A105, INDIRECT("'"&amp;Assemblies[Assy]&amp;"'!"&amp;"O$5:O1000")), "x",Assemblies[Assy],".",IF(SUMIF(INDIRECT("'"&amp;Assemblies[Assy]&amp;"'!"&amp;"C$5:C1000"), $A105, INDIRECT("'"&amp;Assemblies[Assy]&amp;"'!"&amp;"A$5:A1000"))=0,NA(),SUMIF(INDIRECT("'"&amp;Assemblies[Assy]&amp;"'!"&amp;"C$5:C1000"), $A105, INDIRECT("'"&amp;Assemblies[Assy]&amp;"'!"&amp;"A$5:A1000")))),"")), " ,", ""))</f>
        <v>,</v>
      </c>
      <c r="S105" s="56" t="s">
        <v>1382</v>
      </c>
      <c r="T105" s="2" t="s">
        <v>1382</v>
      </c>
      <c r="U105" s="2" t="s">
        <v>1382</v>
      </c>
      <c r="V105" s="2" t="s">
        <v>1382</v>
      </c>
    </row>
    <row r="106" spans="1:22" ht="12.75" customHeight="1">
      <c r="A106" s="133" t="s">
        <v>851</v>
      </c>
      <c r="B106" s="2" t="s">
        <v>2751</v>
      </c>
      <c r="C106" s="168">
        <v>0</v>
      </c>
      <c r="D106" s="5">
        <v>1</v>
      </c>
      <c r="E106" s="5" t="e" cm="1">
        <f t="array" aca="1" ref="E106" ca="1">SUMPRODUCT(SUMIF(INDIRECT("'"&amp;Assemblies[Assy]&amp;"'!"&amp;"C:C"),$A106,(INDIRECT("'"&amp;Assemblies[Assy]&amp;"'!"&amp;"O:O"))))</f>
        <v>#VALUE!</v>
      </c>
      <c r="F106" s="5" t="e">
        <f t="shared" ca="1" si="1"/>
        <v>#VALUE!</v>
      </c>
      <c r="G106" s="5">
        <v>22</v>
      </c>
      <c r="H106" s="2">
        <v>22</v>
      </c>
      <c r="I106" s="117" t="s">
        <v>2750</v>
      </c>
      <c r="J106" s="117" t="s">
        <v>2647</v>
      </c>
      <c r="L106" s="2" t="s">
        <v>2752</v>
      </c>
      <c r="M106" s="8" t="s">
        <v>1762</v>
      </c>
      <c r="N106" s="8" t="s">
        <v>1762</v>
      </c>
      <c r="O106" s="8" t="s">
        <v>1762</v>
      </c>
      <c r="P106" s="8" t="s">
        <v>1762</v>
      </c>
      <c r="Q106" s="229" t="s">
        <v>1762</v>
      </c>
      <c r="R106" s="115" t="str" cm="1">
        <f t="array" aca="1" ref="R106" ca="1">TRIM(SUBSTITUTE(_xlfn.ARRAYTOTEXT(IFERROR(CONCATENATE(SUMIF(INDIRECT("'"&amp;Assemblies[Assy]&amp;"'!"&amp;"C$5:C1000"), $A106, INDIRECT("'"&amp;Assemblies[Assy]&amp;"'!"&amp;"O$5:O1000")), "x",Assemblies[Assy],".",IF(SUMIF(INDIRECT("'"&amp;Assemblies[Assy]&amp;"'!"&amp;"C$5:C1000"), $A106, INDIRECT("'"&amp;Assemblies[Assy]&amp;"'!"&amp;"A$5:A1000"))=0,NA(),SUMIF(INDIRECT("'"&amp;Assemblies[Assy]&amp;"'!"&amp;"C$5:C1000"), $A106, INDIRECT("'"&amp;Assemblies[Assy]&amp;"'!"&amp;"A$5:A1000")))),"")), " ,", ""))</f>
        <v>,</v>
      </c>
      <c r="S106" s="56" t="s">
        <v>1382</v>
      </c>
      <c r="T106" s="2" t="s">
        <v>1382</v>
      </c>
      <c r="U106" s="2" t="s">
        <v>1382</v>
      </c>
      <c r="V106" s="2" t="s">
        <v>1382</v>
      </c>
    </row>
    <row r="107" spans="1:22" ht="12.75" customHeight="1">
      <c r="A107" s="133" t="s">
        <v>841</v>
      </c>
      <c r="B107" s="22" t="s">
        <v>2753</v>
      </c>
      <c r="C107" s="168">
        <v>1231.5119999999999</v>
      </c>
      <c r="D107" s="5">
        <v>1</v>
      </c>
      <c r="E107" s="5" t="e" cm="1">
        <f t="array" aca="1" ref="E107" ca="1">SUMPRODUCT(SUMIF(INDIRECT("'"&amp;Assemblies[Assy]&amp;"'!"&amp;"C:C"),$A107,(INDIRECT("'"&amp;Assemblies[Assy]&amp;"'!"&amp;"O:O"))))</f>
        <v>#VALUE!</v>
      </c>
      <c r="F107" s="5" t="e">
        <f t="shared" ca="1" si="1"/>
        <v>#VALUE!</v>
      </c>
      <c r="G107" s="5">
        <v>2</v>
      </c>
      <c r="H107" s="2">
        <v>2</v>
      </c>
      <c r="I107" s="117" t="s">
        <v>2754</v>
      </c>
      <c r="J107" s="117" t="s">
        <v>2647</v>
      </c>
      <c r="K107" s="135" t="s">
        <v>1382</v>
      </c>
      <c r="L107" s="2" t="s">
        <v>1382</v>
      </c>
      <c r="M107" s="8" t="s">
        <v>1762</v>
      </c>
      <c r="N107" s="8">
        <v>45085</v>
      </c>
      <c r="O107" s="8">
        <v>45110</v>
      </c>
      <c r="P107" s="8">
        <v>45110</v>
      </c>
      <c r="Q107" s="229">
        <v>54924</v>
      </c>
      <c r="R107" s="115" t="str" cm="1">
        <f t="array" aca="1" ref="R107" ca="1">TRIM(SUBSTITUTE(_xlfn.ARRAYTOTEXT(IFERROR(CONCATENATE(SUMIF(INDIRECT("'"&amp;Assemblies[Assy]&amp;"'!"&amp;"C$5:C1000"), $A107, INDIRECT("'"&amp;Assemblies[Assy]&amp;"'!"&amp;"O$5:O1000")), "x",Assemblies[Assy],".",IF(SUMIF(INDIRECT("'"&amp;Assemblies[Assy]&amp;"'!"&amp;"C$5:C1000"), $A107, INDIRECT("'"&amp;Assemblies[Assy]&amp;"'!"&amp;"A$5:A1000"))=0,NA(),SUMIF(INDIRECT("'"&amp;Assemblies[Assy]&amp;"'!"&amp;"C$5:C1000"), $A107, INDIRECT("'"&amp;Assemblies[Assy]&amp;"'!"&amp;"A$5:A1000")))),"")), " ,", ""))</f>
        <v>,</v>
      </c>
      <c r="S107" s="56" t="s">
        <v>1382</v>
      </c>
      <c r="T107" s="2" t="s">
        <v>1382</v>
      </c>
      <c r="U107" s="2" t="s">
        <v>1382</v>
      </c>
      <c r="V107" s="2" t="s">
        <v>1382</v>
      </c>
    </row>
    <row r="108" spans="1:22" ht="12.75" customHeight="1">
      <c r="A108" s="133" t="s">
        <v>856</v>
      </c>
      <c r="B108" s="22" t="s">
        <v>2755</v>
      </c>
      <c r="C108" s="168">
        <v>1347.7125000000001</v>
      </c>
      <c r="D108" s="5">
        <v>1</v>
      </c>
      <c r="E108" s="5" t="e" cm="1">
        <f t="array" aca="1" ref="E108" ca="1">SUMPRODUCT(SUMIF(INDIRECT("'"&amp;Assemblies[Assy]&amp;"'!"&amp;"C:C"),$A108,(INDIRECT("'"&amp;Assemblies[Assy]&amp;"'!"&amp;"O:O"))))</f>
        <v>#VALUE!</v>
      </c>
      <c r="F108" s="5" t="e">
        <f t="shared" ca="1" si="1"/>
        <v>#VALUE!</v>
      </c>
      <c r="G108" s="5">
        <v>2</v>
      </c>
      <c r="H108" s="2">
        <v>2</v>
      </c>
      <c r="I108" s="117" t="s">
        <v>2754</v>
      </c>
      <c r="J108" s="117" t="s">
        <v>2647</v>
      </c>
      <c r="K108" s="135" t="s">
        <v>1382</v>
      </c>
      <c r="L108" s="2" t="s">
        <v>1382</v>
      </c>
      <c r="M108" s="8" t="s">
        <v>1762</v>
      </c>
      <c r="N108" s="8">
        <v>45085</v>
      </c>
      <c r="O108" s="8">
        <v>45110</v>
      </c>
      <c r="P108" s="8">
        <v>45110</v>
      </c>
      <c r="Q108" s="229">
        <v>54924</v>
      </c>
      <c r="R108" s="115" t="str" cm="1">
        <f t="array" aca="1" ref="R108" ca="1">TRIM(SUBSTITUTE(_xlfn.ARRAYTOTEXT(IFERROR(CONCATENATE(SUMIF(INDIRECT("'"&amp;Assemblies[Assy]&amp;"'!"&amp;"C$5:C1000"), $A108, INDIRECT("'"&amp;Assemblies[Assy]&amp;"'!"&amp;"O$5:O1000")), "x",Assemblies[Assy],".",IF(SUMIF(INDIRECT("'"&amp;Assemblies[Assy]&amp;"'!"&amp;"C$5:C1000"), $A108, INDIRECT("'"&amp;Assemblies[Assy]&amp;"'!"&amp;"A$5:A1000"))=0,NA(),SUMIF(INDIRECT("'"&amp;Assemblies[Assy]&amp;"'!"&amp;"C$5:C1000"), $A108, INDIRECT("'"&amp;Assemblies[Assy]&amp;"'!"&amp;"A$5:A1000")))),"")), " ,", ""))</f>
        <v>,</v>
      </c>
      <c r="S108" s="56" t="s">
        <v>1382</v>
      </c>
      <c r="T108" s="2" t="s">
        <v>1382</v>
      </c>
      <c r="U108" s="2" t="s">
        <v>1382</v>
      </c>
      <c r="V108" s="2" t="s">
        <v>1382</v>
      </c>
    </row>
    <row r="109" spans="1:22" ht="12.75" customHeight="1">
      <c r="A109" s="133" t="s">
        <v>860</v>
      </c>
      <c r="B109" s="22" t="s">
        <v>2756</v>
      </c>
      <c r="C109" s="168">
        <v>379.72500000000002</v>
      </c>
      <c r="D109" s="5">
        <v>1</v>
      </c>
      <c r="E109" s="5" t="e" cm="1">
        <f t="array" aca="1" ref="E109" ca="1">SUMPRODUCT(SUMIF(INDIRECT("'"&amp;Assemblies[Assy]&amp;"'!"&amp;"C:C"),$A109,(INDIRECT("'"&amp;Assemblies[Assy]&amp;"'!"&amp;"O:O"))))</f>
        <v>#VALUE!</v>
      </c>
      <c r="F109" s="5" t="e">
        <f t="shared" ca="1" si="1"/>
        <v>#VALUE!</v>
      </c>
      <c r="G109" s="5">
        <v>2</v>
      </c>
      <c r="H109" s="2">
        <v>2</v>
      </c>
      <c r="I109" s="117" t="s">
        <v>2754</v>
      </c>
      <c r="J109" s="117" t="s">
        <v>2647</v>
      </c>
      <c r="K109" s="135" t="s">
        <v>1382</v>
      </c>
      <c r="L109" s="2" t="s">
        <v>1382</v>
      </c>
      <c r="M109" s="8" t="s">
        <v>1762</v>
      </c>
      <c r="N109" s="8">
        <v>45085</v>
      </c>
      <c r="O109" s="8">
        <v>45110</v>
      </c>
      <c r="P109" s="8">
        <v>45110</v>
      </c>
      <c r="Q109" s="229">
        <v>54924</v>
      </c>
      <c r="R109" s="115" t="str" cm="1">
        <f t="array" aca="1" ref="R109" ca="1">TRIM(SUBSTITUTE(_xlfn.ARRAYTOTEXT(IFERROR(CONCATENATE(SUMIF(INDIRECT("'"&amp;Assemblies[Assy]&amp;"'!"&amp;"C$5:C1000"), $A109, INDIRECT("'"&amp;Assemblies[Assy]&amp;"'!"&amp;"O$5:O1000")), "x",Assemblies[Assy],".",IF(SUMIF(INDIRECT("'"&amp;Assemblies[Assy]&amp;"'!"&amp;"C$5:C1000"), $A109, INDIRECT("'"&amp;Assemblies[Assy]&amp;"'!"&amp;"A$5:A1000"))=0,NA(),SUMIF(INDIRECT("'"&amp;Assemblies[Assy]&amp;"'!"&amp;"C$5:C1000"), $A109, INDIRECT("'"&amp;Assemblies[Assy]&amp;"'!"&amp;"A$5:A1000")))),"")), " ,", ""))</f>
        <v>,</v>
      </c>
      <c r="S109" s="56" t="s">
        <v>1382</v>
      </c>
      <c r="T109" s="2" t="s">
        <v>1382</v>
      </c>
      <c r="U109" s="2" t="s">
        <v>1382</v>
      </c>
      <c r="V109" s="2" t="s">
        <v>1382</v>
      </c>
    </row>
    <row r="110" spans="1:22" ht="12.75" customHeight="1">
      <c r="A110" s="133" t="s">
        <v>859</v>
      </c>
      <c r="B110" s="22" t="s">
        <v>2757</v>
      </c>
      <c r="C110" s="168">
        <v>1828.075</v>
      </c>
      <c r="D110" s="5">
        <v>1</v>
      </c>
      <c r="E110" s="5" t="e" cm="1">
        <f t="array" aca="1" ref="E110" ca="1">SUMPRODUCT(SUMIF(INDIRECT("'"&amp;Assemblies[Assy]&amp;"'!"&amp;"C:C"),$A110,(INDIRECT("'"&amp;Assemblies[Assy]&amp;"'!"&amp;"O:O"))))</f>
        <v>#VALUE!</v>
      </c>
      <c r="F110" s="5" t="e">
        <f t="shared" ca="1" si="1"/>
        <v>#VALUE!</v>
      </c>
      <c r="G110" s="5">
        <v>2</v>
      </c>
      <c r="H110" s="2">
        <v>2</v>
      </c>
      <c r="I110" s="117" t="s">
        <v>2754</v>
      </c>
      <c r="J110" s="117" t="s">
        <v>2647</v>
      </c>
      <c r="K110" s="135" t="s">
        <v>1382</v>
      </c>
      <c r="L110" s="2" t="s">
        <v>1382</v>
      </c>
      <c r="M110" s="8" t="s">
        <v>1762</v>
      </c>
      <c r="N110" s="8">
        <v>45085</v>
      </c>
      <c r="O110" s="8">
        <v>45110</v>
      </c>
      <c r="P110" s="8">
        <v>45110</v>
      </c>
      <c r="Q110" s="229">
        <v>54924</v>
      </c>
      <c r="R110" s="115" t="str" cm="1">
        <f t="array" aca="1" ref="R110" ca="1">TRIM(SUBSTITUTE(_xlfn.ARRAYTOTEXT(IFERROR(CONCATENATE(SUMIF(INDIRECT("'"&amp;Assemblies[Assy]&amp;"'!"&amp;"C$5:C1000"), $A110, INDIRECT("'"&amp;Assemblies[Assy]&amp;"'!"&amp;"O$5:O1000")), "x",Assemblies[Assy],".",IF(SUMIF(INDIRECT("'"&amp;Assemblies[Assy]&amp;"'!"&amp;"C$5:C1000"), $A110, INDIRECT("'"&amp;Assemblies[Assy]&amp;"'!"&amp;"A$5:A1000"))=0,NA(),SUMIF(INDIRECT("'"&amp;Assemblies[Assy]&amp;"'!"&amp;"C$5:C1000"), $A110, INDIRECT("'"&amp;Assemblies[Assy]&amp;"'!"&amp;"A$5:A1000")))),"")), " ,", ""))</f>
        <v>,</v>
      </c>
      <c r="S110" s="56" t="s">
        <v>1382</v>
      </c>
      <c r="T110" s="2" t="s">
        <v>1382</v>
      </c>
      <c r="U110" s="2" t="s">
        <v>1382</v>
      </c>
      <c r="V110" s="2" t="s">
        <v>1382</v>
      </c>
    </row>
    <row r="111" spans="1:22" ht="12.75" customHeight="1">
      <c r="A111" s="133" t="s">
        <v>842</v>
      </c>
      <c r="B111" s="22" t="s">
        <v>2758</v>
      </c>
      <c r="C111" s="168">
        <v>409.8125</v>
      </c>
      <c r="D111" s="5">
        <v>1</v>
      </c>
      <c r="E111" s="5" t="e" cm="1">
        <f t="array" aca="1" ref="E111" ca="1">SUMPRODUCT(SUMIF(INDIRECT("'"&amp;Assemblies[Assy]&amp;"'!"&amp;"C:C"),$A111,(INDIRECT("'"&amp;Assemblies[Assy]&amp;"'!"&amp;"O:O"))))</f>
        <v>#VALUE!</v>
      </c>
      <c r="F111" s="5" t="e">
        <f t="shared" ca="1" si="1"/>
        <v>#VALUE!</v>
      </c>
      <c r="G111" s="5">
        <v>2</v>
      </c>
      <c r="H111" s="2">
        <v>2</v>
      </c>
      <c r="I111" s="117" t="s">
        <v>2754</v>
      </c>
      <c r="J111" s="117" t="s">
        <v>2647</v>
      </c>
      <c r="K111" s="135" t="s">
        <v>1382</v>
      </c>
      <c r="L111" s="2" t="s">
        <v>1382</v>
      </c>
      <c r="M111" s="8" t="s">
        <v>1762</v>
      </c>
      <c r="N111" s="8">
        <v>45085</v>
      </c>
      <c r="O111" s="8">
        <v>45110</v>
      </c>
      <c r="P111" s="8">
        <v>45110</v>
      </c>
      <c r="Q111" s="229">
        <v>54924</v>
      </c>
      <c r="R111" s="115" t="str" cm="1">
        <f t="array" aca="1" ref="R111" ca="1">TRIM(SUBSTITUTE(_xlfn.ARRAYTOTEXT(IFERROR(CONCATENATE(SUMIF(INDIRECT("'"&amp;Assemblies[Assy]&amp;"'!"&amp;"C$5:C1000"), $A111, INDIRECT("'"&amp;Assemblies[Assy]&amp;"'!"&amp;"O$5:O1000")), "x",Assemblies[Assy],".",IF(SUMIF(INDIRECT("'"&amp;Assemblies[Assy]&amp;"'!"&amp;"C$5:C1000"), $A111, INDIRECT("'"&amp;Assemblies[Assy]&amp;"'!"&amp;"A$5:A1000"))=0,NA(),SUMIF(INDIRECT("'"&amp;Assemblies[Assy]&amp;"'!"&amp;"C$5:C1000"), $A111, INDIRECT("'"&amp;Assemblies[Assy]&amp;"'!"&amp;"A$5:A1000")))),"")), " ,", ""))</f>
        <v>,</v>
      </c>
      <c r="S111" s="56" t="s">
        <v>1382</v>
      </c>
      <c r="T111" s="2" t="s">
        <v>1382</v>
      </c>
      <c r="U111" s="2" t="s">
        <v>1382</v>
      </c>
      <c r="V111" s="2" t="s">
        <v>1382</v>
      </c>
    </row>
    <row r="112" spans="1:22" ht="12.75" customHeight="1">
      <c r="A112" s="133" t="s">
        <v>857</v>
      </c>
      <c r="B112" s="22" t="s">
        <v>2759</v>
      </c>
      <c r="C112" s="168">
        <v>409.81225000000001</v>
      </c>
      <c r="D112" s="5">
        <v>1</v>
      </c>
      <c r="E112" s="5" t="e" cm="1">
        <f t="array" aca="1" ref="E112" ca="1">SUMPRODUCT(SUMIF(INDIRECT("'"&amp;Assemblies[Assy]&amp;"'!"&amp;"C:C"),$A112,(INDIRECT("'"&amp;Assemblies[Assy]&amp;"'!"&amp;"O:O"))))</f>
        <v>#VALUE!</v>
      </c>
      <c r="F112" s="5" t="e">
        <f t="shared" ca="1" si="1"/>
        <v>#VALUE!</v>
      </c>
      <c r="G112" s="5">
        <v>2</v>
      </c>
      <c r="H112" s="2">
        <v>2</v>
      </c>
      <c r="I112" s="117" t="s">
        <v>2754</v>
      </c>
      <c r="J112" s="117" t="s">
        <v>2647</v>
      </c>
      <c r="K112" s="135" t="s">
        <v>1382</v>
      </c>
      <c r="L112" s="2" t="s">
        <v>1382</v>
      </c>
      <c r="M112" s="8" t="s">
        <v>1762</v>
      </c>
      <c r="N112" s="8">
        <v>45085</v>
      </c>
      <c r="O112" s="8">
        <v>45110</v>
      </c>
      <c r="P112" s="8">
        <v>45110</v>
      </c>
      <c r="Q112" s="229">
        <v>54924</v>
      </c>
      <c r="R112" s="115" t="str" cm="1">
        <f t="array" aca="1" ref="R112" ca="1">TRIM(SUBSTITUTE(_xlfn.ARRAYTOTEXT(IFERROR(CONCATENATE(SUMIF(INDIRECT("'"&amp;Assemblies[Assy]&amp;"'!"&amp;"C$5:C1000"), $A112, INDIRECT("'"&amp;Assemblies[Assy]&amp;"'!"&amp;"O$5:O1000")), "x",Assemblies[Assy],".",IF(SUMIF(INDIRECT("'"&amp;Assemblies[Assy]&amp;"'!"&amp;"C$5:C1000"), $A112, INDIRECT("'"&amp;Assemblies[Assy]&amp;"'!"&amp;"A$5:A1000"))=0,NA(),SUMIF(INDIRECT("'"&amp;Assemblies[Assy]&amp;"'!"&amp;"C$5:C1000"), $A112, INDIRECT("'"&amp;Assemblies[Assy]&amp;"'!"&amp;"A$5:A1000")))),"")), " ,", ""))</f>
        <v>,</v>
      </c>
      <c r="S112" s="56" t="s">
        <v>1382</v>
      </c>
      <c r="T112" s="2" t="s">
        <v>1382</v>
      </c>
      <c r="U112" s="2" t="s">
        <v>1382</v>
      </c>
      <c r="V112" s="2" t="s">
        <v>1382</v>
      </c>
    </row>
    <row r="113" spans="1:22" ht="12.75" customHeight="1">
      <c r="A113" s="133" t="s">
        <v>844</v>
      </c>
      <c r="B113" s="2" t="s">
        <v>2760</v>
      </c>
      <c r="C113" s="168">
        <v>9.8908000000000005</v>
      </c>
      <c r="D113" s="5">
        <v>1</v>
      </c>
      <c r="E113" s="5" t="e" cm="1">
        <f t="array" aca="1" ref="E113" ca="1">SUMPRODUCT(SUMIF(INDIRECT("'"&amp;Assemblies[Assy]&amp;"'!"&amp;"C:C"),$A113,(INDIRECT("'"&amp;Assemblies[Assy]&amp;"'!"&amp;"O:O"))))</f>
        <v>#VALUE!</v>
      </c>
      <c r="F113" s="5" t="e">
        <f t="shared" ca="1" si="1"/>
        <v>#VALUE!</v>
      </c>
      <c r="G113" s="5">
        <v>40</v>
      </c>
      <c r="I113" s="117" t="s">
        <v>2750</v>
      </c>
      <c r="J113" s="117" t="s">
        <v>2647</v>
      </c>
      <c r="K113" s="135" t="s">
        <v>1382</v>
      </c>
      <c r="L113" s="2" t="s">
        <v>1382</v>
      </c>
      <c r="M113" s="8" t="s">
        <v>1762</v>
      </c>
      <c r="N113" s="8">
        <v>45162</v>
      </c>
      <c r="O113" s="8">
        <v>45184</v>
      </c>
      <c r="P113" s="8">
        <v>45197</v>
      </c>
      <c r="Q113" s="229">
        <v>55073</v>
      </c>
      <c r="R113" s="115" t="str" cm="1">
        <f t="array" aca="1" ref="R113" ca="1">TRIM(SUBSTITUTE(_xlfn.ARRAYTOTEXT(IFERROR(CONCATENATE(SUMIF(INDIRECT("'"&amp;Assemblies[Assy]&amp;"'!"&amp;"C$5:C1000"), $A113, INDIRECT("'"&amp;Assemblies[Assy]&amp;"'!"&amp;"O$5:O1000")), "x",Assemblies[Assy],".",IF(SUMIF(INDIRECT("'"&amp;Assemblies[Assy]&amp;"'!"&amp;"C$5:C1000"), $A113, INDIRECT("'"&amp;Assemblies[Assy]&amp;"'!"&amp;"A$5:A1000"))=0,NA(),SUMIF(INDIRECT("'"&amp;Assemblies[Assy]&amp;"'!"&amp;"C$5:C1000"), $A113, INDIRECT("'"&amp;Assemblies[Assy]&amp;"'!"&amp;"A$5:A1000")))),"")), " ,", ""))</f>
        <v>,</v>
      </c>
      <c r="S113" s="56" t="s">
        <v>1382</v>
      </c>
      <c r="T113" s="2" t="s">
        <v>1382</v>
      </c>
      <c r="U113" s="2" t="s">
        <v>1382</v>
      </c>
      <c r="V113" s="2" t="s">
        <v>1382</v>
      </c>
    </row>
    <row r="114" spans="1:22" ht="12.75" customHeight="1">
      <c r="A114" s="133" t="s">
        <v>1372</v>
      </c>
      <c r="B114" s="22" t="s">
        <v>2761</v>
      </c>
      <c r="C114" s="168">
        <v>4472.6625000000004</v>
      </c>
      <c r="D114" s="5">
        <v>1</v>
      </c>
      <c r="E114" s="5" t="e" cm="1">
        <f t="array" aca="1" ref="E114" ca="1">SUMPRODUCT(SUMIF(INDIRECT("'"&amp;Assemblies[Assy]&amp;"'!"&amp;"C:C"),$A114,(INDIRECT("'"&amp;Assemblies[Assy]&amp;"'!"&amp;"O:O"))))</f>
        <v>#VALUE!</v>
      </c>
      <c r="F114" s="5" t="e">
        <f t="shared" ca="1" si="1"/>
        <v>#VALUE!</v>
      </c>
      <c r="G114" s="5">
        <v>1</v>
      </c>
      <c r="H114" s="2">
        <v>1</v>
      </c>
      <c r="I114" s="117" t="s">
        <v>2754</v>
      </c>
      <c r="J114" s="117" t="s">
        <v>2647</v>
      </c>
      <c r="K114" s="135" t="s">
        <v>1382</v>
      </c>
      <c r="L114" s="2" t="s">
        <v>1382</v>
      </c>
      <c r="M114" s="8" t="s">
        <v>1762</v>
      </c>
      <c r="N114" s="8">
        <v>45085</v>
      </c>
      <c r="O114" s="8">
        <v>45110</v>
      </c>
      <c r="P114" s="8">
        <v>45110</v>
      </c>
      <c r="Q114" s="229">
        <v>54924</v>
      </c>
      <c r="R114" s="115" t="str" cm="1">
        <f t="array" aca="1" ref="R114" ca="1">TRIM(SUBSTITUTE(_xlfn.ARRAYTOTEXT(IFERROR(CONCATENATE(SUMIF(INDIRECT("'"&amp;Assemblies[Assy]&amp;"'!"&amp;"C$5:C1000"), $A114, INDIRECT("'"&amp;Assemblies[Assy]&amp;"'!"&amp;"O$5:O1000")), "x",Assemblies[Assy],".",IF(SUMIF(INDIRECT("'"&amp;Assemblies[Assy]&amp;"'!"&amp;"C$5:C1000"), $A114, INDIRECT("'"&amp;Assemblies[Assy]&amp;"'!"&amp;"A$5:A1000"))=0,NA(),SUMIF(INDIRECT("'"&amp;Assemblies[Assy]&amp;"'!"&amp;"C$5:C1000"), $A114, INDIRECT("'"&amp;Assemblies[Assy]&amp;"'!"&amp;"A$5:A1000")))),"")), " ,", ""))</f>
        <v>,</v>
      </c>
      <c r="S114" s="56" t="s">
        <v>1382</v>
      </c>
      <c r="T114" s="2" t="s">
        <v>1382</v>
      </c>
      <c r="U114" s="2" t="s">
        <v>1382</v>
      </c>
      <c r="V114" s="2" t="s">
        <v>1382</v>
      </c>
    </row>
    <row r="115" spans="1:22" ht="12.75" customHeight="1">
      <c r="A115" s="133" t="s">
        <v>1373</v>
      </c>
      <c r="B115" s="2" t="s">
        <v>2762</v>
      </c>
      <c r="C115" s="168">
        <v>666.07500000000005</v>
      </c>
      <c r="D115" s="5">
        <v>1</v>
      </c>
      <c r="E115" s="5" t="e" cm="1">
        <f t="array" aca="1" ref="E115" ca="1">SUMPRODUCT(SUMIF(INDIRECT("'"&amp;Assemblies[Assy]&amp;"'!"&amp;"C:C"),$A115,(INDIRECT("'"&amp;Assemblies[Assy]&amp;"'!"&amp;"O:O"))))</f>
        <v>#VALUE!</v>
      </c>
      <c r="F115" s="5" t="e">
        <f t="shared" ca="1" si="1"/>
        <v>#VALUE!</v>
      </c>
      <c r="G115" s="5">
        <v>1</v>
      </c>
      <c r="H115" s="2">
        <v>1</v>
      </c>
      <c r="I115" s="117" t="s">
        <v>2754</v>
      </c>
      <c r="J115" s="117" t="s">
        <v>2647</v>
      </c>
      <c r="K115" s="135" t="s">
        <v>1382</v>
      </c>
      <c r="L115" s="2" t="s">
        <v>1382</v>
      </c>
      <c r="M115" s="8" t="s">
        <v>1762</v>
      </c>
      <c r="N115" s="8">
        <v>45085</v>
      </c>
      <c r="O115" s="8">
        <v>45110</v>
      </c>
      <c r="P115" s="8">
        <v>45110</v>
      </c>
      <c r="Q115" s="229">
        <v>54924</v>
      </c>
      <c r="R115" s="115" t="str" cm="1">
        <f t="array" aca="1" ref="R115" ca="1">TRIM(SUBSTITUTE(_xlfn.ARRAYTOTEXT(IFERROR(CONCATENATE(SUMIF(INDIRECT("'"&amp;Assemblies[Assy]&amp;"'!"&amp;"C$5:C1000"), $A115, INDIRECT("'"&amp;Assemblies[Assy]&amp;"'!"&amp;"O$5:O1000")), "x",Assemblies[Assy],".",IF(SUMIF(INDIRECT("'"&amp;Assemblies[Assy]&amp;"'!"&amp;"C$5:C1000"), $A115, INDIRECT("'"&amp;Assemblies[Assy]&amp;"'!"&amp;"A$5:A1000"))=0,NA(),SUMIF(INDIRECT("'"&amp;Assemblies[Assy]&amp;"'!"&amp;"C$5:C1000"), $A115, INDIRECT("'"&amp;Assemblies[Assy]&amp;"'!"&amp;"A$5:A1000")))),"")), " ,", ""))</f>
        <v>,</v>
      </c>
      <c r="S115" s="56" t="s">
        <v>1382</v>
      </c>
      <c r="T115" s="2" t="s">
        <v>1382</v>
      </c>
      <c r="U115" s="2" t="s">
        <v>1382</v>
      </c>
      <c r="V115" s="2" t="s">
        <v>1382</v>
      </c>
    </row>
    <row r="116" spans="1:22" ht="12.75" customHeight="1">
      <c r="A116" s="133" t="s">
        <v>861</v>
      </c>
      <c r="B116" s="22" t="s">
        <v>2763</v>
      </c>
      <c r="C116" s="168">
        <v>688</v>
      </c>
      <c r="D116" s="5">
        <v>1</v>
      </c>
      <c r="E116" s="5" t="e" cm="1">
        <f t="array" aca="1" ref="E116" ca="1">SUMPRODUCT(SUMIF(INDIRECT("'"&amp;Assemblies[Assy]&amp;"'!"&amp;"C:C"),$A116,(INDIRECT("'"&amp;Assemblies[Assy]&amp;"'!"&amp;"O:O"))))</f>
        <v>#VALUE!</v>
      </c>
      <c r="F116" s="5" t="e">
        <f t="shared" ca="1" si="1"/>
        <v>#VALUE!</v>
      </c>
      <c r="G116" s="5">
        <v>2</v>
      </c>
      <c r="H116" s="2">
        <v>2</v>
      </c>
      <c r="I116" s="117" t="s">
        <v>2754</v>
      </c>
      <c r="J116" s="117" t="s">
        <v>2647</v>
      </c>
      <c r="K116" s="135" t="s">
        <v>1382</v>
      </c>
      <c r="L116" s="2" t="s">
        <v>1382</v>
      </c>
      <c r="M116" s="8" t="s">
        <v>1762</v>
      </c>
      <c r="N116" s="8">
        <v>45085</v>
      </c>
      <c r="O116" s="8">
        <v>45110</v>
      </c>
      <c r="P116" s="8">
        <v>45110</v>
      </c>
      <c r="Q116" s="229">
        <v>54924</v>
      </c>
      <c r="R116" s="115" t="str" cm="1">
        <f t="array" aca="1" ref="R116" ca="1">TRIM(SUBSTITUTE(_xlfn.ARRAYTOTEXT(IFERROR(CONCATENATE(SUMIF(INDIRECT("'"&amp;Assemblies[Assy]&amp;"'!"&amp;"C$5:C1000"), $A116, INDIRECT("'"&amp;Assemblies[Assy]&amp;"'!"&amp;"O$5:O1000")), "x",Assemblies[Assy],".",IF(SUMIF(INDIRECT("'"&amp;Assemblies[Assy]&amp;"'!"&amp;"C$5:C1000"), $A116, INDIRECT("'"&amp;Assemblies[Assy]&amp;"'!"&amp;"A$5:A1000"))=0,NA(),SUMIF(INDIRECT("'"&amp;Assemblies[Assy]&amp;"'!"&amp;"C$5:C1000"), $A116, INDIRECT("'"&amp;Assemblies[Assy]&amp;"'!"&amp;"A$5:A1000")))),"")), " ,", ""))</f>
        <v>,</v>
      </c>
      <c r="S116" s="56" t="s">
        <v>1382</v>
      </c>
      <c r="T116" s="2" t="s">
        <v>1382</v>
      </c>
      <c r="U116" s="2" t="s">
        <v>1382</v>
      </c>
      <c r="V116" s="2" t="s">
        <v>1382</v>
      </c>
    </row>
    <row r="117" spans="1:22" ht="12.75" customHeight="1">
      <c r="A117" s="133" t="s">
        <v>843</v>
      </c>
      <c r="B117" s="2" t="s">
        <v>2764</v>
      </c>
      <c r="C117" s="168">
        <v>823.61540000000002</v>
      </c>
      <c r="D117" s="5">
        <v>1</v>
      </c>
      <c r="E117" s="5" t="e" cm="1">
        <f t="array" aca="1" ref="E117" ca="1">SUMPRODUCT(SUMIF(INDIRECT("'"&amp;Assemblies[Assy]&amp;"'!"&amp;"C:C"),$A117,(INDIRECT("'"&amp;Assemblies[Assy]&amp;"'!"&amp;"O:O"))))</f>
        <v>#VALUE!</v>
      </c>
      <c r="F117" s="5" t="e">
        <f t="shared" ca="1" si="1"/>
        <v>#VALUE!</v>
      </c>
      <c r="G117" s="5">
        <v>4</v>
      </c>
      <c r="H117" s="2">
        <v>4</v>
      </c>
      <c r="I117" s="117" t="s">
        <v>2754</v>
      </c>
      <c r="J117" s="117" t="s">
        <v>2647</v>
      </c>
      <c r="K117" s="135" t="s">
        <v>1382</v>
      </c>
      <c r="L117" s="2" t="s">
        <v>1382</v>
      </c>
      <c r="M117" s="8" t="s">
        <v>1762</v>
      </c>
      <c r="N117" s="8">
        <v>45085</v>
      </c>
      <c r="O117" s="8">
        <v>45110</v>
      </c>
      <c r="P117" s="8">
        <v>45110</v>
      </c>
      <c r="Q117" s="229">
        <v>54924</v>
      </c>
      <c r="R117" s="115" t="str" cm="1">
        <f t="array" aca="1" ref="R117" ca="1">TRIM(SUBSTITUTE(_xlfn.ARRAYTOTEXT(IFERROR(CONCATENATE(SUMIF(INDIRECT("'"&amp;Assemblies[Assy]&amp;"'!"&amp;"C$5:C1000"), $A117, INDIRECT("'"&amp;Assemblies[Assy]&amp;"'!"&amp;"O$5:O1000")), "x",Assemblies[Assy],".",IF(SUMIF(INDIRECT("'"&amp;Assemblies[Assy]&amp;"'!"&amp;"C$5:C1000"), $A117, INDIRECT("'"&amp;Assemblies[Assy]&amp;"'!"&amp;"A$5:A1000"))=0,NA(),SUMIF(INDIRECT("'"&amp;Assemblies[Assy]&amp;"'!"&amp;"C$5:C1000"), $A117, INDIRECT("'"&amp;Assemblies[Assy]&amp;"'!"&amp;"A$5:A1000")))),"")), " ,", ""))</f>
        <v>,</v>
      </c>
      <c r="S117" s="56" t="s">
        <v>1382</v>
      </c>
      <c r="T117" s="2" t="s">
        <v>1382</v>
      </c>
      <c r="U117" s="2" t="s">
        <v>1382</v>
      </c>
      <c r="V117" s="2" t="s">
        <v>1382</v>
      </c>
    </row>
    <row r="118" spans="1:22" ht="12.75" customHeight="1">
      <c r="A118" s="247" t="s">
        <v>656</v>
      </c>
      <c r="B118" s="161" t="s">
        <v>2765</v>
      </c>
      <c r="C118" s="203">
        <v>2025</v>
      </c>
      <c r="D118" s="5">
        <v>1</v>
      </c>
      <c r="E118" s="5" t="e" cm="1">
        <f t="array" aca="1" ref="E118" ca="1">SUMPRODUCT(SUMIF(INDIRECT("'"&amp;Assemblies[Assy]&amp;"'!"&amp;"C:C"),$A118,(INDIRECT("'"&amp;Assemblies[Assy]&amp;"'!"&amp;"O:O"))))</f>
        <v>#VALUE!</v>
      </c>
      <c r="F118" s="5" t="e">
        <f t="shared" ca="1" si="1"/>
        <v>#VALUE!</v>
      </c>
      <c r="G118" s="5">
        <v>2</v>
      </c>
      <c r="H118" s="2">
        <v>2</v>
      </c>
      <c r="I118" s="117" t="s">
        <v>2766</v>
      </c>
      <c r="J118" s="117" t="s">
        <v>2766</v>
      </c>
      <c r="K118" s="135" t="s">
        <v>1382</v>
      </c>
      <c r="L118" s="2" t="s">
        <v>1382</v>
      </c>
      <c r="M118" s="8" t="s">
        <v>1762</v>
      </c>
      <c r="N118" s="8">
        <v>45016</v>
      </c>
      <c r="O118" s="8">
        <v>45086</v>
      </c>
      <c r="P118" s="8">
        <v>45086</v>
      </c>
      <c r="Q118" s="229">
        <v>54832</v>
      </c>
      <c r="R118" s="115" t="str" cm="1">
        <f t="array" aca="1" ref="R118" ca="1">TRIM(SUBSTITUTE(_xlfn.ARRAYTOTEXT(IFERROR(CONCATENATE(SUMIF(INDIRECT("'"&amp;Assemblies[Assy]&amp;"'!"&amp;"C$5:C1000"), $A118, INDIRECT("'"&amp;Assemblies[Assy]&amp;"'!"&amp;"O$5:O1000")), "x",Assemblies[Assy],".",IF(SUMIF(INDIRECT("'"&amp;Assemblies[Assy]&amp;"'!"&amp;"C$5:C1000"), $A118, INDIRECT("'"&amp;Assemblies[Assy]&amp;"'!"&amp;"A$5:A1000"))=0,NA(),SUMIF(INDIRECT("'"&amp;Assemblies[Assy]&amp;"'!"&amp;"C$5:C1000"), $A118, INDIRECT("'"&amp;Assemblies[Assy]&amp;"'!"&amp;"A$5:A1000")))),"")), " ,", ""))</f>
        <v>,</v>
      </c>
      <c r="S118" s="56" t="s">
        <v>1382</v>
      </c>
      <c r="T118" s="2" t="s">
        <v>1382</v>
      </c>
      <c r="U118" s="2" t="s">
        <v>1382</v>
      </c>
      <c r="V118" s="2" t="s">
        <v>1382</v>
      </c>
    </row>
    <row r="119" spans="1:22" ht="12.75" customHeight="1">
      <c r="A119" s="247" t="s">
        <v>655</v>
      </c>
      <c r="B119" s="161" t="s">
        <v>2767</v>
      </c>
      <c r="C119" s="203">
        <v>2327</v>
      </c>
      <c r="D119" s="5">
        <v>1</v>
      </c>
      <c r="E119" s="5" t="e" cm="1">
        <f t="array" aca="1" ref="E119" ca="1">SUMPRODUCT(SUMIF(INDIRECT("'"&amp;Assemblies[Assy]&amp;"'!"&amp;"C:C"),$A119,(INDIRECT("'"&amp;Assemblies[Assy]&amp;"'!"&amp;"O:O"))))</f>
        <v>#VALUE!</v>
      </c>
      <c r="F119" s="5" t="e">
        <f t="shared" ca="1" si="1"/>
        <v>#VALUE!</v>
      </c>
      <c r="G119" s="5">
        <v>2</v>
      </c>
      <c r="H119" s="2">
        <v>2</v>
      </c>
      <c r="I119" s="117" t="s">
        <v>2766</v>
      </c>
      <c r="J119" s="117" t="s">
        <v>2766</v>
      </c>
      <c r="K119" s="135" t="s">
        <v>1382</v>
      </c>
      <c r="L119" s="2" t="s">
        <v>1382</v>
      </c>
      <c r="M119" s="8" t="s">
        <v>1762</v>
      </c>
      <c r="N119" s="8">
        <v>45016</v>
      </c>
      <c r="O119" s="8">
        <v>45086</v>
      </c>
      <c r="P119" s="8">
        <v>45086</v>
      </c>
      <c r="Q119" s="229">
        <v>54832</v>
      </c>
      <c r="R119" s="115" t="str" cm="1">
        <f t="array" aca="1" ref="R119" ca="1">TRIM(SUBSTITUTE(_xlfn.ARRAYTOTEXT(IFERROR(CONCATENATE(SUMIF(INDIRECT("'"&amp;Assemblies[Assy]&amp;"'!"&amp;"C$5:C1000"), $A119, INDIRECT("'"&amp;Assemblies[Assy]&amp;"'!"&amp;"O$5:O1000")), "x",Assemblies[Assy],".",IF(SUMIF(INDIRECT("'"&amp;Assemblies[Assy]&amp;"'!"&amp;"C$5:C1000"), $A119, INDIRECT("'"&amp;Assemblies[Assy]&amp;"'!"&amp;"A$5:A1000"))=0,NA(),SUMIF(INDIRECT("'"&amp;Assemblies[Assy]&amp;"'!"&amp;"C$5:C1000"), $A119, INDIRECT("'"&amp;Assemblies[Assy]&amp;"'!"&amp;"A$5:A1000")))),"")), " ,", ""))</f>
        <v>,</v>
      </c>
      <c r="S119" s="56" t="s">
        <v>1382</v>
      </c>
      <c r="T119" s="2" t="s">
        <v>1382</v>
      </c>
      <c r="U119" s="2" t="s">
        <v>1382</v>
      </c>
      <c r="V119" s="2" t="s">
        <v>1382</v>
      </c>
    </row>
    <row r="120" spans="1:22" ht="12.75" customHeight="1">
      <c r="A120" s="247" t="s">
        <v>654</v>
      </c>
      <c r="B120" s="161" t="s">
        <v>2768</v>
      </c>
      <c r="C120" s="203">
        <v>2799</v>
      </c>
      <c r="D120" s="5">
        <v>1</v>
      </c>
      <c r="E120" s="5" t="e" cm="1">
        <f t="array" aca="1" ref="E120" ca="1">SUMPRODUCT(SUMIF(INDIRECT("'"&amp;Assemblies[Assy]&amp;"'!"&amp;"C:C"),$A120,(INDIRECT("'"&amp;Assemblies[Assy]&amp;"'!"&amp;"O:O"))))</f>
        <v>#VALUE!</v>
      </c>
      <c r="F120" s="5" t="e">
        <f t="shared" ca="1" si="1"/>
        <v>#VALUE!</v>
      </c>
      <c r="G120" s="5">
        <v>2</v>
      </c>
      <c r="H120" s="2">
        <v>2</v>
      </c>
      <c r="I120" s="117" t="s">
        <v>2766</v>
      </c>
      <c r="J120" s="117" t="s">
        <v>2766</v>
      </c>
      <c r="K120" s="135" t="s">
        <v>1382</v>
      </c>
      <c r="L120" s="2" t="s">
        <v>1382</v>
      </c>
      <c r="M120" s="8" t="s">
        <v>1762</v>
      </c>
      <c r="N120" s="8">
        <v>45016</v>
      </c>
      <c r="O120" s="8">
        <v>45086</v>
      </c>
      <c r="P120" s="8">
        <v>45086</v>
      </c>
      <c r="Q120" s="229">
        <v>54832</v>
      </c>
      <c r="R120" s="115" t="str" cm="1">
        <f t="array" aca="1" ref="R120" ca="1">TRIM(SUBSTITUTE(_xlfn.ARRAYTOTEXT(IFERROR(CONCATENATE(SUMIF(INDIRECT("'"&amp;Assemblies[Assy]&amp;"'!"&amp;"C$5:C1000"), $A120, INDIRECT("'"&amp;Assemblies[Assy]&amp;"'!"&amp;"O$5:O1000")), "x",Assemblies[Assy],".",IF(SUMIF(INDIRECT("'"&amp;Assemblies[Assy]&amp;"'!"&amp;"C$5:C1000"), $A120, INDIRECT("'"&amp;Assemblies[Assy]&amp;"'!"&amp;"A$5:A1000"))=0,NA(),SUMIF(INDIRECT("'"&amp;Assemblies[Assy]&amp;"'!"&amp;"C$5:C1000"), $A120, INDIRECT("'"&amp;Assemblies[Assy]&amp;"'!"&amp;"A$5:A1000")))),"")), " ,", ""))</f>
        <v>,</v>
      </c>
      <c r="S120" s="56" t="s">
        <v>1382</v>
      </c>
      <c r="T120" s="2" t="s">
        <v>1382</v>
      </c>
      <c r="U120" s="2" t="s">
        <v>1382</v>
      </c>
      <c r="V120" s="2" t="s">
        <v>1382</v>
      </c>
    </row>
    <row r="121" spans="1:22" ht="12.75" customHeight="1">
      <c r="A121" s="133" t="s">
        <v>436</v>
      </c>
      <c r="B121" s="2" t="s">
        <v>2769</v>
      </c>
      <c r="C121" s="203">
        <v>1777</v>
      </c>
      <c r="D121" s="5">
        <v>1</v>
      </c>
      <c r="E121" s="5" t="e" cm="1">
        <f t="array" aca="1" ref="E121" ca="1">SUMPRODUCT(SUMIF(INDIRECT("'"&amp;Assemblies[Assy]&amp;"'!"&amp;"C:C"),$A121,(INDIRECT("'"&amp;Assemblies[Assy]&amp;"'!"&amp;"O:O"))))</f>
        <v>#VALUE!</v>
      </c>
      <c r="F121" s="5" t="e">
        <f t="shared" ca="1" si="1"/>
        <v>#VALUE!</v>
      </c>
      <c r="G121" s="5">
        <v>3</v>
      </c>
      <c r="H121" s="2">
        <v>3</v>
      </c>
      <c r="I121" s="117" t="s">
        <v>2766</v>
      </c>
      <c r="J121" s="117" t="s">
        <v>2766</v>
      </c>
      <c r="K121" s="135" t="s">
        <v>1382</v>
      </c>
      <c r="L121" s="2" t="s">
        <v>1382</v>
      </c>
      <c r="M121" s="8" t="s">
        <v>1762</v>
      </c>
      <c r="N121" s="8">
        <v>45016</v>
      </c>
      <c r="O121" s="8">
        <v>45086</v>
      </c>
      <c r="P121" s="8">
        <v>45086</v>
      </c>
      <c r="Q121" s="229">
        <v>54832</v>
      </c>
      <c r="R121" s="115" t="str" cm="1">
        <f t="array" aca="1" ref="R121" ca="1">TRIM(SUBSTITUTE(_xlfn.ARRAYTOTEXT(IFERROR(CONCATENATE(SUMIF(INDIRECT("'"&amp;Assemblies[Assy]&amp;"'!"&amp;"C$5:C1000"), $A121, INDIRECT("'"&amp;Assemblies[Assy]&amp;"'!"&amp;"O$5:O1000")), "x",Assemblies[Assy],".",IF(SUMIF(INDIRECT("'"&amp;Assemblies[Assy]&amp;"'!"&amp;"C$5:C1000"), $A121, INDIRECT("'"&amp;Assemblies[Assy]&amp;"'!"&amp;"A$5:A1000"))=0,NA(),SUMIF(INDIRECT("'"&amp;Assemblies[Assy]&amp;"'!"&amp;"C$5:C1000"), $A121, INDIRECT("'"&amp;Assemblies[Assy]&amp;"'!"&amp;"A$5:A1000")))),"")), " ,", ""))</f>
        <v>,</v>
      </c>
      <c r="S121" s="56" t="s">
        <v>1382</v>
      </c>
      <c r="T121" s="2" t="s">
        <v>1382</v>
      </c>
      <c r="U121" s="2" t="s">
        <v>1382</v>
      </c>
      <c r="V121" s="2" t="s">
        <v>1382</v>
      </c>
    </row>
    <row r="122" spans="1:22" ht="12.75" hidden="1" customHeight="1">
      <c r="A122" s="133" t="s">
        <v>191</v>
      </c>
      <c r="B122" s="2" t="s">
        <v>2770</v>
      </c>
      <c r="C122" s="168"/>
      <c r="D122" s="5">
        <v>1</v>
      </c>
      <c r="E122" s="5" t="e" cm="1">
        <f t="array" aca="1" ref="E122" ca="1">SUMPRODUCT(SUMIF(INDIRECT("'"&amp;Assemblies[Assy]&amp;"'!"&amp;"C:C"),$A122,(INDIRECT("'"&amp;Assemblies[Assy]&amp;"'!"&amp;"O:O"))))</f>
        <v>#VALUE!</v>
      </c>
      <c r="F122" s="5" t="e">
        <f t="shared" ca="1" si="1"/>
        <v>#VALUE!</v>
      </c>
      <c r="G122" s="5"/>
      <c r="I122" s="117" t="s">
        <v>2771</v>
      </c>
      <c r="J122" s="117" t="s">
        <v>2635</v>
      </c>
      <c r="R122" s="115" t="str" cm="1">
        <f t="array" aca="1" ref="R122" ca="1">TRIM(SUBSTITUTE(_xlfn.ARRAYTOTEXT(IFERROR(CONCATENATE(SUMIF(INDIRECT("'"&amp;Assemblies!$B$2:$B$152&amp;"'!"&amp;"C$5:C1000"), $A122, INDIRECT("'"&amp;Assemblies!$B$2:$B$152&amp;"'!"&amp;"O$5:O1000")), "x",Assemblies!$B$2:$B$152,".",IF(SUMIF(INDIRECT("'"&amp;Assemblies!$B$2:$B$152&amp;"'!"&amp;"C$5:C1000"), $A122, INDIRECT("'"&amp;Assemblies!$B$2:$B$152&amp;"'!"&amp;"A$5:A1000"))=0,NA(),SUMIF(INDIRECT("'"&amp;Assemblies!$B$2:$B$152&amp;"'!"&amp;"C$5:C1000"), $A122, INDIRECT("'"&amp;Assemblies!$B$2:$B$152&amp;"'!"&amp;"A$5:A1000")))),"")), " ,", ""))</f>
        <v>,</v>
      </c>
      <c r="S122" s="56" t="s">
        <v>1382</v>
      </c>
      <c r="T122" s="2" t="s">
        <v>1382</v>
      </c>
      <c r="U122" s="2" t="s">
        <v>1382</v>
      </c>
      <c r="V122" s="2" t="s">
        <v>1382</v>
      </c>
    </row>
    <row r="123" spans="1:22" ht="12.75" hidden="1" customHeight="1">
      <c r="A123" s="133" t="s">
        <v>96</v>
      </c>
      <c r="B123" s="2" t="s">
        <v>2772</v>
      </c>
      <c r="C123" s="168"/>
      <c r="D123" s="5">
        <v>1</v>
      </c>
      <c r="E123" s="5" t="e" cm="1">
        <f t="array" aca="1" ref="E123" ca="1">SUMPRODUCT(SUMIF(INDIRECT("'"&amp;Assemblies[Assy]&amp;"'!"&amp;"C:C"),$A123,(INDIRECT("'"&amp;Assemblies[Assy]&amp;"'!"&amp;"O:O"))))</f>
        <v>#VALUE!</v>
      </c>
      <c r="F123" s="5" t="e">
        <f t="shared" ca="1" si="1"/>
        <v>#VALUE!</v>
      </c>
      <c r="G123" s="5"/>
      <c r="I123" s="117" t="s">
        <v>2771</v>
      </c>
      <c r="J123" s="117" t="s">
        <v>2635</v>
      </c>
      <c r="R123" s="115" t="str" cm="1">
        <f t="array" aca="1" ref="R123" ca="1">TRIM(SUBSTITUTE(_xlfn.ARRAYTOTEXT(IFERROR(CONCATENATE(SUMIF(INDIRECT("'"&amp;Assemblies!$B$2:$B$152&amp;"'!"&amp;"C$5:C1000"), $A123, INDIRECT("'"&amp;Assemblies!$B$2:$B$152&amp;"'!"&amp;"O$5:O1000")), "x",Assemblies!$B$2:$B$152,".",IF(SUMIF(INDIRECT("'"&amp;Assemblies!$B$2:$B$152&amp;"'!"&amp;"C$5:C1000"), $A123, INDIRECT("'"&amp;Assemblies!$B$2:$B$152&amp;"'!"&amp;"A$5:A1000"))=0,NA(),SUMIF(INDIRECT("'"&amp;Assemblies!$B$2:$B$152&amp;"'!"&amp;"C$5:C1000"), $A123, INDIRECT("'"&amp;Assemblies!$B$2:$B$152&amp;"'!"&amp;"A$5:A1000")))),"")), " ,", ""))</f>
        <v>,</v>
      </c>
      <c r="S123" s="56" t="s">
        <v>1382</v>
      </c>
      <c r="T123" s="2" t="s">
        <v>1382</v>
      </c>
      <c r="U123" s="2" t="s">
        <v>1382</v>
      </c>
      <c r="V123" s="2" t="s">
        <v>1382</v>
      </c>
    </row>
    <row r="124" spans="1:22" ht="12.75" hidden="1" customHeight="1">
      <c r="A124" s="133" t="s">
        <v>89</v>
      </c>
      <c r="B124" s="2" t="s">
        <v>2773</v>
      </c>
      <c r="C124" s="168"/>
      <c r="D124" s="5">
        <v>1</v>
      </c>
      <c r="E124" s="5" t="e" cm="1">
        <f t="array" aca="1" ref="E124" ca="1">SUMPRODUCT(SUMIF(INDIRECT("'"&amp;Assemblies[Assy]&amp;"'!"&amp;"C:C"),$A124,(INDIRECT("'"&amp;Assemblies[Assy]&amp;"'!"&amp;"O:O"))))</f>
        <v>#VALUE!</v>
      </c>
      <c r="F124" s="5" t="e">
        <f t="shared" ca="1" si="1"/>
        <v>#VALUE!</v>
      </c>
      <c r="G124" s="5"/>
      <c r="I124" s="117" t="s">
        <v>2771</v>
      </c>
      <c r="J124" s="117" t="s">
        <v>2635</v>
      </c>
      <c r="R124" s="115" t="str" cm="1">
        <f t="array" aca="1" ref="R124" ca="1">TRIM(SUBSTITUTE(_xlfn.ARRAYTOTEXT(IFERROR(CONCATENATE(SUMIF(INDIRECT("'"&amp;Assemblies!$B$2:$B$152&amp;"'!"&amp;"C$5:C1000"), $A124, INDIRECT("'"&amp;Assemblies!$B$2:$B$152&amp;"'!"&amp;"O$5:O1000")), "x",Assemblies!$B$2:$B$152,".",IF(SUMIF(INDIRECT("'"&amp;Assemblies!$B$2:$B$152&amp;"'!"&amp;"C$5:C1000"), $A124, INDIRECT("'"&amp;Assemblies!$B$2:$B$152&amp;"'!"&amp;"A$5:A1000"))=0,NA(),SUMIF(INDIRECT("'"&amp;Assemblies!$B$2:$B$152&amp;"'!"&amp;"C$5:C1000"), $A124, INDIRECT("'"&amp;Assemblies!$B$2:$B$152&amp;"'!"&amp;"A$5:A1000")))),"")), " ,", ""))</f>
        <v>,</v>
      </c>
      <c r="S124" s="56" t="s">
        <v>1382</v>
      </c>
      <c r="T124" s="2" t="s">
        <v>1382</v>
      </c>
      <c r="U124" s="2" t="s">
        <v>1382</v>
      </c>
      <c r="V124" s="2" t="s">
        <v>1382</v>
      </c>
    </row>
    <row r="125" spans="1:22" ht="12.75" hidden="1" customHeight="1">
      <c r="A125" s="133" t="s">
        <v>99</v>
      </c>
      <c r="B125" s="2" t="s">
        <v>2774</v>
      </c>
      <c r="C125" s="168"/>
      <c r="D125" s="5">
        <v>1</v>
      </c>
      <c r="E125" s="5" t="e" cm="1">
        <f t="array" aca="1" ref="E125" ca="1">SUMPRODUCT(SUMIF(INDIRECT("'"&amp;Assemblies[Assy]&amp;"'!"&amp;"C:C"),$A125,(INDIRECT("'"&amp;Assemblies[Assy]&amp;"'!"&amp;"O:O"))))</f>
        <v>#VALUE!</v>
      </c>
      <c r="F125" s="5" t="e">
        <f t="shared" ca="1" si="1"/>
        <v>#VALUE!</v>
      </c>
      <c r="G125" s="5"/>
      <c r="I125" s="117" t="s">
        <v>2771</v>
      </c>
      <c r="J125" s="117" t="s">
        <v>2635</v>
      </c>
      <c r="R125" s="115" t="str" cm="1">
        <f t="array" aca="1" ref="R125" ca="1">TRIM(SUBSTITUTE(_xlfn.ARRAYTOTEXT(IFERROR(CONCATENATE(SUMIF(INDIRECT("'"&amp;Assemblies!$B$2:$B$152&amp;"'!"&amp;"C$5:C1000"), $A125, INDIRECT("'"&amp;Assemblies!$B$2:$B$152&amp;"'!"&amp;"O$5:O1000")), "x",Assemblies!$B$2:$B$152,".",IF(SUMIF(INDIRECT("'"&amp;Assemblies!$B$2:$B$152&amp;"'!"&amp;"C$5:C1000"), $A125, INDIRECT("'"&amp;Assemblies!$B$2:$B$152&amp;"'!"&amp;"A$5:A1000"))=0,NA(),SUMIF(INDIRECT("'"&amp;Assemblies!$B$2:$B$152&amp;"'!"&amp;"C$5:C1000"), $A125, INDIRECT("'"&amp;Assemblies!$B$2:$B$152&amp;"'!"&amp;"A$5:A1000")))),"")), " ,", ""))</f>
        <v>,</v>
      </c>
      <c r="S125" s="56" t="s">
        <v>1382</v>
      </c>
      <c r="T125" s="2" t="s">
        <v>1382</v>
      </c>
      <c r="U125" s="2" t="s">
        <v>1382</v>
      </c>
      <c r="V125" s="2" t="s">
        <v>1382</v>
      </c>
    </row>
    <row r="126" spans="1:22" ht="12.75" hidden="1" customHeight="1">
      <c r="A126" s="133" t="s">
        <v>98</v>
      </c>
      <c r="B126" s="2" t="s">
        <v>2775</v>
      </c>
      <c r="C126" s="168"/>
      <c r="D126" s="5">
        <v>1</v>
      </c>
      <c r="E126" s="5" t="e" cm="1">
        <f t="array" aca="1" ref="E126" ca="1">SUMPRODUCT(SUMIF(INDIRECT("'"&amp;Assemblies[Assy]&amp;"'!"&amp;"C:C"),$A126,(INDIRECT("'"&amp;Assemblies[Assy]&amp;"'!"&amp;"O:O"))))</f>
        <v>#VALUE!</v>
      </c>
      <c r="F126" s="5" t="e">
        <f t="shared" ca="1" si="1"/>
        <v>#VALUE!</v>
      </c>
      <c r="G126" s="5"/>
      <c r="I126" s="117" t="s">
        <v>2771</v>
      </c>
      <c r="J126" s="117" t="s">
        <v>2635</v>
      </c>
      <c r="R126" s="115" t="str" cm="1">
        <f t="array" aca="1" ref="R126" ca="1">TRIM(SUBSTITUTE(_xlfn.ARRAYTOTEXT(IFERROR(CONCATENATE(SUMIF(INDIRECT("'"&amp;Assemblies!$B$2:$B$152&amp;"'!"&amp;"C$5:C1000"), $A126, INDIRECT("'"&amp;Assemblies!$B$2:$B$152&amp;"'!"&amp;"O$5:O1000")), "x",Assemblies!$B$2:$B$152,".",IF(SUMIF(INDIRECT("'"&amp;Assemblies!$B$2:$B$152&amp;"'!"&amp;"C$5:C1000"), $A126, INDIRECT("'"&amp;Assemblies!$B$2:$B$152&amp;"'!"&amp;"A$5:A1000"))=0,NA(),SUMIF(INDIRECT("'"&amp;Assemblies!$B$2:$B$152&amp;"'!"&amp;"C$5:C1000"), $A126, INDIRECT("'"&amp;Assemblies!$B$2:$B$152&amp;"'!"&amp;"A$5:A1000")))),"")), " ,", ""))</f>
        <v>,</v>
      </c>
      <c r="S126" s="56" t="s">
        <v>1382</v>
      </c>
      <c r="T126" s="2" t="s">
        <v>1382</v>
      </c>
      <c r="U126" s="2" t="s">
        <v>1382</v>
      </c>
      <c r="V126" s="2" t="s">
        <v>1382</v>
      </c>
    </row>
    <row r="127" spans="1:22" ht="12.75" hidden="1" customHeight="1">
      <c r="A127" s="133" t="s">
        <v>100</v>
      </c>
      <c r="B127" s="2" t="s">
        <v>2776</v>
      </c>
      <c r="C127" s="168"/>
      <c r="D127" s="5">
        <v>1</v>
      </c>
      <c r="E127" s="5" t="e" cm="1">
        <f t="array" aca="1" ref="E127" ca="1">SUMPRODUCT(SUMIF(INDIRECT("'"&amp;Assemblies[Assy]&amp;"'!"&amp;"C:C"),$A127,(INDIRECT("'"&amp;Assemblies[Assy]&amp;"'!"&amp;"O:O"))))</f>
        <v>#VALUE!</v>
      </c>
      <c r="F127" s="5" t="e">
        <f t="shared" ca="1" si="1"/>
        <v>#VALUE!</v>
      </c>
      <c r="G127" s="5"/>
      <c r="I127" s="117" t="s">
        <v>2771</v>
      </c>
      <c r="J127" s="117" t="s">
        <v>2635</v>
      </c>
      <c r="R127" s="115" t="str" cm="1">
        <f t="array" aca="1" ref="R127" ca="1">TRIM(SUBSTITUTE(_xlfn.ARRAYTOTEXT(IFERROR(CONCATENATE(SUMIF(INDIRECT("'"&amp;Assemblies!$B$2:$B$152&amp;"'!"&amp;"C$5:C1000"), $A127, INDIRECT("'"&amp;Assemblies!$B$2:$B$152&amp;"'!"&amp;"O$5:O1000")), "x",Assemblies!$B$2:$B$152,".",IF(SUMIF(INDIRECT("'"&amp;Assemblies!$B$2:$B$152&amp;"'!"&amp;"C$5:C1000"), $A127, INDIRECT("'"&amp;Assemblies!$B$2:$B$152&amp;"'!"&amp;"A$5:A1000"))=0,NA(),SUMIF(INDIRECT("'"&amp;Assemblies!$B$2:$B$152&amp;"'!"&amp;"C$5:C1000"), $A127, INDIRECT("'"&amp;Assemblies!$B$2:$B$152&amp;"'!"&amp;"A$5:A1000")))),"")), " ,", ""))</f>
        <v>,</v>
      </c>
      <c r="S127" s="56" t="s">
        <v>1382</v>
      </c>
      <c r="T127" s="2" t="s">
        <v>1382</v>
      </c>
      <c r="U127" s="2" t="s">
        <v>1382</v>
      </c>
      <c r="V127" s="2" t="s">
        <v>1382</v>
      </c>
    </row>
    <row r="128" spans="1:22" ht="12.75" hidden="1" customHeight="1">
      <c r="A128" s="133" t="s">
        <v>152</v>
      </c>
      <c r="B128" s="2" t="s">
        <v>2777</v>
      </c>
      <c r="C128" s="168"/>
      <c r="D128" s="5">
        <v>1</v>
      </c>
      <c r="E128" s="5" t="e" cm="1">
        <f t="array" aca="1" ref="E128" ca="1">SUMPRODUCT(SUMIF(INDIRECT("'"&amp;Assemblies[Assy]&amp;"'!"&amp;"C:C"),$A128,(INDIRECT("'"&amp;Assemblies[Assy]&amp;"'!"&amp;"O:O"))))</f>
        <v>#VALUE!</v>
      </c>
      <c r="F128" s="5" t="e">
        <f t="shared" ca="1" si="1"/>
        <v>#VALUE!</v>
      </c>
      <c r="G128" s="5"/>
      <c r="I128" s="117" t="s">
        <v>2771</v>
      </c>
      <c r="J128" s="117" t="s">
        <v>2635</v>
      </c>
      <c r="R128" s="115" t="str" cm="1">
        <f t="array" aca="1" ref="R128" ca="1">TRIM(SUBSTITUTE(_xlfn.ARRAYTOTEXT(IFERROR(CONCATENATE(SUMIF(INDIRECT("'"&amp;Assemblies!$B$2:$B$152&amp;"'!"&amp;"C$5:C1000"), $A128, INDIRECT("'"&amp;Assemblies!$B$2:$B$152&amp;"'!"&amp;"O$5:O1000")), "x",Assemblies!$B$2:$B$152,".",IF(SUMIF(INDIRECT("'"&amp;Assemblies!$B$2:$B$152&amp;"'!"&amp;"C$5:C1000"), $A128, INDIRECT("'"&amp;Assemblies!$B$2:$B$152&amp;"'!"&amp;"A$5:A1000"))=0,NA(),SUMIF(INDIRECT("'"&amp;Assemblies!$B$2:$B$152&amp;"'!"&amp;"C$5:C1000"), $A128, INDIRECT("'"&amp;Assemblies!$B$2:$B$152&amp;"'!"&amp;"A$5:A1000")))),"")), " ,", ""))</f>
        <v>,</v>
      </c>
      <c r="S128" s="56" t="s">
        <v>1382</v>
      </c>
      <c r="T128" s="2" t="s">
        <v>1382</v>
      </c>
      <c r="U128" s="2" t="s">
        <v>1382</v>
      </c>
      <c r="V128" s="2" t="s">
        <v>1382</v>
      </c>
    </row>
    <row r="129" spans="1:22" ht="12.75" hidden="1" customHeight="1">
      <c r="A129" s="133" t="s">
        <v>151</v>
      </c>
      <c r="B129" s="2" t="s">
        <v>2778</v>
      </c>
      <c r="C129" s="168"/>
      <c r="D129" s="5">
        <v>1</v>
      </c>
      <c r="E129" s="5" t="e" cm="1">
        <f t="array" aca="1" ref="E129" ca="1">SUMPRODUCT(SUMIF(INDIRECT("'"&amp;Assemblies[Assy]&amp;"'!"&amp;"C:C"),$A129,(INDIRECT("'"&amp;Assemblies[Assy]&amp;"'!"&amp;"O:O"))))</f>
        <v>#VALUE!</v>
      </c>
      <c r="F129" s="5" t="e">
        <f t="shared" ca="1" si="1"/>
        <v>#VALUE!</v>
      </c>
      <c r="G129" s="5"/>
      <c r="I129" s="117" t="s">
        <v>2771</v>
      </c>
      <c r="J129" s="117" t="s">
        <v>2635</v>
      </c>
      <c r="R129" s="115" t="str" cm="1">
        <f t="array" aca="1" ref="R129" ca="1">TRIM(SUBSTITUTE(_xlfn.ARRAYTOTEXT(IFERROR(CONCATENATE(SUMIF(INDIRECT("'"&amp;Assemblies!$B$2:$B$152&amp;"'!"&amp;"C$5:C1000"), $A129, INDIRECT("'"&amp;Assemblies!$B$2:$B$152&amp;"'!"&amp;"O$5:O1000")), "x",Assemblies!$B$2:$B$152,".",IF(SUMIF(INDIRECT("'"&amp;Assemblies!$B$2:$B$152&amp;"'!"&amp;"C$5:C1000"), $A129, INDIRECT("'"&amp;Assemblies!$B$2:$B$152&amp;"'!"&amp;"A$5:A1000"))=0,NA(),SUMIF(INDIRECT("'"&amp;Assemblies!$B$2:$B$152&amp;"'!"&amp;"C$5:C1000"), $A129, INDIRECT("'"&amp;Assemblies!$B$2:$B$152&amp;"'!"&amp;"A$5:A1000")))),"")), " ,", ""))</f>
        <v>,</v>
      </c>
      <c r="S129" s="56" t="s">
        <v>1382</v>
      </c>
      <c r="T129" s="2" t="s">
        <v>1382</v>
      </c>
      <c r="U129" s="2" t="s">
        <v>1382</v>
      </c>
      <c r="V129" s="2" t="s">
        <v>1382</v>
      </c>
    </row>
    <row r="130" spans="1:22" ht="12.75" hidden="1" customHeight="1">
      <c r="A130" s="133" t="s">
        <v>102</v>
      </c>
      <c r="B130" s="2" t="s">
        <v>2779</v>
      </c>
      <c r="C130" s="168"/>
      <c r="D130" s="5">
        <v>1</v>
      </c>
      <c r="E130" s="5" t="e" cm="1">
        <f t="array" aca="1" ref="E130" ca="1">SUMPRODUCT(SUMIF(INDIRECT("'"&amp;Assemblies[Assy]&amp;"'!"&amp;"C:C"),$A130,(INDIRECT("'"&amp;Assemblies[Assy]&amp;"'!"&amp;"O:O"))))</f>
        <v>#VALUE!</v>
      </c>
      <c r="F130" s="5" t="e">
        <f t="shared" ref="F130:F193" ca="1" si="2">E130/D130</f>
        <v>#VALUE!</v>
      </c>
      <c r="G130" s="5"/>
      <c r="I130" s="117" t="s">
        <v>2771</v>
      </c>
      <c r="J130" s="117" t="s">
        <v>2635</v>
      </c>
      <c r="R130" s="115" t="str" cm="1">
        <f t="array" aca="1" ref="R130" ca="1">TRIM(SUBSTITUTE(_xlfn.ARRAYTOTEXT(IFERROR(CONCATENATE(SUMIF(INDIRECT("'"&amp;Assemblies!$B$2:$B$152&amp;"'!"&amp;"C$5:C1000"), $A130, INDIRECT("'"&amp;Assemblies!$B$2:$B$152&amp;"'!"&amp;"O$5:O1000")), "x",Assemblies!$B$2:$B$152,".",IF(SUMIF(INDIRECT("'"&amp;Assemblies!$B$2:$B$152&amp;"'!"&amp;"C$5:C1000"), $A130, INDIRECT("'"&amp;Assemblies!$B$2:$B$152&amp;"'!"&amp;"A$5:A1000"))=0,NA(),SUMIF(INDIRECT("'"&amp;Assemblies!$B$2:$B$152&amp;"'!"&amp;"C$5:C1000"), $A130, INDIRECT("'"&amp;Assemblies!$B$2:$B$152&amp;"'!"&amp;"A$5:A1000")))),"")), " ,", ""))</f>
        <v>,</v>
      </c>
      <c r="S130" s="56" t="s">
        <v>1382</v>
      </c>
      <c r="T130" s="2" t="s">
        <v>1382</v>
      </c>
      <c r="U130" s="2" t="s">
        <v>1382</v>
      </c>
      <c r="V130" s="2" t="s">
        <v>1382</v>
      </c>
    </row>
    <row r="131" spans="1:22" ht="12.75" hidden="1" customHeight="1">
      <c r="A131" s="133" t="s">
        <v>97</v>
      </c>
      <c r="B131" s="2" t="s">
        <v>2780</v>
      </c>
      <c r="C131" s="168"/>
      <c r="D131" s="5">
        <v>1</v>
      </c>
      <c r="E131" s="5" t="e" cm="1">
        <f t="array" aca="1" ref="E131" ca="1">SUMPRODUCT(SUMIF(INDIRECT("'"&amp;Assemblies[Assy]&amp;"'!"&amp;"C:C"),$A131,(INDIRECT("'"&amp;Assemblies[Assy]&amp;"'!"&amp;"O:O"))))</f>
        <v>#VALUE!</v>
      </c>
      <c r="F131" s="5" t="e">
        <f t="shared" ca="1" si="2"/>
        <v>#VALUE!</v>
      </c>
      <c r="G131" s="5"/>
      <c r="I131" s="117" t="s">
        <v>2771</v>
      </c>
      <c r="J131" s="117" t="s">
        <v>2635</v>
      </c>
      <c r="R131" s="115" t="str" cm="1">
        <f t="array" aca="1" ref="R131" ca="1">TRIM(SUBSTITUTE(_xlfn.ARRAYTOTEXT(IFERROR(CONCATENATE(SUMIF(INDIRECT("'"&amp;Assemblies!$B$2:$B$152&amp;"'!"&amp;"C$5:C1000"), $A131, INDIRECT("'"&amp;Assemblies!$B$2:$B$152&amp;"'!"&amp;"O$5:O1000")), "x",Assemblies!$B$2:$B$152,".",IF(SUMIF(INDIRECT("'"&amp;Assemblies!$B$2:$B$152&amp;"'!"&amp;"C$5:C1000"), $A131, INDIRECT("'"&amp;Assemblies!$B$2:$B$152&amp;"'!"&amp;"A$5:A1000"))=0,NA(),SUMIF(INDIRECT("'"&amp;Assemblies!$B$2:$B$152&amp;"'!"&amp;"C$5:C1000"), $A131, INDIRECT("'"&amp;Assemblies!$B$2:$B$152&amp;"'!"&amp;"A$5:A1000")))),"")), " ,", ""))</f>
        <v>,</v>
      </c>
      <c r="S131" s="56" t="s">
        <v>1382</v>
      </c>
      <c r="T131" s="2" t="s">
        <v>1382</v>
      </c>
      <c r="U131" s="2" t="s">
        <v>1382</v>
      </c>
      <c r="V131" s="2" t="s">
        <v>1382</v>
      </c>
    </row>
    <row r="132" spans="1:22" ht="12.75" hidden="1" customHeight="1">
      <c r="A132" s="133" t="s">
        <v>208</v>
      </c>
      <c r="B132" s="2" t="s">
        <v>2781</v>
      </c>
      <c r="C132" s="168">
        <v>0</v>
      </c>
      <c r="D132" s="5">
        <v>1</v>
      </c>
      <c r="E132" s="5" t="e" cm="1">
        <f t="array" aca="1" ref="E132" ca="1">SUMPRODUCT(SUMIF(INDIRECT("'"&amp;Assemblies[Assy]&amp;"'!"&amp;"C:C"),$A132,(INDIRECT("'"&amp;Assemblies[Assy]&amp;"'!"&amp;"O:O"))))</f>
        <v>#VALUE!</v>
      </c>
      <c r="F132" s="5" t="e">
        <f t="shared" ca="1" si="2"/>
        <v>#VALUE!</v>
      </c>
      <c r="G132" s="5">
        <v>1</v>
      </c>
      <c r="H132" s="2">
        <v>1</v>
      </c>
      <c r="I132" s="117" t="s">
        <v>2771</v>
      </c>
      <c r="J132" s="117" t="s">
        <v>2635</v>
      </c>
      <c r="K132" s="135" t="s">
        <v>1382</v>
      </c>
      <c r="L132" s="2" t="s">
        <v>2731</v>
      </c>
      <c r="M132" s="8" t="s">
        <v>1762</v>
      </c>
      <c r="N132" s="8" t="s">
        <v>1762</v>
      </c>
      <c r="O132" s="8" t="s">
        <v>1762</v>
      </c>
      <c r="P132" s="8" t="s">
        <v>1762</v>
      </c>
      <c r="Q132" s="229" t="s">
        <v>1762</v>
      </c>
      <c r="R132" s="115" t="str" cm="1">
        <f t="array" aca="1" ref="R132" ca="1">TRIM(SUBSTITUTE(_xlfn.ARRAYTOTEXT(IFERROR(CONCATENATE(SUMIF(INDIRECT("'"&amp;Assemblies[Assy]&amp;"'!"&amp;"C$5:C1000"), $A132, INDIRECT("'"&amp;Assemblies[Assy]&amp;"'!"&amp;"O$5:O1000")), "x",Assemblies[Assy],".",IF(SUMIF(INDIRECT("'"&amp;Assemblies[Assy]&amp;"'!"&amp;"C$5:C1000"), $A132, INDIRECT("'"&amp;Assemblies[Assy]&amp;"'!"&amp;"A$5:A1000"))=0,NA(),SUMIF(INDIRECT("'"&amp;Assemblies[Assy]&amp;"'!"&amp;"C$5:C1000"), $A132, INDIRECT("'"&amp;Assemblies[Assy]&amp;"'!"&amp;"A$5:A1000")))),"")), " ,", ""))</f>
        <v>,</v>
      </c>
      <c r="S132" s="56" t="s">
        <v>1382</v>
      </c>
      <c r="T132" s="2" t="s">
        <v>1382</v>
      </c>
      <c r="U132" s="2" t="s">
        <v>1382</v>
      </c>
      <c r="V132" s="2" t="s">
        <v>1382</v>
      </c>
    </row>
    <row r="133" spans="1:22" ht="12.75" hidden="1" customHeight="1">
      <c r="A133" s="133" t="s">
        <v>155</v>
      </c>
      <c r="B133" s="2" t="s">
        <v>2782</v>
      </c>
      <c r="C133" s="168">
        <v>0</v>
      </c>
      <c r="D133" s="5">
        <v>1</v>
      </c>
      <c r="E133" s="5" t="e" cm="1">
        <f t="array" aca="1" ref="E133" ca="1">SUMPRODUCT(SUMIF(INDIRECT("'"&amp;Assemblies[Assy]&amp;"'!"&amp;"C:C"),$A133,(INDIRECT("'"&amp;Assemblies[Assy]&amp;"'!"&amp;"O:O"))))</f>
        <v>#VALUE!</v>
      </c>
      <c r="F133" s="5" t="e">
        <f t="shared" ca="1" si="2"/>
        <v>#VALUE!</v>
      </c>
      <c r="G133" s="5">
        <v>1</v>
      </c>
      <c r="H133" s="2">
        <v>1</v>
      </c>
      <c r="I133" s="117" t="s">
        <v>2771</v>
      </c>
      <c r="J133" s="117" t="s">
        <v>2635</v>
      </c>
      <c r="K133" s="135" t="s">
        <v>1382</v>
      </c>
      <c r="L133" s="2" t="s">
        <v>2731</v>
      </c>
      <c r="M133" s="8" t="s">
        <v>1762</v>
      </c>
      <c r="N133" s="8" t="s">
        <v>1762</v>
      </c>
      <c r="O133" s="8" t="s">
        <v>1762</v>
      </c>
      <c r="P133" s="8" t="s">
        <v>1762</v>
      </c>
      <c r="Q133" s="229" t="s">
        <v>1762</v>
      </c>
      <c r="R133" s="115" t="str" cm="1">
        <f t="array" aca="1" ref="R133" ca="1">TRIM(SUBSTITUTE(_xlfn.ARRAYTOTEXT(IFERROR(CONCATENATE(SUMIF(INDIRECT("'"&amp;Assemblies[Assy]&amp;"'!"&amp;"C$5:C1000"), $A133, INDIRECT("'"&amp;Assemblies[Assy]&amp;"'!"&amp;"O$5:O1000")), "x",Assemblies[Assy],".",IF(SUMIF(INDIRECT("'"&amp;Assemblies[Assy]&amp;"'!"&amp;"C$5:C1000"), $A133, INDIRECT("'"&amp;Assemblies[Assy]&amp;"'!"&amp;"A$5:A1000"))=0,NA(),SUMIF(INDIRECT("'"&amp;Assemblies[Assy]&amp;"'!"&amp;"C$5:C1000"), $A133, INDIRECT("'"&amp;Assemblies[Assy]&amp;"'!"&amp;"A$5:A1000")))),"")), " ,", ""))</f>
        <v>,</v>
      </c>
      <c r="S133" s="56" t="s">
        <v>1382</v>
      </c>
      <c r="T133" s="2" t="s">
        <v>1382</v>
      </c>
      <c r="U133" s="2" t="s">
        <v>1382</v>
      </c>
      <c r="V133" s="2" t="s">
        <v>1382</v>
      </c>
    </row>
    <row r="134" spans="1:22" ht="12.75" hidden="1" customHeight="1">
      <c r="A134" s="133" t="s">
        <v>156</v>
      </c>
      <c r="B134" s="2" t="s">
        <v>2783</v>
      </c>
      <c r="C134" s="168">
        <v>0</v>
      </c>
      <c r="D134" s="5">
        <v>1</v>
      </c>
      <c r="E134" s="5" t="e" cm="1">
        <f t="array" aca="1" ref="E134" ca="1">SUMPRODUCT(SUMIF(INDIRECT("'"&amp;Assemblies[Assy]&amp;"'!"&amp;"C:C"),$A134,(INDIRECT("'"&amp;Assemblies[Assy]&amp;"'!"&amp;"O:O"))))</f>
        <v>#VALUE!</v>
      </c>
      <c r="F134" s="5" t="e">
        <f t="shared" ca="1" si="2"/>
        <v>#VALUE!</v>
      </c>
      <c r="G134" s="5">
        <v>1</v>
      </c>
      <c r="H134" s="2">
        <v>1</v>
      </c>
      <c r="I134" s="117" t="s">
        <v>2771</v>
      </c>
      <c r="J134" s="117" t="s">
        <v>2635</v>
      </c>
      <c r="K134" s="135" t="s">
        <v>1382</v>
      </c>
      <c r="L134" s="2" t="s">
        <v>2731</v>
      </c>
      <c r="M134" s="8" t="s">
        <v>1762</v>
      </c>
      <c r="N134" s="8" t="s">
        <v>1762</v>
      </c>
      <c r="O134" s="8" t="s">
        <v>1762</v>
      </c>
      <c r="P134" s="8" t="s">
        <v>1762</v>
      </c>
      <c r="Q134" s="229" t="s">
        <v>1762</v>
      </c>
      <c r="R134" s="115" t="str" cm="1">
        <f t="array" aca="1" ref="R134" ca="1">TRIM(SUBSTITUTE(_xlfn.ARRAYTOTEXT(IFERROR(CONCATENATE(SUMIF(INDIRECT("'"&amp;Assemblies[Assy]&amp;"'!"&amp;"C$5:C1000"), $A134, INDIRECT("'"&amp;Assemblies[Assy]&amp;"'!"&amp;"O$5:O1000")), "x",Assemblies[Assy],".",IF(SUMIF(INDIRECT("'"&amp;Assemblies[Assy]&amp;"'!"&amp;"C$5:C1000"), $A134, INDIRECT("'"&amp;Assemblies[Assy]&amp;"'!"&amp;"A$5:A1000"))=0,NA(),SUMIF(INDIRECT("'"&amp;Assemblies[Assy]&amp;"'!"&amp;"C$5:C1000"), $A134, INDIRECT("'"&amp;Assemblies[Assy]&amp;"'!"&amp;"A$5:A1000")))),"")), " ,", ""))</f>
        <v>,</v>
      </c>
      <c r="S134" s="56" t="s">
        <v>1382</v>
      </c>
      <c r="T134" s="2" t="s">
        <v>1382</v>
      </c>
      <c r="U134" s="2" t="s">
        <v>1382</v>
      </c>
      <c r="V134" s="2" t="s">
        <v>1382</v>
      </c>
    </row>
    <row r="135" spans="1:22" ht="12.75" hidden="1" customHeight="1">
      <c r="A135" s="133" t="s">
        <v>209</v>
      </c>
      <c r="B135" s="2" t="s">
        <v>2784</v>
      </c>
      <c r="C135" s="168">
        <v>0</v>
      </c>
      <c r="D135" s="5">
        <v>1</v>
      </c>
      <c r="E135" s="5" t="e" cm="1">
        <f t="array" aca="1" ref="E135" ca="1">SUMPRODUCT(SUMIF(INDIRECT("'"&amp;Assemblies[Assy]&amp;"'!"&amp;"C:C"),$A135,(INDIRECT("'"&amp;Assemblies[Assy]&amp;"'!"&amp;"O:O"))))</f>
        <v>#VALUE!</v>
      </c>
      <c r="F135" s="5" t="e">
        <f t="shared" ca="1" si="2"/>
        <v>#VALUE!</v>
      </c>
      <c r="G135" s="5">
        <v>1</v>
      </c>
      <c r="H135" s="2">
        <v>1</v>
      </c>
      <c r="I135" s="117" t="s">
        <v>2771</v>
      </c>
      <c r="J135" s="117" t="s">
        <v>2635</v>
      </c>
      <c r="K135" s="135" t="s">
        <v>1382</v>
      </c>
      <c r="L135" s="2" t="s">
        <v>2731</v>
      </c>
      <c r="M135" s="8" t="s">
        <v>1762</v>
      </c>
      <c r="N135" s="8" t="s">
        <v>1762</v>
      </c>
      <c r="O135" s="8" t="s">
        <v>1762</v>
      </c>
      <c r="P135" s="8" t="s">
        <v>1762</v>
      </c>
      <c r="Q135" s="229" t="s">
        <v>1762</v>
      </c>
      <c r="R135" s="115" t="str" cm="1">
        <f t="array" aca="1" ref="R135" ca="1">TRIM(SUBSTITUTE(_xlfn.ARRAYTOTEXT(IFERROR(CONCATENATE(SUMIF(INDIRECT("'"&amp;Assemblies[Assy]&amp;"'!"&amp;"C$5:C1000"), $A135, INDIRECT("'"&amp;Assemblies[Assy]&amp;"'!"&amp;"O$5:O1000")), "x",Assemblies[Assy],".",IF(SUMIF(INDIRECT("'"&amp;Assemblies[Assy]&amp;"'!"&amp;"C$5:C1000"), $A135, INDIRECT("'"&amp;Assemblies[Assy]&amp;"'!"&amp;"A$5:A1000"))=0,NA(),SUMIF(INDIRECT("'"&amp;Assemblies[Assy]&amp;"'!"&amp;"C$5:C1000"), $A135, INDIRECT("'"&amp;Assemblies[Assy]&amp;"'!"&amp;"A$5:A1000")))),"")), " ,", ""))</f>
        <v>,</v>
      </c>
      <c r="S135" s="56" t="s">
        <v>1382</v>
      </c>
      <c r="T135" s="2" t="s">
        <v>1382</v>
      </c>
      <c r="U135" s="2" t="s">
        <v>1382</v>
      </c>
      <c r="V135" s="2" t="s">
        <v>1382</v>
      </c>
    </row>
    <row r="136" spans="1:22" ht="12.75" hidden="1" customHeight="1">
      <c r="A136" s="133" t="s">
        <v>210</v>
      </c>
      <c r="B136" s="2" t="s">
        <v>2785</v>
      </c>
      <c r="C136" s="168">
        <v>0</v>
      </c>
      <c r="D136" s="5">
        <v>1</v>
      </c>
      <c r="E136" s="5" t="e" cm="1">
        <f t="array" aca="1" ref="E136" ca="1">SUMPRODUCT(SUMIF(INDIRECT("'"&amp;Assemblies[Assy]&amp;"'!"&amp;"C:C"),$A136,(INDIRECT("'"&amp;Assemblies[Assy]&amp;"'!"&amp;"O:O"))))</f>
        <v>#VALUE!</v>
      </c>
      <c r="F136" s="5" t="e">
        <f t="shared" ca="1" si="2"/>
        <v>#VALUE!</v>
      </c>
      <c r="G136" s="5">
        <v>1</v>
      </c>
      <c r="H136" s="2">
        <v>1</v>
      </c>
      <c r="I136" s="117" t="s">
        <v>2771</v>
      </c>
      <c r="J136" s="117" t="s">
        <v>2635</v>
      </c>
      <c r="K136" s="135" t="s">
        <v>1382</v>
      </c>
      <c r="L136" s="2" t="s">
        <v>2731</v>
      </c>
      <c r="M136" s="8" t="s">
        <v>1762</v>
      </c>
      <c r="N136" s="8" t="s">
        <v>1762</v>
      </c>
      <c r="O136" s="8" t="s">
        <v>1762</v>
      </c>
      <c r="P136" s="8" t="s">
        <v>1762</v>
      </c>
      <c r="Q136" s="229" t="s">
        <v>1762</v>
      </c>
      <c r="R136" s="115" t="str" cm="1">
        <f t="array" aca="1" ref="R136" ca="1">TRIM(SUBSTITUTE(_xlfn.ARRAYTOTEXT(IFERROR(CONCATENATE(SUMIF(INDIRECT("'"&amp;Assemblies[Assy]&amp;"'!"&amp;"C$5:C1000"), $A136, INDIRECT("'"&amp;Assemblies[Assy]&amp;"'!"&amp;"O$5:O1000")), "x",Assemblies[Assy],".",IF(SUMIF(INDIRECT("'"&amp;Assemblies[Assy]&amp;"'!"&amp;"C$5:C1000"), $A136, INDIRECT("'"&amp;Assemblies[Assy]&amp;"'!"&amp;"A$5:A1000"))=0,NA(),SUMIF(INDIRECT("'"&amp;Assemblies[Assy]&amp;"'!"&amp;"C$5:C1000"), $A136, INDIRECT("'"&amp;Assemblies[Assy]&amp;"'!"&amp;"A$5:A1000")))),"")), " ,", ""))</f>
        <v>,</v>
      </c>
      <c r="S136" s="56" t="s">
        <v>1382</v>
      </c>
      <c r="T136" s="2" t="s">
        <v>1382</v>
      </c>
      <c r="U136" s="2" t="s">
        <v>1382</v>
      </c>
      <c r="V136" s="2" t="s">
        <v>1382</v>
      </c>
    </row>
    <row r="137" spans="1:22" ht="12.75" hidden="1" customHeight="1">
      <c r="A137" s="133" t="s">
        <v>154</v>
      </c>
      <c r="B137" s="2" t="s">
        <v>2786</v>
      </c>
      <c r="C137" s="168"/>
      <c r="D137" s="5">
        <v>1</v>
      </c>
      <c r="E137" s="5" t="e" cm="1">
        <f t="array" aca="1" ref="E137" ca="1">SUMPRODUCT(SUMIF(INDIRECT("'"&amp;Assemblies[Assy]&amp;"'!"&amp;"C:C"),$A137,(INDIRECT("'"&amp;Assemblies[Assy]&amp;"'!"&amp;"O:O"))))</f>
        <v>#VALUE!</v>
      </c>
      <c r="F137" s="5" t="e">
        <f t="shared" ca="1" si="2"/>
        <v>#VALUE!</v>
      </c>
      <c r="G137" s="5"/>
      <c r="I137" s="117" t="s">
        <v>2771</v>
      </c>
      <c r="J137" s="117" t="s">
        <v>2635</v>
      </c>
      <c r="R137" s="115" t="str" cm="1">
        <f t="array" aca="1" ref="R137" ca="1">TRIM(SUBSTITUTE(_xlfn.ARRAYTOTEXT(IFERROR(CONCATENATE(SUMIF(INDIRECT("'"&amp;Assemblies!$B$2:$B$152&amp;"'!"&amp;"C$5:C1000"), $A137, INDIRECT("'"&amp;Assemblies!$B$2:$B$152&amp;"'!"&amp;"O$5:O1000")), "x",Assemblies!$B$2:$B$152,".",IF(SUMIF(INDIRECT("'"&amp;Assemblies!$B$2:$B$152&amp;"'!"&amp;"C$5:C1000"), $A137, INDIRECT("'"&amp;Assemblies!$B$2:$B$152&amp;"'!"&amp;"A$5:A1000"))=0,NA(),SUMIF(INDIRECT("'"&amp;Assemblies!$B$2:$B$152&amp;"'!"&amp;"C$5:C1000"), $A137, INDIRECT("'"&amp;Assemblies!$B$2:$B$152&amp;"'!"&amp;"A$5:A1000")))),"")), " ,", ""))</f>
        <v>,</v>
      </c>
      <c r="S137" s="56" t="s">
        <v>1382</v>
      </c>
      <c r="T137" s="2" t="s">
        <v>1382</v>
      </c>
      <c r="U137" s="2" t="s">
        <v>1382</v>
      </c>
      <c r="V137" s="2" t="s">
        <v>1382</v>
      </c>
    </row>
    <row r="138" spans="1:22" ht="12.75" hidden="1" customHeight="1">
      <c r="A138" s="133" t="s">
        <v>159</v>
      </c>
      <c r="B138" s="2" t="s">
        <v>2787</v>
      </c>
      <c r="C138" s="168"/>
      <c r="D138" s="5">
        <v>1</v>
      </c>
      <c r="E138" s="5" t="e" cm="1">
        <f t="array" aca="1" ref="E138" ca="1">SUMPRODUCT(SUMIF(INDIRECT("'"&amp;Assemblies[Assy]&amp;"'!"&amp;"C:C"),$A138,(INDIRECT("'"&amp;Assemblies[Assy]&amp;"'!"&amp;"O:O"))))</f>
        <v>#VALUE!</v>
      </c>
      <c r="F138" s="5" t="e">
        <f t="shared" ca="1" si="2"/>
        <v>#VALUE!</v>
      </c>
      <c r="G138" s="5"/>
      <c r="I138" s="117" t="s">
        <v>2771</v>
      </c>
      <c r="J138" s="117" t="s">
        <v>2635</v>
      </c>
      <c r="R138" s="115" t="str" cm="1">
        <f t="array" aca="1" ref="R138" ca="1">TRIM(SUBSTITUTE(_xlfn.ARRAYTOTEXT(IFERROR(CONCATENATE(SUMIF(INDIRECT("'"&amp;Assemblies!$B$2:$B$152&amp;"'!"&amp;"C$5:C1000"), $A138, INDIRECT("'"&amp;Assemblies!$B$2:$B$152&amp;"'!"&amp;"O$5:O1000")), "x",Assemblies!$B$2:$B$152,".",IF(SUMIF(INDIRECT("'"&amp;Assemblies!$B$2:$B$152&amp;"'!"&amp;"C$5:C1000"), $A138, INDIRECT("'"&amp;Assemblies!$B$2:$B$152&amp;"'!"&amp;"A$5:A1000"))=0,NA(),SUMIF(INDIRECT("'"&amp;Assemblies!$B$2:$B$152&amp;"'!"&amp;"C$5:C1000"), $A138, INDIRECT("'"&amp;Assemblies!$B$2:$B$152&amp;"'!"&amp;"A$5:A1000")))),"")), " ,", ""))</f>
        <v>,</v>
      </c>
      <c r="S138" s="56" t="s">
        <v>1382</v>
      </c>
      <c r="T138" s="2" t="s">
        <v>1382</v>
      </c>
      <c r="U138" s="2" t="s">
        <v>1382</v>
      </c>
      <c r="V138" s="2" t="s">
        <v>1382</v>
      </c>
    </row>
    <row r="139" spans="1:22" ht="12.75" hidden="1" customHeight="1">
      <c r="A139" s="133" t="s">
        <v>192</v>
      </c>
      <c r="B139" s="2" t="s">
        <v>2788</v>
      </c>
      <c r="C139" s="168"/>
      <c r="D139" s="5">
        <v>1</v>
      </c>
      <c r="E139" s="5" t="e" cm="1">
        <f t="array" aca="1" ref="E139" ca="1">SUMPRODUCT(SUMIF(INDIRECT("'"&amp;Assemblies[Assy]&amp;"'!"&amp;"C:C"),$A139,(INDIRECT("'"&amp;Assemblies[Assy]&amp;"'!"&amp;"O:O"))))</f>
        <v>#VALUE!</v>
      </c>
      <c r="F139" s="5" t="e">
        <f t="shared" ca="1" si="2"/>
        <v>#VALUE!</v>
      </c>
      <c r="G139" s="5"/>
      <c r="I139" s="117" t="s">
        <v>2771</v>
      </c>
      <c r="J139" s="117" t="s">
        <v>2635</v>
      </c>
      <c r="R139" s="115" t="str" cm="1">
        <f t="array" aca="1" ref="R139" ca="1">TRIM(SUBSTITUTE(_xlfn.ARRAYTOTEXT(IFERROR(CONCATENATE(SUMIF(INDIRECT("'"&amp;Assemblies!$B$2:$B$152&amp;"'!"&amp;"C$5:C1000"), $A139, INDIRECT("'"&amp;Assemblies!$B$2:$B$152&amp;"'!"&amp;"O$5:O1000")), "x",Assemblies!$B$2:$B$152,".",IF(SUMIF(INDIRECT("'"&amp;Assemblies!$B$2:$B$152&amp;"'!"&amp;"C$5:C1000"), $A139, INDIRECT("'"&amp;Assemblies!$B$2:$B$152&amp;"'!"&amp;"A$5:A1000"))=0,NA(),SUMIF(INDIRECT("'"&amp;Assemblies!$B$2:$B$152&amp;"'!"&amp;"C$5:C1000"), $A139, INDIRECT("'"&amp;Assemblies!$B$2:$B$152&amp;"'!"&amp;"A$5:A1000")))),"")), " ,", ""))</f>
        <v>,</v>
      </c>
      <c r="S139" s="56" t="s">
        <v>1382</v>
      </c>
      <c r="T139" s="2" t="s">
        <v>1382</v>
      </c>
      <c r="U139" s="2" t="s">
        <v>1382</v>
      </c>
      <c r="V139" s="2" t="s">
        <v>1382</v>
      </c>
    </row>
    <row r="140" spans="1:22" ht="12.75" hidden="1" customHeight="1">
      <c r="A140" s="133" t="s">
        <v>161</v>
      </c>
      <c r="B140" s="2" t="s">
        <v>2789</v>
      </c>
      <c r="C140" s="168"/>
      <c r="D140" s="5">
        <v>1</v>
      </c>
      <c r="E140" s="5" t="e" cm="1">
        <f t="array" aca="1" ref="E140" ca="1">SUMPRODUCT(SUMIF(INDIRECT("'"&amp;Assemblies[Assy]&amp;"'!"&amp;"C:C"),$A140,(INDIRECT("'"&amp;Assemblies[Assy]&amp;"'!"&amp;"O:O"))))</f>
        <v>#VALUE!</v>
      </c>
      <c r="F140" s="5" t="e">
        <f t="shared" ca="1" si="2"/>
        <v>#VALUE!</v>
      </c>
      <c r="G140" s="5"/>
      <c r="I140" s="117" t="s">
        <v>2771</v>
      </c>
      <c r="J140" s="117" t="s">
        <v>2635</v>
      </c>
      <c r="R140" s="115" t="str" cm="1">
        <f t="array" aca="1" ref="R140" ca="1">TRIM(SUBSTITUTE(_xlfn.ARRAYTOTEXT(IFERROR(CONCATENATE(SUMIF(INDIRECT("'"&amp;Assemblies!$B$2:$B$152&amp;"'!"&amp;"C$5:C1000"), $A140, INDIRECT("'"&amp;Assemblies!$B$2:$B$152&amp;"'!"&amp;"O$5:O1000")), "x",Assemblies!$B$2:$B$152,".",IF(SUMIF(INDIRECT("'"&amp;Assemblies!$B$2:$B$152&amp;"'!"&amp;"C$5:C1000"), $A140, INDIRECT("'"&amp;Assemblies!$B$2:$B$152&amp;"'!"&amp;"A$5:A1000"))=0,NA(),SUMIF(INDIRECT("'"&amp;Assemblies!$B$2:$B$152&amp;"'!"&amp;"C$5:C1000"), $A140, INDIRECT("'"&amp;Assemblies!$B$2:$B$152&amp;"'!"&amp;"A$5:A1000")))),"")), " ,", ""))</f>
        <v>,</v>
      </c>
      <c r="S140" s="56" t="s">
        <v>1382</v>
      </c>
      <c r="T140" s="2" t="s">
        <v>1382</v>
      </c>
      <c r="U140" s="2" t="s">
        <v>1382</v>
      </c>
      <c r="V140" s="2" t="s">
        <v>1382</v>
      </c>
    </row>
    <row r="141" spans="1:22" ht="12.75" hidden="1" customHeight="1">
      <c r="A141" s="133" t="s">
        <v>153</v>
      </c>
      <c r="B141" s="2" t="s">
        <v>2790</v>
      </c>
      <c r="C141" s="168"/>
      <c r="D141" s="5">
        <v>1</v>
      </c>
      <c r="E141" s="5" t="e" cm="1">
        <f t="array" aca="1" ref="E141" ca="1">SUMPRODUCT(SUMIF(INDIRECT("'"&amp;Assemblies[Assy]&amp;"'!"&amp;"C:C"),$A141,(INDIRECT("'"&amp;Assemblies[Assy]&amp;"'!"&amp;"O:O"))))</f>
        <v>#VALUE!</v>
      </c>
      <c r="F141" s="5" t="e">
        <f t="shared" ca="1" si="2"/>
        <v>#VALUE!</v>
      </c>
      <c r="G141" s="5"/>
      <c r="I141" s="117" t="s">
        <v>2771</v>
      </c>
      <c r="J141" s="117" t="s">
        <v>2635</v>
      </c>
      <c r="R141" s="115" t="str" cm="1">
        <f t="array" aca="1" ref="R141" ca="1">TRIM(SUBSTITUTE(_xlfn.ARRAYTOTEXT(IFERROR(CONCATENATE(SUMIF(INDIRECT("'"&amp;Assemblies!$B$2:$B$152&amp;"'!"&amp;"C$5:C1000"), $A141, INDIRECT("'"&amp;Assemblies!$B$2:$B$152&amp;"'!"&amp;"O$5:O1000")), "x",Assemblies!$B$2:$B$152,".",IF(SUMIF(INDIRECT("'"&amp;Assemblies!$B$2:$B$152&amp;"'!"&amp;"C$5:C1000"), $A141, INDIRECT("'"&amp;Assemblies!$B$2:$B$152&amp;"'!"&amp;"A$5:A1000"))=0,NA(),SUMIF(INDIRECT("'"&amp;Assemblies!$B$2:$B$152&amp;"'!"&amp;"C$5:C1000"), $A141, INDIRECT("'"&amp;Assemblies!$B$2:$B$152&amp;"'!"&amp;"A$5:A1000")))),"")), " ,", ""))</f>
        <v>,</v>
      </c>
      <c r="S141" s="56" t="s">
        <v>1382</v>
      </c>
      <c r="T141" s="2" t="s">
        <v>1382</v>
      </c>
      <c r="U141" s="2" t="s">
        <v>1382</v>
      </c>
      <c r="V141" s="2" t="s">
        <v>1382</v>
      </c>
    </row>
    <row r="142" spans="1:22" ht="12.75" hidden="1" customHeight="1">
      <c r="A142" s="133" t="s">
        <v>157</v>
      </c>
      <c r="B142" s="2" t="s">
        <v>2791</v>
      </c>
      <c r="C142" s="168"/>
      <c r="D142" s="5">
        <v>1</v>
      </c>
      <c r="E142" s="5" t="e" cm="1">
        <f t="array" aca="1" ref="E142" ca="1">SUMPRODUCT(SUMIF(INDIRECT("'"&amp;Assemblies[Assy]&amp;"'!"&amp;"C:C"),$A142,(INDIRECT("'"&amp;Assemblies[Assy]&amp;"'!"&amp;"O:O"))))</f>
        <v>#VALUE!</v>
      </c>
      <c r="F142" s="5" t="e">
        <f t="shared" ca="1" si="2"/>
        <v>#VALUE!</v>
      </c>
      <c r="G142" s="5"/>
      <c r="I142" s="117" t="s">
        <v>2771</v>
      </c>
      <c r="J142" s="117" t="s">
        <v>2635</v>
      </c>
      <c r="R142" s="115" t="str" cm="1">
        <f t="array" aca="1" ref="R142" ca="1">TRIM(SUBSTITUTE(_xlfn.ARRAYTOTEXT(IFERROR(CONCATENATE(SUMIF(INDIRECT("'"&amp;Assemblies!$B$2:$B$152&amp;"'!"&amp;"C$5:C1000"), $A142, INDIRECT("'"&amp;Assemblies!$B$2:$B$152&amp;"'!"&amp;"O$5:O1000")), "x",Assemblies!$B$2:$B$152,".",IF(SUMIF(INDIRECT("'"&amp;Assemblies!$B$2:$B$152&amp;"'!"&amp;"C$5:C1000"), $A142, INDIRECT("'"&amp;Assemblies!$B$2:$B$152&amp;"'!"&amp;"A$5:A1000"))=0,NA(),SUMIF(INDIRECT("'"&amp;Assemblies!$B$2:$B$152&amp;"'!"&amp;"C$5:C1000"), $A142, INDIRECT("'"&amp;Assemblies!$B$2:$B$152&amp;"'!"&amp;"A$5:A1000")))),"")), " ,", ""))</f>
        <v>,</v>
      </c>
      <c r="S142" s="56" t="s">
        <v>1382</v>
      </c>
      <c r="T142" s="2" t="s">
        <v>1382</v>
      </c>
      <c r="U142" s="2" t="s">
        <v>1382</v>
      </c>
      <c r="V142" s="2" t="s">
        <v>1382</v>
      </c>
    </row>
    <row r="143" spans="1:22" ht="12.75" hidden="1" customHeight="1">
      <c r="A143" s="133" t="s">
        <v>188</v>
      </c>
      <c r="B143" s="2" t="s">
        <v>2792</v>
      </c>
      <c r="C143" s="168"/>
      <c r="D143" s="5">
        <v>1</v>
      </c>
      <c r="E143" s="5" t="e" cm="1">
        <f t="array" aca="1" ref="E143" ca="1">SUMPRODUCT(SUMIF(INDIRECT("'"&amp;Assemblies[Assy]&amp;"'!"&amp;"C:C"),$A143,(INDIRECT("'"&amp;Assemblies[Assy]&amp;"'!"&amp;"O:O"))))</f>
        <v>#VALUE!</v>
      </c>
      <c r="F143" s="5" t="e">
        <f t="shared" ca="1" si="2"/>
        <v>#VALUE!</v>
      </c>
      <c r="G143" s="5"/>
      <c r="I143" s="117" t="s">
        <v>2771</v>
      </c>
      <c r="J143" s="117" t="s">
        <v>2635</v>
      </c>
      <c r="R143" s="115" t="str" cm="1">
        <f t="array" aca="1" ref="R143" ca="1">TRIM(SUBSTITUTE(_xlfn.ARRAYTOTEXT(IFERROR(CONCATENATE(SUMIF(INDIRECT("'"&amp;Assemblies!$B$2:$B$152&amp;"'!"&amp;"C$5:C1000"), $A143, INDIRECT("'"&amp;Assemblies!$B$2:$B$152&amp;"'!"&amp;"O$5:O1000")), "x",Assemblies!$B$2:$B$152,".",IF(SUMIF(INDIRECT("'"&amp;Assemblies!$B$2:$B$152&amp;"'!"&amp;"C$5:C1000"), $A143, INDIRECT("'"&amp;Assemblies!$B$2:$B$152&amp;"'!"&amp;"A$5:A1000"))=0,NA(),SUMIF(INDIRECT("'"&amp;Assemblies!$B$2:$B$152&amp;"'!"&amp;"C$5:C1000"), $A143, INDIRECT("'"&amp;Assemblies!$B$2:$B$152&amp;"'!"&amp;"A$5:A1000")))),"")), " ,", ""))</f>
        <v>,</v>
      </c>
      <c r="S143" s="56" t="s">
        <v>1382</v>
      </c>
      <c r="T143" s="2" t="s">
        <v>1382</v>
      </c>
      <c r="U143" s="2" t="s">
        <v>1382</v>
      </c>
      <c r="V143" s="2" t="s">
        <v>1382</v>
      </c>
    </row>
    <row r="144" spans="1:22" ht="12.75" hidden="1" customHeight="1">
      <c r="A144" s="133" t="s">
        <v>101</v>
      </c>
      <c r="B144" s="2" t="s">
        <v>2793</v>
      </c>
      <c r="C144" s="168"/>
      <c r="D144" s="5">
        <v>1</v>
      </c>
      <c r="E144" s="5" t="e" cm="1">
        <f t="array" aca="1" ref="E144" ca="1">SUMPRODUCT(SUMIF(INDIRECT("'"&amp;Assemblies[Assy]&amp;"'!"&amp;"C:C"),$A144,(INDIRECT("'"&amp;Assemblies[Assy]&amp;"'!"&amp;"O:O"))))</f>
        <v>#VALUE!</v>
      </c>
      <c r="F144" s="5" t="e">
        <f t="shared" ca="1" si="2"/>
        <v>#VALUE!</v>
      </c>
      <c r="G144" s="5"/>
      <c r="I144" s="117" t="s">
        <v>2771</v>
      </c>
      <c r="J144" s="117" t="s">
        <v>2635</v>
      </c>
      <c r="R144" s="115" t="str" cm="1">
        <f t="array" aca="1" ref="R144" ca="1">TRIM(SUBSTITUTE(_xlfn.ARRAYTOTEXT(IFERROR(CONCATENATE(SUMIF(INDIRECT("'"&amp;Assemblies!$B$2:$B$152&amp;"'!"&amp;"C$5:C1000"), $A144, INDIRECT("'"&amp;Assemblies!$B$2:$B$152&amp;"'!"&amp;"O$5:O1000")), "x",Assemblies!$B$2:$B$152,".",IF(SUMIF(INDIRECT("'"&amp;Assemblies!$B$2:$B$152&amp;"'!"&amp;"C$5:C1000"), $A144, INDIRECT("'"&amp;Assemblies!$B$2:$B$152&amp;"'!"&amp;"A$5:A1000"))=0,NA(),SUMIF(INDIRECT("'"&amp;Assemblies!$B$2:$B$152&amp;"'!"&amp;"C$5:C1000"), $A144, INDIRECT("'"&amp;Assemblies!$B$2:$B$152&amp;"'!"&amp;"A$5:A1000")))),"")), " ,", ""))</f>
        <v>,</v>
      </c>
      <c r="S144" s="56" t="s">
        <v>1382</v>
      </c>
      <c r="T144" s="2" t="s">
        <v>1382</v>
      </c>
      <c r="U144" s="2" t="s">
        <v>1382</v>
      </c>
      <c r="V144" s="2" t="s">
        <v>1382</v>
      </c>
    </row>
    <row r="145" spans="1:22" ht="12.75" hidden="1" customHeight="1">
      <c r="A145" s="133" t="s">
        <v>103</v>
      </c>
      <c r="B145" s="2" t="s">
        <v>2794</v>
      </c>
      <c r="C145" s="168"/>
      <c r="D145" s="5">
        <v>1</v>
      </c>
      <c r="E145" s="5" t="e" cm="1">
        <f t="array" aca="1" ref="E145" ca="1">SUMPRODUCT(SUMIF(INDIRECT("'"&amp;Assemblies[Assy]&amp;"'!"&amp;"C:C"),$A145,(INDIRECT("'"&amp;Assemblies[Assy]&amp;"'!"&amp;"O:O"))))</f>
        <v>#VALUE!</v>
      </c>
      <c r="F145" s="5" t="e">
        <f t="shared" ca="1" si="2"/>
        <v>#VALUE!</v>
      </c>
      <c r="G145" s="5"/>
      <c r="I145" s="117" t="s">
        <v>2771</v>
      </c>
      <c r="J145" s="117" t="s">
        <v>2635</v>
      </c>
      <c r="R145" s="115" t="str" cm="1">
        <f t="array" aca="1" ref="R145" ca="1">TRIM(SUBSTITUTE(_xlfn.ARRAYTOTEXT(IFERROR(CONCATENATE(SUMIF(INDIRECT("'"&amp;Assemblies!$B$2:$B$152&amp;"'!"&amp;"C$5:C1000"), $A145, INDIRECT("'"&amp;Assemblies!$B$2:$B$152&amp;"'!"&amp;"O$5:O1000")), "x",Assemblies!$B$2:$B$152,".",IF(SUMIF(INDIRECT("'"&amp;Assemblies!$B$2:$B$152&amp;"'!"&amp;"C$5:C1000"), $A145, INDIRECT("'"&amp;Assemblies!$B$2:$B$152&amp;"'!"&amp;"A$5:A1000"))=0,NA(),SUMIF(INDIRECT("'"&amp;Assemblies!$B$2:$B$152&amp;"'!"&amp;"C$5:C1000"), $A145, INDIRECT("'"&amp;Assemblies!$B$2:$B$152&amp;"'!"&amp;"A$5:A1000")))),"")), " ,", ""))</f>
        <v>,</v>
      </c>
      <c r="S145" s="56" t="s">
        <v>1382</v>
      </c>
      <c r="T145" s="2" t="s">
        <v>1382</v>
      </c>
      <c r="U145" s="2" t="s">
        <v>1382</v>
      </c>
      <c r="V145" s="2" t="s">
        <v>1382</v>
      </c>
    </row>
    <row r="146" spans="1:22" ht="12.75" hidden="1" customHeight="1">
      <c r="A146" s="133" t="s">
        <v>189</v>
      </c>
      <c r="B146" s="2" t="s">
        <v>2795</v>
      </c>
      <c r="C146" s="168"/>
      <c r="D146" s="5">
        <v>1</v>
      </c>
      <c r="E146" s="5" t="e" cm="1">
        <f t="array" aca="1" ref="E146" ca="1">SUMPRODUCT(SUMIF(INDIRECT("'"&amp;Assemblies[Assy]&amp;"'!"&amp;"C:C"),$A146,(INDIRECT("'"&amp;Assemblies[Assy]&amp;"'!"&amp;"O:O"))))</f>
        <v>#VALUE!</v>
      </c>
      <c r="F146" s="5" t="e">
        <f t="shared" ca="1" si="2"/>
        <v>#VALUE!</v>
      </c>
      <c r="G146" s="5"/>
      <c r="I146" s="117" t="s">
        <v>2771</v>
      </c>
      <c r="J146" s="117" t="s">
        <v>2635</v>
      </c>
      <c r="R146" s="115" t="str" cm="1">
        <f t="array" aca="1" ref="R146" ca="1">TRIM(SUBSTITUTE(_xlfn.ARRAYTOTEXT(IFERROR(CONCATENATE(SUMIF(INDIRECT("'"&amp;Assemblies!$B$2:$B$152&amp;"'!"&amp;"C$5:C1000"), $A146, INDIRECT("'"&amp;Assemblies!$B$2:$B$152&amp;"'!"&amp;"O$5:O1000")), "x",Assemblies!$B$2:$B$152,".",IF(SUMIF(INDIRECT("'"&amp;Assemblies!$B$2:$B$152&amp;"'!"&amp;"C$5:C1000"), $A146, INDIRECT("'"&amp;Assemblies!$B$2:$B$152&amp;"'!"&amp;"A$5:A1000"))=0,NA(),SUMIF(INDIRECT("'"&amp;Assemblies!$B$2:$B$152&amp;"'!"&amp;"C$5:C1000"), $A146, INDIRECT("'"&amp;Assemblies!$B$2:$B$152&amp;"'!"&amp;"A$5:A1000")))),"")), " ,", ""))</f>
        <v>,</v>
      </c>
      <c r="S146" s="56" t="s">
        <v>1382</v>
      </c>
      <c r="T146" s="2" t="s">
        <v>1382</v>
      </c>
      <c r="U146" s="2" t="s">
        <v>1382</v>
      </c>
      <c r="V146" s="2" t="s">
        <v>1382</v>
      </c>
    </row>
    <row r="147" spans="1:22" ht="12.75" hidden="1" customHeight="1">
      <c r="A147" s="133" t="s">
        <v>158</v>
      </c>
      <c r="B147" s="2" t="s">
        <v>2796</v>
      </c>
      <c r="C147" s="168"/>
      <c r="D147" s="5">
        <v>1</v>
      </c>
      <c r="E147" s="5" t="e" cm="1">
        <f t="array" aca="1" ref="E147" ca="1">SUMPRODUCT(SUMIF(INDIRECT("'"&amp;Assemblies[Assy]&amp;"'!"&amp;"C:C"),$A147,(INDIRECT("'"&amp;Assemblies[Assy]&amp;"'!"&amp;"O:O"))))</f>
        <v>#VALUE!</v>
      </c>
      <c r="F147" s="5" t="e">
        <f t="shared" ca="1" si="2"/>
        <v>#VALUE!</v>
      </c>
      <c r="G147" s="5"/>
      <c r="I147" s="117" t="s">
        <v>2771</v>
      </c>
      <c r="J147" s="117" t="s">
        <v>2635</v>
      </c>
      <c r="R147" s="115" t="str" cm="1">
        <f t="array" aca="1" ref="R147" ca="1">TRIM(SUBSTITUTE(_xlfn.ARRAYTOTEXT(IFERROR(CONCATENATE(SUMIF(INDIRECT("'"&amp;Assemblies!$B$2:$B$152&amp;"'!"&amp;"C$5:C1000"), $A147, INDIRECT("'"&amp;Assemblies!$B$2:$B$152&amp;"'!"&amp;"O$5:O1000")), "x",Assemblies!$B$2:$B$152,".",IF(SUMIF(INDIRECT("'"&amp;Assemblies!$B$2:$B$152&amp;"'!"&amp;"C$5:C1000"), $A147, INDIRECT("'"&amp;Assemblies!$B$2:$B$152&amp;"'!"&amp;"A$5:A1000"))=0,NA(),SUMIF(INDIRECT("'"&amp;Assemblies!$B$2:$B$152&amp;"'!"&amp;"C$5:C1000"), $A147, INDIRECT("'"&amp;Assemblies!$B$2:$B$152&amp;"'!"&amp;"A$5:A1000")))),"")), " ,", ""))</f>
        <v>,</v>
      </c>
      <c r="S147" s="56" t="s">
        <v>1382</v>
      </c>
      <c r="T147" s="2" t="s">
        <v>1382</v>
      </c>
      <c r="U147" s="2" t="s">
        <v>1382</v>
      </c>
      <c r="V147" s="2" t="s">
        <v>1382</v>
      </c>
    </row>
    <row r="148" spans="1:22" ht="12.75" hidden="1" customHeight="1">
      <c r="A148" s="133" t="s">
        <v>196</v>
      </c>
      <c r="B148" s="2" t="s">
        <v>2797</v>
      </c>
      <c r="C148" s="168"/>
      <c r="D148" s="5">
        <v>1</v>
      </c>
      <c r="E148" s="5" t="e" cm="1">
        <f t="array" aca="1" ref="E148" ca="1">SUMPRODUCT(SUMIF(INDIRECT("'"&amp;Assemblies[Assy]&amp;"'!"&amp;"C:C"),$A148,(INDIRECT("'"&amp;Assemblies[Assy]&amp;"'!"&amp;"O:O"))))</f>
        <v>#VALUE!</v>
      </c>
      <c r="F148" s="5" t="e">
        <f t="shared" ca="1" si="2"/>
        <v>#VALUE!</v>
      </c>
      <c r="G148" s="5"/>
      <c r="I148" s="117" t="s">
        <v>2771</v>
      </c>
      <c r="J148" s="117" t="s">
        <v>2635</v>
      </c>
      <c r="R148" s="115" t="str" cm="1">
        <f t="array" aca="1" ref="R148" ca="1">TRIM(SUBSTITUTE(_xlfn.ARRAYTOTEXT(IFERROR(CONCATENATE(SUMIF(INDIRECT("'"&amp;Assemblies!$B$2:$B$152&amp;"'!"&amp;"C$5:C1000"), $A148, INDIRECT("'"&amp;Assemblies!$B$2:$B$152&amp;"'!"&amp;"O$5:O1000")), "x",Assemblies!$B$2:$B$152,".",IF(SUMIF(INDIRECT("'"&amp;Assemblies!$B$2:$B$152&amp;"'!"&amp;"C$5:C1000"), $A148, INDIRECT("'"&amp;Assemblies!$B$2:$B$152&amp;"'!"&amp;"A$5:A1000"))=0,NA(),SUMIF(INDIRECT("'"&amp;Assemblies!$B$2:$B$152&amp;"'!"&amp;"C$5:C1000"), $A148, INDIRECT("'"&amp;Assemblies!$B$2:$B$152&amp;"'!"&amp;"A$5:A1000")))),"")), " ,", ""))</f>
        <v>,</v>
      </c>
      <c r="S148" s="56" t="s">
        <v>1382</v>
      </c>
      <c r="T148" s="2" t="s">
        <v>1382</v>
      </c>
      <c r="U148" s="2" t="s">
        <v>1382</v>
      </c>
      <c r="V148" s="2" t="s">
        <v>1382</v>
      </c>
    </row>
    <row r="149" spans="1:22" ht="12.75" hidden="1" customHeight="1">
      <c r="A149" s="133" t="s">
        <v>193</v>
      </c>
      <c r="B149" s="2" t="s">
        <v>2798</v>
      </c>
      <c r="C149" s="168"/>
      <c r="D149" s="5">
        <v>1</v>
      </c>
      <c r="E149" s="5" t="e" cm="1">
        <f t="array" aca="1" ref="E149" ca="1">SUMPRODUCT(SUMIF(INDIRECT("'"&amp;Assemblies[Assy]&amp;"'!"&amp;"C:C"),$A149,(INDIRECT("'"&amp;Assemblies[Assy]&amp;"'!"&amp;"O:O"))))</f>
        <v>#VALUE!</v>
      </c>
      <c r="F149" s="5" t="e">
        <f t="shared" ca="1" si="2"/>
        <v>#VALUE!</v>
      </c>
      <c r="G149" s="5"/>
      <c r="I149" s="117" t="s">
        <v>2771</v>
      </c>
      <c r="J149" s="117" t="s">
        <v>2635</v>
      </c>
      <c r="R149" s="115" t="str" cm="1">
        <f t="array" aca="1" ref="R149" ca="1">TRIM(SUBSTITUTE(_xlfn.ARRAYTOTEXT(IFERROR(CONCATENATE(SUMIF(INDIRECT("'"&amp;Assemblies!$B$2:$B$152&amp;"'!"&amp;"C$5:C1000"), $A149, INDIRECT("'"&amp;Assemblies!$B$2:$B$152&amp;"'!"&amp;"O$5:O1000")), "x",Assemblies!$B$2:$B$152,".",IF(SUMIF(INDIRECT("'"&amp;Assemblies!$B$2:$B$152&amp;"'!"&amp;"C$5:C1000"), $A149, INDIRECT("'"&amp;Assemblies!$B$2:$B$152&amp;"'!"&amp;"A$5:A1000"))=0,NA(),SUMIF(INDIRECT("'"&amp;Assemblies!$B$2:$B$152&amp;"'!"&amp;"C$5:C1000"), $A149, INDIRECT("'"&amp;Assemblies!$B$2:$B$152&amp;"'!"&amp;"A$5:A1000")))),"")), " ,", ""))</f>
        <v>,</v>
      </c>
      <c r="S149" s="56" t="s">
        <v>1382</v>
      </c>
      <c r="T149" s="2" t="s">
        <v>1382</v>
      </c>
      <c r="U149" s="2" t="s">
        <v>1382</v>
      </c>
      <c r="V149" s="2" t="s">
        <v>1382</v>
      </c>
    </row>
    <row r="150" spans="1:22" ht="12.75" hidden="1" customHeight="1">
      <c r="A150" s="133" t="s">
        <v>105</v>
      </c>
      <c r="B150" s="2" t="s">
        <v>2799</v>
      </c>
      <c r="C150" s="168"/>
      <c r="D150" s="5">
        <v>1</v>
      </c>
      <c r="E150" s="5" t="e" cm="1">
        <f t="array" aca="1" ref="E150" ca="1">SUMPRODUCT(SUMIF(INDIRECT("'"&amp;Assemblies[Assy]&amp;"'!"&amp;"C:C"),$A150,(INDIRECT("'"&amp;Assemblies[Assy]&amp;"'!"&amp;"O:O"))))</f>
        <v>#VALUE!</v>
      </c>
      <c r="F150" s="5" t="e">
        <f t="shared" ca="1" si="2"/>
        <v>#VALUE!</v>
      </c>
      <c r="G150" s="5"/>
      <c r="I150" s="117" t="s">
        <v>2771</v>
      </c>
      <c r="J150" s="117" t="s">
        <v>2635</v>
      </c>
      <c r="R150" s="115" t="str" cm="1">
        <f t="array" aca="1" ref="R150" ca="1">TRIM(SUBSTITUTE(_xlfn.ARRAYTOTEXT(IFERROR(CONCATENATE(SUMIF(INDIRECT("'"&amp;Assemblies!$B$2:$B$152&amp;"'!"&amp;"C$5:C1000"), $A150, INDIRECT("'"&amp;Assemblies!$B$2:$B$152&amp;"'!"&amp;"O$5:O1000")), "x",Assemblies!$B$2:$B$152,".",IF(SUMIF(INDIRECT("'"&amp;Assemblies!$B$2:$B$152&amp;"'!"&amp;"C$5:C1000"), $A150, INDIRECT("'"&amp;Assemblies!$B$2:$B$152&amp;"'!"&amp;"A$5:A1000"))=0,NA(),SUMIF(INDIRECT("'"&amp;Assemblies!$B$2:$B$152&amp;"'!"&amp;"C$5:C1000"), $A150, INDIRECT("'"&amp;Assemblies!$B$2:$B$152&amp;"'!"&amp;"A$5:A1000")))),"")), " ,", ""))</f>
        <v>,</v>
      </c>
      <c r="S150" s="56" t="s">
        <v>1382</v>
      </c>
      <c r="T150" s="2" t="s">
        <v>1382</v>
      </c>
      <c r="U150" s="2" t="s">
        <v>1382</v>
      </c>
      <c r="V150" s="2" t="s">
        <v>1382</v>
      </c>
    </row>
    <row r="151" spans="1:22" ht="12.75" hidden="1" customHeight="1">
      <c r="A151" s="133" t="s">
        <v>106</v>
      </c>
      <c r="B151" s="2" t="s">
        <v>2800</v>
      </c>
      <c r="C151" s="168"/>
      <c r="D151" s="5">
        <v>1</v>
      </c>
      <c r="E151" s="5" t="e" cm="1">
        <f t="array" aca="1" ref="E151" ca="1">SUMPRODUCT(SUMIF(INDIRECT("'"&amp;Assemblies[Assy]&amp;"'!"&amp;"C:C"),$A151,(INDIRECT("'"&amp;Assemblies[Assy]&amp;"'!"&amp;"O:O"))))</f>
        <v>#VALUE!</v>
      </c>
      <c r="F151" s="5" t="e">
        <f t="shared" ca="1" si="2"/>
        <v>#VALUE!</v>
      </c>
      <c r="G151" s="5"/>
      <c r="I151" s="117" t="s">
        <v>2771</v>
      </c>
      <c r="J151" s="117" t="s">
        <v>2635</v>
      </c>
      <c r="R151" s="115" t="str" cm="1">
        <f t="array" aca="1" ref="R151" ca="1">TRIM(SUBSTITUTE(_xlfn.ARRAYTOTEXT(IFERROR(CONCATENATE(SUMIF(INDIRECT("'"&amp;Assemblies!$B$2:$B$152&amp;"'!"&amp;"C$5:C1000"), $A151, INDIRECT("'"&amp;Assemblies!$B$2:$B$152&amp;"'!"&amp;"O$5:O1000")), "x",Assemblies!$B$2:$B$152,".",IF(SUMIF(INDIRECT("'"&amp;Assemblies!$B$2:$B$152&amp;"'!"&amp;"C$5:C1000"), $A151, INDIRECT("'"&amp;Assemblies!$B$2:$B$152&amp;"'!"&amp;"A$5:A1000"))=0,NA(),SUMIF(INDIRECT("'"&amp;Assemblies!$B$2:$B$152&amp;"'!"&amp;"C$5:C1000"), $A151, INDIRECT("'"&amp;Assemblies!$B$2:$B$152&amp;"'!"&amp;"A$5:A1000")))),"")), " ,", ""))</f>
        <v>,</v>
      </c>
      <c r="S151" s="56" t="s">
        <v>1382</v>
      </c>
      <c r="T151" s="2" t="s">
        <v>1382</v>
      </c>
      <c r="U151" s="2" t="s">
        <v>1382</v>
      </c>
      <c r="V151" s="2" t="s">
        <v>1382</v>
      </c>
    </row>
    <row r="152" spans="1:22" ht="12.75" hidden="1" customHeight="1">
      <c r="A152" s="133" t="s">
        <v>162</v>
      </c>
      <c r="B152" s="2" t="s">
        <v>2801</v>
      </c>
      <c r="C152" s="168"/>
      <c r="D152" s="5">
        <v>1</v>
      </c>
      <c r="E152" s="5" t="e" cm="1">
        <f t="array" aca="1" ref="E152" ca="1">SUMPRODUCT(SUMIF(INDIRECT("'"&amp;Assemblies[Assy]&amp;"'!"&amp;"C:C"),$A152,(INDIRECT("'"&amp;Assemblies[Assy]&amp;"'!"&amp;"O:O"))))</f>
        <v>#VALUE!</v>
      </c>
      <c r="F152" s="5" t="e">
        <f t="shared" ca="1" si="2"/>
        <v>#VALUE!</v>
      </c>
      <c r="G152" s="5"/>
      <c r="I152" s="117" t="s">
        <v>2771</v>
      </c>
      <c r="J152" s="117" t="s">
        <v>2635</v>
      </c>
      <c r="R152" s="115" t="str" cm="1">
        <f t="array" aca="1" ref="R152" ca="1">TRIM(SUBSTITUTE(_xlfn.ARRAYTOTEXT(IFERROR(CONCATENATE(SUMIF(INDIRECT("'"&amp;Assemblies!$B$2:$B$152&amp;"'!"&amp;"C$5:C1000"), $A152, INDIRECT("'"&amp;Assemblies!$B$2:$B$152&amp;"'!"&amp;"O$5:O1000")), "x",Assemblies!$B$2:$B$152,".",IF(SUMIF(INDIRECT("'"&amp;Assemblies!$B$2:$B$152&amp;"'!"&amp;"C$5:C1000"), $A152, INDIRECT("'"&amp;Assemblies!$B$2:$B$152&amp;"'!"&amp;"A$5:A1000"))=0,NA(),SUMIF(INDIRECT("'"&amp;Assemblies!$B$2:$B$152&amp;"'!"&amp;"C$5:C1000"), $A152, INDIRECT("'"&amp;Assemblies!$B$2:$B$152&amp;"'!"&amp;"A$5:A1000")))),"")), " ,", ""))</f>
        <v>,</v>
      </c>
      <c r="S152" s="56" t="s">
        <v>1382</v>
      </c>
      <c r="T152" s="2" t="s">
        <v>1382</v>
      </c>
      <c r="U152" s="2" t="s">
        <v>1382</v>
      </c>
      <c r="V152" s="2" t="s">
        <v>1382</v>
      </c>
    </row>
    <row r="153" spans="1:22" ht="12.75" hidden="1" customHeight="1">
      <c r="A153" s="133" t="s">
        <v>107</v>
      </c>
      <c r="B153" s="2" t="s">
        <v>2802</v>
      </c>
      <c r="C153" s="168"/>
      <c r="D153" s="5">
        <v>1</v>
      </c>
      <c r="E153" s="5" t="e" cm="1">
        <f t="array" aca="1" ref="E153" ca="1">SUMPRODUCT(SUMIF(INDIRECT("'"&amp;Assemblies[Assy]&amp;"'!"&amp;"C:C"),$A153,(INDIRECT("'"&amp;Assemblies[Assy]&amp;"'!"&amp;"O:O"))))</f>
        <v>#VALUE!</v>
      </c>
      <c r="F153" s="5" t="e">
        <f t="shared" ca="1" si="2"/>
        <v>#VALUE!</v>
      </c>
      <c r="G153" s="5"/>
      <c r="I153" s="117" t="s">
        <v>2771</v>
      </c>
      <c r="J153" s="117" t="s">
        <v>2635</v>
      </c>
      <c r="R153" s="115" t="str" cm="1">
        <f t="array" aca="1" ref="R153" ca="1">TRIM(SUBSTITUTE(_xlfn.ARRAYTOTEXT(IFERROR(CONCATENATE(SUMIF(INDIRECT("'"&amp;Assemblies!$B$2:$B$152&amp;"'!"&amp;"C$5:C1000"), $A153, INDIRECT("'"&amp;Assemblies!$B$2:$B$152&amp;"'!"&amp;"O$5:O1000")), "x",Assemblies!$B$2:$B$152,".",IF(SUMIF(INDIRECT("'"&amp;Assemblies!$B$2:$B$152&amp;"'!"&amp;"C$5:C1000"), $A153, INDIRECT("'"&amp;Assemblies!$B$2:$B$152&amp;"'!"&amp;"A$5:A1000"))=0,NA(),SUMIF(INDIRECT("'"&amp;Assemblies!$B$2:$B$152&amp;"'!"&amp;"C$5:C1000"), $A153, INDIRECT("'"&amp;Assemblies!$B$2:$B$152&amp;"'!"&amp;"A$5:A1000")))),"")), " ,", ""))</f>
        <v>,</v>
      </c>
      <c r="S153" s="56" t="s">
        <v>1382</v>
      </c>
      <c r="T153" s="2" t="s">
        <v>1382</v>
      </c>
      <c r="U153" s="2" t="s">
        <v>1382</v>
      </c>
      <c r="V153" s="2" t="s">
        <v>1382</v>
      </c>
    </row>
    <row r="154" spans="1:22" ht="12.75" hidden="1" customHeight="1">
      <c r="A154" s="133" t="s">
        <v>194</v>
      </c>
      <c r="B154" s="2" t="s">
        <v>2803</v>
      </c>
      <c r="C154" s="168"/>
      <c r="D154" s="5">
        <v>1</v>
      </c>
      <c r="E154" s="5" t="e" cm="1">
        <f t="array" aca="1" ref="E154" ca="1">SUMPRODUCT(SUMIF(INDIRECT("'"&amp;Assemblies[Assy]&amp;"'!"&amp;"C:C"),$A154,(INDIRECT("'"&amp;Assemblies[Assy]&amp;"'!"&amp;"O:O"))))</f>
        <v>#VALUE!</v>
      </c>
      <c r="F154" s="5" t="e">
        <f t="shared" ca="1" si="2"/>
        <v>#VALUE!</v>
      </c>
      <c r="G154" s="5"/>
      <c r="I154" s="117" t="s">
        <v>2804</v>
      </c>
      <c r="J154" s="117" t="s">
        <v>2635</v>
      </c>
      <c r="R154" s="115" t="str" cm="1">
        <f t="array" aca="1" ref="R154" ca="1">TRIM(SUBSTITUTE(_xlfn.ARRAYTOTEXT(IFERROR(CONCATENATE(SUMIF(INDIRECT("'"&amp;Assemblies!$B$2:$B$152&amp;"'!"&amp;"C$5:C1000"), $A154, INDIRECT("'"&amp;Assemblies!$B$2:$B$152&amp;"'!"&amp;"O$5:O1000")), "x",Assemblies!$B$2:$B$152,".",IF(SUMIF(INDIRECT("'"&amp;Assemblies!$B$2:$B$152&amp;"'!"&amp;"C$5:C1000"), $A154, INDIRECT("'"&amp;Assemblies!$B$2:$B$152&amp;"'!"&amp;"A$5:A1000"))=0,NA(),SUMIF(INDIRECT("'"&amp;Assemblies!$B$2:$B$152&amp;"'!"&amp;"C$5:C1000"), $A154, INDIRECT("'"&amp;Assemblies!$B$2:$B$152&amp;"'!"&amp;"A$5:A1000")))),"")), " ,", ""))</f>
        <v>,</v>
      </c>
      <c r="S154" s="56" t="s">
        <v>1382</v>
      </c>
      <c r="T154" s="2" t="s">
        <v>1382</v>
      </c>
      <c r="U154" s="2" t="s">
        <v>1382</v>
      </c>
      <c r="V154" s="2" t="s">
        <v>1382</v>
      </c>
    </row>
    <row r="155" spans="1:22" ht="12.75" customHeight="1">
      <c r="A155" s="133" t="s">
        <v>1244</v>
      </c>
      <c r="B155" s="2" t="s">
        <v>2805</v>
      </c>
      <c r="C155" s="168">
        <v>1.89</v>
      </c>
      <c r="D155" s="5">
        <v>1</v>
      </c>
      <c r="E155" s="5" t="e" cm="1">
        <f t="array" aca="1" ref="E155" ca="1">SUMPRODUCT(SUMIF(INDIRECT("'"&amp;Assemblies[Assy]&amp;"'!"&amp;"C:C"),$A155,(INDIRECT("'"&amp;Assemblies[Assy]&amp;"'!"&amp;"O:O"))))</f>
        <v>#VALUE!</v>
      </c>
      <c r="F155" s="5" t="e">
        <f t="shared" ca="1" si="2"/>
        <v>#VALUE!</v>
      </c>
      <c r="G155" s="5">
        <v>4</v>
      </c>
      <c r="H155" s="2">
        <v>4</v>
      </c>
      <c r="I155" s="117" t="s">
        <v>2806</v>
      </c>
      <c r="J155" s="117" t="s">
        <v>2806</v>
      </c>
      <c r="K155" s="135" t="s">
        <v>1382</v>
      </c>
      <c r="L155" s="2" t="s">
        <v>1382</v>
      </c>
      <c r="M155" s="8" t="s">
        <v>1762</v>
      </c>
      <c r="N155" s="8">
        <v>45162</v>
      </c>
      <c r="O155" s="8">
        <v>45184</v>
      </c>
      <c r="P155" s="8">
        <v>45184</v>
      </c>
      <c r="Q155" s="229">
        <v>55075</v>
      </c>
      <c r="R155" s="115" t="str" cm="1">
        <f t="array" aca="1" ref="R155" ca="1">TRIM(SUBSTITUTE(_xlfn.ARRAYTOTEXT(IFERROR(CONCATENATE(SUMIF(INDIRECT("'"&amp;Assemblies[Assy]&amp;"'!"&amp;"C$5:C1000"), $A155, INDIRECT("'"&amp;Assemblies[Assy]&amp;"'!"&amp;"O$5:O1000")), "x",Assemblies[Assy],".",IF(SUMIF(INDIRECT("'"&amp;Assemblies[Assy]&amp;"'!"&amp;"C$5:C1000"), $A155, INDIRECT("'"&amp;Assemblies[Assy]&amp;"'!"&amp;"A$5:A1000"))=0,NA(),SUMIF(INDIRECT("'"&amp;Assemblies[Assy]&amp;"'!"&amp;"C$5:C1000"), $A155, INDIRECT("'"&amp;Assemblies[Assy]&amp;"'!"&amp;"A$5:A1000")))),"")), " ,", ""))</f>
        <v>,</v>
      </c>
      <c r="S155" s="56" t="s">
        <v>1382</v>
      </c>
      <c r="T155" s="2" t="s">
        <v>1382</v>
      </c>
      <c r="U155" s="2" t="s">
        <v>1382</v>
      </c>
      <c r="V155" s="2" t="s">
        <v>1382</v>
      </c>
    </row>
    <row r="156" spans="1:22" ht="12.75" customHeight="1">
      <c r="A156" s="133" t="s">
        <v>1230</v>
      </c>
      <c r="B156" s="2" t="s">
        <v>2807</v>
      </c>
      <c r="C156" s="168">
        <v>3.4</v>
      </c>
      <c r="D156" s="5">
        <v>1</v>
      </c>
      <c r="E156" s="5" t="e" cm="1">
        <f t="array" aca="1" ref="E156" ca="1">SUMPRODUCT(SUMIF(INDIRECT("'"&amp;Assemblies[Assy]&amp;"'!"&amp;"C:C"),$A156,(INDIRECT("'"&amp;Assemblies[Assy]&amp;"'!"&amp;"O:O"))))</f>
        <v>#VALUE!</v>
      </c>
      <c r="F156" s="5" t="e">
        <f t="shared" ca="1" si="2"/>
        <v>#VALUE!</v>
      </c>
      <c r="G156" s="5">
        <v>12</v>
      </c>
      <c r="H156" s="2">
        <v>12</v>
      </c>
      <c r="I156" s="117" t="s">
        <v>2806</v>
      </c>
      <c r="J156" s="117" t="s">
        <v>2806</v>
      </c>
      <c r="K156" s="135" t="s">
        <v>1382</v>
      </c>
      <c r="L156" s="2" t="s">
        <v>1382</v>
      </c>
      <c r="M156" s="8" t="s">
        <v>1762</v>
      </c>
      <c r="N156" s="8">
        <v>45162</v>
      </c>
      <c r="O156" s="8">
        <v>45184</v>
      </c>
      <c r="P156" s="8">
        <v>45184</v>
      </c>
      <c r="Q156" s="229">
        <v>55075</v>
      </c>
      <c r="R156" s="115" t="str" cm="1">
        <f t="array" aca="1" ref="R156" ca="1">TRIM(SUBSTITUTE(_xlfn.ARRAYTOTEXT(IFERROR(CONCATENATE(SUMIF(INDIRECT("'"&amp;Assemblies[Assy]&amp;"'!"&amp;"C$5:C1000"), $A156, INDIRECT("'"&amp;Assemblies[Assy]&amp;"'!"&amp;"O$5:O1000")), "x",Assemblies[Assy],".",IF(SUMIF(INDIRECT("'"&amp;Assemblies[Assy]&amp;"'!"&amp;"C$5:C1000"), $A156, INDIRECT("'"&amp;Assemblies[Assy]&amp;"'!"&amp;"A$5:A1000"))=0,NA(),SUMIF(INDIRECT("'"&amp;Assemblies[Assy]&amp;"'!"&amp;"C$5:C1000"), $A156, INDIRECT("'"&amp;Assemblies[Assy]&amp;"'!"&amp;"A$5:A1000")))),"")), " ,", ""))</f>
        <v>,</v>
      </c>
      <c r="S156" s="56" t="s">
        <v>1382</v>
      </c>
      <c r="T156" s="2" t="s">
        <v>1382</v>
      </c>
      <c r="U156" s="2" t="s">
        <v>1382</v>
      </c>
      <c r="V156" s="2" t="s">
        <v>1382</v>
      </c>
    </row>
    <row r="157" spans="1:22" ht="12.75" customHeight="1">
      <c r="A157" s="133" t="s">
        <v>1231</v>
      </c>
      <c r="B157" s="2" t="s">
        <v>2808</v>
      </c>
      <c r="C157" s="168">
        <v>3.55</v>
      </c>
      <c r="D157" s="5">
        <v>1</v>
      </c>
      <c r="E157" s="5" t="e" cm="1">
        <f t="array" aca="1" ref="E157" ca="1">SUMPRODUCT(SUMIF(INDIRECT("'"&amp;Assemblies[Assy]&amp;"'!"&amp;"C:C"),$A157,(INDIRECT("'"&amp;Assemblies[Assy]&amp;"'!"&amp;"O:O"))))</f>
        <v>#VALUE!</v>
      </c>
      <c r="F157" s="5" t="e">
        <f t="shared" ca="1" si="2"/>
        <v>#VALUE!</v>
      </c>
      <c r="G157" s="5">
        <v>4</v>
      </c>
      <c r="H157" s="2">
        <v>4</v>
      </c>
      <c r="I157" s="117" t="s">
        <v>2806</v>
      </c>
      <c r="J157" s="117" t="s">
        <v>2806</v>
      </c>
      <c r="K157" s="135" t="s">
        <v>1382</v>
      </c>
      <c r="L157" s="2" t="s">
        <v>1382</v>
      </c>
      <c r="M157" s="8" t="s">
        <v>1762</v>
      </c>
      <c r="N157" s="8">
        <v>45162</v>
      </c>
      <c r="O157" s="8">
        <v>45184</v>
      </c>
      <c r="P157" s="8">
        <v>45184</v>
      </c>
      <c r="Q157" s="229">
        <v>55075</v>
      </c>
      <c r="R157" s="115" t="str" cm="1">
        <f t="array" aca="1" ref="R157" ca="1">TRIM(SUBSTITUTE(_xlfn.ARRAYTOTEXT(IFERROR(CONCATENATE(SUMIF(INDIRECT("'"&amp;Assemblies[Assy]&amp;"'!"&amp;"C$5:C1000"), $A157, INDIRECT("'"&amp;Assemblies[Assy]&amp;"'!"&amp;"O$5:O1000")), "x",Assemblies[Assy],".",IF(SUMIF(INDIRECT("'"&amp;Assemblies[Assy]&amp;"'!"&amp;"C$5:C1000"), $A157, INDIRECT("'"&amp;Assemblies[Assy]&amp;"'!"&amp;"A$5:A1000"))=0,NA(),SUMIF(INDIRECT("'"&amp;Assemblies[Assy]&amp;"'!"&amp;"C$5:C1000"), $A157, INDIRECT("'"&amp;Assemblies[Assy]&amp;"'!"&amp;"A$5:A1000")))),"")), " ,", ""))</f>
        <v>,</v>
      </c>
      <c r="S157" s="56" t="s">
        <v>1382</v>
      </c>
      <c r="T157" s="2" t="s">
        <v>1382</v>
      </c>
      <c r="U157" s="2" t="s">
        <v>1382</v>
      </c>
      <c r="V157" s="2" t="s">
        <v>1382</v>
      </c>
    </row>
    <row r="158" spans="1:22" ht="12.75" customHeight="1">
      <c r="A158" s="133" t="s">
        <v>359</v>
      </c>
      <c r="B158" s="2" t="s">
        <v>2809</v>
      </c>
      <c r="C158" s="168"/>
      <c r="D158" s="5">
        <v>1</v>
      </c>
      <c r="E158" s="5" t="e" cm="1">
        <f t="array" aca="1" ref="E158" ca="1">SUMPRODUCT(SUMIF(INDIRECT("'"&amp;Assemblies[Assy]&amp;"'!"&amp;"C:C"),$A158,(INDIRECT("'"&amp;Assemblies[Assy]&amp;"'!"&amp;"O:O"))))</f>
        <v>#VALUE!</v>
      </c>
      <c r="F158" s="5" t="e">
        <f t="shared" ca="1" si="2"/>
        <v>#VALUE!</v>
      </c>
      <c r="G158" s="5">
        <v>22</v>
      </c>
      <c r="H158" s="2">
        <v>22</v>
      </c>
      <c r="I158" s="117" t="s">
        <v>2806</v>
      </c>
      <c r="J158" s="117" t="s">
        <v>2806</v>
      </c>
      <c r="M158" s="8" t="s">
        <v>1762</v>
      </c>
      <c r="N158" s="8">
        <v>45205</v>
      </c>
      <c r="O158" s="8">
        <v>45219</v>
      </c>
      <c r="P158" s="8">
        <v>45225</v>
      </c>
      <c r="Q158" s="229">
        <v>55195</v>
      </c>
      <c r="R158" s="115" t="str" cm="1">
        <f t="array" aca="1" ref="R158" ca="1">TRIM(SUBSTITUTE(_xlfn.ARRAYTOTEXT(IFERROR(CONCATENATE(SUMIF(INDIRECT("'"&amp;Assemblies!$B$2:$B$152&amp;"'!"&amp;"C$5:C1000"), $A158, INDIRECT("'"&amp;Assemblies!$B$2:$B$152&amp;"'!"&amp;"O$5:O1000")), "x",Assemblies!$B$2:$B$152,".",IF(SUMIF(INDIRECT("'"&amp;Assemblies!$B$2:$B$152&amp;"'!"&amp;"C$5:C1000"), $A158, INDIRECT("'"&amp;Assemblies!$B$2:$B$152&amp;"'!"&amp;"A$5:A1000"))=0,NA(),SUMIF(INDIRECT("'"&amp;Assemblies!$B$2:$B$152&amp;"'!"&amp;"C$5:C1000"), $A158, INDIRECT("'"&amp;Assemblies!$B$2:$B$152&amp;"'!"&amp;"A$5:A1000")))),"")), " ,", ""))</f>
        <v>,</v>
      </c>
      <c r="S158" s="56" t="s">
        <v>1382</v>
      </c>
      <c r="T158" s="2" t="s">
        <v>1382</v>
      </c>
      <c r="U158" s="2" t="s">
        <v>1382</v>
      </c>
      <c r="V158" s="2" t="s">
        <v>1382</v>
      </c>
    </row>
    <row r="159" spans="1:22" ht="12.75" customHeight="1">
      <c r="A159" s="133" t="s">
        <v>2810</v>
      </c>
      <c r="B159" s="2" t="s">
        <v>2811</v>
      </c>
      <c r="C159" s="203">
        <v>11.44</v>
      </c>
      <c r="D159" s="5">
        <v>1</v>
      </c>
      <c r="E159" s="5" cm="1">
        <f t="array" aca="1" ref="E159" ca="1">SUMPRODUCT(SUMIF(INDIRECT("'"&amp;Assemblies[Assy]&amp;"'!"&amp;"C:C"),$A159,(INDIRECT("'"&amp;Assemblies[Assy]&amp;"'!"&amp;"O:O"))))</f>
        <v>0</v>
      </c>
      <c r="F159" s="5">
        <f t="shared" ca="1" si="2"/>
        <v>0</v>
      </c>
      <c r="G159" s="5">
        <v>4</v>
      </c>
      <c r="H159" s="2">
        <v>4</v>
      </c>
      <c r="I159" s="117" t="s">
        <v>2806</v>
      </c>
      <c r="J159" s="117" t="s">
        <v>2806</v>
      </c>
      <c r="K159" s="135" t="s">
        <v>1382</v>
      </c>
      <c r="L159" s="2" t="s">
        <v>1382</v>
      </c>
      <c r="M159" s="8">
        <v>45083</v>
      </c>
      <c r="N159" s="8">
        <v>45084</v>
      </c>
      <c r="O159" s="8">
        <v>45103</v>
      </c>
      <c r="P159" s="8">
        <v>45103</v>
      </c>
      <c r="Q159" s="229">
        <v>54922</v>
      </c>
      <c r="R159" s="115" t="str" cm="1">
        <f t="array" aca="1" ref="R159" ca="1">TRIM(SUBSTITUTE(_xlfn.ARRAYTOTEXT(IFERROR(CONCATENATE(SUMIF(INDIRECT("'"&amp;Assemblies[Assy]&amp;"'!"&amp;"C$5:C1000"), $A159, INDIRECT("'"&amp;Assemblies[Assy]&amp;"'!"&amp;"O$5:O1000")), "x",Assemblies[Assy],".",IF(SUMIF(INDIRECT("'"&amp;Assemblies[Assy]&amp;"'!"&amp;"C$5:C1000"), $A159, INDIRECT("'"&amp;Assemblies[Assy]&amp;"'!"&amp;"A$5:A1000"))=0,NA(),SUMIF(INDIRECT("'"&amp;Assemblies[Assy]&amp;"'!"&amp;"C$5:C1000"), $A159, INDIRECT("'"&amp;Assemblies[Assy]&amp;"'!"&amp;"A$5:A1000")))),"")), " ,", ""))</f>
        <v>,</v>
      </c>
      <c r="S159" s="56" t="s">
        <v>1382</v>
      </c>
      <c r="T159" s="2" t="s">
        <v>1382</v>
      </c>
      <c r="U159" s="2" t="s">
        <v>1382</v>
      </c>
      <c r="V159" s="2" t="s">
        <v>1382</v>
      </c>
    </row>
    <row r="160" spans="1:22" ht="12.75" customHeight="1">
      <c r="A160" s="133" t="s">
        <v>539</v>
      </c>
      <c r="B160" s="2" t="s">
        <v>2812</v>
      </c>
      <c r="C160" s="168">
        <v>14.16</v>
      </c>
      <c r="D160" s="5">
        <v>1</v>
      </c>
      <c r="E160" s="5" t="e" cm="1">
        <f t="array" aca="1" ref="E160" ca="1">SUMPRODUCT(SUMIF(INDIRECT("'"&amp;Assemblies[Assy]&amp;"'!"&amp;"C:C"),$A160,(INDIRECT("'"&amp;Assemblies[Assy]&amp;"'!"&amp;"O:O"))))</f>
        <v>#VALUE!</v>
      </c>
      <c r="F160" s="5" t="e">
        <f t="shared" ca="1" si="2"/>
        <v>#VALUE!</v>
      </c>
      <c r="G160" s="5">
        <v>4</v>
      </c>
      <c r="H160" s="2">
        <v>4</v>
      </c>
      <c r="I160" s="117" t="s">
        <v>2813</v>
      </c>
      <c r="J160" s="117" t="s">
        <v>2813</v>
      </c>
      <c r="K160" s="135" t="s">
        <v>1382</v>
      </c>
      <c r="L160" s="2" t="s">
        <v>1382</v>
      </c>
      <c r="M160" s="8" t="s">
        <v>1762</v>
      </c>
      <c r="N160" s="8">
        <v>45169</v>
      </c>
      <c r="O160" s="8">
        <v>45184</v>
      </c>
      <c r="P160" s="8">
        <v>45184</v>
      </c>
      <c r="Q160" s="229">
        <v>55121</v>
      </c>
      <c r="R160" s="115" t="str" cm="1">
        <f t="array" aca="1" ref="R160" ca="1">TRIM(SUBSTITUTE(_xlfn.ARRAYTOTEXT(IFERROR(CONCATENATE(SUMIF(INDIRECT("'"&amp;Assemblies[Assy]&amp;"'!"&amp;"C$5:C1000"), $A160, INDIRECT("'"&amp;Assemblies[Assy]&amp;"'!"&amp;"O$5:O1000")), "x",Assemblies[Assy],".",IF(SUMIF(INDIRECT("'"&amp;Assemblies[Assy]&amp;"'!"&amp;"C$5:C1000"), $A160, INDIRECT("'"&amp;Assemblies[Assy]&amp;"'!"&amp;"A$5:A1000"))=0,NA(),SUMIF(INDIRECT("'"&amp;Assemblies[Assy]&amp;"'!"&amp;"C$5:C1000"), $A160, INDIRECT("'"&amp;Assemblies[Assy]&amp;"'!"&amp;"A$5:A1000")))),"")), " ,", ""))</f>
        <v>,</v>
      </c>
    </row>
    <row r="161" spans="1:22" ht="12.75" customHeight="1">
      <c r="A161" s="133" t="s">
        <v>255</v>
      </c>
      <c r="B161" s="2" t="s">
        <v>2814</v>
      </c>
      <c r="C161" s="203">
        <v>20.38</v>
      </c>
      <c r="D161" s="5">
        <v>1</v>
      </c>
      <c r="E161" s="5" t="e" cm="1">
        <f t="array" aca="1" ref="E161" ca="1">SUMPRODUCT(SUMIF(INDIRECT("'"&amp;Assemblies[Assy]&amp;"'!"&amp;"C:C"),$A161,(INDIRECT("'"&amp;Assemblies[Assy]&amp;"'!"&amp;"O:O"))))</f>
        <v>#VALUE!</v>
      </c>
      <c r="F161" s="5" t="e">
        <f t="shared" ca="1" si="2"/>
        <v>#VALUE!</v>
      </c>
      <c r="G161" s="5">
        <v>50</v>
      </c>
      <c r="H161" s="2">
        <v>50</v>
      </c>
      <c r="I161" s="117" t="s">
        <v>2806</v>
      </c>
      <c r="J161" s="117" t="s">
        <v>2806</v>
      </c>
      <c r="K161" s="135" t="s">
        <v>1382</v>
      </c>
      <c r="L161" s="2" t="s">
        <v>1382</v>
      </c>
      <c r="M161" s="8">
        <v>45083</v>
      </c>
      <c r="N161" s="8">
        <v>45084</v>
      </c>
      <c r="O161" s="8">
        <v>45168</v>
      </c>
      <c r="P161" s="8">
        <v>45168</v>
      </c>
      <c r="Q161" s="229" t="s">
        <v>2815</v>
      </c>
      <c r="R161" s="115" t="str" cm="1">
        <f t="array" aca="1" ref="R161" ca="1">TRIM(SUBSTITUTE(_xlfn.ARRAYTOTEXT(IFERROR(CONCATENATE(SUMIF(INDIRECT("'"&amp;Assemblies[Assy]&amp;"'!"&amp;"C$5:C1000"), $A161, INDIRECT("'"&amp;Assemblies[Assy]&amp;"'!"&amp;"O$5:O1000")), "x",Assemblies[Assy],".",IF(SUMIF(INDIRECT("'"&amp;Assemblies[Assy]&amp;"'!"&amp;"C$5:C1000"), $A161, INDIRECT("'"&amp;Assemblies[Assy]&amp;"'!"&amp;"A$5:A1000"))=0,NA(),SUMIF(INDIRECT("'"&amp;Assemblies[Assy]&amp;"'!"&amp;"C$5:C1000"), $A161, INDIRECT("'"&amp;Assemblies[Assy]&amp;"'!"&amp;"A$5:A1000")))),"")), " ,", ""))</f>
        <v>,</v>
      </c>
      <c r="S161" s="56" t="s">
        <v>1382</v>
      </c>
      <c r="T161" s="2" t="s">
        <v>1382</v>
      </c>
      <c r="U161" s="2" t="s">
        <v>1382</v>
      </c>
      <c r="V161" s="2" t="s">
        <v>1382</v>
      </c>
    </row>
    <row r="162" spans="1:22" ht="12.75" customHeight="1">
      <c r="A162" s="133" t="s">
        <v>1311</v>
      </c>
      <c r="B162" s="2" t="s">
        <v>2816</v>
      </c>
      <c r="C162" s="203">
        <v>1.68</v>
      </c>
      <c r="D162" s="5">
        <v>1</v>
      </c>
      <c r="E162" s="5" t="e" cm="1">
        <f t="array" aca="1" ref="E162" ca="1">SUMPRODUCT(SUMIF(INDIRECT("'"&amp;Assemblies[Assy]&amp;"'!"&amp;"C:C"),$A162,(INDIRECT("'"&amp;Assemblies[Assy]&amp;"'!"&amp;"O:O"))))</f>
        <v>#VALUE!</v>
      </c>
      <c r="F162" s="5" t="e">
        <f t="shared" ca="1" si="2"/>
        <v>#VALUE!</v>
      </c>
      <c r="G162" s="5">
        <v>4</v>
      </c>
      <c r="H162" s="2">
        <v>4</v>
      </c>
      <c r="I162" s="117" t="s">
        <v>2806</v>
      </c>
      <c r="J162" s="117" t="s">
        <v>2806</v>
      </c>
      <c r="K162" s="135" t="s">
        <v>1382</v>
      </c>
      <c r="L162" s="2" t="s">
        <v>1779</v>
      </c>
      <c r="M162" s="8" t="s">
        <v>1762</v>
      </c>
      <c r="N162" s="8">
        <v>45162</v>
      </c>
      <c r="O162" s="8">
        <v>45184</v>
      </c>
      <c r="P162" s="8">
        <v>45184</v>
      </c>
      <c r="Q162" s="229">
        <v>55075</v>
      </c>
      <c r="R162" s="115" t="str" cm="1">
        <f t="array" aca="1" ref="R162" ca="1">TRIM(SUBSTITUTE(_xlfn.ARRAYTOTEXT(IFERROR(CONCATENATE(SUMIF(INDIRECT("'"&amp;Assemblies[Assy]&amp;"'!"&amp;"C$5:C1000"), $A162, INDIRECT("'"&amp;Assemblies[Assy]&amp;"'!"&amp;"O$5:O1000")), "x",Assemblies[Assy],".",IF(SUMIF(INDIRECT("'"&amp;Assemblies[Assy]&amp;"'!"&amp;"C$5:C1000"), $A162, INDIRECT("'"&amp;Assemblies[Assy]&amp;"'!"&amp;"A$5:A1000"))=0,NA(),SUMIF(INDIRECT("'"&amp;Assemblies[Assy]&amp;"'!"&amp;"C$5:C1000"), $A162, INDIRECT("'"&amp;Assemblies[Assy]&amp;"'!"&amp;"A$5:A1000")))),"")), " ,", ""))</f>
        <v>,</v>
      </c>
      <c r="S162" s="56" t="s">
        <v>1382</v>
      </c>
      <c r="T162" s="2" t="s">
        <v>1382</v>
      </c>
      <c r="U162" s="2" t="s">
        <v>1382</v>
      </c>
      <c r="V162" s="2" t="s">
        <v>1382</v>
      </c>
    </row>
    <row r="163" spans="1:22" ht="12.75" customHeight="1">
      <c r="A163" s="133" t="s">
        <v>823</v>
      </c>
      <c r="B163" s="2" t="s">
        <v>2817</v>
      </c>
      <c r="C163" s="168">
        <v>16.350000000000001</v>
      </c>
      <c r="D163" s="5">
        <v>1</v>
      </c>
      <c r="E163" s="5" t="e" cm="1">
        <f t="array" aca="1" ref="E163" ca="1">SUMPRODUCT(SUMIF(INDIRECT("'"&amp;Assemblies[Assy]&amp;"'!"&amp;"C:C"),$A163,(INDIRECT("'"&amp;Assemblies[Assy]&amp;"'!"&amp;"O:O"))))</f>
        <v>#VALUE!</v>
      </c>
      <c r="F163" s="5" t="e">
        <f t="shared" ca="1" si="2"/>
        <v>#VALUE!</v>
      </c>
      <c r="G163" s="5">
        <v>4</v>
      </c>
      <c r="H163" s="2">
        <v>4</v>
      </c>
      <c r="I163" s="117" t="s">
        <v>2806</v>
      </c>
      <c r="J163" s="117" t="s">
        <v>2806</v>
      </c>
      <c r="K163" s="135" t="s">
        <v>1382</v>
      </c>
      <c r="L163" s="2" t="s">
        <v>1382</v>
      </c>
      <c r="M163" s="8" t="s">
        <v>1762</v>
      </c>
      <c r="N163" s="8">
        <v>45162</v>
      </c>
      <c r="O163" s="8">
        <v>45184</v>
      </c>
      <c r="P163" s="8">
        <v>45184</v>
      </c>
      <c r="Q163" s="229">
        <v>55075</v>
      </c>
      <c r="R163" s="115" t="str" cm="1">
        <f t="array" aca="1" ref="R163" ca="1">TRIM(SUBSTITUTE(_xlfn.ARRAYTOTEXT(IFERROR(CONCATENATE(SUMIF(INDIRECT("'"&amp;Assemblies[Assy]&amp;"'!"&amp;"C$5:C1000"), $A163, INDIRECT("'"&amp;Assemblies[Assy]&amp;"'!"&amp;"O$5:O1000")), "x",Assemblies[Assy],".",IF(SUMIF(INDIRECT("'"&amp;Assemblies[Assy]&amp;"'!"&amp;"C$5:C1000"), $A163, INDIRECT("'"&amp;Assemblies[Assy]&amp;"'!"&amp;"A$5:A1000"))=0,NA(),SUMIF(INDIRECT("'"&amp;Assemblies[Assy]&amp;"'!"&amp;"C$5:C1000"), $A163, INDIRECT("'"&amp;Assemblies[Assy]&amp;"'!"&amp;"A$5:A1000")))),"")), " ,", ""))</f>
        <v>,</v>
      </c>
      <c r="S163" s="56" t="s">
        <v>1382</v>
      </c>
      <c r="T163" s="2" t="s">
        <v>1382</v>
      </c>
      <c r="U163" s="2" t="s">
        <v>1382</v>
      </c>
      <c r="V163" s="2" t="s">
        <v>1382</v>
      </c>
    </row>
    <row r="164" spans="1:22" ht="12.75" customHeight="1">
      <c r="A164" s="133" t="s">
        <v>1021</v>
      </c>
      <c r="B164" s="2" t="s">
        <v>2818</v>
      </c>
      <c r="C164" s="168">
        <v>39.72</v>
      </c>
      <c r="D164" s="5">
        <v>1</v>
      </c>
      <c r="E164" s="5" t="e" cm="1">
        <f t="array" aca="1" ref="E164" ca="1">SUMPRODUCT(SUMIF(INDIRECT("'"&amp;Assemblies[Assy]&amp;"'!"&amp;"C:C"),$A164,(INDIRECT("'"&amp;Assemblies[Assy]&amp;"'!"&amp;"O:O"))))</f>
        <v>#VALUE!</v>
      </c>
      <c r="F164" s="5" t="e">
        <f t="shared" ca="1" si="2"/>
        <v>#VALUE!</v>
      </c>
      <c r="G164" s="5">
        <v>14</v>
      </c>
      <c r="H164" s="2">
        <v>14</v>
      </c>
      <c r="I164" s="117" t="s">
        <v>2806</v>
      </c>
      <c r="J164" s="117" t="s">
        <v>2806</v>
      </c>
      <c r="K164" s="135" t="s">
        <v>1382</v>
      </c>
      <c r="L164" s="2" t="s">
        <v>1779</v>
      </c>
      <c r="M164" s="8">
        <v>45125</v>
      </c>
      <c r="N164" s="8">
        <v>45162</v>
      </c>
      <c r="O164" s="8">
        <v>45184</v>
      </c>
      <c r="P164" s="8">
        <v>45184</v>
      </c>
      <c r="Q164" s="229">
        <v>55036</v>
      </c>
      <c r="R164" s="115" t="str" cm="1">
        <f t="array" aca="1" ref="R164" ca="1">TRIM(SUBSTITUTE(_xlfn.ARRAYTOTEXT(IFERROR(CONCATENATE(SUMIF(INDIRECT("'"&amp;Assemblies[Assy]&amp;"'!"&amp;"C$5:C1000"), $A164, INDIRECT("'"&amp;Assemblies[Assy]&amp;"'!"&amp;"O$5:O1000")), "x",Assemblies[Assy],".",IF(SUMIF(INDIRECT("'"&amp;Assemblies[Assy]&amp;"'!"&amp;"C$5:C1000"), $A164, INDIRECT("'"&amp;Assemblies[Assy]&amp;"'!"&amp;"A$5:A1000"))=0,NA(),SUMIF(INDIRECT("'"&amp;Assemblies[Assy]&amp;"'!"&amp;"C$5:C1000"), $A164, INDIRECT("'"&amp;Assemblies[Assy]&amp;"'!"&amp;"A$5:A1000")))),"")), " ,", ""))</f>
        <v>,</v>
      </c>
      <c r="S164" s="56" t="s">
        <v>1382</v>
      </c>
      <c r="T164" s="2" t="s">
        <v>1382</v>
      </c>
      <c r="U164" s="2" t="s">
        <v>1382</v>
      </c>
      <c r="V164" s="2" t="s">
        <v>1382</v>
      </c>
    </row>
    <row r="165" spans="1:22" ht="12.75" customHeight="1">
      <c r="A165" s="133" t="s">
        <v>488</v>
      </c>
      <c r="B165" s="2" t="s">
        <v>2819</v>
      </c>
      <c r="C165" s="168"/>
      <c r="D165" s="5">
        <v>1</v>
      </c>
      <c r="E165" s="5" t="e" cm="1">
        <f t="array" aca="1" ref="E165" ca="1">SUMPRODUCT(SUMIF(INDIRECT("'"&amp;Assemblies[Assy]&amp;"'!"&amp;"C:C"),$A165,(INDIRECT("'"&amp;Assemblies[Assy]&amp;"'!"&amp;"O:O"))))</f>
        <v>#VALUE!</v>
      </c>
      <c r="F165" s="5" t="e">
        <f t="shared" ca="1" si="2"/>
        <v>#VALUE!</v>
      </c>
      <c r="G165" s="5">
        <v>3</v>
      </c>
      <c r="H165" s="2">
        <v>3</v>
      </c>
      <c r="I165" s="117" t="s">
        <v>2806</v>
      </c>
      <c r="J165" s="117" t="s">
        <v>2806</v>
      </c>
      <c r="M165" s="8">
        <v>45205</v>
      </c>
      <c r="N165" s="8">
        <v>45205</v>
      </c>
      <c r="O165" s="8">
        <v>45219</v>
      </c>
      <c r="P165" s="8">
        <v>45225</v>
      </c>
      <c r="Q165" s="229">
        <v>55195</v>
      </c>
      <c r="R165" s="115" t="str" cm="1">
        <f t="array" aca="1" ref="R165" ca="1">TRIM(SUBSTITUTE(_xlfn.ARRAYTOTEXT(IFERROR(CONCATENATE(SUMIF(INDIRECT("'"&amp;Assemblies!$B$2:$B$152&amp;"'!"&amp;"C$5:C1000"), $A165, INDIRECT("'"&amp;Assemblies!$B$2:$B$152&amp;"'!"&amp;"O$5:O1000")), "x",Assemblies!$B$2:$B$152,".",IF(SUMIF(INDIRECT("'"&amp;Assemblies!$B$2:$B$152&amp;"'!"&amp;"C$5:C1000"), $A165, INDIRECT("'"&amp;Assemblies!$B$2:$B$152&amp;"'!"&amp;"A$5:A1000"))=0,NA(),SUMIF(INDIRECT("'"&amp;Assemblies!$B$2:$B$152&amp;"'!"&amp;"C$5:C1000"), $A165, INDIRECT("'"&amp;Assemblies!$B$2:$B$152&amp;"'!"&amp;"A$5:A1000")))),"")), " ,", ""))</f>
        <v>,</v>
      </c>
      <c r="S165" s="56" t="s">
        <v>1382</v>
      </c>
      <c r="T165" s="2" t="s">
        <v>1382</v>
      </c>
      <c r="U165" s="2" t="s">
        <v>1382</v>
      </c>
      <c r="V165" s="2" t="s">
        <v>1382</v>
      </c>
    </row>
    <row r="166" spans="1:22" ht="12.75" customHeight="1">
      <c r="A166" s="133" t="s">
        <v>1026</v>
      </c>
      <c r="B166" s="2" t="s">
        <v>2820</v>
      </c>
      <c r="C166" s="168"/>
      <c r="D166" s="5">
        <v>1</v>
      </c>
      <c r="E166" s="5" t="e" cm="1">
        <f t="array" aca="1" ref="E166" ca="1">SUMPRODUCT(SUMIF(INDIRECT("'"&amp;Assemblies[Assy]&amp;"'!"&amp;"C:C"),$A166,(INDIRECT("'"&amp;Assemblies[Assy]&amp;"'!"&amp;"O:O"))))</f>
        <v>#VALUE!</v>
      </c>
      <c r="F166" s="5" t="e">
        <f t="shared" ca="1" si="2"/>
        <v>#VALUE!</v>
      </c>
      <c r="G166" s="5">
        <v>4</v>
      </c>
      <c r="H166" s="2">
        <v>4</v>
      </c>
      <c r="I166" s="117" t="s">
        <v>2806</v>
      </c>
      <c r="J166" s="117" t="s">
        <v>2806</v>
      </c>
      <c r="M166" s="8">
        <v>45205</v>
      </c>
      <c r="N166" s="8">
        <v>45205</v>
      </c>
      <c r="O166" s="8">
        <v>45219</v>
      </c>
      <c r="P166" s="8">
        <v>45225</v>
      </c>
      <c r="Q166" s="229">
        <v>55195</v>
      </c>
      <c r="R166" s="115" t="str" cm="1">
        <f t="array" aca="1" ref="R166" ca="1">TRIM(SUBSTITUTE(_xlfn.ARRAYTOTEXT(IFERROR(CONCATENATE(SUMIF(INDIRECT("'"&amp;Assemblies!$B$2:$B$152&amp;"'!"&amp;"C$5:C1000"), $A166, INDIRECT("'"&amp;Assemblies!$B$2:$B$152&amp;"'!"&amp;"O$5:O1000")), "x",Assemblies!$B$2:$B$152,".",IF(SUMIF(INDIRECT("'"&amp;Assemblies!$B$2:$B$152&amp;"'!"&amp;"C$5:C1000"), $A166, INDIRECT("'"&amp;Assemblies!$B$2:$B$152&amp;"'!"&amp;"A$5:A1000"))=0,NA(),SUMIF(INDIRECT("'"&amp;Assemblies!$B$2:$B$152&amp;"'!"&amp;"C$5:C1000"), $A166, INDIRECT("'"&amp;Assemblies!$B$2:$B$152&amp;"'!"&amp;"A$5:A1000")))),"")), " ,", ""))</f>
        <v>,</v>
      </c>
      <c r="S166" s="56" t="s">
        <v>1382</v>
      </c>
      <c r="T166" s="2" t="s">
        <v>1382</v>
      </c>
      <c r="U166" s="2" t="s">
        <v>1382</v>
      </c>
      <c r="V166" s="2" t="s">
        <v>1382</v>
      </c>
    </row>
    <row r="167" spans="1:22" ht="12.75" customHeight="1">
      <c r="A167" s="133" t="s">
        <v>1129</v>
      </c>
      <c r="B167" s="2" t="s">
        <v>2821</v>
      </c>
      <c r="C167" s="168"/>
      <c r="D167" s="5">
        <v>1</v>
      </c>
      <c r="E167" s="5" t="e" cm="1">
        <f t="array" aca="1" ref="E167" ca="1">SUMPRODUCT(SUMIF(INDIRECT("'"&amp;Assemblies[Assy]&amp;"'!"&amp;"C:C"),$A167,(INDIRECT("'"&amp;Assemblies[Assy]&amp;"'!"&amp;"O:O"))))</f>
        <v>#VALUE!</v>
      </c>
      <c r="F167" s="5" t="e">
        <f t="shared" ca="1" si="2"/>
        <v>#VALUE!</v>
      </c>
      <c r="G167" s="5">
        <v>3</v>
      </c>
      <c r="H167" s="2">
        <v>3</v>
      </c>
      <c r="I167" s="117" t="s">
        <v>2806</v>
      </c>
      <c r="J167" s="117" t="s">
        <v>2806</v>
      </c>
      <c r="M167" s="8">
        <v>45205</v>
      </c>
      <c r="N167" s="8">
        <v>45205</v>
      </c>
      <c r="O167" s="8">
        <v>45219</v>
      </c>
      <c r="P167" s="8">
        <v>45225</v>
      </c>
      <c r="Q167" s="229">
        <v>55195</v>
      </c>
      <c r="R167" s="115" t="str" cm="1">
        <f t="array" aca="1" ref="R167" ca="1">TRIM(SUBSTITUTE(_xlfn.ARRAYTOTEXT(IFERROR(CONCATENATE(SUMIF(INDIRECT("'"&amp;Assemblies!$B$2:$B$152&amp;"'!"&amp;"C$5:C1000"), $A167, INDIRECT("'"&amp;Assemblies!$B$2:$B$152&amp;"'!"&amp;"O$5:O1000")), "x",Assemblies!$B$2:$B$152,".",IF(SUMIF(INDIRECT("'"&amp;Assemblies!$B$2:$B$152&amp;"'!"&amp;"C$5:C1000"), $A167, INDIRECT("'"&amp;Assemblies!$B$2:$B$152&amp;"'!"&amp;"A$5:A1000"))=0,NA(),SUMIF(INDIRECT("'"&amp;Assemblies!$B$2:$B$152&amp;"'!"&amp;"C$5:C1000"), $A167, INDIRECT("'"&amp;Assemblies!$B$2:$B$152&amp;"'!"&amp;"A$5:A1000")))),"")), " ,", ""))</f>
        <v>,</v>
      </c>
      <c r="S167" s="56" t="s">
        <v>1382</v>
      </c>
      <c r="T167" s="2" t="s">
        <v>1382</v>
      </c>
      <c r="U167" s="2" t="s">
        <v>1382</v>
      </c>
      <c r="V167" s="2" t="s">
        <v>1382</v>
      </c>
    </row>
    <row r="168" spans="1:22" ht="12.75" customHeight="1">
      <c r="A168" s="133" t="s">
        <v>766</v>
      </c>
      <c r="B168" s="2" t="s">
        <v>2822</v>
      </c>
      <c r="C168" s="168"/>
      <c r="D168" s="5">
        <v>1</v>
      </c>
      <c r="E168" s="5" t="e" cm="1">
        <f t="array" aca="1" ref="E168" ca="1">SUMPRODUCT(SUMIF(INDIRECT("'"&amp;Assemblies[Assy]&amp;"'!"&amp;"C:C"),$A168,(INDIRECT("'"&amp;Assemblies[Assy]&amp;"'!"&amp;"O:O"))))</f>
        <v>#VALUE!</v>
      </c>
      <c r="F168" s="5" t="e">
        <f t="shared" ca="1" si="2"/>
        <v>#VALUE!</v>
      </c>
      <c r="G168" s="5">
        <v>1</v>
      </c>
      <c r="H168" s="2">
        <v>1</v>
      </c>
      <c r="I168" s="117" t="s">
        <v>2806</v>
      </c>
      <c r="J168" s="117" t="s">
        <v>2806</v>
      </c>
      <c r="M168" s="8">
        <v>45205</v>
      </c>
      <c r="N168" s="8">
        <v>45205</v>
      </c>
      <c r="O168" s="8">
        <v>45219</v>
      </c>
      <c r="P168" s="8">
        <v>45225</v>
      </c>
      <c r="Q168" s="229">
        <v>55195</v>
      </c>
      <c r="R168" s="115" t="str" cm="1">
        <f t="array" aca="1" ref="R168" ca="1">TRIM(SUBSTITUTE(_xlfn.ARRAYTOTEXT(IFERROR(CONCATENATE(SUMIF(INDIRECT("'"&amp;Assemblies!$B$2:$B$152&amp;"'!"&amp;"C$5:C1000"), $A168, INDIRECT("'"&amp;Assemblies!$B$2:$B$152&amp;"'!"&amp;"O$5:O1000")), "x",Assemblies!$B$2:$B$152,".",IF(SUMIF(INDIRECT("'"&amp;Assemblies!$B$2:$B$152&amp;"'!"&amp;"C$5:C1000"), $A168, INDIRECT("'"&amp;Assemblies!$B$2:$B$152&amp;"'!"&amp;"A$5:A1000"))=0,NA(),SUMIF(INDIRECT("'"&amp;Assemblies!$B$2:$B$152&amp;"'!"&amp;"C$5:C1000"), $A168, INDIRECT("'"&amp;Assemblies!$B$2:$B$152&amp;"'!"&amp;"A$5:A1000")))),"")), " ,", ""))</f>
        <v>,</v>
      </c>
      <c r="S168" s="56" t="s">
        <v>1382</v>
      </c>
      <c r="T168" s="2" t="s">
        <v>1382</v>
      </c>
      <c r="U168" s="2" t="s">
        <v>1382</v>
      </c>
      <c r="V168" s="2" t="s">
        <v>1382</v>
      </c>
    </row>
    <row r="169" spans="1:22" ht="12.75" customHeight="1">
      <c r="A169" s="133" t="s">
        <v>489</v>
      </c>
      <c r="B169" s="2" t="s">
        <v>2823</v>
      </c>
      <c r="C169" s="168">
        <v>24.93</v>
      </c>
      <c r="D169" s="5">
        <v>1</v>
      </c>
      <c r="E169" s="5" t="e" cm="1">
        <f t="array" aca="1" ref="E169" ca="1">SUMPRODUCT(SUMIF(INDIRECT("'"&amp;Assemblies[Assy]&amp;"'!"&amp;"C:C"),$A169,(INDIRECT("'"&amp;Assemblies[Assy]&amp;"'!"&amp;"O:O"))))</f>
        <v>#VALUE!</v>
      </c>
      <c r="F169" s="5" t="e">
        <f t="shared" ca="1" si="2"/>
        <v>#VALUE!</v>
      </c>
      <c r="G169" s="5">
        <v>8</v>
      </c>
      <c r="H169" s="2">
        <v>8</v>
      </c>
      <c r="I169" s="117" t="s">
        <v>2806</v>
      </c>
      <c r="J169" s="117" t="s">
        <v>2806</v>
      </c>
      <c r="K169" s="135" t="s">
        <v>1382</v>
      </c>
      <c r="L169" s="2" t="s">
        <v>1382</v>
      </c>
      <c r="M169" s="8">
        <v>45125</v>
      </c>
      <c r="N169" s="8">
        <v>45162</v>
      </c>
      <c r="O169" s="8">
        <v>45184</v>
      </c>
      <c r="P169" s="8">
        <v>45184</v>
      </c>
      <c r="Q169" s="229">
        <v>55036</v>
      </c>
      <c r="R169" s="115" t="str" cm="1">
        <f t="array" aca="1" ref="R169" ca="1">TRIM(SUBSTITUTE(_xlfn.ARRAYTOTEXT(IFERROR(CONCATENATE(SUMIF(INDIRECT("'"&amp;Assemblies[Assy]&amp;"'!"&amp;"C$5:C1000"), $A169, INDIRECT("'"&amp;Assemblies[Assy]&amp;"'!"&amp;"O$5:O1000")), "x",Assemblies[Assy],".",IF(SUMIF(INDIRECT("'"&amp;Assemblies[Assy]&amp;"'!"&amp;"C$5:C1000"), $A169, INDIRECT("'"&amp;Assemblies[Assy]&amp;"'!"&amp;"A$5:A1000"))=0,NA(),SUMIF(INDIRECT("'"&amp;Assemblies[Assy]&amp;"'!"&amp;"C$5:C1000"), $A169, INDIRECT("'"&amp;Assemblies[Assy]&amp;"'!"&amp;"A$5:A1000")))),"")), " ,", ""))</f>
        <v>,</v>
      </c>
      <c r="S169" s="56" t="s">
        <v>1382</v>
      </c>
      <c r="T169" s="2" t="s">
        <v>1382</v>
      </c>
      <c r="U169" s="2" t="s">
        <v>1382</v>
      </c>
      <c r="V169" s="2" t="s">
        <v>1382</v>
      </c>
    </row>
    <row r="170" spans="1:22" ht="12.75" customHeight="1">
      <c r="A170" s="133" t="s">
        <v>1130</v>
      </c>
      <c r="B170" s="2" t="s">
        <v>2824</v>
      </c>
      <c r="C170" s="168">
        <v>24.93</v>
      </c>
      <c r="D170" s="5">
        <v>1</v>
      </c>
      <c r="E170" s="5" t="e" cm="1">
        <f t="array" aca="1" ref="E170" ca="1">SUMPRODUCT(SUMIF(INDIRECT("'"&amp;Assemblies[Assy]&amp;"'!"&amp;"C:C"),$A170,(INDIRECT("'"&amp;Assemblies[Assy]&amp;"'!"&amp;"O:O"))))</f>
        <v>#VALUE!</v>
      </c>
      <c r="F170" s="5" t="e">
        <f t="shared" ca="1" si="2"/>
        <v>#VALUE!</v>
      </c>
      <c r="G170" s="5">
        <v>3</v>
      </c>
      <c r="H170" s="2">
        <v>3</v>
      </c>
      <c r="I170" s="117" t="s">
        <v>2806</v>
      </c>
      <c r="J170" s="117" t="s">
        <v>2806</v>
      </c>
      <c r="K170" s="135" t="s">
        <v>1382</v>
      </c>
      <c r="L170" s="2" t="s">
        <v>1382</v>
      </c>
      <c r="M170" s="8">
        <v>45125</v>
      </c>
      <c r="N170" s="8">
        <v>45162</v>
      </c>
      <c r="O170" s="8">
        <v>45184</v>
      </c>
      <c r="P170" s="8">
        <v>45184</v>
      </c>
      <c r="Q170" s="229">
        <v>55036</v>
      </c>
      <c r="R170" s="115" t="str" cm="1">
        <f t="array" aca="1" ref="R170" ca="1">TRIM(SUBSTITUTE(_xlfn.ARRAYTOTEXT(IFERROR(CONCATENATE(SUMIF(INDIRECT("'"&amp;Assemblies[Assy]&amp;"'!"&amp;"C$5:C1000"), $A170, INDIRECT("'"&amp;Assemblies[Assy]&amp;"'!"&amp;"O$5:O1000")), "x",Assemblies[Assy],".",IF(SUMIF(INDIRECT("'"&amp;Assemblies[Assy]&amp;"'!"&amp;"C$5:C1000"), $A170, INDIRECT("'"&amp;Assemblies[Assy]&amp;"'!"&amp;"A$5:A1000"))=0,NA(),SUMIF(INDIRECT("'"&amp;Assemblies[Assy]&amp;"'!"&amp;"C$5:C1000"), $A170, INDIRECT("'"&amp;Assemblies[Assy]&amp;"'!"&amp;"A$5:A1000")))),"")), " ,", ""))</f>
        <v>,</v>
      </c>
      <c r="S170" s="56" t="s">
        <v>1382</v>
      </c>
      <c r="T170" s="2" t="s">
        <v>1382</v>
      </c>
      <c r="U170" s="2" t="s">
        <v>1382</v>
      </c>
      <c r="V170" s="2" t="s">
        <v>1382</v>
      </c>
    </row>
    <row r="171" spans="1:22" ht="12.75" customHeight="1">
      <c r="A171" s="133" t="s">
        <v>491</v>
      </c>
      <c r="B171" s="2" t="s">
        <v>2825</v>
      </c>
      <c r="C171" s="168">
        <v>5.05</v>
      </c>
      <c r="D171" s="5">
        <v>1</v>
      </c>
      <c r="E171" s="5" t="e" cm="1">
        <f t="array" aca="1" ref="E171" ca="1">SUMPRODUCT(SUMIF(INDIRECT("'"&amp;Assemblies[Assy]&amp;"'!"&amp;"C:C"),$A171,(INDIRECT("'"&amp;Assemblies[Assy]&amp;"'!"&amp;"O:O"))))</f>
        <v>#VALUE!</v>
      </c>
      <c r="F171" s="5" t="e">
        <f t="shared" ca="1" si="2"/>
        <v>#VALUE!</v>
      </c>
      <c r="G171" s="5">
        <v>8</v>
      </c>
      <c r="H171" s="2">
        <v>8</v>
      </c>
      <c r="I171" s="117" t="s">
        <v>2806</v>
      </c>
      <c r="J171" s="117" t="s">
        <v>2806</v>
      </c>
      <c r="K171" s="135" t="s">
        <v>1382</v>
      </c>
      <c r="L171" s="2" t="s">
        <v>1382</v>
      </c>
      <c r="M171" s="8">
        <v>45125</v>
      </c>
      <c r="N171" s="8">
        <v>45162</v>
      </c>
      <c r="O171" s="8">
        <v>45184</v>
      </c>
      <c r="P171" s="8">
        <v>45184</v>
      </c>
      <c r="Q171" s="229">
        <v>55036</v>
      </c>
      <c r="R171" s="115" t="str" cm="1">
        <f t="array" aca="1" ref="R171" ca="1">TRIM(SUBSTITUTE(_xlfn.ARRAYTOTEXT(IFERROR(CONCATENATE(SUMIF(INDIRECT("'"&amp;Assemblies[Assy]&amp;"'!"&amp;"C$5:C1000"), $A171, INDIRECT("'"&amp;Assemblies[Assy]&amp;"'!"&amp;"O$5:O1000")), "x",Assemblies[Assy],".",IF(SUMIF(INDIRECT("'"&amp;Assemblies[Assy]&amp;"'!"&amp;"C$5:C1000"), $A171, INDIRECT("'"&amp;Assemblies[Assy]&amp;"'!"&amp;"A$5:A1000"))=0,NA(),SUMIF(INDIRECT("'"&amp;Assemblies[Assy]&amp;"'!"&amp;"C$5:C1000"), $A171, INDIRECT("'"&amp;Assemblies[Assy]&amp;"'!"&amp;"A$5:A1000")))),"")), " ,", ""))</f>
        <v>,</v>
      </c>
      <c r="S171" s="56" t="s">
        <v>1382</v>
      </c>
      <c r="T171" s="2" t="s">
        <v>1382</v>
      </c>
      <c r="U171" s="2" t="s">
        <v>1382</v>
      </c>
      <c r="V171" s="2" t="s">
        <v>1382</v>
      </c>
    </row>
    <row r="172" spans="1:22" ht="12.75" customHeight="1">
      <c r="A172" s="133" t="s">
        <v>1353</v>
      </c>
      <c r="B172" s="2" t="s">
        <v>2826</v>
      </c>
      <c r="C172" s="168">
        <v>3.56</v>
      </c>
      <c r="D172" s="5">
        <v>1</v>
      </c>
      <c r="E172" s="5" t="e" cm="1">
        <f t="array" aca="1" ref="E172" ca="1">SUMPRODUCT(SUMIF(INDIRECT("'"&amp;Assemblies[Assy]&amp;"'!"&amp;"C:C"),$A172,(INDIRECT("'"&amp;Assemblies[Assy]&amp;"'!"&amp;"O:O"))))</f>
        <v>#VALUE!</v>
      </c>
      <c r="F172" s="5" t="e">
        <f t="shared" ca="1" si="2"/>
        <v>#VALUE!</v>
      </c>
      <c r="G172" s="5">
        <v>4</v>
      </c>
      <c r="H172" s="2">
        <v>4</v>
      </c>
      <c r="I172" s="117" t="s">
        <v>2806</v>
      </c>
      <c r="J172" s="117" t="s">
        <v>2806</v>
      </c>
      <c r="K172" s="135" t="s">
        <v>1382</v>
      </c>
      <c r="L172" s="2" t="s">
        <v>1382</v>
      </c>
      <c r="M172" s="8">
        <v>45125</v>
      </c>
      <c r="N172" s="8">
        <v>45162</v>
      </c>
      <c r="O172" s="8">
        <v>45184</v>
      </c>
      <c r="P172" s="8">
        <v>45184</v>
      </c>
      <c r="Q172" s="229">
        <v>55036</v>
      </c>
      <c r="R172" s="115" t="str" cm="1">
        <f t="array" aca="1" ref="R172" ca="1">TRIM(SUBSTITUTE(_xlfn.ARRAYTOTEXT(IFERROR(CONCATENATE(SUMIF(INDIRECT("'"&amp;Assemblies[Assy]&amp;"'!"&amp;"C$5:C1000"), $A172, INDIRECT("'"&amp;Assemblies[Assy]&amp;"'!"&amp;"O$5:O1000")), "x",Assemblies[Assy],".",IF(SUMIF(INDIRECT("'"&amp;Assemblies[Assy]&amp;"'!"&amp;"C$5:C1000"), $A172, INDIRECT("'"&amp;Assemblies[Assy]&amp;"'!"&amp;"A$5:A1000"))=0,NA(),SUMIF(INDIRECT("'"&amp;Assemblies[Assy]&amp;"'!"&amp;"C$5:C1000"), $A172, INDIRECT("'"&amp;Assemblies[Assy]&amp;"'!"&amp;"A$5:A1000")))),"")), " ,", ""))</f>
        <v>,</v>
      </c>
      <c r="S172" s="56" t="s">
        <v>1382</v>
      </c>
      <c r="T172" s="2" t="s">
        <v>1382</v>
      </c>
      <c r="U172" s="2" t="s">
        <v>1382</v>
      </c>
      <c r="V172" s="2" t="s">
        <v>1382</v>
      </c>
    </row>
    <row r="173" spans="1:22" ht="12.75" customHeight="1">
      <c r="A173" s="133" t="s">
        <v>592</v>
      </c>
      <c r="B173" s="2" t="s">
        <v>2827</v>
      </c>
      <c r="C173" s="168">
        <v>3.61</v>
      </c>
      <c r="D173" s="5">
        <v>1</v>
      </c>
      <c r="E173" s="5" t="e" cm="1">
        <f t="array" aca="1" ref="E173" ca="1">SUMPRODUCT(SUMIF(INDIRECT("'"&amp;Assemblies[Assy]&amp;"'!"&amp;"C:C"),$A173,(INDIRECT("'"&amp;Assemblies[Assy]&amp;"'!"&amp;"O:O"))))</f>
        <v>#VALUE!</v>
      </c>
      <c r="F173" s="5" t="e">
        <f t="shared" ca="1" si="2"/>
        <v>#VALUE!</v>
      </c>
      <c r="G173" s="5">
        <v>2</v>
      </c>
      <c r="H173" s="2">
        <v>2</v>
      </c>
      <c r="I173" s="117" t="s">
        <v>2806</v>
      </c>
      <c r="J173" s="117" t="s">
        <v>2806</v>
      </c>
      <c r="K173" s="135" t="s">
        <v>1382</v>
      </c>
      <c r="L173" s="2" t="s">
        <v>1382</v>
      </c>
      <c r="M173" s="8">
        <v>45125</v>
      </c>
      <c r="N173" s="8">
        <v>45162</v>
      </c>
      <c r="O173" s="8">
        <v>45184</v>
      </c>
      <c r="P173" s="8">
        <v>45184</v>
      </c>
      <c r="Q173" s="229">
        <v>55036</v>
      </c>
      <c r="R173" s="115" t="str" cm="1">
        <f t="array" aca="1" ref="R173" ca="1">TRIM(SUBSTITUTE(_xlfn.ARRAYTOTEXT(IFERROR(CONCATENATE(SUMIF(INDIRECT("'"&amp;Assemblies[Assy]&amp;"'!"&amp;"C$5:C1000"), $A173, INDIRECT("'"&amp;Assemblies[Assy]&amp;"'!"&amp;"O$5:O1000")), "x",Assemblies[Assy],".",IF(SUMIF(INDIRECT("'"&amp;Assemblies[Assy]&amp;"'!"&amp;"C$5:C1000"), $A173, INDIRECT("'"&amp;Assemblies[Assy]&amp;"'!"&amp;"A$5:A1000"))=0,NA(),SUMIF(INDIRECT("'"&amp;Assemblies[Assy]&amp;"'!"&amp;"C$5:C1000"), $A173, INDIRECT("'"&amp;Assemblies[Assy]&amp;"'!"&amp;"A$5:A1000")))),"")), " ,", ""))</f>
        <v>,</v>
      </c>
      <c r="S173" s="56" t="s">
        <v>1382</v>
      </c>
      <c r="T173" s="2" t="s">
        <v>1382</v>
      </c>
      <c r="U173" s="2" t="s">
        <v>1382</v>
      </c>
      <c r="V173" s="2" t="s">
        <v>1382</v>
      </c>
    </row>
    <row r="174" spans="1:22" ht="12.75" customHeight="1">
      <c r="A174" s="133" t="s">
        <v>1185</v>
      </c>
      <c r="B174" s="2" t="s">
        <v>2828</v>
      </c>
      <c r="C174" s="168">
        <v>6.44</v>
      </c>
      <c r="D174" s="5">
        <v>1</v>
      </c>
      <c r="E174" s="5" t="e" cm="1">
        <f t="array" aca="1" ref="E174" ca="1">SUMPRODUCT(SUMIF(INDIRECT("'"&amp;Assemblies[Assy]&amp;"'!"&amp;"C:C"),$A174,(INDIRECT("'"&amp;Assemblies[Assy]&amp;"'!"&amp;"O:O"))))</f>
        <v>#VALUE!</v>
      </c>
      <c r="F174" s="5" t="e">
        <f t="shared" ca="1" si="2"/>
        <v>#VALUE!</v>
      </c>
      <c r="G174" s="5">
        <v>20</v>
      </c>
      <c r="H174" s="2">
        <v>20</v>
      </c>
      <c r="I174" s="117" t="s">
        <v>2813</v>
      </c>
      <c r="J174" s="117" t="s">
        <v>2813</v>
      </c>
      <c r="L174" s="2" t="s">
        <v>1382</v>
      </c>
      <c r="M174" s="8" t="s">
        <v>1762</v>
      </c>
      <c r="N174" s="8">
        <v>45196</v>
      </c>
      <c r="O174" s="8">
        <v>45203</v>
      </c>
      <c r="P174" s="8">
        <v>45203</v>
      </c>
      <c r="Q174" s="229">
        <v>55170</v>
      </c>
      <c r="R174" s="115" t="str" cm="1">
        <f t="array" aca="1" ref="R174" ca="1">TRIM(SUBSTITUTE(_xlfn.ARRAYTOTEXT(IFERROR(CONCATENATE(SUMIF(INDIRECT("'"&amp;Assemblies[Assy]&amp;"'!"&amp;"C$5:C1000"), $A174, INDIRECT("'"&amp;Assemblies[Assy]&amp;"'!"&amp;"O$5:O1000")), "x",Assemblies[Assy],".",IF(SUMIF(INDIRECT("'"&amp;Assemblies[Assy]&amp;"'!"&amp;"C$5:C1000"), $A174, INDIRECT("'"&amp;Assemblies[Assy]&amp;"'!"&amp;"A$5:A1000"))=0,NA(),SUMIF(INDIRECT("'"&amp;Assemblies[Assy]&amp;"'!"&amp;"C$5:C1000"), $A174, INDIRECT("'"&amp;Assemblies[Assy]&amp;"'!"&amp;"A$5:A1000")))),"")), " ,", ""))</f>
        <v>,</v>
      </c>
      <c r="S174" s="56" t="s">
        <v>1382</v>
      </c>
      <c r="T174" s="2" t="s">
        <v>1382</v>
      </c>
      <c r="U174" s="2" t="s">
        <v>1382</v>
      </c>
      <c r="V174" s="2" t="s">
        <v>1382</v>
      </c>
    </row>
    <row r="175" spans="1:22" ht="12.75" customHeight="1">
      <c r="A175" s="133" t="s">
        <v>490</v>
      </c>
      <c r="B175" s="2" t="s">
        <v>2829</v>
      </c>
      <c r="C175" s="168">
        <v>51.89</v>
      </c>
      <c r="D175" s="5">
        <v>1</v>
      </c>
      <c r="E175" s="5" t="e" cm="1">
        <f t="array" aca="1" ref="E175" ca="1">SUMPRODUCT(SUMIF(INDIRECT("'"&amp;Assemblies[Assy]&amp;"'!"&amp;"C:C"),$A175,(INDIRECT("'"&amp;Assemblies[Assy]&amp;"'!"&amp;"O:O"))))</f>
        <v>#VALUE!</v>
      </c>
      <c r="F175" s="5" t="e">
        <f t="shared" ca="1" si="2"/>
        <v>#VALUE!</v>
      </c>
      <c r="G175" s="5">
        <v>8</v>
      </c>
      <c r="H175" s="2">
        <v>8</v>
      </c>
      <c r="I175" s="117" t="s">
        <v>2806</v>
      </c>
      <c r="J175" s="117" t="s">
        <v>2806</v>
      </c>
      <c r="K175" s="135" t="s">
        <v>1382</v>
      </c>
      <c r="L175" s="2" t="s">
        <v>1382</v>
      </c>
      <c r="M175" s="8">
        <v>45125</v>
      </c>
      <c r="N175" s="8">
        <v>45162</v>
      </c>
      <c r="O175" s="8">
        <v>45184</v>
      </c>
      <c r="P175" s="8">
        <v>45184</v>
      </c>
      <c r="Q175" s="229">
        <v>55036</v>
      </c>
      <c r="R175" s="115" t="str" cm="1">
        <f t="array" aca="1" ref="R175" ca="1">TRIM(SUBSTITUTE(_xlfn.ARRAYTOTEXT(IFERROR(CONCATENATE(SUMIF(INDIRECT("'"&amp;Assemblies[Assy]&amp;"'!"&amp;"C$5:C1000"), $A175, INDIRECT("'"&amp;Assemblies[Assy]&amp;"'!"&amp;"O$5:O1000")), "x",Assemblies[Assy],".",IF(SUMIF(INDIRECT("'"&amp;Assemblies[Assy]&amp;"'!"&amp;"C$5:C1000"), $A175, INDIRECT("'"&amp;Assemblies[Assy]&amp;"'!"&amp;"A$5:A1000"))=0,NA(),SUMIF(INDIRECT("'"&amp;Assemblies[Assy]&amp;"'!"&amp;"C$5:C1000"), $A175, INDIRECT("'"&amp;Assemblies[Assy]&amp;"'!"&amp;"A$5:A1000")))),"")), " ,", ""))</f>
        <v>,</v>
      </c>
      <c r="S175" s="56" t="s">
        <v>1382</v>
      </c>
      <c r="T175" s="2" t="s">
        <v>1382</v>
      </c>
      <c r="U175" s="2" t="s">
        <v>1382</v>
      </c>
      <c r="V175" s="2" t="s">
        <v>1382</v>
      </c>
    </row>
    <row r="176" spans="1:22" ht="12.75" customHeight="1">
      <c r="A176" s="133" t="s">
        <v>1018</v>
      </c>
      <c r="B176" s="2" t="s">
        <v>2830</v>
      </c>
      <c r="C176" s="168">
        <v>62.34</v>
      </c>
      <c r="D176" s="5">
        <v>1</v>
      </c>
      <c r="E176" s="5" t="e" cm="1">
        <f t="array" aca="1" ref="E176" ca="1">SUMPRODUCT(SUMIF(INDIRECT("'"&amp;Assemblies[Assy]&amp;"'!"&amp;"C:C"),$A176,(INDIRECT("'"&amp;Assemblies[Assy]&amp;"'!"&amp;"O:O"))))</f>
        <v>#VALUE!</v>
      </c>
      <c r="F176" s="5" t="e">
        <f t="shared" ca="1" si="2"/>
        <v>#VALUE!</v>
      </c>
      <c r="G176" s="5">
        <v>6</v>
      </c>
      <c r="H176" s="2">
        <v>6</v>
      </c>
      <c r="I176" s="117" t="s">
        <v>2806</v>
      </c>
      <c r="J176" s="117" t="s">
        <v>2806</v>
      </c>
      <c r="K176" s="135" t="s">
        <v>1382</v>
      </c>
      <c r="L176" s="2" t="s">
        <v>1382</v>
      </c>
      <c r="M176" s="8">
        <v>45125</v>
      </c>
      <c r="N176" s="8">
        <v>45162</v>
      </c>
      <c r="O176" s="8">
        <v>45184</v>
      </c>
      <c r="P176" s="8">
        <v>45184</v>
      </c>
      <c r="Q176" s="229">
        <v>55036</v>
      </c>
      <c r="R176" s="115" t="str" cm="1">
        <f t="array" aca="1" ref="R176" ca="1">TRIM(SUBSTITUTE(_xlfn.ARRAYTOTEXT(IFERROR(CONCATENATE(SUMIF(INDIRECT("'"&amp;Assemblies[Assy]&amp;"'!"&amp;"C$5:C1000"), $A176, INDIRECT("'"&amp;Assemblies[Assy]&amp;"'!"&amp;"O$5:O1000")), "x",Assemblies[Assy],".",IF(SUMIF(INDIRECT("'"&amp;Assemblies[Assy]&amp;"'!"&amp;"C$5:C1000"), $A176, INDIRECT("'"&amp;Assemblies[Assy]&amp;"'!"&amp;"A$5:A1000"))=0,NA(),SUMIF(INDIRECT("'"&amp;Assemblies[Assy]&amp;"'!"&amp;"C$5:C1000"), $A176, INDIRECT("'"&amp;Assemblies[Assy]&amp;"'!"&amp;"A$5:A1000")))),"")), " ,", ""))</f>
        <v>,</v>
      </c>
      <c r="S176" s="56" t="s">
        <v>1382</v>
      </c>
      <c r="T176" s="2" t="s">
        <v>1382</v>
      </c>
      <c r="U176" s="2" t="s">
        <v>1382</v>
      </c>
      <c r="V176" s="2" t="s">
        <v>1382</v>
      </c>
    </row>
    <row r="177" spans="1:22" ht="12.75" customHeight="1">
      <c r="A177" s="133" t="s">
        <v>998</v>
      </c>
      <c r="B177" s="2" t="s">
        <v>2831</v>
      </c>
      <c r="C177" s="168">
        <v>1.97</v>
      </c>
      <c r="D177" s="5">
        <v>1</v>
      </c>
      <c r="E177" s="5" t="e" cm="1">
        <f t="array" aca="1" ref="E177" ca="1">SUMPRODUCT(SUMIF(INDIRECT("'"&amp;Assemblies[Assy]&amp;"'!"&amp;"C:C"),$A177,(INDIRECT("'"&amp;Assemblies[Assy]&amp;"'!"&amp;"O:O"))))</f>
        <v>#VALUE!</v>
      </c>
      <c r="F177" s="5" t="e">
        <f t="shared" ca="1" si="2"/>
        <v>#VALUE!</v>
      </c>
      <c r="G177" s="5">
        <v>14</v>
      </c>
      <c r="H177" s="2">
        <v>14</v>
      </c>
      <c r="I177" s="117" t="s">
        <v>2806</v>
      </c>
      <c r="J177" s="117" t="s">
        <v>2806</v>
      </c>
      <c r="K177" s="135" t="s">
        <v>1382</v>
      </c>
      <c r="L177" s="2" t="s">
        <v>1382</v>
      </c>
      <c r="M177" s="8" t="s">
        <v>1762</v>
      </c>
      <c r="N177" s="8">
        <v>45162</v>
      </c>
      <c r="O177" s="8">
        <v>45184</v>
      </c>
      <c r="P177" s="8">
        <v>45184</v>
      </c>
      <c r="Q177" s="229">
        <v>55075</v>
      </c>
      <c r="R177" s="115" t="str" cm="1">
        <f t="array" aca="1" ref="R177" ca="1">TRIM(SUBSTITUTE(_xlfn.ARRAYTOTEXT(IFERROR(CONCATENATE(SUMIF(INDIRECT("'"&amp;Assemblies[Assy]&amp;"'!"&amp;"C$5:C1000"), $A177, INDIRECT("'"&amp;Assemblies[Assy]&amp;"'!"&amp;"O$5:O1000")), "x",Assemblies[Assy],".",IF(SUMIF(INDIRECT("'"&amp;Assemblies[Assy]&amp;"'!"&amp;"C$5:C1000"), $A177, INDIRECT("'"&amp;Assemblies[Assy]&amp;"'!"&amp;"A$5:A1000"))=0,NA(),SUMIF(INDIRECT("'"&amp;Assemblies[Assy]&amp;"'!"&amp;"C$5:C1000"), $A177, INDIRECT("'"&amp;Assemblies[Assy]&amp;"'!"&amp;"A$5:A1000")))),"")), " ,", ""))</f>
        <v>,</v>
      </c>
      <c r="S177" s="56" t="s">
        <v>1382</v>
      </c>
      <c r="T177" s="2" t="s">
        <v>1382</v>
      </c>
      <c r="U177" s="2" t="s">
        <v>1382</v>
      </c>
      <c r="V177" s="2" t="s">
        <v>1382</v>
      </c>
    </row>
    <row r="178" spans="1:22" ht="12.75" customHeight="1">
      <c r="A178" s="133" t="s">
        <v>1278</v>
      </c>
      <c r="B178" s="2" t="s">
        <v>2832</v>
      </c>
      <c r="C178" s="168">
        <v>1.06</v>
      </c>
      <c r="D178" s="5">
        <v>1</v>
      </c>
      <c r="E178" s="5" t="e" cm="1">
        <f t="array" aca="1" ref="E178" ca="1">SUMPRODUCT(SUMIF(INDIRECT("'"&amp;Assemblies[Assy]&amp;"'!"&amp;"C:C"),$A178,(INDIRECT("'"&amp;Assemblies[Assy]&amp;"'!"&amp;"O:O"))))</f>
        <v>#VALUE!</v>
      </c>
      <c r="F178" s="5" t="e">
        <f t="shared" ca="1" si="2"/>
        <v>#VALUE!</v>
      </c>
      <c r="G178" s="5">
        <v>16</v>
      </c>
      <c r="H178" s="2">
        <v>16</v>
      </c>
      <c r="I178" s="117" t="s">
        <v>2806</v>
      </c>
      <c r="J178" s="117" t="s">
        <v>2806</v>
      </c>
      <c r="K178" s="135" t="s">
        <v>1382</v>
      </c>
      <c r="L178" s="2" t="s">
        <v>1382</v>
      </c>
      <c r="M178" s="8" t="s">
        <v>1762</v>
      </c>
      <c r="N178" s="8">
        <v>45162</v>
      </c>
      <c r="O178" s="8">
        <v>45184</v>
      </c>
      <c r="P178" s="8">
        <v>45184</v>
      </c>
      <c r="Q178" s="229">
        <v>55075</v>
      </c>
      <c r="R178" s="115" t="str" cm="1">
        <f t="array" aca="1" ref="R178" ca="1">TRIM(SUBSTITUTE(_xlfn.ARRAYTOTEXT(IFERROR(CONCATENATE(SUMIF(INDIRECT("'"&amp;Assemblies[Assy]&amp;"'!"&amp;"C$5:C1000"), $A178, INDIRECT("'"&amp;Assemblies[Assy]&amp;"'!"&amp;"O$5:O1000")), "x",Assemblies[Assy],".",IF(SUMIF(INDIRECT("'"&amp;Assemblies[Assy]&amp;"'!"&amp;"C$5:C1000"), $A178, INDIRECT("'"&amp;Assemblies[Assy]&amp;"'!"&amp;"A$5:A1000"))=0,NA(),SUMIF(INDIRECT("'"&amp;Assemblies[Assy]&amp;"'!"&amp;"C$5:C1000"), $A178, INDIRECT("'"&amp;Assemblies[Assy]&amp;"'!"&amp;"A$5:A1000")))),"")), " ,", ""))</f>
        <v>,</v>
      </c>
      <c r="S178" s="56" t="s">
        <v>1382</v>
      </c>
      <c r="T178" s="2" t="s">
        <v>1382</v>
      </c>
      <c r="U178" s="2" t="s">
        <v>1382</v>
      </c>
      <c r="V178" s="2" t="s">
        <v>1382</v>
      </c>
    </row>
    <row r="179" spans="1:22" ht="12.75" customHeight="1">
      <c r="A179" s="147" t="s">
        <v>410</v>
      </c>
      <c r="B179" s="117" t="s">
        <v>2833</v>
      </c>
      <c r="C179" s="203">
        <v>36.880000000000003</v>
      </c>
      <c r="D179" s="5">
        <v>1</v>
      </c>
      <c r="E179" s="5" t="e" cm="1">
        <f t="array" aca="1" ref="E179" ca="1">SUMPRODUCT(SUMIF(INDIRECT("'"&amp;Assemblies[Assy]&amp;"'!"&amp;"C:C"),$A179,(INDIRECT("'"&amp;Assemblies[Assy]&amp;"'!"&amp;"O:O"))))</f>
        <v>#VALUE!</v>
      </c>
      <c r="F179" s="5" t="e">
        <f t="shared" ca="1" si="2"/>
        <v>#VALUE!</v>
      </c>
      <c r="G179" s="5">
        <v>6</v>
      </c>
      <c r="H179" s="2">
        <v>6</v>
      </c>
      <c r="I179" s="117" t="s">
        <v>2834</v>
      </c>
      <c r="J179" s="117" t="s">
        <v>2835</v>
      </c>
      <c r="K179" s="147" t="s">
        <v>1382</v>
      </c>
      <c r="L179" s="2">
        <v>584951</v>
      </c>
      <c r="M179" s="8">
        <v>45125</v>
      </c>
      <c r="N179" s="8">
        <v>45147</v>
      </c>
      <c r="O179" s="8">
        <v>45176</v>
      </c>
      <c r="P179" s="8">
        <v>45176</v>
      </c>
      <c r="Q179" s="229">
        <v>55042</v>
      </c>
      <c r="R179" s="115" t="str" cm="1">
        <f t="array" aca="1" ref="R179" ca="1">TRIM(SUBSTITUTE(_xlfn.ARRAYTOTEXT(IFERROR(CONCATENATE(SUMIF(INDIRECT("'"&amp;Assemblies[Assy]&amp;"'!"&amp;"C$5:C1000"), $A179, INDIRECT("'"&amp;Assemblies[Assy]&amp;"'!"&amp;"O$5:O1000")), "x",Assemblies[Assy],".",IF(SUMIF(INDIRECT("'"&amp;Assemblies[Assy]&amp;"'!"&amp;"C$5:C1000"), $A179, INDIRECT("'"&amp;Assemblies[Assy]&amp;"'!"&amp;"A$5:A1000"))=0,NA(),SUMIF(INDIRECT("'"&amp;Assemblies[Assy]&amp;"'!"&amp;"C$5:C1000"), $A179, INDIRECT("'"&amp;Assemblies[Assy]&amp;"'!"&amp;"A$5:A1000")))),"")), " ,", ""))</f>
        <v>,</v>
      </c>
      <c r="S179" s="56" t="s">
        <v>1382</v>
      </c>
      <c r="T179" s="2" t="s">
        <v>1382</v>
      </c>
      <c r="U179" s="2" t="s">
        <v>1382</v>
      </c>
      <c r="V179" s="2" t="s">
        <v>1382</v>
      </c>
    </row>
    <row r="180" spans="1:22" ht="12.75" customHeight="1">
      <c r="A180" s="147" t="s">
        <v>416</v>
      </c>
      <c r="B180" s="117" t="s">
        <v>2836</v>
      </c>
      <c r="C180" s="168">
        <v>99.48</v>
      </c>
      <c r="D180" s="5">
        <v>1</v>
      </c>
      <c r="E180" s="5" t="e" cm="1">
        <f t="array" aca="1" ref="E180" ca="1">SUMPRODUCT(SUMIF(INDIRECT("'"&amp;Assemblies[Assy]&amp;"'!"&amp;"C:C"),$A180,(INDIRECT("'"&amp;Assemblies[Assy]&amp;"'!"&amp;"O:O"))))</f>
        <v>#VALUE!</v>
      </c>
      <c r="F180" s="5" t="e">
        <f t="shared" ca="1" si="2"/>
        <v>#VALUE!</v>
      </c>
      <c r="G180" s="5">
        <v>14</v>
      </c>
      <c r="H180" s="2">
        <v>14</v>
      </c>
      <c r="I180" s="117" t="s">
        <v>2834</v>
      </c>
      <c r="J180" s="117" t="s">
        <v>2835</v>
      </c>
      <c r="K180" s="147" t="s">
        <v>1382</v>
      </c>
      <c r="L180" s="2">
        <v>585257</v>
      </c>
      <c r="M180" s="8">
        <v>45125</v>
      </c>
      <c r="N180" s="8">
        <v>45147</v>
      </c>
      <c r="O180" s="8">
        <v>45176</v>
      </c>
      <c r="P180" s="8">
        <v>45176</v>
      </c>
      <c r="Q180" s="229">
        <v>55042</v>
      </c>
      <c r="R180" s="115" t="str" cm="1">
        <f t="array" aca="1" ref="R180" ca="1">TRIM(SUBSTITUTE(_xlfn.ARRAYTOTEXT(IFERROR(CONCATENATE(SUMIF(INDIRECT("'"&amp;Assemblies[Assy]&amp;"'!"&amp;"C$5:C1000"), $A180, INDIRECT("'"&amp;Assemblies[Assy]&amp;"'!"&amp;"O$5:O1000")), "x",Assemblies[Assy],".",IF(SUMIF(INDIRECT("'"&amp;Assemblies[Assy]&amp;"'!"&amp;"C$5:C1000"), $A180, INDIRECT("'"&amp;Assemblies[Assy]&amp;"'!"&amp;"A$5:A1000"))=0,NA(),SUMIF(INDIRECT("'"&amp;Assemblies[Assy]&amp;"'!"&amp;"C$5:C1000"), $A180, INDIRECT("'"&amp;Assemblies[Assy]&amp;"'!"&amp;"A$5:A1000")))),"")), " ,", ""))</f>
        <v>,</v>
      </c>
      <c r="S180" s="56" t="s">
        <v>1382</v>
      </c>
      <c r="T180" s="2" t="s">
        <v>1382</v>
      </c>
      <c r="U180" s="2" t="s">
        <v>1382</v>
      </c>
      <c r="V180" s="2" t="s">
        <v>1382</v>
      </c>
    </row>
    <row r="181" spans="1:22" ht="12.75" customHeight="1">
      <c r="A181" s="133" t="s">
        <v>163</v>
      </c>
      <c r="B181" s="2" t="s">
        <v>2837</v>
      </c>
      <c r="C181" s="203">
        <v>3259.4792000000002</v>
      </c>
      <c r="D181" s="5">
        <v>1</v>
      </c>
      <c r="E181" s="5" t="e" cm="1">
        <f t="array" aca="1" ref="E181" ca="1">SUMPRODUCT(SUMIF(INDIRECT("'"&amp;Assemblies[Assy]&amp;"'!"&amp;"C:C"),$A181,(INDIRECT("'"&amp;Assemblies[Assy]&amp;"'!"&amp;"O:O"))))</f>
        <v>#VALUE!</v>
      </c>
      <c r="F181" s="5" t="e">
        <f t="shared" ca="1" si="2"/>
        <v>#VALUE!</v>
      </c>
      <c r="G181" s="5">
        <v>2</v>
      </c>
      <c r="H181" s="2">
        <v>2</v>
      </c>
      <c r="I181" s="117" t="s">
        <v>2838</v>
      </c>
      <c r="J181" s="117" t="s">
        <v>2647</v>
      </c>
      <c r="K181" s="135" t="s">
        <v>1382</v>
      </c>
      <c r="L181" s="2" t="s">
        <v>1382</v>
      </c>
      <c r="M181" s="8" t="s">
        <v>1762</v>
      </c>
      <c r="N181" s="8">
        <v>45089</v>
      </c>
      <c r="O181" s="8">
        <v>45119</v>
      </c>
      <c r="P181" s="8">
        <v>45119</v>
      </c>
      <c r="Q181" s="229">
        <v>54930</v>
      </c>
      <c r="R181" s="115" t="str" cm="1">
        <f t="array" aca="1" ref="R181" ca="1">TRIM(SUBSTITUTE(_xlfn.ARRAYTOTEXT(IFERROR(CONCATENATE(SUMIF(INDIRECT("'"&amp;Assemblies[Assy]&amp;"'!"&amp;"C$5:C1000"), $A181, INDIRECT("'"&amp;Assemblies[Assy]&amp;"'!"&amp;"O$5:O1000")), "x",Assemblies[Assy],".",IF(SUMIF(INDIRECT("'"&amp;Assemblies[Assy]&amp;"'!"&amp;"C$5:C1000"), $A181, INDIRECT("'"&amp;Assemblies[Assy]&amp;"'!"&amp;"A$5:A1000"))=0,NA(),SUMIF(INDIRECT("'"&amp;Assemblies[Assy]&amp;"'!"&amp;"C$5:C1000"), $A181, INDIRECT("'"&amp;Assemblies[Assy]&amp;"'!"&amp;"A$5:A1000")))),"")), " ,", ""))</f>
        <v>,</v>
      </c>
      <c r="S181" s="56" t="s">
        <v>1382</v>
      </c>
      <c r="T181" s="2" t="s">
        <v>1382</v>
      </c>
      <c r="U181" s="2" t="s">
        <v>1382</v>
      </c>
      <c r="V181" s="2" t="s">
        <v>1382</v>
      </c>
    </row>
    <row r="182" spans="1:22" ht="12.75" customHeight="1">
      <c r="A182" s="133" t="s">
        <v>340</v>
      </c>
      <c r="B182" s="2" t="s">
        <v>2839</v>
      </c>
      <c r="C182" s="168">
        <v>456.4</v>
      </c>
      <c r="D182" s="5">
        <v>1</v>
      </c>
      <c r="E182" s="5" t="e" cm="1">
        <f t="array" aca="1" ref="E182" ca="1">SUMPRODUCT(SUMIF(INDIRECT("'"&amp;Assemblies[Assy]&amp;"'!"&amp;"C:C"),$A182,(INDIRECT("'"&amp;Assemblies[Assy]&amp;"'!"&amp;"O:O"))))</f>
        <v>#VALUE!</v>
      </c>
      <c r="F182" s="5" t="e">
        <f t="shared" ca="1" si="2"/>
        <v>#VALUE!</v>
      </c>
      <c r="G182" s="5">
        <v>6</v>
      </c>
      <c r="H182" s="2">
        <v>6</v>
      </c>
      <c r="I182" s="117" t="s">
        <v>2840</v>
      </c>
      <c r="J182" s="117" t="s">
        <v>2841</v>
      </c>
      <c r="K182" s="135" t="s">
        <v>1382</v>
      </c>
      <c r="L182" s="2" t="s">
        <v>1382</v>
      </c>
      <c r="M182" s="8" t="s">
        <v>1762</v>
      </c>
      <c r="N182" s="8">
        <v>45091</v>
      </c>
      <c r="O182" s="8">
        <v>45132</v>
      </c>
      <c r="P182" s="8">
        <v>45132</v>
      </c>
      <c r="Q182" s="229">
        <v>54934</v>
      </c>
      <c r="R182" s="115" t="str" cm="1">
        <f t="array" aca="1" ref="R182" ca="1">TRIM(SUBSTITUTE(_xlfn.ARRAYTOTEXT(IFERROR(CONCATENATE(SUMIF(INDIRECT("'"&amp;Assemblies[Assy]&amp;"'!"&amp;"C$5:C1000"), $A182, INDIRECT("'"&amp;Assemblies[Assy]&amp;"'!"&amp;"O$5:O1000")), "x",Assemblies[Assy],".",IF(SUMIF(INDIRECT("'"&amp;Assemblies[Assy]&amp;"'!"&amp;"C$5:C1000"), $A182, INDIRECT("'"&amp;Assemblies[Assy]&amp;"'!"&amp;"A$5:A1000"))=0,NA(),SUMIF(INDIRECT("'"&amp;Assemblies[Assy]&amp;"'!"&amp;"C$5:C1000"), $A182, INDIRECT("'"&amp;Assemblies[Assy]&amp;"'!"&amp;"A$5:A1000")))),"")), " ,", ""))</f>
        <v>,</v>
      </c>
      <c r="S182" s="56" t="s">
        <v>1382</v>
      </c>
      <c r="T182" s="2" t="s">
        <v>1382</v>
      </c>
      <c r="U182" s="2" t="s">
        <v>1382</v>
      </c>
      <c r="V182" s="2" t="s">
        <v>1382</v>
      </c>
    </row>
    <row r="183" spans="1:22" ht="12.75" customHeight="1">
      <c r="A183" s="133" t="s">
        <v>339</v>
      </c>
      <c r="B183" s="2" t="s">
        <v>2842</v>
      </c>
      <c r="C183" s="203">
        <v>910.93</v>
      </c>
      <c r="D183" s="5">
        <v>1</v>
      </c>
      <c r="E183" s="5" t="e" cm="1">
        <f t="array" aca="1" ref="E183" ca="1">SUMPRODUCT(SUMIF(INDIRECT("'"&amp;Assemblies[Assy]&amp;"'!"&amp;"C:C"),$A183,(INDIRECT("'"&amp;Assemblies[Assy]&amp;"'!"&amp;"O:O"))))</f>
        <v>#VALUE!</v>
      </c>
      <c r="F183" s="5" t="e">
        <f t="shared" ca="1" si="2"/>
        <v>#VALUE!</v>
      </c>
      <c r="G183" s="5">
        <v>6</v>
      </c>
      <c r="H183" s="2">
        <v>6</v>
      </c>
      <c r="I183" s="117" t="s">
        <v>2840</v>
      </c>
      <c r="J183" s="117" t="s">
        <v>2841</v>
      </c>
      <c r="K183" s="135" t="s">
        <v>1382</v>
      </c>
      <c r="L183" s="2" t="s">
        <v>1382</v>
      </c>
      <c r="M183" s="8" t="s">
        <v>1762</v>
      </c>
      <c r="N183" s="8">
        <v>45091</v>
      </c>
      <c r="O183" s="8">
        <v>45132</v>
      </c>
      <c r="P183" s="8">
        <v>45132</v>
      </c>
      <c r="Q183" s="229">
        <v>54934</v>
      </c>
      <c r="R183" s="115" t="str" cm="1">
        <f t="array" aca="1" ref="R183" ca="1">TRIM(SUBSTITUTE(_xlfn.ARRAYTOTEXT(IFERROR(CONCATENATE(SUMIF(INDIRECT("'"&amp;Assemblies[Assy]&amp;"'!"&amp;"C$5:C1000"), $A183, INDIRECT("'"&amp;Assemblies[Assy]&amp;"'!"&amp;"O$5:O1000")), "x",Assemblies[Assy],".",IF(SUMIF(INDIRECT("'"&amp;Assemblies[Assy]&amp;"'!"&amp;"C$5:C1000"), $A183, INDIRECT("'"&amp;Assemblies[Assy]&amp;"'!"&amp;"A$5:A1000"))=0,NA(),SUMIF(INDIRECT("'"&amp;Assemblies[Assy]&amp;"'!"&amp;"C$5:C1000"), $A183, INDIRECT("'"&amp;Assemblies[Assy]&amp;"'!"&amp;"A$5:A1000")))),"")), " ,", ""))</f>
        <v>,</v>
      </c>
      <c r="S183" s="56" t="s">
        <v>1382</v>
      </c>
      <c r="T183" s="2" t="s">
        <v>1382</v>
      </c>
      <c r="U183" s="2" t="s">
        <v>1382</v>
      </c>
      <c r="V183" s="2" t="s">
        <v>1382</v>
      </c>
    </row>
    <row r="184" spans="1:22" ht="12.75" customHeight="1">
      <c r="A184" s="247" t="s">
        <v>341</v>
      </c>
      <c r="B184" s="161" t="s">
        <v>2843</v>
      </c>
      <c r="C184" s="168">
        <v>22.29</v>
      </c>
      <c r="D184" s="5">
        <v>1</v>
      </c>
      <c r="E184" s="5" t="e" cm="1">
        <f t="array" aca="1" ref="E184" ca="1">SUMPRODUCT(SUMIF(INDIRECT("'"&amp;Assemblies[Assy]&amp;"'!"&amp;"C:C"),$A184,(INDIRECT("'"&amp;Assemblies[Assy]&amp;"'!"&amp;"O:O"))))</f>
        <v>#VALUE!</v>
      </c>
      <c r="F184" s="5" t="e">
        <f t="shared" ca="1" si="2"/>
        <v>#VALUE!</v>
      </c>
      <c r="G184" s="5">
        <v>12</v>
      </c>
      <c r="H184" s="2">
        <v>12</v>
      </c>
      <c r="I184" s="117" t="s">
        <v>2840</v>
      </c>
      <c r="J184" s="117" t="s">
        <v>2841</v>
      </c>
      <c r="K184" s="135" t="s">
        <v>1382</v>
      </c>
      <c r="L184" s="2" t="s">
        <v>1382</v>
      </c>
      <c r="M184" s="8" t="s">
        <v>1762</v>
      </c>
      <c r="N184" s="8">
        <v>45091</v>
      </c>
      <c r="O184" s="8">
        <v>45132</v>
      </c>
      <c r="P184" s="8">
        <v>45132</v>
      </c>
      <c r="Q184" s="229">
        <v>54934</v>
      </c>
      <c r="R184" s="115" t="str" cm="1">
        <f t="array" aca="1" ref="R184" ca="1">TRIM(SUBSTITUTE(_xlfn.ARRAYTOTEXT(IFERROR(CONCATENATE(SUMIF(INDIRECT("'"&amp;Assemblies[Assy]&amp;"'!"&amp;"C$5:C1000"), $A184, INDIRECT("'"&amp;Assemblies[Assy]&amp;"'!"&amp;"O$5:O1000")), "x",Assemblies[Assy],".",IF(SUMIF(INDIRECT("'"&amp;Assemblies[Assy]&amp;"'!"&amp;"C$5:C1000"), $A184, INDIRECT("'"&amp;Assemblies[Assy]&amp;"'!"&amp;"A$5:A1000"))=0,NA(),SUMIF(INDIRECT("'"&amp;Assemblies[Assy]&amp;"'!"&amp;"C$5:C1000"), $A184, INDIRECT("'"&amp;Assemblies[Assy]&amp;"'!"&amp;"A$5:A1000")))),"")), " ,", ""))</f>
        <v>,</v>
      </c>
      <c r="S184" s="56" t="s">
        <v>1382</v>
      </c>
      <c r="T184" s="2" t="s">
        <v>1382</v>
      </c>
      <c r="U184" s="2" t="s">
        <v>1382</v>
      </c>
      <c r="V184" s="2" t="s">
        <v>1382</v>
      </c>
    </row>
    <row r="185" spans="1:22" ht="12.75" customHeight="1">
      <c r="A185" s="133" t="s">
        <v>408</v>
      </c>
      <c r="B185" s="178" t="s">
        <v>2844</v>
      </c>
      <c r="C185" s="203">
        <v>23.22</v>
      </c>
      <c r="D185" s="5">
        <v>1</v>
      </c>
      <c r="E185" s="5" t="e" cm="1">
        <f t="array" aca="1" ref="E185" ca="1">SUMPRODUCT(SUMIF(INDIRECT("'"&amp;Assemblies[Assy]&amp;"'!"&amp;"C:C"),$A185,(INDIRECT("'"&amp;Assemblies[Assy]&amp;"'!"&amp;"O:O"))))</f>
        <v>#VALUE!</v>
      </c>
      <c r="F185" s="5" t="e">
        <f t="shared" ca="1" si="2"/>
        <v>#VALUE!</v>
      </c>
      <c r="G185" s="5">
        <v>5</v>
      </c>
      <c r="H185" s="2">
        <v>5</v>
      </c>
      <c r="I185" s="117" t="s">
        <v>2845</v>
      </c>
      <c r="J185" s="117" t="s">
        <v>2835</v>
      </c>
      <c r="K185" s="135" t="s">
        <v>1382</v>
      </c>
      <c r="L185" s="2">
        <v>221594</v>
      </c>
      <c r="M185" s="8">
        <v>45125</v>
      </c>
      <c r="N185" s="8">
        <v>45147</v>
      </c>
      <c r="O185" s="8">
        <v>45176</v>
      </c>
      <c r="P185" s="8">
        <v>45176</v>
      </c>
      <c r="Q185" s="229">
        <v>55042</v>
      </c>
      <c r="R185" s="115" t="str" cm="1">
        <f t="array" aca="1" ref="R185" ca="1">TRIM(SUBSTITUTE(_xlfn.ARRAYTOTEXT(IFERROR(CONCATENATE(SUMIF(INDIRECT("'"&amp;Assemblies[Assy]&amp;"'!"&amp;"C$5:C1000"), $A185, INDIRECT("'"&amp;Assemblies[Assy]&amp;"'!"&amp;"O$5:O1000")), "x",Assemblies[Assy],".",IF(SUMIF(INDIRECT("'"&amp;Assemblies[Assy]&amp;"'!"&amp;"C$5:C1000"), $A185, INDIRECT("'"&amp;Assemblies[Assy]&amp;"'!"&amp;"A$5:A1000"))=0,NA(),SUMIF(INDIRECT("'"&amp;Assemblies[Assy]&amp;"'!"&amp;"C$5:C1000"), $A185, INDIRECT("'"&amp;Assemblies[Assy]&amp;"'!"&amp;"A$5:A1000")))),"")), " ,", ""))</f>
        <v>,</v>
      </c>
      <c r="S185" s="56" t="s">
        <v>1382</v>
      </c>
      <c r="T185" s="2" t="s">
        <v>1382</v>
      </c>
      <c r="U185" s="2" t="s">
        <v>1382</v>
      </c>
      <c r="V185" s="2" t="s">
        <v>1382</v>
      </c>
    </row>
    <row r="186" spans="1:22" ht="12.75" customHeight="1">
      <c r="A186" s="133" t="s">
        <v>440</v>
      </c>
      <c r="B186" s="2" t="s">
        <v>2846</v>
      </c>
      <c r="C186" s="203">
        <v>23.22</v>
      </c>
      <c r="D186" s="5">
        <v>1</v>
      </c>
      <c r="E186" s="5" t="e" cm="1">
        <f t="array" aca="1" ref="E186" ca="1">SUMPRODUCT(SUMIF(INDIRECT("'"&amp;Assemblies[Assy]&amp;"'!"&amp;"C:C"),$A186,(INDIRECT("'"&amp;Assemblies[Assy]&amp;"'!"&amp;"O:O"))))</f>
        <v>#VALUE!</v>
      </c>
      <c r="F186" s="5" t="e">
        <f t="shared" ca="1" si="2"/>
        <v>#VALUE!</v>
      </c>
      <c r="G186" s="5">
        <v>5</v>
      </c>
      <c r="H186" s="2">
        <v>5</v>
      </c>
      <c r="I186" s="117" t="s">
        <v>2845</v>
      </c>
      <c r="J186" s="117" t="s">
        <v>2835</v>
      </c>
      <c r="K186" s="135" t="s">
        <v>1382</v>
      </c>
      <c r="L186" s="2">
        <v>2043842</v>
      </c>
      <c r="M186" s="8">
        <v>45125</v>
      </c>
      <c r="N186" s="8">
        <v>45147</v>
      </c>
      <c r="O186" s="8">
        <v>45176</v>
      </c>
      <c r="P186" s="8">
        <v>45176</v>
      </c>
      <c r="Q186" s="229">
        <v>55042</v>
      </c>
      <c r="R186" s="115" t="str" cm="1">
        <f t="array" aca="1" ref="R186" ca="1">TRIM(SUBSTITUTE(_xlfn.ARRAYTOTEXT(IFERROR(CONCATENATE(SUMIF(INDIRECT("'"&amp;Assemblies[Assy]&amp;"'!"&amp;"C$5:C1000"), $A186, INDIRECT("'"&amp;Assemblies[Assy]&amp;"'!"&amp;"O$5:O1000")), "x",Assemblies[Assy],".",IF(SUMIF(INDIRECT("'"&amp;Assemblies[Assy]&amp;"'!"&amp;"C$5:C1000"), $A186, INDIRECT("'"&amp;Assemblies[Assy]&amp;"'!"&amp;"A$5:A1000"))=0,NA(),SUMIF(INDIRECT("'"&amp;Assemblies[Assy]&amp;"'!"&amp;"C$5:C1000"), $A186, INDIRECT("'"&amp;Assemblies[Assy]&amp;"'!"&amp;"A$5:A1000")))),"")), " ,", ""))</f>
        <v>,</v>
      </c>
      <c r="S186" s="56" t="s">
        <v>1382</v>
      </c>
      <c r="T186" s="2" t="s">
        <v>1382</v>
      </c>
      <c r="U186" s="2" t="s">
        <v>1382</v>
      </c>
      <c r="V186" s="2" t="s">
        <v>1382</v>
      </c>
    </row>
    <row r="187" spans="1:22" ht="12.75" customHeight="1">
      <c r="A187" s="133" t="s">
        <v>409</v>
      </c>
      <c r="B187" s="115" t="s">
        <v>2847</v>
      </c>
      <c r="C187" s="203">
        <v>48.31</v>
      </c>
      <c r="D187" s="5">
        <v>1</v>
      </c>
      <c r="E187" s="5" t="e" cm="1">
        <f t="array" aca="1" ref="E187" ca="1">SUMPRODUCT(SUMIF(INDIRECT("'"&amp;Assemblies[Assy]&amp;"'!"&amp;"C:C"),$A187,(INDIRECT("'"&amp;Assemblies[Assy]&amp;"'!"&amp;"O:O"))))</f>
        <v>#VALUE!</v>
      </c>
      <c r="F187" s="5" t="e">
        <f t="shared" ca="1" si="2"/>
        <v>#VALUE!</v>
      </c>
      <c r="G187" s="5">
        <v>5</v>
      </c>
      <c r="H187" s="2">
        <v>5</v>
      </c>
      <c r="I187" s="117" t="s">
        <v>2845</v>
      </c>
      <c r="J187" s="117" t="s">
        <v>2835</v>
      </c>
      <c r="K187" s="135" t="s">
        <v>1382</v>
      </c>
      <c r="L187" s="2">
        <v>9165546</v>
      </c>
      <c r="M187" s="8">
        <v>45125</v>
      </c>
      <c r="N187" s="8">
        <v>45147</v>
      </c>
      <c r="O187" s="8">
        <v>45176</v>
      </c>
      <c r="P187" s="8">
        <v>45176</v>
      </c>
      <c r="Q187" s="229">
        <v>55042</v>
      </c>
      <c r="R187" s="115" t="str" cm="1">
        <f t="array" aca="1" ref="R187" ca="1">TRIM(SUBSTITUTE(_xlfn.ARRAYTOTEXT(IFERROR(CONCATENATE(SUMIF(INDIRECT("'"&amp;Assemblies[Assy]&amp;"'!"&amp;"C$5:C1000"), $A187, INDIRECT("'"&amp;Assemblies[Assy]&amp;"'!"&amp;"O$5:O1000")), "x",Assemblies[Assy],".",IF(SUMIF(INDIRECT("'"&amp;Assemblies[Assy]&amp;"'!"&amp;"C$5:C1000"), $A187, INDIRECT("'"&amp;Assemblies[Assy]&amp;"'!"&amp;"A$5:A1000"))=0,NA(),SUMIF(INDIRECT("'"&amp;Assemblies[Assy]&amp;"'!"&amp;"C$5:C1000"), $A187, INDIRECT("'"&amp;Assemblies[Assy]&amp;"'!"&amp;"A$5:A1000")))),"")), " ,", ""))</f>
        <v>,</v>
      </c>
      <c r="S187" s="56" t="s">
        <v>1382</v>
      </c>
      <c r="T187" s="2" t="s">
        <v>1382</v>
      </c>
      <c r="U187" s="2" t="s">
        <v>1382</v>
      </c>
      <c r="V187" s="2" t="s">
        <v>1382</v>
      </c>
    </row>
    <row r="188" spans="1:22" ht="12.75" customHeight="1">
      <c r="A188" s="133" t="s">
        <v>407</v>
      </c>
      <c r="B188" s="2" t="s">
        <v>2848</v>
      </c>
      <c r="C188" s="168">
        <v>110.48</v>
      </c>
      <c r="D188" s="5">
        <v>1</v>
      </c>
      <c r="E188" s="5" t="e" cm="1">
        <f t="array" aca="1" ref="E188" ca="1">SUMPRODUCT(SUMIF(INDIRECT("'"&amp;Assemblies[Assy]&amp;"'!"&amp;"C:C"),$A188,(INDIRECT("'"&amp;Assemblies[Assy]&amp;"'!"&amp;"O:O"))))</f>
        <v>#VALUE!</v>
      </c>
      <c r="F188" s="5" t="e">
        <f t="shared" ca="1" si="2"/>
        <v>#VALUE!</v>
      </c>
      <c r="G188" s="5">
        <v>10</v>
      </c>
      <c r="H188" s="2">
        <v>10</v>
      </c>
      <c r="I188" s="117" t="s">
        <v>2845</v>
      </c>
      <c r="J188" s="117" t="s">
        <v>2835</v>
      </c>
      <c r="K188" s="135" t="s">
        <v>1382</v>
      </c>
      <c r="L188" s="157">
        <v>3220129</v>
      </c>
      <c r="M188" s="8">
        <v>45125</v>
      </c>
      <c r="N188" s="8">
        <v>45147</v>
      </c>
      <c r="O188" s="8">
        <v>45176</v>
      </c>
      <c r="P188" s="8">
        <v>45176</v>
      </c>
      <c r="Q188" s="229">
        <v>55042</v>
      </c>
      <c r="R188" s="115" t="str" cm="1">
        <f t="array" aca="1" ref="R188" ca="1">TRIM(SUBSTITUTE(_xlfn.ARRAYTOTEXT(IFERROR(CONCATENATE(SUMIF(INDIRECT("'"&amp;Assemblies[Assy]&amp;"'!"&amp;"C$5:C1000"), $A188, INDIRECT("'"&amp;Assemblies[Assy]&amp;"'!"&amp;"O$5:O1000")), "x",Assemblies[Assy],".",IF(SUMIF(INDIRECT("'"&amp;Assemblies[Assy]&amp;"'!"&amp;"C$5:C1000"), $A188, INDIRECT("'"&amp;Assemblies[Assy]&amp;"'!"&amp;"A$5:A1000"))=0,NA(),SUMIF(INDIRECT("'"&amp;Assemblies[Assy]&amp;"'!"&amp;"C$5:C1000"), $A188, INDIRECT("'"&amp;Assemblies[Assy]&amp;"'!"&amp;"A$5:A1000")))),"")), " ,", ""))</f>
        <v>,</v>
      </c>
      <c r="S188" s="56" t="s">
        <v>1382</v>
      </c>
      <c r="T188" s="2" t="s">
        <v>1382</v>
      </c>
      <c r="U188" s="2" t="s">
        <v>1382</v>
      </c>
      <c r="V188" s="2" t="s">
        <v>1382</v>
      </c>
    </row>
    <row r="189" spans="1:22" ht="12.75" customHeight="1">
      <c r="A189" s="133" t="s">
        <v>90</v>
      </c>
      <c r="B189" s="2" t="s">
        <v>2849</v>
      </c>
      <c r="C189" s="168">
        <v>1425</v>
      </c>
      <c r="D189" s="5">
        <v>1</v>
      </c>
      <c r="E189" s="5" t="e" cm="1">
        <f t="array" aca="1" ref="E189" ca="1">SUMPRODUCT(SUMIF(INDIRECT("'"&amp;Assemblies[Assy]&amp;"'!"&amp;"C:C"),$A189,(INDIRECT("'"&amp;Assemblies[Assy]&amp;"'!"&amp;"O:O"))))</f>
        <v>#VALUE!</v>
      </c>
      <c r="F189" s="5" t="e">
        <f t="shared" ca="1" si="2"/>
        <v>#VALUE!</v>
      </c>
      <c r="G189" s="5">
        <v>1</v>
      </c>
      <c r="H189" s="2">
        <v>1</v>
      </c>
      <c r="I189" s="117" t="s">
        <v>2850</v>
      </c>
      <c r="J189" s="117" t="s">
        <v>2851</v>
      </c>
      <c r="K189" s="135" t="s">
        <v>1382</v>
      </c>
      <c r="L189" s="2" t="s">
        <v>1382</v>
      </c>
      <c r="M189" s="8" t="s">
        <v>1762</v>
      </c>
      <c r="N189" s="8">
        <v>45012</v>
      </c>
      <c r="O189" s="8">
        <v>45042</v>
      </c>
      <c r="P189" s="8">
        <v>45042</v>
      </c>
      <c r="Q189" s="229">
        <v>54821</v>
      </c>
      <c r="R189" s="115" t="str" cm="1">
        <f t="array" aca="1" ref="R189" ca="1">TRIM(SUBSTITUTE(_xlfn.ARRAYTOTEXT(IFERROR(CONCATENATE(SUMIF(INDIRECT("'"&amp;Assemblies[Assy]&amp;"'!"&amp;"C$5:C1000"), $A189, INDIRECT("'"&amp;Assemblies[Assy]&amp;"'!"&amp;"O$5:O1000")), "x",Assemblies[Assy],".",IF(SUMIF(INDIRECT("'"&amp;Assemblies[Assy]&amp;"'!"&amp;"C$5:C1000"), $A189, INDIRECT("'"&amp;Assemblies[Assy]&amp;"'!"&amp;"A$5:A1000"))=0,NA(),SUMIF(INDIRECT("'"&amp;Assemblies[Assy]&amp;"'!"&amp;"C$5:C1000"), $A189, INDIRECT("'"&amp;Assemblies[Assy]&amp;"'!"&amp;"A$5:A1000")))),"")), " ,", ""))</f>
        <v>,</v>
      </c>
      <c r="S189" s="56" t="s">
        <v>1382</v>
      </c>
      <c r="T189" s="2" t="s">
        <v>1382</v>
      </c>
      <c r="U189" s="2" t="s">
        <v>1382</v>
      </c>
      <c r="V189" s="2" t="s">
        <v>1382</v>
      </c>
    </row>
    <row r="190" spans="1:22" ht="12.75" customHeight="1">
      <c r="A190" s="133" t="s">
        <v>537</v>
      </c>
      <c r="B190" s="2" t="s">
        <v>2852</v>
      </c>
      <c r="C190" s="168">
        <v>74.593999999999994</v>
      </c>
      <c r="D190" s="5">
        <v>1</v>
      </c>
      <c r="E190" s="5" t="e" cm="1">
        <f t="array" aca="1" ref="E190" ca="1">SUMPRODUCT(SUMIF(INDIRECT("'"&amp;Assemblies[Assy]&amp;"'!"&amp;"C:C"),$A190,(INDIRECT("'"&amp;Assemblies[Assy]&amp;"'!"&amp;"O:O"))))</f>
        <v>#VALUE!</v>
      </c>
      <c r="F190" s="5" t="e">
        <f t="shared" ca="1" si="2"/>
        <v>#VALUE!</v>
      </c>
      <c r="G190" s="5">
        <v>10</v>
      </c>
      <c r="H190" s="2">
        <v>10</v>
      </c>
      <c r="I190" s="117" t="s">
        <v>2853</v>
      </c>
      <c r="J190" s="117" t="s">
        <v>2854</v>
      </c>
      <c r="K190" s="135" t="s">
        <v>1382</v>
      </c>
      <c r="L190" s="2" t="s">
        <v>1382</v>
      </c>
      <c r="M190" s="8" t="s">
        <v>1762</v>
      </c>
      <c r="N190" s="8">
        <v>45176</v>
      </c>
      <c r="O190" s="8">
        <v>45190</v>
      </c>
      <c r="P190" s="8">
        <v>45194</v>
      </c>
      <c r="Q190" s="229">
        <v>55122</v>
      </c>
      <c r="R190" s="115" t="str" cm="1">
        <f t="array" aca="1" ref="R190" ca="1">TRIM(SUBSTITUTE(_xlfn.ARRAYTOTEXT(IFERROR(CONCATENATE(SUMIF(INDIRECT("'"&amp;Assemblies[Assy]&amp;"'!"&amp;"C$5:C1000"), $A190, INDIRECT("'"&amp;Assemblies[Assy]&amp;"'!"&amp;"O$5:O1000")), "x",Assemblies[Assy],".",IF(SUMIF(INDIRECT("'"&amp;Assemblies[Assy]&amp;"'!"&amp;"C$5:C1000"), $A190, INDIRECT("'"&amp;Assemblies[Assy]&amp;"'!"&amp;"A$5:A1000"))=0,NA(),SUMIF(INDIRECT("'"&amp;Assemblies[Assy]&amp;"'!"&amp;"C$5:C1000"), $A190, INDIRECT("'"&amp;Assemblies[Assy]&amp;"'!"&amp;"A$5:A1000")))),"")), " ,", ""))</f>
        <v>,</v>
      </c>
      <c r="S190" s="56" t="s">
        <v>1382</v>
      </c>
      <c r="T190" s="2" t="s">
        <v>1382</v>
      </c>
      <c r="U190" s="2" t="s">
        <v>1382</v>
      </c>
      <c r="V190" s="2" t="s">
        <v>1382</v>
      </c>
    </row>
    <row r="191" spans="1:22" ht="12.75" customHeight="1">
      <c r="A191" s="133" t="s">
        <v>534</v>
      </c>
      <c r="B191" s="2" t="s">
        <v>2855</v>
      </c>
      <c r="C191" s="168">
        <v>92.430999999999997</v>
      </c>
      <c r="D191" s="5">
        <v>1</v>
      </c>
      <c r="E191" s="5" t="e" cm="1">
        <f t="array" aca="1" ref="E191" ca="1">SUMPRODUCT(SUMIF(INDIRECT("'"&amp;Assemblies[Assy]&amp;"'!"&amp;"C:C"),$A191,(INDIRECT("'"&amp;Assemblies[Assy]&amp;"'!"&amp;"O:O"))))</f>
        <v>#VALUE!</v>
      </c>
      <c r="F191" s="5" t="e">
        <f t="shared" ca="1" si="2"/>
        <v>#VALUE!</v>
      </c>
      <c r="G191" s="5">
        <v>5</v>
      </c>
      <c r="H191" s="2">
        <v>5</v>
      </c>
      <c r="I191" s="117" t="s">
        <v>2853</v>
      </c>
      <c r="J191" s="117" t="s">
        <v>2854</v>
      </c>
      <c r="K191" s="135" t="s">
        <v>1382</v>
      </c>
      <c r="L191" s="2" t="s">
        <v>1382</v>
      </c>
      <c r="M191" s="8" t="s">
        <v>1762</v>
      </c>
      <c r="N191" s="8">
        <v>45176</v>
      </c>
      <c r="O191" s="8">
        <v>45190</v>
      </c>
      <c r="P191" s="8">
        <v>45194</v>
      </c>
      <c r="Q191" s="229">
        <v>55122</v>
      </c>
      <c r="R191" s="115" t="str" cm="1">
        <f t="array" aca="1" ref="R191" ca="1">TRIM(SUBSTITUTE(_xlfn.ARRAYTOTEXT(IFERROR(CONCATENATE(SUMIF(INDIRECT("'"&amp;Assemblies[Assy]&amp;"'!"&amp;"C$5:C1000"), $A191, INDIRECT("'"&amp;Assemblies[Assy]&amp;"'!"&amp;"O$5:O1000")), "x",Assemblies[Assy],".",IF(SUMIF(INDIRECT("'"&amp;Assemblies[Assy]&amp;"'!"&amp;"C$5:C1000"), $A191, INDIRECT("'"&amp;Assemblies[Assy]&amp;"'!"&amp;"A$5:A1000"))=0,NA(),SUMIF(INDIRECT("'"&amp;Assemblies[Assy]&amp;"'!"&amp;"C$5:C1000"), $A191, INDIRECT("'"&amp;Assemblies[Assy]&amp;"'!"&amp;"A$5:A1000")))),"")), " ,", ""))</f>
        <v>,</v>
      </c>
      <c r="S191" s="56" t="s">
        <v>1382</v>
      </c>
      <c r="T191" s="2" t="s">
        <v>1382</v>
      </c>
      <c r="U191" s="2" t="s">
        <v>1382</v>
      </c>
      <c r="V191" s="2" t="s">
        <v>1382</v>
      </c>
    </row>
    <row r="192" spans="1:22" ht="12.75" customHeight="1">
      <c r="A192" s="133" t="s">
        <v>536</v>
      </c>
      <c r="B192" s="2" t="s">
        <v>2856</v>
      </c>
      <c r="C192" s="168">
        <v>7.0869999999999997</v>
      </c>
      <c r="D192" s="5">
        <v>1</v>
      </c>
      <c r="E192" s="5" t="e" cm="1">
        <f t="array" aca="1" ref="E192" ca="1">SUMPRODUCT(SUMIF(INDIRECT("'"&amp;Assemblies[Assy]&amp;"'!"&amp;"C:C"),$A192,(INDIRECT("'"&amp;Assemblies[Assy]&amp;"'!"&amp;"O:O"))))</f>
        <v>#VALUE!</v>
      </c>
      <c r="F192" s="5" t="e">
        <f t="shared" ca="1" si="2"/>
        <v>#VALUE!</v>
      </c>
      <c r="G192" s="5">
        <v>2</v>
      </c>
      <c r="H192" s="2">
        <v>2</v>
      </c>
      <c r="I192" s="117" t="s">
        <v>2853</v>
      </c>
      <c r="J192" s="117" t="s">
        <v>2854</v>
      </c>
      <c r="K192" s="135" t="s">
        <v>1382</v>
      </c>
      <c r="L192" s="2" t="s">
        <v>1382</v>
      </c>
      <c r="M192" s="8" t="s">
        <v>1762</v>
      </c>
      <c r="N192" s="8">
        <v>45176</v>
      </c>
      <c r="O192" s="8">
        <v>45190</v>
      </c>
      <c r="P192" s="8">
        <v>45194</v>
      </c>
      <c r="Q192" s="229">
        <v>55122</v>
      </c>
      <c r="R192" s="115" t="str" cm="1">
        <f t="array" aca="1" ref="R192" ca="1">TRIM(SUBSTITUTE(_xlfn.ARRAYTOTEXT(IFERROR(CONCATENATE(SUMIF(INDIRECT("'"&amp;Assemblies[Assy]&amp;"'!"&amp;"C$5:C1000"), $A192, INDIRECT("'"&amp;Assemblies[Assy]&amp;"'!"&amp;"O$5:O1000")), "x",Assemblies[Assy],".",IF(SUMIF(INDIRECT("'"&amp;Assemblies[Assy]&amp;"'!"&amp;"C$5:C1000"), $A192, INDIRECT("'"&amp;Assemblies[Assy]&amp;"'!"&amp;"A$5:A1000"))=0,NA(),SUMIF(INDIRECT("'"&amp;Assemblies[Assy]&amp;"'!"&amp;"C$5:C1000"), $A192, INDIRECT("'"&amp;Assemblies[Assy]&amp;"'!"&amp;"A$5:A1000")))),"")), " ,", ""))</f>
        <v>,</v>
      </c>
      <c r="S192" s="56" t="s">
        <v>1382</v>
      </c>
      <c r="T192" s="2" t="s">
        <v>1382</v>
      </c>
      <c r="U192" s="2" t="s">
        <v>1382</v>
      </c>
      <c r="V192" s="2" t="s">
        <v>1382</v>
      </c>
    </row>
    <row r="193" spans="1:22" ht="12.75" customHeight="1">
      <c r="A193" s="133" t="s">
        <v>535</v>
      </c>
      <c r="B193" s="2" t="s">
        <v>2857</v>
      </c>
      <c r="C193" s="168">
        <v>7.7176</v>
      </c>
      <c r="D193" s="5">
        <v>1</v>
      </c>
      <c r="E193" s="5" t="e" cm="1">
        <f t="array" aca="1" ref="E193" ca="1">SUMPRODUCT(SUMIF(INDIRECT("'"&amp;Assemblies[Assy]&amp;"'!"&amp;"C:C"),$A193,(INDIRECT("'"&amp;Assemblies[Assy]&amp;"'!"&amp;"O:O"))))</f>
        <v>#VALUE!</v>
      </c>
      <c r="F193" s="5" t="e">
        <f t="shared" ca="1" si="2"/>
        <v>#VALUE!</v>
      </c>
      <c r="G193" s="5">
        <v>3</v>
      </c>
      <c r="H193" s="2">
        <v>3</v>
      </c>
      <c r="I193" s="117" t="s">
        <v>2853</v>
      </c>
      <c r="J193" s="117" t="s">
        <v>2854</v>
      </c>
      <c r="K193" s="135" t="s">
        <v>1382</v>
      </c>
      <c r="L193" s="2" t="s">
        <v>1382</v>
      </c>
      <c r="M193" s="8" t="s">
        <v>1762</v>
      </c>
      <c r="N193" s="8">
        <v>45176</v>
      </c>
      <c r="O193" s="8">
        <v>45190</v>
      </c>
      <c r="P193" s="8">
        <v>45194</v>
      </c>
      <c r="Q193" s="229">
        <v>55122</v>
      </c>
      <c r="R193" s="115" t="str" cm="1">
        <f t="array" aca="1" ref="R193" ca="1">TRIM(SUBSTITUTE(_xlfn.ARRAYTOTEXT(IFERROR(CONCATENATE(SUMIF(INDIRECT("'"&amp;Assemblies[Assy]&amp;"'!"&amp;"C$5:C1000"), $A193, INDIRECT("'"&amp;Assemblies[Assy]&amp;"'!"&amp;"O$5:O1000")), "x",Assemblies[Assy],".",IF(SUMIF(INDIRECT("'"&amp;Assemblies[Assy]&amp;"'!"&amp;"C$5:C1000"), $A193, INDIRECT("'"&amp;Assemblies[Assy]&amp;"'!"&amp;"A$5:A1000"))=0,NA(),SUMIF(INDIRECT("'"&amp;Assemblies[Assy]&amp;"'!"&amp;"C$5:C1000"), $A193, INDIRECT("'"&amp;Assemblies[Assy]&amp;"'!"&amp;"A$5:A1000")))),"")), " ,", ""))</f>
        <v>,</v>
      </c>
      <c r="S193" s="56" t="s">
        <v>1382</v>
      </c>
      <c r="T193" s="2" t="s">
        <v>1382</v>
      </c>
      <c r="U193" s="2" t="s">
        <v>1382</v>
      </c>
      <c r="V193" s="2" t="s">
        <v>1382</v>
      </c>
    </row>
    <row r="194" spans="1:22" ht="12.75" customHeight="1">
      <c r="A194" s="2" t="s">
        <v>1337</v>
      </c>
      <c r="B194" s="2" t="s">
        <v>2858</v>
      </c>
      <c r="C194" s="168">
        <v>4.91</v>
      </c>
      <c r="D194" s="5">
        <v>1</v>
      </c>
      <c r="E194" s="5" t="e" cm="1">
        <f t="array" aca="1" ref="E194" ca="1">SUMPRODUCT(SUMIF(INDIRECT("'"&amp;Assemblies[Assy]&amp;"'!"&amp;"C:C"),$A194,(INDIRECT("'"&amp;Assemblies[Assy]&amp;"'!"&amp;"O:O"))))</f>
        <v>#VALUE!</v>
      </c>
      <c r="F194" s="5" t="e">
        <f t="shared" ref="F194:F257" ca="1" si="3">E194/D194</f>
        <v>#VALUE!</v>
      </c>
      <c r="G194" s="5">
        <v>1</v>
      </c>
      <c r="H194" s="2">
        <v>1</v>
      </c>
      <c r="I194" s="117" t="s">
        <v>2859</v>
      </c>
      <c r="J194" s="117" t="s">
        <v>2859</v>
      </c>
      <c r="M194" s="8">
        <v>45202</v>
      </c>
      <c r="N194" s="8">
        <v>45203</v>
      </c>
      <c r="O194" s="8">
        <v>45205</v>
      </c>
      <c r="P194" s="8">
        <v>45205</v>
      </c>
      <c r="Q194" s="229">
        <v>55184</v>
      </c>
      <c r="R194" s="115" t="str" cm="1">
        <f t="array" aca="1" ref="R194" ca="1">TRIM(SUBSTITUTE(_xlfn.ARRAYTOTEXT(IFERROR(CONCATENATE(SUMIF(INDIRECT("'"&amp;Assemblies!$B$2:$B$152&amp;"'!"&amp;"C$5:C1000"), $A194, INDIRECT("'"&amp;Assemblies!$B$2:$B$152&amp;"'!"&amp;"O$5:O1000")), "x",Assemblies!$B$2:$B$152,".",IF(SUMIF(INDIRECT("'"&amp;Assemblies!$B$2:$B$152&amp;"'!"&amp;"C$5:C1000"), $A194, INDIRECT("'"&amp;Assemblies!$B$2:$B$152&amp;"'!"&amp;"A$5:A1000"))=0,NA(),SUMIF(INDIRECT("'"&amp;Assemblies!$B$2:$B$152&amp;"'!"&amp;"C$5:C1000"), $A194, INDIRECT("'"&amp;Assemblies!$B$2:$B$152&amp;"'!"&amp;"A$5:A1000")))),"")), " ,", ""))</f>
        <v>,</v>
      </c>
      <c r="S194" s="56" t="s">
        <v>1382</v>
      </c>
      <c r="T194" s="2" t="s">
        <v>1382</v>
      </c>
      <c r="U194" s="2" t="s">
        <v>1382</v>
      </c>
      <c r="V194" s="2" t="s">
        <v>1382</v>
      </c>
    </row>
    <row r="195" spans="1:22" ht="12.75" customHeight="1">
      <c r="A195" s="133" t="s">
        <v>1336</v>
      </c>
      <c r="B195" s="2" t="s">
        <v>2860</v>
      </c>
      <c r="C195" s="168">
        <v>44.32</v>
      </c>
      <c r="D195" s="5">
        <v>1</v>
      </c>
      <c r="E195" s="5" t="e" cm="1">
        <f t="array" aca="1" ref="E195" ca="1">SUMPRODUCT(SUMIF(INDIRECT("'"&amp;Assemblies[Assy]&amp;"'!"&amp;"C:C"),$A195,(INDIRECT("'"&amp;Assemblies[Assy]&amp;"'!"&amp;"O:O"))))</f>
        <v>#VALUE!</v>
      </c>
      <c r="F195" s="5" t="e">
        <f t="shared" ca="1" si="3"/>
        <v>#VALUE!</v>
      </c>
      <c r="G195" s="5">
        <v>1</v>
      </c>
      <c r="H195" s="2">
        <v>1</v>
      </c>
      <c r="I195" s="117" t="s">
        <v>2859</v>
      </c>
      <c r="J195" s="117" t="s">
        <v>2859</v>
      </c>
      <c r="K195" s="135" t="s">
        <v>1382</v>
      </c>
      <c r="L195" s="2" t="s">
        <v>1382</v>
      </c>
      <c r="M195" s="8">
        <v>45154</v>
      </c>
      <c r="N195" s="8">
        <v>45161</v>
      </c>
      <c r="O195" s="8">
        <v>45191</v>
      </c>
      <c r="P195" s="8">
        <v>45208</v>
      </c>
      <c r="Q195" s="229">
        <v>55076</v>
      </c>
      <c r="R195" s="115" t="str" cm="1">
        <f t="array" aca="1" ref="R195" ca="1">TRIM(SUBSTITUTE(_xlfn.ARRAYTOTEXT(IFERROR(CONCATENATE(SUMIF(INDIRECT("'"&amp;Assemblies[Assy]&amp;"'!"&amp;"C$5:C1000"), $A195, INDIRECT("'"&amp;Assemblies[Assy]&amp;"'!"&amp;"O$5:O1000")), "x",Assemblies[Assy],".",IF(SUMIF(INDIRECT("'"&amp;Assemblies[Assy]&amp;"'!"&amp;"C$5:C1000"), $A195, INDIRECT("'"&amp;Assemblies[Assy]&amp;"'!"&amp;"A$5:A1000"))=0,NA(),SUMIF(INDIRECT("'"&amp;Assemblies[Assy]&amp;"'!"&amp;"C$5:C1000"), $A195, INDIRECT("'"&amp;Assemblies[Assy]&amp;"'!"&amp;"A$5:A1000")))),"")), " ,", ""))</f>
        <v>,</v>
      </c>
      <c r="S195" s="56" t="s">
        <v>1382</v>
      </c>
      <c r="T195" s="2" t="s">
        <v>1382</v>
      </c>
      <c r="U195" s="2" t="s">
        <v>1382</v>
      </c>
      <c r="V195" s="2" t="s">
        <v>1382</v>
      </c>
    </row>
    <row r="196" spans="1:22" ht="12.75" customHeight="1">
      <c r="A196" s="133" t="s">
        <v>464</v>
      </c>
      <c r="B196" s="2" t="s">
        <v>2861</v>
      </c>
      <c r="C196" s="168">
        <v>74.900000000000006</v>
      </c>
      <c r="D196" s="5">
        <v>1</v>
      </c>
      <c r="E196" s="5" t="e" cm="1">
        <f t="array" aca="1" ref="E196" ca="1">SUMPRODUCT(SUMIF(INDIRECT("'"&amp;Assemblies[Assy]&amp;"'!"&amp;"C:C"),$A196,(INDIRECT("'"&amp;Assemblies[Assy]&amp;"'!"&amp;"O:O"))))</f>
        <v>#VALUE!</v>
      </c>
      <c r="F196" s="5" t="e">
        <f t="shared" ca="1" si="3"/>
        <v>#VALUE!</v>
      </c>
      <c r="G196" s="5">
        <v>1</v>
      </c>
      <c r="H196" s="2">
        <v>1</v>
      </c>
      <c r="I196" s="150" t="s">
        <v>2859</v>
      </c>
      <c r="J196" s="150" t="s">
        <v>2859</v>
      </c>
      <c r="K196" s="135" t="s">
        <v>1382</v>
      </c>
      <c r="L196" s="2" t="s">
        <v>1382</v>
      </c>
      <c r="M196" s="8">
        <v>45125</v>
      </c>
      <c r="N196" s="8">
        <v>45161</v>
      </c>
      <c r="O196" s="8">
        <v>45191</v>
      </c>
      <c r="P196" s="8">
        <v>45208</v>
      </c>
      <c r="Q196" s="229">
        <v>55076</v>
      </c>
      <c r="R196" s="115" t="str" cm="1">
        <f t="array" aca="1" ref="R196" ca="1">TRIM(SUBSTITUTE(_xlfn.ARRAYTOTEXT(IFERROR(CONCATENATE(SUMIF(INDIRECT("'"&amp;Assemblies[Assy]&amp;"'!"&amp;"C$5:C1000"), $A196, INDIRECT("'"&amp;Assemblies[Assy]&amp;"'!"&amp;"O$5:O1000")), "x",Assemblies[Assy],".",IF(SUMIF(INDIRECT("'"&amp;Assemblies[Assy]&amp;"'!"&amp;"C$5:C1000"), $A196, INDIRECT("'"&amp;Assemblies[Assy]&amp;"'!"&amp;"A$5:A1000"))=0,NA(),SUMIF(INDIRECT("'"&amp;Assemblies[Assy]&amp;"'!"&amp;"C$5:C1000"), $A196, INDIRECT("'"&amp;Assemblies[Assy]&amp;"'!"&amp;"A$5:A1000")))),"")), " ,", ""))</f>
        <v>,</v>
      </c>
      <c r="S196" s="56" t="s">
        <v>1382</v>
      </c>
      <c r="T196" s="2" t="s">
        <v>1382</v>
      </c>
      <c r="U196" s="2" t="s">
        <v>1382</v>
      </c>
      <c r="V196" s="2" t="s">
        <v>1382</v>
      </c>
    </row>
    <row r="197" spans="1:22" ht="12.75" customHeight="1">
      <c r="A197" s="133" t="s">
        <v>692</v>
      </c>
      <c r="B197" s="2" t="s">
        <v>2862</v>
      </c>
      <c r="C197" s="168">
        <v>86.55</v>
      </c>
      <c r="D197" s="5">
        <v>1</v>
      </c>
      <c r="E197" s="5" t="e" cm="1">
        <f t="array" aca="1" ref="E197" ca="1">SUMPRODUCT(SUMIF(INDIRECT("'"&amp;Assemblies[Assy]&amp;"'!"&amp;"C:C"),$A197,(INDIRECT("'"&amp;Assemblies[Assy]&amp;"'!"&amp;"O:O"))))</f>
        <v>#VALUE!</v>
      </c>
      <c r="F197" s="5" t="e">
        <f t="shared" ca="1" si="3"/>
        <v>#VALUE!</v>
      </c>
      <c r="G197" s="5">
        <v>4</v>
      </c>
      <c r="H197" s="2">
        <v>4</v>
      </c>
      <c r="I197" s="117" t="s">
        <v>2859</v>
      </c>
      <c r="J197" s="117" t="s">
        <v>2859</v>
      </c>
      <c r="K197" s="135" t="s">
        <v>1382</v>
      </c>
      <c r="L197" s="2" t="s">
        <v>1382</v>
      </c>
      <c r="M197" s="8">
        <v>45125</v>
      </c>
      <c r="N197" s="8">
        <v>45161</v>
      </c>
      <c r="O197" s="8">
        <v>45191</v>
      </c>
      <c r="P197" s="8">
        <v>45208</v>
      </c>
      <c r="Q197" s="229">
        <v>55076</v>
      </c>
      <c r="R197" s="115" t="str" cm="1">
        <f t="array" aca="1" ref="R197" ca="1">TRIM(SUBSTITUTE(_xlfn.ARRAYTOTEXT(IFERROR(CONCATENATE(SUMIF(INDIRECT("'"&amp;Assemblies[Assy]&amp;"'!"&amp;"C$5:C1000"), $A197, INDIRECT("'"&amp;Assemblies[Assy]&amp;"'!"&amp;"O$5:O1000")), "x",Assemblies[Assy],".",IF(SUMIF(INDIRECT("'"&amp;Assemblies[Assy]&amp;"'!"&amp;"C$5:C1000"), $A197, INDIRECT("'"&amp;Assemblies[Assy]&amp;"'!"&amp;"A$5:A1000"))=0,NA(),SUMIF(INDIRECT("'"&amp;Assemblies[Assy]&amp;"'!"&amp;"C$5:C1000"), $A197, INDIRECT("'"&amp;Assemblies[Assy]&amp;"'!"&amp;"A$5:A1000")))),"")), " ,", ""))</f>
        <v>,</v>
      </c>
      <c r="S197" s="56" t="s">
        <v>1382</v>
      </c>
      <c r="T197" s="2" t="s">
        <v>1382</v>
      </c>
      <c r="U197" s="2" t="s">
        <v>1382</v>
      </c>
      <c r="V197" s="2" t="s">
        <v>1382</v>
      </c>
    </row>
    <row r="198" spans="1:22" ht="12.75" customHeight="1">
      <c r="A198" s="133" t="s">
        <v>466</v>
      </c>
      <c r="B198" s="2" t="s">
        <v>2862</v>
      </c>
      <c r="C198" s="168">
        <v>266.61</v>
      </c>
      <c r="D198" s="5">
        <v>1</v>
      </c>
      <c r="E198" s="5" t="e" cm="1">
        <f t="array" aca="1" ref="E198" ca="1">SUMPRODUCT(SUMIF(INDIRECT("'"&amp;Assemblies[Assy]&amp;"'!"&amp;"C:C"),$A198,(INDIRECT("'"&amp;Assemblies[Assy]&amp;"'!"&amp;"O:O"))))</f>
        <v>#VALUE!</v>
      </c>
      <c r="F198" s="5" t="e">
        <f t="shared" ca="1" si="3"/>
        <v>#VALUE!</v>
      </c>
      <c r="G198" s="5">
        <v>1</v>
      </c>
      <c r="H198" s="2">
        <v>1</v>
      </c>
      <c r="I198" s="150" t="s">
        <v>2859</v>
      </c>
      <c r="J198" s="150" t="s">
        <v>2859</v>
      </c>
      <c r="K198" s="135" t="s">
        <v>1382</v>
      </c>
      <c r="L198" s="2" t="s">
        <v>1382</v>
      </c>
      <c r="M198" s="8">
        <v>45125</v>
      </c>
      <c r="N198" s="8">
        <v>45161</v>
      </c>
      <c r="O198" s="8">
        <v>45191</v>
      </c>
      <c r="P198" s="8">
        <v>45208</v>
      </c>
      <c r="Q198" s="229">
        <v>55076</v>
      </c>
      <c r="R198" s="115" t="str" cm="1">
        <f t="array" aca="1" ref="R198" ca="1">TRIM(SUBSTITUTE(_xlfn.ARRAYTOTEXT(IFERROR(CONCATENATE(SUMIF(INDIRECT("'"&amp;Assemblies[Assy]&amp;"'!"&amp;"C$5:C1000"), $A198, INDIRECT("'"&amp;Assemblies[Assy]&amp;"'!"&amp;"O$5:O1000")), "x",Assemblies[Assy],".",IF(SUMIF(INDIRECT("'"&amp;Assemblies[Assy]&amp;"'!"&amp;"C$5:C1000"), $A198, INDIRECT("'"&amp;Assemblies[Assy]&amp;"'!"&amp;"A$5:A1000"))=0,NA(),SUMIF(INDIRECT("'"&amp;Assemblies[Assy]&amp;"'!"&amp;"C$5:C1000"), $A198, INDIRECT("'"&amp;Assemblies[Assy]&amp;"'!"&amp;"A$5:A1000")))),"")), " ,", ""))</f>
        <v>,</v>
      </c>
      <c r="S198" s="56" t="s">
        <v>1382</v>
      </c>
      <c r="T198" s="2" t="s">
        <v>1382</v>
      </c>
      <c r="U198" s="2" t="s">
        <v>1382</v>
      </c>
      <c r="V198" s="2" t="s">
        <v>1382</v>
      </c>
    </row>
    <row r="199" spans="1:22" ht="12.75" customHeight="1">
      <c r="A199" s="133" t="s">
        <v>752</v>
      </c>
      <c r="B199" s="2" t="s">
        <v>2862</v>
      </c>
      <c r="C199" s="168">
        <v>236.85</v>
      </c>
      <c r="D199" s="5">
        <v>1</v>
      </c>
      <c r="E199" s="5" t="e" cm="1">
        <f t="array" aca="1" ref="E199" ca="1">SUMPRODUCT(SUMIF(INDIRECT("'"&amp;Assemblies[Assy]&amp;"'!"&amp;"C:C"),$A199,(INDIRECT("'"&amp;Assemblies[Assy]&amp;"'!"&amp;"O:O"))))</f>
        <v>#VALUE!</v>
      </c>
      <c r="F199" s="5" t="e">
        <f t="shared" ca="1" si="3"/>
        <v>#VALUE!</v>
      </c>
      <c r="G199" s="5">
        <v>2</v>
      </c>
      <c r="H199" s="2">
        <v>2</v>
      </c>
      <c r="I199" s="117" t="s">
        <v>2859</v>
      </c>
      <c r="J199" s="117" t="s">
        <v>2859</v>
      </c>
      <c r="K199" s="135" t="s">
        <v>1382</v>
      </c>
      <c r="L199" s="2" t="s">
        <v>1382</v>
      </c>
      <c r="M199" s="8">
        <v>45125</v>
      </c>
      <c r="N199" s="8">
        <v>45161</v>
      </c>
      <c r="O199" s="8">
        <v>45191</v>
      </c>
      <c r="P199" s="8">
        <v>45208</v>
      </c>
      <c r="Q199" s="229">
        <v>55076</v>
      </c>
      <c r="R199" s="115" t="str" cm="1">
        <f t="array" aca="1" ref="R199" ca="1">TRIM(SUBSTITUTE(_xlfn.ARRAYTOTEXT(IFERROR(CONCATENATE(SUMIF(INDIRECT("'"&amp;Assemblies[Assy]&amp;"'!"&amp;"C$5:C1000"), $A199, INDIRECT("'"&amp;Assemblies[Assy]&amp;"'!"&amp;"O$5:O1000")), "x",Assemblies[Assy],".",IF(SUMIF(INDIRECT("'"&amp;Assemblies[Assy]&amp;"'!"&amp;"C$5:C1000"), $A199, INDIRECT("'"&amp;Assemblies[Assy]&amp;"'!"&amp;"A$5:A1000"))=0,NA(),SUMIF(INDIRECT("'"&amp;Assemblies[Assy]&amp;"'!"&amp;"C$5:C1000"), $A199, INDIRECT("'"&amp;Assemblies[Assy]&amp;"'!"&amp;"A$5:A1000")))),"")), " ,", ""))</f>
        <v>,</v>
      </c>
      <c r="S199" s="56" t="s">
        <v>1382</v>
      </c>
      <c r="T199" s="2" t="s">
        <v>1382</v>
      </c>
      <c r="U199" s="2" t="s">
        <v>1382</v>
      </c>
      <c r="V199" s="2" t="s">
        <v>1382</v>
      </c>
    </row>
    <row r="200" spans="1:22" ht="12.75" customHeight="1">
      <c r="A200" s="133" t="s">
        <v>1121</v>
      </c>
      <c r="B200" s="2" t="s">
        <v>2862</v>
      </c>
      <c r="C200" s="168">
        <v>187.73</v>
      </c>
      <c r="D200" s="5">
        <v>1</v>
      </c>
      <c r="E200" s="5" t="e" cm="1">
        <f t="array" aca="1" ref="E200" ca="1">SUMPRODUCT(SUMIF(INDIRECT("'"&amp;Assemblies[Assy]&amp;"'!"&amp;"C:C"),$A200,(INDIRECT("'"&amp;Assemblies[Assy]&amp;"'!"&amp;"O:O"))))</f>
        <v>#VALUE!</v>
      </c>
      <c r="F200" s="5" t="e">
        <f t="shared" ca="1" si="3"/>
        <v>#VALUE!</v>
      </c>
      <c r="G200" s="5">
        <v>6</v>
      </c>
      <c r="H200" s="2">
        <v>6</v>
      </c>
      <c r="I200" s="117" t="s">
        <v>2859</v>
      </c>
      <c r="J200" s="117" t="s">
        <v>2859</v>
      </c>
      <c r="K200" s="135" t="s">
        <v>1382</v>
      </c>
      <c r="L200" s="2" t="s">
        <v>1382</v>
      </c>
      <c r="M200" s="8">
        <v>45154</v>
      </c>
      <c r="N200" s="8">
        <v>45161</v>
      </c>
      <c r="O200" s="8">
        <v>45191</v>
      </c>
      <c r="P200" s="8">
        <v>45208</v>
      </c>
      <c r="Q200" s="229">
        <v>55076</v>
      </c>
      <c r="R200" s="115" t="str" cm="1">
        <f t="array" aca="1" ref="R200" ca="1">TRIM(SUBSTITUTE(_xlfn.ARRAYTOTEXT(IFERROR(CONCATENATE(SUMIF(INDIRECT("'"&amp;Assemblies[Assy]&amp;"'!"&amp;"C$5:C1000"), $A200, INDIRECT("'"&amp;Assemblies[Assy]&amp;"'!"&amp;"O$5:O1000")), "x",Assemblies[Assy],".",IF(SUMIF(INDIRECT("'"&amp;Assemblies[Assy]&amp;"'!"&amp;"C$5:C1000"), $A200, INDIRECT("'"&amp;Assemblies[Assy]&amp;"'!"&amp;"A$5:A1000"))=0,NA(),SUMIF(INDIRECT("'"&amp;Assemblies[Assy]&amp;"'!"&amp;"C$5:C1000"), $A200, INDIRECT("'"&amp;Assemblies[Assy]&amp;"'!"&amp;"A$5:A1000")))),"")), " ,", ""))</f>
        <v>,</v>
      </c>
      <c r="S200" s="56" t="s">
        <v>1382</v>
      </c>
      <c r="T200" s="2" t="s">
        <v>1382</v>
      </c>
      <c r="U200" s="2" t="s">
        <v>1382</v>
      </c>
      <c r="V200" s="2" t="s">
        <v>1382</v>
      </c>
    </row>
    <row r="201" spans="1:22" ht="12.75" customHeight="1">
      <c r="A201" s="133" t="s">
        <v>886</v>
      </c>
      <c r="B201" s="2" t="s">
        <v>2862</v>
      </c>
      <c r="C201" s="168">
        <v>174.39</v>
      </c>
      <c r="D201" s="5">
        <v>1</v>
      </c>
      <c r="E201" s="5" t="e" cm="1">
        <f t="array" aca="1" ref="E201" ca="1">SUMPRODUCT(SUMIF(INDIRECT("'"&amp;Assemblies[Assy]&amp;"'!"&amp;"C:C"),$A201,(INDIRECT("'"&amp;Assemblies[Assy]&amp;"'!"&amp;"O:O"))))</f>
        <v>#VALUE!</v>
      </c>
      <c r="F201" s="5" t="e">
        <f t="shared" ca="1" si="3"/>
        <v>#VALUE!</v>
      </c>
      <c r="G201" s="5">
        <v>6</v>
      </c>
      <c r="H201" s="2">
        <v>6</v>
      </c>
      <c r="I201" s="117" t="s">
        <v>2859</v>
      </c>
      <c r="J201" s="117" t="s">
        <v>2859</v>
      </c>
      <c r="K201" s="135" t="s">
        <v>1382</v>
      </c>
      <c r="L201" s="2" t="s">
        <v>1382</v>
      </c>
      <c r="M201" s="8">
        <v>45154</v>
      </c>
      <c r="N201" s="8">
        <v>45161</v>
      </c>
      <c r="O201" s="8">
        <v>45191</v>
      </c>
      <c r="P201" s="8">
        <v>45208</v>
      </c>
      <c r="Q201" s="229">
        <v>55076</v>
      </c>
      <c r="R201" s="115" t="str" cm="1">
        <f t="array" aca="1" ref="R201" ca="1">TRIM(SUBSTITUTE(_xlfn.ARRAYTOTEXT(IFERROR(CONCATENATE(SUMIF(INDIRECT("'"&amp;Assemblies[Assy]&amp;"'!"&amp;"C$5:C1000"), $A201, INDIRECT("'"&amp;Assemblies[Assy]&amp;"'!"&amp;"O$5:O1000")), "x",Assemblies[Assy],".",IF(SUMIF(INDIRECT("'"&amp;Assemblies[Assy]&amp;"'!"&amp;"C$5:C1000"), $A201, INDIRECT("'"&amp;Assemblies[Assy]&amp;"'!"&amp;"A$5:A1000"))=0,NA(),SUMIF(INDIRECT("'"&amp;Assemblies[Assy]&amp;"'!"&amp;"C$5:C1000"), $A201, INDIRECT("'"&amp;Assemblies[Assy]&amp;"'!"&amp;"A$5:A1000")))),"")), " ,", ""))</f>
        <v>,</v>
      </c>
      <c r="S201" s="56" t="s">
        <v>1382</v>
      </c>
      <c r="T201" s="2" t="s">
        <v>1382</v>
      </c>
      <c r="U201" s="2" t="s">
        <v>1382</v>
      </c>
      <c r="V201" s="2" t="s">
        <v>1382</v>
      </c>
    </row>
    <row r="202" spans="1:22" ht="13.5" customHeight="1">
      <c r="A202" s="133" t="s">
        <v>472</v>
      </c>
      <c r="B202" s="2" t="s">
        <v>2863</v>
      </c>
      <c r="C202" s="168">
        <v>56.73</v>
      </c>
      <c r="D202" s="5">
        <v>1</v>
      </c>
      <c r="E202" s="5" t="e" cm="1">
        <f t="array" aca="1" ref="E202" ca="1">SUMPRODUCT(SUMIF(INDIRECT("'"&amp;Assemblies[Assy]&amp;"'!"&amp;"C:C"),$A202,(INDIRECT("'"&amp;Assemblies[Assy]&amp;"'!"&amp;"O:O"))))</f>
        <v>#VALUE!</v>
      </c>
      <c r="F202" s="5" t="e">
        <f t="shared" ca="1" si="3"/>
        <v>#VALUE!</v>
      </c>
      <c r="G202" s="5">
        <v>1</v>
      </c>
      <c r="H202" s="2">
        <v>1</v>
      </c>
      <c r="I202" s="150" t="s">
        <v>2859</v>
      </c>
      <c r="J202" s="150" t="s">
        <v>2859</v>
      </c>
      <c r="K202" s="135" t="s">
        <v>1382</v>
      </c>
      <c r="L202" s="2" t="s">
        <v>1382</v>
      </c>
      <c r="M202" s="8">
        <v>45125</v>
      </c>
      <c r="N202" s="8">
        <v>45161</v>
      </c>
      <c r="O202" s="8">
        <v>45191</v>
      </c>
      <c r="P202" s="8">
        <v>45208</v>
      </c>
      <c r="Q202" s="229">
        <v>55076</v>
      </c>
      <c r="R202" s="115" t="str" cm="1">
        <f t="array" aca="1" ref="R202" ca="1">TRIM(SUBSTITUTE(_xlfn.ARRAYTOTEXT(IFERROR(CONCATENATE(SUMIF(INDIRECT("'"&amp;Assemblies[Assy]&amp;"'!"&amp;"C$5:C1000"), $A202, INDIRECT("'"&amp;Assemblies[Assy]&amp;"'!"&amp;"O$5:O1000")), "x",Assemblies[Assy],".",IF(SUMIF(INDIRECT("'"&amp;Assemblies[Assy]&amp;"'!"&amp;"C$5:C1000"), $A202, INDIRECT("'"&amp;Assemblies[Assy]&amp;"'!"&amp;"A$5:A1000"))=0,NA(),SUMIF(INDIRECT("'"&amp;Assemblies[Assy]&amp;"'!"&amp;"C$5:C1000"), $A202, INDIRECT("'"&amp;Assemblies[Assy]&amp;"'!"&amp;"A$5:A1000")))),"")), " ,", ""))</f>
        <v>,</v>
      </c>
      <c r="S202" s="56" t="s">
        <v>1382</v>
      </c>
      <c r="T202" s="2" t="s">
        <v>1382</v>
      </c>
      <c r="U202" s="2" t="s">
        <v>1382</v>
      </c>
      <c r="V202" s="2" t="s">
        <v>1382</v>
      </c>
    </row>
    <row r="203" spans="1:22" ht="12.75" customHeight="1">
      <c r="A203" s="133" t="s">
        <v>1251</v>
      </c>
      <c r="B203" s="2" t="s">
        <v>2864</v>
      </c>
      <c r="C203" s="168">
        <v>3.23</v>
      </c>
      <c r="D203" s="5">
        <v>1</v>
      </c>
      <c r="E203" s="5" t="e" cm="1">
        <f t="array" aca="1" ref="E203" ca="1">SUMPRODUCT(SUMIF(INDIRECT("'"&amp;Assemblies[Assy]&amp;"'!"&amp;"C:C"),$A203,(INDIRECT("'"&amp;Assemblies[Assy]&amp;"'!"&amp;"O:O"))))</f>
        <v>#VALUE!</v>
      </c>
      <c r="F203" s="5" t="e">
        <f t="shared" ca="1" si="3"/>
        <v>#VALUE!</v>
      </c>
      <c r="G203" s="5">
        <v>2</v>
      </c>
      <c r="H203" s="2">
        <v>2</v>
      </c>
      <c r="I203" s="117" t="s">
        <v>2859</v>
      </c>
      <c r="J203" s="117" t="s">
        <v>2859</v>
      </c>
      <c r="K203" s="135" t="s">
        <v>1382</v>
      </c>
      <c r="L203" s="2" t="s">
        <v>1382</v>
      </c>
      <c r="M203" s="8">
        <v>45125</v>
      </c>
      <c r="N203" s="8">
        <v>45161</v>
      </c>
      <c r="O203" s="8">
        <v>45191</v>
      </c>
      <c r="P203" s="8">
        <v>45208</v>
      </c>
      <c r="Q203" s="229">
        <v>55076</v>
      </c>
      <c r="R203" s="115" t="str" cm="1">
        <f t="array" aca="1" ref="R203" ca="1">TRIM(SUBSTITUTE(_xlfn.ARRAYTOTEXT(IFERROR(CONCATENATE(SUMIF(INDIRECT("'"&amp;Assemblies[Assy]&amp;"'!"&amp;"C$5:C1000"), $A203, INDIRECT("'"&amp;Assemblies[Assy]&amp;"'!"&amp;"O$5:O1000")), "x",Assemblies[Assy],".",IF(SUMIF(INDIRECT("'"&amp;Assemblies[Assy]&amp;"'!"&amp;"C$5:C1000"), $A203, INDIRECT("'"&amp;Assemblies[Assy]&amp;"'!"&amp;"A$5:A1000"))=0,NA(),SUMIF(INDIRECT("'"&amp;Assemblies[Assy]&amp;"'!"&amp;"C$5:C1000"), $A203, INDIRECT("'"&amp;Assemblies[Assy]&amp;"'!"&amp;"A$5:A1000")))),"")), " ,", ""))</f>
        <v>,</v>
      </c>
      <c r="S203" s="56" t="s">
        <v>1382</v>
      </c>
      <c r="T203" s="2" t="s">
        <v>1382</v>
      </c>
      <c r="U203" s="2" t="s">
        <v>1382</v>
      </c>
      <c r="V203" s="2" t="s">
        <v>1382</v>
      </c>
    </row>
    <row r="204" spans="1:22" ht="12.75" customHeight="1">
      <c r="A204" s="247" t="s">
        <v>465</v>
      </c>
      <c r="B204" s="161" t="s">
        <v>2865</v>
      </c>
      <c r="C204" s="168">
        <v>20.03</v>
      </c>
      <c r="D204" s="5">
        <v>1</v>
      </c>
      <c r="E204" s="5" t="e" cm="1">
        <f t="array" aca="1" ref="E204" ca="1">SUMPRODUCT(SUMIF(INDIRECT("'"&amp;Assemblies[Assy]&amp;"'!"&amp;"C:C"),$A204,(INDIRECT("'"&amp;Assemblies[Assy]&amp;"'!"&amp;"O:O"))))</f>
        <v>#VALUE!</v>
      </c>
      <c r="F204" s="5" t="e">
        <f t="shared" ca="1" si="3"/>
        <v>#VALUE!</v>
      </c>
      <c r="G204" s="5">
        <v>5</v>
      </c>
      <c r="H204" s="2">
        <v>5</v>
      </c>
      <c r="I204" s="150" t="s">
        <v>2859</v>
      </c>
      <c r="J204" s="150" t="s">
        <v>2859</v>
      </c>
      <c r="K204" s="135" t="s">
        <v>1382</v>
      </c>
      <c r="L204" s="2" t="s">
        <v>1382</v>
      </c>
      <c r="M204" s="8">
        <v>45125</v>
      </c>
      <c r="N204" s="8">
        <v>45161</v>
      </c>
      <c r="O204" s="8">
        <v>45191</v>
      </c>
      <c r="P204" s="8">
        <v>45208</v>
      </c>
      <c r="Q204" s="229">
        <v>55076</v>
      </c>
      <c r="R204" s="115" t="str" cm="1">
        <f t="array" aca="1" ref="R204" ca="1">TRIM(SUBSTITUTE(_xlfn.ARRAYTOTEXT(IFERROR(CONCATENATE(SUMIF(INDIRECT("'"&amp;Assemblies[Assy]&amp;"'!"&amp;"C$5:C1000"), $A204, INDIRECT("'"&amp;Assemblies[Assy]&amp;"'!"&amp;"O$5:O1000")), "x",Assemblies[Assy],".",IF(SUMIF(INDIRECT("'"&amp;Assemblies[Assy]&amp;"'!"&amp;"C$5:C1000"), $A204, INDIRECT("'"&amp;Assemblies[Assy]&amp;"'!"&amp;"A$5:A1000"))=0,NA(),SUMIF(INDIRECT("'"&amp;Assemblies[Assy]&amp;"'!"&amp;"C$5:C1000"), $A204, INDIRECT("'"&amp;Assemblies[Assy]&amp;"'!"&amp;"A$5:A1000")))),"")), " ,", ""))</f>
        <v>,</v>
      </c>
      <c r="S204" s="56" t="s">
        <v>1382</v>
      </c>
      <c r="T204" s="2" t="s">
        <v>1382</v>
      </c>
      <c r="U204" s="2" t="s">
        <v>1382</v>
      </c>
      <c r="V204" s="2" t="s">
        <v>1382</v>
      </c>
    </row>
    <row r="205" spans="1:22" ht="12.75" customHeight="1">
      <c r="A205" s="247" t="s">
        <v>963</v>
      </c>
      <c r="B205" s="161" t="s">
        <v>2866</v>
      </c>
      <c r="C205" s="168">
        <v>23.47</v>
      </c>
      <c r="D205" s="5">
        <v>1</v>
      </c>
      <c r="E205" s="5" t="e" cm="1">
        <f t="array" aca="1" ref="E205" ca="1">SUMPRODUCT(SUMIF(INDIRECT("'"&amp;Assemblies[Assy]&amp;"'!"&amp;"C:C"),$A205,(INDIRECT("'"&amp;Assemblies[Assy]&amp;"'!"&amp;"O:O"))))</f>
        <v>#VALUE!</v>
      </c>
      <c r="F205" s="5" t="e">
        <f t="shared" ca="1" si="3"/>
        <v>#VALUE!</v>
      </c>
      <c r="G205" s="5">
        <v>6</v>
      </c>
      <c r="H205" s="2">
        <v>6</v>
      </c>
      <c r="I205" s="117" t="s">
        <v>2859</v>
      </c>
      <c r="J205" s="117" t="s">
        <v>2859</v>
      </c>
      <c r="K205" s="135" t="s">
        <v>1382</v>
      </c>
      <c r="L205" s="2" t="s">
        <v>1382</v>
      </c>
      <c r="M205" s="8">
        <v>45154</v>
      </c>
      <c r="N205" s="8">
        <v>45161</v>
      </c>
      <c r="O205" s="8">
        <v>45191</v>
      </c>
      <c r="P205" s="8">
        <v>45208</v>
      </c>
      <c r="Q205" s="229">
        <v>55076</v>
      </c>
      <c r="R205" s="115" t="str" cm="1">
        <f t="array" aca="1" ref="R205" ca="1">TRIM(SUBSTITUTE(_xlfn.ARRAYTOTEXT(IFERROR(CONCATENATE(SUMIF(INDIRECT("'"&amp;Assemblies[Assy]&amp;"'!"&amp;"C$5:C1000"), $A205, INDIRECT("'"&amp;Assemblies[Assy]&amp;"'!"&amp;"O$5:O1000")), "x",Assemblies[Assy],".",IF(SUMIF(INDIRECT("'"&amp;Assemblies[Assy]&amp;"'!"&amp;"C$5:C1000"), $A205, INDIRECT("'"&amp;Assemblies[Assy]&amp;"'!"&amp;"A$5:A1000"))=0,NA(),SUMIF(INDIRECT("'"&amp;Assemblies[Assy]&amp;"'!"&amp;"C$5:C1000"), $A205, INDIRECT("'"&amp;Assemblies[Assy]&amp;"'!"&amp;"A$5:A1000")))),"")), " ,", ""))</f>
        <v>,</v>
      </c>
      <c r="S205" s="56" t="s">
        <v>1382</v>
      </c>
      <c r="T205" s="2" t="s">
        <v>1382</v>
      </c>
      <c r="U205" s="2" t="s">
        <v>1382</v>
      </c>
      <c r="V205" s="2" t="s">
        <v>1382</v>
      </c>
    </row>
    <row r="206" spans="1:22" ht="12.75" customHeight="1">
      <c r="A206" s="247" t="s">
        <v>1045</v>
      </c>
      <c r="B206" s="161" t="s">
        <v>2865</v>
      </c>
      <c r="C206" s="168">
        <v>27.9</v>
      </c>
      <c r="D206" s="5">
        <v>1</v>
      </c>
      <c r="E206" s="5" t="e" cm="1">
        <f t="array" aca="1" ref="E206" ca="1">SUMPRODUCT(SUMIF(INDIRECT("'"&amp;Assemblies[Assy]&amp;"'!"&amp;"C:C"),$A206,(INDIRECT("'"&amp;Assemblies[Assy]&amp;"'!"&amp;"O:O"))))</f>
        <v>#VALUE!</v>
      </c>
      <c r="F206" s="5" t="e">
        <f t="shared" ca="1" si="3"/>
        <v>#VALUE!</v>
      </c>
      <c r="G206" s="5">
        <v>6</v>
      </c>
      <c r="H206" s="2">
        <v>6</v>
      </c>
      <c r="I206" s="150" t="s">
        <v>2859</v>
      </c>
      <c r="J206" s="150" t="s">
        <v>2859</v>
      </c>
      <c r="K206" s="135" t="s">
        <v>1382</v>
      </c>
      <c r="L206" s="2" t="s">
        <v>1382</v>
      </c>
      <c r="M206" s="8">
        <v>45154</v>
      </c>
      <c r="N206" s="8">
        <v>45161</v>
      </c>
      <c r="O206" s="8">
        <v>45191</v>
      </c>
      <c r="P206" s="8">
        <v>45208</v>
      </c>
      <c r="Q206" s="229">
        <v>55076</v>
      </c>
      <c r="R206" s="115" t="str" cm="1">
        <f t="array" aca="1" ref="R206" ca="1">TRIM(SUBSTITUTE(_xlfn.ARRAYTOTEXT(IFERROR(CONCATENATE(SUMIF(INDIRECT("'"&amp;Assemblies[Assy]&amp;"'!"&amp;"C$5:C1000"), $A206, INDIRECT("'"&amp;Assemblies[Assy]&amp;"'!"&amp;"O$5:O1000")), "x",Assemblies[Assy],".",IF(SUMIF(INDIRECT("'"&amp;Assemblies[Assy]&amp;"'!"&amp;"C$5:C1000"), $A206, INDIRECT("'"&amp;Assemblies[Assy]&amp;"'!"&amp;"A$5:A1000"))=0,NA(),SUMIF(INDIRECT("'"&amp;Assemblies[Assy]&amp;"'!"&amp;"C$5:C1000"), $A206, INDIRECT("'"&amp;Assemblies[Assy]&amp;"'!"&amp;"A$5:A1000")))),"")), " ,", ""))</f>
        <v>,</v>
      </c>
      <c r="S206" s="56" t="s">
        <v>1382</v>
      </c>
      <c r="T206" s="2" t="s">
        <v>1382</v>
      </c>
      <c r="U206" s="2" t="s">
        <v>1382</v>
      </c>
      <c r="V206" s="2" t="s">
        <v>1382</v>
      </c>
    </row>
    <row r="207" spans="1:22" ht="12.75" customHeight="1">
      <c r="A207" s="247" t="s">
        <v>751</v>
      </c>
      <c r="B207" s="161" t="s">
        <v>2867</v>
      </c>
      <c r="C207" s="168">
        <v>33.99</v>
      </c>
      <c r="D207" s="5">
        <v>1</v>
      </c>
      <c r="E207" s="5" t="e" cm="1">
        <f t="array" aca="1" ref="E207" ca="1">SUMPRODUCT(SUMIF(INDIRECT("'"&amp;Assemblies[Assy]&amp;"'!"&amp;"C:C"),$A207,(INDIRECT("'"&amp;Assemblies[Assy]&amp;"'!"&amp;"O:O"))))</f>
        <v>#VALUE!</v>
      </c>
      <c r="F207" s="5" t="e">
        <f t="shared" ca="1" si="3"/>
        <v>#VALUE!</v>
      </c>
      <c r="G207" s="5">
        <v>2</v>
      </c>
      <c r="H207" s="2">
        <v>2</v>
      </c>
      <c r="I207" s="117" t="s">
        <v>2859</v>
      </c>
      <c r="J207" s="117" t="s">
        <v>2859</v>
      </c>
      <c r="K207" s="135" t="s">
        <v>1382</v>
      </c>
      <c r="L207" s="2" t="s">
        <v>1382</v>
      </c>
      <c r="M207" s="8">
        <v>45125</v>
      </c>
      <c r="N207" s="8">
        <v>45161</v>
      </c>
      <c r="O207" s="8">
        <v>45191</v>
      </c>
      <c r="P207" s="8">
        <v>45208</v>
      </c>
      <c r="Q207" s="229">
        <v>55076</v>
      </c>
      <c r="R207" s="115" t="str" cm="1">
        <f t="array" aca="1" ref="R207" ca="1">TRIM(SUBSTITUTE(_xlfn.ARRAYTOTEXT(IFERROR(CONCATENATE(SUMIF(INDIRECT("'"&amp;Assemblies[Assy]&amp;"'!"&amp;"C$5:C1000"), $A207, INDIRECT("'"&amp;Assemblies[Assy]&amp;"'!"&amp;"O$5:O1000")), "x",Assemblies[Assy],".",IF(SUMIF(INDIRECT("'"&amp;Assemblies[Assy]&amp;"'!"&amp;"C$5:C1000"), $A207, INDIRECT("'"&amp;Assemblies[Assy]&amp;"'!"&amp;"A$5:A1000"))=0,NA(),SUMIF(INDIRECT("'"&amp;Assemblies[Assy]&amp;"'!"&amp;"C$5:C1000"), $A207, INDIRECT("'"&amp;Assemblies[Assy]&amp;"'!"&amp;"A$5:A1000")))),"")), " ,", ""))</f>
        <v>,</v>
      </c>
      <c r="S207" s="56" t="s">
        <v>1382</v>
      </c>
      <c r="T207" s="2" t="s">
        <v>1382</v>
      </c>
      <c r="U207" s="2" t="s">
        <v>1382</v>
      </c>
      <c r="V207" s="2" t="s">
        <v>1382</v>
      </c>
    </row>
    <row r="208" spans="1:22" ht="12.75" customHeight="1">
      <c r="A208" s="247" t="s">
        <v>1002</v>
      </c>
      <c r="B208" s="161" t="s">
        <v>2868</v>
      </c>
      <c r="C208" s="168">
        <v>235</v>
      </c>
      <c r="D208" s="5">
        <v>1</v>
      </c>
      <c r="E208" s="5" t="e" cm="1">
        <f t="array" aca="1" ref="E208" ca="1">SUMPRODUCT(SUMIF(INDIRECT("'"&amp;Assemblies[Assy]&amp;"'!"&amp;"C:C"),$A208,(INDIRECT("'"&amp;Assemblies[Assy]&amp;"'!"&amp;"O:O"))))</f>
        <v>#VALUE!</v>
      </c>
      <c r="F208" s="5" t="e">
        <f t="shared" ca="1" si="3"/>
        <v>#VALUE!</v>
      </c>
      <c r="G208" s="5">
        <v>4</v>
      </c>
      <c r="H208" s="2">
        <v>4</v>
      </c>
      <c r="I208" s="117" t="s">
        <v>2869</v>
      </c>
      <c r="J208" s="117" t="s">
        <v>2869</v>
      </c>
      <c r="K208" s="135" t="s">
        <v>1382</v>
      </c>
      <c r="L208" s="2" t="s">
        <v>1382</v>
      </c>
      <c r="M208" s="8">
        <v>45154</v>
      </c>
      <c r="N208" s="8">
        <v>45161</v>
      </c>
      <c r="O208" s="8">
        <v>45191</v>
      </c>
      <c r="P208" s="8">
        <v>45184</v>
      </c>
      <c r="Q208" s="229">
        <v>55077</v>
      </c>
      <c r="R208" s="115" t="str" cm="1">
        <f t="array" aca="1" ref="R208" ca="1">TRIM(SUBSTITUTE(_xlfn.ARRAYTOTEXT(IFERROR(CONCATENATE(SUMIF(INDIRECT("'"&amp;Assemblies[Assy]&amp;"'!"&amp;"C$5:C1000"), $A208, INDIRECT("'"&amp;Assemblies[Assy]&amp;"'!"&amp;"O$5:O1000")), "x",Assemblies[Assy],".",IF(SUMIF(INDIRECT("'"&amp;Assemblies[Assy]&amp;"'!"&amp;"C$5:C1000"), $A208, INDIRECT("'"&amp;Assemblies[Assy]&amp;"'!"&amp;"A$5:A1000"))=0,NA(),SUMIF(INDIRECT("'"&amp;Assemblies[Assy]&amp;"'!"&amp;"C$5:C1000"), $A208, INDIRECT("'"&amp;Assemblies[Assy]&amp;"'!"&amp;"A$5:A1000")))),"")), " ,", ""))</f>
        <v>,</v>
      </c>
      <c r="S208" s="56" t="s">
        <v>1382</v>
      </c>
      <c r="T208" s="2" t="s">
        <v>1382</v>
      </c>
      <c r="U208" s="2" t="s">
        <v>1382</v>
      </c>
      <c r="V208" s="2" t="s">
        <v>1382</v>
      </c>
    </row>
    <row r="209" spans="1:22" ht="12.75" customHeight="1">
      <c r="A209" s="247" t="s">
        <v>850</v>
      </c>
      <c r="B209" s="161" t="s">
        <v>2870</v>
      </c>
      <c r="C209" s="168">
        <v>436</v>
      </c>
      <c r="D209" s="5">
        <v>1</v>
      </c>
      <c r="E209" s="5" t="e" cm="1">
        <f t="array" aca="1" ref="E209" ca="1">SUMPRODUCT(SUMIF(INDIRECT("'"&amp;Assemblies[Assy]&amp;"'!"&amp;"C:C"),$A209,(INDIRECT("'"&amp;Assemblies[Assy]&amp;"'!"&amp;"O:O"))))</f>
        <v>#VALUE!</v>
      </c>
      <c r="F209" s="5" t="e">
        <f t="shared" ca="1" si="3"/>
        <v>#VALUE!</v>
      </c>
      <c r="G209" s="5">
        <v>4</v>
      </c>
      <c r="H209" s="2">
        <v>4</v>
      </c>
      <c r="I209" s="117" t="s">
        <v>2869</v>
      </c>
      <c r="J209" s="117" t="s">
        <v>2869</v>
      </c>
      <c r="K209" s="135" t="s">
        <v>1382</v>
      </c>
      <c r="L209" s="2" t="s">
        <v>1382</v>
      </c>
      <c r="M209" s="8">
        <v>45154</v>
      </c>
      <c r="N209" s="8">
        <v>45161</v>
      </c>
      <c r="O209" s="8">
        <v>45191</v>
      </c>
      <c r="P209" s="8">
        <v>45184</v>
      </c>
      <c r="Q209" s="229">
        <v>55077</v>
      </c>
      <c r="R209" s="115" t="str" cm="1">
        <f t="array" aca="1" ref="R209" ca="1">TRIM(SUBSTITUTE(_xlfn.ARRAYTOTEXT(IFERROR(CONCATENATE(SUMIF(INDIRECT("'"&amp;Assemblies[Assy]&amp;"'!"&amp;"C$5:C1000"), $A209, INDIRECT("'"&amp;Assemblies[Assy]&amp;"'!"&amp;"O$5:O1000")), "x",Assemblies[Assy],".",IF(SUMIF(INDIRECT("'"&amp;Assemblies[Assy]&amp;"'!"&amp;"C$5:C1000"), $A209, INDIRECT("'"&amp;Assemblies[Assy]&amp;"'!"&amp;"A$5:A1000"))=0,NA(),SUMIF(INDIRECT("'"&amp;Assemblies[Assy]&amp;"'!"&amp;"C$5:C1000"), $A209, INDIRECT("'"&amp;Assemblies[Assy]&amp;"'!"&amp;"A$5:A1000")))),"")), " ,", ""))</f>
        <v>,</v>
      </c>
      <c r="S209" s="56" t="s">
        <v>1382</v>
      </c>
      <c r="T209" s="2" t="s">
        <v>1382</v>
      </c>
      <c r="U209" s="2" t="s">
        <v>1382</v>
      </c>
      <c r="V209" s="2" t="s">
        <v>1382</v>
      </c>
    </row>
    <row r="210" spans="1:22" ht="12.75" customHeight="1">
      <c r="A210" s="247" t="s">
        <v>326</v>
      </c>
      <c r="B210" s="161" t="s">
        <v>2871</v>
      </c>
      <c r="C210" s="203">
        <v>320</v>
      </c>
      <c r="D210" s="5">
        <v>1</v>
      </c>
      <c r="E210" s="5" t="e" cm="1">
        <f t="array" aca="1" ref="E210" ca="1">SUMPRODUCT(SUMIF(INDIRECT("'"&amp;Assemblies[Assy]&amp;"'!"&amp;"C:C"),$A210,(INDIRECT("'"&amp;Assemblies[Assy]&amp;"'!"&amp;"O:O"))))</f>
        <v>#VALUE!</v>
      </c>
      <c r="F210" s="5" t="e">
        <f t="shared" ca="1" si="3"/>
        <v>#VALUE!</v>
      </c>
      <c r="G210" s="5">
        <v>14</v>
      </c>
      <c r="H210" s="2">
        <v>14</v>
      </c>
      <c r="I210" s="117" t="s">
        <v>2869</v>
      </c>
      <c r="J210" s="117" t="s">
        <v>2869</v>
      </c>
      <c r="K210" s="135" t="s">
        <v>1382</v>
      </c>
      <c r="L210" s="2" t="s">
        <v>1382</v>
      </c>
      <c r="M210" s="8" t="s">
        <v>1762</v>
      </c>
      <c r="N210" s="8">
        <v>45089</v>
      </c>
      <c r="O210" s="8">
        <v>45114</v>
      </c>
      <c r="P210" s="8">
        <v>45114</v>
      </c>
      <c r="Q210" s="229">
        <v>54936</v>
      </c>
      <c r="R210" s="115" t="str" cm="1">
        <f t="array" aca="1" ref="R210" ca="1">TRIM(SUBSTITUTE(_xlfn.ARRAYTOTEXT(IFERROR(CONCATENATE(SUMIF(INDIRECT("'"&amp;Assemblies[Assy]&amp;"'!"&amp;"C$5:C1000"), $A210, INDIRECT("'"&amp;Assemblies[Assy]&amp;"'!"&amp;"O$5:O1000")), "x",Assemblies[Assy],".",IF(SUMIF(INDIRECT("'"&amp;Assemblies[Assy]&amp;"'!"&amp;"C$5:C1000"), $A210, INDIRECT("'"&amp;Assemblies[Assy]&amp;"'!"&amp;"A$5:A1000"))=0,NA(),SUMIF(INDIRECT("'"&amp;Assemblies[Assy]&amp;"'!"&amp;"C$5:C1000"), $A210, INDIRECT("'"&amp;Assemblies[Assy]&amp;"'!"&amp;"A$5:A1000")))),"")), " ,", ""))</f>
        <v>,</v>
      </c>
      <c r="S210" s="56" t="s">
        <v>1382</v>
      </c>
      <c r="T210" s="2" t="s">
        <v>1382</v>
      </c>
      <c r="U210" s="2" t="s">
        <v>1382</v>
      </c>
      <c r="V210" s="2" t="s">
        <v>1382</v>
      </c>
    </row>
    <row r="211" spans="1:22" ht="12.75" customHeight="1">
      <c r="A211" s="247" t="s">
        <v>327</v>
      </c>
      <c r="B211" s="161" t="s">
        <v>2872</v>
      </c>
      <c r="C211" s="203">
        <v>70</v>
      </c>
      <c r="D211" s="5">
        <v>1</v>
      </c>
      <c r="E211" s="5" t="e" cm="1">
        <f t="array" aca="1" ref="E211" ca="1">SUMPRODUCT(SUMIF(INDIRECT("'"&amp;Assemblies[Assy]&amp;"'!"&amp;"C:C"),$A211,(INDIRECT("'"&amp;Assemblies[Assy]&amp;"'!"&amp;"O:O"))))</f>
        <v>#VALUE!</v>
      </c>
      <c r="F211" s="5" t="e">
        <f t="shared" ca="1" si="3"/>
        <v>#VALUE!</v>
      </c>
      <c r="G211" s="5">
        <v>14</v>
      </c>
      <c r="H211" s="2">
        <v>14</v>
      </c>
      <c r="I211" s="117" t="s">
        <v>2869</v>
      </c>
      <c r="J211" s="117" t="s">
        <v>2869</v>
      </c>
      <c r="K211" s="135" t="s">
        <v>1382</v>
      </c>
      <c r="L211" s="2" t="s">
        <v>1382</v>
      </c>
      <c r="M211" s="8" t="s">
        <v>1762</v>
      </c>
      <c r="N211" s="8">
        <v>45089</v>
      </c>
      <c r="O211" s="8">
        <v>45114</v>
      </c>
      <c r="P211" s="8">
        <v>45114</v>
      </c>
      <c r="Q211" s="229">
        <v>54936</v>
      </c>
      <c r="R211" s="115" t="str" cm="1">
        <f t="array" aca="1" ref="R211" ca="1">TRIM(SUBSTITUTE(_xlfn.ARRAYTOTEXT(IFERROR(CONCATENATE(SUMIF(INDIRECT("'"&amp;Assemblies[Assy]&amp;"'!"&amp;"C$5:C1000"), $A211, INDIRECT("'"&amp;Assemblies[Assy]&amp;"'!"&amp;"O$5:O1000")), "x",Assemblies[Assy],".",IF(SUMIF(INDIRECT("'"&amp;Assemblies[Assy]&amp;"'!"&amp;"C$5:C1000"), $A211, INDIRECT("'"&amp;Assemblies[Assy]&amp;"'!"&amp;"A$5:A1000"))=0,NA(),SUMIF(INDIRECT("'"&amp;Assemblies[Assy]&amp;"'!"&amp;"C$5:C1000"), $A211, INDIRECT("'"&amp;Assemblies[Assy]&amp;"'!"&amp;"A$5:A1000")))),"")), " ,", ""))</f>
        <v>,</v>
      </c>
      <c r="S211" s="56" t="s">
        <v>1382</v>
      </c>
      <c r="T211" s="2" t="s">
        <v>1382</v>
      </c>
      <c r="U211" s="2" t="s">
        <v>1382</v>
      </c>
      <c r="V211" s="2" t="s">
        <v>1382</v>
      </c>
    </row>
    <row r="212" spans="1:22" ht="12.75" customHeight="1">
      <c r="A212" s="133" t="s">
        <v>329</v>
      </c>
      <c r="B212" s="22" t="s">
        <v>2873</v>
      </c>
      <c r="C212" s="203">
        <v>100</v>
      </c>
      <c r="D212" s="5">
        <v>1</v>
      </c>
      <c r="E212" s="5" t="e" cm="1">
        <f t="array" aca="1" ref="E212" ca="1">SUMPRODUCT(SUMIF(INDIRECT("'"&amp;Assemblies[Assy]&amp;"'!"&amp;"C:C"),$A212,(INDIRECT("'"&amp;Assemblies[Assy]&amp;"'!"&amp;"O:O"))))</f>
        <v>#VALUE!</v>
      </c>
      <c r="F212" s="5" t="e">
        <f t="shared" ca="1" si="3"/>
        <v>#VALUE!</v>
      </c>
      <c r="G212" s="5">
        <v>14</v>
      </c>
      <c r="H212" s="2">
        <v>14</v>
      </c>
      <c r="I212" s="117" t="s">
        <v>2869</v>
      </c>
      <c r="J212" s="117" t="s">
        <v>2869</v>
      </c>
      <c r="K212" s="135" t="s">
        <v>1382</v>
      </c>
      <c r="L212" s="2" t="s">
        <v>1382</v>
      </c>
      <c r="M212" s="8" t="s">
        <v>1762</v>
      </c>
      <c r="N212" s="8">
        <v>45089</v>
      </c>
      <c r="O212" s="8">
        <v>45114</v>
      </c>
      <c r="P212" s="8">
        <v>45114</v>
      </c>
      <c r="Q212" s="229">
        <v>54936</v>
      </c>
      <c r="R212" s="115" t="str" cm="1">
        <f t="array" aca="1" ref="R212" ca="1">TRIM(SUBSTITUTE(_xlfn.ARRAYTOTEXT(IFERROR(CONCATENATE(SUMIF(INDIRECT("'"&amp;Assemblies[Assy]&amp;"'!"&amp;"C$5:C1000"), $A212, INDIRECT("'"&amp;Assemblies[Assy]&amp;"'!"&amp;"O$5:O1000")), "x",Assemblies[Assy],".",IF(SUMIF(INDIRECT("'"&amp;Assemblies[Assy]&amp;"'!"&amp;"C$5:C1000"), $A212, INDIRECT("'"&amp;Assemblies[Assy]&amp;"'!"&amp;"A$5:A1000"))=0,NA(),SUMIF(INDIRECT("'"&amp;Assemblies[Assy]&amp;"'!"&amp;"C$5:C1000"), $A212, INDIRECT("'"&amp;Assemblies[Assy]&amp;"'!"&amp;"A$5:A1000")))),"")), " ,", ""))</f>
        <v>,</v>
      </c>
      <c r="S212" s="56" t="s">
        <v>1382</v>
      </c>
      <c r="T212" s="2" t="s">
        <v>1382</v>
      </c>
      <c r="U212" s="2" t="s">
        <v>1382</v>
      </c>
      <c r="V212" s="2" t="s">
        <v>1382</v>
      </c>
    </row>
    <row r="213" spans="1:22" ht="12.75" customHeight="1">
      <c r="A213" s="133" t="s">
        <v>333</v>
      </c>
      <c r="B213" s="2" t="s">
        <v>2874</v>
      </c>
      <c r="C213" s="203">
        <v>88</v>
      </c>
      <c r="D213" s="5">
        <v>1</v>
      </c>
      <c r="E213" s="5" t="e" cm="1">
        <f t="array" aca="1" ref="E213" ca="1">SUMPRODUCT(SUMIF(INDIRECT("'"&amp;Assemblies[Assy]&amp;"'!"&amp;"C:C"),$A213,(INDIRECT("'"&amp;Assemblies[Assy]&amp;"'!"&amp;"O:O"))))</f>
        <v>#VALUE!</v>
      </c>
      <c r="F213" s="5" t="e">
        <f t="shared" ca="1" si="3"/>
        <v>#VALUE!</v>
      </c>
      <c r="G213" s="5">
        <v>4</v>
      </c>
      <c r="H213" s="2">
        <v>4</v>
      </c>
      <c r="I213" s="117" t="s">
        <v>2869</v>
      </c>
      <c r="J213" s="117" t="s">
        <v>2869</v>
      </c>
      <c r="K213" s="135" t="s">
        <v>1382</v>
      </c>
      <c r="L213" s="2" t="s">
        <v>1382</v>
      </c>
      <c r="M213" s="8" t="s">
        <v>1762</v>
      </c>
      <c r="N213" s="8">
        <v>45089</v>
      </c>
      <c r="O213" s="8">
        <v>45114</v>
      </c>
      <c r="P213" s="8">
        <v>45114</v>
      </c>
      <c r="Q213" s="229">
        <v>54936</v>
      </c>
      <c r="R213" s="115" t="str" cm="1">
        <f t="array" aca="1" ref="R213" ca="1">TRIM(SUBSTITUTE(_xlfn.ARRAYTOTEXT(IFERROR(CONCATENATE(SUMIF(INDIRECT("'"&amp;Assemblies[Assy]&amp;"'!"&amp;"C$5:C1000"), $A213, INDIRECT("'"&amp;Assemblies[Assy]&amp;"'!"&amp;"O$5:O1000")), "x",Assemblies[Assy],".",IF(SUMIF(INDIRECT("'"&amp;Assemblies[Assy]&amp;"'!"&amp;"C$5:C1000"), $A213, INDIRECT("'"&amp;Assemblies[Assy]&amp;"'!"&amp;"A$5:A1000"))=0,NA(),SUMIF(INDIRECT("'"&amp;Assemblies[Assy]&amp;"'!"&amp;"C$5:C1000"), $A213, INDIRECT("'"&amp;Assemblies[Assy]&amp;"'!"&amp;"A$5:A1000")))),"")), " ,", ""))</f>
        <v>,</v>
      </c>
      <c r="S213" s="56" t="s">
        <v>1382</v>
      </c>
      <c r="T213" s="2" t="s">
        <v>1382</v>
      </c>
      <c r="U213" s="2" t="s">
        <v>1382</v>
      </c>
      <c r="V213" s="2" t="s">
        <v>1382</v>
      </c>
    </row>
    <row r="214" spans="1:22" ht="12.75" customHeight="1">
      <c r="A214" s="133" t="s">
        <v>331</v>
      </c>
      <c r="B214" s="2" t="s">
        <v>2875</v>
      </c>
      <c r="C214" s="203">
        <v>100</v>
      </c>
      <c r="D214" s="5">
        <v>1</v>
      </c>
      <c r="E214" s="5" t="e" cm="1">
        <f t="array" aca="1" ref="E214" ca="1">SUMPRODUCT(SUMIF(INDIRECT("'"&amp;Assemblies[Assy]&amp;"'!"&amp;"C:C"),$A214,(INDIRECT("'"&amp;Assemblies[Assy]&amp;"'!"&amp;"O:O"))))</f>
        <v>#VALUE!</v>
      </c>
      <c r="F214" s="5" t="e">
        <f t="shared" ca="1" si="3"/>
        <v>#VALUE!</v>
      </c>
      <c r="G214" s="5">
        <v>9</v>
      </c>
      <c r="H214" s="2">
        <v>9</v>
      </c>
      <c r="I214" s="117" t="s">
        <v>2869</v>
      </c>
      <c r="J214" s="117" t="s">
        <v>2869</v>
      </c>
      <c r="K214" s="135" t="s">
        <v>1382</v>
      </c>
      <c r="L214" s="2" t="s">
        <v>1779</v>
      </c>
      <c r="M214" s="8" t="s">
        <v>1762</v>
      </c>
      <c r="N214" s="8">
        <v>45089</v>
      </c>
      <c r="O214" s="8">
        <v>45114</v>
      </c>
      <c r="P214" s="8">
        <v>45114</v>
      </c>
      <c r="Q214" s="229">
        <v>54936</v>
      </c>
      <c r="R214" s="115" t="str" cm="1">
        <f t="array" aca="1" ref="R214" ca="1">TRIM(SUBSTITUTE(_xlfn.ARRAYTOTEXT(IFERROR(CONCATENATE(SUMIF(INDIRECT("'"&amp;Assemblies[Assy]&amp;"'!"&amp;"C$5:C1000"), $A214, INDIRECT("'"&amp;Assemblies[Assy]&amp;"'!"&amp;"O$5:O1000")), "x",Assemblies[Assy],".",IF(SUMIF(INDIRECT("'"&amp;Assemblies[Assy]&amp;"'!"&amp;"C$5:C1000"), $A214, INDIRECT("'"&amp;Assemblies[Assy]&amp;"'!"&amp;"A$5:A1000"))=0,NA(),SUMIF(INDIRECT("'"&amp;Assemblies[Assy]&amp;"'!"&amp;"C$5:C1000"), $A214, INDIRECT("'"&amp;Assemblies[Assy]&amp;"'!"&amp;"A$5:A1000")))),"")), " ,", ""))</f>
        <v>,</v>
      </c>
      <c r="S214" s="56" t="s">
        <v>1382</v>
      </c>
      <c r="T214" s="2" t="s">
        <v>1382</v>
      </c>
      <c r="U214" s="2" t="s">
        <v>1382</v>
      </c>
      <c r="V214" s="2" t="s">
        <v>1382</v>
      </c>
    </row>
    <row r="215" spans="1:22" ht="12.75" customHeight="1">
      <c r="A215" s="133" t="s">
        <v>328</v>
      </c>
      <c r="B215" s="22" t="s">
        <v>2876</v>
      </c>
      <c r="C215" s="203">
        <v>45</v>
      </c>
      <c r="D215" s="5">
        <v>1</v>
      </c>
      <c r="E215" s="5" t="e" cm="1">
        <f t="array" aca="1" ref="E215" ca="1">SUMPRODUCT(SUMIF(INDIRECT("'"&amp;Assemblies[Assy]&amp;"'!"&amp;"C:C"),$A215,(INDIRECT("'"&amp;Assemblies[Assy]&amp;"'!"&amp;"O:O"))))</f>
        <v>#VALUE!</v>
      </c>
      <c r="F215" s="5" t="e">
        <f t="shared" ca="1" si="3"/>
        <v>#VALUE!</v>
      </c>
      <c r="G215" s="5">
        <v>14</v>
      </c>
      <c r="H215" s="2">
        <v>14</v>
      </c>
      <c r="I215" s="117" t="s">
        <v>2869</v>
      </c>
      <c r="J215" s="117" t="s">
        <v>2869</v>
      </c>
      <c r="K215" s="135" t="s">
        <v>1382</v>
      </c>
      <c r="L215" s="2" t="s">
        <v>1382</v>
      </c>
      <c r="M215" s="8" t="s">
        <v>1762</v>
      </c>
      <c r="N215" s="8">
        <v>45089</v>
      </c>
      <c r="O215" s="8">
        <v>45114</v>
      </c>
      <c r="P215" s="8">
        <v>45114</v>
      </c>
      <c r="Q215" s="229">
        <v>54936</v>
      </c>
      <c r="R215" s="115" t="str" cm="1">
        <f t="array" aca="1" ref="R215" ca="1">TRIM(SUBSTITUTE(_xlfn.ARRAYTOTEXT(IFERROR(CONCATENATE(SUMIF(INDIRECT("'"&amp;Assemblies[Assy]&amp;"'!"&amp;"C$5:C1000"), $A215, INDIRECT("'"&amp;Assemblies[Assy]&amp;"'!"&amp;"O$5:O1000")), "x",Assemblies[Assy],".",IF(SUMIF(INDIRECT("'"&amp;Assemblies[Assy]&amp;"'!"&amp;"C$5:C1000"), $A215, INDIRECT("'"&amp;Assemblies[Assy]&amp;"'!"&amp;"A$5:A1000"))=0,NA(),SUMIF(INDIRECT("'"&amp;Assemblies[Assy]&amp;"'!"&amp;"C$5:C1000"), $A215, INDIRECT("'"&amp;Assemblies[Assy]&amp;"'!"&amp;"A$5:A1000")))),"")), " ,", ""))</f>
        <v>,</v>
      </c>
      <c r="S215" s="56" t="s">
        <v>1382</v>
      </c>
      <c r="T215" s="2" t="s">
        <v>1382</v>
      </c>
      <c r="U215" s="2" t="s">
        <v>1382</v>
      </c>
      <c r="V215" s="2" t="s">
        <v>1382</v>
      </c>
    </row>
    <row r="216" spans="1:22" ht="12.75" customHeight="1">
      <c r="A216" s="247" t="s">
        <v>666</v>
      </c>
      <c r="B216" s="161" t="s">
        <v>2877</v>
      </c>
      <c r="C216" s="168">
        <v>560</v>
      </c>
      <c r="D216" s="5">
        <v>1</v>
      </c>
      <c r="E216" s="5" t="e" cm="1">
        <f t="array" aca="1" ref="E216" ca="1">SUMPRODUCT(SUMIF(INDIRECT("'"&amp;Assemblies[Assy]&amp;"'!"&amp;"C:C"),$A216,(INDIRECT("'"&amp;Assemblies[Assy]&amp;"'!"&amp;"O:O"))))</f>
        <v>#VALUE!</v>
      </c>
      <c r="F216" s="5" t="e">
        <f t="shared" ca="1" si="3"/>
        <v>#VALUE!</v>
      </c>
      <c r="G216" s="5">
        <v>2</v>
      </c>
      <c r="H216" s="2">
        <v>2</v>
      </c>
      <c r="I216" s="117" t="s">
        <v>2869</v>
      </c>
      <c r="J216" s="117" t="s">
        <v>2869</v>
      </c>
      <c r="K216" s="135" t="s">
        <v>1382</v>
      </c>
      <c r="L216" s="2" t="s">
        <v>1382</v>
      </c>
      <c r="M216" s="8" t="s">
        <v>1762</v>
      </c>
      <c r="N216" s="8">
        <v>45149</v>
      </c>
      <c r="O216" s="8">
        <v>45156</v>
      </c>
      <c r="P216" s="8">
        <v>45156</v>
      </c>
      <c r="Q216" s="229">
        <v>55050</v>
      </c>
      <c r="R216" s="115" t="str" cm="1">
        <f t="array" aca="1" ref="R216" ca="1">TRIM(SUBSTITUTE(_xlfn.ARRAYTOTEXT(IFERROR(CONCATENATE(SUMIF(INDIRECT("'"&amp;Assemblies[Assy]&amp;"'!"&amp;"C$5:C1000"), $A216, INDIRECT("'"&amp;Assemblies[Assy]&amp;"'!"&amp;"O$5:O1000")), "x",Assemblies[Assy],".",IF(SUMIF(INDIRECT("'"&amp;Assemblies[Assy]&amp;"'!"&amp;"C$5:C1000"), $A216, INDIRECT("'"&amp;Assemblies[Assy]&amp;"'!"&amp;"A$5:A1000"))=0,NA(),SUMIF(INDIRECT("'"&amp;Assemblies[Assy]&amp;"'!"&amp;"C$5:C1000"), $A216, INDIRECT("'"&amp;Assemblies[Assy]&amp;"'!"&amp;"A$5:A1000")))),"")), " ,", ""))</f>
        <v>,</v>
      </c>
      <c r="S216" s="56" t="s">
        <v>1382</v>
      </c>
      <c r="T216" s="2" t="s">
        <v>1382</v>
      </c>
      <c r="U216" s="2" t="s">
        <v>1382</v>
      </c>
      <c r="V216" s="2" t="s">
        <v>1382</v>
      </c>
    </row>
    <row r="217" spans="1:22" ht="12.75" customHeight="1">
      <c r="A217" s="247" t="s">
        <v>1001</v>
      </c>
      <c r="B217" s="161" t="s">
        <v>2878</v>
      </c>
      <c r="C217" s="168">
        <v>3</v>
      </c>
      <c r="D217" s="5">
        <v>1</v>
      </c>
      <c r="E217" s="5" t="e" cm="1">
        <f t="array" aca="1" ref="E217" ca="1">SUMPRODUCT(SUMIF(INDIRECT("'"&amp;Assemblies[Assy]&amp;"'!"&amp;"C:C"),$A217,(INDIRECT("'"&amp;Assemblies[Assy]&amp;"'!"&amp;"O:O"))))</f>
        <v>#VALUE!</v>
      </c>
      <c r="F217" s="5" t="e">
        <f t="shared" ca="1" si="3"/>
        <v>#VALUE!</v>
      </c>
      <c r="G217" s="5">
        <v>4</v>
      </c>
      <c r="H217" s="2">
        <v>4</v>
      </c>
      <c r="I217" s="117" t="s">
        <v>2869</v>
      </c>
      <c r="J217" s="117" t="s">
        <v>2869</v>
      </c>
      <c r="K217" s="135" t="s">
        <v>1382</v>
      </c>
      <c r="L217" s="2" t="s">
        <v>1382</v>
      </c>
      <c r="M217" s="8">
        <v>45154</v>
      </c>
      <c r="N217" s="8">
        <v>45161</v>
      </c>
      <c r="O217" s="8">
        <v>45191</v>
      </c>
      <c r="P217" s="8">
        <v>45184</v>
      </c>
      <c r="Q217" s="229">
        <v>55077</v>
      </c>
      <c r="R217" s="115" t="str" cm="1">
        <f t="array" aca="1" ref="R217" ca="1">TRIM(SUBSTITUTE(_xlfn.ARRAYTOTEXT(IFERROR(CONCATENATE(SUMIF(INDIRECT("'"&amp;Assemblies[Assy]&amp;"'!"&amp;"C$5:C1000"), $A217, INDIRECT("'"&amp;Assemblies[Assy]&amp;"'!"&amp;"O$5:O1000")), "x",Assemblies[Assy],".",IF(SUMIF(INDIRECT("'"&amp;Assemblies[Assy]&amp;"'!"&amp;"C$5:C1000"), $A217, INDIRECT("'"&amp;Assemblies[Assy]&amp;"'!"&amp;"A$5:A1000"))=0,NA(),SUMIF(INDIRECT("'"&amp;Assemblies[Assy]&amp;"'!"&amp;"C$5:C1000"), $A217, INDIRECT("'"&amp;Assemblies[Assy]&amp;"'!"&amp;"A$5:A1000")))),"")), " ,", ""))</f>
        <v>,</v>
      </c>
      <c r="S217" s="56" t="s">
        <v>1382</v>
      </c>
      <c r="T217" s="2" t="s">
        <v>1382</v>
      </c>
      <c r="U217" s="2" t="s">
        <v>1382</v>
      </c>
      <c r="V217" s="2" t="s">
        <v>1382</v>
      </c>
    </row>
    <row r="218" spans="1:22" ht="12.75" customHeight="1">
      <c r="A218" s="247" t="s">
        <v>818</v>
      </c>
      <c r="B218" s="161" t="s">
        <v>2879</v>
      </c>
      <c r="C218" s="168">
        <v>168</v>
      </c>
      <c r="D218" s="5">
        <v>1</v>
      </c>
      <c r="E218" s="5" t="e" cm="1">
        <f t="array" aca="1" ref="E218" ca="1">SUMPRODUCT(SUMIF(INDIRECT("'"&amp;Assemblies[Assy]&amp;"'!"&amp;"C:C"),$A218,(INDIRECT("'"&amp;Assemblies[Assy]&amp;"'!"&amp;"O:O"))))</f>
        <v>#VALUE!</v>
      </c>
      <c r="F218" s="5" t="e">
        <f t="shared" ca="1" si="3"/>
        <v>#VALUE!</v>
      </c>
      <c r="G218" s="5">
        <v>12</v>
      </c>
      <c r="H218" s="2">
        <v>12</v>
      </c>
      <c r="I218" s="117" t="s">
        <v>2869</v>
      </c>
      <c r="J218" s="117" t="s">
        <v>2869</v>
      </c>
      <c r="K218" s="135" t="s">
        <v>1382</v>
      </c>
      <c r="L218" s="2" t="s">
        <v>1382</v>
      </c>
      <c r="M218" s="8">
        <v>45154</v>
      </c>
      <c r="N218" s="8">
        <v>45161</v>
      </c>
      <c r="O218" s="8">
        <v>45191</v>
      </c>
      <c r="P218" s="8">
        <v>45184</v>
      </c>
      <c r="Q218" s="229">
        <v>55077</v>
      </c>
      <c r="R218" s="115" t="str" cm="1">
        <f t="array" aca="1" ref="R218" ca="1">TRIM(SUBSTITUTE(_xlfn.ARRAYTOTEXT(IFERROR(CONCATENATE(SUMIF(INDIRECT("'"&amp;Assemblies[Assy]&amp;"'!"&amp;"C$5:C1000"), $A218, INDIRECT("'"&amp;Assemblies[Assy]&amp;"'!"&amp;"O$5:O1000")), "x",Assemblies[Assy],".",IF(SUMIF(INDIRECT("'"&amp;Assemblies[Assy]&amp;"'!"&amp;"C$5:C1000"), $A218, INDIRECT("'"&amp;Assemblies[Assy]&amp;"'!"&amp;"A$5:A1000"))=0,NA(),SUMIF(INDIRECT("'"&amp;Assemblies[Assy]&amp;"'!"&amp;"C$5:C1000"), $A218, INDIRECT("'"&amp;Assemblies[Assy]&amp;"'!"&amp;"A$5:A1000")))),"")), " ,", ""))</f>
        <v>,</v>
      </c>
      <c r="S218" s="56" t="s">
        <v>1382</v>
      </c>
      <c r="T218" s="2" t="s">
        <v>1382</v>
      </c>
      <c r="U218" s="2" t="s">
        <v>1382</v>
      </c>
      <c r="V218" s="2" t="s">
        <v>1382</v>
      </c>
    </row>
    <row r="219" spans="1:22" ht="12.75" hidden="1" customHeight="1">
      <c r="A219" s="133">
        <v>64150003</v>
      </c>
      <c r="B219" s="2" t="s">
        <v>2880</v>
      </c>
      <c r="C219" s="168"/>
      <c r="D219" s="5">
        <v>1</v>
      </c>
      <c r="E219" s="5" t="e" cm="1">
        <f t="array" aca="1" ref="E219" ca="1">SUMPRODUCT(SUMIF(INDIRECT("'"&amp;Assemblies[Assy]&amp;"'!"&amp;"C:C"),$A219,(INDIRECT("'"&amp;Assemblies[Assy]&amp;"'!"&amp;"O:O"))))</f>
        <v>#VALUE!</v>
      </c>
      <c r="F219" s="5" t="e">
        <f t="shared" ca="1" si="3"/>
        <v>#VALUE!</v>
      </c>
      <c r="G219" s="5"/>
      <c r="I219" s="117" t="s">
        <v>2881</v>
      </c>
      <c r="J219" s="117" t="s">
        <v>2635</v>
      </c>
      <c r="R219" s="115" t="str" cm="1">
        <f t="array" aca="1" ref="R219" ca="1">TRIM(SUBSTITUTE(_xlfn.ARRAYTOTEXT(IFERROR(CONCATENATE(SUMIF(INDIRECT("'"&amp;Assemblies!$B$2:$B$152&amp;"'!"&amp;"C$5:C1000"), $A219, INDIRECT("'"&amp;Assemblies!$B$2:$B$152&amp;"'!"&amp;"O$5:O1000")), "x",Assemblies!$B$2:$B$152,".",IF(SUMIF(INDIRECT("'"&amp;Assemblies!$B$2:$B$152&amp;"'!"&amp;"C$5:C1000"), $A219, INDIRECT("'"&amp;Assemblies!$B$2:$B$152&amp;"'!"&amp;"A$5:A1000"))=0,NA(),SUMIF(INDIRECT("'"&amp;Assemblies!$B$2:$B$152&amp;"'!"&amp;"C$5:C1000"), $A219, INDIRECT("'"&amp;Assemblies!$B$2:$B$152&amp;"'!"&amp;"A$5:A1000")))),"")), " ,", ""))</f>
        <v>,</v>
      </c>
      <c r="S219" s="56" t="s">
        <v>1382</v>
      </c>
      <c r="T219" s="2" t="s">
        <v>1382</v>
      </c>
      <c r="U219" s="2" t="s">
        <v>1382</v>
      </c>
      <c r="V219" s="2" t="s">
        <v>1382</v>
      </c>
    </row>
    <row r="220" spans="1:22" ht="12.75" hidden="1" customHeight="1">
      <c r="A220" s="133">
        <v>6030000200</v>
      </c>
      <c r="B220" s="2" t="s">
        <v>2882</v>
      </c>
      <c r="C220" s="168"/>
      <c r="D220" s="5">
        <v>1</v>
      </c>
      <c r="E220" s="5" t="e" cm="1">
        <f t="array" aca="1" ref="E220" ca="1">SUMPRODUCT(SUMIF(INDIRECT("'"&amp;Assemblies[Assy]&amp;"'!"&amp;"C:C"),$A220,(INDIRECT("'"&amp;Assemblies[Assy]&amp;"'!"&amp;"O:O"))))</f>
        <v>#VALUE!</v>
      </c>
      <c r="F220" s="5" t="e">
        <f t="shared" ca="1" si="3"/>
        <v>#VALUE!</v>
      </c>
      <c r="G220" s="5"/>
      <c r="I220" s="117" t="s">
        <v>2881</v>
      </c>
      <c r="J220" s="117" t="s">
        <v>2635</v>
      </c>
      <c r="R220" s="115" t="str" cm="1">
        <f t="array" aca="1" ref="R220" ca="1">TRIM(SUBSTITUTE(_xlfn.ARRAYTOTEXT(IFERROR(CONCATENATE(SUMIF(INDIRECT("'"&amp;Assemblies!$B$2:$B$152&amp;"'!"&amp;"C$5:C1000"), $A220, INDIRECT("'"&amp;Assemblies!$B$2:$B$152&amp;"'!"&amp;"O$5:O1000")), "x",Assemblies!$B$2:$B$152,".",IF(SUMIF(INDIRECT("'"&amp;Assemblies!$B$2:$B$152&amp;"'!"&amp;"C$5:C1000"), $A220, INDIRECT("'"&amp;Assemblies!$B$2:$B$152&amp;"'!"&amp;"A$5:A1000"))=0,NA(),SUMIF(INDIRECT("'"&amp;Assemblies!$B$2:$B$152&amp;"'!"&amp;"C$5:C1000"), $A220, INDIRECT("'"&amp;Assemblies!$B$2:$B$152&amp;"'!"&amp;"A$5:A1000")))),"")), " ,", ""))</f>
        <v>,</v>
      </c>
      <c r="S220" s="56" t="s">
        <v>1382</v>
      </c>
      <c r="T220" s="2" t="s">
        <v>1382</v>
      </c>
      <c r="U220" s="2" t="s">
        <v>1382</v>
      </c>
      <c r="V220" s="2" t="s">
        <v>1382</v>
      </c>
    </row>
    <row r="221" spans="1:22" ht="12.75" hidden="1" customHeight="1">
      <c r="A221" s="133" t="s">
        <v>108</v>
      </c>
      <c r="B221" s="2" t="s">
        <v>2883</v>
      </c>
      <c r="C221" s="168"/>
      <c r="D221" s="5">
        <v>1</v>
      </c>
      <c r="E221" s="5" t="e" cm="1">
        <f t="array" aca="1" ref="E221" ca="1">SUMPRODUCT(SUMIF(INDIRECT("'"&amp;Assemblies[Assy]&amp;"'!"&amp;"C:C"),$A221,(INDIRECT("'"&amp;Assemblies[Assy]&amp;"'!"&amp;"O:O"))))</f>
        <v>#VALUE!</v>
      </c>
      <c r="F221" s="5" t="e">
        <f t="shared" ca="1" si="3"/>
        <v>#VALUE!</v>
      </c>
      <c r="G221" s="5"/>
      <c r="I221" s="117" t="s">
        <v>2881</v>
      </c>
      <c r="J221" s="117" t="s">
        <v>2635</v>
      </c>
      <c r="R221" s="115" t="str" cm="1">
        <f t="array" aca="1" ref="R221" ca="1">TRIM(SUBSTITUTE(_xlfn.ARRAYTOTEXT(IFERROR(CONCATENATE(SUMIF(INDIRECT("'"&amp;Assemblies!$B$2:$B$152&amp;"'!"&amp;"C$5:C1000"), $A221, INDIRECT("'"&amp;Assemblies!$B$2:$B$152&amp;"'!"&amp;"O$5:O1000")), "x",Assemblies!$B$2:$B$152,".",IF(SUMIF(INDIRECT("'"&amp;Assemblies!$B$2:$B$152&amp;"'!"&amp;"C$5:C1000"), $A221, INDIRECT("'"&amp;Assemblies!$B$2:$B$152&amp;"'!"&amp;"A$5:A1000"))=0,NA(),SUMIF(INDIRECT("'"&amp;Assemblies!$B$2:$B$152&amp;"'!"&amp;"C$5:C1000"), $A221, INDIRECT("'"&amp;Assemblies!$B$2:$B$152&amp;"'!"&amp;"A$5:A1000")))),"")), " ,", ""))</f>
        <v>,</v>
      </c>
      <c r="S221" s="56" t="s">
        <v>1382</v>
      </c>
      <c r="T221" s="2" t="s">
        <v>1382</v>
      </c>
      <c r="U221" s="2" t="s">
        <v>1382</v>
      </c>
      <c r="V221" s="2" t="s">
        <v>1382</v>
      </c>
    </row>
    <row r="222" spans="1:22" ht="12.75" hidden="1" customHeight="1">
      <c r="A222" s="133" t="s">
        <v>164</v>
      </c>
      <c r="B222" s="2" t="s">
        <v>2884</v>
      </c>
      <c r="C222" s="168"/>
      <c r="D222" s="5">
        <v>1</v>
      </c>
      <c r="E222" s="5" t="e" cm="1">
        <f t="array" aca="1" ref="E222" ca="1">SUMPRODUCT(SUMIF(INDIRECT("'"&amp;Assemblies[Assy]&amp;"'!"&amp;"C:C"),$A222,(INDIRECT("'"&amp;Assemblies[Assy]&amp;"'!"&amp;"O:O"))))</f>
        <v>#VALUE!</v>
      </c>
      <c r="F222" s="5" t="e">
        <f t="shared" ca="1" si="3"/>
        <v>#VALUE!</v>
      </c>
      <c r="G222" s="5"/>
      <c r="I222" s="117" t="s">
        <v>2881</v>
      </c>
      <c r="J222" s="117" t="s">
        <v>2635</v>
      </c>
      <c r="R222" s="115" t="str" cm="1">
        <f t="array" aca="1" ref="R222" ca="1">TRIM(SUBSTITUTE(_xlfn.ARRAYTOTEXT(IFERROR(CONCATENATE(SUMIF(INDIRECT("'"&amp;Assemblies!$B$2:$B$152&amp;"'!"&amp;"C$5:C1000"), $A222, INDIRECT("'"&amp;Assemblies!$B$2:$B$152&amp;"'!"&amp;"O$5:O1000")), "x",Assemblies!$B$2:$B$152,".",IF(SUMIF(INDIRECT("'"&amp;Assemblies!$B$2:$B$152&amp;"'!"&amp;"C$5:C1000"), $A222, INDIRECT("'"&amp;Assemblies!$B$2:$B$152&amp;"'!"&amp;"A$5:A1000"))=0,NA(),SUMIF(INDIRECT("'"&amp;Assemblies!$B$2:$B$152&amp;"'!"&amp;"C$5:C1000"), $A222, INDIRECT("'"&amp;Assemblies!$B$2:$B$152&amp;"'!"&amp;"A$5:A1000")))),"")), " ,", ""))</f>
        <v>,</v>
      </c>
      <c r="S222" s="56" t="s">
        <v>1382</v>
      </c>
      <c r="T222" s="2" t="s">
        <v>1382</v>
      </c>
      <c r="U222" s="2" t="s">
        <v>1382</v>
      </c>
      <c r="V222" s="2" t="s">
        <v>1382</v>
      </c>
    </row>
    <row r="223" spans="1:22" ht="12.75" hidden="1" customHeight="1">
      <c r="A223" s="133" t="s">
        <v>109</v>
      </c>
      <c r="B223" s="2" t="s">
        <v>2885</v>
      </c>
      <c r="C223" s="168"/>
      <c r="D223" s="5">
        <v>1</v>
      </c>
      <c r="E223" s="5" t="e" cm="1">
        <f t="array" aca="1" ref="E223" ca="1">SUMPRODUCT(SUMIF(INDIRECT("'"&amp;Assemblies[Assy]&amp;"'!"&amp;"C:C"),$A223,(INDIRECT("'"&amp;Assemblies[Assy]&amp;"'!"&amp;"O:O"))))</f>
        <v>#VALUE!</v>
      </c>
      <c r="F223" s="5" t="e">
        <f t="shared" ca="1" si="3"/>
        <v>#VALUE!</v>
      </c>
      <c r="G223" s="5"/>
      <c r="I223" s="117" t="s">
        <v>2881</v>
      </c>
      <c r="J223" s="117" t="s">
        <v>2635</v>
      </c>
      <c r="R223" s="115" t="str" cm="1">
        <f t="array" aca="1" ref="R223" ca="1">TRIM(SUBSTITUTE(_xlfn.ARRAYTOTEXT(IFERROR(CONCATENATE(SUMIF(INDIRECT("'"&amp;Assemblies!$B$2:$B$152&amp;"'!"&amp;"C$5:C1000"), $A223, INDIRECT("'"&amp;Assemblies!$B$2:$B$152&amp;"'!"&amp;"O$5:O1000")), "x",Assemblies!$B$2:$B$152,".",IF(SUMIF(INDIRECT("'"&amp;Assemblies!$B$2:$B$152&amp;"'!"&amp;"C$5:C1000"), $A223, INDIRECT("'"&amp;Assemblies!$B$2:$B$152&amp;"'!"&amp;"A$5:A1000"))=0,NA(),SUMIF(INDIRECT("'"&amp;Assemblies!$B$2:$B$152&amp;"'!"&amp;"C$5:C1000"), $A223, INDIRECT("'"&amp;Assemblies!$B$2:$B$152&amp;"'!"&amp;"A$5:A1000")))),"")), " ,", ""))</f>
        <v>,</v>
      </c>
      <c r="S223" s="56" t="s">
        <v>1382</v>
      </c>
      <c r="T223" s="2" t="s">
        <v>1382</v>
      </c>
      <c r="U223" s="2" t="s">
        <v>1382</v>
      </c>
      <c r="V223" s="2" t="s">
        <v>1382</v>
      </c>
    </row>
    <row r="224" spans="1:22" ht="12.75" hidden="1" customHeight="1">
      <c r="A224" s="133" t="s">
        <v>203</v>
      </c>
      <c r="B224" s="2" t="s">
        <v>2886</v>
      </c>
      <c r="C224" s="168"/>
      <c r="D224" s="5">
        <v>1</v>
      </c>
      <c r="E224" s="5" t="e" cm="1">
        <f t="array" aca="1" ref="E224" ca="1">SUMPRODUCT(SUMIF(INDIRECT("'"&amp;Assemblies[Assy]&amp;"'!"&amp;"C:C"),$A224,(INDIRECT("'"&amp;Assemblies[Assy]&amp;"'!"&amp;"O:O"))))</f>
        <v>#VALUE!</v>
      </c>
      <c r="F224" s="5" t="e">
        <f t="shared" ca="1" si="3"/>
        <v>#VALUE!</v>
      </c>
      <c r="G224" s="5"/>
      <c r="I224" s="117" t="s">
        <v>2881</v>
      </c>
      <c r="J224" s="117" t="s">
        <v>2635</v>
      </c>
      <c r="R224" s="115" t="str" cm="1">
        <f t="array" aca="1" ref="R224" ca="1">TRIM(SUBSTITUTE(_xlfn.ARRAYTOTEXT(IFERROR(CONCATENATE(SUMIF(INDIRECT("'"&amp;Assemblies!$B$2:$B$152&amp;"'!"&amp;"C$5:C1000"), $A224, INDIRECT("'"&amp;Assemblies!$B$2:$B$152&amp;"'!"&amp;"O$5:O1000")), "x",Assemblies!$B$2:$B$152,".",IF(SUMIF(INDIRECT("'"&amp;Assemblies!$B$2:$B$152&amp;"'!"&amp;"C$5:C1000"), $A224, INDIRECT("'"&amp;Assemblies!$B$2:$B$152&amp;"'!"&amp;"A$5:A1000"))=0,NA(),SUMIF(INDIRECT("'"&amp;Assemblies!$B$2:$B$152&amp;"'!"&amp;"C$5:C1000"), $A224, INDIRECT("'"&amp;Assemblies!$B$2:$B$152&amp;"'!"&amp;"A$5:A1000")))),"")), " ,", ""))</f>
        <v>,</v>
      </c>
      <c r="S224" s="56" t="s">
        <v>1382</v>
      </c>
      <c r="T224" s="2" t="s">
        <v>1382</v>
      </c>
      <c r="U224" s="2" t="s">
        <v>1382</v>
      </c>
      <c r="V224" s="2" t="s">
        <v>1382</v>
      </c>
    </row>
    <row r="225" spans="1:22" ht="12.75" hidden="1" customHeight="1">
      <c r="A225" s="133" t="s">
        <v>110</v>
      </c>
      <c r="B225" s="2" t="s">
        <v>2887</v>
      </c>
      <c r="C225" s="168"/>
      <c r="D225" s="5">
        <v>1</v>
      </c>
      <c r="E225" s="5" t="e" cm="1">
        <f t="array" aca="1" ref="E225" ca="1">SUMPRODUCT(SUMIF(INDIRECT("'"&amp;Assemblies[Assy]&amp;"'!"&amp;"C:C"),$A225,(INDIRECT("'"&amp;Assemblies[Assy]&amp;"'!"&amp;"O:O"))))</f>
        <v>#VALUE!</v>
      </c>
      <c r="F225" s="5" t="e">
        <f t="shared" ca="1" si="3"/>
        <v>#VALUE!</v>
      </c>
      <c r="G225" s="5"/>
      <c r="I225" s="117" t="s">
        <v>2881</v>
      </c>
      <c r="J225" s="117" t="s">
        <v>2635</v>
      </c>
      <c r="R225" s="115" t="str" cm="1">
        <f t="array" aca="1" ref="R225" ca="1">TRIM(SUBSTITUTE(_xlfn.ARRAYTOTEXT(IFERROR(CONCATENATE(SUMIF(INDIRECT("'"&amp;Assemblies!$B$2:$B$152&amp;"'!"&amp;"C$5:C1000"), $A225, INDIRECT("'"&amp;Assemblies!$B$2:$B$152&amp;"'!"&amp;"O$5:O1000")), "x",Assemblies!$B$2:$B$152,".",IF(SUMIF(INDIRECT("'"&amp;Assemblies!$B$2:$B$152&amp;"'!"&amp;"C$5:C1000"), $A225, INDIRECT("'"&amp;Assemblies!$B$2:$B$152&amp;"'!"&amp;"A$5:A1000"))=0,NA(),SUMIF(INDIRECT("'"&amp;Assemblies!$B$2:$B$152&amp;"'!"&amp;"C$5:C1000"), $A225, INDIRECT("'"&amp;Assemblies!$B$2:$B$152&amp;"'!"&amp;"A$5:A1000")))),"")), " ,", ""))</f>
        <v>,</v>
      </c>
      <c r="S225" s="56" t="s">
        <v>1382</v>
      </c>
      <c r="T225" s="2" t="s">
        <v>1382</v>
      </c>
      <c r="U225" s="2" t="s">
        <v>1382</v>
      </c>
      <c r="V225" s="2" t="s">
        <v>1382</v>
      </c>
    </row>
    <row r="226" spans="1:22" ht="12.75" hidden="1" customHeight="1">
      <c r="A226" s="133" t="s">
        <v>111</v>
      </c>
      <c r="B226" s="2" t="s">
        <v>2888</v>
      </c>
      <c r="C226" s="168"/>
      <c r="D226" s="5">
        <v>1</v>
      </c>
      <c r="E226" s="5" t="e" cm="1">
        <f t="array" aca="1" ref="E226" ca="1">SUMPRODUCT(SUMIF(INDIRECT("'"&amp;Assemblies[Assy]&amp;"'!"&amp;"C:C"),$A226,(INDIRECT("'"&amp;Assemblies[Assy]&amp;"'!"&amp;"O:O"))))</f>
        <v>#VALUE!</v>
      </c>
      <c r="F226" s="5" t="e">
        <f t="shared" ca="1" si="3"/>
        <v>#VALUE!</v>
      </c>
      <c r="G226" s="5"/>
      <c r="I226" s="117" t="s">
        <v>2881</v>
      </c>
      <c r="J226" s="117" t="s">
        <v>2635</v>
      </c>
      <c r="R226" s="115" t="str" cm="1">
        <f t="array" aca="1" ref="R226" ca="1">TRIM(SUBSTITUTE(_xlfn.ARRAYTOTEXT(IFERROR(CONCATENATE(SUMIF(INDIRECT("'"&amp;Assemblies!$B$2:$B$152&amp;"'!"&amp;"C$5:C1000"), $A226, INDIRECT("'"&amp;Assemblies!$B$2:$B$152&amp;"'!"&amp;"O$5:O1000")), "x",Assemblies!$B$2:$B$152,".",IF(SUMIF(INDIRECT("'"&amp;Assemblies!$B$2:$B$152&amp;"'!"&amp;"C$5:C1000"), $A226, INDIRECT("'"&amp;Assemblies!$B$2:$B$152&amp;"'!"&amp;"A$5:A1000"))=0,NA(),SUMIF(INDIRECT("'"&amp;Assemblies!$B$2:$B$152&amp;"'!"&amp;"C$5:C1000"), $A226, INDIRECT("'"&amp;Assemblies!$B$2:$B$152&amp;"'!"&amp;"A$5:A1000")))),"")), " ,", ""))</f>
        <v>,</v>
      </c>
      <c r="S226" s="56" t="s">
        <v>1382</v>
      </c>
      <c r="T226" s="2" t="s">
        <v>1382</v>
      </c>
      <c r="U226" s="2" t="s">
        <v>1382</v>
      </c>
      <c r="V226" s="2" t="s">
        <v>1382</v>
      </c>
    </row>
    <row r="227" spans="1:22" ht="12.75" hidden="1" customHeight="1">
      <c r="A227" s="133" t="s">
        <v>112</v>
      </c>
      <c r="B227" s="2" t="s">
        <v>2889</v>
      </c>
      <c r="C227" s="168"/>
      <c r="D227" s="5">
        <v>1</v>
      </c>
      <c r="E227" s="5" t="e" cm="1">
        <f t="array" aca="1" ref="E227" ca="1">SUMPRODUCT(SUMIF(INDIRECT("'"&amp;Assemblies[Assy]&amp;"'!"&amp;"C:C"),$A227,(INDIRECT("'"&amp;Assemblies[Assy]&amp;"'!"&amp;"O:O"))))</f>
        <v>#VALUE!</v>
      </c>
      <c r="F227" s="5" t="e">
        <f t="shared" ca="1" si="3"/>
        <v>#VALUE!</v>
      </c>
      <c r="G227" s="5"/>
      <c r="I227" s="117" t="s">
        <v>2881</v>
      </c>
      <c r="J227" s="117" t="s">
        <v>2635</v>
      </c>
      <c r="R227" s="115" t="str" cm="1">
        <f t="array" aca="1" ref="R227" ca="1">TRIM(SUBSTITUTE(_xlfn.ARRAYTOTEXT(IFERROR(CONCATENATE(SUMIF(INDIRECT("'"&amp;Assemblies!$B$2:$B$152&amp;"'!"&amp;"C$5:C1000"), $A227, INDIRECT("'"&amp;Assemblies!$B$2:$B$152&amp;"'!"&amp;"O$5:O1000")), "x",Assemblies!$B$2:$B$152,".",IF(SUMIF(INDIRECT("'"&amp;Assemblies!$B$2:$B$152&amp;"'!"&amp;"C$5:C1000"), $A227, INDIRECT("'"&amp;Assemblies!$B$2:$B$152&amp;"'!"&amp;"A$5:A1000"))=0,NA(),SUMIF(INDIRECT("'"&amp;Assemblies!$B$2:$B$152&amp;"'!"&amp;"C$5:C1000"), $A227, INDIRECT("'"&amp;Assemblies!$B$2:$B$152&amp;"'!"&amp;"A$5:A1000")))),"")), " ,", ""))</f>
        <v>,</v>
      </c>
      <c r="S227" s="56" t="s">
        <v>1382</v>
      </c>
      <c r="T227" s="2" t="s">
        <v>1382</v>
      </c>
      <c r="U227" s="2" t="s">
        <v>1382</v>
      </c>
      <c r="V227" s="2" t="s">
        <v>1382</v>
      </c>
    </row>
    <row r="228" spans="1:22" ht="12.75" hidden="1" customHeight="1">
      <c r="A228" s="133" t="s">
        <v>113</v>
      </c>
      <c r="B228" s="2" t="s">
        <v>2890</v>
      </c>
      <c r="C228" s="168"/>
      <c r="D228" s="5">
        <v>1</v>
      </c>
      <c r="E228" s="5" t="e" cm="1">
        <f t="array" aca="1" ref="E228" ca="1">SUMPRODUCT(SUMIF(INDIRECT("'"&amp;Assemblies[Assy]&amp;"'!"&amp;"C:C"),$A228,(INDIRECT("'"&amp;Assemblies[Assy]&amp;"'!"&amp;"O:O"))))</f>
        <v>#VALUE!</v>
      </c>
      <c r="F228" s="5" t="e">
        <f t="shared" ca="1" si="3"/>
        <v>#VALUE!</v>
      </c>
      <c r="G228" s="5"/>
      <c r="I228" s="117" t="s">
        <v>2881</v>
      </c>
      <c r="J228" s="117" t="s">
        <v>2635</v>
      </c>
      <c r="R228" s="115" t="str" cm="1">
        <f t="array" aca="1" ref="R228" ca="1">TRIM(SUBSTITUTE(_xlfn.ARRAYTOTEXT(IFERROR(CONCATENATE(SUMIF(INDIRECT("'"&amp;Assemblies!$B$2:$B$152&amp;"'!"&amp;"C$5:C1000"), $A228, INDIRECT("'"&amp;Assemblies!$B$2:$B$152&amp;"'!"&amp;"O$5:O1000")), "x",Assemblies!$B$2:$B$152,".",IF(SUMIF(INDIRECT("'"&amp;Assemblies!$B$2:$B$152&amp;"'!"&amp;"C$5:C1000"), $A228, INDIRECT("'"&amp;Assemblies!$B$2:$B$152&amp;"'!"&amp;"A$5:A1000"))=0,NA(),SUMIF(INDIRECT("'"&amp;Assemblies!$B$2:$B$152&amp;"'!"&amp;"C$5:C1000"), $A228, INDIRECT("'"&amp;Assemblies!$B$2:$B$152&amp;"'!"&amp;"A$5:A1000")))),"")), " ,", ""))</f>
        <v>,</v>
      </c>
      <c r="S228" s="56" t="s">
        <v>1382</v>
      </c>
      <c r="T228" s="2" t="s">
        <v>1382</v>
      </c>
      <c r="U228" s="2" t="s">
        <v>1382</v>
      </c>
      <c r="V228" s="2" t="s">
        <v>1382</v>
      </c>
    </row>
    <row r="229" spans="1:22" ht="12.75" hidden="1" customHeight="1">
      <c r="A229" s="133" t="s">
        <v>114</v>
      </c>
      <c r="B229" s="2" t="s">
        <v>2891</v>
      </c>
      <c r="C229" s="168"/>
      <c r="D229" s="5">
        <v>1</v>
      </c>
      <c r="E229" s="5" t="e" cm="1">
        <f t="array" aca="1" ref="E229" ca="1">SUMPRODUCT(SUMIF(INDIRECT("'"&amp;Assemblies[Assy]&amp;"'!"&amp;"C:C"),$A229,(INDIRECT("'"&amp;Assemblies[Assy]&amp;"'!"&amp;"O:O"))))</f>
        <v>#VALUE!</v>
      </c>
      <c r="F229" s="5" t="e">
        <f t="shared" ca="1" si="3"/>
        <v>#VALUE!</v>
      </c>
      <c r="G229" s="5"/>
      <c r="I229" s="117" t="s">
        <v>2881</v>
      </c>
      <c r="J229" s="117" t="s">
        <v>2635</v>
      </c>
      <c r="R229" s="115" t="str" cm="1">
        <f t="array" aca="1" ref="R229" ca="1">TRIM(SUBSTITUTE(_xlfn.ARRAYTOTEXT(IFERROR(CONCATENATE(SUMIF(INDIRECT("'"&amp;Assemblies!$B$2:$B$152&amp;"'!"&amp;"C$5:C1000"), $A229, INDIRECT("'"&amp;Assemblies!$B$2:$B$152&amp;"'!"&amp;"O$5:O1000")), "x",Assemblies!$B$2:$B$152,".",IF(SUMIF(INDIRECT("'"&amp;Assemblies!$B$2:$B$152&amp;"'!"&amp;"C$5:C1000"), $A229, INDIRECT("'"&amp;Assemblies!$B$2:$B$152&amp;"'!"&amp;"A$5:A1000"))=0,NA(),SUMIF(INDIRECT("'"&amp;Assemblies!$B$2:$B$152&amp;"'!"&amp;"C$5:C1000"), $A229, INDIRECT("'"&amp;Assemblies!$B$2:$B$152&amp;"'!"&amp;"A$5:A1000")))),"")), " ,", ""))</f>
        <v>,</v>
      </c>
      <c r="S229" s="56" t="s">
        <v>1382</v>
      </c>
      <c r="T229" s="2" t="s">
        <v>1382</v>
      </c>
      <c r="U229" s="2" t="s">
        <v>1382</v>
      </c>
      <c r="V229" s="2" t="s">
        <v>1382</v>
      </c>
    </row>
    <row r="230" spans="1:22" ht="12.75" hidden="1" customHeight="1">
      <c r="A230" s="133" t="s">
        <v>115</v>
      </c>
      <c r="B230" s="2" t="s">
        <v>2892</v>
      </c>
      <c r="C230" s="168"/>
      <c r="D230" s="5">
        <v>1</v>
      </c>
      <c r="E230" s="5" t="e" cm="1">
        <f t="array" aca="1" ref="E230" ca="1">SUMPRODUCT(SUMIF(INDIRECT("'"&amp;Assemblies[Assy]&amp;"'!"&amp;"C:C"),$A230,(INDIRECT("'"&amp;Assemblies[Assy]&amp;"'!"&amp;"O:O"))))</f>
        <v>#VALUE!</v>
      </c>
      <c r="F230" s="5" t="e">
        <f t="shared" ca="1" si="3"/>
        <v>#VALUE!</v>
      </c>
      <c r="G230" s="5"/>
      <c r="I230" s="117" t="s">
        <v>2881</v>
      </c>
      <c r="J230" s="117" t="s">
        <v>2635</v>
      </c>
      <c r="R230" s="115" t="str" cm="1">
        <f t="array" aca="1" ref="R230" ca="1">TRIM(SUBSTITUTE(_xlfn.ARRAYTOTEXT(IFERROR(CONCATENATE(SUMIF(INDIRECT("'"&amp;Assemblies!$B$2:$B$152&amp;"'!"&amp;"C$5:C1000"), $A230, INDIRECT("'"&amp;Assemblies!$B$2:$B$152&amp;"'!"&amp;"O$5:O1000")), "x",Assemblies!$B$2:$B$152,".",IF(SUMIF(INDIRECT("'"&amp;Assemblies!$B$2:$B$152&amp;"'!"&amp;"C$5:C1000"), $A230, INDIRECT("'"&amp;Assemblies!$B$2:$B$152&amp;"'!"&amp;"A$5:A1000"))=0,NA(),SUMIF(INDIRECT("'"&amp;Assemblies!$B$2:$B$152&amp;"'!"&amp;"C$5:C1000"), $A230, INDIRECT("'"&amp;Assemblies!$B$2:$B$152&amp;"'!"&amp;"A$5:A1000")))),"")), " ,", ""))</f>
        <v>,</v>
      </c>
      <c r="S230" s="56" t="s">
        <v>1382</v>
      </c>
      <c r="T230" s="2" t="s">
        <v>1382</v>
      </c>
      <c r="U230" s="2" t="s">
        <v>1382</v>
      </c>
      <c r="V230" s="2" t="s">
        <v>1382</v>
      </c>
    </row>
    <row r="231" spans="1:22" ht="12.75" hidden="1" customHeight="1">
      <c r="A231" s="133" t="s">
        <v>116</v>
      </c>
      <c r="B231" s="2" t="s">
        <v>2893</v>
      </c>
      <c r="C231" s="168"/>
      <c r="D231" s="5">
        <v>1</v>
      </c>
      <c r="E231" s="5" t="e" cm="1">
        <f t="array" aca="1" ref="E231" ca="1">SUMPRODUCT(SUMIF(INDIRECT("'"&amp;Assemblies[Assy]&amp;"'!"&amp;"C:C"),$A231,(INDIRECT("'"&amp;Assemblies[Assy]&amp;"'!"&amp;"O:O"))))</f>
        <v>#VALUE!</v>
      </c>
      <c r="F231" s="5" t="e">
        <f t="shared" ca="1" si="3"/>
        <v>#VALUE!</v>
      </c>
      <c r="G231" s="5"/>
      <c r="I231" s="117" t="s">
        <v>2881</v>
      </c>
      <c r="J231" s="117" t="s">
        <v>2635</v>
      </c>
      <c r="R231" s="115" t="str" cm="1">
        <f t="array" aca="1" ref="R231" ca="1">TRIM(SUBSTITUTE(_xlfn.ARRAYTOTEXT(IFERROR(CONCATENATE(SUMIF(INDIRECT("'"&amp;Assemblies!$B$2:$B$152&amp;"'!"&amp;"C$5:C1000"), $A231, INDIRECT("'"&amp;Assemblies!$B$2:$B$152&amp;"'!"&amp;"O$5:O1000")), "x",Assemblies!$B$2:$B$152,".",IF(SUMIF(INDIRECT("'"&amp;Assemblies!$B$2:$B$152&amp;"'!"&amp;"C$5:C1000"), $A231, INDIRECT("'"&amp;Assemblies!$B$2:$B$152&amp;"'!"&amp;"A$5:A1000"))=0,NA(),SUMIF(INDIRECT("'"&amp;Assemblies!$B$2:$B$152&amp;"'!"&amp;"C$5:C1000"), $A231, INDIRECT("'"&amp;Assemblies!$B$2:$B$152&amp;"'!"&amp;"A$5:A1000")))),"")), " ,", ""))</f>
        <v>,</v>
      </c>
      <c r="S231" s="56" t="s">
        <v>1382</v>
      </c>
      <c r="T231" s="2" t="s">
        <v>1382</v>
      </c>
      <c r="U231" s="2" t="s">
        <v>1382</v>
      </c>
      <c r="V231" s="2" t="s">
        <v>1382</v>
      </c>
    </row>
    <row r="232" spans="1:22" ht="12.75" customHeight="1">
      <c r="A232" s="133" t="s">
        <v>598</v>
      </c>
      <c r="B232" s="2" t="s">
        <v>2894</v>
      </c>
      <c r="C232" s="205">
        <v>26.82</v>
      </c>
      <c r="D232" s="5">
        <v>1</v>
      </c>
      <c r="E232" s="5" t="e" cm="1">
        <f t="array" aca="1" ref="E232" ca="1">SUMPRODUCT(SUMIF(INDIRECT("'"&amp;Assemblies[Assy]&amp;"'!"&amp;"C:C"),$A232,(INDIRECT("'"&amp;Assemblies[Assy]&amp;"'!"&amp;"O:O"))))</f>
        <v>#VALUE!</v>
      </c>
      <c r="F232" s="5" t="e">
        <f t="shared" ca="1" si="3"/>
        <v>#VALUE!</v>
      </c>
      <c r="G232" s="5">
        <v>2</v>
      </c>
      <c r="I232" s="117" t="s">
        <v>2895</v>
      </c>
      <c r="J232" s="117" t="s">
        <v>2895</v>
      </c>
      <c r="M232" s="8" t="s">
        <v>1762</v>
      </c>
      <c r="N232" s="8">
        <v>45238</v>
      </c>
      <c r="O232" s="8">
        <v>45239</v>
      </c>
      <c r="P232" s="8">
        <v>45239</v>
      </c>
      <c r="Q232" s="229">
        <v>55277</v>
      </c>
      <c r="R232" s="115" t="str" cm="1">
        <f t="array" aca="1" ref="R232" ca="1">TRIM(SUBSTITUTE(_xlfn.ARRAYTOTEXT(IFERROR(CONCATENATE(SUMIF(INDIRECT("'"&amp;Assemblies!$B$2:$B$152&amp;"'!"&amp;"C$5:C1000"), $A232, INDIRECT("'"&amp;Assemblies!$B$2:$B$152&amp;"'!"&amp;"O$5:O1000")), "x",Assemblies!$B$2:$B$152,".",IF(SUMIF(INDIRECT("'"&amp;Assemblies!$B$2:$B$152&amp;"'!"&amp;"C$5:C1000"), $A232, INDIRECT("'"&amp;Assemblies!$B$2:$B$152&amp;"'!"&amp;"A$5:A1000"))=0,NA(),SUMIF(INDIRECT("'"&amp;Assemblies!$B$2:$B$152&amp;"'!"&amp;"C$5:C1000"), $A232, INDIRECT("'"&amp;Assemblies!$B$2:$B$152&amp;"'!"&amp;"A$5:A1000")))),"")), " ,", ""))</f>
        <v>,</v>
      </c>
      <c r="S232" s="56" t="s">
        <v>1382</v>
      </c>
      <c r="T232" s="2" t="s">
        <v>1382</v>
      </c>
      <c r="U232" s="2" t="s">
        <v>1382</v>
      </c>
      <c r="V232" s="2" t="s">
        <v>1382</v>
      </c>
    </row>
    <row r="233" spans="1:22" ht="12.75" customHeight="1">
      <c r="A233" s="133" t="s">
        <v>283</v>
      </c>
      <c r="B233" s="2" t="s">
        <v>2896</v>
      </c>
      <c r="C233" s="205">
        <v>28.67</v>
      </c>
      <c r="D233" s="5">
        <v>1</v>
      </c>
      <c r="E233" s="5" t="e" cm="1">
        <f t="array" aca="1" ref="E233" ca="1">SUMPRODUCT(SUMIF(INDIRECT("'"&amp;Assemblies[Assy]&amp;"'!"&amp;"C:C"),$A233,(INDIRECT("'"&amp;Assemblies[Assy]&amp;"'!"&amp;"O:O"))))</f>
        <v>#VALUE!</v>
      </c>
      <c r="F233" s="5" t="e">
        <f t="shared" ca="1" si="3"/>
        <v>#VALUE!</v>
      </c>
      <c r="G233" s="5">
        <v>2</v>
      </c>
      <c r="I233" s="117" t="s">
        <v>2895</v>
      </c>
      <c r="J233" s="117" t="s">
        <v>2895</v>
      </c>
      <c r="M233" s="8" t="s">
        <v>1762</v>
      </c>
      <c r="N233" s="8">
        <v>45238</v>
      </c>
      <c r="O233" s="8">
        <v>45239</v>
      </c>
      <c r="P233" s="8">
        <v>45239</v>
      </c>
      <c r="Q233" s="229">
        <v>55277</v>
      </c>
      <c r="R233" s="115" t="str" cm="1">
        <f t="array" aca="1" ref="R233" ca="1">TRIM(SUBSTITUTE(_xlfn.ARRAYTOTEXT(IFERROR(CONCATENATE(SUMIF(INDIRECT("'"&amp;Assemblies!$B$2:$B$152&amp;"'!"&amp;"C$5:C1000"), $A233, INDIRECT("'"&amp;Assemblies!$B$2:$B$152&amp;"'!"&amp;"O$5:O1000")), "x",Assemblies!$B$2:$B$152,".",IF(SUMIF(INDIRECT("'"&amp;Assemblies!$B$2:$B$152&amp;"'!"&amp;"C$5:C1000"), $A233, INDIRECT("'"&amp;Assemblies!$B$2:$B$152&amp;"'!"&amp;"A$5:A1000"))=0,NA(),SUMIF(INDIRECT("'"&amp;Assemblies!$B$2:$B$152&amp;"'!"&amp;"C$5:C1000"), $A233, INDIRECT("'"&amp;Assemblies!$B$2:$B$152&amp;"'!"&amp;"A$5:A1000")))),"")), " ,", ""))</f>
        <v>,</v>
      </c>
      <c r="S233" s="56" t="s">
        <v>1382</v>
      </c>
      <c r="T233" s="2" t="s">
        <v>1382</v>
      </c>
      <c r="U233" s="2" t="s">
        <v>1382</v>
      </c>
      <c r="V233" s="2" t="s">
        <v>1382</v>
      </c>
    </row>
    <row r="234" spans="1:22" ht="12.75" customHeight="1">
      <c r="A234" s="133" t="s">
        <v>645</v>
      </c>
      <c r="B234" s="2" t="s">
        <v>2897</v>
      </c>
      <c r="C234" s="205">
        <v>26.91</v>
      </c>
      <c r="D234" s="5">
        <v>1</v>
      </c>
      <c r="E234" s="5" t="e" cm="1">
        <f t="array" aca="1" ref="E234" ca="1">SUMPRODUCT(SUMIF(INDIRECT("'"&amp;Assemblies[Assy]&amp;"'!"&amp;"C:C"),$A234,(INDIRECT("'"&amp;Assemblies[Assy]&amp;"'!"&amp;"O:O"))))</f>
        <v>#VALUE!</v>
      </c>
      <c r="F234" s="5" t="e">
        <f t="shared" ca="1" si="3"/>
        <v>#VALUE!</v>
      </c>
      <c r="G234" s="5">
        <v>4</v>
      </c>
      <c r="I234" s="117" t="s">
        <v>2895</v>
      </c>
      <c r="J234" s="117" t="s">
        <v>2895</v>
      </c>
      <c r="M234" s="8" t="s">
        <v>1762</v>
      </c>
      <c r="N234" s="8">
        <v>45238</v>
      </c>
      <c r="O234" s="8">
        <v>45239</v>
      </c>
      <c r="P234" s="8">
        <v>45239</v>
      </c>
      <c r="Q234" s="229">
        <v>55277</v>
      </c>
      <c r="R234" s="115" t="str" cm="1">
        <f t="array" aca="1" ref="R234" ca="1">TRIM(SUBSTITUTE(_xlfn.ARRAYTOTEXT(IFERROR(CONCATENATE(SUMIF(INDIRECT("'"&amp;Assemblies!$B$2:$B$152&amp;"'!"&amp;"C$5:C1000"), $A234, INDIRECT("'"&amp;Assemblies!$B$2:$B$152&amp;"'!"&amp;"O$5:O1000")), "x",Assemblies!$B$2:$B$152,".",IF(SUMIF(INDIRECT("'"&amp;Assemblies!$B$2:$B$152&amp;"'!"&amp;"C$5:C1000"), $A234, INDIRECT("'"&amp;Assemblies!$B$2:$B$152&amp;"'!"&amp;"A$5:A1000"))=0,NA(),SUMIF(INDIRECT("'"&amp;Assemblies!$B$2:$B$152&amp;"'!"&amp;"C$5:C1000"), $A234, INDIRECT("'"&amp;Assemblies!$B$2:$B$152&amp;"'!"&amp;"A$5:A1000")))),"")), " ,", ""))</f>
        <v>,</v>
      </c>
      <c r="S234" s="56" t="s">
        <v>1382</v>
      </c>
      <c r="T234" s="2" t="s">
        <v>1382</v>
      </c>
      <c r="U234" s="2" t="s">
        <v>1382</v>
      </c>
      <c r="V234" s="2" t="s">
        <v>1382</v>
      </c>
    </row>
    <row r="235" spans="1:22" ht="12.75" customHeight="1">
      <c r="A235" s="133" t="s">
        <v>946</v>
      </c>
      <c r="B235" s="2" t="s">
        <v>2898</v>
      </c>
      <c r="C235" s="168">
        <v>7.57</v>
      </c>
      <c r="D235" s="5">
        <v>1</v>
      </c>
      <c r="E235" s="5" t="e" cm="1">
        <f t="array" aca="1" ref="E235" ca="1">SUMPRODUCT(SUMIF(INDIRECT("'"&amp;Assemblies[Assy]&amp;"'!"&amp;"C:C"),$A235,(INDIRECT("'"&amp;Assemblies[Assy]&amp;"'!"&amp;"O:O"))))</f>
        <v>#VALUE!</v>
      </c>
      <c r="F235" s="5" t="e">
        <f t="shared" ca="1" si="3"/>
        <v>#VALUE!</v>
      </c>
      <c r="G235" s="5">
        <v>8</v>
      </c>
      <c r="H235" s="2">
        <v>8</v>
      </c>
      <c r="I235" s="117" t="s">
        <v>2895</v>
      </c>
      <c r="J235" s="117" t="s">
        <v>2895</v>
      </c>
      <c r="K235" s="135" t="s">
        <v>1382</v>
      </c>
      <c r="L235" s="2" t="s">
        <v>1382</v>
      </c>
      <c r="M235" s="8" t="s">
        <v>1762</v>
      </c>
      <c r="N235" s="8">
        <v>45162</v>
      </c>
      <c r="O235" s="8">
        <v>45184</v>
      </c>
      <c r="P235" s="8">
        <v>45166</v>
      </c>
      <c r="Q235" s="229">
        <v>55087</v>
      </c>
      <c r="R235" s="115" t="str" cm="1">
        <f t="array" aca="1" ref="R235" ca="1">TRIM(SUBSTITUTE(_xlfn.ARRAYTOTEXT(IFERROR(CONCATENATE(SUMIF(INDIRECT("'"&amp;Assemblies[Assy]&amp;"'!"&amp;"C$5:C1000"), $A235, INDIRECT("'"&amp;Assemblies[Assy]&amp;"'!"&amp;"O$5:O1000")), "x",Assemblies[Assy],".",IF(SUMIF(INDIRECT("'"&amp;Assemblies[Assy]&amp;"'!"&amp;"C$5:C1000"), $A235, INDIRECT("'"&amp;Assemblies[Assy]&amp;"'!"&amp;"A$5:A1000"))=0,NA(),SUMIF(INDIRECT("'"&amp;Assemblies[Assy]&amp;"'!"&amp;"C$5:C1000"), $A235, INDIRECT("'"&amp;Assemblies[Assy]&amp;"'!"&amp;"A$5:A1000")))),"")), " ,", ""))</f>
        <v>,</v>
      </c>
      <c r="S235" s="56" t="s">
        <v>1382</v>
      </c>
      <c r="T235" s="2" t="s">
        <v>1382</v>
      </c>
      <c r="U235" s="2" t="s">
        <v>1382</v>
      </c>
      <c r="V235" s="2" t="s">
        <v>1382</v>
      </c>
    </row>
    <row r="236" spans="1:22" ht="12.75" customHeight="1">
      <c r="A236" s="133" t="s">
        <v>423</v>
      </c>
      <c r="B236" s="2" t="s">
        <v>2899</v>
      </c>
      <c r="C236" s="168">
        <v>8.85</v>
      </c>
      <c r="D236" s="5">
        <v>10</v>
      </c>
      <c r="E236" s="5" t="e" cm="1">
        <f t="array" aca="1" ref="E236" ca="1">SUMPRODUCT(SUMIF(INDIRECT("'"&amp;Assemblies[Assy]&amp;"'!"&amp;"C:C"),$A236,(INDIRECT("'"&amp;Assemblies[Assy]&amp;"'!"&amp;"O:O"))))</f>
        <v>#VALUE!</v>
      </c>
      <c r="F236" s="5" t="e">
        <f t="shared" ca="1" si="3"/>
        <v>#VALUE!</v>
      </c>
      <c r="G236" s="5">
        <v>2</v>
      </c>
      <c r="H236" s="2">
        <v>2</v>
      </c>
      <c r="I236" s="117" t="s">
        <v>2895</v>
      </c>
      <c r="J236" s="117" t="s">
        <v>2895</v>
      </c>
      <c r="K236" s="135" t="s">
        <v>1382</v>
      </c>
      <c r="L236" s="2" t="s">
        <v>1382</v>
      </c>
      <c r="M236" s="8" t="s">
        <v>1762</v>
      </c>
      <c r="N236" s="8">
        <v>45162</v>
      </c>
      <c r="O236" s="8">
        <v>45184</v>
      </c>
      <c r="P236" s="8">
        <v>45166</v>
      </c>
      <c r="Q236" s="229">
        <v>55087</v>
      </c>
      <c r="R236" s="115" t="str" cm="1">
        <f t="array" aca="1" ref="R236" ca="1">TRIM(SUBSTITUTE(_xlfn.ARRAYTOTEXT(IFERROR(CONCATENATE(SUMIF(INDIRECT("'"&amp;Assemblies[Assy]&amp;"'!"&amp;"C$5:C1000"), $A236, INDIRECT("'"&amp;Assemblies[Assy]&amp;"'!"&amp;"O$5:O1000")), "x",Assemblies[Assy],".",IF(SUMIF(INDIRECT("'"&amp;Assemblies[Assy]&amp;"'!"&amp;"C$5:C1000"), $A236, INDIRECT("'"&amp;Assemblies[Assy]&amp;"'!"&amp;"A$5:A1000"))=0,NA(),SUMIF(INDIRECT("'"&amp;Assemblies[Assy]&amp;"'!"&amp;"C$5:C1000"), $A236, INDIRECT("'"&amp;Assemblies[Assy]&amp;"'!"&amp;"A$5:A1000")))),"")), " ,", ""))</f>
        <v>,</v>
      </c>
      <c r="S236" s="56" t="s">
        <v>1382</v>
      </c>
      <c r="T236" s="2" t="s">
        <v>1382</v>
      </c>
      <c r="U236" s="2" t="s">
        <v>1382</v>
      </c>
      <c r="V236" s="2" t="s">
        <v>1382</v>
      </c>
    </row>
    <row r="237" spans="1:22" ht="12.75" customHeight="1">
      <c r="A237" s="133" t="s">
        <v>696</v>
      </c>
      <c r="B237" s="2" t="s">
        <v>2900</v>
      </c>
      <c r="C237" s="203">
        <v>13.29</v>
      </c>
      <c r="D237" s="5">
        <v>1</v>
      </c>
      <c r="E237" s="5" t="e" cm="1">
        <f t="array" aca="1" ref="E237" ca="1">SUMPRODUCT(SUMIF(INDIRECT("'"&amp;Assemblies[Assy]&amp;"'!"&amp;"C:C"),$A237,(INDIRECT("'"&amp;Assemblies[Assy]&amp;"'!"&amp;"O:O"))))</f>
        <v>#VALUE!</v>
      </c>
      <c r="F237" s="5" t="e">
        <f t="shared" ca="1" si="3"/>
        <v>#VALUE!</v>
      </c>
      <c r="G237" s="5">
        <v>10</v>
      </c>
      <c r="H237" s="2">
        <v>10</v>
      </c>
      <c r="I237" s="117" t="s">
        <v>2895</v>
      </c>
      <c r="J237" s="117" t="s">
        <v>2895</v>
      </c>
      <c r="K237" s="135" t="s">
        <v>1382</v>
      </c>
      <c r="L237" s="2" t="s">
        <v>1382</v>
      </c>
      <c r="M237" s="8" t="s">
        <v>1762</v>
      </c>
      <c r="N237" s="8">
        <v>45162</v>
      </c>
      <c r="O237" s="8">
        <v>45184</v>
      </c>
      <c r="P237" s="8">
        <v>45166</v>
      </c>
      <c r="Q237" s="229">
        <v>55087</v>
      </c>
      <c r="R237" s="115" t="str" cm="1">
        <f t="array" aca="1" ref="R237" ca="1">TRIM(SUBSTITUTE(_xlfn.ARRAYTOTEXT(IFERROR(CONCATENATE(SUMIF(INDIRECT("'"&amp;Assemblies[Assy]&amp;"'!"&amp;"C$5:C1000"), $A237, INDIRECT("'"&amp;Assemblies[Assy]&amp;"'!"&amp;"O$5:O1000")), "x",Assemblies[Assy],".",IF(SUMIF(INDIRECT("'"&amp;Assemblies[Assy]&amp;"'!"&amp;"C$5:C1000"), $A237, INDIRECT("'"&amp;Assemblies[Assy]&amp;"'!"&amp;"A$5:A1000"))=0,NA(),SUMIF(INDIRECT("'"&amp;Assemblies[Assy]&amp;"'!"&amp;"C$5:C1000"), $A237, INDIRECT("'"&amp;Assemblies[Assy]&amp;"'!"&amp;"A$5:A1000")))),"")), " ,", ""))</f>
        <v>,</v>
      </c>
      <c r="S237" s="56" t="s">
        <v>1382</v>
      </c>
      <c r="T237" s="2" t="s">
        <v>1382</v>
      </c>
      <c r="U237" s="2" t="s">
        <v>1382</v>
      </c>
      <c r="V237" s="2" t="s">
        <v>1382</v>
      </c>
    </row>
    <row r="238" spans="1:22" ht="12.75" customHeight="1">
      <c r="A238" s="133" t="s">
        <v>885</v>
      </c>
      <c r="B238" s="2" t="s">
        <v>2901</v>
      </c>
      <c r="C238" s="168">
        <v>14.84</v>
      </c>
      <c r="D238" s="5">
        <v>1</v>
      </c>
      <c r="E238" s="5" t="e" cm="1">
        <f t="array" aca="1" ref="E238" ca="1">SUMPRODUCT(SUMIF(INDIRECT("'"&amp;Assemblies[Assy]&amp;"'!"&amp;"C:C"),$A238,(INDIRECT("'"&amp;Assemblies[Assy]&amp;"'!"&amp;"O:O"))))</f>
        <v>#VALUE!</v>
      </c>
      <c r="F238" s="5" t="e">
        <f t="shared" ca="1" si="3"/>
        <v>#VALUE!</v>
      </c>
      <c r="G238" s="5">
        <v>8</v>
      </c>
      <c r="H238" s="2">
        <v>8</v>
      </c>
      <c r="I238" s="117" t="s">
        <v>2895</v>
      </c>
      <c r="J238" s="117" t="s">
        <v>2895</v>
      </c>
      <c r="L238" s="2" t="s">
        <v>1382</v>
      </c>
      <c r="M238" s="8" t="s">
        <v>1762</v>
      </c>
      <c r="N238" s="8">
        <v>45196</v>
      </c>
      <c r="O238" s="8">
        <v>45197</v>
      </c>
      <c r="P238" s="8">
        <v>45197</v>
      </c>
      <c r="Q238" s="229">
        <v>55167</v>
      </c>
      <c r="R238" s="115" t="str" cm="1">
        <f t="array" aca="1" ref="R238" ca="1">TRIM(SUBSTITUTE(_xlfn.ARRAYTOTEXT(IFERROR(CONCATENATE(SUMIF(INDIRECT("'"&amp;Assemblies[Assy]&amp;"'!"&amp;"C$5:C1000"), $A238, INDIRECT("'"&amp;Assemblies[Assy]&amp;"'!"&amp;"O$5:O1000")), "x",Assemblies[Assy],".",IF(SUMIF(INDIRECT("'"&amp;Assemblies[Assy]&amp;"'!"&amp;"C$5:C1000"), $A238, INDIRECT("'"&amp;Assemblies[Assy]&amp;"'!"&amp;"A$5:A1000"))=0,NA(),SUMIF(INDIRECT("'"&amp;Assemblies[Assy]&amp;"'!"&amp;"C$5:C1000"), $A238, INDIRECT("'"&amp;Assemblies[Assy]&amp;"'!"&amp;"A$5:A1000")))),"")), " ,", ""))</f>
        <v>,</v>
      </c>
      <c r="S238" s="56" t="s">
        <v>1382</v>
      </c>
      <c r="T238" s="2" t="s">
        <v>1382</v>
      </c>
      <c r="U238" s="2" t="s">
        <v>1382</v>
      </c>
      <c r="V238" s="2" t="s">
        <v>1382</v>
      </c>
    </row>
    <row r="239" spans="1:22" ht="12.75" customHeight="1">
      <c r="A239" s="133" t="s">
        <v>883</v>
      </c>
      <c r="B239" s="2" t="s">
        <v>2902</v>
      </c>
      <c r="C239" s="168">
        <v>24.49</v>
      </c>
      <c r="D239" s="5">
        <v>1</v>
      </c>
      <c r="E239" s="5" t="e" cm="1">
        <f t="array" aca="1" ref="E239" ca="1">SUMPRODUCT(SUMIF(INDIRECT("'"&amp;Assemblies[Assy]&amp;"'!"&amp;"C:C"),$A239,(INDIRECT("'"&amp;Assemblies[Assy]&amp;"'!"&amp;"O:O"))))</f>
        <v>#VALUE!</v>
      </c>
      <c r="F239" s="5" t="e">
        <f t="shared" ca="1" si="3"/>
        <v>#VALUE!</v>
      </c>
      <c r="G239" s="5">
        <v>4</v>
      </c>
      <c r="H239" s="2">
        <v>4</v>
      </c>
      <c r="I239" s="117" t="s">
        <v>2895</v>
      </c>
      <c r="J239" s="117" t="s">
        <v>2895</v>
      </c>
      <c r="L239" s="2" t="s">
        <v>1382</v>
      </c>
      <c r="M239" s="8" t="s">
        <v>1762</v>
      </c>
      <c r="N239" s="8">
        <v>45196</v>
      </c>
      <c r="O239" s="8">
        <v>45197</v>
      </c>
      <c r="P239" s="8">
        <v>45197</v>
      </c>
      <c r="Q239" s="229">
        <v>55167</v>
      </c>
      <c r="R239" s="115" t="str" cm="1">
        <f t="array" aca="1" ref="R239" ca="1">TRIM(SUBSTITUTE(_xlfn.ARRAYTOTEXT(IFERROR(CONCATENATE(SUMIF(INDIRECT("'"&amp;Assemblies[Assy]&amp;"'!"&amp;"C$5:C1000"), $A239, INDIRECT("'"&amp;Assemblies[Assy]&amp;"'!"&amp;"O$5:O1000")), "x",Assemblies[Assy],".",IF(SUMIF(INDIRECT("'"&amp;Assemblies[Assy]&amp;"'!"&amp;"C$5:C1000"), $A239, INDIRECT("'"&amp;Assemblies[Assy]&amp;"'!"&amp;"A$5:A1000"))=0,NA(),SUMIF(INDIRECT("'"&amp;Assemblies[Assy]&amp;"'!"&amp;"C$5:C1000"), $A239, INDIRECT("'"&amp;Assemblies[Assy]&amp;"'!"&amp;"A$5:A1000")))),"")), " ,", ""))</f>
        <v>,</v>
      </c>
      <c r="S239" s="56" t="s">
        <v>1382</v>
      </c>
      <c r="T239" s="2" t="s">
        <v>1382</v>
      </c>
      <c r="U239" s="2" t="s">
        <v>1382</v>
      </c>
      <c r="V239" s="2" t="s">
        <v>1382</v>
      </c>
    </row>
    <row r="240" spans="1:22" ht="12.75" customHeight="1">
      <c r="A240" s="133" t="s">
        <v>1117</v>
      </c>
      <c r="B240" s="2" t="s">
        <v>2903</v>
      </c>
      <c r="C240" s="168">
        <v>24.49</v>
      </c>
      <c r="D240" s="5">
        <v>1</v>
      </c>
      <c r="E240" s="5" t="e" cm="1">
        <f t="array" aca="1" ref="E240" ca="1">SUMPRODUCT(SUMIF(INDIRECT("'"&amp;Assemblies[Assy]&amp;"'!"&amp;"C:C"),$A240,(INDIRECT("'"&amp;Assemblies[Assy]&amp;"'!"&amp;"O:O"))))</f>
        <v>#VALUE!</v>
      </c>
      <c r="F240" s="5" t="e">
        <f t="shared" ca="1" si="3"/>
        <v>#VALUE!</v>
      </c>
      <c r="G240" s="5">
        <v>12</v>
      </c>
      <c r="H240" s="2">
        <v>12</v>
      </c>
      <c r="I240" s="117" t="s">
        <v>2895</v>
      </c>
      <c r="J240" s="117" t="s">
        <v>2895</v>
      </c>
      <c r="L240" s="2" t="s">
        <v>1382</v>
      </c>
      <c r="M240" s="8" t="s">
        <v>1762</v>
      </c>
      <c r="N240" s="8">
        <v>45196</v>
      </c>
      <c r="O240" s="8">
        <v>45197</v>
      </c>
      <c r="P240" s="8">
        <v>45197</v>
      </c>
      <c r="Q240" s="229">
        <v>55167</v>
      </c>
      <c r="R240" s="115" t="str" cm="1">
        <f t="array" aca="1" ref="R240" ca="1">TRIM(SUBSTITUTE(_xlfn.ARRAYTOTEXT(IFERROR(CONCATENATE(SUMIF(INDIRECT("'"&amp;Assemblies[Assy]&amp;"'!"&amp;"C$5:C1000"), $A240, INDIRECT("'"&amp;Assemblies[Assy]&amp;"'!"&amp;"O$5:O1000")), "x",Assemblies[Assy],".",IF(SUMIF(INDIRECT("'"&amp;Assemblies[Assy]&amp;"'!"&amp;"C$5:C1000"), $A240, INDIRECT("'"&amp;Assemblies[Assy]&amp;"'!"&amp;"A$5:A1000"))=0,NA(),SUMIF(INDIRECT("'"&amp;Assemblies[Assy]&amp;"'!"&amp;"C$5:C1000"), $A240, INDIRECT("'"&amp;Assemblies[Assy]&amp;"'!"&amp;"A$5:A1000")))),"")), " ,", ""))</f>
        <v>,</v>
      </c>
      <c r="S240" s="56" t="s">
        <v>1382</v>
      </c>
      <c r="T240" s="2" t="s">
        <v>1382</v>
      </c>
      <c r="U240" s="2" t="s">
        <v>1382</v>
      </c>
      <c r="V240" s="2" t="s">
        <v>1382</v>
      </c>
    </row>
    <row r="241" spans="1:22" ht="12.75" customHeight="1">
      <c r="A241" s="133" t="s">
        <v>2904</v>
      </c>
      <c r="B241" s="2" t="s">
        <v>2905</v>
      </c>
      <c r="C241" s="168">
        <v>11.04</v>
      </c>
      <c r="D241" s="5">
        <v>1</v>
      </c>
      <c r="E241" s="5" cm="1">
        <f t="array" aca="1" ref="E241" ca="1">SUMPRODUCT(SUMIF(INDIRECT("'"&amp;Assemblies[Assy]&amp;"'!"&amp;"C:C"),$A241,(INDIRECT("'"&amp;Assemblies[Assy]&amp;"'!"&amp;"O:O"))))</f>
        <v>0</v>
      </c>
      <c r="F241" s="5">
        <f t="shared" ca="1" si="3"/>
        <v>0</v>
      </c>
      <c r="G241" s="5">
        <v>1</v>
      </c>
      <c r="H241" s="2">
        <v>1</v>
      </c>
      <c r="I241" s="117" t="s">
        <v>2895</v>
      </c>
      <c r="J241" s="117" t="s">
        <v>2895</v>
      </c>
      <c r="K241" s="135" t="s">
        <v>1382</v>
      </c>
      <c r="L241" s="2" t="s">
        <v>1382</v>
      </c>
      <c r="M241" s="8" t="s">
        <v>1762</v>
      </c>
      <c r="N241" s="8">
        <v>45162</v>
      </c>
      <c r="O241" s="8">
        <v>45184</v>
      </c>
      <c r="P241" s="8">
        <v>45166</v>
      </c>
      <c r="Q241" s="229">
        <v>55087</v>
      </c>
      <c r="R241" s="115" t="str" cm="1">
        <f t="array" aca="1" ref="R241" ca="1">TRIM(SUBSTITUTE(_xlfn.ARRAYTOTEXT(IFERROR(CONCATENATE(SUMIF(INDIRECT("'"&amp;Assemblies[Assy]&amp;"'!"&amp;"C$5:C1000"), $A241, INDIRECT("'"&amp;Assemblies[Assy]&amp;"'!"&amp;"O$5:O1000")), "x",Assemblies[Assy],".",IF(SUMIF(INDIRECT("'"&amp;Assemblies[Assy]&amp;"'!"&amp;"C$5:C1000"), $A241, INDIRECT("'"&amp;Assemblies[Assy]&amp;"'!"&amp;"A$5:A1000"))=0,NA(),SUMIF(INDIRECT("'"&amp;Assemblies[Assy]&amp;"'!"&amp;"C$5:C1000"), $A241, INDIRECT("'"&amp;Assemblies[Assy]&amp;"'!"&amp;"A$5:A1000")))),"")), " ,", ""))</f>
        <v>,</v>
      </c>
      <c r="S241" s="56" t="s">
        <v>1382</v>
      </c>
      <c r="T241" s="2" t="s">
        <v>1382</v>
      </c>
      <c r="U241" s="2" t="s">
        <v>1382</v>
      </c>
      <c r="V241" s="2" t="s">
        <v>1382</v>
      </c>
    </row>
    <row r="242" spans="1:22" ht="12.75" customHeight="1">
      <c r="A242" s="133" t="s">
        <v>2906</v>
      </c>
      <c r="B242" s="2" t="s">
        <v>2907</v>
      </c>
      <c r="C242" s="168">
        <v>34.39</v>
      </c>
      <c r="D242" s="5">
        <v>1</v>
      </c>
      <c r="E242" s="5" cm="1">
        <f t="array" aca="1" ref="E242" ca="1">SUMPRODUCT(SUMIF(INDIRECT("'"&amp;Assemblies[Assy]&amp;"'!"&amp;"C:C"),$A242,(INDIRECT("'"&amp;Assemblies[Assy]&amp;"'!"&amp;"O:O"))))</f>
        <v>0</v>
      </c>
      <c r="F242" s="5">
        <f t="shared" ca="1" si="3"/>
        <v>0</v>
      </c>
      <c r="G242" s="5">
        <v>1</v>
      </c>
      <c r="H242" s="2">
        <v>1</v>
      </c>
      <c r="I242" s="117" t="s">
        <v>2895</v>
      </c>
      <c r="J242" s="117" t="s">
        <v>2895</v>
      </c>
      <c r="K242" s="135" t="s">
        <v>1382</v>
      </c>
      <c r="L242" s="2" t="s">
        <v>1382</v>
      </c>
      <c r="M242" s="8" t="s">
        <v>1762</v>
      </c>
      <c r="N242" s="8">
        <v>45162</v>
      </c>
      <c r="O242" s="8">
        <v>45184</v>
      </c>
      <c r="P242" s="8">
        <v>45166</v>
      </c>
      <c r="Q242" s="229">
        <v>55087</v>
      </c>
      <c r="R242" s="115" t="str" cm="1">
        <f t="array" aca="1" ref="R242" ca="1">TRIM(SUBSTITUTE(_xlfn.ARRAYTOTEXT(IFERROR(CONCATENATE(SUMIF(INDIRECT("'"&amp;Assemblies[Assy]&amp;"'!"&amp;"C$5:C1000"), $A242, INDIRECT("'"&amp;Assemblies[Assy]&amp;"'!"&amp;"O$5:O1000")), "x",Assemblies[Assy],".",IF(SUMIF(INDIRECT("'"&amp;Assemblies[Assy]&amp;"'!"&amp;"C$5:C1000"), $A242, INDIRECT("'"&amp;Assemblies[Assy]&amp;"'!"&amp;"A$5:A1000"))=0,NA(),SUMIF(INDIRECT("'"&amp;Assemblies[Assy]&amp;"'!"&amp;"C$5:C1000"), $A242, INDIRECT("'"&amp;Assemblies[Assy]&amp;"'!"&amp;"A$5:A1000")))),"")), " ,", ""))</f>
        <v>,</v>
      </c>
      <c r="S242" s="56" t="s">
        <v>1382</v>
      </c>
      <c r="T242" s="2" t="s">
        <v>1382</v>
      </c>
      <c r="U242" s="2" t="s">
        <v>1382</v>
      </c>
      <c r="V242" s="2" t="s">
        <v>1382</v>
      </c>
    </row>
    <row r="243" spans="1:22" ht="12.75" customHeight="1">
      <c r="A243" s="133" t="s">
        <v>538</v>
      </c>
      <c r="B243" s="2" t="s">
        <v>2908</v>
      </c>
      <c r="C243" s="168">
        <v>49.29</v>
      </c>
      <c r="D243" s="5">
        <v>1</v>
      </c>
      <c r="E243" s="5" t="e" cm="1">
        <f t="array" aca="1" ref="E243" ca="1">SUMPRODUCT(SUMIF(INDIRECT("'"&amp;Assemblies[Assy]&amp;"'!"&amp;"C:C"),$A243,(INDIRECT("'"&amp;Assemblies[Assy]&amp;"'!"&amp;"O:O"))))</f>
        <v>#VALUE!</v>
      </c>
      <c r="F243" s="5" t="e">
        <f t="shared" ca="1" si="3"/>
        <v>#VALUE!</v>
      </c>
      <c r="G243" s="5">
        <v>1</v>
      </c>
      <c r="H243" s="2">
        <v>1</v>
      </c>
      <c r="I243" s="117" t="s">
        <v>2895</v>
      </c>
      <c r="J243" s="117" t="s">
        <v>2895</v>
      </c>
      <c r="K243" s="135" t="s">
        <v>1382</v>
      </c>
      <c r="L243" s="2" t="s">
        <v>1382</v>
      </c>
      <c r="M243" s="8" t="s">
        <v>1762</v>
      </c>
      <c r="N243" s="8">
        <v>45170</v>
      </c>
      <c r="O243" s="8">
        <v>45174</v>
      </c>
      <c r="P243" s="8">
        <v>45174</v>
      </c>
      <c r="Q243" s="229">
        <v>55124</v>
      </c>
      <c r="R243" s="115" t="str" cm="1">
        <f t="array" aca="1" ref="R243" ca="1">TRIM(SUBSTITUTE(_xlfn.ARRAYTOTEXT(IFERROR(CONCATENATE(SUMIF(INDIRECT("'"&amp;Assemblies[Assy]&amp;"'!"&amp;"C$5:C1000"), $A243, INDIRECT("'"&amp;Assemblies[Assy]&amp;"'!"&amp;"O$5:O1000")), "x",Assemblies[Assy],".",IF(SUMIF(INDIRECT("'"&amp;Assemblies[Assy]&amp;"'!"&amp;"C$5:C1000"), $A243, INDIRECT("'"&amp;Assemblies[Assy]&amp;"'!"&amp;"A$5:A1000"))=0,NA(),SUMIF(INDIRECT("'"&amp;Assemblies[Assy]&amp;"'!"&amp;"C$5:C1000"), $A243, INDIRECT("'"&amp;Assemblies[Assy]&amp;"'!"&amp;"A$5:A1000")))),"")), " ,", ""))</f>
        <v>,</v>
      </c>
      <c r="S243" s="56" t="s">
        <v>1382</v>
      </c>
      <c r="T243" s="2" t="s">
        <v>1382</v>
      </c>
      <c r="U243" s="2" t="s">
        <v>1382</v>
      </c>
      <c r="V243" s="2" t="s">
        <v>1382</v>
      </c>
    </row>
    <row r="244" spans="1:22" ht="12.75" customHeight="1">
      <c r="A244" s="133" t="s">
        <v>1279</v>
      </c>
      <c r="B244" s="2" t="s">
        <v>2909</v>
      </c>
      <c r="C244" s="168">
        <v>13.45</v>
      </c>
      <c r="D244" s="5">
        <v>1</v>
      </c>
      <c r="E244" s="5" t="e" cm="1">
        <f t="array" aca="1" ref="E244" ca="1">SUMPRODUCT(SUMIF(INDIRECT("'"&amp;Assemblies[Assy]&amp;"'!"&amp;"C:C"),$A244,(INDIRECT("'"&amp;Assemblies[Assy]&amp;"'!"&amp;"O:O"))))</f>
        <v>#VALUE!</v>
      </c>
      <c r="F244" s="5" t="e">
        <f t="shared" ca="1" si="3"/>
        <v>#VALUE!</v>
      </c>
      <c r="G244" s="5">
        <v>4</v>
      </c>
      <c r="H244" s="2">
        <v>4</v>
      </c>
      <c r="I244" s="117" t="s">
        <v>2895</v>
      </c>
      <c r="J244" s="117" t="s">
        <v>2895</v>
      </c>
      <c r="K244" s="135" t="s">
        <v>1382</v>
      </c>
      <c r="L244" s="2" t="s">
        <v>1382</v>
      </c>
      <c r="M244" s="8" t="s">
        <v>1762</v>
      </c>
      <c r="N244" s="8">
        <v>45162</v>
      </c>
      <c r="O244" s="8">
        <v>45184</v>
      </c>
      <c r="P244" s="8">
        <v>45166</v>
      </c>
      <c r="Q244" s="229">
        <v>55087</v>
      </c>
      <c r="R244" s="115" t="str" cm="1">
        <f t="array" aca="1" ref="R244" ca="1">TRIM(SUBSTITUTE(_xlfn.ARRAYTOTEXT(IFERROR(CONCATENATE(SUMIF(INDIRECT("'"&amp;Assemblies[Assy]&amp;"'!"&amp;"C$5:C1000"), $A244, INDIRECT("'"&amp;Assemblies[Assy]&amp;"'!"&amp;"O$5:O1000")), "x",Assemblies[Assy],".",IF(SUMIF(INDIRECT("'"&amp;Assemblies[Assy]&amp;"'!"&amp;"C$5:C1000"), $A244, INDIRECT("'"&amp;Assemblies[Assy]&amp;"'!"&amp;"A$5:A1000"))=0,NA(),SUMIF(INDIRECT("'"&amp;Assemblies[Assy]&amp;"'!"&amp;"C$5:C1000"), $A244, INDIRECT("'"&amp;Assemblies[Assy]&amp;"'!"&amp;"A$5:A1000")))),"")), " ,", ""))</f>
        <v>,</v>
      </c>
      <c r="S244" s="56" t="s">
        <v>1382</v>
      </c>
      <c r="T244" s="2" t="s">
        <v>1382</v>
      </c>
      <c r="U244" s="2" t="s">
        <v>1382</v>
      </c>
      <c r="V244" s="2" t="s">
        <v>1382</v>
      </c>
    </row>
    <row r="245" spans="1:22" ht="12.75" customHeight="1">
      <c r="A245" s="133" t="s">
        <v>1063</v>
      </c>
      <c r="B245" s="22" t="s">
        <v>2910</v>
      </c>
      <c r="C245" s="203">
        <v>6.04</v>
      </c>
      <c r="D245" s="5">
        <v>1</v>
      </c>
      <c r="E245" s="5" t="e" cm="1">
        <f t="array" aca="1" ref="E245" ca="1">SUMPRODUCT(SUMIF(INDIRECT("'"&amp;Assemblies[Assy]&amp;"'!"&amp;"C:C"),$A245,(INDIRECT("'"&amp;Assemblies[Assy]&amp;"'!"&amp;"O:O"))))</f>
        <v>#VALUE!</v>
      </c>
      <c r="F245" s="5" t="e">
        <f t="shared" ca="1" si="3"/>
        <v>#VALUE!</v>
      </c>
      <c r="G245" s="5">
        <v>16</v>
      </c>
      <c r="H245" s="2">
        <v>16</v>
      </c>
      <c r="I245" s="117" t="s">
        <v>2895</v>
      </c>
      <c r="J245" s="117" t="s">
        <v>2895</v>
      </c>
      <c r="K245" s="135" t="s">
        <v>1382</v>
      </c>
      <c r="L245" s="2" t="s">
        <v>1382</v>
      </c>
      <c r="M245" s="8" t="s">
        <v>1762</v>
      </c>
      <c r="N245" s="8">
        <v>45162</v>
      </c>
      <c r="O245" s="8">
        <v>45184</v>
      </c>
      <c r="P245" s="8">
        <v>45166</v>
      </c>
      <c r="Q245" s="229">
        <v>55087</v>
      </c>
      <c r="R245" s="115" t="str" cm="1">
        <f t="array" aca="1" ref="R245" ca="1">TRIM(SUBSTITUTE(_xlfn.ARRAYTOTEXT(IFERROR(CONCATENATE(SUMIF(INDIRECT("'"&amp;Assemblies[Assy]&amp;"'!"&amp;"C$5:C1000"), $A245, INDIRECT("'"&amp;Assemblies[Assy]&amp;"'!"&amp;"O$5:O1000")), "x",Assemblies[Assy],".",IF(SUMIF(INDIRECT("'"&amp;Assemblies[Assy]&amp;"'!"&amp;"C$5:C1000"), $A245, INDIRECT("'"&amp;Assemblies[Assy]&amp;"'!"&amp;"A$5:A1000"))=0,NA(),SUMIF(INDIRECT("'"&amp;Assemblies[Assy]&amp;"'!"&amp;"C$5:C1000"), $A245, INDIRECT("'"&amp;Assemblies[Assy]&amp;"'!"&amp;"A$5:A1000")))),"")), " ,", ""))</f>
        <v>,</v>
      </c>
      <c r="S245" s="56" t="s">
        <v>1382</v>
      </c>
      <c r="T245" s="2" t="s">
        <v>1382</v>
      </c>
      <c r="U245" s="2" t="s">
        <v>1382</v>
      </c>
      <c r="V245" s="2" t="s">
        <v>1382</v>
      </c>
    </row>
    <row r="246" spans="1:22" ht="12.75" customHeight="1">
      <c r="A246" s="133" t="s">
        <v>1027</v>
      </c>
      <c r="B246" s="2" t="s">
        <v>2911</v>
      </c>
      <c r="C246" s="168">
        <v>9.43</v>
      </c>
      <c r="D246" s="5">
        <v>100</v>
      </c>
      <c r="E246" s="5" t="e" cm="1">
        <f t="array" aca="1" ref="E246" ca="1">SUMPRODUCT(SUMIF(INDIRECT("'"&amp;Assemblies[Assy]&amp;"'!"&amp;"C:C"),$A246,(INDIRECT("'"&amp;Assemblies[Assy]&amp;"'!"&amp;"O:O"))))</f>
        <v>#VALUE!</v>
      </c>
      <c r="F246" s="5" t="e">
        <f t="shared" ca="1" si="3"/>
        <v>#VALUE!</v>
      </c>
      <c r="G246" s="5">
        <v>1</v>
      </c>
      <c r="H246" s="2">
        <v>1</v>
      </c>
      <c r="I246" s="117" t="s">
        <v>2895</v>
      </c>
      <c r="J246" s="117" t="s">
        <v>2895</v>
      </c>
      <c r="K246" s="135" t="s">
        <v>1382</v>
      </c>
      <c r="L246" s="2" t="s">
        <v>1382</v>
      </c>
      <c r="M246" s="8" t="s">
        <v>1762</v>
      </c>
      <c r="N246" s="8">
        <v>45162</v>
      </c>
      <c r="O246" s="8">
        <v>45184</v>
      </c>
      <c r="P246" s="8">
        <v>45166</v>
      </c>
      <c r="Q246" s="229">
        <v>55087</v>
      </c>
      <c r="R246" s="115" t="str" cm="1">
        <f t="array" aca="1" ref="R246" ca="1">TRIM(SUBSTITUTE(_xlfn.ARRAYTOTEXT(IFERROR(CONCATENATE(SUMIF(INDIRECT("'"&amp;Assemblies[Assy]&amp;"'!"&amp;"C$5:C1000"), $A246, INDIRECT("'"&amp;Assemblies[Assy]&amp;"'!"&amp;"O$5:O1000")), "x",Assemblies[Assy],".",IF(SUMIF(INDIRECT("'"&amp;Assemblies[Assy]&amp;"'!"&amp;"C$5:C1000"), $A246, INDIRECT("'"&amp;Assemblies[Assy]&amp;"'!"&amp;"A$5:A1000"))=0,NA(),SUMIF(INDIRECT("'"&amp;Assemblies[Assy]&amp;"'!"&amp;"C$5:C1000"), $A246, INDIRECT("'"&amp;Assemblies[Assy]&amp;"'!"&amp;"A$5:A1000")))),"")), " ,", ""))</f>
        <v>,</v>
      </c>
      <c r="S246" s="56" t="s">
        <v>1382</v>
      </c>
      <c r="T246" s="2" t="s">
        <v>1382</v>
      </c>
      <c r="U246" s="2" t="s">
        <v>1382</v>
      </c>
      <c r="V246" s="2" t="s">
        <v>1382</v>
      </c>
    </row>
    <row r="247" spans="1:22" ht="12.75" customHeight="1">
      <c r="A247" s="133" t="s">
        <v>892</v>
      </c>
      <c r="B247" s="22" t="s">
        <v>2912</v>
      </c>
      <c r="C247" s="168">
        <v>11.43</v>
      </c>
      <c r="D247" s="5">
        <v>50</v>
      </c>
      <c r="E247" s="5" t="e" cm="1">
        <f t="array" aca="1" ref="E247" ca="1">SUMPRODUCT(SUMIF(INDIRECT("'"&amp;Assemblies[Assy]&amp;"'!"&amp;"C:C"),$A247,(INDIRECT("'"&amp;Assemblies[Assy]&amp;"'!"&amp;"O:O"))))</f>
        <v>#VALUE!</v>
      </c>
      <c r="F247" s="5" t="e">
        <f t="shared" ca="1" si="3"/>
        <v>#VALUE!</v>
      </c>
      <c r="G247" s="5">
        <v>1</v>
      </c>
      <c r="H247" s="2">
        <v>1</v>
      </c>
      <c r="I247" s="117" t="s">
        <v>2895</v>
      </c>
      <c r="J247" s="117" t="s">
        <v>2895</v>
      </c>
      <c r="K247" s="135" t="s">
        <v>1382</v>
      </c>
      <c r="L247" s="2" t="s">
        <v>1382</v>
      </c>
      <c r="M247" s="8" t="s">
        <v>1762</v>
      </c>
      <c r="N247" s="8">
        <v>45162</v>
      </c>
      <c r="O247" s="8">
        <v>45184</v>
      </c>
      <c r="P247" s="8">
        <v>45166</v>
      </c>
      <c r="Q247" s="229">
        <v>55087</v>
      </c>
      <c r="R247" s="115" t="str" cm="1">
        <f t="array" aca="1" ref="R247" ca="1">TRIM(SUBSTITUTE(_xlfn.ARRAYTOTEXT(IFERROR(CONCATENATE(SUMIF(INDIRECT("'"&amp;Assemblies[Assy]&amp;"'!"&amp;"C$5:C1000"), $A247, INDIRECT("'"&amp;Assemblies[Assy]&amp;"'!"&amp;"O$5:O1000")), "x",Assemblies[Assy],".",IF(SUMIF(INDIRECT("'"&amp;Assemblies[Assy]&amp;"'!"&amp;"C$5:C1000"), $A247, INDIRECT("'"&amp;Assemblies[Assy]&amp;"'!"&amp;"A$5:A1000"))=0,NA(),SUMIF(INDIRECT("'"&amp;Assemblies[Assy]&amp;"'!"&amp;"C$5:C1000"), $A247, INDIRECT("'"&amp;Assemblies[Assy]&amp;"'!"&amp;"A$5:A1000")))),"")), " ,", ""))</f>
        <v>,</v>
      </c>
      <c r="S247" s="56" t="s">
        <v>1382</v>
      </c>
      <c r="T247" s="2" t="s">
        <v>1382</v>
      </c>
      <c r="U247" s="2" t="s">
        <v>1382</v>
      </c>
      <c r="V247" s="2" t="s">
        <v>1382</v>
      </c>
    </row>
    <row r="248" spans="1:22" ht="12.75" customHeight="1">
      <c r="A248" s="133" t="s">
        <v>1086</v>
      </c>
      <c r="B248" s="190" t="s">
        <v>2913</v>
      </c>
      <c r="C248" s="168">
        <v>9</v>
      </c>
      <c r="D248" s="5">
        <v>25</v>
      </c>
      <c r="E248" s="5" t="e" cm="1">
        <f t="array" aca="1" ref="E248" ca="1">SUMPRODUCT(SUMIF(INDIRECT("'"&amp;Assemblies[Assy]&amp;"'!"&amp;"C:C"),$A248,(INDIRECT("'"&amp;Assemblies[Assy]&amp;"'!"&amp;"O:O"))))</f>
        <v>#VALUE!</v>
      </c>
      <c r="F248" s="5" t="e">
        <f t="shared" ca="1" si="3"/>
        <v>#VALUE!</v>
      </c>
      <c r="G248" s="5">
        <v>5</v>
      </c>
      <c r="H248" s="2">
        <v>5</v>
      </c>
      <c r="I248" s="117" t="s">
        <v>2895</v>
      </c>
      <c r="J248" s="117" t="s">
        <v>2895</v>
      </c>
      <c r="K248" s="135" t="s">
        <v>1382</v>
      </c>
      <c r="L248" s="2" t="s">
        <v>1382</v>
      </c>
      <c r="M248" s="8" t="s">
        <v>1762</v>
      </c>
      <c r="N248" s="8">
        <v>45162</v>
      </c>
      <c r="O248" s="8">
        <v>45184</v>
      </c>
      <c r="P248" s="8">
        <v>45166</v>
      </c>
      <c r="Q248" s="229" t="s">
        <v>2914</v>
      </c>
      <c r="R248" s="115" t="str" cm="1">
        <f t="array" aca="1" ref="R248" ca="1">TRIM(SUBSTITUTE(_xlfn.ARRAYTOTEXT(IFERROR(CONCATENATE(SUMIF(INDIRECT("'"&amp;Assemblies[Assy]&amp;"'!"&amp;"C$5:C1000"), $A248, INDIRECT("'"&amp;Assemblies[Assy]&amp;"'!"&amp;"O$5:O1000")), "x",Assemblies[Assy],".",IF(SUMIF(INDIRECT("'"&amp;Assemblies[Assy]&amp;"'!"&amp;"C$5:C1000"), $A248, INDIRECT("'"&amp;Assemblies[Assy]&amp;"'!"&amp;"A$5:A1000"))=0,NA(),SUMIF(INDIRECT("'"&amp;Assemblies[Assy]&amp;"'!"&amp;"C$5:C1000"), $A248, INDIRECT("'"&amp;Assemblies[Assy]&amp;"'!"&amp;"A$5:A1000")))),"")), " ,", ""))</f>
        <v>,</v>
      </c>
      <c r="S248" s="56" t="s">
        <v>1382</v>
      </c>
      <c r="T248" s="2" t="s">
        <v>1382</v>
      </c>
      <c r="U248" s="2" t="s">
        <v>1382</v>
      </c>
      <c r="V248" s="2" t="s">
        <v>1382</v>
      </c>
    </row>
    <row r="249" spans="1:22" ht="12.75" customHeight="1">
      <c r="A249" s="133" t="s">
        <v>952</v>
      </c>
      <c r="B249" s="2" t="s">
        <v>2915</v>
      </c>
      <c r="C249" s="168">
        <v>7.25</v>
      </c>
      <c r="D249" s="5">
        <v>1</v>
      </c>
      <c r="E249" s="5" t="e" cm="1">
        <f t="array" aca="1" ref="E249" ca="1">SUMPRODUCT(SUMIF(INDIRECT("'"&amp;Assemblies[Assy]&amp;"'!"&amp;"C:C"),$A249,(INDIRECT("'"&amp;Assemblies[Assy]&amp;"'!"&amp;"O:O"))))</f>
        <v>#VALUE!</v>
      </c>
      <c r="F249" s="5" t="e">
        <f t="shared" ca="1" si="3"/>
        <v>#VALUE!</v>
      </c>
      <c r="G249" s="5">
        <v>2</v>
      </c>
      <c r="H249" s="2">
        <v>2</v>
      </c>
      <c r="I249" s="117" t="s">
        <v>2895</v>
      </c>
      <c r="J249" s="117" t="s">
        <v>2895</v>
      </c>
      <c r="K249" s="135" t="s">
        <v>1382</v>
      </c>
      <c r="L249" s="2" t="s">
        <v>1382</v>
      </c>
      <c r="M249" s="8" t="s">
        <v>1762</v>
      </c>
      <c r="N249" s="8">
        <v>45162</v>
      </c>
      <c r="O249" s="8">
        <v>45184</v>
      </c>
      <c r="P249" s="8">
        <v>45166</v>
      </c>
      <c r="Q249" s="229">
        <v>55087</v>
      </c>
      <c r="R249" s="115" t="str" cm="1">
        <f t="array" aca="1" ref="R249" ca="1">TRIM(SUBSTITUTE(_xlfn.ARRAYTOTEXT(IFERROR(CONCATENATE(SUMIF(INDIRECT("'"&amp;Assemblies[Assy]&amp;"'!"&amp;"C$5:C1000"), $A249, INDIRECT("'"&amp;Assemblies[Assy]&amp;"'!"&amp;"O$5:O1000")), "x",Assemblies[Assy],".",IF(SUMIF(INDIRECT("'"&amp;Assemblies[Assy]&amp;"'!"&amp;"C$5:C1000"), $A249, INDIRECT("'"&amp;Assemblies[Assy]&amp;"'!"&amp;"A$5:A1000"))=0,NA(),SUMIF(INDIRECT("'"&amp;Assemblies[Assy]&amp;"'!"&amp;"C$5:C1000"), $A249, INDIRECT("'"&amp;Assemblies[Assy]&amp;"'!"&amp;"A$5:A1000")))),"")), " ,", ""))</f>
        <v>,</v>
      </c>
      <c r="S249" s="56" t="s">
        <v>1382</v>
      </c>
      <c r="T249" s="2" t="s">
        <v>1382</v>
      </c>
      <c r="U249" s="2" t="s">
        <v>1382</v>
      </c>
      <c r="V249" s="2" t="s">
        <v>1382</v>
      </c>
    </row>
    <row r="250" spans="1:22" ht="12.75" customHeight="1">
      <c r="A250" s="133" t="s">
        <v>695</v>
      </c>
      <c r="B250" s="2" t="s">
        <v>2916</v>
      </c>
      <c r="C250" s="205">
        <v>14.83</v>
      </c>
      <c r="D250" s="5">
        <v>1</v>
      </c>
      <c r="E250" s="5" t="e" cm="1">
        <f t="array" aca="1" ref="E250" ca="1">SUMPRODUCT(SUMIF(INDIRECT("'"&amp;Assemblies[Assy]&amp;"'!"&amp;"C:C"),$A250,(INDIRECT("'"&amp;Assemblies[Assy]&amp;"'!"&amp;"O:O"))))</f>
        <v>#VALUE!</v>
      </c>
      <c r="F250" s="5" t="e">
        <f t="shared" ca="1" si="3"/>
        <v>#VALUE!</v>
      </c>
      <c r="G250" s="5">
        <v>3</v>
      </c>
      <c r="H250" s="2">
        <v>3</v>
      </c>
      <c r="I250" s="117" t="s">
        <v>2895</v>
      </c>
      <c r="J250" s="117" t="s">
        <v>2895</v>
      </c>
      <c r="M250" s="8" t="s">
        <v>1762</v>
      </c>
      <c r="N250" s="8">
        <v>45229</v>
      </c>
      <c r="O250" s="8">
        <v>45230</v>
      </c>
      <c r="P250" s="8">
        <v>45230</v>
      </c>
      <c r="Q250" s="229">
        <v>55262</v>
      </c>
      <c r="R250" s="115" t="str" cm="1">
        <f t="array" aca="1" ref="R250" ca="1">TRIM(SUBSTITUTE(_xlfn.ARRAYTOTEXT(IFERROR(CONCATENATE(SUMIF(INDIRECT("'"&amp;Assemblies!$B$2:$B$152&amp;"'!"&amp;"C$5:C1000"), $A250, INDIRECT("'"&amp;Assemblies!$B$2:$B$152&amp;"'!"&amp;"O$5:O1000")), "x",Assemblies!$B$2:$B$152,".",IF(SUMIF(INDIRECT("'"&amp;Assemblies!$B$2:$B$152&amp;"'!"&amp;"C$5:C1000"), $A250, INDIRECT("'"&amp;Assemblies!$B$2:$B$152&amp;"'!"&amp;"A$5:A1000"))=0,NA(),SUMIF(INDIRECT("'"&amp;Assemblies!$B$2:$B$152&amp;"'!"&amp;"C$5:C1000"), $A250, INDIRECT("'"&amp;Assemblies!$B$2:$B$152&amp;"'!"&amp;"A$5:A1000")))),"")), " ,", ""))</f>
        <v>,</v>
      </c>
      <c r="S250" s="56" t="s">
        <v>1382</v>
      </c>
      <c r="T250" s="2" t="s">
        <v>1382</v>
      </c>
      <c r="U250" s="2" t="s">
        <v>1382</v>
      </c>
      <c r="V250" s="2" t="s">
        <v>1382</v>
      </c>
    </row>
    <row r="251" spans="1:22" ht="12.75" customHeight="1">
      <c r="A251" s="133" t="s">
        <v>905</v>
      </c>
      <c r="B251" s="2" t="s">
        <v>2917</v>
      </c>
      <c r="C251" s="205">
        <v>16.03</v>
      </c>
      <c r="D251" s="5">
        <v>1</v>
      </c>
      <c r="E251" s="5" t="e" cm="1">
        <f t="array" aca="1" ref="E251" ca="1">SUMPRODUCT(SUMIF(INDIRECT("'"&amp;Assemblies[Assy]&amp;"'!"&amp;"C:C"),$A251,(INDIRECT("'"&amp;Assemblies[Assy]&amp;"'!"&amp;"O:O"))))</f>
        <v>#VALUE!</v>
      </c>
      <c r="F251" s="5" t="e">
        <f t="shared" ca="1" si="3"/>
        <v>#VALUE!</v>
      </c>
      <c r="G251" s="5">
        <v>12</v>
      </c>
      <c r="H251" s="2">
        <v>12</v>
      </c>
      <c r="I251" s="117" t="s">
        <v>2895</v>
      </c>
      <c r="J251" s="117" t="s">
        <v>2895</v>
      </c>
      <c r="M251" s="8" t="s">
        <v>1762</v>
      </c>
      <c r="N251" s="8">
        <v>45229</v>
      </c>
      <c r="O251" s="8">
        <v>45230</v>
      </c>
      <c r="P251" s="8">
        <v>45230</v>
      </c>
      <c r="Q251" s="229">
        <v>55262</v>
      </c>
      <c r="R251" s="115" t="str" cm="1">
        <f t="array" aca="1" ref="R251" ca="1">TRIM(SUBSTITUTE(_xlfn.ARRAYTOTEXT(IFERROR(CONCATENATE(SUMIF(INDIRECT("'"&amp;Assemblies!$B$2:$B$152&amp;"'!"&amp;"C$5:C1000"), $A251, INDIRECT("'"&amp;Assemblies!$B$2:$B$152&amp;"'!"&amp;"O$5:O1000")), "x",Assemblies!$B$2:$B$152,".",IF(SUMIF(INDIRECT("'"&amp;Assemblies!$B$2:$B$152&amp;"'!"&amp;"C$5:C1000"), $A251, INDIRECT("'"&amp;Assemblies!$B$2:$B$152&amp;"'!"&amp;"A$5:A1000"))=0,NA(),SUMIF(INDIRECT("'"&amp;Assemblies!$B$2:$B$152&amp;"'!"&amp;"C$5:C1000"), $A251, INDIRECT("'"&amp;Assemblies!$B$2:$B$152&amp;"'!"&amp;"A$5:A1000")))),"")), " ,", ""))</f>
        <v>,</v>
      </c>
      <c r="S251" s="56" t="s">
        <v>1382</v>
      </c>
      <c r="T251" s="2" t="s">
        <v>1382</v>
      </c>
      <c r="U251" s="2" t="s">
        <v>1382</v>
      </c>
      <c r="V251" s="2" t="s">
        <v>1382</v>
      </c>
    </row>
    <row r="252" spans="1:22" ht="12.75" customHeight="1">
      <c r="A252" s="133" t="s">
        <v>1122</v>
      </c>
      <c r="B252" s="2" t="s">
        <v>2918</v>
      </c>
      <c r="C252" s="205">
        <v>17.98</v>
      </c>
      <c r="D252" s="5">
        <v>1</v>
      </c>
      <c r="E252" s="5" t="e" cm="1">
        <f t="array" aca="1" ref="E252" ca="1">SUMPRODUCT(SUMIF(INDIRECT("'"&amp;Assemblies[Assy]&amp;"'!"&amp;"C:C"),$A252,(INDIRECT("'"&amp;Assemblies[Assy]&amp;"'!"&amp;"O:O"))))</f>
        <v>#VALUE!</v>
      </c>
      <c r="F252" s="5" t="e">
        <f t="shared" ca="1" si="3"/>
        <v>#VALUE!</v>
      </c>
      <c r="G252" s="5">
        <v>12</v>
      </c>
      <c r="H252" s="2">
        <v>12</v>
      </c>
      <c r="I252" s="117" t="s">
        <v>2895</v>
      </c>
      <c r="J252" s="117" t="s">
        <v>2895</v>
      </c>
      <c r="M252" s="8" t="s">
        <v>1762</v>
      </c>
      <c r="N252" s="8">
        <v>45229</v>
      </c>
      <c r="O252" s="8">
        <v>45230</v>
      </c>
      <c r="P252" s="8">
        <v>45230</v>
      </c>
      <c r="Q252" s="229">
        <v>55262</v>
      </c>
      <c r="R252" s="115" t="str" cm="1">
        <f t="array" aca="1" ref="R252" ca="1">TRIM(SUBSTITUTE(_xlfn.ARRAYTOTEXT(IFERROR(CONCATENATE(SUMIF(INDIRECT("'"&amp;Assemblies!$B$2:$B$152&amp;"'!"&amp;"C$5:C1000"), $A252, INDIRECT("'"&amp;Assemblies!$B$2:$B$152&amp;"'!"&amp;"O$5:O1000")), "x",Assemblies!$B$2:$B$152,".",IF(SUMIF(INDIRECT("'"&amp;Assemblies!$B$2:$B$152&amp;"'!"&amp;"C$5:C1000"), $A252, INDIRECT("'"&amp;Assemblies!$B$2:$B$152&amp;"'!"&amp;"A$5:A1000"))=0,NA(),SUMIF(INDIRECT("'"&amp;Assemblies!$B$2:$B$152&amp;"'!"&amp;"C$5:C1000"), $A252, INDIRECT("'"&amp;Assemblies!$B$2:$B$152&amp;"'!"&amp;"A$5:A1000")))),"")), " ,", ""))</f>
        <v>,</v>
      </c>
      <c r="S252" s="56" t="s">
        <v>1382</v>
      </c>
      <c r="T252" s="2" t="s">
        <v>1382</v>
      </c>
      <c r="U252" s="2" t="s">
        <v>1382</v>
      </c>
      <c r="V252" s="2" t="s">
        <v>1382</v>
      </c>
    </row>
    <row r="253" spans="1:22" ht="12.75" customHeight="1">
      <c r="A253" s="133" t="s">
        <v>939</v>
      </c>
      <c r="B253" s="2" t="s">
        <v>2919</v>
      </c>
      <c r="C253" s="168">
        <v>13.99</v>
      </c>
      <c r="D253" s="5">
        <v>1</v>
      </c>
      <c r="E253" s="5" t="e" cm="1">
        <f t="array" aca="1" ref="E253" ca="1">SUMPRODUCT(SUMIF(INDIRECT("'"&amp;Assemblies[Assy]&amp;"'!"&amp;"C:C"),$A253,(INDIRECT("'"&amp;Assemblies[Assy]&amp;"'!"&amp;"O:O"))))</f>
        <v>#VALUE!</v>
      </c>
      <c r="F253" s="5" t="e">
        <f t="shared" ca="1" si="3"/>
        <v>#VALUE!</v>
      </c>
      <c r="G253" s="5">
        <v>2</v>
      </c>
      <c r="H253" s="2">
        <v>2</v>
      </c>
      <c r="I253" s="117" t="s">
        <v>2895</v>
      </c>
      <c r="J253" s="117" t="s">
        <v>2895</v>
      </c>
      <c r="K253" s="135" t="s">
        <v>1382</v>
      </c>
      <c r="L253" s="2" t="s">
        <v>1382</v>
      </c>
      <c r="M253" s="8" t="s">
        <v>1762</v>
      </c>
      <c r="N253" s="8">
        <v>45162</v>
      </c>
      <c r="O253" s="8">
        <v>45184</v>
      </c>
      <c r="P253" s="8">
        <v>45166</v>
      </c>
      <c r="Q253" s="229">
        <v>55087</v>
      </c>
      <c r="R253" s="115" t="str" cm="1">
        <f t="array" aca="1" ref="R253" ca="1">TRIM(SUBSTITUTE(_xlfn.ARRAYTOTEXT(IFERROR(CONCATENATE(SUMIF(INDIRECT("'"&amp;Assemblies[Assy]&amp;"'!"&amp;"C$5:C1000"), $A253, INDIRECT("'"&amp;Assemblies[Assy]&amp;"'!"&amp;"O$5:O1000")), "x",Assemblies[Assy],".",IF(SUMIF(INDIRECT("'"&amp;Assemblies[Assy]&amp;"'!"&amp;"C$5:C1000"), $A253, INDIRECT("'"&amp;Assemblies[Assy]&amp;"'!"&amp;"A$5:A1000"))=0,NA(),SUMIF(INDIRECT("'"&amp;Assemblies[Assy]&amp;"'!"&amp;"C$5:C1000"), $A253, INDIRECT("'"&amp;Assemblies[Assy]&amp;"'!"&amp;"A$5:A1000")))),"")), " ,", ""))</f>
        <v>,</v>
      </c>
      <c r="S253" s="56" t="s">
        <v>1382</v>
      </c>
      <c r="T253" s="2" t="s">
        <v>1382</v>
      </c>
      <c r="U253" s="2" t="s">
        <v>1382</v>
      </c>
      <c r="V253" s="2" t="s">
        <v>1382</v>
      </c>
    </row>
    <row r="254" spans="1:22" ht="12.75" customHeight="1">
      <c r="A254" s="133" t="s">
        <v>525</v>
      </c>
      <c r="B254" s="2" t="s">
        <v>2920</v>
      </c>
      <c r="C254" s="168">
        <v>50.6</v>
      </c>
      <c r="D254" s="5">
        <v>1</v>
      </c>
      <c r="E254" s="5" t="e" cm="1">
        <f t="array" aca="1" ref="E254" ca="1">SUMPRODUCT(SUMIF(INDIRECT("'"&amp;Assemblies[Assy]&amp;"'!"&amp;"C:C"),$A254,(INDIRECT("'"&amp;Assemblies[Assy]&amp;"'!"&amp;"O:O"))))</f>
        <v>#VALUE!</v>
      </c>
      <c r="F254" s="5" t="e">
        <f t="shared" ca="1" si="3"/>
        <v>#VALUE!</v>
      </c>
      <c r="G254" s="5">
        <v>1</v>
      </c>
      <c r="H254" s="2">
        <v>1</v>
      </c>
      <c r="I254" s="117" t="s">
        <v>2895</v>
      </c>
      <c r="J254" s="117" t="s">
        <v>2895</v>
      </c>
      <c r="K254" s="135" t="s">
        <v>1382</v>
      </c>
      <c r="L254" s="2" t="s">
        <v>1382</v>
      </c>
      <c r="M254" s="8" t="s">
        <v>1762</v>
      </c>
      <c r="N254" s="8">
        <v>45170</v>
      </c>
      <c r="O254" s="8">
        <v>45174</v>
      </c>
      <c r="P254" s="8">
        <v>45174</v>
      </c>
      <c r="Q254" s="229">
        <v>55124</v>
      </c>
      <c r="R254" s="115" t="str" cm="1">
        <f t="array" aca="1" ref="R254" ca="1">TRIM(SUBSTITUTE(_xlfn.ARRAYTOTEXT(IFERROR(CONCATENATE(SUMIF(INDIRECT("'"&amp;Assemblies[Assy]&amp;"'!"&amp;"C$5:C1000"), $A254, INDIRECT("'"&amp;Assemblies[Assy]&amp;"'!"&amp;"O$5:O1000")), "x",Assemblies[Assy],".",IF(SUMIF(INDIRECT("'"&amp;Assemblies[Assy]&amp;"'!"&amp;"C$5:C1000"), $A254, INDIRECT("'"&amp;Assemblies[Assy]&amp;"'!"&amp;"A$5:A1000"))=0,NA(),SUMIF(INDIRECT("'"&amp;Assemblies[Assy]&amp;"'!"&amp;"C$5:C1000"), $A254, INDIRECT("'"&amp;Assemblies[Assy]&amp;"'!"&amp;"A$5:A1000")))),"")), " ,", ""))</f>
        <v>,</v>
      </c>
      <c r="S254" s="56" t="s">
        <v>1382</v>
      </c>
      <c r="T254" s="2" t="s">
        <v>1382</v>
      </c>
      <c r="U254" s="2" t="s">
        <v>1382</v>
      </c>
      <c r="V254" s="2" t="s">
        <v>1382</v>
      </c>
    </row>
    <row r="255" spans="1:22" ht="12.75" customHeight="1">
      <c r="A255" s="133" t="s">
        <v>526</v>
      </c>
      <c r="B255" s="2" t="s">
        <v>2921</v>
      </c>
      <c r="C255" s="168">
        <v>37.729999999999997</v>
      </c>
      <c r="D255" s="5">
        <v>1</v>
      </c>
      <c r="E255" s="5" t="e" cm="1">
        <f t="array" aca="1" ref="E255" ca="1">SUMPRODUCT(SUMIF(INDIRECT("'"&amp;Assemblies[Assy]&amp;"'!"&amp;"C:C"),$A255,(INDIRECT("'"&amp;Assemblies[Assy]&amp;"'!"&amp;"O:O"))))</f>
        <v>#VALUE!</v>
      </c>
      <c r="F255" s="5" t="e">
        <f t="shared" ca="1" si="3"/>
        <v>#VALUE!</v>
      </c>
      <c r="G255" s="5">
        <v>1</v>
      </c>
      <c r="H255" s="2">
        <v>1</v>
      </c>
      <c r="I255" s="117" t="s">
        <v>2895</v>
      </c>
      <c r="J255" s="117" t="s">
        <v>2895</v>
      </c>
      <c r="K255" s="135" t="s">
        <v>1382</v>
      </c>
      <c r="L255" s="2" t="s">
        <v>1382</v>
      </c>
      <c r="M255" s="8" t="s">
        <v>1762</v>
      </c>
      <c r="N255" s="8">
        <v>45170</v>
      </c>
      <c r="O255" s="8">
        <v>45174</v>
      </c>
      <c r="P255" s="8">
        <v>45174</v>
      </c>
      <c r="Q255" s="229">
        <v>55124</v>
      </c>
      <c r="R255" s="115" t="str" cm="1">
        <f t="array" aca="1" ref="R255" ca="1">TRIM(SUBSTITUTE(_xlfn.ARRAYTOTEXT(IFERROR(CONCATENATE(SUMIF(INDIRECT("'"&amp;Assemblies[Assy]&amp;"'!"&amp;"C$5:C1000"), $A255, INDIRECT("'"&amp;Assemblies[Assy]&amp;"'!"&amp;"O$5:O1000")), "x",Assemblies[Assy],".",IF(SUMIF(INDIRECT("'"&amp;Assemblies[Assy]&amp;"'!"&amp;"C$5:C1000"), $A255, INDIRECT("'"&amp;Assemblies[Assy]&amp;"'!"&amp;"A$5:A1000"))=0,NA(),SUMIF(INDIRECT("'"&amp;Assemblies[Assy]&amp;"'!"&amp;"C$5:C1000"), $A255, INDIRECT("'"&amp;Assemblies[Assy]&amp;"'!"&amp;"A$5:A1000")))),"")), " ,", ""))</f>
        <v>,</v>
      </c>
      <c r="S255" s="56" t="s">
        <v>1382</v>
      </c>
      <c r="T255" s="2" t="s">
        <v>1382</v>
      </c>
      <c r="U255" s="2" t="s">
        <v>1382</v>
      </c>
      <c r="V255" s="2" t="s">
        <v>1382</v>
      </c>
    </row>
    <row r="256" spans="1:22" ht="12.75" customHeight="1">
      <c r="A256" s="249" t="s">
        <v>1318</v>
      </c>
      <c r="B256" s="161" t="s">
        <v>2922</v>
      </c>
      <c r="C256" s="168">
        <v>7.59</v>
      </c>
      <c r="D256" s="5">
        <v>10</v>
      </c>
      <c r="E256" s="5" t="e" cm="1">
        <f t="array" aca="1" ref="E256" ca="1">SUMPRODUCT(SUMIF(INDIRECT("'"&amp;Assemblies[Assy]&amp;"'!"&amp;"C:C"),$A256,(INDIRECT("'"&amp;Assemblies[Assy]&amp;"'!"&amp;"O:O"))))</f>
        <v>#VALUE!</v>
      </c>
      <c r="F256" s="5" t="e">
        <f t="shared" ca="1" si="3"/>
        <v>#VALUE!</v>
      </c>
      <c r="G256" s="5">
        <v>1</v>
      </c>
      <c r="H256" s="2">
        <v>1</v>
      </c>
      <c r="I256" s="117" t="s">
        <v>2895</v>
      </c>
      <c r="J256" s="117" t="s">
        <v>2895</v>
      </c>
      <c r="K256" s="135" t="s">
        <v>1382</v>
      </c>
      <c r="L256" s="2" t="s">
        <v>1382</v>
      </c>
      <c r="M256" s="8" t="s">
        <v>1762</v>
      </c>
      <c r="N256" s="8">
        <v>45162</v>
      </c>
      <c r="O256" s="8">
        <v>45184</v>
      </c>
      <c r="P256" s="8">
        <v>45166</v>
      </c>
      <c r="Q256" s="229">
        <v>55087</v>
      </c>
      <c r="R256" s="115" t="str" cm="1">
        <f t="array" aca="1" ref="R256" ca="1">TRIM(SUBSTITUTE(_xlfn.ARRAYTOTEXT(IFERROR(CONCATENATE(SUMIF(INDIRECT("'"&amp;Assemblies[Assy]&amp;"'!"&amp;"C$5:C1000"), $A256, INDIRECT("'"&amp;Assemblies[Assy]&amp;"'!"&amp;"O$5:O1000")), "x",Assemblies[Assy],".",IF(SUMIF(INDIRECT("'"&amp;Assemblies[Assy]&amp;"'!"&amp;"C$5:C1000"), $A256, INDIRECT("'"&amp;Assemblies[Assy]&amp;"'!"&amp;"A$5:A1000"))=0,NA(),SUMIF(INDIRECT("'"&amp;Assemblies[Assy]&amp;"'!"&amp;"C$5:C1000"), $A256, INDIRECT("'"&amp;Assemblies[Assy]&amp;"'!"&amp;"A$5:A1000")))),"")), " ,", ""))</f>
        <v>,</v>
      </c>
      <c r="S256" s="56" t="s">
        <v>1382</v>
      </c>
      <c r="T256" s="2" t="s">
        <v>1382</v>
      </c>
      <c r="U256" s="2" t="s">
        <v>1382</v>
      </c>
      <c r="V256" s="2" t="s">
        <v>1382</v>
      </c>
    </row>
    <row r="257" spans="1:22" ht="12.75" customHeight="1">
      <c r="A257" s="133" t="s">
        <v>507</v>
      </c>
      <c r="B257" s="2" t="s">
        <v>2923</v>
      </c>
      <c r="C257" s="205">
        <v>10.76</v>
      </c>
      <c r="D257" s="5">
        <v>1</v>
      </c>
      <c r="E257" s="5" t="e" cm="1">
        <f t="array" aca="1" ref="E257" ca="1">SUMPRODUCT(SUMIF(INDIRECT("'"&amp;Assemblies[Assy]&amp;"'!"&amp;"C:C"),$A257,(INDIRECT("'"&amp;Assemblies[Assy]&amp;"'!"&amp;"O:O"))))</f>
        <v>#VALUE!</v>
      </c>
      <c r="F257" s="5" t="e">
        <f t="shared" ca="1" si="3"/>
        <v>#VALUE!</v>
      </c>
      <c r="G257" s="5">
        <v>1</v>
      </c>
      <c r="I257" s="117" t="s">
        <v>2895</v>
      </c>
      <c r="J257" s="117" t="s">
        <v>2895</v>
      </c>
      <c r="M257" s="8" t="s">
        <v>1762</v>
      </c>
      <c r="N257" s="8">
        <v>45238</v>
      </c>
      <c r="O257" s="8">
        <v>45239</v>
      </c>
      <c r="P257" s="8">
        <v>45239</v>
      </c>
      <c r="Q257" s="229">
        <v>55277</v>
      </c>
      <c r="R257" s="115" t="str" cm="1">
        <f t="array" aca="1" ref="R257" ca="1">TRIM(SUBSTITUTE(_xlfn.ARRAYTOTEXT(IFERROR(CONCATENATE(SUMIF(INDIRECT("'"&amp;Assemblies!$B$2:$B$152&amp;"'!"&amp;"C$5:C1000"), $A257, INDIRECT("'"&amp;Assemblies!$B$2:$B$152&amp;"'!"&amp;"O$5:O1000")), "x",Assemblies!$B$2:$B$152,".",IF(SUMIF(INDIRECT("'"&amp;Assemblies!$B$2:$B$152&amp;"'!"&amp;"C$5:C1000"), $A257, INDIRECT("'"&amp;Assemblies!$B$2:$B$152&amp;"'!"&amp;"A$5:A1000"))=0,NA(),SUMIF(INDIRECT("'"&amp;Assemblies!$B$2:$B$152&amp;"'!"&amp;"C$5:C1000"), $A257, INDIRECT("'"&amp;Assemblies!$B$2:$B$152&amp;"'!"&amp;"A$5:A1000")))),"")), " ,", ""))</f>
        <v>,</v>
      </c>
      <c r="S257" s="56" t="s">
        <v>1382</v>
      </c>
      <c r="T257" s="2" t="s">
        <v>1382</v>
      </c>
      <c r="U257" s="2" t="s">
        <v>1382</v>
      </c>
      <c r="V257" s="2" t="s">
        <v>1382</v>
      </c>
    </row>
    <row r="258" spans="1:22" ht="12.75" customHeight="1">
      <c r="A258" s="133" t="s">
        <v>2924</v>
      </c>
      <c r="B258" s="2" t="s">
        <v>2925</v>
      </c>
      <c r="C258" s="168">
        <v>8.01</v>
      </c>
      <c r="D258" s="5">
        <v>1</v>
      </c>
      <c r="E258" s="5" cm="1">
        <f t="array" aca="1" ref="E258" ca="1">SUMPRODUCT(SUMIF(INDIRECT("'"&amp;Assemblies[Assy]&amp;"'!"&amp;"C:C"),$A258,(INDIRECT("'"&amp;Assemblies[Assy]&amp;"'!"&amp;"O:O"))))</f>
        <v>0</v>
      </c>
      <c r="F258" s="5">
        <f t="shared" ref="F258:F321" ca="1" si="4">E258/D258</f>
        <v>0</v>
      </c>
      <c r="G258" s="5">
        <v>4</v>
      </c>
      <c r="H258" s="2">
        <v>4</v>
      </c>
      <c r="I258" s="117" t="s">
        <v>2895</v>
      </c>
      <c r="J258" s="117" t="s">
        <v>2895</v>
      </c>
      <c r="K258" s="135" t="s">
        <v>1382</v>
      </c>
      <c r="L258" s="2" t="s">
        <v>1382</v>
      </c>
      <c r="M258" s="8" t="s">
        <v>1762</v>
      </c>
      <c r="N258" s="8">
        <v>45170</v>
      </c>
      <c r="O258" s="8">
        <v>45174</v>
      </c>
      <c r="P258" s="8">
        <v>45174</v>
      </c>
      <c r="Q258" s="229">
        <v>55124</v>
      </c>
      <c r="R258" s="115" t="str" cm="1">
        <f t="array" aca="1" ref="R258" ca="1">TRIM(SUBSTITUTE(_xlfn.ARRAYTOTEXT(IFERROR(CONCATENATE(SUMIF(INDIRECT("'"&amp;Assemblies[Assy]&amp;"'!"&amp;"C$5:C1000"), $A258, INDIRECT("'"&amp;Assemblies[Assy]&amp;"'!"&amp;"O$5:O1000")), "x",Assemblies[Assy],".",IF(SUMIF(INDIRECT("'"&amp;Assemblies[Assy]&amp;"'!"&amp;"C$5:C1000"), $A258, INDIRECT("'"&amp;Assemblies[Assy]&amp;"'!"&amp;"A$5:A1000"))=0,NA(),SUMIF(INDIRECT("'"&amp;Assemblies[Assy]&amp;"'!"&amp;"C$5:C1000"), $A258, INDIRECT("'"&amp;Assemblies[Assy]&amp;"'!"&amp;"A$5:A1000")))),"")), " ,", ""))</f>
        <v>,</v>
      </c>
      <c r="S258" s="56" t="s">
        <v>1382</v>
      </c>
      <c r="T258" s="2" t="s">
        <v>1382</v>
      </c>
      <c r="U258" s="2" t="s">
        <v>1382</v>
      </c>
      <c r="V258" s="2" t="s">
        <v>1382</v>
      </c>
    </row>
    <row r="259" spans="1:22" ht="12.75" customHeight="1">
      <c r="A259" s="133" t="s">
        <v>902</v>
      </c>
      <c r="B259" s="2" t="s">
        <v>2926</v>
      </c>
      <c r="C259" s="203">
        <v>8.9700000000000006</v>
      </c>
      <c r="D259" s="5">
        <v>1</v>
      </c>
      <c r="E259" s="5" t="e" cm="1">
        <f t="array" aca="1" ref="E259" ca="1">SUMPRODUCT(SUMIF(INDIRECT("'"&amp;Assemblies[Assy]&amp;"'!"&amp;"C:C"),$A259,(INDIRECT("'"&amp;Assemblies[Assy]&amp;"'!"&amp;"O:O"))))</f>
        <v>#VALUE!</v>
      </c>
      <c r="F259" s="5" t="e">
        <f t="shared" ca="1" si="4"/>
        <v>#VALUE!</v>
      </c>
      <c r="G259" s="5">
        <v>1</v>
      </c>
      <c r="H259" s="2">
        <v>1</v>
      </c>
      <c r="I259" s="117" t="s">
        <v>2895</v>
      </c>
      <c r="J259" s="117" t="s">
        <v>2895</v>
      </c>
      <c r="M259" s="8" t="s">
        <v>1762</v>
      </c>
      <c r="N259" s="8">
        <v>45216</v>
      </c>
      <c r="O259" s="8">
        <v>45217</v>
      </c>
      <c r="P259" s="8">
        <v>45217</v>
      </c>
      <c r="Q259" s="229">
        <v>55215</v>
      </c>
      <c r="R259" s="115" t="str" cm="1">
        <f t="array" aca="1" ref="R259" ca="1">TRIM(SUBSTITUTE(_xlfn.ARRAYTOTEXT(IFERROR(CONCATENATE(SUMIF(INDIRECT("'"&amp;Assemblies!$B$2:$B$152&amp;"'!"&amp;"C$5:C1000"), $A259, INDIRECT("'"&amp;Assemblies!$B$2:$B$152&amp;"'!"&amp;"O$5:O1000")), "x",Assemblies!$B$2:$B$152,".",IF(SUMIF(INDIRECT("'"&amp;Assemblies!$B$2:$B$152&amp;"'!"&amp;"C$5:C1000"), $A259, INDIRECT("'"&amp;Assemblies!$B$2:$B$152&amp;"'!"&amp;"A$5:A1000"))=0,NA(),SUMIF(INDIRECT("'"&amp;Assemblies!$B$2:$B$152&amp;"'!"&amp;"C$5:C1000"), $A259, INDIRECT("'"&amp;Assemblies!$B$2:$B$152&amp;"'!"&amp;"A$5:A1000")))),"")), " ,", ""))</f>
        <v>,</v>
      </c>
      <c r="S259" s="56" t="s">
        <v>1382</v>
      </c>
      <c r="T259" s="2" t="s">
        <v>1382</v>
      </c>
      <c r="U259" s="2" t="s">
        <v>1382</v>
      </c>
      <c r="V259" s="2" t="s">
        <v>1382</v>
      </c>
    </row>
    <row r="260" spans="1:22" ht="12.75" customHeight="1">
      <c r="A260" s="133" t="s">
        <v>888</v>
      </c>
      <c r="B260" s="2" t="s">
        <v>2927</v>
      </c>
      <c r="C260" s="168">
        <v>10.36</v>
      </c>
      <c r="D260" s="5">
        <v>1</v>
      </c>
      <c r="E260" s="5" t="e" cm="1">
        <f t="array" aca="1" ref="E260" ca="1">SUMPRODUCT(SUMIF(INDIRECT("'"&amp;Assemblies[Assy]&amp;"'!"&amp;"C:C"),$A260,(INDIRECT("'"&amp;Assemblies[Assy]&amp;"'!"&amp;"O:O"))))</f>
        <v>#VALUE!</v>
      </c>
      <c r="F260" s="5" t="e">
        <f t="shared" ca="1" si="4"/>
        <v>#VALUE!</v>
      </c>
      <c r="G260" s="5">
        <v>6</v>
      </c>
      <c r="H260" s="2">
        <v>6</v>
      </c>
      <c r="I260" s="117" t="s">
        <v>2895</v>
      </c>
      <c r="J260" s="117" t="s">
        <v>2895</v>
      </c>
      <c r="K260" s="135" t="s">
        <v>1382</v>
      </c>
      <c r="L260" s="2" t="s">
        <v>1382</v>
      </c>
      <c r="M260" s="8" t="s">
        <v>1762</v>
      </c>
      <c r="N260" s="8">
        <v>45162</v>
      </c>
      <c r="O260" s="8">
        <v>45184</v>
      </c>
      <c r="P260" s="8">
        <v>45166</v>
      </c>
      <c r="Q260" s="229" t="s">
        <v>2928</v>
      </c>
      <c r="R260" s="115" t="str" cm="1">
        <f t="array" aca="1" ref="R260" ca="1">TRIM(SUBSTITUTE(_xlfn.ARRAYTOTEXT(IFERROR(CONCATENATE(SUMIF(INDIRECT("'"&amp;Assemblies[Assy]&amp;"'!"&amp;"C$5:C1000"), $A260, INDIRECT("'"&amp;Assemblies[Assy]&amp;"'!"&amp;"O$5:O1000")), "x",Assemblies[Assy],".",IF(SUMIF(INDIRECT("'"&amp;Assemblies[Assy]&amp;"'!"&amp;"C$5:C1000"), $A260, INDIRECT("'"&amp;Assemblies[Assy]&amp;"'!"&amp;"A$5:A1000"))=0,NA(),SUMIF(INDIRECT("'"&amp;Assemblies[Assy]&amp;"'!"&amp;"C$5:C1000"), $A260, INDIRECT("'"&amp;Assemblies[Assy]&amp;"'!"&amp;"A$5:A1000")))),"")), " ,", ""))</f>
        <v>,</v>
      </c>
      <c r="S260" s="56" t="s">
        <v>1382</v>
      </c>
      <c r="T260" s="2" t="s">
        <v>1382</v>
      </c>
      <c r="U260" s="2" t="s">
        <v>1382</v>
      </c>
      <c r="V260" s="2" t="s">
        <v>1382</v>
      </c>
    </row>
    <row r="261" spans="1:22" ht="12.75" customHeight="1">
      <c r="A261" s="2" t="s">
        <v>492</v>
      </c>
      <c r="B261" s="2" t="s">
        <v>2929</v>
      </c>
      <c r="C261" s="203">
        <v>14.29</v>
      </c>
      <c r="D261" s="5">
        <v>1</v>
      </c>
      <c r="E261" s="5" t="e" cm="1">
        <f t="array" aca="1" ref="E261" ca="1">SUMPRODUCT(SUMIF(INDIRECT("'"&amp;Assemblies[Assy]&amp;"'!"&amp;"C:C"),$A261,(INDIRECT("'"&amp;Assemblies[Assy]&amp;"'!"&amp;"O:O"))))</f>
        <v>#VALUE!</v>
      </c>
      <c r="F261" s="5" t="e">
        <f t="shared" ca="1" si="4"/>
        <v>#VALUE!</v>
      </c>
      <c r="G261" s="5">
        <v>15</v>
      </c>
      <c r="H261" s="2">
        <v>15</v>
      </c>
      <c r="I261" s="117" t="s">
        <v>2895</v>
      </c>
      <c r="J261" s="117" t="s">
        <v>2895</v>
      </c>
      <c r="K261" s="135" t="s">
        <v>1382</v>
      </c>
      <c r="M261" s="8" t="s">
        <v>1762</v>
      </c>
      <c r="N261" s="8">
        <v>45162</v>
      </c>
      <c r="O261" s="8">
        <v>45184</v>
      </c>
      <c r="P261" s="8">
        <v>45166</v>
      </c>
      <c r="Q261" s="229">
        <v>55087</v>
      </c>
      <c r="R261" s="115" t="str" cm="1">
        <f t="array" aca="1" ref="R261" ca="1">TRIM(SUBSTITUTE(_xlfn.ARRAYTOTEXT(IFERROR(CONCATENATE(SUMIF(INDIRECT("'"&amp;Assemblies[Assy]&amp;"'!"&amp;"C$5:C1000"), $A261, INDIRECT("'"&amp;Assemblies[Assy]&amp;"'!"&amp;"O$5:O1000")), "x",Assemblies[Assy],".",IF(SUMIF(INDIRECT("'"&amp;Assemblies[Assy]&amp;"'!"&amp;"C$5:C1000"), $A261, INDIRECT("'"&amp;Assemblies[Assy]&amp;"'!"&amp;"A$5:A1000"))=0,NA(),SUMIF(INDIRECT("'"&amp;Assemblies[Assy]&amp;"'!"&amp;"C$5:C1000"), $A261, INDIRECT("'"&amp;Assemblies[Assy]&amp;"'!"&amp;"A$5:A1000")))),"")), " ,", ""))</f>
        <v>,</v>
      </c>
      <c r="S261" s="56" t="s">
        <v>1382</v>
      </c>
      <c r="T261" s="2" t="s">
        <v>1382</v>
      </c>
      <c r="U261" s="2" t="s">
        <v>1382</v>
      </c>
      <c r="V261" s="2" t="s">
        <v>1382</v>
      </c>
    </row>
    <row r="262" spans="1:22" ht="12.75" customHeight="1">
      <c r="A262" s="133" t="s">
        <v>895</v>
      </c>
      <c r="B262" s="22" t="s">
        <v>2930</v>
      </c>
      <c r="C262" s="203">
        <v>8.42</v>
      </c>
      <c r="D262" s="5">
        <v>1</v>
      </c>
      <c r="E262" s="5" t="e" cm="1">
        <f t="array" aca="1" ref="E262" ca="1">SUMPRODUCT(SUMIF(INDIRECT("'"&amp;Assemblies[Assy]&amp;"'!"&amp;"C:C"),$A262,(INDIRECT("'"&amp;Assemblies[Assy]&amp;"'!"&amp;"O:O"))))</f>
        <v>#VALUE!</v>
      </c>
      <c r="F262" s="5" t="e">
        <f t="shared" ca="1" si="4"/>
        <v>#VALUE!</v>
      </c>
      <c r="G262" s="5">
        <v>27</v>
      </c>
      <c r="H262" s="2">
        <v>27</v>
      </c>
      <c r="I262" s="117" t="s">
        <v>2895</v>
      </c>
      <c r="J262" s="117" t="s">
        <v>2895</v>
      </c>
      <c r="K262" s="135" t="s">
        <v>1382</v>
      </c>
      <c r="L262" s="2" t="s">
        <v>1382</v>
      </c>
      <c r="M262" s="8" t="s">
        <v>1762</v>
      </c>
      <c r="N262" s="8">
        <v>45162</v>
      </c>
      <c r="O262" s="8">
        <v>45184</v>
      </c>
      <c r="P262" s="8">
        <v>45166</v>
      </c>
      <c r="Q262" s="229">
        <v>55087</v>
      </c>
      <c r="R262" s="115" t="str" cm="1">
        <f t="array" aca="1" ref="R262" ca="1">TRIM(SUBSTITUTE(_xlfn.ARRAYTOTEXT(IFERROR(CONCATENATE(SUMIF(INDIRECT("'"&amp;Assemblies[Assy]&amp;"'!"&amp;"C$5:C1000"), $A262, INDIRECT("'"&amp;Assemblies[Assy]&amp;"'!"&amp;"O$5:O1000")), "x",Assemblies[Assy],".",IF(SUMIF(INDIRECT("'"&amp;Assemblies[Assy]&amp;"'!"&amp;"C$5:C1000"), $A262, INDIRECT("'"&amp;Assemblies[Assy]&amp;"'!"&amp;"A$5:A1000"))=0,NA(),SUMIF(INDIRECT("'"&amp;Assemblies[Assy]&amp;"'!"&amp;"C$5:C1000"), $A262, INDIRECT("'"&amp;Assemblies[Assy]&amp;"'!"&amp;"A$5:A1000")))),"")), " ,", ""))</f>
        <v>,</v>
      </c>
      <c r="S262" s="56" t="s">
        <v>1382</v>
      </c>
      <c r="T262" s="2" t="s">
        <v>1382</v>
      </c>
      <c r="U262" s="2" t="s">
        <v>1382</v>
      </c>
      <c r="V262" s="2" t="s">
        <v>1382</v>
      </c>
    </row>
    <row r="263" spans="1:22" ht="12.75" customHeight="1">
      <c r="A263" s="133" t="s">
        <v>754</v>
      </c>
      <c r="B263" s="2" t="s">
        <v>2931</v>
      </c>
      <c r="C263" s="203">
        <v>10.72</v>
      </c>
      <c r="D263" s="5">
        <v>1</v>
      </c>
      <c r="E263" s="5" t="e" cm="1">
        <f t="array" aca="1" ref="E263" ca="1">SUMPRODUCT(SUMIF(INDIRECT("'"&amp;Assemblies[Assy]&amp;"'!"&amp;"C:C"),$A263,(INDIRECT("'"&amp;Assemblies[Assy]&amp;"'!"&amp;"O:O"))))</f>
        <v>#VALUE!</v>
      </c>
      <c r="F263" s="5" t="e">
        <f t="shared" ca="1" si="4"/>
        <v>#VALUE!</v>
      </c>
      <c r="G263" s="5">
        <v>6</v>
      </c>
      <c r="H263" s="2">
        <v>6</v>
      </c>
      <c r="I263" s="117" t="s">
        <v>2895</v>
      </c>
      <c r="J263" s="117" t="s">
        <v>2895</v>
      </c>
      <c r="K263" s="135" t="s">
        <v>1382</v>
      </c>
      <c r="L263" s="2" t="s">
        <v>1382</v>
      </c>
      <c r="M263" s="8" t="s">
        <v>1762</v>
      </c>
      <c r="N263" s="8">
        <v>45162</v>
      </c>
      <c r="O263" s="8">
        <v>45184</v>
      </c>
      <c r="P263" s="8">
        <v>45166</v>
      </c>
      <c r="Q263" s="229">
        <v>55087</v>
      </c>
      <c r="R263" s="115" t="str" cm="1">
        <f t="array" aca="1" ref="R263" ca="1">TRIM(SUBSTITUTE(_xlfn.ARRAYTOTEXT(IFERROR(CONCATENATE(SUMIF(INDIRECT("'"&amp;Assemblies[Assy]&amp;"'!"&amp;"C$5:C1000"), $A263, INDIRECT("'"&amp;Assemblies[Assy]&amp;"'!"&amp;"O$5:O1000")), "x",Assemblies[Assy],".",IF(SUMIF(INDIRECT("'"&amp;Assemblies[Assy]&amp;"'!"&amp;"C$5:C1000"), $A263, INDIRECT("'"&amp;Assemblies[Assy]&amp;"'!"&amp;"A$5:A1000"))=0,NA(),SUMIF(INDIRECT("'"&amp;Assemblies[Assy]&amp;"'!"&amp;"C$5:C1000"), $A263, INDIRECT("'"&amp;Assemblies[Assy]&amp;"'!"&amp;"A$5:A1000")))),"")), " ,", ""))</f>
        <v>,</v>
      </c>
      <c r="S263" s="56" t="s">
        <v>1382</v>
      </c>
      <c r="T263" s="2" t="s">
        <v>1382</v>
      </c>
      <c r="U263" s="2" t="s">
        <v>1382</v>
      </c>
      <c r="V263" s="2" t="s">
        <v>1382</v>
      </c>
    </row>
    <row r="264" spans="1:22" ht="12.75" customHeight="1">
      <c r="A264" s="133" t="s">
        <v>474</v>
      </c>
      <c r="B264" s="2" t="s">
        <v>2932</v>
      </c>
      <c r="C264" s="203">
        <v>4.82</v>
      </c>
      <c r="D264" s="5">
        <v>1</v>
      </c>
      <c r="E264" s="5" t="e" cm="1">
        <f t="array" aca="1" ref="E264" ca="1">SUMPRODUCT(SUMIF(INDIRECT("'"&amp;Assemblies[Assy]&amp;"'!"&amp;"C:C"),$A264,(INDIRECT("'"&amp;Assemblies[Assy]&amp;"'!"&amp;"O:O"))))</f>
        <v>#VALUE!</v>
      </c>
      <c r="F264" s="5" t="e">
        <f t="shared" ca="1" si="4"/>
        <v>#VALUE!</v>
      </c>
      <c r="G264" s="5">
        <v>45</v>
      </c>
      <c r="H264" s="2">
        <v>45</v>
      </c>
      <c r="I264" s="117" t="s">
        <v>2895</v>
      </c>
      <c r="J264" s="117" t="s">
        <v>2895</v>
      </c>
      <c r="K264" s="135" t="s">
        <v>1382</v>
      </c>
      <c r="L264" s="2" t="s">
        <v>1382</v>
      </c>
      <c r="M264" s="8" t="s">
        <v>1762</v>
      </c>
      <c r="N264" s="8">
        <v>45162</v>
      </c>
      <c r="O264" s="8">
        <v>45189</v>
      </c>
      <c r="P264" s="8">
        <v>45189</v>
      </c>
      <c r="Q264" s="229" t="s">
        <v>2933</v>
      </c>
      <c r="R264" s="115" t="str" cm="1">
        <f t="array" aca="1" ref="R264" ca="1">TRIM(SUBSTITUTE(_xlfn.ARRAYTOTEXT(IFERROR(CONCATENATE(SUMIF(INDIRECT("'"&amp;Assemblies[Assy]&amp;"'!"&amp;"C$5:C1000"), $A264, INDIRECT("'"&amp;Assemblies[Assy]&amp;"'!"&amp;"O$5:O1000")), "x",Assemblies[Assy],".",IF(SUMIF(INDIRECT("'"&amp;Assemblies[Assy]&amp;"'!"&amp;"C$5:C1000"), $A264, INDIRECT("'"&amp;Assemblies[Assy]&amp;"'!"&amp;"A$5:A1000"))=0,NA(),SUMIF(INDIRECT("'"&amp;Assemblies[Assy]&amp;"'!"&amp;"C$5:C1000"), $A264, INDIRECT("'"&amp;Assemblies[Assy]&amp;"'!"&amp;"A$5:A1000")))),"")), " ,", ""))</f>
        <v>,</v>
      </c>
      <c r="S264" s="56" t="s">
        <v>1382</v>
      </c>
      <c r="T264" s="2" t="s">
        <v>1382</v>
      </c>
      <c r="U264" s="2" t="s">
        <v>1382</v>
      </c>
      <c r="V264" s="2" t="s">
        <v>1382</v>
      </c>
    </row>
    <row r="265" spans="1:22" ht="12.75" customHeight="1">
      <c r="A265" s="2" t="s">
        <v>468</v>
      </c>
      <c r="B265" s="2" t="s">
        <v>2934</v>
      </c>
      <c r="C265" s="203">
        <v>3.14</v>
      </c>
      <c r="D265" s="5">
        <v>1</v>
      </c>
      <c r="E265" s="5" t="e" cm="1">
        <f t="array" aca="1" ref="E265" ca="1">SUMPRODUCT(SUMIF(INDIRECT("'"&amp;Assemblies[Assy]&amp;"'!"&amp;"C:C"),$A265,(INDIRECT("'"&amp;Assemblies[Assy]&amp;"'!"&amp;"O:O"))))</f>
        <v>#VALUE!</v>
      </c>
      <c r="F265" s="5" t="e">
        <f t="shared" ca="1" si="4"/>
        <v>#VALUE!</v>
      </c>
      <c r="G265" s="5">
        <v>7</v>
      </c>
      <c r="H265" s="2">
        <v>7</v>
      </c>
      <c r="I265" s="117" t="s">
        <v>2895</v>
      </c>
      <c r="J265" s="117" t="s">
        <v>2895</v>
      </c>
      <c r="K265" s="135" t="s">
        <v>1382</v>
      </c>
      <c r="L265" s="2" t="s">
        <v>1382</v>
      </c>
      <c r="M265" s="8" t="s">
        <v>1762</v>
      </c>
      <c r="N265" s="8">
        <v>45162</v>
      </c>
      <c r="O265" s="8">
        <v>45184</v>
      </c>
      <c r="P265" s="8">
        <v>45166</v>
      </c>
      <c r="Q265" s="229">
        <v>55087</v>
      </c>
      <c r="R265" s="115" t="str" cm="1">
        <f t="array" aca="1" ref="R265" ca="1">TRIM(SUBSTITUTE(_xlfn.ARRAYTOTEXT(IFERROR(CONCATENATE(SUMIF(INDIRECT("'"&amp;Assemblies[Assy]&amp;"'!"&amp;"C$5:C1000"), $A265, INDIRECT("'"&amp;Assemblies[Assy]&amp;"'!"&amp;"O$5:O1000")), "x",Assemblies[Assy],".",IF(SUMIF(INDIRECT("'"&amp;Assemblies[Assy]&amp;"'!"&amp;"C$5:C1000"), $A265, INDIRECT("'"&amp;Assemblies[Assy]&amp;"'!"&amp;"A$5:A1000"))=0,NA(),SUMIF(INDIRECT("'"&amp;Assemblies[Assy]&amp;"'!"&amp;"C$5:C1000"), $A265, INDIRECT("'"&amp;Assemblies[Assy]&amp;"'!"&amp;"A$5:A1000")))),"")), " ,", ""))</f>
        <v>,</v>
      </c>
      <c r="S265" s="56" t="s">
        <v>1382</v>
      </c>
      <c r="T265" s="2" t="s">
        <v>1382</v>
      </c>
      <c r="U265" s="2" t="s">
        <v>1382</v>
      </c>
      <c r="V265" s="2" t="s">
        <v>1382</v>
      </c>
    </row>
    <row r="266" spans="1:22" ht="12.75" customHeight="1">
      <c r="A266" s="133" t="s">
        <v>619</v>
      </c>
      <c r="B266" s="2" t="s">
        <v>2935</v>
      </c>
      <c r="C266" s="203">
        <v>10.07</v>
      </c>
      <c r="D266" s="5">
        <v>1</v>
      </c>
      <c r="E266" s="5" t="e" cm="1">
        <f t="array" aca="1" ref="E266" ca="1">SUMPRODUCT(SUMIF(INDIRECT("'"&amp;Assemblies[Assy]&amp;"'!"&amp;"C:C"),$A266,(INDIRECT("'"&amp;Assemblies[Assy]&amp;"'!"&amp;"O:O"))))</f>
        <v>#VALUE!</v>
      </c>
      <c r="F266" s="5" t="e">
        <f t="shared" ca="1" si="4"/>
        <v>#VALUE!</v>
      </c>
      <c r="G266" s="5">
        <v>4</v>
      </c>
      <c r="H266" s="2">
        <v>4</v>
      </c>
      <c r="I266" s="117" t="s">
        <v>2895</v>
      </c>
      <c r="J266" s="117" t="s">
        <v>2895</v>
      </c>
      <c r="K266" s="135" t="s">
        <v>1382</v>
      </c>
      <c r="L266" s="2" t="s">
        <v>1382</v>
      </c>
      <c r="M266" s="8" t="s">
        <v>1762</v>
      </c>
      <c r="N266" s="8">
        <v>45162</v>
      </c>
      <c r="O266" s="8">
        <v>45184</v>
      </c>
      <c r="P266" s="8">
        <v>45166</v>
      </c>
      <c r="Q266" s="229">
        <v>55087</v>
      </c>
      <c r="R266" s="115" t="str" cm="1">
        <f t="array" aca="1" ref="R266" ca="1">TRIM(SUBSTITUTE(_xlfn.ARRAYTOTEXT(IFERROR(CONCATENATE(SUMIF(INDIRECT("'"&amp;Assemblies[Assy]&amp;"'!"&amp;"C$5:C1000"), $A266, INDIRECT("'"&amp;Assemblies[Assy]&amp;"'!"&amp;"O$5:O1000")), "x",Assemblies[Assy],".",IF(SUMIF(INDIRECT("'"&amp;Assemblies[Assy]&amp;"'!"&amp;"C$5:C1000"), $A266, INDIRECT("'"&amp;Assemblies[Assy]&amp;"'!"&amp;"A$5:A1000"))=0,NA(),SUMIF(INDIRECT("'"&amp;Assemblies[Assy]&amp;"'!"&amp;"C$5:C1000"), $A266, INDIRECT("'"&amp;Assemblies[Assy]&amp;"'!"&amp;"A$5:A1000")))),"")), " ,", ""))</f>
        <v>,</v>
      </c>
      <c r="S266" s="56" t="s">
        <v>1382</v>
      </c>
      <c r="T266" s="2" t="s">
        <v>1382</v>
      </c>
      <c r="U266" s="2" t="s">
        <v>1382</v>
      </c>
      <c r="V266" s="2" t="s">
        <v>1382</v>
      </c>
    </row>
    <row r="267" spans="1:22" ht="12.75" customHeight="1">
      <c r="A267" s="133" t="s">
        <v>2936</v>
      </c>
      <c r="B267" s="2" t="s">
        <v>2937</v>
      </c>
      <c r="C267" s="168">
        <v>66.98</v>
      </c>
      <c r="D267" s="5">
        <v>1</v>
      </c>
      <c r="E267" s="5" cm="1">
        <f t="array" aca="1" ref="E267" ca="1">SUMPRODUCT(SUMIF(INDIRECT("'"&amp;Assemblies[Assy]&amp;"'!"&amp;"C:C"),$A267,(INDIRECT("'"&amp;Assemblies[Assy]&amp;"'!"&amp;"O:O"))))</f>
        <v>0</v>
      </c>
      <c r="F267" s="5">
        <f t="shared" ca="1" si="4"/>
        <v>0</v>
      </c>
      <c r="G267" s="5">
        <v>1</v>
      </c>
      <c r="H267" s="2">
        <v>1</v>
      </c>
      <c r="I267" s="117" t="s">
        <v>2895</v>
      </c>
      <c r="J267" s="117" t="s">
        <v>2895</v>
      </c>
      <c r="K267" s="135" t="s">
        <v>1382</v>
      </c>
      <c r="L267" s="2" t="s">
        <v>1382</v>
      </c>
      <c r="M267" s="8" t="s">
        <v>1762</v>
      </c>
      <c r="N267" s="8">
        <v>45162</v>
      </c>
      <c r="O267" s="8">
        <v>45184</v>
      </c>
      <c r="P267" s="8">
        <v>45166</v>
      </c>
      <c r="Q267" s="229">
        <v>55087</v>
      </c>
      <c r="R267" s="115" t="str" cm="1">
        <f t="array" aca="1" ref="R267" ca="1">TRIM(SUBSTITUTE(_xlfn.ARRAYTOTEXT(IFERROR(CONCATENATE(SUMIF(INDIRECT("'"&amp;Assemblies[Assy]&amp;"'!"&amp;"C$5:C1000"), $A267, INDIRECT("'"&amp;Assemblies[Assy]&amp;"'!"&amp;"O$5:O1000")), "x",Assemblies[Assy],".",IF(SUMIF(INDIRECT("'"&amp;Assemblies[Assy]&amp;"'!"&amp;"C$5:C1000"), $A267, INDIRECT("'"&amp;Assemblies[Assy]&amp;"'!"&amp;"A$5:A1000"))=0,NA(),SUMIF(INDIRECT("'"&amp;Assemblies[Assy]&amp;"'!"&amp;"C$5:C1000"), $A267, INDIRECT("'"&amp;Assemblies[Assy]&amp;"'!"&amp;"A$5:A1000")))),"")), " ,", ""))</f>
        <v>,</v>
      </c>
      <c r="S267" s="56" t="s">
        <v>1382</v>
      </c>
      <c r="T267" s="2" t="s">
        <v>1382</v>
      </c>
      <c r="U267" s="2" t="s">
        <v>1382</v>
      </c>
      <c r="V267" s="2" t="s">
        <v>1382</v>
      </c>
    </row>
    <row r="268" spans="1:22" ht="12.75" customHeight="1">
      <c r="A268" s="2" t="s">
        <v>2938</v>
      </c>
      <c r="B268" s="2" t="s">
        <v>2939</v>
      </c>
      <c r="C268" s="203">
        <v>14.33</v>
      </c>
      <c r="D268" s="5">
        <v>1</v>
      </c>
      <c r="E268" s="5" cm="1">
        <f t="array" aca="1" ref="E268" ca="1">SUMPRODUCT(SUMIF(INDIRECT("'"&amp;Assemblies[Assy]&amp;"'!"&amp;"C:C"),$A268,(INDIRECT("'"&amp;Assemblies[Assy]&amp;"'!"&amp;"O:O"))))</f>
        <v>0</v>
      </c>
      <c r="F268" s="5">
        <f t="shared" ca="1" si="4"/>
        <v>0</v>
      </c>
      <c r="G268" s="5">
        <v>2</v>
      </c>
      <c r="H268" s="2">
        <v>2</v>
      </c>
      <c r="I268" s="117" t="s">
        <v>2895</v>
      </c>
      <c r="J268" s="117" t="s">
        <v>2895</v>
      </c>
      <c r="K268" s="135" t="s">
        <v>1382</v>
      </c>
      <c r="L268" s="2" t="s">
        <v>1382</v>
      </c>
      <c r="M268" s="8" t="s">
        <v>1762</v>
      </c>
      <c r="N268" s="8">
        <v>45162</v>
      </c>
      <c r="O268" s="8">
        <v>45184</v>
      </c>
      <c r="P268" s="8">
        <v>45166</v>
      </c>
      <c r="Q268" s="229">
        <v>55087</v>
      </c>
      <c r="R268" s="115" t="str" cm="1">
        <f t="array" aca="1" ref="R268" ca="1">TRIM(SUBSTITUTE(_xlfn.ARRAYTOTEXT(IFERROR(CONCATENATE(SUMIF(INDIRECT("'"&amp;Assemblies[Assy]&amp;"'!"&amp;"C$5:C1000"), $A268, INDIRECT("'"&amp;Assemblies[Assy]&amp;"'!"&amp;"O$5:O1000")), "x",Assemblies[Assy],".",IF(SUMIF(INDIRECT("'"&amp;Assemblies[Assy]&amp;"'!"&amp;"C$5:C1000"), $A268, INDIRECT("'"&amp;Assemblies[Assy]&amp;"'!"&amp;"A$5:A1000"))=0,NA(),SUMIF(INDIRECT("'"&amp;Assemblies[Assy]&amp;"'!"&amp;"C$5:C1000"), $A268, INDIRECT("'"&amp;Assemblies[Assy]&amp;"'!"&amp;"A$5:A1000")))),"")), " ,", ""))</f>
        <v>,</v>
      </c>
      <c r="S268" s="56" t="s">
        <v>1382</v>
      </c>
      <c r="T268" s="2" t="s">
        <v>1382</v>
      </c>
      <c r="U268" s="2" t="s">
        <v>1382</v>
      </c>
      <c r="V268" s="2" t="s">
        <v>1382</v>
      </c>
    </row>
    <row r="269" spans="1:22" ht="12.75" customHeight="1">
      <c r="A269" s="133" t="s">
        <v>948</v>
      </c>
      <c r="B269" s="2" t="s">
        <v>2940</v>
      </c>
      <c r="C269" s="168">
        <v>20.420000000000002</v>
      </c>
      <c r="D269" s="5">
        <v>1</v>
      </c>
      <c r="E269" s="5" t="e" cm="1">
        <f t="array" aca="1" ref="E269" ca="1">SUMPRODUCT(SUMIF(INDIRECT("'"&amp;Assemblies[Assy]&amp;"'!"&amp;"C:C"),$A269,(INDIRECT("'"&amp;Assemblies[Assy]&amp;"'!"&amp;"O:O"))))</f>
        <v>#VALUE!</v>
      </c>
      <c r="F269" s="5" t="e">
        <f t="shared" ca="1" si="4"/>
        <v>#VALUE!</v>
      </c>
      <c r="G269" s="5">
        <v>4</v>
      </c>
      <c r="H269" s="2">
        <v>4</v>
      </c>
      <c r="I269" s="117" t="s">
        <v>2895</v>
      </c>
      <c r="J269" s="117" t="s">
        <v>2895</v>
      </c>
      <c r="K269" s="135" t="s">
        <v>1382</v>
      </c>
      <c r="L269" s="2" t="s">
        <v>1382</v>
      </c>
      <c r="M269" s="8" t="s">
        <v>1762</v>
      </c>
      <c r="N269" s="8">
        <v>45162</v>
      </c>
      <c r="O269" s="8">
        <v>45184</v>
      </c>
      <c r="P269" s="8">
        <v>45166</v>
      </c>
      <c r="Q269" s="229">
        <v>55087</v>
      </c>
      <c r="R269" s="115" t="str" cm="1">
        <f t="array" aca="1" ref="R269" ca="1">TRIM(SUBSTITUTE(_xlfn.ARRAYTOTEXT(IFERROR(CONCATENATE(SUMIF(INDIRECT("'"&amp;Assemblies[Assy]&amp;"'!"&amp;"C$5:C1000"), $A269, INDIRECT("'"&amp;Assemblies[Assy]&amp;"'!"&amp;"O$5:O1000")), "x",Assemblies[Assy],".",IF(SUMIF(INDIRECT("'"&amp;Assemblies[Assy]&amp;"'!"&amp;"C$5:C1000"), $A269, INDIRECT("'"&amp;Assemblies[Assy]&amp;"'!"&amp;"A$5:A1000"))=0,NA(),SUMIF(INDIRECT("'"&amp;Assemblies[Assy]&amp;"'!"&amp;"C$5:C1000"), $A269, INDIRECT("'"&amp;Assemblies[Assy]&amp;"'!"&amp;"A$5:A1000")))),"")), " ,", ""))</f>
        <v>,</v>
      </c>
      <c r="S269" s="56" t="s">
        <v>1382</v>
      </c>
      <c r="T269" s="2" t="s">
        <v>1382</v>
      </c>
      <c r="U269" s="2" t="s">
        <v>1382</v>
      </c>
      <c r="V269" s="2" t="s">
        <v>1382</v>
      </c>
    </row>
    <row r="270" spans="1:22" ht="12.75" customHeight="1">
      <c r="A270" s="133" t="s">
        <v>1118</v>
      </c>
      <c r="B270" s="2" t="s">
        <v>2941</v>
      </c>
      <c r="C270" s="168">
        <v>12.87</v>
      </c>
      <c r="D270" s="5">
        <v>1</v>
      </c>
      <c r="E270" s="5" t="e" cm="1">
        <f t="array" aca="1" ref="E270" ca="1">SUMPRODUCT(SUMIF(INDIRECT("'"&amp;Assemblies[Assy]&amp;"'!"&amp;"C:C"),$A270,(INDIRECT("'"&amp;Assemblies[Assy]&amp;"'!"&amp;"O:O"))))</f>
        <v>#VALUE!</v>
      </c>
      <c r="F270" s="5" t="e">
        <f t="shared" ca="1" si="4"/>
        <v>#VALUE!</v>
      </c>
      <c r="G270" s="5">
        <v>3</v>
      </c>
      <c r="H270" s="2">
        <v>3</v>
      </c>
      <c r="I270" s="117" t="s">
        <v>2895</v>
      </c>
      <c r="J270" s="117" t="s">
        <v>2895</v>
      </c>
      <c r="L270" s="2" t="s">
        <v>1382</v>
      </c>
      <c r="M270" s="8" t="s">
        <v>1762</v>
      </c>
      <c r="N270" s="8">
        <v>45196</v>
      </c>
      <c r="O270" s="8">
        <v>45197</v>
      </c>
      <c r="P270" s="8">
        <v>45197</v>
      </c>
      <c r="Q270" s="229">
        <v>55167</v>
      </c>
      <c r="R270" s="115" t="str" cm="1">
        <f t="array" aca="1" ref="R270" ca="1">TRIM(SUBSTITUTE(_xlfn.ARRAYTOTEXT(IFERROR(CONCATENATE(SUMIF(INDIRECT("'"&amp;Assemblies[Assy]&amp;"'!"&amp;"C$5:C1000"), $A270, INDIRECT("'"&amp;Assemblies[Assy]&amp;"'!"&amp;"O$5:O1000")), "x",Assemblies[Assy],".",IF(SUMIF(INDIRECT("'"&amp;Assemblies[Assy]&amp;"'!"&amp;"C$5:C1000"), $A270, INDIRECT("'"&amp;Assemblies[Assy]&amp;"'!"&amp;"A$5:A1000"))=0,NA(),SUMIF(INDIRECT("'"&amp;Assemblies[Assy]&amp;"'!"&amp;"C$5:C1000"), $A270, INDIRECT("'"&amp;Assemblies[Assy]&amp;"'!"&amp;"A$5:A1000")))),"")), " ,", ""))</f>
        <v>,</v>
      </c>
      <c r="S270" s="56" t="s">
        <v>1382</v>
      </c>
      <c r="T270" s="2" t="s">
        <v>1382</v>
      </c>
      <c r="U270" s="2" t="s">
        <v>1382</v>
      </c>
      <c r="V270" s="2" t="s">
        <v>1382</v>
      </c>
    </row>
    <row r="271" spans="1:22" ht="12.75" customHeight="1">
      <c r="A271" s="133" t="s">
        <v>1119</v>
      </c>
      <c r="B271" s="2" t="s">
        <v>2942</v>
      </c>
      <c r="C271" s="168">
        <v>15.22</v>
      </c>
      <c r="D271" s="5">
        <v>1</v>
      </c>
      <c r="E271" s="5" t="e" cm="1">
        <f t="array" aca="1" ref="E271" ca="1">SUMPRODUCT(SUMIF(INDIRECT("'"&amp;Assemblies[Assy]&amp;"'!"&amp;"C:C"),$A271,(INDIRECT("'"&amp;Assemblies[Assy]&amp;"'!"&amp;"O:O"))))</f>
        <v>#VALUE!</v>
      </c>
      <c r="F271" s="5" t="e">
        <f t="shared" ca="1" si="4"/>
        <v>#VALUE!</v>
      </c>
      <c r="G271" s="5">
        <v>3</v>
      </c>
      <c r="H271" s="2">
        <v>3</v>
      </c>
      <c r="I271" s="117" t="s">
        <v>2895</v>
      </c>
      <c r="J271" s="117" t="s">
        <v>2895</v>
      </c>
      <c r="L271" s="2" t="s">
        <v>1382</v>
      </c>
      <c r="M271" s="8" t="s">
        <v>1762</v>
      </c>
      <c r="N271" s="8">
        <v>45196</v>
      </c>
      <c r="O271" s="8">
        <v>45197</v>
      </c>
      <c r="P271" s="8">
        <v>45197</v>
      </c>
      <c r="Q271" s="229">
        <v>55167</v>
      </c>
      <c r="R271" s="115" t="str" cm="1">
        <f t="array" aca="1" ref="R271" ca="1">TRIM(SUBSTITUTE(_xlfn.ARRAYTOTEXT(IFERROR(CONCATENATE(SUMIF(INDIRECT("'"&amp;Assemblies[Assy]&amp;"'!"&amp;"C$5:C1000"), $A271, INDIRECT("'"&amp;Assemblies[Assy]&amp;"'!"&amp;"O$5:O1000")), "x",Assemblies[Assy],".",IF(SUMIF(INDIRECT("'"&amp;Assemblies[Assy]&amp;"'!"&amp;"C$5:C1000"), $A271, INDIRECT("'"&amp;Assemblies[Assy]&amp;"'!"&amp;"A$5:A1000"))=0,NA(),SUMIF(INDIRECT("'"&amp;Assemblies[Assy]&amp;"'!"&amp;"C$5:C1000"), $A271, INDIRECT("'"&amp;Assemblies[Assy]&amp;"'!"&amp;"A$5:A1000")))),"")), " ,", ""))</f>
        <v>,</v>
      </c>
      <c r="S271" s="56" t="s">
        <v>1382</v>
      </c>
      <c r="T271" s="2" t="s">
        <v>1382</v>
      </c>
      <c r="U271" s="2" t="s">
        <v>1382</v>
      </c>
      <c r="V271" s="2" t="s">
        <v>1382</v>
      </c>
    </row>
    <row r="272" spans="1:22" ht="12.75" customHeight="1">
      <c r="A272" s="133" t="s">
        <v>884</v>
      </c>
      <c r="B272" s="2" t="s">
        <v>2943</v>
      </c>
      <c r="C272" s="168">
        <v>17.02</v>
      </c>
      <c r="D272" s="5">
        <v>1</v>
      </c>
      <c r="E272" s="5" t="e" cm="1">
        <f t="array" aca="1" ref="E272" ca="1">SUMPRODUCT(SUMIF(INDIRECT("'"&amp;Assemblies[Assy]&amp;"'!"&amp;"C:C"),$A272,(INDIRECT("'"&amp;Assemblies[Assy]&amp;"'!"&amp;"O:O"))))</f>
        <v>#VALUE!</v>
      </c>
      <c r="F272" s="5" t="e">
        <f t="shared" ca="1" si="4"/>
        <v>#VALUE!</v>
      </c>
      <c r="G272" s="5">
        <v>2</v>
      </c>
      <c r="H272" s="2">
        <v>2</v>
      </c>
      <c r="I272" s="117" t="s">
        <v>2895</v>
      </c>
      <c r="J272" s="117" t="s">
        <v>2895</v>
      </c>
      <c r="L272" s="2" t="s">
        <v>1382</v>
      </c>
      <c r="M272" s="8" t="s">
        <v>1762</v>
      </c>
      <c r="N272" s="8">
        <v>45196</v>
      </c>
      <c r="O272" s="8">
        <v>45197</v>
      </c>
      <c r="P272" s="8">
        <v>45197</v>
      </c>
      <c r="Q272" s="229">
        <v>55167</v>
      </c>
      <c r="R272" s="115" t="str" cm="1">
        <f t="array" aca="1" ref="R272" ca="1">TRIM(SUBSTITUTE(_xlfn.ARRAYTOTEXT(IFERROR(CONCATENATE(SUMIF(INDIRECT("'"&amp;Assemblies[Assy]&amp;"'!"&amp;"C$5:C1000"), $A272, INDIRECT("'"&amp;Assemblies[Assy]&amp;"'!"&amp;"O$5:O1000")), "x",Assemblies[Assy],".",IF(SUMIF(INDIRECT("'"&amp;Assemblies[Assy]&amp;"'!"&amp;"C$5:C1000"), $A272, INDIRECT("'"&amp;Assemblies[Assy]&amp;"'!"&amp;"A$5:A1000"))=0,NA(),SUMIF(INDIRECT("'"&amp;Assemblies[Assy]&amp;"'!"&amp;"C$5:C1000"), $A272, INDIRECT("'"&amp;Assemblies[Assy]&amp;"'!"&amp;"A$5:A1000")))),"")), " ,", ""))</f>
        <v>,</v>
      </c>
      <c r="S272" s="56" t="s">
        <v>1382</v>
      </c>
      <c r="T272" s="2" t="s">
        <v>1382</v>
      </c>
      <c r="U272" s="2" t="s">
        <v>1382</v>
      </c>
      <c r="V272" s="2" t="s">
        <v>1382</v>
      </c>
    </row>
    <row r="273" spans="1:22" ht="12.75" customHeight="1">
      <c r="A273" s="133" t="s">
        <v>1253</v>
      </c>
      <c r="B273" s="2" t="s">
        <v>2944</v>
      </c>
      <c r="C273" s="168">
        <v>20.04</v>
      </c>
      <c r="D273" s="5">
        <v>1</v>
      </c>
      <c r="E273" s="5" t="e" cm="1">
        <f t="array" aca="1" ref="E273" ca="1">SUMPRODUCT(SUMIF(INDIRECT("'"&amp;Assemblies[Assy]&amp;"'!"&amp;"C:C"),$A273,(INDIRECT("'"&amp;Assemblies[Assy]&amp;"'!"&amp;"O:O"))))</f>
        <v>#VALUE!</v>
      </c>
      <c r="F273" s="5" t="e">
        <f t="shared" ca="1" si="4"/>
        <v>#VALUE!</v>
      </c>
      <c r="G273" s="5">
        <v>2</v>
      </c>
      <c r="H273" s="2">
        <v>2</v>
      </c>
      <c r="I273" s="117" t="s">
        <v>2895</v>
      </c>
      <c r="J273" s="117" t="s">
        <v>2895</v>
      </c>
      <c r="L273" s="2" t="s">
        <v>1382</v>
      </c>
      <c r="M273" s="8" t="s">
        <v>1762</v>
      </c>
      <c r="N273" s="8">
        <v>45196</v>
      </c>
      <c r="O273" s="8">
        <v>45197</v>
      </c>
      <c r="P273" s="8">
        <v>45197</v>
      </c>
      <c r="Q273" s="229">
        <v>55167</v>
      </c>
      <c r="R273" s="115" t="str" cm="1">
        <f t="array" aca="1" ref="R273" ca="1">TRIM(SUBSTITUTE(_xlfn.ARRAYTOTEXT(IFERROR(CONCATENATE(SUMIF(INDIRECT("'"&amp;Assemblies[Assy]&amp;"'!"&amp;"C$5:C1000"), $A273, INDIRECT("'"&amp;Assemblies[Assy]&amp;"'!"&amp;"O$5:O1000")), "x",Assemblies[Assy],".",IF(SUMIF(INDIRECT("'"&amp;Assemblies[Assy]&amp;"'!"&amp;"C$5:C1000"), $A273, INDIRECT("'"&amp;Assemblies[Assy]&amp;"'!"&amp;"A$5:A1000"))=0,NA(),SUMIF(INDIRECT("'"&amp;Assemblies[Assy]&amp;"'!"&amp;"C$5:C1000"), $A273, INDIRECT("'"&amp;Assemblies[Assy]&amp;"'!"&amp;"A$5:A1000")))),"")), " ,", ""))</f>
        <v>,</v>
      </c>
      <c r="S273" s="56" t="s">
        <v>1382</v>
      </c>
      <c r="T273" s="2" t="s">
        <v>1382</v>
      </c>
      <c r="U273" s="2" t="s">
        <v>1382</v>
      </c>
      <c r="V273" s="2" t="s">
        <v>1382</v>
      </c>
    </row>
    <row r="274" spans="1:22" ht="12.75" customHeight="1">
      <c r="A274" s="133" t="s">
        <v>882</v>
      </c>
      <c r="B274" s="2" t="s">
        <v>2945</v>
      </c>
      <c r="C274" s="168">
        <v>22.11</v>
      </c>
      <c r="D274" s="5">
        <v>1</v>
      </c>
      <c r="E274" s="5" t="e" cm="1">
        <f t="array" aca="1" ref="E274" ca="1">SUMPRODUCT(SUMIF(INDIRECT("'"&amp;Assemblies[Assy]&amp;"'!"&amp;"C:C"),$A274,(INDIRECT("'"&amp;Assemblies[Assy]&amp;"'!"&amp;"O:O"))))</f>
        <v>#VALUE!</v>
      </c>
      <c r="F274" s="5" t="e">
        <f t="shared" ca="1" si="4"/>
        <v>#VALUE!</v>
      </c>
      <c r="G274" s="5">
        <v>2</v>
      </c>
      <c r="H274" s="2">
        <v>2</v>
      </c>
      <c r="I274" s="117" t="s">
        <v>2895</v>
      </c>
      <c r="J274" s="117" t="s">
        <v>2895</v>
      </c>
      <c r="L274" s="2" t="s">
        <v>1382</v>
      </c>
      <c r="M274" s="8" t="s">
        <v>1762</v>
      </c>
      <c r="N274" s="8">
        <v>45196</v>
      </c>
      <c r="O274" s="8">
        <v>45197</v>
      </c>
      <c r="P274" s="8">
        <v>45197</v>
      </c>
      <c r="Q274" s="229">
        <v>55167</v>
      </c>
      <c r="R274" s="115" t="str" cm="1">
        <f t="array" aca="1" ref="R274" ca="1">TRIM(SUBSTITUTE(_xlfn.ARRAYTOTEXT(IFERROR(CONCATENATE(SUMIF(INDIRECT("'"&amp;Assemblies[Assy]&amp;"'!"&amp;"C$5:C1000"), $A274, INDIRECT("'"&amp;Assemblies[Assy]&amp;"'!"&amp;"O$5:O1000")), "x",Assemblies[Assy],".",IF(SUMIF(INDIRECT("'"&amp;Assemblies[Assy]&amp;"'!"&amp;"C$5:C1000"), $A274, INDIRECT("'"&amp;Assemblies[Assy]&amp;"'!"&amp;"A$5:A1000"))=0,NA(),SUMIF(INDIRECT("'"&amp;Assemblies[Assy]&amp;"'!"&amp;"C$5:C1000"), $A274, INDIRECT("'"&amp;Assemblies[Assy]&amp;"'!"&amp;"A$5:A1000")))),"")), " ,", ""))</f>
        <v>,</v>
      </c>
      <c r="S274" s="56" t="s">
        <v>1382</v>
      </c>
      <c r="T274" s="2" t="s">
        <v>1382</v>
      </c>
      <c r="U274" s="2" t="s">
        <v>1382</v>
      </c>
      <c r="V274" s="2" t="s">
        <v>1382</v>
      </c>
    </row>
    <row r="275" spans="1:22" ht="12.75" customHeight="1">
      <c r="A275" s="133" t="s">
        <v>898</v>
      </c>
      <c r="B275" s="2" t="s">
        <v>2946</v>
      </c>
      <c r="C275" s="203">
        <v>86.9</v>
      </c>
      <c r="D275" s="5">
        <v>1</v>
      </c>
      <c r="E275" s="5" t="e" cm="1">
        <f t="array" aca="1" ref="E275" ca="1">SUMPRODUCT(SUMIF(INDIRECT("'"&amp;Assemblies[Assy]&amp;"'!"&amp;"C:C"),$A275,(INDIRECT("'"&amp;Assemblies[Assy]&amp;"'!"&amp;"O:O"))))</f>
        <v>#VALUE!</v>
      </c>
      <c r="F275" s="5" t="e">
        <f t="shared" ca="1" si="4"/>
        <v>#VALUE!</v>
      </c>
      <c r="G275" s="5">
        <v>1</v>
      </c>
      <c r="H275" s="2">
        <v>1</v>
      </c>
      <c r="I275" s="117" t="s">
        <v>2895</v>
      </c>
      <c r="J275" s="117" t="s">
        <v>2895</v>
      </c>
      <c r="M275" s="8" t="s">
        <v>1762</v>
      </c>
      <c r="N275" s="8">
        <v>45216</v>
      </c>
      <c r="O275" s="8">
        <v>45217</v>
      </c>
      <c r="P275" s="8">
        <v>45217</v>
      </c>
      <c r="Q275" s="229">
        <v>55215</v>
      </c>
      <c r="R275" s="115" t="str" cm="1">
        <f t="array" aca="1" ref="R275" ca="1">TRIM(SUBSTITUTE(_xlfn.ARRAYTOTEXT(IFERROR(CONCATENATE(SUMIF(INDIRECT("'"&amp;Assemblies!$B$2:$B$152&amp;"'!"&amp;"C$5:C1000"), $A275, INDIRECT("'"&amp;Assemblies!$B$2:$B$152&amp;"'!"&amp;"O$5:O1000")), "x",Assemblies!$B$2:$B$152,".",IF(SUMIF(INDIRECT("'"&amp;Assemblies!$B$2:$B$152&amp;"'!"&amp;"C$5:C1000"), $A275, INDIRECT("'"&amp;Assemblies!$B$2:$B$152&amp;"'!"&amp;"A$5:A1000"))=0,NA(),SUMIF(INDIRECT("'"&amp;Assemblies!$B$2:$B$152&amp;"'!"&amp;"C$5:C1000"), $A275, INDIRECT("'"&amp;Assemblies!$B$2:$B$152&amp;"'!"&amp;"A$5:A1000")))),"")), " ,", ""))</f>
        <v>,</v>
      </c>
      <c r="S275" s="56" t="s">
        <v>1382</v>
      </c>
      <c r="T275" s="2" t="s">
        <v>1382</v>
      </c>
      <c r="U275" s="2" t="s">
        <v>1382</v>
      </c>
      <c r="V275" s="2" t="s">
        <v>1382</v>
      </c>
    </row>
    <row r="276" spans="1:22" ht="12.75" customHeight="1">
      <c r="A276" s="133" t="s">
        <v>950</v>
      </c>
      <c r="B276" s="2" t="s">
        <v>2947</v>
      </c>
      <c r="C276" s="168">
        <v>9.17</v>
      </c>
      <c r="D276" s="5">
        <v>1</v>
      </c>
      <c r="E276" s="5" t="e" cm="1">
        <f t="array" aca="1" ref="E276" ca="1">SUMPRODUCT(SUMIF(INDIRECT("'"&amp;Assemblies[Assy]&amp;"'!"&amp;"C:C"),$A276,(INDIRECT("'"&amp;Assemblies[Assy]&amp;"'!"&amp;"O:O"))))</f>
        <v>#VALUE!</v>
      </c>
      <c r="F276" s="5" t="e">
        <f t="shared" ca="1" si="4"/>
        <v>#VALUE!</v>
      </c>
      <c r="G276" s="5">
        <v>4</v>
      </c>
      <c r="H276" s="2">
        <v>4</v>
      </c>
      <c r="I276" s="117" t="s">
        <v>2895</v>
      </c>
      <c r="J276" s="117" t="s">
        <v>2895</v>
      </c>
      <c r="K276" s="135" t="s">
        <v>1382</v>
      </c>
      <c r="L276" s="2" t="s">
        <v>1382</v>
      </c>
      <c r="M276" s="8" t="s">
        <v>1762</v>
      </c>
      <c r="N276" s="8">
        <v>45162</v>
      </c>
      <c r="O276" s="8">
        <v>45184</v>
      </c>
      <c r="P276" s="8">
        <v>45166</v>
      </c>
      <c r="Q276" s="229">
        <v>55087</v>
      </c>
      <c r="R276" s="115" t="str" cm="1">
        <f t="array" aca="1" ref="R276" ca="1">TRIM(SUBSTITUTE(_xlfn.ARRAYTOTEXT(IFERROR(CONCATENATE(SUMIF(INDIRECT("'"&amp;Assemblies[Assy]&amp;"'!"&amp;"C$5:C1000"), $A276, INDIRECT("'"&amp;Assemblies[Assy]&amp;"'!"&amp;"O$5:O1000")), "x",Assemblies[Assy],".",IF(SUMIF(INDIRECT("'"&amp;Assemblies[Assy]&amp;"'!"&amp;"C$5:C1000"), $A276, INDIRECT("'"&amp;Assemblies[Assy]&amp;"'!"&amp;"A$5:A1000"))=0,NA(),SUMIF(INDIRECT("'"&amp;Assemblies[Assy]&amp;"'!"&amp;"C$5:C1000"), $A276, INDIRECT("'"&amp;Assemblies[Assy]&amp;"'!"&amp;"A$5:A1000")))),"")), " ,", ""))</f>
        <v>,</v>
      </c>
      <c r="S276" s="56" t="s">
        <v>1382</v>
      </c>
      <c r="T276" s="2" t="s">
        <v>1382</v>
      </c>
      <c r="U276" s="2" t="s">
        <v>1382</v>
      </c>
      <c r="V276" s="2" t="s">
        <v>1382</v>
      </c>
    </row>
    <row r="277" spans="1:22" ht="12.75" customHeight="1">
      <c r="A277" s="247" t="s">
        <v>1136</v>
      </c>
      <c r="B277" s="161" t="s">
        <v>2948</v>
      </c>
      <c r="C277" s="168">
        <v>31.33</v>
      </c>
      <c r="D277" s="5">
        <v>1</v>
      </c>
      <c r="E277" s="5" t="e" cm="1">
        <f t="array" aca="1" ref="E277" ca="1">SUMPRODUCT(SUMIF(INDIRECT("'"&amp;Assemblies[Assy]&amp;"'!"&amp;"C:C"),$A277,(INDIRECT("'"&amp;Assemblies[Assy]&amp;"'!"&amp;"O:O"))))</f>
        <v>#VALUE!</v>
      </c>
      <c r="F277" s="5" t="e">
        <f t="shared" ca="1" si="4"/>
        <v>#VALUE!</v>
      </c>
      <c r="G277" s="5">
        <v>10</v>
      </c>
      <c r="H277" s="2">
        <v>10</v>
      </c>
      <c r="I277" s="117" t="s">
        <v>2895</v>
      </c>
      <c r="J277" s="117" t="s">
        <v>2895</v>
      </c>
      <c r="K277" s="135" t="s">
        <v>1382</v>
      </c>
      <c r="L277" s="2" t="s">
        <v>1382</v>
      </c>
      <c r="M277" s="8" t="s">
        <v>1762</v>
      </c>
      <c r="N277" s="8">
        <v>45162</v>
      </c>
      <c r="O277" s="8">
        <v>45184</v>
      </c>
      <c r="P277" s="8">
        <v>45166</v>
      </c>
      <c r="Q277" s="229" t="s">
        <v>2933</v>
      </c>
      <c r="R277" s="115" t="str" cm="1">
        <f t="array" aca="1" ref="R277" ca="1">TRIM(SUBSTITUTE(_xlfn.ARRAYTOTEXT(IFERROR(CONCATENATE(SUMIF(INDIRECT("'"&amp;Assemblies[Assy]&amp;"'!"&amp;"C$5:C1000"), $A277, INDIRECT("'"&amp;Assemblies[Assy]&amp;"'!"&amp;"O$5:O1000")), "x",Assemblies[Assy],".",IF(SUMIF(INDIRECT("'"&amp;Assemblies[Assy]&amp;"'!"&amp;"C$5:C1000"), $A277, INDIRECT("'"&amp;Assemblies[Assy]&amp;"'!"&amp;"A$5:A1000"))=0,NA(),SUMIF(INDIRECT("'"&amp;Assemblies[Assy]&amp;"'!"&amp;"C$5:C1000"), $A277, INDIRECT("'"&amp;Assemblies[Assy]&amp;"'!"&amp;"A$5:A1000")))),"")), " ,", ""))</f>
        <v>,</v>
      </c>
      <c r="S277" s="56" t="s">
        <v>1382</v>
      </c>
      <c r="T277" s="2" t="s">
        <v>1382</v>
      </c>
      <c r="U277" s="2" t="s">
        <v>1382</v>
      </c>
      <c r="V277" s="2" t="s">
        <v>1382</v>
      </c>
    </row>
    <row r="278" spans="1:22" ht="12.75" customHeight="1">
      <c r="A278" s="247" t="s">
        <v>1135</v>
      </c>
      <c r="B278" s="161" t="s">
        <v>2949</v>
      </c>
      <c r="C278" s="203">
        <v>33.19</v>
      </c>
      <c r="D278" s="5">
        <v>1</v>
      </c>
      <c r="E278" s="5" t="e" cm="1">
        <f t="array" aca="1" ref="E278" ca="1">SUMPRODUCT(SUMIF(INDIRECT("'"&amp;Assemblies[Assy]&amp;"'!"&amp;"C:C"),$A278,(INDIRECT("'"&amp;Assemblies[Assy]&amp;"'!"&amp;"O:O"))))</f>
        <v>#VALUE!</v>
      </c>
      <c r="F278" s="5" t="e">
        <f t="shared" ca="1" si="4"/>
        <v>#VALUE!</v>
      </c>
      <c r="G278" s="5">
        <v>10</v>
      </c>
      <c r="H278" s="2">
        <v>10</v>
      </c>
      <c r="I278" s="117" t="s">
        <v>2895</v>
      </c>
      <c r="J278" s="117" t="s">
        <v>2895</v>
      </c>
      <c r="K278" s="135" t="s">
        <v>1382</v>
      </c>
      <c r="L278" s="2" t="s">
        <v>1382</v>
      </c>
      <c r="M278" s="8" t="s">
        <v>1762</v>
      </c>
      <c r="N278" s="8">
        <v>45162</v>
      </c>
      <c r="O278" s="8">
        <v>45184</v>
      </c>
      <c r="P278" s="8">
        <v>45166</v>
      </c>
      <c r="Q278" s="229">
        <v>55087</v>
      </c>
      <c r="R278" s="115" t="str" cm="1">
        <f t="array" aca="1" ref="R278" ca="1">TRIM(SUBSTITUTE(_xlfn.ARRAYTOTEXT(IFERROR(CONCATENATE(SUMIF(INDIRECT("'"&amp;Assemblies[Assy]&amp;"'!"&amp;"C$5:C1000"), $A278, INDIRECT("'"&amp;Assemblies[Assy]&amp;"'!"&amp;"O$5:O1000")), "x",Assemblies[Assy],".",IF(SUMIF(INDIRECT("'"&amp;Assemblies[Assy]&amp;"'!"&amp;"C$5:C1000"), $A278, INDIRECT("'"&amp;Assemblies[Assy]&amp;"'!"&amp;"A$5:A1000"))=0,NA(),SUMIF(INDIRECT("'"&amp;Assemblies[Assy]&amp;"'!"&amp;"C$5:C1000"), $A278, INDIRECT("'"&amp;Assemblies[Assy]&amp;"'!"&amp;"A$5:A1000")))),"")), " ,", ""))</f>
        <v>,</v>
      </c>
      <c r="S278" s="56" t="s">
        <v>1382</v>
      </c>
      <c r="T278" s="2" t="s">
        <v>1382</v>
      </c>
      <c r="U278" s="2" t="s">
        <v>1382</v>
      </c>
      <c r="V278" s="2" t="s">
        <v>1382</v>
      </c>
    </row>
    <row r="279" spans="1:22" ht="12.75" customHeight="1">
      <c r="A279" s="247" t="s">
        <v>940</v>
      </c>
      <c r="B279" s="161" t="s">
        <v>2950</v>
      </c>
      <c r="C279" s="168">
        <v>51.44</v>
      </c>
      <c r="D279" s="5">
        <v>1</v>
      </c>
      <c r="E279" s="5" t="e" cm="1">
        <f t="array" aca="1" ref="E279" ca="1">SUMPRODUCT(SUMIF(INDIRECT("'"&amp;Assemblies[Assy]&amp;"'!"&amp;"C:C"),$A279,(INDIRECT("'"&amp;Assemblies[Assy]&amp;"'!"&amp;"O:O"))))</f>
        <v>#VALUE!</v>
      </c>
      <c r="F279" s="5" t="e">
        <f t="shared" ca="1" si="4"/>
        <v>#VALUE!</v>
      </c>
      <c r="G279" s="5">
        <v>2</v>
      </c>
      <c r="H279" s="2">
        <v>2</v>
      </c>
      <c r="I279" s="117" t="s">
        <v>2895</v>
      </c>
      <c r="J279" s="117" t="s">
        <v>2895</v>
      </c>
      <c r="K279" s="135" t="s">
        <v>1382</v>
      </c>
      <c r="L279" s="2" t="s">
        <v>1382</v>
      </c>
      <c r="M279" s="8" t="s">
        <v>1762</v>
      </c>
      <c r="N279" s="8">
        <v>45162</v>
      </c>
      <c r="O279" s="8">
        <v>45184</v>
      </c>
      <c r="P279" s="8">
        <v>45166</v>
      </c>
      <c r="Q279" s="229">
        <v>55087</v>
      </c>
      <c r="R279" s="115" t="str" cm="1">
        <f t="array" aca="1" ref="R279" ca="1">TRIM(SUBSTITUTE(_xlfn.ARRAYTOTEXT(IFERROR(CONCATENATE(SUMIF(INDIRECT("'"&amp;Assemblies[Assy]&amp;"'!"&amp;"C$5:C1000"), $A279, INDIRECT("'"&amp;Assemblies[Assy]&amp;"'!"&amp;"O$5:O1000")), "x",Assemblies[Assy],".",IF(SUMIF(INDIRECT("'"&amp;Assemblies[Assy]&amp;"'!"&amp;"C$5:C1000"), $A279, INDIRECT("'"&amp;Assemblies[Assy]&amp;"'!"&amp;"A$5:A1000"))=0,NA(),SUMIF(INDIRECT("'"&amp;Assemblies[Assy]&amp;"'!"&amp;"C$5:C1000"), $A279, INDIRECT("'"&amp;Assemblies[Assy]&amp;"'!"&amp;"A$5:A1000")))),"")), " ,", ""))</f>
        <v>,</v>
      </c>
      <c r="S279" s="56" t="s">
        <v>1382</v>
      </c>
      <c r="T279" s="2" t="s">
        <v>1382</v>
      </c>
      <c r="U279" s="2" t="s">
        <v>1382</v>
      </c>
      <c r="V279" s="2" t="s">
        <v>1382</v>
      </c>
    </row>
    <row r="280" spans="1:22" ht="12.75" customHeight="1">
      <c r="A280" s="247" t="s">
        <v>941</v>
      </c>
      <c r="B280" s="161" t="s">
        <v>2951</v>
      </c>
      <c r="C280" s="168">
        <v>16.32</v>
      </c>
      <c r="D280" s="5">
        <v>1</v>
      </c>
      <c r="E280" s="5" t="e" cm="1">
        <f t="array" aca="1" ref="E280" ca="1">SUMPRODUCT(SUMIF(INDIRECT("'"&amp;Assemblies[Assy]&amp;"'!"&amp;"C:C"),$A280,(INDIRECT("'"&amp;Assemblies[Assy]&amp;"'!"&amp;"O:O"))))</f>
        <v>#VALUE!</v>
      </c>
      <c r="F280" s="5" t="e">
        <f t="shared" ca="1" si="4"/>
        <v>#VALUE!</v>
      </c>
      <c r="G280" s="5">
        <v>2</v>
      </c>
      <c r="H280" s="2">
        <v>2</v>
      </c>
      <c r="I280" s="117" t="s">
        <v>2895</v>
      </c>
      <c r="J280" s="117" t="s">
        <v>2895</v>
      </c>
      <c r="K280" s="135" t="s">
        <v>1382</v>
      </c>
      <c r="L280" s="2" t="s">
        <v>1382</v>
      </c>
      <c r="M280" s="8" t="s">
        <v>1762</v>
      </c>
      <c r="N280" s="8">
        <v>45162</v>
      </c>
      <c r="O280" s="8">
        <v>45184</v>
      </c>
      <c r="P280" s="8">
        <v>45166</v>
      </c>
      <c r="Q280" s="229">
        <v>55087</v>
      </c>
      <c r="R280" s="115" t="str" cm="1">
        <f t="array" aca="1" ref="R280" ca="1">TRIM(SUBSTITUTE(_xlfn.ARRAYTOTEXT(IFERROR(CONCATENATE(SUMIF(INDIRECT("'"&amp;Assemblies[Assy]&amp;"'!"&amp;"C$5:C1000"), $A280, INDIRECT("'"&amp;Assemblies[Assy]&amp;"'!"&amp;"O$5:O1000")), "x",Assemblies[Assy],".",IF(SUMIF(INDIRECT("'"&amp;Assemblies[Assy]&amp;"'!"&amp;"C$5:C1000"), $A280, INDIRECT("'"&amp;Assemblies[Assy]&amp;"'!"&amp;"A$5:A1000"))=0,NA(),SUMIF(INDIRECT("'"&amp;Assemblies[Assy]&amp;"'!"&amp;"C$5:C1000"), $A280, INDIRECT("'"&amp;Assemblies[Assy]&amp;"'!"&amp;"A$5:A1000")))),"")), " ,", ""))</f>
        <v>,</v>
      </c>
      <c r="S280" s="56" t="s">
        <v>1382</v>
      </c>
      <c r="T280" s="2" t="s">
        <v>1382</v>
      </c>
      <c r="U280" s="2" t="s">
        <v>1382</v>
      </c>
      <c r="V280" s="2" t="s">
        <v>1382</v>
      </c>
    </row>
    <row r="281" spans="1:22" ht="12.75" customHeight="1">
      <c r="A281" s="133" t="s">
        <v>634</v>
      </c>
      <c r="B281" s="2" t="s">
        <v>2952</v>
      </c>
      <c r="C281" s="168">
        <v>9.4</v>
      </c>
      <c r="D281" s="5">
        <v>1</v>
      </c>
      <c r="E281" s="5" t="e" cm="1">
        <f t="array" aca="1" ref="E281" ca="1">SUMPRODUCT(SUMIF(INDIRECT("'"&amp;Assemblies[Assy]&amp;"'!"&amp;"C:C"),$A281,(INDIRECT("'"&amp;Assemblies[Assy]&amp;"'!"&amp;"O:O"))))</f>
        <v>#VALUE!</v>
      </c>
      <c r="F281" s="5" t="e">
        <f t="shared" ca="1" si="4"/>
        <v>#VALUE!</v>
      </c>
      <c r="G281" s="5">
        <v>2</v>
      </c>
      <c r="H281" s="2">
        <v>2</v>
      </c>
      <c r="I281" s="117" t="s">
        <v>2895</v>
      </c>
      <c r="J281" s="117" t="s">
        <v>2895</v>
      </c>
      <c r="K281" s="135" t="s">
        <v>1382</v>
      </c>
      <c r="L281" s="2" t="s">
        <v>2953</v>
      </c>
      <c r="M281" s="8" t="s">
        <v>1762</v>
      </c>
      <c r="N281" s="8">
        <v>45162</v>
      </c>
      <c r="O281" s="8">
        <v>45184</v>
      </c>
      <c r="P281" s="8">
        <v>45163</v>
      </c>
      <c r="Q281" s="229">
        <v>55088</v>
      </c>
      <c r="R281" s="115" t="str" cm="1">
        <f t="array" aca="1" ref="R281" ca="1">TRIM(SUBSTITUTE(_xlfn.ARRAYTOTEXT(IFERROR(CONCATENATE(SUMIF(INDIRECT("'"&amp;Assemblies[Assy]&amp;"'!"&amp;"C$5:C1000"), $A281, INDIRECT("'"&amp;Assemblies[Assy]&amp;"'!"&amp;"O$5:O1000")), "x",Assemblies[Assy],".",IF(SUMIF(INDIRECT("'"&amp;Assemblies[Assy]&amp;"'!"&amp;"C$5:C1000"), $A281, INDIRECT("'"&amp;Assemblies[Assy]&amp;"'!"&amp;"A$5:A1000"))=0,NA(),SUMIF(INDIRECT("'"&amp;Assemblies[Assy]&amp;"'!"&amp;"C$5:C1000"), $A281, INDIRECT("'"&amp;Assemblies[Assy]&amp;"'!"&amp;"A$5:A1000")))),"")), " ,", ""))</f>
        <v>,</v>
      </c>
      <c r="S281" s="56" t="s">
        <v>1382</v>
      </c>
      <c r="T281" s="2" t="s">
        <v>1382</v>
      </c>
      <c r="U281" s="2" t="s">
        <v>1382</v>
      </c>
      <c r="V281" s="2" t="s">
        <v>1382</v>
      </c>
    </row>
    <row r="282" spans="1:22" ht="12.75" customHeight="1">
      <c r="A282" s="133" t="s">
        <v>1188</v>
      </c>
      <c r="B282" s="2" t="s">
        <v>2954</v>
      </c>
      <c r="C282" s="168">
        <v>11.77</v>
      </c>
      <c r="D282" s="5">
        <v>100</v>
      </c>
      <c r="E282" s="5" t="e" cm="1">
        <f t="array" aca="1" ref="E282" ca="1">SUMPRODUCT(SUMIF(INDIRECT("'"&amp;Assemblies[Assy]&amp;"'!"&amp;"C:C"),$A282,(INDIRECT("'"&amp;Assemblies[Assy]&amp;"'!"&amp;"O:O"))))</f>
        <v>#VALUE!</v>
      </c>
      <c r="F282" s="5" t="e">
        <f t="shared" ca="1" si="4"/>
        <v>#VALUE!</v>
      </c>
      <c r="G282" s="5">
        <v>1</v>
      </c>
      <c r="H282" s="2">
        <v>1</v>
      </c>
      <c r="I282" s="117" t="s">
        <v>2895</v>
      </c>
      <c r="J282" s="117" t="s">
        <v>2895</v>
      </c>
      <c r="L282" s="2" t="s">
        <v>1382</v>
      </c>
      <c r="M282" s="8" t="s">
        <v>1762</v>
      </c>
      <c r="N282" s="8">
        <v>45196</v>
      </c>
      <c r="O282" s="8">
        <v>45197</v>
      </c>
      <c r="P282" s="8">
        <v>45197</v>
      </c>
      <c r="Q282" s="229">
        <v>55167</v>
      </c>
      <c r="R282" s="115" t="str" cm="1">
        <f t="array" aca="1" ref="R282" ca="1">TRIM(SUBSTITUTE(_xlfn.ARRAYTOTEXT(IFERROR(CONCATENATE(SUMIF(INDIRECT("'"&amp;Assemblies[Assy]&amp;"'!"&amp;"C$5:C1000"), $A282, INDIRECT("'"&amp;Assemblies[Assy]&amp;"'!"&amp;"O$5:O1000")), "x",Assemblies[Assy],".",IF(SUMIF(INDIRECT("'"&amp;Assemblies[Assy]&amp;"'!"&amp;"C$5:C1000"), $A282, INDIRECT("'"&amp;Assemblies[Assy]&amp;"'!"&amp;"A$5:A1000"))=0,NA(),SUMIF(INDIRECT("'"&amp;Assemblies[Assy]&amp;"'!"&amp;"C$5:C1000"), $A282, INDIRECT("'"&amp;Assemblies[Assy]&amp;"'!"&amp;"A$5:A1000")))),"")), " ,", ""))</f>
        <v>,</v>
      </c>
      <c r="S282" s="56" t="s">
        <v>1382</v>
      </c>
      <c r="T282" s="2" t="s">
        <v>1382</v>
      </c>
      <c r="U282" s="2" t="s">
        <v>1382</v>
      </c>
      <c r="V282" s="2" t="s">
        <v>1382</v>
      </c>
    </row>
    <row r="283" spans="1:22" ht="12.75" customHeight="1">
      <c r="A283" s="133" t="s">
        <v>753</v>
      </c>
      <c r="B283" s="2" t="s">
        <v>2955</v>
      </c>
      <c r="C283" s="168">
        <v>10.6</v>
      </c>
      <c r="D283" s="5">
        <v>50</v>
      </c>
      <c r="E283" s="5" t="e" cm="1">
        <f t="array" aca="1" ref="E283" ca="1">SUMPRODUCT(SUMIF(INDIRECT("'"&amp;Assemblies[Assy]&amp;"'!"&amp;"C:C"),$A283,(INDIRECT("'"&amp;Assemblies[Assy]&amp;"'!"&amp;"O:O"))))</f>
        <v>#VALUE!</v>
      </c>
      <c r="F283" s="5" t="e">
        <f t="shared" ca="1" si="4"/>
        <v>#VALUE!</v>
      </c>
      <c r="G283" s="5">
        <v>1</v>
      </c>
      <c r="H283" s="2">
        <v>1</v>
      </c>
      <c r="I283" s="117" t="s">
        <v>2895</v>
      </c>
      <c r="J283" s="117" t="s">
        <v>2895</v>
      </c>
      <c r="K283" s="135" t="s">
        <v>1382</v>
      </c>
      <c r="L283" s="2" t="s">
        <v>1382</v>
      </c>
      <c r="M283" s="8" t="s">
        <v>1762</v>
      </c>
      <c r="N283" s="8">
        <v>45162</v>
      </c>
      <c r="O283" s="8">
        <v>45184</v>
      </c>
      <c r="P283" s="8">
        <v>45163</v>
      </c>
      <c r="Q283" s="229">
        <v>55088</v>
      </c>
      <c r="R283" s="115" t="str" cm="1">
        <f t="array" aca="1" ref="R283" ca="1">TRIM(SUBSTITUTE(_xlfn.ARRAYTOTEXT(IFERROR(CONCATENATE(SUMIF(INDIRECT("'"&amp;Assemblies[Assy]&amp;"'!"&amp;"C$5:C1000"), $A283, INDIRECT("'"&amp;Assemblies[Assy]&amp;"'!"&amp;"O$5:O1000")), "x",Assemblies[Assy],".",IF(SUMIF(INDIRECT("'"&amp;Assemblies[Assy]&amp;"'!"&amp;"C$5:C1000"), $A283, INDIRECT("'"&amp;Assemblies[Assy]&amp;"'!"&amp;"A$5:A1000"))=0,NA(),SUMIF(INDIRECT("'"&amp;Assemblies[Assy]&amp;"'!"&amp;"C$5:C1000"), $A283, INDIRECT("'"&amp;Assemblies[Assy]&amp;"'!"&amp;"A$5:A1000")))),"")), " ,", ""))</f>
        <v>,</v>
      </c>
      <c r="S283" s="56" t="s">
        <v>1382</v>
      </c>
      <c r="T283" s="2" t="s">
        <v>1382</v>
      </c>
      <c r="U283" s="2" t="s">
        <v>1382</v>
      </c>
      <c r="V283" s="2" t="s">
        <v>1382</v>
      </c>
    </row>
    <row r="284" spans="1:22" ht="12.75" customHeight="1">
      <c r="A284" s="133" t="s">
        <v>949</v>
      </c>
      <c r="B284" s="2" t="s">
        <v>2956</v>
      </c>
      <c r="C284" s="168">
        <v>8.69</v>
      </c>
      <c r="D284" s="5">
        <v>25</v>
      </c>
      <c r="E284" s="5" t="e" cm="1">
        <f t="array" aca="1" ref="E284" ca="1">SUMPRODUCT(SUMIF(INDIRECT("'"&amp;Assemblies[Assy]&amp;"'!"&amp;"C:C"),$A284,(INDIRECT("'"&amp;Assemblies[Assy]&amp;"'!"&amp;"O:O"))))</f>
        <v>#VALUE!</v>
      </c>
      <c r="F284" s="5" t="e">
        <f t="shared" ca="1" si="4"/>
        <v>#VALUE!</v>
      </c>
      <c r="G284" s="5">
        <v>1</v>
      </c>
      <c r="H284" s="2">
        <v>1</v>
      </c>
      <c r="I284" s="117" t="s">
        <v>2895</v>
      </c>
      <c r="J284" s="117" t="s">
        <v>2895</v>
      </c>
      <c r="K284" s="135" t="s">
        <v>1382</v>
      </c>
      <c r="L284" s="2" t="s">
        <v>1382</v>
      </c>
      <c r="M284" s="8" t="s">
        <v>1762</v>
      </c>
      <c r="N284" s="8">
        <v>45162</v>
      </c>
      <c r="O284" s="8">
        <v>45184</v>
      </c>
      <c r="P284" s="8">
        <v>45163</v>
      </c>
      <c r="Q284" s="229">
        <v>55088</v>
      </c>
      <c r="R284" s="115" t="str" cm="1">
        <f t="array" aca="1" ref="R284" ca="1">TRIM(SUBSTITUTE(_xlfn.ARRAYTOTEXT(IFERROR(CONCATENATE(SUMIF(INDIRECT("'"&amp;Assemblies[Assy]&amp;"'!"&amp;"C$5:C1000"), $A284, INDIRECT("'"&amp;Assemblies[Assy]&amp;"'!"&amp;"O$5:O1000")), "x",Assemblies[Assy],".",IF(SUMIF(INDIRECT("'"&amp;Assemblies[Assy]&amp;"'!"&amp;"C$5:C1000"), $A284, INDIRECT("'"&amp;Assemblies[Assy]&amp;"'!"&amp;"A$5:A1000"))=0,NA(),SUMIF(INDIRECT("'"&amp;Assemblies[Assy]&amp;"'!"&amp;"C$5:C1000"), $A284, INDIRECT("'"&amp;Assemblies[Assy]&amp;"'!"&amp;"A$5:A1000")))),"")), " ,", ""))</f>
        <v>,</v>
      </c>
      <c r="S284" s="56" t="s">
        <v>1382</v>
      </c>
      <c r="T284" s="2" t="s">
        <v>1382</v>
      </c>
      <c r="U284" s="2" t="s">
        <v>1382</v>
      </c>
      <c r="V284" s="2" t="s">
        <v>1382</v>
      </c>
    </row>
    <row r="285" spans="1:22" ht="12.75" customHeight="1">
      <c r="A285" s="2" t="s">
        <v>469</v>
      </c>
      <c r="B285" s="2" t="s">
        <v>2957</v>
      </c>
      <c r="C285" s="203">
        <v>12.48</v>
      </c>
      <c r="D285" s="5">
        <v>10</v>
      </c>
      <c r="E285" s="5" t="e" cm="1">
        <f t="array" aca="1" ref="E285" ca="1">SUMPRODUCT(SUMIF(INDIRECT("'"&amp;Assemblies[Assy]&amp;"'!"&amp;"C:C"),$A285,(INDIRECT("'"&amp;Assemblies[Assy]&amp;"'!"&amp;"O:O"))))</f>
        <v>#VALUE!</v>
      </c>
      <c r="F285" s="5" t="e">
        <f t="shared" ca="1" si="4"/>
        <v>#VALUE!</v>
      </c>
      <c r="G285" s="5">
        <v>1</v>
      </c>
      <c r="H285" s="2">
        <v>1</v>
      </c>
      <c r="I285" s="117" t="s">
        <v>2895</v>
      </c>
      <c r="J285" s="117" t="s">
        <v>2895</v>
      </c>
      <c r="K285" s="135" t="s">
        <v>1382</v>
      </c>
      <c r="L285" s="2" t="s">
        <v>2958</v>
      </c>
      <c r="M285" s="8" t="s">
        <v>1762</v>
      </c>
      <c r="N285" s="8">
        <v>45162</v>
      </c>
      <c r="O285" s="8">
        <v>45184</v>
      </c>
      <c r="P285" s="8">
        <v>45163</v>
      </c>
      <c r="Q285" s="229">
        <v>55088</v>
      </c>
      <c r="R285" s="115" t="str" cm="1">
        <f t="array" aca="1" ref="R285" ca="1">TRIM(SUBSTITUTE(_xlfn.ARRAYTOTEXT(IFERROR(CONCATENATE(SUMIF(INDIRECT("'"&amp;Assemblies[Assy]&amp;"'!"&amp;"C$5:C1000"), $A285, INDIRECT("'"&amp;Assemblies[Assy]&amp;"'!"&amp;"O$5:O1000")), "x",Assemblies[Assy],".",IF(SUMIF(INDIRECT("'"&amp;Assemblies[Assy]&amp;"'!"&amp;"C$5:C1000"), $A285, INDIRECT("'"&amp;Assemblies[Assy]&amp;"'!"&amp;"A$5:A1000"))=0,NA(),SUMIF(INDIRECT("'"&amp;Assemblies[Assy]&amp;"'!"&amp;"C$5:C1000"), $A285, INDIRECT("'"&amp;Assemblies[Assy]&amp;"'!"&amp;"A$5:A1000")))),"")), " ,", ""))</f>
        <v>,</v>
      </c>
      <c r="S285" s="56" t="s">
        <v>1382</v>
      </c>
      <c r="T285" s="2" t="s">
        <v>1382</v>
      </c>
      <c r="U285" s="2" t="s">
        <v>1382</v>
      </c>
      <c r="V285" s="2" t="s">
        <v>1382</v>
      </c>
    </row>
    <row r="286" spans="1:22" ht="12.75" customHeight="1">
      <c r="A286" s="161" t="s">
        <v>903</v>
      </c>
      <c r="B286" s="2" t="s">
        <v>2959</v>
      </c>
      <c r="C286" s="203">
        <v>12.97</v>
      </c>
      <c r="D286" s="5">
        <v>10</v>
      </c>
      <c r="E286" s="5" t="e" cm="1">
        <f t="array" aca="1" ref="E286" ca="1">SUMPRODUCT(SUMIF(INDIRECT("'"&amp;Assemblies[Assy]&amp;"'!"&amp;"C:C"),$A286,(INDIRECT("'"&amp;Assemblies[Assy]&amp;"'!"&amp;"O:O"))))</f>
        <v>#VALUE!</v>
      </c>
      <c r="F286" s="5" t="e">
        <f t="shared" ca="1" si="4"/>
        <v>#VALUE!</v>
      </c>
      <c r="G286" s="5">
        <v>2</v>
      </c>
      <c r="H286" s="2">
        <v>2</v>
      </c>
      <c r="I286" s="117" t="s">
        <v>2895</v>
      </c>
      <c r="J286" s="117" t="s">
        <v>2895</v>
      </c>
      <c r="K286" s="135" t="s">
        <v>1382</v>
      </c>
      <c r="L286" s="2" t="s">
        <v>2958</v>
      </c>
      <c r="M286" s="8" t="s">
        <v>1762</v>
      </c>
      <c r="N286" s="8">
        <v>45162</v>
      </c>
      <c r="O286" s="8">
        <v>45184</v>
      </c>
      <c r="P286" s="8">
        <v>45163</v>
      </c>
      <c r="Q286" s="229">
        <v>55088</v>
      </c>
      <c r="R286" s="115" t="str" cm="1">
        <f t="array" aca="1" ref="R286" ca="1">TRIM(SUBSTITUTE(_xlfn.ARRAYTOTEXT(IFERROR(CONCATENATE(SUMIF(INDIRECT("'"&amp;Assemblies[Assy]&amp;"'!"&amp;"C$5:C1000"), $A286, INDIRECT("'"&amp;Assemblies[Assy]&amp;"'!"&amp;"O$5:O1000")), "x",Assemblies[Assy],".",IF(SUMIF(INDIRECT("'"&amp;Assemblies[Assy]&amp;"'!"&amp;"C$5:C1000"), $A286, INDIRECT("'"&amp;Assemblies[Assy]&amp;"'!"&amp;"A$5:A1000"))=0,NA(),SUMIF(INDIRECT("'"&amp;Assemblies[Assy]&amp;"'!"&amp;"C$5:C1000"), $A286, INDIRECT("'"&amp;Assemblies[Assy]&amp;"'!"&amp;"A$5:A1000")))),"")), " ,", ""))</f>
        <v>,</v>
      </c>
      <c r="S286" s="56" t="s">
        <v>1382</v>
      </c>
      <c r="T286" s="2" t="s">
        <v>1382</v>
      </c>
      <c r="U286" s="2" t="s">
        <v>1382</v>
      </c>
      <c r="V286" s="2" t="s">
        <v>1382</v>
      </c>
    </row>
    <row r="287" spans="1:22" ht="12.75" customHeight="1">
      <c r="A287" s="133" t="s">
        <v>624</v>
      </c>
      <c r="B287" s="2" t="s">
        <v>2960</v>
      </c>
      <c r="C287" s="168">
        <v>5.46</v>
      </c>
      <c r="D287" s="5">
        <v>1</v>
      </c>
      <c r="E287" s="5" t="e" cm="1">
        <f t="array" aca="1" ref="E287" ca="1">SUMPRODUCT(SUMIF(INDIRECT("'"&amp;Assemblies[Assy]&amp;"'!"&amp;"C:C"),$A287,(INDIRECT("'"&amp;Assemblies[Assy]&amp;"'!"&amp;"O:O"))))</f>
        <v>#VALUE!</v>
      </c>
      <c r="F287" s="5" t="e">
        <f t="shared" ca="1" si="4"/>
        <v>#VALUE!</v>
      </c>
      <c r="G287" s="5">
        <v>4</v>
      </c>
      <c r="H287" s="2">
        <v>4</v>
      </c>
      <c r="I287" s="117" t="s">
        <v>2895</v>
      </c>
      <c r="J287" s="117" t="s">
        <v>2895</v>
      </c>
      <c r="K287" s="135" t="s">
        <v>1382</v>
      </c>
      <c r="L287" s="2" t="s">
        <v>1382</v>
      </c>
      <c r="M287" s="8" t="s">
        <v>1762</v>
      </c>
      <c r="N287" s="8">
        <v>45162</v>
      </c>
      <c r="O287" s="8">
        <v>45184</v>
      </c>
      <c r="P287" s="8">
        <v>45163</v>
      </c>
      <c r="Q287" s="229">
        <v>55088</v>
      </c>
      <c r="R287" s="115" t="str" cm="1">
        <f t="array" aca="1" ref="R287" ca="1">TRIM(SUBSTITUTE(_xlfn.ARRAYTOTEXT(IFERROR(CONCATENATE(SUMIF(INDIRECT("'"&amp;Assemblies[Assy]&amp;"'!"&amp;"C$5:C1000"), $A287, INDIRECT("'"&amp;Assemblies[Assy]&amp;"'!"&amp;"O$5:O1000")), "x",Assemblies[Assy],".",IF(SUMIF(INDIRECT("'"&amp;Assemblies[Assy]&amp;"'!"&amp;"C$5:C1000"), $A287, INDIRECT("'"&amp;Assemblies[Assy]&amp;"'!"&amp;"A$5:A1000"))=0,NA(),SUMIF(INDIRECT("'"&amp;Assemblies[Assy]&amp;"'!"&amp;"C$5:C1000"), $A287, INDIRECT("'"&amp;Assemblies[Assy]&amp;"'!"&amp;"A$5:A1000")))),"")), " ,", ""))</f>
        <v>,</v>
      </c>
      <c r="S287" s="56" t="s">
        <v>1382</v>
      </c>
      <c r="T287" s="2" t="s">
        <v>1382</v>
      </c>
      <c r="U287" s="2" t="s">
        <v>1382</v>
      </c>
      <c r="V287" s="2" t="s">
        <v>1382</v>
      </c>
    </row>
    <row r="288" spans="1:22" ht="12.75" customHeight="1">
      <c r="A288" s="133" t="s">
        <v>944</v>
      </c>
      <c r="B288" s="2" t="s">
        <v>2961</v>
      </c>
      <c r="C288" s="168">
        <v>5.32</v>
      </c>
      <c r="D288" s="5">
        <v>1</v>
      </c>
      <c r="E288" s="5" t="e" cm="1">
        <f t="array" aca="1" ref="E288" ca="1">SUMPRODUCT(SUMIF(INDIRECT("'"&amp;Assemblies[Assy]&amp;"'!"&amp;"C:C"),$A288,(INDIRECT("'"&amp;Assemblies[Assy]&amp;"'!"&amp;"O:O"))))</f>
        <v>#VALUE!</v>
      </c>
      <c r="F288" s="5" t="e">
        <f t="shared" ca="1" si="4"/>
        <v>#VALUE!</v>
      </c>
      <c r="G288" s="5">
        <v>8</v>
      </c>
      <c r="H288" s="2">
        <v>8</v>
      </c>
      <c r="I288" s="117" t="s">
        <v>2895</v>
      </c>
      <c r="J288" s="117" t="s">
        <v>2895</v>
      </c>
      <c r="K288" s="135" t="s">
        <v>1382</v>
      </c>
      <c r="L288" s="2" t="s">
        <v>1382</v>
      </c>
      <c r="M288" s="8" t="s">
        <v>1762</v>
      </c>
      <c r="N288" s="8">
        <v>45162</v>
      </c>
      <c r="O288" s="8">
        <v>45184</v>
      </c>
      <c r="P288" s="8">
        <v>45163</v>
      </c>
      <c r="Q288" s="229">
        <v>55088</v>
      </c>
      <c r="R288" s="115" t="str" cm="1">
        <f t="array" aca="1" ref="R288" ca="1">TRIM(SUBSTITUTE(_xlfn.ARRAYTOTEXT(IFERROR(CONCATENATE(SUMIF(INDIRECT("'"&amp;Assemblies[Assy]&amp;"'!"&amp;"C$5:C1000"), $A288, INDIRECT("'"&amp;Assemblies[Assy]&amp;"'!"&amp;"O$5:O1000")), "x",Assemblies[Assy],".",IF(SUMIF(INDIRECT("'"&amp;Assemblies[Assy]&amp;"'!"&amp;"C$5:C1000"), $A288, INDIRECT("'"&amp;Assemblies[Assy]&amp;"'!"&amp;"A$5:A1000"))=0,NA(),SUMIF(INDIRECT("'"&amp;Assemblies[Assy]&amp;"'!"&amp;"C$5:C1000"), $A288, INDIRECT("'"&amp;Assemblies[Assy]&amp;"'!"&amp;"A$5:A1000")))),"")), " ,", ""))</f>
        <v>,</v>
      </c>
      <c r="S288" s="56" t="s">
        <v>1382</v>
      </c>
      <c r="T288" s="2" t="s">
        <v>1382</v>
      </c>
      <c r="U288" s="2" t="s">
        <v>1382</v>
      </c>
      <c r="V288" s="2" t="s">
        <v>1382</v>
      </c>
    </row>
    <row r="289" spans="1:22">
      <c r="A289" s="133" t="s">
        <v>890</v>
      </c>
      <c r="B289" s="188" t="s">
        <v>2962</v>
      </c>
      <c r="C289" s="168">
        <v>15.75</v>
      </c>
      <c r="D289" s="5">
        <v>100</v>
      </c>
      <c r="E289" s="5" t="e" cm="1">
        <f t="array" aca="1" ref="E289" ca="1">SUMPRODUCT(SUMIF(INDIRECT("'"&amp;Assemblies[Assy]&amp;"'!"&amp;"C:C"),$A289,(INDIRECT("'"&amp;Assemblies[Assy]&amp;"'!"&amp;"O:O"))))</f>
        <v>#VALUE!</v>
      </c>
      <c r="F289" s="5" t="e">
        <f t="shared" ca="1" si="4"/>
        <v>#VALUE!</v>
      </c>
      <c r="G289" s="5">
        <v>1</v>
      </c>
      <c r="H289" s="2">
        <v>1</v>
      </c>
      <c r="I289" s="117" t="s">
        <v>2895</v>
      </c>
      <c r="J289" s="117" t="s">
        <v>2895</v>
      </c>
      <c r="K289" s="135" t="s">
        <v>1382</v>
      </c>
      <c r="L289" s="2" t="s">
        <v>1382</v>
      </c>
      <c r="M289" s="8" t="s">
        <v>1762</v>
      </c>
      <c r="N289" s="8">
        <v>45162</v>
      </c>
      <c r="O289" s="8">
        <v>45184</v>
      </c>
      <c r="P289" s="8">
        <v>45163</v>
      </c>
      <c r="Q289" s="229">
        <v>55088</v>
      </c>
      <c r="R289" s="115" t="str" cm="1">
        <f t="array" aca="1" ref="R289" ca="1">TRIM(SUBSTITUTE(_xlfn.ARRAYTOTEXT(IFERROR(CONCATENATE(SUMIF(INDIRECT("'"&amp;Assemblies[Assy]&amp;"'!"&amp;"C$5:C1000"), $A289, INDIRECT("'"&amp;Assemblies[Assy]&amp;"'!"&amp;"O$5:O1000")), "x",Assemblies[Assy],".",IF(SUMIF(INDIRECT("'"&amp;Assemblies[Assy]&amp;"'!"&amp;"C$5:C1000"), $A289, INDIRECT("'"&amp;Assemblies[Assy]&amp;"'!"&amp;"A$5:A1000"))=0,NA(),SUMIF(INDIRECT("'"&amp;Assemblies[Assy]&amp;"'!"&amp;"C$5:C1000"), $A289, INDIRECT("'"&amp;Assemblies[Assy]&amp;"'!"&amp;"A$5:A1000")))),"")), " ,", ""))</f>
        <v>,</v>
      </c>
      <c r="S289" s="56" t="s">
        <v>1382</v>
      </c>
      <c r="T289" s="2" t="s">
        <v>1382</v>
      </c>
      <c r="U289" s="2" t="s">
        <v>1382</v>
      </c>
      <c r="V289" s="2" t="s">
        <v>1382</v>
      </c>
    </row>
    <row r="290" spans="1:22">
      <c r="A290" s="133" t="s">
        <v>996</v>
      </c>
      <c r="B290" s="2" t="s">
        <v>2963</v>
      </c>
      <c r="C290" s="168">
        <v>12.7</v>
      </c>
      <c r="D290" s="5">
        <v>25</v>
      </c>
      <c r="E290" s="5" t="e" cm="1">
        <f t="array" aca="1" ref="E290" ca="1">SUMPRODUCT(SUMIF(INDIRECT("'"&amp;Assemblies[Assy]&amp;"'!"&amp;"C:C"),$A290,(INDIRECT("'"&amp;Assemblies[Assy]&amp;"'!"&amp;"O:O"))))</f>
        <v>#VALUE!</v>
      </c>
      <c r="F290" s="5" t="e">
        <f t="shared" ca="1" si="4"/>
        <v>#VALUE!</v>
      </c>
      <c r="G290" s="5">
        <v>1</v>
      </c>
      <c r="H290" s="2">
        <v>1</v>
      </c>
      <c r="I290" s="117" t="s">
        <v>2895</v>
      </c>
      <c r="J290" s="117" t="s">
        <v>2895</v>
      </c>
      <c r="K290" s="135" t="s">
        <v>1382</v>
      </c>
      <c r="L290" s="2" t="s">
        <v>1382</v>
      </c>
      <c r="M290" s="8" t="s">
        <v>1762</v>
      </c>
      <c r="N290" s="8">
        <v>45162</v>
      </c>
      <c r="O290" s="8">
        <v>45184</v>
      </c>
      <c r="P290" s="8">
        <v>45163</v>
      </c>
      <c r="Q290" s="229">
        <v>55088</v>
      </c>
      <c r="R290" s="115" t="str" cm="1">
        <f t="array" aca="1" ref="R290" ca="1">TRIM(SUBSTITUTE(_xlfn.ARRAYTOTEXT(IFERROR(CONCATENATE(SUMIF(INDIRECT("'"&amp;Assemblies[Assy]&amp;"'!"&amp;"C$5:C1000"), $A290, INDIRECT("'"&amp;Assemblies[Assy]&amp;"'!"&amp;"O$5:O1000")), "x",Assemblies[Assy],".",IF(SUMIF(INDIRECT("'"&amp;Assemblies[Assy]&amp;"'!"&amp;"C$5:C1000"), $A290, INDIRECT("'"&amp;Assemblies[Assy]&amp;"'!"&amp;"A$5:A1000"))=0,NA(),SUMIF(INDIRECT("'"&amp;Assemblies[Assy]&amp;"'!"&amp;"C$5:C1000"), $A290, INDIRECT("'"&amp;Assemblies[Assy]&amp;"'!"&amp;"A$5:A1000")))),"")), " ,", ""))</f>
        <v>,</v>
      </c>
      <c r="S290" s="56" t="s">
        <v>1382</v>
      </c>
      <c r="T290" s="2" t="s">
        <v>1382</v>
      </c>
      <c r="U290" s="2" t="s">
        <v>1382</v>
      </c>
      <c r="V290" s="2" t="s">
        <v>1382</v>
      </c>
    </row>
    <row r="291" spans="1:22">
      <c r="A291" s="133" t="s">
        <v>1084</v>
      </c>
      <c r="B291" s="2" t="s">
        <v>2964</v>
      </c>
      <c r="C291" s="203">
        <v>7.33</v>
      </c>
      <c r="D291" s="5">
        <v>1</v>
      </c>
      <c r="E291" s="5" t="e" cm="1">
        <f t="array" aca="1" ref="E291" ca="1">SUMPRODUCT(SUMIF(INDIRECT("'"&amp;Assemblies[Assy]&amp;"'!"&amp;"C:C"),$A291,(INDIRECT("'"&amp;Assemblies[Assy]&amp;"'!"&amp;"O:O"))))</f>
        <v>#VALUE!</v>
      </c>
      <c r="F291" s="5" t="e">
        <f t="shared" ca="1" si="4"/>
        <v>#VALUE!</v>
      </c>
      <c r="G291" s="5">
        <v>32</v>
      </c>
      <c r="H291" s="2">
        <v>32</v>
      </c>
      <c r="I291" s="117" t="s">
        <v>2895</v>
      </c>
      <c r="J291" s="117" t="s">
        <v>2895</v>
      </c>
      <c r="K291" s="135" t="s">
        <v>1382</v>
      </c>
      <c r="L291" s="2" t="s">
        <v>1382</v>
      </c>
      <c r="M291" s="8" t="s">
        <v>1762</v>
      </c>
      <c r="N291" s="8">
        <v>45162</v>
      </c>
      <c r="O291" s="8">
        <v>45184</v>
      </c>
      <c r="P291" s="8">
        <v>45163</v>
      </c>
      <c r="Q291" s="229">
        <v>55088</v>
      </c>
      <c r="R291" s="115" t="str" cm="1">
        <f t="array" aca="1" ref="R291" ca="1">TRIM(SUBSTITUTE(_xlfn.ARRAYTOTEXT(IFERROR(CONCATENATE(SUMIF(INDIRECT("'"&amp;Assemblies[Assy]&amp;"'!"&amp;"C$5:C1000"), $A291, INDIRECT("'"&amp;Assemblies[Assy]&amp;"'!"&amp;"O$5:O1000")), "x",Assemblies[Assy],".",IF(SUMIF(INDIRECT("'"&amp;Assemblies[Assy]&amp;"'!"&amp;"C$5:C1000"), $A291, INDIRECT("'"&amp;Assemblies[Assy]&amp;"'!"&amp;"A$5:A1000"))=0,NA(),SUMIF(INDIRECT("'"&amp;Assemblies[Assy]&amp;"'!"&amp;"C$5:C1000"), $A291, INDIRECT("'"&amp;Assemblies[Assy]&amp;"'!"&amp;"A$5:A1000")))),"")), " ,", ""))</f>
        <v>,</v>
      </c>
      <c r="S291" s="56" t="s">
        <v>1382</v>
      </c>
      <c r="T291" s="2" t="s">
        <v>1382</v>
      </c>
      <c r="U291" s="2" t="s">
        <v>1382</v>
      </c>
      <c r="V291" s="2" t="s">
        <v>1382</v>
      </c>
    </row>
    <row r="292" spans="1:22">
      <c r="A292" s="133" t="s">
        <v>731</v>
      </c>
      <c r="B292" s="2" t="s">
        <v>2965</v>
      </c>
      <c r="C292" s="203">
        <v>27.21</v>
      </c>
      <c r="D292" s="5">
        <v>1</v>
      </c>
      <c r="E292" s="5" t="e" cm="1">
        <f t="array" aca="1" ref="E292" ca="1">SUMPRODUCT(SUMIF(INDIRECT("'"&amp;Assemblies[Assy]&amp;"'!"&amp;"C:C"),$A292,(INDIRECT("'"&amp;Assemblies[Assy]&amp;"'!"&amp;"O:O"))))</f>
        <v>#VALUE!</v>
      </c>
      <c r="F292" s="5" t="e">
        <f t="shared" ca="1" si="4"/>
        <v>#VALUE!</v>
      </c>
      <c r="G292" s="5">
        <v>2</v>
      </c>
      <c r="H292" s="2">
        <v>2</v>
      </c>
      <c r="I292" s="117" t="s">
        <v>2895</v>
      </c>
      <c r="J292" s="117" t="s">
        <v>2895</v>
      </c>
      <c r="K292" s="135" t="s">
        <v>1382</v>
      </c>
      <c r="L292" s="2" t="s">
        <v>2966</v>
      </c>
      <c r="M292" s="8" t="s">
        <v>1762</v>
      </c>
      <c r="N292" s="8">
        <v>45162</v>
      </c>
      <c r="O292" s="8">
        <v>45184</v>
      </c>
      <c r="P292" s="8">
        <v>45163</v>
      </c>
      <c r="Q292" s="229">
        <v>55088</v>
      </c>
      <c r="R292" s="115" t="str" cm="1">
        <f t="array" aca="1" ref="R292" ca="1">TRIM(SUBSTITUTE(_xlfn.ARRAYTOTEXT(IFERROR(CONCATENATE(SUMIF(INDIRECT("'"&amp;Assemblies[Assy]&amp;"'!"&amp;"C$5:C1000"), $A292, INDIRECT("'"&amp;Assemblies[Assy]&amp;"'!"&amp;"O$5:O1000")), "x",Assemblies[Assy],".",IF(SUMIF(INDIRECT("'"&amp;Assemblies[Assy]&amp;"'!"&amp;"C$5:C1000"), $A292, INDIRECT("'"&amp;Assemblies[Assy]&amp;"'!"&amp;"A$5:A1000"))=0,NA(),SUMIF(INDIRECT("'"&amp;Assemblies[Assy]&amp;"'!"&amp;"C$5:C1000"), $A292, INDIRECT("'"&amp;Assemblies[Assy]&amp;"'!"&amp;"A$5:A1000")))),"")), " ,", ""))</f>
        <v>,</v>
      </c>
      <c r="S292" s="56" t="s">
        <v>1382</v>
      </c>
      <c r="T292" s="2" t="s">
        <v>1382</v>
      </c>
      <c r="U292" s="2" t="s">
        <v>1382</v>
      </c>
      <c r="V292" s="2" t="s">
        <v>1382</v>
      </c>
    </row>
    <row r="293" spans="1:22">
      <c r="A293" s="168" t="s">
        <v>894</v>
      </c>
      <c r="B293" s="2" t="s">
        <v>2967</v>
      </c>
      <c r="C293" s="205">
        <v>12.85</v>
      </c>
      <c r="D293" s="5">
        <v>100</v>
      </c>
      <c r="E293" s="5" t="e" cm="1">
        <f t="array" aca="1" ref="E293" ca="1">SUMPRODUCT(SUMIF(INDIRECT("'"&amp;Assemblies[Assy]&amp;"'!"&amp;"C:C"),$A293,(INDIRECT("'"&amp;Assemblies[Assy]&amp;"'!"&amp;"O:O"))))</f>
        <v>#VALUE!</v>
      </c>
      <c r="F293" s="5" t="e">
        <f t="shared" ca="1" si="4"/>
        <v>#VALUE!</v>
      </c>
      <c r="G293" s="5">
        <v>0</v>
      </c>
      <c r="H293" s="2">
        <v>100</v>
      </c>
      <c r="I293" s="117" t="s">
        <v>2895</v>
      </c>
      <c r="J293" s="117" t="s">
        <v>2895</v>
      </c>
      <c r="L293" s="2" t="s">
        <v>2968</v>
      </c>
      <c r="M293" s="8" t="s">
        <v>1762</v>
      </c>
      <c r="N293" s="8" t="s">
        <v>1762</v>
      </c>
      <c r="O293" s="8" t="s">
        <v>1762</v>
      </c>
      <c r="P293" s="8" t="s">
        <v>1762</v>
      </c>
      <c r="Q293" s="8" t="s">
        <v>1762</v>
      </c>
      <c r="R293" s="115" t="str" cm="1">
        <f t="array" aca="1" ref="R293" ca="1">TRIM(SUBSTITUTE(_xlfn.ARRAYTOTEXT(IFERROR(CONCATENATE(SUMIF(INDIRECT("'"&amp;Assemblies!$B$2:$B$152&amp;"'!"&amp;"C$5:C1000"), $A293, INDIRECT("'"&amp;Assemblies!$B$2:$B$152&amp;"'!"&amp;"O$5:O1000")), "x",Assemblies!$B$2:$B$152,".",IF(SUMIF(INDIRECT("'"&amp;Assemblies!$B$2:$B$152&amp;"'!"&amp;"C$5:C1000"), $A293, INDIRECT("'"&amp;Assemblies!$B$2:$B$152&amp;"'!"&amp;"A$5:A1000"))=0,NA(),SUMIF(INDIRECT("'"&amp;Assemblies!$B$2:$B$152&amp;"'!"&amp;"C$5:C1000"), $A293, INDIRECT("'"&amp;Assemblies!$B$2:$B$152&amp;"'!"&amp;"A$5:A1000")))),"")), " ,", ""))</f>
        <v>,</v>
      </c>
      <c r="S293" s="56" t="s">
        <v>1382</v>
      </c>
      <c r="T293" s="2" t="s">
        <v>1382</v>
      </c>
      <c r="U293" s="2" t="s">
        <v>1382</v>
      </c>
      <c r="V293" s="2" t="s">
        <v>1382</v>
      </c>
    </row>
    <row r="294" spans="1:22">
      <c r="A294" s="133" t="s">
        <v>846</v>
      </c>
      <c r="B294" s="2" t="s">
        <v>2969</v>
      </c>
      <c r="C294" s="168">
        <v>4.07</v>
      </c>
      <c r="D294" s="5">
        <v>1</v>
      </c>
      <c r="E294" s="5" t="e" cm="1">
        <f t="array" aca="1" ref="E294" ca="1">SUMPRODUCT(SUMIF(INDIRECT("'"&amp;Assemblies[Assy]&amp;"'!"&amp;"C:C"),$A294,(INDIRECT("'"&amp;Assemblies[Assy]&amp;"'!"&amp;"O:O"))))</f>
        <v>#VALUE!</v>
      </c>
      <c r="F294" s="5" t="e">
        <f t="shared" ca="1" si="4"/>
        <v>#VALUE!</v>
      </c>
      <c r="G294" s="5">
        <v>20</v>
      </c>
      <c r="H294" s="2">
        <v>20</v>
      </c>
      <c r="I294" s="117" t="s">
        <v>2895</v>
      </c>
      <c r="J294" s="117" t="s">
        <v>2895</v>
      </c>
      <c r="K294" s="135" t="s">
        <v>1382</v>
      </c>
      <c r="L294" s="2" t="s">
        <v>1382</v>
      </c>
      <c r="M294" s="8" t="s">
        <v>1762</v>
      </c>
      <c r="N294" s="8">
        <v>45162</v>
      </c>
      <c r="O294" s="8">
        <v>45184</v>
      </c>
      <c r="P294" s="8">
        <v>45163</v>
      </c>
      <c r="Q294" s="229">
        <v>55088</v>
      </c>
      <c r="R294" s="115" t="str" cm="1">
        <f t="array" aca="1" ref="R294" ca="1">TRIM(SUBSTITUTE(_xlfn.ARRAYTOTEXT(IFERROR(CONCATENATE(SUMIF(INDIRECT("'"&amp;Assemblies[Assy]&amp;"'!"&amp;"C$5:C1000"), $A294, INDIRECT("'"&amp;Assemblies[Assy]&amp;"'!"&amp;"O$5:O1000")), "x",Assemblies[Assy],".",IF(SUMIF(INDIRECT("'"&amp;Assemblies[Assy]&amp;"'!"&amp;"C$5:C1000"), $A294, INDIRECT("'"&amp;Assemblies[Assy]&amp;"'!"&amp;"A$5:A1000"))=0,NA(),SUMIF(INDIRECT("'"&amp;Assemblies[Assy]&amp;"'!"&amp;"C$5:C1000"), $A294, INDIRECT("'"&amp;Assemblies[Assy]&amp;"'!"&amp;"A$5:A1000")))),"")), " ,", ""))</f>
        <v>,</v>
      </c>
      <c r="S294" s="56" t="s">
        <v>1382</v>
      </c>
      <c r="T294" s="2" t="s">
        <v>1382</v>
      </c>
      <c r="U294" s="2" t="s">
        <v>1382</v>
      </c>
      <c r="V294" s="2" t="s">
        <v>1382</v>
      </c>
    </row>
    <row r="295" spans="1:22">
      <c r="A295" s="133" t="s">
        <v>2970</v>
      </c>
      <c r="B295" s="2" t="s">
        <v>2971</v>
      </c>
      <c r="C295" s="168">
        <v>8.68</v>
      </c>
      <c r="D295" s="5">
        <v>100</v>
      </c>
      <c r="E295" s="5" cm="1">
        <f t="array" aca="1" ref="E295" ca="1">SUMPRODUCT(SUMIF(INDIRECT("'"&amp;Assemblies[Assy]&amp;"'!"&amp;"C:C"),$A295,(INDIRECT("'"&amp;Assemblies[Assy]&amp;"'!"&amp;"O:O"))))</f>
        <v>0</v>
      </c>
      <c r="F295" s="5">
        <f t="shared" ca="1" si="4"/>
        <v>0</v>
      </c>
      <c r="G295" s="5">
        <v>1</v>
      </c>
      <c r="H295" s="2">
        <v>1</v>
      </c>
      <c r="I295" s="117" t="s">
        <v>2895</v>
      </c>
      <c r="J295" s="117" t="s">
        <v>2895</v>
      </c>
      <c r="K295" s="135" t="s">
        <v>1382</v>
      </c>
      <c r="L295" s="2" t="s">
        <v>1382</v>
      </c>
      <c r="M295" s="8" t="s">
        <v>1762</v>
      </c>
      <c r="N295" s="8">
        <v>45170</v>
      </c>
      <c r="O295" s="8">
        <v>45174</v>
      </c>
      <c r="P295" s="8">
        <v>45174</v>
      </c>
      <c r="Q295" s="229">
        <v>55124</v>
      </c>
      <c r="R295" s="115" t="str" cm="1">
        <f t="array" aca="1" ref="R295" ca="1">TRIM(SUBSTITUTE(_xlfn.ARRAYTOTEXT(IFERROR(CONCATENATE(SUMIF(INDIRECT("'"&amp;Assemblies[Assy]&amp;"'!"&amp;"C$5:C1000"), $A295, INDIRECT("'"&amp;Assemblies[Assy]&amp;"'!"&amp;"O$5:O1000")), "x",Assemblies[Assy],".",IF(SUMIF(INDIRECT("'"&amp;Assemblies[Assy]&amp;"'!"&amp;"C$5:C1000"), $A295, INDIRECT("'"&amp;Assemblies[Assy]&amp;"'!"&amp;"A$5:A1000"))=0,NA(),SUMIF(INDIRECT("'"&amp;Assemblies[Assy]&amp;"'!"&amp;"C$5:C1000"), $A295, INDIRECT("'"&amp;Assemblies[Assy]&amp;"'!"&amp;"A$5:A1000")))),"")), " ,", ""))</f>
        <v>,</v>
      </c>
      <c r="S295" s="56" t="s">
        <v>1382</v>
      </c>
      <c r="T295" s="2" t="s">
        <v>1382</v>
      </c>
      <c r="U295" s="2" t="s">
        <v>1382</v>
      </c>
      <c r="V295" s="2" t="s">
        <v>1382</v>
      </c>
    </row>
    <row r="296" spans="1:22">
      <c r="A296" s="133" t="s">
        <v>993</v>
      </c>
      <c r="B296" s="2" t="s">
        <v>2972</v>
      </c>
      <c r="C296" s="168">
        <v>10.36</v>
      </c>
      <c r="D296" s="5">
        <v>25</v>
      </c>
      <c r="E296" s="5" t="e" cm="1">
        <f t="array" aca="1" ref="E296" ca="1">SUMPRODUCT(SUMIF(INDIRECT("'"&amp;Assemblies[Assy]&amp;"'!"&amp;"C:C"),$A296,(INDIRECT("'"&amp;Assemblies[Assy]&amp;"'!"&amp;"O:O"))))</f>
        <v>#VALUE!</v>
      </c>
      <c r="F296" s="5" t="e">
        <f t="shared" ca="1" si="4"/>
        <v>#VALUE!</v>
      </c>
      <c r="G296" s="5">
        <v>1</v>
      </c>
      <c r="H296" s="2">
        <v>1</v>
      </c>
      <c r="I296" s="117" t="s">
        <v>2895</v>
      </c>
      <c r="J296" s="117" t="s">
        <v>2895</v>
      </c>
      <c r="K296" s="135" t="s">
        <v>1382</v>
      </c>
      <c r="L296" s="2" t="s">
        <v>1382</v>
      </c>
      <c r="M296" s="8" t="s">
        <v>1762</v>
      </c>
      <c r="N296" s="8">
        <v>45162</v>
      </c>
      <c r="O296" s="8">
        <v>45184</v>
      </c>
      <c r="P296" s="8">
        <v>45163</v>
      </c>
      <c r="Q296" s="229">
        <v>55088</v>
      </c>
      <c r="R296" s="115" t="str" cm="1">
        <f t="array" aca="1" ref="R296" ca="1">TRIM(SUBSTITUTE(_xlfn.ARRAYTOTEXT(IFERROR(CONCATENATE(SUMIF(INDIRECT("'"&amp;Assemblies[Assy]&amp;"'!"&amp;"C$5:C1000"), $A296, INDIRECT("'"&amp;Assemblies[Assy]&amp;"'!"&amp;"O$5:O1000")), "x",Assemblies[Assy],".",IF(SUMIF(INDIRECT("'"&amp;Assemblies[Assy]&amp;"'!"&amp;"C$5:C1000"), $A296, INDIRECT("'"&amp;Assemblies[Assy]&amp;"'!"&amp;"A$5:A1000"))=0,NA(),SUMIF(INDIRECT("'"&amp;Assemblies[Assy]&amp;"'!"&amp;"C$5:C1000"), $A296, INDIRECT("'"&amp;Assemblies[Assy]&amp;"'!"&amp;"A$5:A1000")))),"")), " ,", ""))</f>
        <v>,</v>
      </c>
      <c r="S296" s="56" t="s">
        <v>1382</v>
      </c>
      <c r="T296" s="2" t="s">
        <v>1382</v>
      </c>
      <c r="U296" s="2" t="s">
        <v>1382</v>
      </c>
      <c r="V296" s="2" t="s">
        <v>1382</v>
      </c>
    </row>
    <row r="297" spans="1:22">
      <c r="A297" s="133" t="s">
        <v>953</v>
      </c>
      <c r="B297" s="2" t="s">
        <v>2973</v>
      </c>
      <c r="C297" s="168">
        <v>3.82</v>
      </c>
      <c r="D297" s="5">
        <v>1</v>
      </c>
      <c r="E297" s="5" t="e" cm="1">
        <f t="array" aca="1" ref="E297" ca="1">SUMPRODUCT(SUMIF(INDIRECT("'"&amp;Assemblies[Assy]&amp;"'!"&amp;"C:C"),$A297,(INDIRECT("'"&amp;Assemblies[Assy]&amp;"'!"&amp;"O:O"))))</f>
        <v>#VALUE!</v>
      </c>
      <c r="F297" s="5" t="e">
        <f t="shared" ca="1" si="4"/>
        <v>#VALUE!</v>
      </c>
      <c r="G297" s="5">
        <v>16</v>
      </c>
      <c r="H297" s="2">
        <v>16</v>
      </c>
      <c r="I297" s="117" t="s">
        <v>2895</v>
      </c>
      <c r="J297" s="117" t="s">
        <v>2895</v>
      </c>
      <c r="K297" s="135" t="s">
        <v>1382</v>
      </c>
      <c r="L297" s="2" t="s">
        <v>1382</v>
      </c>
      <c r="M297" s="8" t="s">
        <v>1762</v>
      </c>
      <c r="N297" s="8">
        <v>45162</v>
      </c>
      <c r="O297" s="8">
        <v>45184</v>
      </c>
      <c r="P297" s="8">
        <v>45163</v>
      </c>
      <c r="Q297" s="229">
        <v>55088</v>
      </c>
      <c r="R297" s="115" t="str" cm="1">
        <f t="array" aca="1" ref="R297" ca="1">TRIM(SUBSTITUTE(_xlfn.ARRAYTOTEXT(IFERROR(CONCATENATE(SUMIF(INDIRECT("'"&amp;Assemblies[Assy]&amp;"'!"&amp;"C$5:C1000"), $A297, INDIRECT("'"&amp;Assemblies[Assy]&amp;"'!"&amp;"O$5:O1000")), "x",Assemblies[Assy],".",IF(SUMIF(INDIRECT("'"&amp;Assemblies[Assy]&amp;"'!"&amp;"C$5:C1000"), $A297, INDIRECT("'"&amp;Assemblies[Assy]&amp;"'!"&amp;"A$5:A1000"))=0,NA(),SUMIF(INDIRECT("'"&amp;Assemblies[Assy]&amp;"'!"&amp;"C$5:C1000"), $A297, INDIRECT("'"&amp;Assemblies[Assy]&amp;"'!"&amp;"A$5:A1000")))),"")), " ,", ""))</f>
        <v>,</v>
      </c>
      <c r="S297" s="56" t="s">
        <v>1382</v>
      </c>
      <c r="T297" s="2" t="s">
        <v>1382</v>
      </c>
      <c r="U297" s="2" t="s">
        <v>1382</v>
      </c>
      <c r="V297" s="2" t="s">
        <v>1382</v>
      </c>
    </row>
    <row r="298" spans="1:22">
      <c r="A298" s="133" t="s">
        <v>904</v>
      </c>
      <c r="B298" s="2" t="s">
        <v>2974</v>
      </c>
      <c r="C298" s="205">
        <v>12.35</v>
      </c>
      <c r="D298" s="5">
        <v>10</v>
      </c>
      <c r="E298" s="5" t="e" cm="1">
        <f t="array" aca="1" ref="E298" ca="1">SUMPRODUCT(SUMIF(INDIRECT("'"&amp;Assemblies[Assy]&amp;"'!"&amp;"C:C"),$A298,(INDIRECT("'"&amp;Assemblies[Assy]&amp;"'!"&amp;"O:O"))))</f>
        <v>#VALUE!</v>
      </c>
      <c r="F298" s="5" t="e">
        <f t="shared" ca="1" si="4"/>
        <v>#VALUE!</v>
      </c>
      <c r="G298" s="5">
        <v>2</v>
      </c>
      <c r="H298" s="2">
        <v>2</v>
      </c>
      <c r="I298" s="117" t="s">
        <v>2895</v>
      </c>
      <c r="J298" s="117" t="s">
        <v>2895</v>
      </c>
      <c r="M298" s="8" t="s">
        <v>1762</v>
      </c>
      <c r="N298" s="8">
        <v>45229</v>
      </c>
      <c r="O298" s="8">
        <v>45230</v>
      </c>
      <c r="P298" s="8">
        <v>45230</v>
      </c>
      <c r="Q298" s="229">
        <v>55262</v>
      </c>
      <c r="R298" s="115" t="str" cm="1">
        <f t="array" aca="1" ref="R298" ca="1">TRIM(SUBSTITUTE(_xlfn.ARRAYTOTEXT(IFERROR(CONCATENATE(SUMIF(INDIRECT("'"&amp;Assemblies!$B$2:$B$152&amp;"'!"&amp;"C$5:C1000"), $A298, INDIRECT("'"&amp;Assemblies!$B$2:$B$152&amp;"'!"&amp;"O$5:O1000")), "x",Assemblies!$B$2:$B$152,".",IF(SUMIF(INDIRECT("'"&amp;Assemblies!$B$2:$B$152&amp;"'!"&amp;"C$5:C1000"), $A298, INDIRECT("'"&amp;Assemblies!$B$2:$B$152&amp;"'!"&amp;"A$5:A1000"))=0,NA(),SUMIF(INDIRECT("'"&amp;Assemblies!$B$2:$B$152&amp;"'!"&amp;"C$5:C1000"), $A298, INDIRECT("'"&amp;Assemblies!$B$2:$B$152&amp;"'!"&amp;"A$5:A1000")))),"")), " ,", ""))</f>
        <v>,</v>
      </c>
      <c r="S298" s="56" t="s">
        <v>1382</v>
      </c>
      <c r="T298" s="2" t="s">
        <v>1382</v>
      </c>
      <c r="U298" s="2" t="s">
        <v>1382</v>
      </c>
      <c r="V298" s="2" t="s">
        <v>1382</v>
      </c>
    </row>
    <row r="299" spans="1:22">
      <c r="A299" s="133" t="s">
        <v>1028</v>
      </c>
      <c r="B299" s="2" t="s">
        <v>2975</v>
      </c>
      <c r="C299" s="205">
        <v>6.83</v>
      </c>
      <c r="D299" s="5">
        <v>5</v>
      </c>
      <c r="E299" s="5" t="e" cm="1">
        <f t="array" aca="1" ref="E299" ca="1">SUMPRODUCT(SUMIF(INDIRECT("'"&amp;Assemblies[Assy]&amp;"'!"&amp;"C:C"),$A299,(INDIRECT("'"&amp;Assemblies[Assy]&amp;"'!"&amp;"O:O"))))</f>
        <v>#VALUE!</v>
      </c>
      <c r="F299" s="5" t="e">
        <f t="shared" ca="1" si="4"/>
        <v>#VALUE!</v>
      </c>
      <c r="G299" s="5">
        <v>2</v>
      </c>
      <c r="H299" s="2">
        <v>2</v>
      </c>
      <c r="I299" s="117" t="s">
        <v>2895</v>
      </c>
      <c r="J299" s="117" t="s">
        <v>2895</v>
      </c>
      <c r="M299" s="8" t="s">
        <v>1762</v>
      </c>
      <c r="N299" s="8">
        <v>45229</v>
      </c>
      <c r="O299" s="8">
        <v>45230</v>
      </c>
      <c r="P299" s="8">
        <v>45230</v>
      </c>
      <c r="Q299" s="229">
        <v>55262</v>
      </c>
      <c r="R299" s="115" t="str" cm="1">
        <f t="array" aca="1" ref="R299" ca="1">TRIM(SUBSTITUTE(_xlfn.ARRAYTOTEXT(IFERROR(CONCATENATE(SUMIF(INDIRECT("'"&amp;Assemblies!$B$2:$B$152&amp;"'!"&amp;"C$5:C1000"), $A299, INDIRECT("'"&amp;Assemblies!$B$2:$B$152&amp;"'!"&amp;"O$5:O1000")), "x",Assemblies!$B$2:$B$152,".",IF(SUMIF(INDIRECT("'"&amp;Assemblies!$B$2:$B$152&amp;"'!"&amp;"C$5:C1000"), $A299, INDIRECT("'"&amp;Assemblies!$B$2:$B$152&amp;"'!"&amp;"A$5:A1000"))=0,NA(),SUMIF(INDIRECT("'"&amp;Assemblies!$B$2:$B$152&amp;"'!"&amp;"C$5:C1000"), $A299, INDIRECT("'"&amp;Assemblies!$B$2:$B$152&amp;"'!"&amp;"A$5:A1000")))),"")), " ,", ""))</f>
        <v>,</v>
      </c>
      <c r="S299" s="56" t="s">
        <v>1382</v>
      </c>
      <c r="T299" s="2" t="s">
        <v>1382</v>
      </c>
      <c r="U299" s="2" t="s">
        <v>1382</v>
      </c>
      <c r="V299" s="2" t="s">
        <v>1382</v>
      </c>
    </row>
    <row r="300" spans="1:22">
      <c r="A300" s="133" t="s">
        <v>943</v>
      </c>
      <c r="B300" s="2" t="s">
        <v>2976</v>
      </c>
      <c r="C300" s="168">
        <v>10.58</v>
      </c>
      <c r="D300" s="5">
        <v>50</v>
      </c>
      <c r="E300" s="5" t="e" cm="1">
        <f t="array" aca="1" ref="E300" ca="1">SUMPRODUCT(SUMIF(INDIRECT("'"&amp;Assemblies[Assy]&amp;"'!"&amp;"C:C"),$A300,(INDIRECT("'"&amp;Assemblies[Assy]&amp;"'!"&amp;"O:O"))))</f>
        <v>#VALUE!</v>
      </c>
      <c r="F300" s="5" t="e">
        <f t="shared" ca="1" si="4"/>
        <v>#VALUE!</v>
      </c>
      <c r="G300" s="5">
        <v>1</v>
      </c>
      <c r="H300" s="2">
        <v>1</v>
      </c>
      <c r="I300" s="117" t="s">
        <v>2895</v>
      </c>
      <c r="J300" s="117" t="s">
        <v>2895</v>
      </c>
      <c r="K300" s="135" t="s">
        <v>1382</v>
      </c>
      <c r="L300" s="2" t="s">
        <v>1382</v>
      </c>
      <c r="M300" s="8" t="s">
        <v>1762</v>
      </c>
      <c r="N300" s="8">
        <v>45162</v>
      </c>
      <c r="O300" s="8">
        <v>45184</v>
      </c>
      <c r="P300" s="8">
        <v>45163</v>
      </c>
      <c r="Q300" s="229">
        <v>55088</v>
      </c>
      <c r="R300" s="115" t="str" cm="1">
        <f t="array" aca="1" ref="R300" ca="1">TRIM(SUBSTITUTE(_xlfn.ARRAYTOTEXT(IFERROR(CONCATENATE(SUMIF(INDIRECT("'"&amp;Assemblies[Assy]&amp;"'!"&amp;"C$5:C1000"), $A300, INDIRECT("'"&amp;Assemblies[Assy]&amp;"'!"&amp;"O$5:O1000")), "x",Assemblies[Assy],".",IF(SUMIF(INDIRECT("'"&amp;Assemblies[Assy]&amp;"'!"&amp;"C$5:C1000"), $A300, INDIRECT("'"&amp;Assemblies[Assy]&amp;"'!"&amp;"A$5:A1000"))=0,NA(),SUMIF(INDIRECT("'"&amp;Assemblies[Assy]&amp;"'!"&amp;"C$5:C1000"), $A300, INDIRECT("'"&amp;Assemblies[Assy]&amp;"'!"&amp;"A$5:A1000")))),"")), " ,", ""))</f>
        <v>,</v>
      </c>
      <c r="S300" s="56" t="s">
        <v>1382</v>
      </c>
      <c r="T300" s="2" t="s">
        <v>1382</v>
      </c>
      <c r="U300" s="2" t="s">
        <v>1382</v>
      </c>
      <c r="V300" s="2" t="s">
        <v>1382</v>
      </c>
    </row>
    <row r="301" spans="1:22">
      <c r="A301" s="133" t="s">
        <v>1075</v>
      </c>
      <c r="B301" s="2" t="s">
        <v>2977</v>
      </c>
      <c r="C301" s="204">
        <v>13.62</v>
      </c>
      <c r="D301" s="5">
        <v>25</v>
      </c>
      <c r="E301" s="5" t="e" cm="1">
        <f t="array" aca="1" ref="E301" ca="1">SUMPRODUCT(SUMIF(INDIRECT("'"&amp;Assemblies[Assy]&amp;"'!"&amp;"C:C"),$A301,(INDIRECT("'"&amp;Assemblies[Assy]&amp;"'!"&amp;"O:O"))))</f>
        <v>#VALUE!</v>
      </c>
      <c r="F301" s="5" t="e">
        <f t="shared" ca="1" si="4"/>
        <v>#VALUE!</v>
      </c>
      <c r="G301" s="5">
        <v>6</v>
      </c>
      <c r="H301" s="2">
        <v>6</v>
      </c>
      <c r="I301" s="117" t="s">
        <v>2895</v>
      </c>
      <c r="J301" s="117" t="s">
        <v>2895</v>
      </c>
      <c r="K301" s="135" t="s">
        <v>1382</v>
      </c>
      <c r="L301" s="2" t="s">
        <v>2978</v>
      </c>
      <c r="M301" s="8" t="s">
        <v>1762</v>
      </c>
      <c r="N301" s="8">
        <v>45162</v>
      </c>
      <c r="O301" s="8">
        <v>45189</v>
      </c>
      <c r="P301" s="8">
        <v>45189</v>
      </c>
      <c r="Q301" s="229" t="s">
        <v>2979</v>
      </c>
      <c r="R301" s="115" t="str" cm="1">
        <f t="array" aca="1" ref="R301" ca="1">TRIM(SUBSTITUTE(_xlfn.ARRAYTOTEXT(IFERROR(CONCATENATE(SUMIF(INDIRECT("'"&amp;Assemblies[Assy]&amp;"'!"&amp;"C$5:C1000"), $A301, INDIRECT("'"&amp;Assemblies[Assy]&amp;"'!"&amp;"O$5:O1000")), "x",Assemblies[Assy],".",IF(SUMIF(INDIRECT("'"&amp;Assemblies[Assy]&amp;"'!"&amp;"C$5:C1000"), $A301, INDIRECT("'"&amp;Assemblies[Assy]&amp;"'!"&amp;"A$5:A1000"))=0,NA(),SUMIF(INDIRECT("'"&amp;Assemblies[Assy]&amp;"'!"&amp;"C$5:C1000"), $A301, INDIRECT("'"&amp;Assemblies[Assy]&amp;"'!"&amp;"A$5:A1000")))),"")), " ,", ""))</f>
        <v>,</v>
      </c>
      <c r="S301" s="56" t="s">
        <v>1382</v>
      </c>
      <c r="T301" s="2" t="s">
        <v>1382</v>
      </c>
      <c r="U301" s="2" t="s">
        <v>1382</v>
      </c>
      <c r="V301" s="2" t="s">
        <v>1382</v>
      </c>
    </row>
    <row r="302" spans="1:22" ht="12.75" customHeight="1">
      <c r="A302" s="133" t="s">
        <v>1296</v>
      </c>
      <c r="B302" s="2" t="s">
        <v>2980</v>
      </c>
      <c r="C302" s="168">
        <v>13.79</v>
      </c>
      <c r="D302" s="5">
        <v>100</v>
      </c>
      <c r="E302" s="5" t="e" cm="1">
        <f t="array" aca="1" ref="E302" ca="1">SUMPRODUCT(SUMIF(INDIRECT("'"&amp;Assemblies[Assy]&amp;"'!"&amp;"C:C"),$A302,(INDIRECT("'"&amp;Assemblies[Assy]&amp;"'!"&amp;"O:O"))))</f>
        <v>#VALUE!</v>
      </c>
      <c r="F302" s="5" t="e">
        <f t="shared" ca="1" si="4"/>
        <v>#VALUE!</v>
      </c>
      <c r="G302" s="5">
        <v>1</v>
      </c>
      <c r="H302" s="2">
        <v>1</v>
      </c>
      <c r="I302" s="117" t="s">
        <v>2895</v>
      </c>
      <c r="J302" s="117" t="s">
        <v>2895</v>
      </c>
      <c r="K302" s="135" t="s">
        <v>1382</v>
      </c>
      <c r="L302" s="2" t="s">
        <v>1382</v>
      </c>
      <c r="M302" s="8" t="s">
        <v>1762</v>
      </c>
      <c r="N302" s="8">
        <v>45162</v>
      </c>
      <c r="O302" s="8">
        <v>45184</v>
      </c>
      <c r="P302" s="8">
        <v>45163</v>
      </c>
      <c r="Q302" s="229">
        <v>55088</v>
      </c>
      <c r="R302" s="115" t="str" cm="1">
        <f t="array" aca="1" ref="R302" ca="1">TRIM(SUBSTITUTE(_xlfn.ARRAYTOTEXT(IFERROR(CONCATENATE(SUMIF(INDIRECT("'"&amp;Assemblies[Assy]&amp;"'!"&amp;"C$5:C1000"), $A302, INDIRECT("'"&amp;Assemblies[Assy]&amp;"'!"&amp;"O$5:O1000")), "x",Assemblies[Assy],".",IF(SUMIF(INDIRECT("'"&amp;Assemblies[Assy]&amp;"'!"&amp;"C$5:C1000"), $A302, INDIRECT("'"&amp;Assemblies[Assy]&amp;"'!"&amp;"A$5:A1000"))=0,NA(),SUMIF(INDIRECT("'"&amp;Assemblies[Assy]&amp;"'!"&amp;"C$5:C1000"), $A302, INDIRECT("'"&amp;Assemblies[Assy]&amp;"'!"&amp;"A$5:A1000")))),"")), " ,", ""))</f>
        <v>,</v>
      </c>
      <c r="S302" s="56" t="s">
        <v>1382</v>
      </c>
      <c r="T302" s="2" t="s">
        <v>1382</v>
      </c>
      <c r="U302" s="2" t="s">
        <v>1382</v>
      </c>
      <c r="V302" s="2" t="s">
        <v>1382</v>
      </c>
    </row>
    <row r="303" spans="1:22">
      <c r="A303" s="133" t="s">
        <v>1286</v>
      </c>
      <c r="B303" s="2" t="s">
        <v>2981</v>
      </c>
      <c r="C303" s="168">
        <v>7.07</v>
      </c>
      <c r="D303" s="5">
        <v>50</v>
      </c>
      <c r="E303" s="5" t="e" cm="1">
        <f t="array" aca="1" ref="E303" ca="1">SUMPRODUCT(SUMIF(INDIRECT("'"&amp;Assemblies[Assy]&amp;"'!"&amp;"C:C"),$A303,(INDIRECT("'"&amp;Assemblies[Assy]&amp;"'!"&amp;"O:O"))))</f>
        <v>#VALUE!</v>
      </c>
      <c r="F303" s="5" t="e">
        <f t="shared" ca="1" si="4"/>
        <v>#VALUE!</v>
      </c>
      <c r="G303" s="5">
        <v>1</v>
      </c>
      <c r="H303" s="2">
        <v>1</v>
      </c>
      <c r="I303" s="117" t="s">
        <v>2895</v>
      </c>
      <c r="J303" s="117" t="s">
        <v>2895</v>
      </c>
      <c r="K303" s="135" t="s">
        <v>1382</v>
      </c>
      <c r="L303" s="2" t="s">
        <v>1382</v>
      </c>
      <c r="M303" s="8" t="s">
        <v>1762</v>
      </c>
      <c r="N303" s="8">
        <v>45162</v>
      </c>
      <c r="O303" s="8">
        <v>45184</v>
      </c>
      <c r="P303" s="8">
        <v>45163</v>
      </c>
      <c r="Q303" s="229">
        <v>55088</v>
      </c>
      <c r="R303" s="115" t="str" cm="1">
        <f t="array" aca="1" ref="R303" ca="1">TRIM(SUBSTITUTE(_xlfn.ARRAYTOTEXT(IFERROR(CONCATENATE(SUMIF(INDIRECT("'"&amp;Assemblies[Assy]&amp;"'!"&amp;"C$5:C1000"), $A303, INDIRECT("'"&amp;Assemblies[Assy]&amp;"'!"&amp;"O$5:O1000")), "x",Assemblies[Assy],".",IF(SUMIF(INDIRECT("'"&amp;Assemblies[Assy]&amp;"'!"&amp;"C$5:C1000"), $A303, INDIRECT("'"&amp;Assemblies[Assy]&amp;"'!"&amp;"A$5:A1000"))=0,NA(),SUMIF(INDIRECT("'"&amp;Assemblies[Assy]&amp;"'!"&amp;"C$5:C1000"), $A303, INDIRECT("'"&amp;Assemblies[Assy]&amp;"'!"&amp;"A$5:A1000")))),"")), " ,", ""))</f>
        <v>,</v>
      </c>
      <c r="S303" s="56" t="s">
        <v>1382</v>
      </c>
      <c r="T303" s="2" t="s">
        <v>1382</v>
      </c>
      <c r="U303" s="2" t="s">
        <v>1382</v>
      </c>
      <c r="V303" s="2" t="s">
        <v>1382</v>
      </c>
    </row>
    <row r="304" spans="1:22">
      <c r="A304" s="133" t="s">
        <v>698</v>
      </c>
      <c r="B304" s="189" t="s">
        <v>2982</v>
      </c>
      <c r="C304" s="168">
        <v>12.41</v>
      </c>
      <c r="D304" s="5">
        <v>50</v>
      </c>
      <c r="E304" s="5" t="e" cm="1">
        <f t="array" aca="1" ref="E304" ca="1">SUMPRODUCT(SUMIF(INDIRECT("'"&amp;Assemblies[Assy]&amp;"'!"&amp;"C:C"),$A304,(INDIRECT("'"&amp;Assemblies[Assy]&amp;"'!"&amp;"O:O"))))</f>
        <v>#VALUE!</v>
      </c>
      <c r="F304" s="5" t="e">
        <f t="shared" ca="1" si="4"/>
        <v>#VALUE!</v>
      </c>
      <c r="G304" s="5">
        <v>1</v>
      </c>
      <c r="H304" s="2">
        <v>1</v>
      </c>
      <c r="I304" s="117" t="s">
        <v>2895</v>
      </c>
      <c r="J304" s="117" t="s">
        <v>2895</v>
      </c>
      <c r="K304" s="135" t="s">
        <v>1382</v>
      </c>
      <c r="L304" s="2" t="s">
        <v>1382</v>
      </c>
      <c r="M304" s="8" t="s">
        <v>1762</v>
      </c>
      <c r="N304" s="8">
        <v>45162</v>
      </c>
      <c r="O304" s="8">
        <v>45184</v>
      </c>
      <c r="P304" s="8">
        <v>45163</v>
      </c>
      <c r="Q304" s="229">
        <v>55088</v>
      </c>
      <c r="R304" s="115" t="str" cm="1">
        <f t="array" aca="1" ref="R304" ca="1">TRIM(SUBSTITUTE(_xlfn.ARRAYTOTEXT(IFERROR(CONCATENATE(SUMIF(INDIRECT("'"&amp;Assemblies[Assy]&amp;"'!"&amp;"C$5:C1000"), $A304, INDIRECT("'"&amp;Assemblies[Assy]&amp;"'!"&amp;"O$5:O1000")), "x",Assemblies[Assy],".",IF(SUMIF(INDIRECT("'"&amp;Assemblies[Assy]&amp;"'!"&amp;"C$5:C1000"), $A304, INDIRECT("'"&amp;Assemblies[Assy]&amp;"'!"&amp;"A$5:A1000"))=0,NA(),SUMIF(INDIRECT("'"&amp;Assemblies[Assy]&amp;"'!"&amp;"C$5:C1000"), $A304, INDIRECT("'"&amp;Assemblies[Assy]&amp;"'!"&amp;"A$5:A1000")))),"")), " ,", ""))</f>
        <v>,</v>
      </c>
      <c r="S304" s="56" t="s">
        <v>1382</v>
      </c>
      <c r="T304" s="2" t="s">
        <v>1382</v>
      </c>
      <c r="U304" s="2" t="s">
        <v>1382</v>
      </c>
      <c r="V304" s="2" t="s">
        <v>1382</v>
      </c>
    </row>
    <row r="305" spans="1:22">
      <c r="A305" s="133" t="s">
        <v>1297</v>
      </c>
      <c r="B305" s="2" t="s">
        <v>2983</v>
      </c>
      <c r="C305" s="168">
        <v>11.62</v>
      </c>
      <c r="D305" s="5">
        <v>25</v>
      </c>
      <c r="E305" s="5" t="e" cm="1">
        <f t="array" aca="1" ref="E305" ca="1">SUMPRODUCT(SUMIF(INDIRECT("'"&amp;Assemblies[Assy]&amp;"'!"&amp;"C:C"),$A305,(INDIRECT("'"&amp;Assemblies[Assy]&amp;"'!"&amp;"O:O"))))</f>
        <v>#VALUE!</v>
      </c>
      <c r="F305" s="5" t="e">
        <f t="shared" ca="1" si="4"/>
        <v>#VALUE!</v>
      </c>
      <c r="G305" s="5">
        <v>1</v>
      </c>
      <c r="H305" s="2">
        <v>1</v>
      </c>
      <c r="I305" s="117" t="s">
        <v>2895</v>
      </c>
      <c r="J305" s="117" t="s">
        <v>2895</v>
      </c>
      <c r="K305" s="135" t="s">
        <v>1382</v>
      </c>
      <c r="L305" s="2" t="s">
        <v>1382</v>
      </c>
      <c r="M305" s="8" t="s">
        <v>1762</v>
      </c>
      <c r="N305" s="8">
        <v>45162</v>
      </c>
      <c r="O305" s="8">
        <v>45184</v>
      </c>
      <c r="P305" s="8">
        <v>45163</v>
      </c>
      <c r="Q305" s="229">
        <v>55088</v>
      </c>
      <c r="R305" s="115" t="str" cm="1">
        <f t="array" aca="1" ref="R305" ca="1">TRIM(SUBSTITUTE(_xlfn.ARRAYTOTEXT(IFERROR(CONCATENATE(SUMIF(INDIRECT("'"&amp;Assemblies[Assy]&amp;"'!"&amp;"C$5:C1000"), $A305, INDIRECT("'"&amp;Assemblies[Assy]&amp;"'!"&amp;"O$5:O1000")), "x",Assemblies[Assy],".",IF(SUMIF(INDIRECT("'"&amp;Assemblies[Assy]&amp;"'!"&amp;"C$5:C1000"), $A305, INDIRECT("'"&amp;Assemblies[Assy]&amp;"'!"&amp;"A$5:A1000"))=0,NA(),SUMIF(INDIRECT("'"&amp;Assemblies[Assy]&amp;"'!"&amp;"C$5:C1000"), $A305, INDIRECT("'"&amp;Assemblies[Assy]&amp;"'!"&amp;"A$5:A1000")))),"")), " ,", ""))</f>
        <v>,</v>
      </c>
      <c r="S305" s="56" t="s">
        <v>1382</v>
      </c>
      <c r="T305" s="2" t="s">
        <v>1382</v>
      </c>
      <c r="U305" s="2" t="s">
        <v>1382</v>
      </c>
      <c r="V305" s="2" t="s">
        <v>1382</v>
      </c>
    </row>
    <row r="306" spans="1:22">
      <c r="A306" s="133" t="s">
        <v>2984</v>
      </c>
      <c r="B306" s="2" t="s">
        <v>2985</v>
      </c>
      <c r="C306" s="168">
        <v>10.41</v>
      </c>
      <c r="D306" s="5">
        <v>10</v>
      </c>
      <c r="E306" s="5" cm="1">
        <f t="array" aca="1" ref="E306" ca="1">SUMPRODUCT(SUMIF(INDIRECT("'"&amp;Assemblies[Assy]&amp;"'!"&amp;"C:C"),$A306,(INDIRECT("'"&amp;Assemblies[Assy]&amp;"'!"&amp;"O:O"))))</f>
        <v>0</v>
      </c>
      <c r="F306" s="5">
        <f t="shared" ca="1" si="4"/>
        <v>0</v>
      </c>
      <c r="G306" s="5">
        <v>2</v>
      </c>
      <c r="H306" s="2">
        <v>2</v>
      </c>
      <c r="I306" s="117" t="s">
        <v>2895</v>
      </c>
      <c r="J306" s="117" t="s">
        <v>2895</v>
      </c>
      <c r="K306" s="135" t="s">
        <v>1382</v>
      </c>
      <c r="L306" s="2" t="s">
        <v>1382</v>
      </c>
      <c r="M306" s="8" t="s">
        <v>1762</v>
      </c>
      <c r="N306" s="8">
        <v>45162</v>
      </c>
      <c r="O306" s="8">
        <v>45184</v>
      </c>
      <c r="P306" s="8">
        <v>45163</v>
      </c>
      <c r="Q306" s="229">
        <v>55088</v>
      </c>
      <c r="R306" s="115" t="str" cm="1">
        <f t="array" aca="1" ref="R306" ca="1">TRIM(SUBSTITUTE(_xlfn.ARRAYTOTEXT(IFERROR(CONCATENATE(SUMIF(INDIRECT("'"&amp;Assemblies[Assy]&amp;"'!"&amp;"C$5:C1000"), $A306, INDIRECT("'"&amp;Assemblies[Assy]&amp;"'!"&amp;"O$5:O1000")), "x",Assemblies[Assy],".",IF(SUMIF(INDIRECT("'"&amp;Assemblies[Assy]&amp;"'!"&amp;"C$5:C1000"), $A306, INDIRECT("'"&amp;Assemblies[Assy]&amp;"'!"&amp;"A$5:A1000"))=0,NA(),SUMIF(INDIRECT("'"&amp;Assemblies[Assy]&amp;"'!"&amp;"C$5:C1000"), $A306, INDIRECT("'"&amp;Assemblies[Assy]&amp;"'!"&amp;"A$5:A1000")))),"")), " ,", ""))</f>
        <v>,</v>
      </c>
      <c r="S306" s="56" t="s">
        <v>1382</v>
      </c>
      <c r="T306" s="2" t="s">
        <v>1382</v>
      </c>
      <c r="U306" s="2" t="s">
        <v>1382</v>
      </c>
      <c r="V306" s="2" t="s">
        <v>1382</v>
      </c>
    </row>
    <row r="307" spans="1:22">
      <c r="A307" s="133" t="s">
        <v>889</v>
      </c>
      <c r="B307" s="2" t="s">
        <v>2986</v>
      </c>
      <c r="C307" s="168">
        <v>13.02</v>
      </c>
      <c r="D307" s="5">
        <v>10</v>
      </c>
      <c r="E307" s="5" t="e" cm="1">
        <f t="array" aca="1" ref="E307" ca="1">SUMPRODUCT(SUMIF(INDIRECT("'"&amp;Assemblies[Assy]&amp;"'!"&amp;"C:C"),$A307,(INDIRECT("'"&amp;Assemblies[Assy]&amp;"'!"&amp;"O:O"))))</f>
        <v>#VALUE!</v>
      </c>
      <c r="F307" s="5" t="e">
        <f t="shared" ca="1" si="4"/>
        <v>#VALUE!</v>
      </c>
      <c r="G307" s="5">
        <v>4</v>
      </c>
      <c r="H307" s="2">
        <v>4</v>
      </c>
      <c r="I307" s="117" t="s">
        <v>2895</v>
      </c>
      <c r="J307" s="117" t="s">
        <v>2895</v>
      </c>
      <c r="K307" s="135" t="s">
        <v>1382</v>
      </c>
      <c r="L307" s="2" t="s">
        <v>1382</v>
      </c>
      <c r="M307" s="8" t="s">
        <v>1762</v>
      </c>
      <c r="N307" s="8">
        <v>45162</v>
      </c>
      <c r="O307" s="8">
        <v>45189</v>
      </c>
      <c r="P307" s="8">
        <v>45189</v>
      </c>
      <c r="Q307" s="229" t="s">
        <v>2979</v>
      </c>
      <c r="R307" s="115" t="str" cm="1">
        <f t="array" aca="1" ref="R307" ca="1">TRIM(SUBSTITUTE(_xlfn.ARRAYTOTEXT(IFERROR(CONCATENATE(SUMIF(INDIRECT("'"&amp;Assemblies[Assy]&amp;"'!"&amp;"C$5:C1000"), $A307, INDIRECT("'"&amp;Assemblies[Assy]&amp;"'!"&amp;"O$5:O1000")), "x",Assemblies[Assy],".",IF(SUMIF(INDIRECT("'"&amp;Assemblies[Assy]&amp;"'!"&amp;"C$5:C1000"), $A307, INDIRECT("'"&amp;Assemblies[Assy]&amp;"'!"&amp;"A$5:A1000"))=0,NA(),SUMIF(INDIRECT("'"&amp;Assemblies[Assy]&amp;"'!"&amp;"C$5:C1000"), $A307, INDIRECT("'"&amp;Assemblies[Assy]&amp;"'!"&amp;"A$5:A1000")))),"")), " ,", ""))</f>
        <v>,</v>
      </c>
      <c r="S307" s="56" t="s">
        <v>1382</v>
      </c>
      <c r="T307" s="2" t="s">
        <v>1382</v>
      </c>
      <c r="U307" s="2" t="s">
        <v>1382</v>
      </c>
      <c r="V307" s="2" t="s">
        <v>1382</v>
      </c>
    </row>
    <row r="308" spans="1:22">
      <c r="A308" s="133" t="s">
        <v>1354</v>
      </c>
      <c r="B308" s="2" t="s">
        <v>2987</v>
      </c>
      <c r="C308" s="203">
        <v>17.350000000000001</v>
      </c>
      <c r="D308" s="5">
        <v>10</v>
      </c>
      <c r="E308" s="5" t="e" cm="1">
        <f t="array" aca="1" ref="E308" ca="1">SUMPRODUCT(SUMIF(INDIRECT("'"&amp;Assemblies[Assy]&amp;"'!"&amp;"C:C"),$A308,(INDIRECT("'"&amp;Assemblies[Assy]&amp;"'!"&amp;"O:O"))))</f>
        <v>#VALUE!</v>
      </c>
      <c r="F308" s="5" t="e">
        <f t="shared" ca="1" si="4"/>
        <v>#VALUE!</v>
      </c>
      <c r="G308" s="5">
        <v>1</v>
      </c>
      <c r="H308" s="2">
        <v>1</v>
      </c>
      <c r="I308" s="117" t="s">
        <v>2895</v>
      </c>
      <c r="J308" s="117" t="s">
        <v>2895</v>
      </c>
      <c r="K308" s="135" t="s">
        <v>1382</v>
      </c>
      <c r="L308" s="2" t="s">
        <v>2958</v>
      </c>
      <c r="M308" s="8" t="s">
        <v>1762</v>
      </c>
      <c r="N308" s="8">
        <v>45162</v>
      </c>
      <c r="O308" s="8">
        <v>45184</v>
      </c>
      <c r="P308" s="8">
        <v>45163</v>
      </c>
      <c r="Q308" s="229">
        <v>55088</v>
      </c>
      <c r="R308" s="115" t="str" cm="1">
        <f t="array" aca="1" ref="R308" ca="1">TRIM(SUBSTITUTE(_xlfn.ARRAYTOTEXT(IFERROR(CONCATENATE(SUMIF(INDIRECT("'"&amp;Assemblies[Assy]&amp;"'!"&amp;"C$5:C1000"), $A308, INDIRECT("'"&amp;Assemblies[Assy]&amp;"'!"&amp;"O$5:O1000")), "x",Assemblies[Assy],".",IF(SUMIF(INDIRECT("'"&amp;Assemblies[Assy]&amp;"'!"&amp;"C$5:C1000"), $A308, INDIRECT("'"&amp;Assemblies[Assy]&amp;"'!"&amp;"A$5:A1000"))=0,NA(),SUMIF(INDIRECT("'"&amp;Assemblies[Assy]&amp;"'!"&amp;"C$5:C1000"), $A308, INDIRECT("'"&amp;Assemblies[Assy]&amp;"'!"&amp;"A$5:A1000")))),"")), " ,", ""))</f>
        <v>,</v>
      </c>
      <c r="S308" s="56" t="s">
        <v>1382</v>
      </c>
      <c r="T308" s="2" t="s">
        <v>1382</v>
      </c>
      <c r="U308" s="2" t="s">
        <v>1382</v>
      </c>
      <c r="V308" s="2" t="s">
        <v>1382</v>
      </c>
    </row>
    <row r="309" spans="1:22">
      <c r="A309" s="133" t="s">
        <v>263</v>
      </c>
      <c r="B309" s="2" t="s">
        <v>2988</v>
      </c>
      <c r="C309" s="203">
        <v>10.57</v>
      </c>
      <c r="D309" s="5">
        <v>10</v>
      </c>
      <c r="E309" s="5" t="e" cm="1">
        <f t="array" aca="1" ref="E309" ca="1">SUMPRODUCT(SUMIF(INDIRECT("'"&amp;Assemblies[Assy]&amp;"'!"&amp;"C:C"),$A309,(INDIRECT("'"&amp;Assemblies[Assy]&amp;"'!"&amp;"O:O"))))</f>
        <v>#VALUE!</v>
      </c>
      <c r="F309" s="5" t="e">
        <f t="shared" ca="1" si="4"/>
        <v>#VALUE!</v>
      </c>
      <c r="G309" s="5">
        <v>12</v>
      </c>
      <c r="H309" s="2">
        <v>12</v>
      </c>
      <c r="I309" s="117" t="s">
        <v>2895</v>
      </c>
      <c r="J309" s="117" t="s">
        <v>2895</v>
      </c>
      <c r="K309" s="135" t="s">
        <v>1382</v>
      </c>
      <c r="L309" s="2" t="s">
        <v>2958</v>
      </c>
      <c r="M309" s="8" t="s">
        <v>1762</v>
      </c>
      <c r="N309" s="8">
        <v>45162</v>
      </c>
      <c r="O309" s="8">
        <v>45184</v>
      </c>
      <c r="P309" s="8">
        <v>45163</v>
      </c>
      <c r="Q309" s="229">
        <v>55088</v>
      </c>
      <c r="R309" s="115" t="str" cm="1">
        <f t="array" aca="1" ref="R309" ca="1">TRIM(SUBSTITUTE(_xlfn.ARRAYTOTEXT(IFERROR(CONCATENATE(SUMIF(INDIRECT("'"&amp;Assemblies[Assy]&amp;"'!"&amp;"C$5:C1000"), $A309, INDIRECT("'"&amp;Assemblies[Assy]&amp;"'!"&amp;"O$5:O1000")), "x",Assemblies[Assy],".",IF(SUMIF(INDIRECT("'"&amp;Assemblies[Assy]&amp;"'!"&amp;"C$5:C1000"), $A309, INDIRECT("'"&amp;Assemblies[Assy]&amp;"'!"&amp;"A$5:A1000"))=0,NA(),SUMIF(INDIRECT("'"&amp;Assemblies[Assy]&amp;"'!"&amp;"C$5:C1000"), $A309, INDIRECT("'"&amp;Assemblies[Assy]&amp;"'!"&amp;"A$5:A1000")))),"")), " ,", ""))</f>
        <v>,</v>
      </c>
      <c r="S309" s="56" t="s">
        <v>1382</v>
      </c>
      <c r="T309" s="2" t="s">
        <v>1382</v>
      </c>
      <c r="U309" s="2" t="s">
        <v>1382</v>
      </c>
      <c r="V309" s="2" t="s">
        <v>1382</v>
      </c>
    </row>
    <row r="310" spans="1:22">
      <c r="A310" s="133" t="s">
        <v>413</v>
      </c>
      <c r="B310" s="2" t="s">
        <v>2989</v>
      </c>
      <c r="C310" s="203">
        <v>12.91</v>
      </c>
      <c r="D310" s="5">
        <v>10</v>
      </c>
      <c r="E310" s="5" t="e" cm="1">
        <f t="array" aca="1" ref="E310" ca="1">SUMPRODUCT(SUMIF(INDIRECT("'"&amp;Assemblies[Assy]&amp;"'!"&amp;"C:C"),$A310,(INDIRECT("'"&amp;Assemblies[Assy]&amp;"'!"&amp;"O:O"))))</f>
        <v>#VALUE!</v>
      </c>
      <c r="F310" s="5" t="e">
        <f t="shared" ca="1" si="4"/>
        <v>#VALUE!</v>
      </c>
      <c r="G310" s="5">
        <v>4</v>
      </c>
      <c r="H310" s="2">
        <v>4</v>
      </c>
      <c r="I310" s="117" t="s">
        <v>2895</v>
      </c>
      <c r="J310" s="117" t="s">
        <v>2895</v>
      </c>
      <c r="K310" s="135" t="s">
        <v>1382</v>
      </c>
      <c r="L310" s="2" t="s">
        <v>2958</v>
      </c>
      <c r="M310" s="8" t="s">
        <v>1762</v>
      </c>
      <c r="N310" s="8">
        <v>45162</v>
      </c>
      <c r="O310" s="8">
        <v>45184</v>
      </c>
      <c r="P310" s="8">
        <v>45163</v>
      </c>
      <c r="Q310" s="229">
        <v>55088</v>
      </c>
      <c r="R310" s="115" t="str" cm="1">
        <f t="array" aca="1" ref="R310" ca="1">TRIM(SUBSTITUTE(_xlfn.ARRAYTOTEXT(IFERROR(CONCATENATE(SUMIF(INDIRECT("'"&amp;Assemblies[Assy]&amp;"'!"&amp;"C$5:C1000"), $A310, INDIRECT("'"&amp;Assemblies[Assy]&amp;"'!"&amp;"O$5:O1000")), "x",Assemblies[Assy],".",IF(SUMIF(INDIRECT("'"&amp;Assemblies[Assy]&amp;"'!"&amp;"C$5:C1000"), $A310, INDIRECT("'"&amp;Assemblies[Assy]&amp;"'!"&amp;"A$5:A1000"))=0,NA(),SUMIF(INDIRECT("'"&amp;Assemblies[Assy]&amp;"'!"&amp;"C$5:C1000"), $A310, INDIRECT("'"&amp;Assemblies[Assy]&amp;"'!"&amp;"A$5:A1000")))),"")), " ,", ""))</f>
        <v>,</v>
      </c>
      <c r="S310" s="56" t="s">
        <v>1382</v>
      </c>
      <c r="T310" s="2" t="s">
        <v>1382</v>
      </c>
      <c r="U310" s="2" t="s">
        <v>1382</v>
      </c>
      <c r="V310" s="2" t="s">
        <v>1382</v>
      </c>
    </row>
    <row r="311" spans="1:22">
      <c r="A311" s="133" t="s">
        <v>1083</v>
      </c>
      <c r="B311" s="2" t="s">
        <v>2990</v>
      </c>
      <c r="C311" s="204">
        <v>10.92</v>
      </c>
      <c r="D311" s="5">
        <v>50</v>
      </c>
      <c r="E311" s="5" t="e" cm="1">
        <f t="array" aca="1" ref="E311" ca="1">SUMPRODUCT(SUMIF(INDIRECT("'"&amp;Assemblies[Assy]&amp;"'!"&amp;"C:C"),$A311,(INDIRECT("'"&amp;Assemblies[Assy]&amp;"'!"&amp;"O:O"))))</f>
        <v>#VALUE!</v>
      </c>
      <c r="F311" s="5" t="e">
        <f t="shared" ca="1" si="4"/>
        <v>#VALUE!</v>
      </c>
      <c r="G311" s="5">
        <v>1</v>
      </c>
      <c r="H311" s="2">
        <v>1</v>
      </c>
      <c r="I311" s="117" t="s">
        <v>2895</v>
      </c>
      <c r="J311" s="117" t="s">
        <v>2895</v>
      </c>
      <c r="K311" s="135" t="s">
        <v>1382</v>
      </c>
      <c r="L311" s="2" t="s">
        <v>2991</v>
      </c>
      <c r="M311" s="8" t="s">
        <v>1762</v>
      </c>
      <c r="N311" s="8">
        <v>45162</v>
      </c>
      <c r="O311" s="8">
        <v>45184</v>
      </c>
      <c r="P311" s="8">
        <v>45163</v>
      </c>
      <c r="Q311" s="229">
        <v>55088</v>
      </c>
      <c r="R311" s="115" t="str" cm="1">
        <f t="array" aca="1" ref="R311" ca="1">TRIM(SUBSTITUTE(_xlfn.ARRAYTOTEXT(IFERROR(CONCATENATE(SUMIF(INDIRECT("'"&amp;Assemblies[Assy]&amp;"'!"&amp;"C$5:C1000"), $A311, INDIRECT("'"&amp;Assemblies[Assy]&amp;"'!"&amp;"O$5:O1000")), "x",Assemblies[Assy],".",IF(SUMIF(INDIRECT("'"&amp;Assemblies[Assy]&amp;"'!"&amp;"C$5:C1000"), $A311, INDIRECT("'"&amp;Assemblies[Assy]&amp;"'!"&amp;"A$5:A1000"))=0,NA(),SUMIF(INDIRECT("'"&amp;Assemblies[Assy]&amp;"'!"&amp;"C$5:C1000"), $A311, INDIRECT("'"&amp;Assemblies[Assy]&amp;"'!"&amp;"A$5:A1000")))),"")), " ,", ""))</f>
        <v>,</v>
      </c>
      <c r="S311" s="56" t="s">
        <v>1382</v>
      </c>
      <c r="T311" s="2" t="s">
        <v>1382</v>
      </c>
      <c r="U311" s="2" t="s">
        <v>1382</v>
      </c>
      <c r="V311" s="2" t="s">
        <v>1382</v>
      </c>
    </row>
    <row r="312" spans="1:22">
      <c r="A312" s="133" t="s">
        <v>955</v>
      </c>
      <c r="B312" s="2" t="s">
        <v>2992</v>
      </c>
      <c r="C312" s="168">
        <v>5.3</v>
      </c>
      <c r="D312" s="5">
        <v>50</v>
      </c>
      <c r="E312" s="5" t="e" cm="1">
        <f t="array" aca="1" ref="E312" ca="1">SUMPRODUCT(SUMIF(INDIRECT("'"&amp;Assemblies[Assy]&amp;"'!"&amp;"C:C"),$A312,(INDIRECT("'"&amp;Assemblies[Assy]&amp;"'!"&amp;"O:O"))))</f>
        <v>#VALUE!</v>
      </c>
      <c r="F312" s="5" t="e">
        <f t="shared" ca="1" si="4"/>
        <v>#VALUE!</v>
      </c>
      <c r="G312" s="5">
        <v>1</v>
      </c>
      <c r="H312" s="2">
        <v>1</v>
      </c>
      <c r="I312" s="117" t="s">
        <v>2895</v>
      </c>
      <c r="J312" s="117" t="s">
        <v>2895</v>
      </c>
      <c r="K312" s="135" t="s">
        <v>1382</v>
      </c>
      <c r="L312" s="2" t="s">
        <v>1382</v>
      </c>
      <c r="M312" s="8" t="s">
        <v>1762</v>
      </c>
      <c r="N312" s="8">
        <v>45162</v>
      </c>
      <c r="O312" s="8">
        <v>45184</v>
      </c>
      <c r="P312" s="8">
        <v>45163</v>
      </c>
      <c r="Q312" s="229">
        <v>55089</v>
      </c>
      <c r="R312" s="115" t="str" cm="1">
        <f t="array" aca="1" ref="R312" ca="1">TRIM(SUBSTITUTE(_xlfn.ARRAYTOTEXT(IFERROR(CONCATENATE(SUMIF(INDIRECT("'"&amp;Assemblies[Assy]&amp;"'!"&amp;"C$5:C1000"), $A312, INDIRECT("'"&amp;Assemblies[Assy]&amp;"'!"&amp;"O$5:O1000")), "x",Assemblies[Assy],".",IF(SUMIF(INDIRECT("'"&amp;Assemblies[Assy]&amp;"'!"&amp;"C$5:C1000"), $A312, INDIRECT("'"&amp;Assemblies[Assy]&amp;"'!"&amp;"A$5:A1000"))=0,NA(),SUMIF(INDIRECT("'"&amp;Assemblies[Assy]&amp;"'!"&amp;"C$5:C1000"), $A312, INDIRECT("'"&amp;Assemblies[Assy]&amp;"'!"&amp;"A$5:A1000")))),"")), " ,", ""))</f>
        <v>,</v>
      </c>
      <c r="S312" s="56" t="s">
        <v>1382</v>
      </c>
      <c r="T312" s="2" t="s">
        <v>1382</v>
      </c>
      <c r="U312" s="2" t="s">
        <v>1382</v>
      </c>
      <c r="V312" s="2" t="s">
        <v>1382</v>
      </c>
    </row>
    <row r="313" spans="1:22">
      <c r="A313" s="133" t="s">
        <v>945</v>
      </c>
      <c r="B313" s="2" t="s">
        <v>2993</v>
      </c>
      <c r="C313" s="168">
        <v>7.75</v>
      </c>
      <c r="D313" s="5">
        <v>100</v>
      </c>
      <c r="E313" s="5" t="e" cm="1">
        <f t="array" aca="1" ref="E313" ca="1">SUMPRODUCT(SUMIF(INDIRECT("'"&amp;Assemblies[Assy]&amp;"'!"&amp;"C:C"),$A313,(INDIRECT("'"&amp;Assemblies[Assy]&amp;"'!"&amp;"O:O"))))</f>
        <v>#VALUE!</v>
      </c>
      <c r="F313" s="5" t="e">
        <f t="shared" ca="1" si="4"/>
        <v>#VALUE!</v>
      </c>
      <c r="G313" s="5">
        <v>1</v>
      </c>
      <c r="H313" s="2">
        <v>1</v>
      </c>
      <c r="I313" s="117" t="s">
        <v>2895</v>
      </c>
      <c r="J313" s="117" t="s">
        <v>2895</v>
      </c>
      <c r="K313" s="135" t="s">
        <v>1382</v>
      </c>
      <c r="L313" s="2" t="s">
        <v>1382</v>
      </c>
      <c r="M313" s="8" t="s">
        <v>1762</v>
      </c>
      <c r="N313" s="8">
        <v>45162</v>
      </c>
      <c r="O313" s="8">
        <v>45184</v>
      </c>
      <c r="P313" s="8">
        <v>45163</v>
      </c>
      <c r="Q313" s="229">
        <v>55089</v>
      </c>
      <c r="R313" s="115" t="str" cm="1">
        <f t="array" aca="1" ref="R313" ca="1">TRIM(SUBSTITUTE(_xlfn.ARRAYTOTEXT(IFERROR(CONCATENATE(SUMIF(INDIRECT("'"&amp;Assemblies[Assy]&amp;"'!"&amp;"C$5:C1000"), $A313, INDIRECT("'"&amp;Assemblies[Assy]&amp;"'!"&amp;"O$5:O1000")), "x",Assemblies[Assy],".",IF(SUMIF(INDIRECT("'"&amp;Assemblies[Assy]&amp;"'!"&amp;"C$5:C1000"), $A313, INDIRECT("'"&amp;Assemblies[Assy]&amp;"'!"&amp;"A$5:A1000"))=0,NA(),SUMIF(INDIRECT("'"&amp;Assemblies[Assy]&amp;"'!"&amp;"C$5:C1000"), $A313, INDIRECT("'"&amp;Assemblies[Assy]&amp;"'!"&amp;"A$5:A1000")))),"")), " ,", ""))</f>
        <v>,</v>
      </c>
      <c r="S313" s="56" t="s">
        <v>1382</v>
      </c>
      <c r="T313" s="2" t="s">
        <v>1382</v>
      </c>
      <c r="U313" s="2" t="s">
        <v>1382</v>
      </c>
      <c r="V313" s="2" t="s">
        <v>1382</v>
      </c>
    </row>
    <row r="314" spans="1:22">
      <c r="A314" s="133" t="s">
        <v>618</v>
      </c>
      <c r="B314" s="2" t="s">
        <v>2994</v>
      </c>
      <c r="C314" s="203">
        <v>10.68</v>
      </c>
      <c r="D314" s="5">
        <v>1</v>
      </c>
      <c r="E314" s="5" t="e" cm="1">
        <f t="array" aca="1" ref="E314" ca="1">SUMPRODUCT(SUMIF(INDIRECT("'"&amp;Assemblies[Assy]&amp;"'!"&amp;"C:C"),$A314,(INDIRECT("'"&amp;Assemblies[Assy]&amp;"'!"&amp;"O:O"))))</f>
        <v>#VALUE!</v>
      </c>
      <c r="F314" s="5" t="e">
        <f t="shared" ca="1" si="4"/>
        <v>#VALUE!</v>
      </c>
      <c r="G314" s="5">
        <v>4</v>
      </c>
      <c r="H314" s="2">
        <v>4</v>
      </c>
      <c r="I314" s="117" t="s">
        <v>2895</v>
      </c>
      <c r="J314" s="117" t="s">
        <v>2895</v>
      </c>
      <c r="K314" s="135" t="s">
        <v>1382</v>
      </c>
      <c r="L314" s="2" t="s">
        <v>1382</v>
      </c>
      <c r="M314" s="8" t="s">
        <v>1762</v>
      </c>
      <c r="N314" s="8">
        <v>45162</v>
      </c>
      <c r="O314" s="8">
        <v>45184</v>
      </c>
      <c r="P314" s="8">
        <v>45163</v>
      </c>
      <c r="Q314" s="229">
        <v>55089</v>
      </c>
      <c r="R314" s="115" t="str" cm="1">
        <f t="array" aca="1" ref="R314" ca="1">TRIM(SUBSTITUTE(_xlfn.ARRAYTOTEXT(IFERROR(CONCATENATE(SUMIF(INDIRECT("'"&amp;Assemblies[Assy]&amp;"'!"&amp;"C$5:C1000"), $A314, INDIRECT("'"&amp;Assemblies[Assy]&amp;"'!"&amp;"O$5:O1000")), "x",Assemblies[Assy],".",IF(SUMIF(INDIRECT("'"&amp;Assemblies[Assy]&amp;"'!"&amp;"C$5:C1000"), $A314, INDIRECT("'"&amp;Assemblies[Assy]&amp;"'!"&amp;"A$5:A1000"))=0,NA(),SUMIF(INDIRECT("'"&amp;Assemblies[Assy]&amp;"'!"&amp;"C$5:C1000"), $A314, INDIRECT("'"&amp;Assemblies[Assy]&amp;"'!"&amp;"A$5:A1000")))),"")), " ,", ""))</f>
        <v>,</v>
      </c>
      <c r="S314" s="56" t="s">
        <v>1382</v>
      </c>
      <c r="T314" s="2" t="s">
        <v>1382</v>
      </c>
      <c r="U314" s="2" t="s">
        <v>1382</v>
      </c>
      <c r="V314" s="2" t="s">
        <v>1382</v>
      </c>
    </row>
    <row r="315" spans="1:22">
      <c r="A315" s="133" t="s">
        <v>1298</v>
      </c>
      <c r="B315" s="2" t="s">
        <v>2995</v>
      </c>
      <c r="C315" s="203">
        <v>5.43</v>
      </c>
      <c r="D315" s="5">
        <v>1</v>
      </c>
      <c r="E315" s="5" t="e" cm="1">
        <f t="array" aca="1" ref="E315" ca="1">SUMPRODUCT(SUMIF(INDIRECT("'"&amp;Assemblies[Assy]&amp;"'!"&amp;"C:C"),$A315,(INDIRECT("'"&amp;Assemblies[Assy]&amp;"'!"&amp;"O:O"))))</f>
        <v>#VALUE!</v>
      </c>
      <c r="F315" s="5" t="e">
        <f t="shared" ca="1" si="4"/>
        <v>#VALUE!</v>
      </c>
      <c r="G315" s="5">
        <v>6</v>
      </c>
      <c r="H315" s="2">
        <v>6</v>
      </c>
      <c r="I315" s="117" t="s">
        <v>2895</v>
      </c>
      <c r="J315" s="117" t="s">
        <v>2895</v>
      </c>
      <c r="K315" s="135" t="s">
        <v>1382</v>
      </c>
      <c r="L315" s="2" t="s">
        <v>1382</v>
      </c>
      <c r="M315" s="8" t="s">
        <v>1762</v>
      </c>
      <c r="N315" s="8">
        <v>45162</v>
      </c>
      <c r="O315" s="8">
        <v>45184</v>
      </c>
      <c r="P315" s="8">
        <v>45163</v>
      </c>
      <c r="Q315" s="229">
        <v>55089</v>
      </c>
      <c r="R315" s="115" t="str" cm="1">
        <f t="array" aca="1" ref="R315" ca="1">TRIM(SUBSTITUTE(_xlfn.ARRAYTOTEXT(IFERROR(CONCATENATE(SUMIF(INDIRECT("'"&amp;Assemblies[Assy]&amp;"'!"&amp;"C$5:C1000"), $A315, INDIRECT("'"&amp;Assemblies[Assy]&amp;"'!"&amp;"O$5:O1000")), "x",Assemblies[Assy],".",IF(SUMIF(INDIRECT("'"&amp;Assemblies[Assy]&amp;"'!"&amp;"C$5:C1000"), $A315, INDIRECT("'"&amp;Assemblies[Assy]&amp;"'!"&amp;"A$5:A1000"))=0,NA(),SUMIF(INDIRECT("'"&amp;Assemblies[Assy]&amp;"'!"&amp;"C$5:C1000"), $A315, INDIRECT("'"&amp;Assemblies[Assy]&amp;"'!"&amp;"A$5:A1000")))),"")), " ,", ""))</f>
        <v>,</v>
      </c>
      <c r="S315" s="56" t="s">
        <v>1382</v>
      </c>
      <c r="T315" s="2" t="s">
        <v>1382</v>
      </c>
      <c r="U315" s="2" t="s">
        <v>1382</v>
      </c>
      <c r="V315" s="2" t="s">
        <v>1382</v>
      </c>
    </row>
    <row r="316" spans="1:22">
      <c r="A316" s="133" t="s">
        <v>620</v>
      </c>
      <c r="B316" s="2" t="s">
        <v>2996</v>
      </c>
      <c r="C316" s="203">
        <v>8.0500000000000007</v>
      </c>
      <c r="D316" s="5">
        <v>10</v>
      </c>
      <c r="E316" s="5" t="e" cm="1">
        <f t="array" aca="1" ref="E316" ca="1">SUMPRODUCT(SUMIF(INDIRECT("'"&amp;Assemblies[Assy]&amp;"'!"&amp;"C:C"),$A316,(INDIRECT("'"&amp;Assemblies[Assy]&amp;"'!"&amp;"O:O"))))</f>
        <v>#VALUE!</v>
      </c>
      <c r="F316" s="5" t="e">
        <f t="shared" ca="1" si="4"/>
        <v>#VALUE!</v>
      </c>
      <c r="G316" s="5">
        <v>1</v>
      </c>
      <c r="H316" s="2">
        <v>1</v>
      </c>
      <c r="I316" s="117" t="s">
        <v>2895</v>
      </c>
      <c r="J316" s="117" t="s">
        <v>2895</v>
      </c>
      <c r="K316" s="135" t="s">
        <v>1382</v>
      </c>
      <c r="L316" s="2" t="s">
        <v>2958</v>
      </c>
      <c r="M316" s="8" t="s">
        <v>1762</v>
      </c>
      <c r="N316" s="8">
        <v>45162</v>
      </c>
      <c r="O316" s="8">
        <v>45184</v>
      </c>
      <c r="P316" s="8">
        <v>45163</v>
      </c>
      <c r="Q316" s="229">
        <v>55089</v>
      </c>
      <c r="R316" s="115" t="str" cm="1">
        <f t="array" aca="1" ref="R316" ca="1">TRIM(SUBSTITUTE(_xlfn.ARRAYTOTEXT(IFERROR(CONCATENATE(SUMIF(INDIRECT("'"&amp;Assemblies[Assy]&amp;"'!"&amp;"C$5:C1000"), $A316, INDIRECT("'"&amp;Assemblies[Assy]&amp;"'!"&amp;"O$5:O1000")), "x",Assemblies[Assy],".",IF(SUMIF(INDIRECT("'"&amp;Assemblies[Assy]&amp;"'!"&amp;"C$5:C1000"), $A316, INDIRECT("'"&amp;Assemblies[Assy]&amp;"'!"&amp;"A$5:A1000"))=0,NA(),SUMIF(INDIRECT("'"&amp;Assemblies[Assy]&amp;"'!"&amp;"C$5:C1000"), $A316, INDIRECT("'"&amp;Assemblies[Assy]&amp;"'!"&amp;"A$5:A1000")))),"")), " ,", ""))</f>
        <v>,</v>
      </c>
      <c r="S316" s="56" t="s">
        <v>1382</v>
      </c>
      <c r="T316" s="2" t="s">
        <v>1382</v>
      </c>
      <c r="U316" s="2" t="s">
        <v>1382</v>
      </c>
      <c r="V316" s="2" t="s">
        <v>1382</v>
      </c>
    </row>
    <row r="317" spans="1:22">
      <c r="A317" s="133" t="s">
        <v>622</v>
      </c>
      <c r="B317" s="2" t="s">
        <v>2997</v>
      </c>
      <c r="C317" s="203">
        <v>2.1</v>
      </c>
      <c r="D317" s="5">
        <v>1</v>
      </c>
      <c r="E317" s="5" t="e" cm="1">
        <f t="array" aca="1" ref="E317" ca="1">SUMPRODUCT(SUMIF(INDIRECT("'"&amp;Assemblies[Assy]&amp;"'!"&amp;"C:C"),$A317,(INDIRECT("'"&amp;Assemblies[Assy]&amp;"'!"&amp;"O:O"))))</f>
        <v>#VALUE!</v>
      </c>
      <c r="F317" s="5" t="e">
        <f t="shared" ca="1" si="4"/>
        <v>#VALUE!</v>
      </c>
      <c r="G317" s="5">
        <v>4</v>
      </c>
      <c r="H317" s="2">
        <v>4</v>
      </c>
      <c r="I317" s="117" t="s">
        <v>2895</v>
      </c>
      <c r="J317" s="117" t="s">
        <v>2895</v>
      </c>
      <c r="K317" s="135" t="s">
        <v>1382</v>
      </c>
      <c r="L317" s="2" t="s">
        <v>1382</v>
      </c>
      <c r="M317" s="8" t="s">
        <v>1762</v>
      </c>
      <c r="N317" s="8">
        <v>45162</v>
      </c>
      <c r="O317" s="8">
        <v>45184</v>
      </c>
      <c r="P317" s="8">
        <v>45163</v>
      </c>
      <c r="Q317" s="229">
        <v>55089</v>
      </c>
      <c r="R317" s="115" t="str" cm="1">
        <f t="array" aca="1" ref="R317" ca="1">TRIM(SUBSTITUTE(_xlfn.ARRAYTOTEXT(IFERROR(CONCATENATE(SUMIF(INDIRECT("'"&amp;Assemblies[Assy]&amp;"'!"&amp;"C$5:C1000"), $A317, INDIRECT("'"&amp;Assemblies[Assy]&amp;"'!"&amp;"O$5:O1000")), "x",Assemblies[Assy],".",IF(SUMIF(INDIRECT("'"&amp;Assemblies[Assy]&amp;"'!"&amp;"C$5:C1000"), $A317, INDIRECT("'"&amp;Assemblies[Assy]&amp;"'!"&amp;"A$5:A1000"))=0,NA(),SUMIF(INDIRECT("'"&amp;Assemblies[Assy]&amp;"'!"&amp;"C$5:C1000"), $A317, INDIRECT("'"&amp;Assemblies[Assy]&amp;"'!"&amp;"A$5:A1000")))),"")), " ,", ""))</f>
        <v>,</v>
      </c>
      <c r="S317" s="56" t="s">
        <v>1382</v>
      </c>
      <c r="T317" s="2" t="s">
        <v>1382</v>
      </c>
      <c r="U317" s="2" t="s">
        <v>1382</v>
      </c>
      <c r="V317" s="2" t="s">
        <v>1382</v>
      </c>
    </row>
    <row r="318" spans="1:22">
      <c r="A318" s="133" t="s">
        <v>414</v>
      </c>
      <c r="B318" s="2" t="s">
        <v>2998</v>
      </c>
      <c r="C318" s="203">
        <v>4.71</v>
      </c>
      <c r="D318" s="5">
        <v>1</v>
      </c>
      <c r="E318" s="5" t="e" cm="1">
        <f t="array" aca="1" ref="E318" ca="1">SUMPRODUCT(SUMIF(INDIRECT("'"&amp;Assemblies[Assy]&amp;"'!"&amp;"C:C"),$A318,(INDIRECT("'"&amp;Assemblies[Assy]&amp;"'!"&amp;"O:O"))))</f>
        <v>#VALUE!</v>
      </c>
      <c r="F318" s="5" t="e">
        <f t="shared" ca="1" si="4"/>
        <v>#VALUE!</v>
      </c>
      <c r="G318" s="5">
        <v>24</v>
      </c>
      <c r="H318" s="2">
        <v>24</v>
      </c>
      <c r="I318" s="117" t="s">
        <v>2895</v>
      </c>
      <c r="J318" s="117" t="s">
        <v>2895</v>
      </c>
      <c r="K318" s="135" t="s">
        <v>1382</v>
      </c>
      <c r="L318" s="2" t="s">
        <v>1382</v>
      </c>
      <c r="M318" s="8" t="s">
        <v>1762</v>
      </c>
      <c r="N318" s="8">
        <v>45162</v>
      </c>
      <c r="O318" s="8">
        <v>45184</v>
      </c>
      <c r="P318" s="8">
        <v>45163</v>
      </c>
      <c r="Q318" s="229">
        <v>55089</v>
      </c>
      <c r="R318" s="115" t="str" cm="1">
        <f t="array" aca="1" ref="R318" ca="1">TRIM(SUBSTITUTE(_xlfn.ARRAYTOTEXT(IFERROR(CONCATENATE(SUMIF(INDIRECT("'"&amp;Assemblies[Assy]&amp;"'!"&amp;"C$5:C1000"), $A318, INDIRECT("'"&amp;Assemblies[Assy]&amp;"'!"&amp;"O$5:O1000")), "x",Assemblies[Assy],".",IF(SUMIF(INDIRECT("'"&amp;Assemblies[Assy]&amp;"'!"&amp;"C$5:C1000"), $A318, INDIRECT("'"&amp;Assemblies[Assy]&amp;"'!"&amp;"A$5:A1000"))=0,NA(),SUMIF(INDIRECT("'"&amp;Assemblies[Assy]&amp;"'!"&amp;"C$5:C1000"), $A318, INDIRECT("'"&amp;Assemblies[Assy]&amp;"'!"&amp;"A$5:A1000")))),"")), " ,", ""))</f>
        <v>,</v>
      </c>
      <c r="S318" s="56" t="s">
        <v>1382</v>
      </c>
      <c r="T318" s="2" t="s">
        <v>1382</v>
      </c>
      <c r="U318" s="2" t="s">
        <v>1382</v>
      </c>
      <c r="V318" s="2" t="s">
        <v>1382</v>
      </c>
    </row>
    <row r="319" spans="1:22">
      <c r="A319" s="133" t="s">
        <v>1186</v>
      </c>
      <c r="B319" s="2" t="s">
        <v>2999</v>
      </c>
      <c r="C319" s="168">
        <v>3.2</v>
      </c>
      <c r="D319" s="5">
        <v>1</v>
      </c>
      <c r="E319" s="5" t="e" cm="1">
        <f t="array" aca="1" ref="E319" ca="1">SUMPRODUCT(SUMIF(INDIRECT("'"&amp;Assemblies[Assy]&amp;"'!"&amp;"C:C"),$A319,(INDIRECT("'"&amp;Assemblies[Assy]&amp;"'!"&amp;"O:O"))))</f>
        <v>#VALUE!</v>
      </c>
      <c r="F319" s="5" t="e">
        <f t="shared" ca="1" si="4"/>
        <v>#VALUE!</v>
      </c>
      <c r="G319" s="5">
        <v>6</v>
      </c>
      <c r="H319" s="2">
        <v>6</v>
      </c>
      <c r="I319" s="117" t="s">
        <v>2895</v>
      </c>
      <c r="J319" s="117" t="s">
        <v>2895</v>
      </c>
      <c r="L319" s="2" t="s">
        <v>1382</v>
      </c>
      <c r="M319" s="8" t="s">
        <v>1762</v>
      </c>
      <c r="N319" s="8">
        <v>45196</v>
      </c>
      <c r="O319" s="8">
        <v>45197</v>
      </c>
      <c r="P319" s="8">
        <v>45197</v>
      </c>
      <c r="Q319" s="229">
        <v>55167</v>
      </c>
      <c r="R319" s="115" t="str" cm="1">
        <f t="array" aca="1" ref="R319" ca="1">TRIM(SUBSTITUTE(_xlfn.ARRAYTOTEXT(IFERROR(CONCATENATE(SUMIF(INDIRECT("'"&amp;Assemblies[Assy]&amp;"'!"&amp;"C$5:C1000"), $A319, INDIRECT("'"&amp;Assemblies[Assy]&amp;"'!"&amp;"O$5:O1000")), "x",Assemblies[Assy],".",IF(SUMIF(INDIRECT("'"&amp;Assemblies[Assy]&amp;"'!"&amp;"C$5:C1000"), $A319, INDIRECT("'"&amp;Assemblies[Assy]&amp;"'!"&amp;"A$5:A1000"))=0,NA(),SUMIF(INDIRECT("'"&amp;Assemblies[Assy]&amp;"'!"&amp;"C$5:C1000"), $A319, INDIRECT("'"&amp;Assemblies[Assy]&amp;"'!"&amp;"A$5:A1000")))),"")), " ,", ""))</f>
        <v>,</v>
      </c>
      <c r="S319" s="56" t="s">
        <v>1382</v>
      </c>
      <c r="T319" s="2" t="s">
        <v>1382</v>
      </c>
      <c r="U319" s="2" t="s">
        <v>1382</v>
      </c>
      <c r="V319" s="2" t="s">
        <v>1382</v>
      </c>
    </row>
    <row r="320" spans="1:22">
      <c r="A320" s="133" t="s">
        <v>588</v>
      </c>
      <c r="B320" s="2" t="s">
        <v>3000</v>
      </c>
      <c r="C320" s="168">
        <v>10.98</v>
      </c>
      <c r="D320" s="5">
        <v>1</v>
      </c>
      <c r="E320" s="5" t="e" cm="1">
        <f t="array" aca="1" ref="E320" ca="1">SUMPRODUCT(SUMIF(INDIRECT("'"&amp;Assemblies[Assy]&amp;"'!"&amp;"C:C"),$A320,(INDIRECT("'"&amp;Assemblies[Assy]&amp;"'!"&amp;"O:O"))))</f>
        <v>#VALUE!</v>
      </c>
      <c r="F320" s="5" t="e">
        <f t="shared" ca="1" si="4"/>
        <v>#VALUE!</v>
      </c>
      <c r="G320" s="5">
        <v>4</v>
      </c>
      <c r="H320" s="2">
        <v>4</v>
      </c>
      <c r="I320" s="117" t="s">
        <v>2895</v>
      </c>
      <c r="J320" s="117" t="s">
        <v>2895</v>
      </c>
      <c r="N320" s="8">
        <v>45167</v>
      </c>
      <c r="O320" s="8">
        <v>45168</v>
      </c>
      <c r="P320" s="8">
        <v>45168</v>
      </c>
      <c r="Q320" s="229">
        <v>55113</v>
      </c>
      <c r="R320" s="115" t="str" cm="1">
        <f t="array" aca="1" ref="R320" ca="1">TRIM(SUBSTITUTE(_xlfn.ARRAYTOTEXT(IFERROR(CONCATENATE(SUMIF(INDIRECT("'"&amp;Assemblies[Assy]&amp;"'!"&amp;"C$5:C1000"), $A320, INDIRECT("'"&amp;Assemblies[Assy]&amp;"'!"&amp;"O$5:O1000")), "x",Assemblies[Assy],".",IF(SUMIF(INDIRECT("'"&amp;Assemblies[Assy]&amp;"'!"&amp;"C$5:C1000"), $A320, INDIRECT("'"&amp;Assemblies[Assy]&amp;"'!"&amp;"A$5:A1000"))=0,NA(),SUMIF(INDIRECT("'"&amp;Assemblies[Assy]&amp;"'!"&amp;"C$5:C1000"), $A320, INDIRECT("'"&amp;Assemblies[Assy]&amp;"'!"&amp;"A$5:A1000")))),"")), " ,", ""))</f>
        <v>,</v>
      </c>
      <c r="S320" s="56" t="s">
        <v>1382</v>
      </c>
      <c r="T320" s="2" t="s">
        <v>1382</v>
      </c>
      <c r="U320" s="2" t="s">
        <v>1382</v>
      </c>
      <c r="V320" s="2" t="s">
        <v>1382</v>
      </c>
    </row>
    <row r="321" spans="1:22">
      <c r="A321" s="188" t="s">
        <v>1317</v>
      </c>
      <c r="B321" s="188" t="s">
        <v>3001</v>
      </c>
      <c r="C321" s="168">
        <v>11.9</v>
      </c>
      <c r="D321" s="5">
        <v>50</v>
      </c>
      <c r="E321" s="5" t="e" cm="1">
        <f t="array" aca="1" ref="E321" ca="1">SUMPRODUCT(SUMIF(INDIRECT("'"&amp;Assemblies[Assy]&amp;"'!"&amp;"C:C"),$A321,(INDIRECT("'"&amp;Assemblies[Assy]&amp;"'!"&amp;"O:O"))))</f>
        <v>#VALUE!</v>
      </c>
      <c r="F321" s="5" t="e">
        <f t="shared" ca="1" si="4"/>
        <v>#VALUE!</v>
      </c>
      <c r="G321" s="5">
        <v>1</v>
      </c>
      <c r="H321" s="2">
        <v>1</v>
      </c>
      <c r="I321" s="117" t="s">
        <v>2895</v>
      </c>
      <c r="J321" s="117" t="s">
        <v>2895</v>
      </c>
      <c r="K321" s="135" t="s">
        <v>1382</v>
      </c>
      <c r="L321" s="2" t="s">
        <v>1382</v>
      </c>
      <c r="M321" s="8" t="s">
        <v>1762</v>
      </c>
      <c r="N321" s="8">
        <v>45162</v>
      </c>
      <c r="O321" s="8">
        <v>45184</v>
      </c>
      <c r="P321" s="8">
        <v>45163</v>
      </c>
      <c r="Q321" s="229">
        <v>55089</v>
      </c>
      <c r="R321" s="115" t="str" cm="1">
        <f t="array" aca="1" ref="R321" ca="1">TRIM(SUBSTITUTE(_xlfn.ARRAYTOTEXT(IFERROR(CONCATENATE(SUMIF(INDIRECT("'"&amp;Assemblies[Assy]&amp;"'!"&amp;"C$5:C1000"), $A321, INDIRECT("'"&amp;Assemblies[Assy]&amp;"'!"&amp;"O$5:O1000")), "x",Assemblies[Assy],".",IF(SUMIF(INDIRECT("'"&amp;Assemblies[Assy]&amp;"'!"&amp;"C$5:C1000"), $A321, INDIRECT("'"&amp;Assemblies[Assy]&amp;"'!"&amp;"A$5:A1000"))=0,NA(),SUMIF(INDIRECT("'"&amp;Assemblies[Assy]&amp;"'!"&amp;"C$5:C1000"), $A321, INDIRECT("'"&amp;Assemblies[Assy]&amp;"'!"&amp;"A$5:A1000")))),"")), " ,", ""))</f>
        <v>,</v>
      </c>
      <c r="S321" s="56" t="s">
        <v>1382</v>
      </c>
      <c r="T321" s="2" t="s">
        <v>1382</v>
      </c>
      <c r="U321" s="2" t="s">
        <v>1382</v>
      </c>
      <c r="V321" s="2" t="s">
        <v>1382</v>
      </c>
    </row>
    <row r="322" spans="1:22">
      <c r="A322" s="133" t="s">
        <v>411</v>
      </c>
      <c r="B322" s="2" t="s">
        <v>3002</v>
      </c>
      <c r="C322" s="203">
        <v>14.77</v>
      </c>
      <c r="D322" s="5">
        <v>5</v>
      </c>
      <c r="E322" s="5" t="e" cm="1">
        <f t="array" aca="1" ref="E322" ca="1">SUMPRODUCT(SUMIF(INDIRECT("'"&amp;Assemblies[Assy]&amp;"'!"&amp;"C:C"),$A322,(INDIRECT("'"&amp;Assemblies[Assy]&amp;"'!"&amp;"O:O"))))</f>
        <v>#VALUE!</v>
      </c>
      <c r="F322" s="5" t="e">
        <f t="shared" ref="F322:F385" ca="1" si="5">E322/D322</f>
        <v>#VALUE!</v>
      </c>
      <c r="G322" s="5">
        <v>4</v>
      </c>
      <c r="H322" s="2">
        <v>4</v>
      </c>
      <c r="I322" s="117" t="s">
        <v>2895</v>
      </c>
      <c r="J322" s="117" t="s">
        <v>2895</v>
      </c>
      <c r="K322" s="135" t="s">
        <v>1382</v>
      </c>
      <c r="L322" s="2" t="s">
        <v>3003</v>
      </c>
      <c r="M322" s="8" t="s">
        <v>1762</v>
      </c>
      <c r="N322" s="8">
        <v>45162</v>
      </c>
      <c r="O322" s="8">
        <v>45184</v>
      </c>
      <c r="P322" s="8">
        <v>45163</v>
      </c>
      <c r="Q322" s="229">
        <v>55089</v>
      </c>
      <c r="R322" s="115" t="str" cm="1">
        <f t="array" aca="1" ref="R322" ca="1">TRIM(SUBSTITUTE(_xlfn.ARRAYTOTEXT(IFERROR(CONCATENATE(SUMIF(INDIRECT("'"&amp;Assemblies[Assy]&amp;"'!"&amp;"C$5:C1000"), $A322, INDIRECT("'"&amp;Assemblies[Assy]&amp;"'!"&amp;"O$5:O1000")), "x",Assemblies[Assy],".",IF(SUMIF(INDIRECT("'"&amp;Assemblies[Assy]&amp;"'!"&amp;"C$5:C1000"), $A322, INDIRECT("'"&amp;Assemblies[Assy]&amp;"'!"&amp;"A$5:A1000"))=0,NA(),SUMIF(INDIRECT("'"&amp;Assemblies[Assy]&amp;"'!"&amp;"C$5:C1000"), $A322, INDIRECT("'"&amp;Assemblies[Assy]&amp;"'!"&amp;"A$5:A1000")))),"")), " ,", ""))</f>
        <v>,</v>
      </c>
      <c r="S322" s="56" t="s">
        <v>1382</v>
      </c>
      <c r="T322" s="2" t="s">
        <v>1382</v>
      </c>
      <c r="U322" s="2" t="s">
        <v>1382</v>
      </c>
      <c r="V322" s="2" t="s">
        <v>1382</v>
      </c>
    </row>
    <row r="323" spans="1:22">
      <c r="A323" s="133" t="s">
        <v>847</v>
      </c>
      <c r="B323" s="2" t="s">
        <v>3004</v>
      </c>
      <c r="C323" s="168">
        <v>11.45</v>
      </c>
      <c r="D323" s="5">
        <v>25</v>
      </c>
      <c r="E323" s="5" t="e" cm="1">
        <f t="array" aca="1" ref="E323" ca="1">SUMPRODUCT(SUMIF(INDIRECT("'"&amp;Assemblies[Assy]&amp;"'!"&amp;"C:C"),$A323,(INDIRECT("'"&amp;Assemblies[Assy]&amp;"'!"&amp;"O:O"))))</f>
        <v>#VALUE!</v>
      </c>
      <c r="F323" s="5" t="e">
        <f t="shared" ca="1" si="5"/>
        <v>#VALUE!</v>
      </c>
      <c r="G323" s="5">
        <v>2</v>
      </c>
      <c r="H323" s="2">
        <v>2</v>
      </c>
      <c r="I323" s="117" t="s">
        <v>2895</v>
      </c>
      <c r="J323" s="117" t="s">
        <v>2895</v>
      </c>
      <c r="K323" s="135" t="s">
        <v>1382</v>
      </c>
      <c r="L323" s="2" t="s">
        <v>1382</v>
      </c>
      <c r="M323" s="8" t="s">
        <v>1762</v>
      </c>
      <c r="N323" s="8">
        <v>45162</v>
      </c>
      <c r="O323" s="8">
        <v>45184</v>
      </c>
      <c r="P323" s="8">
        <v>45163</v>
      </c>
      <c r="Q323" s="229">
        <v>55089</v>
      </c>
      <c r="R323" s="115" t="str" cm="1">
        <f t="array" aca="1" ref="R323" ca="1">TRIM(SUBSTITUTE(_xlfn.ARRAYTOTEXT(IFERROR(CONCATENATE(SUMIF(INDIRECT("'"&amp;Assemblies[Assy]&amp;"'!"&amp;"C$5:C1000"), $A323, INDIRECT("'"&amp;Assemblies[Assy]&amp;"'!"&amp;"O$5:O1000")), "x",Assemblies[Assy],".",IF(SUMIF(INDIRECT("'"&amp;Assemblies[Assy]&amp;"'!"&amp;"C$5:C1000"), $A323, INDIRECT("'"&amp;Assemblies[Assy]&amp;"'!"&amp;"A$5:A1000"))=0,NA(),SUMIF(INDIRECT("'"&amp;Assemblies[Assy]&amp;"'!"&amp;"C$5:C1000"), $A323, INDIRECT("'"&amp;Assemblies[Assy]&amp;"'!"&amp;"A$5:A1000")))),"")), " ,", ""))</f>
        <v>,</v>
      </c>
      <c r="S323" s="56" t="s">
        <v>1382</v>
      </c>
      <c r="T323" s="2" t="s">
        <v>1382</v>
      </c>
      <c r="U323" s="2" t="s">
        <v>1382</v>
      </c>
      <c r="V323" s="2" t="s">
        <v>1382</v>
      </c>
    </row>
    <row r="324" spans="1:22">
      <c r="A324" s="133" t="s">
        <v>819</v>
      </c>
      <c r="B324" s="2" t="s">
        <v>3005</v>
      </c>
      <c r="C324" s="168">
        <v>3.09</v>
      </c>
      <c r="D324" s="5">
        <v>1</v>
      </c>
      <c r="E324" s="5" t="e" cm="1">
        <f t="array" aca="1" ref="E324" ca="1">SUMPRODUCT(SUMIF(INDIRECT("'"&amp;Assemblies[Assy]&amp;"'!"&amp;"C:C"),$A324,(INDIRECT("'"&amp;Assemblies[Assy]&amp;"'!"&amp;"O:O"))))</f>
        <v>#VALUE!</v>
      </c>
      <c r="F324" s="5" t="e">
        <f t="shared" ca="1" si="5"/>
        <v>#VALUE!</v>
      </c>
      <c r="G324" s="5">
        <v>8</v>
      </c>
      <c r="H324" s="2">
        <v>8</v>
      </c>
      <c r="I324" s="117" t="s">
        <v>2895</v>
      </c>
      <c r="J324" s="117" t="s">
        <v>2895</v>
      </c>
      <c r="K324" s="135" t="s">
        <v>1382</v>
      </c>
      <c r="L324" s="2" t="s">
        <v>1382</v>
      </c>
      <c r="M324" s="8" t="s">
        <v>1762</v>
      </c>
      <c r="N324" s="8">
        <v>45162</v>
      </c>
      <c r="O324" s="8">
        <v>45184</v>
      </c>
      <c r="P324" s="8">
        <v>45163</v>
      </c>
      <c r="Q324" s="229">
        <v>55089</v>
      </c>
      <c r="R324" s="115" t="str" cm="1">
        <f t="array" aca="1" ref="R324" ca="1">TRIM(SUBSTITUTE(_xlfn.ARRAYTOTEXT(IFERROR(CONCATENATE(SUMIF(INDIRECT("'"&amp;Assemblies[Assy]&amp;"'!"&amp;"C$5:C1000"), $A324, INDIRECT("'"&amp;Assemblies[Assy]&amp;"'!"&amp;"O$5:O1000")), "x",Assemblies[Assy],".",IF(SUMIF(INDIRECT("'"&amp;Assemblies[Assy]&amp;"'!"&amp;"C$5:C1000"), $A324, INDIRECT("'"&amp;Assemblies[Assy]&amp;"'!"&amp;"A$5:A1000"))=0,NA(),SUMIF(INDIRECT("'"&amp;Assemblies[Assy]&amp;"'!"&amp;"C$5:C1000"), $A324, INDIRECT("'"&amp;Assemblies[Assy]&amp;"'!"&amp;"A$5:A1000")))),"")), " ,", ""))</f>
        <v>,</v>
      </c>
      <c r="S324" s="56" t="s">
        <v>1382</v>
      </c>
      <c r="T324" s="2" t="s">
        <v>1382</v>
      </c>
      <c r="U324" s="2" t="s">
        <v>1382</v>
      </c>
      <c r="V324" s="2" t="s">
        <v>1382</v>
      </c>
    </row>
    <row r="325" spans="1:22">
      <c r="A325" s="133" t="s">
        <v>849</v>
      </c>
      <c r="B325" s="2" t="s">
        <v>3006</v>
      </c>
      <c r="C325" s="168">
        <v>8.77</v>
      </c>
      <c r="D325" s="5">
        <v>100</v>
      </c>
      <c r="E325" s="5" t="e" cm="1">
        <f t="array" aca="1" ref="E325" ca="1">SUMPRODUCT(SUMIF(INDIRECT("'"&amp;Assemblies[Assy]&amp;"'!"&amp;"C:C"),$A325,(INDIRECT("'"&amp;Assemblies[Assy]&amp;"'!"&amp;"O:O"))))</f>
        <v>#VALUE!</v>
      </c>
      <c r="F325" s="5" t="e">
        <f t="shared" ca="1" si="5"/>
        <v>#VALUE!</v>
      </c>
      <c r="G325" s="5">
        <v>1</v>
      </c>
      <c r="H325" s="2">
        <v>1</v>
      </c>
      <c r="I325" s="117" t="s">
        <v>2895</v>
      </c>
      <c r="J325" s="117" t="s">
        <v>2895</v>
      </c>
      <c r="K325" s="135" t="s">
        <v>1382</v>
      </c>
      <c r="L325" s="2" t="s">
        <v>1382</v>
      </c>
      <c r="M325" s="8" t="s">
        <v>1762</v>
      </c>
      <c r="N325" s="8">
        <v>45162</v>
      </c>
      <c r="O325" s="8">
        <v>45184</v>
      </c>
      <c r="P325" s="8">
        <v>45163</v>
      </c>
      <c r="Q325" s="229">
        <v>55089</v>
      </c>
      <c r="R325" s="115" t="str" cm="1">
        <f t="array" aca="1" ref="R325" ca="1">TRIM(SUBSTITUTE(_xlfn.ARRAYTOTEXT(IFERROR(CONCATENATE(SUMIF(INDIRECT("'"&amp;Assemblies[Assy]&amp;"'!"&amp;"C$5:C1000"), $A325, INDIRECT("'"&amp;Assemblies[Assy]&amp;"'!"&amp;"O$5:O1000")), "x",Assemblies[Assy],".",IF(SUMIF(INDIRECT("'"&amp;Assemblies[Assy]&amp;"'!"&amp;"C$5:C1000"), $A325, INDIRECT("'"&amp;Assemblies[Assy]&amp;"'!"&amp;"A$5:A1000"))=0,NA(),SUMIF(INDIRECT("'"&amp;Assemblies[Assy]&amp;"'!"&amp;"C$5:C1000"), $A325, INDIRECT("'"&amp;Assemblies[Assy]&amp;"'!"&amp;"A$5:A1000")))),"")), " ,", ""))</f>
        <v>,</v>
      </c>
      <c r="S325" s="56" t="s">
        <v>1382</v>
      </c>
      <c r="T325" s="2" t="s">
        <v>1382</v>
      </c>
      <c r="U325" s="2" t="s">
        <v>1382</v>
      </c>
      <c r="V325" s="2" t="s">
        <v>1382</v>
      </c>
    </row>
    <row r="326" spans="1:22">
      <c r="A326" s="133" t="s">
        <v>415</v>
      </c>
      <c r="B326" s="2" t="s">
        <v>3007</v>
      </c>
      <c r="C326" s="203">
        <v>56.87</v>
      </c>
      <c r="D326" s="5">
        <v>1</v>
      </c>
      <c r="E326" s="5" t="e" cm="1">
        <f t="array" aca="1" ref="E326" ca="1">SUMPRODUCT(SUMIF(INDIRECT("'"&amp;Assemblies[Assy]&amp;"'!"&amp;"C:C"),$A326,(INDIRECT("'"&amp;Assemblies[Assy]&amp;"'!"&amp;"O:O"))))</f>
        <v>#VALUE!</v>
      </c>
      <c r="F326" s="5" t="e">
        <f t="shared" ca="1" si="5"/>
        <v>#VALUE!</v>
      </c>
      <c r="G326" s="5">
        <v>6</v>
      </c>
      <c r="H326" s="2">
        <v>6</v>
      </c>
      <c r="I326" s="117" t="s">
        <v>2895</v>
      </c>
      <c r="J326" s="117" t="s">
        <v>2895</v>
      </c>
      <c r="K326" s="135" t="s">
        <v>1382</v>
      </c>
      <c r="L326" s="2" t="s">
        <v>1382</v>
      </c>
      <c r="M326" s="8" t="s">
        <v>1762</v>
      </c>
      <c r="N326" s="8">
        <v>45162</v>
      </c>
      <c r="O326" s="8">
        <v>45184</v>
      </c>
      <c r="P326" s="8">
        <v>45163</v>
      </c>
      <c r="Q326" s="229">
        <v>55089</v>
      </c>
      <c r="R326" s="115" t="str" cm="1">
        <f t="array" aca="1" ref="R326" ca="1">TRIM(SUBSTITUTE(_xlfn.ARRAYTOTEXT(IFERROR(CONCATENATE(SUMIF(INDIRECT("'"&amp;Assemblies[Assy]&amp;"'!"&amp;"C$5:C1000"), $A326, INDIRECT("'"&amp;Assemblies[Assy]&amp;"'!"&amp;"O$5:O1000")), "x",Assemblies[Assy],".",IF(SUMIF(INDIRECT("'"&amp;Assemblies[Assy]&amp;"'!"&amp;"C$5:C1000"), $A326, INDIRECT("'"&amp;Assemblies[Assy]&amp;"'!"&amp;"A$5:A1000"))=0,NA(),SUMIF(INDIRECT("'"&amp;Assemblies[Assy]&amp;"'!"&amp;"C$5:C1000"), $A326, INDIRECT("'"&amp;Assemblies[Assy]&amp;"'!"&amp;"A$5:A1000")))),"")), " ,", ""))</f>
        <v>,</v>
      </c>
      <c r="S326" s="56" t="s">
        <v>1382</v>
      </c>
      <c r="T326" s="2" t="s">
        <v>1382</v>
      </c>
      <c r="U326" s="2" t="s">
        <v>1382</v>
      </c>
      <c r="V326" s="2" t="s">
        <v>1382</v>
      </c>
    </row>
    <row r="327" spans="1:22">
      <c r="A327" s="133" t="s">
        <v>997</v>
      </c>
      <c r="B327" s="2" t="s">
        <v>3008</v>
      </c>
      <c r="C327" s="168">
        <v>1.1399999999999999</v>
      </c>
      <c r="D327" s="5">
        <v>1</v>
      </c>
      <c r="E327" s="5" t="e" cm="1">
        <f t="array" aca="1" ref="E327" ca="1">SUMPRODUCT(SUMIF(INDIRECT("'"&amp;Assemblies[Assy]&amp;"'!"&amp;"C:C"),$A327,(INDIRECT("'"&amp;Assemblies[Assy]&amp;"'!"&amp;"O:O"))))</f>
        <v>#VALUE!</v>
      </c>
      <c r="F327" s="5" t="e">
        <f t="shared" ca="1" si="5"/>
        <v>#VALUE!</v>
      </c>
      <c r="G327" s="5">
        <v>8</v>
      </c>
      <c r="H327" s="2">
        <v>8</v>
      </c>
      <c r="I327" s="117" t="s">
        <v>2895</v>
      </c>
      <c r="J327" s="117" t="s">
        <v>2895</v>
      </c>
      <c r="K327" s="135" t="s">
        <v>1382</v>
      </c>
      <c r="L327" s="2" t="s">
        <v>1382</v>
      </c>
      <c r="M327" s="8" t="s">
        <v>1762</v>
      </c>
      <c r="N327" s="8">
        <v>45162</v>
      </c>
      <c r="O327" s="8">
        <v>45184</v>
      </c>
      <c r="P327" s="8">
        <v>45163</v>
      </c>
      <c r="Q327" s="229">
        <v>55089</v>
      </c>
      <c r="R327" s="115" t="str" cm="1">
        <f t="array" aca="1" ref="R327" ca="1">TRIM(SUBSTITUTE(_xlfn.ARRAYTOTEXT(IFERROR(CONCATENATE(SUMIF(INDIRECT("'"&amp;Assemblies[Assy]&amp;"'!"&amp;"C$5:C1000"), $A327, INDIRECT("'"&amp;Assemblies[Assy]&amp;"'!"&amp;"O$5:O1000")), "x",Assemblies[Assy],".",IF(SUMIF(INDIRECT("'"&amp;Assemblies[Assy]&amp;"'!"&amp;"C$5:C1000"), $A327, INDIRECT("'"&amp;Assemblies[Assy]&amp;"'!"&amp;"A$5:A1000"))=0,NA(),SUMIF(INDIRECT("'"&amp;Assemblies[Assy]&amp;"'!"&amp;"C$5:C1000"), $A327, INDIRECT("'"&amp;Assemblies[Assy]&amp;"'!"&amp;"A$5:A1000")))),"")), " ,", ""))</f>
        <v>,</v>
      </c>
      <c r="S327" s="56" t="s">
        <v>1382</v>
      </c>
      <c r="T327" s="2" t="s">
        <v>1382</v>
      </c>
      <c r="U327" s="2" t="s">
        <v>1382</v>
      </c>
      <c r="V327" s="2" t="s">
        <v>1382</v>
      </c>
    </row>
    <row r="328" spans="1:22">
      <c r="A328" s="133" t="s">
        <v>995</v>
      </c>
      <c r="B328" s="2" t="s">
        <v>3009</v>
      </c>
      <c r="C328" s="168">
        <v>7.73</v>
      </c>
      <c r="D328" s="5">
        <v>100</v>
      </c>
      <c r="E328" s="5" t="e" cm="1">
        <f t="array" aca="1" ref="E328" ca="1">SUMPRODUCT(SUMIF(INDIRECT("'"&amp;Assemblies[Assy]&amp;"'!"&amp;"C:C"),$A328,(INDIRECT("'"&amp;Assemblies[Assy]&amp;"'!"&amp;"O:O"))))</f>
        <v>#VALUE!</v>
      </c>
      <c r="F328" s="5" t="e">
        <f t="shared" ca="1" si="5"/>
        <v>#VALUE!</v>
      </c>
      <c r="G328" s="5">
        <v>1</v>
      </c>
      <c r="H328" s="2">
        <v>1</v>
      </c>
      <c r="I328" s="117" t="s">
        <v>2895</v>
      </c>
      <c r="J328" s="117" t="s">
        <v>2895</v>
      </c>
      <c r="K328" s="135" t="s">
        <v>1382</v>
      </c>
      <c r="L328" s="2" t="s">
        <v>1382</v>
      </c>
      <c r="M328" s="8" t="s">
        <v>1762</v>
      </c>
      <c r="N328" s="8">
        <v>45162</v>
      </c>
      <c r="O328" s="8">
        <v>45184</v>
      </c>
      <c r="P328" s="8">
        <v>45163</v>
      </c>
      <c r="Q328" s="229">
        <v>55089</v>
      </c>
      <c r="R328" s="115" t="str" cm="1">
        <f t="array" aca="1" ref="R328" ca="1">TRIM(SUBSTITUTE(_xlfn.ARRAYTOTEXT(IFERROR(CONCATENATE(SUMIF(INDIRECT("'"&amp;Assemblies[Assy]&amp;"'!"&amp;"C$5:C1000"), $A328, INDIRECT("'"&amp;Assemblies[Assy]&amp;"'!"&amp;"O$5:O1000")), "x",Assemblies[Assy],".",IF(SUMIF(INDIRECT("'"&amp;Assemblies[Assy]&amp;"'!"&amp;"C$5:C1000"), $A328, INDIRECT("'"&amp;Assemblies[Assy]&amp;"'!"&amp;"A$5:A1000"))=0,NA(),SUMIF(INDIRECT("'"&amp;Assemblies[Assy]&amp;"'!"&amp;"C$5:C1000"), $A328, INDIRECT("'"&amp;Assemblies[Assy]&amp;"'!"&amp;"A$5:A1000")))),"")), " ,", ""))</f>
        <v>,</v>
      </c>
      <c r="S328" s="56" t="s">
        <v>1382</v>
      </c>
      <c r="T328" s="2" t="s">
        <v>1382</v>
      </c>
      <c r="U328" s="2" t="s">
        <v>1382</v>
      </c>
      <c r="V328" s="2" t="s">
        <v>1382</v>
      </c>
    </row>
    <row r="329" spans="1:22">
      <c r="A329" s="133" t="s">
        <v>1310</v>
      </c>
      <c r="B329" s="2" t="s">
        <v>3010</v>
      </c>
      <c r="C329" s="203">
        <v>8.51</v>
      </c>
      <c r="D329" s="5">
        <v>25</v>
      </c>
      <c r="E329" s="5" t="e" cm="1">
        <f t="array" aca="1" ref="E329" ca="1">SUMPRODUCT(SUMIF(INDIRECT("'"&amp;Assemblies[Assy]&amp;"'!"&amp;"C:C"),$A329,(INDIRECT("'"&amp;Assemblies[Assy]&amp;"'!"&amp;"O:O"))))</f>
        <v>#VALUE!</v>
      </c>
      <c r="F329" s="5" t="e">
        <f t="shared" ca="1" si="5"/>
        <v>#VALUE!</v>
      </c>
      <c r="G329" s="5">
        <v>1</v>
      </c>
      <c r="H329" s="2">
        <v>1</v>
      </c>
      <c r="I329" s="117" t="s">
        <v>2895</v>
      </c>
      <c r="J329" s="117" t="s">
        <v>2895</v>
      </c>
      <c r="K329" s="135" t="s">
        <v>1382</v>
      </c>
      <c r="L329" s="2" t="s">
        <v>1779</v>
      </c>
      <c r="M329" s="8" t="s">
        <v>1762</v>
      </c>
      <c r="N329" s="8">
        <v>45162</v>
      </c>
      <c r="O329" s="8">
        <v>45184</v>
      </c>
      <c r="P329" s="8">
        <v>45163</v>
      </c>
      <c r="Q329" s="229">
        <v>55089</v>
      </c>
      <c r="R329" s="115" t="str" cm="1">
        <f t="array" aca="1" ref="R329" ca="1">TRIM(SUBSTITUTE(_xlfn.ARRAYTOTEXT(IFERROR(CONCATENATE(SUMIF(INDIRECT("'"&amp;Assemblies[Assy]&amp;"'!"&amp;"C$5:C1000"), $A329, INDIRECT("'"&amp;Assemblies[Assy]&amp;"'!"&amp;"O$5:O1000")), "x",Assemblies[Assy],".",IF(SUMIF(INDIRECT("'"&amp;Assemblies[Assy]&amp;"'!"&amp;"C$5:C1000"), $A329, INDIRECT("'"&amp;Assemblies[Assy]&amp;"'!"&amp;"A$5:A1000"))=0,NA(),SUMIF(INDIRECT("'"&amp;Assemblies[Assy]&amp;"'!"&amp;"C$5:C1000"), $A329, INDIRECT("'"&amp;Assemblies[Assy]&amp;"'!"&amp;"A$5:A1000")))),"")), " ,", ""))</f>
        <v>,</v>
      </c>
      <c r="S329" s="56" t="s">
        <v>1382</v>
      </c>
      <c r="T329" s="2" t="s">
        <v>1382</v>
      </c>
      <c r="U329" s="2" t="s">
        <v>1382</v>
      </c>
      <c r="V329" s="2" t="s">
        <v>1382</v>
      </c>
    </row>
    <row r="330" spans="1:22">
      <c r="A330" s="133" t="s">
        <v>1229</v>
      </c>
      <c r="B330" s="2" t="s">
        <v>3011</v>
      </c>
      <c r="C330" s="168">
        <v>5.88</v>
      </c>
      <c r="D330" s="5">
        <v>25</v>
      </c>
      <c r="E330" s="5" t="e" cm="1">
        <f t="array" aca="1" ref="E330" ca="1">SUMPRODUCT(SUMIF(INDIRECT("'"&amp;Assemblies[Assy]&amp;"'!"&amp;"C:C"),$A330,(INDIRECT("'"&amp;Assemblies[Assy]&amp;"'!"&amp;"O:O"))))</f>
        <v>#VALUE!</v>
      </c>
      <c r="F330" s="5" t="e">
        <f t="shared" ca="1" si="5"/>
        <v>#VALUE!</v>
      </c>
      <c r="G330" s="5">
        <v>1</v>
      </c>
      <c r="H330" s="2">
        <v>1</v>
      </c>
      <c r="I330" s="117" t="s">
        <v>2895</v>
      </c>
      <c r="J330" s="117" t="s">
        <v>2895</v>
      </c>
      <c r="K330" s="135" t="s">
        <v>1382</v>
      </c>
      <c r="L330" s="2" t="s">
        <v>1382</v>
      </c>
      <c r="M330" s="8" t="s">
        <v>1762</v>
      </c>
      <c r="N330" s="8">
        <v>45162</v>
      </c>
      <c r="O330" s="8">
        <v>45184</v>
      </c>
      <c r="P330" s="8">
        <v>45163</v>
      </c>
      <c r="Q330" s="229">
        <v>55089</v>
      </c>
      <c r="R330" s="115" t="str" cm="1">
        <f t="array" aca="1" ref="R330" ca="1">TRIM(SUBSTITUTE(_xlfn.ARRAYTOTEXT(IFERROR(CONCATENATE(SUMIF(INDIRECT("'"&amp;Assemblies[Assy]&amp;"'!"&amp;"C$5:C1000"), $A330, INDIRECT("'"&amp;Assemblies[Assy]&amp;"'!"&amp;"O$5:O1000")), "x",Assemblies[Assy],".",IF(SUMIF(INDIRECT("'"&amp;Assemblies[Assy]&amp;"'!"&amp;"C$5:C1000"), $A330, INDIRECT("'"&amp;Assemblies[Assy]&amp;"'!"&amp;"A$5:A1000"))=0,NA(),SUMIF(INDIRECT("'"&amp;Assemblies[Assy]&amp;"'!"&amp;"C$5:C1000"), $A330, INDIRECT("'"&amp;Assemblies[Assy]&amp;"'!"&amp;"A$5:A1000")))),"")), " ,", ""))</f>
        <v>,</v>
      </c>
      <c r="S330" s="56" t="s">
        <v>1382</v>
      </c>
      <c r="T330" s="2" t="s">
        <v>1382</v>
      </c>
      <c r="U330" s="2" t="s">
        <v>1382</v>
      </c>
      <c r="V330" s="2" t="s">
        <v>1382</v>
      </c>
    </row>
    <row r="331" spans="1:22">
      <c r="A331" s="133" t="s">
        <v>822</v>
      </c>
      <c r="B331" s="2" t="s">
        <v>3012</v>
      </c>
      <c r="C331" s="168">
        <v>8.59</v>
      </c>
      <c r="D331" s="5">
        <v>5</v>
      </c>
      <c r="E331" s="5" t="e" cm="1">
        <f t="array" aca="1" ref="E331" ca="1">SUMPRODUCT(SUMIF(INDIRECT("'"&amp;Assemblies[Assy]&amp;"'!"&amp;"C:C"),$A331,(INDIRECT("'"&amp;Assemblies[Assy]&amp;"'!"&amp;"O:O"))))</f>
        <v>#VALUE!</v>
      </c>
      <c r="F331" s="5" t="e">
        <f t="shared" ca="1" si="5"/>
        <v>#VALUE!</v>
      </c>
      <c r="G331" s="5">
        <v>1</v>
      </c>
      <c r="H331" s="2">
        <v>1</v>
      </c>
      <c r="I331" s="117" t="s">
        <v>2895</v>
      </c>
      <c r="J331" s="117" t="s">
        <v>2895</v>
      </c>
      <c r="K331" s="135" t="s">
        <v>1382</v>
      </c>
      <c r="L331" s="2" t="s">
        <v>1382</v>
      </c>
      <c r="M331" s="8" t="s">
        <v>1762</v>
      </c>
      <c r="N331" s="8">
        <v>45162</v>
      </c>
      <c r="O331" s="8">
        <v>45184</v>
      </c>
      <c r="P331" s="8">
        <v>45163</v>
      </c>
      <c r="Q331" s="229">
        <v>55089</v>
      </c>
      <c r="R331" s="115" t="str" cm="1">
        <f t="array" aca="1" ref="R331" ca="1">TRIM(SUBSTITUTE(_xlfn.ARRAYTOTEXT(IFERROR(CONCATENATE(SUMIF(INDIRECT("'"&amp;Assemblies[Assy]&amp;"'!"&amp;"C$5:C1000"), $A331, INDIRECT("'"&amp;Assemblies[Assy]&amp;"'!"&amp;"O$5:O1000")), "x",Assemblies[Assy],".",IF(SUMIF(INDIRECT("'"&amp;Assemblies[Assy]&amp;"'!"&amp;"C$5:C1000"), $A331, INDIRECT("'"&amp;Assemblies[Assy]&amp;"'!"&amp;"A$5:A1000"))=0,NA(),SUMIF(INDIRECT("'"&amp;Assemblies[Assy]&amp;"'!"&amp;"C$5:C1000"), $A331, INDIRECT("'"&amp;Assemblies[Assy]&amp;"'!"&amp;"A$5:A1000")))),"")), " ,", ""))</f>
        <v>,</v>
      </c>
      <c r="S331" s="56" t="s">
        <v>1382</v>
      </c>
      <c r="T331" s="2" t="s">
        <v>1382</v>
      </c>
      <c r="U331" s="2" t="s">
        <v>1382</v>
      </c>
      <c r="V331" s="2" t="s">
        <v>1382</v>
      </c>
    </row>
    <row r="332" spans="1:22">
      <c r="A332" s="133" t="s">
        <v>1227</v>
      </c>
      <c r="B332" s="2" t="s">
        <v>3013</v>
      </c>
      <c r="C332" s="168">
        <v>1.1100000000000001</v>
      </c>
      <c r="D332" s="5">
        <v>1</v>
      </c>
      <c r="E332" s="5" t="e" cm="1">
        <f t="array" aca="1" ref="E332" ca="1">SUMPRODUCT(SUMIF(INDIRECT("'"&amp;Assemblies[Assy]&amp;"'!"&amp;"C:C"),$A332,(INDIRECT("'"&amp;Assemblies[Assy]&amp;"'!"&amp;"O:O"))))</f>
        <v>#VALUE!</v>
      </c>
      <c r="F332" s="5" t="e">
        <f t="shared" ca="1" si="5"/>
        <v>#VALUE!</v>
      </c>
      <c r="G332" s="5">
        <v>16</v>
      </c>
      <c r="H332" s="2">
        <v>16</v>
      </c>
      <c r="I332" s="117" t="s">
        <v>2895</v>
      </c>
      <c r="J332" s="117" t="s">
        <v>2895</v>
      </c>
      <c r="K332" s="135" t="s">
        <v>1382</v>
      </c>
      <c r="L332" s="2" t="s">
        <v>1382</v>
      </c>
      <c r="M332" s="8" t="s">
        <v>1762</v>
      </c>
      <c r="N332" s="8">
        <v>45162</v>
      </c>
      <c r="O332" s="8">
        <v>45184</v>
      </c>
      <c r="P332" s="8">
        <v>45163</v>
      </c>
      <c r="Q332" s="229">
        <v>55089</v>
      </c>
      <c r="R332" s="115" t="str" cm="1">
        <f t="array" aca="1" ref="R332" ca="1">TRIM(SUBSTITUTE(_xlfn.ARRAYTOTEXT(IFERROR(CONCATENATE(SUMIF(INDIRECT("'"&amp;Assemblies[Assy]&amp;"'!"&amp;"C$5:C1000"), $A332, INDIRECT("'"&amp;Assemblies[Assy]&amp;"'!"&amp;"O$5:O1000")), "x",Assemblies[Assy],".",IF(SUMIF(INDIRECT("'"&amp;Assemblies[Assy]&amp;"'!"&amp;"C$5:C1000"), $A332, INDIRECT("'"&amp;Assemblies[Assy]&amp;"'!"&amp;"A$5:A1000"))=0,NA(),SUMIF(INDIRECT("'"&amp;Assemblies[Assy]&amp;"'!"&amp;"C$5:C1000"), $A332, INDIRECT("'"&amp;Assemblies[Assy]&amp;"'!"&amp;"A$5:A1000")))),"")), " ,", ""))</f>
        <v>,</v>
      </c>
      <c r="S332" s="56" t="s">
        <v>1382</v>
      </c>
      <c r="T332" s="2" t="s">
        <v>1382</v>
      </c>
      <c r="U332" s="2" t="s">
        <v>1382</v>
      </c>
      <c r="V332" s="2" t="s">
        <v>1382</v>
      </c>
    </row>
    <row r="333" spans="1:22">
      <c r="A333" s="133" t="s">
        <v>308</v>
      </c>
      <c r="B333" s="2" t="s">
        <v>3014</v>
      </c>
      <c r="C333" s="168">
        <v>1.1599999999999999</v>
      </c>
      <c r="D333" s="5">
        <v>1</v>
      </c>
      <c r="E333" s="5" t="e" cm="1">
        <f t="array" aca="1" ref="E333" ca="1">SUMPRODUCT(SUMIF(INDIRECT("'"&amp;Assemblies[Assy]&amp;"'!"&amp;"C:C"),$A333,(INDIRECT("'"&amp;Assemblies[Assy]&amp;"'!"&amp;"O:O"))))</f>
        <v>#VALUE!</v>
      </c>
      <c r="F333" s="5" t="e">
        <f t="shared" ca="1" si="5"/>
        <v>#VALUE!</v>
      </c>
      <c r="G333" s="5">
        <v>6</v>
      </c>
      <c r="H333" s="2">
        <v>6</v>
      </c>
      <c r="I333" s="117" t="s">
        <v>2895</v>
      </c>
      <c r="J333" s="117" t="s">
        <v>2895</v>
      </c>
      <c r="L333" s="2" t="s">
        <v>1382</v>
      </c>
      <c r="M333" s="8" t="s">
        <v>1762</v>
      </c>
      <c r="N333" s="8">
        <v>45196</v>
      </c>
      <c r="O333" s="8">
        <v>45197</v>
      </c>
      <c r="P333" s="8">
        <v>45197</v>
      </c>
      <c r="Q333" s="229">
        <v>55167</v>
      </c>
      <c r="R333" s="115" t="str" cm="1">
        <f t="array" aca="1" ref="R333" ca="1">TRIM(SUBSTITUTE(_xlfn.ARRAYTOTEXT(IFERROR(CONCATENATE(SUMIF(INDIRECT("'"&amp;Assemblies[Assy]&amp;"'!"&amp;"C$5:C1000"), $A333, INDIRECT("'"&amp;Assemblies[Assy]&amp;"'!"&amp;"O$5:O1000")), "x",Assemblies[Assy],".",IF(SUMIF(INDIRECT("'"&amp;Assemblies[Assy]&amp;"'!"&amp;"C$5:C1000"), $A333, INDIRECT("'"&amp;Assemblies[Assy]&amp;"'!"&amp;"A$5:A1000"))=0,NA(),SUMIF(INDIRECT("'"&amp;Assemblies[Assy]&amp;"'!"&amp;"C$5:C1000"), $A333, INDIRECT("'"&amp;Assemblies[Assy]&amp;"'!"&amp;"A$5:A1000")))),"")), " ,", ""))</f>
        <v>,</v>
      </c>
      <c r="S333" s="56" t="s">
        <v>1382</v>
      </c>
      <c r="T333" s="2" t="s">
        <v>1382</v>
      </c>
      <c r="U333" s="2" t="s">
        <v>1382</v>
      </c>
      <c r="V333" s="2" t="s">
        <v>1382</v>
      </c>
    </row>
    <row r="334" spans="1:22">
      <c r="A334" s="133" t="s">
        <v>1287</v>
      </c>
      <c r="B334" s="188" t="s">
        <v>3015</v>
      </c>
      <c r="C334" s="168">
        <v>2.79</v>
      </c>
      <c r="D334" s="5">
        <v>1</v>
      </c>
      <c r="E334" s="5" t="e" cm="1">
        <f t="array" aca="1" ref="E334" ca="1">SUMPRODUCT(SUMIF(INDIRECT("'"&amp;Assemblies[Assy]&amp;"'!"&amp;"C:C"),$A334,(INDIRECT("'"&amp;Assemblies[Assy]&amp;"'!"&amp;"O:O"))))</f>
        <v>#VALUE!</v>
      </c>
      <c r="F334" s="5" t="e">
        <f t="shared" ca="1" si="5"/>
        <v>#VALUE!</v>
      </c>
      <c r="G334" s="5">
        <v>4</v>
      </c>
      <c r="H334" s="2">
        <v>4</v>
      </c>
      <c r="I334" s="117" t="s">
        <v>2895</v>
      </c>
      <c r="J334" s="117" t="s">
        <v>2895</v>
      </c>
      <c r="K334" s="135" t="s">
        <v>1382</v>
      </c>
      <c r="L334" s="2" t="s">
        <v>1382</v>
      </c>
      <c r="M334" s="8" t="s">
        <v>1762</v>
      </c>
      <c r="N334" s="8">
        <v>45162</v>
      </c>
      <c r="O334" s="8">
        <v>45184</v>
      </c>
      <c r="P334" s="8">
        <v>45163</v>
      </c>
      <c r="Q334" s="229">
        <v>55089</v>
      </c>
      <c r="R334" s="115" t="str" cm="1">
        <f t="array" aca="1" ref="R334" ca="1">TRIM(SUBSTITUTE(_xlfn.ARRAYTOTEXT(IFERROR(CONCATENATE(SUMIF(INDIRECT("'"&amp;Assemblies[Assy]&amp;"'!"&amp;"C$5:C1000"), $A334, INDIRECT("'"&amp;Assemblies[Assy]&amp;"'!"&amp;"O$5:O1000")), "x",Assemblies[Assy],".",IF(SUMIF(INDIRECT("'"&amp;Assemblies[Assy]&amp;"'!"&amp;"C$5:C1000"), $A334, INDIRECT("'"&amp;Assemblies[Assy]&amp;"'!"&amp;"A$5:A1000"))=0,NA(),SUMIF(INDIRECT("'"&amp;Assemblies[Assy]&amp;"'!"&amp;"C$5:C1000"), $A334, INDIRECT("'"&amp;Assemblies[Assy]&amp;"'!"&amp;"A$5:A1000")))),"")), " ,", ""))</f>
        <v>,</v>
      </c>
      <c r="S334" s="56" t="s">
        <v>1382</v>
      </c>
      <c r="T334" s="2" t="s">
        <v>1382</v>
      </c>
      <c r="U334" s="2" t="s">
        <v>1382</v>
      </c>
      <c r="V334" s="2" t="s">
        <v>1382</v>
      </c>
    </row>
    <row r="335" spans="1:22">
      <c r="A335" s="133" t="s">
        <v>1325</v>
      </c>
      <c r="B335" s="188" t="s">
        <v>3016</v>
      </c>
      <c r="C335" s="168">
        <v>3.28</v>
      </c>
      <c r="D335" s="5">
        <v>1</v>
      </c>
      <c r="E335" s="5" t="e" cm="1">
        <f t="array" aca="1" ref="E335" ca="1">SUMPRODUCT(SUMIF(INDIRECT("'"&amp;Assemblies[Assy]&amp;"'!"&amp;"C:C"),$A335,(INDIRECT("'"&amp;Assemblies[Assy]&amp;"'!"&amp;"O:O"))))</f>
        <v>#VALUE!</v>
      </c>
      <c r="F335" s="5" t="e">
        <f t="shared" ca="1" si="5"/>
        <v>#VALUE!</v>
      </c>
      <c r="G335" s="5">
        <v>4</v>
      </c>
      <c r="H335" s="2">
        <v>4</v>
      </c>
      <c r="I335" s="117" t="s">
        <v>2895</v>
      </c>
      <c r="J335" s="117" t="s">
        <v>2895</v>
      </c>
      <c r="K335" s="135" t="s">
        <v>1382</v>
      </c>
      <c r="L335" s="2" t="s">
        <v>1382</v>
      </c>
      <c r="M335" s="8" t="s">
        <v>1762</v>
      </c>
      <c r="N335" s="8">
        <v>45162</v>
      </c>
      <c r="O335" s="8">
        <v>45184</v>
      </c>
      <c r="P335" s="8">
        <v>45163</v>
      </c>
      <c r="Q335" s="229">
        <v>55089</v>
      </c>
      <c r="R335" s="115" t="str" cm="1">
        <f t="array" aca="1" ref="R335" ca="1">TRIM(SUBSTITUTE(_xlfn.ARRAYTOTEXT(IFERROR(CONCATENATE(SUMIF(INDIRECT("'"&amp;Assemblies[Assy]&amp;"'!"&amp;"C$5:C1000"), $A335, INDIRECT("'"&amp;Assemblies[Assy]&amp;"'!"&amp;"O$5:O1000")), "x",Assemblies[Assy],".",IF(SUMIF(INDIRECT("'"&amp;Assemblies[Assy]&amp;"'!"&amp;"C$5:C1000"), $A335, INDIRECT("'"&amp;Assemblies[Assy]&amp;"'!"&amp;"A$5:A1000"))=0,NA(),SUMIF(INDIRECT("'"&amp;Assemblies[Assy]&amp;"'!"&amp;"C$5:C1000"), $A335, INDIRECT("'"&amp;Assemblies[Assy]&amp;"'!"&amp;"A$5:A1000")))),"")), " ,", ""))</f>
        <v>,</v>
      </c>
      <c r="S335" s="56" t="s">
        <v>1382</v>
      </c>
      <c r="T335" s="2" t="s">
        <v>1382</v>
      </c>
      <c r="U335" s="2" t="s">
        <v>1382</v>
      </c>
      <c r="V335" s="2" t="s">
        <v>1382</v>
      </c>
    </row>
    <row r="336" spans="1:22">
      <c r="A336" s="133" t="s">
        <v>942</v>
      </c>
      <c r="B336" s="2" t="s">
        <v>3017</v>
      </c>
      <c r="C336" s="168">
        <v>1.37</v>
      </c>
      <c r="D336" s="5">
        <v>1</v>
      </c>
      <c r="E336" s="5" t="e" cm="1">
        <f t="array" aca="1" ref="E336" ca="1">SUMPRODUCT(SUMIF(INDIRECT("'"&amp;Assemblies[Assy]&amp;"'!"&amp;"C:C"),$A336,(INDIRECT("'"&amp;Assemblies[Assy]&amp;"'!"&amp;"O:O"))))</f>
        <v>#VALUE!</v>
      </c>
      <c r="F336" s="5" t="e">
        <f t="shared" ca="1" si="5"/>
        <v>#VALUE!</v>
      </c>
      <c r="G336" s="5">
        <v>8</v>
      </c>
      <c r="H336" s="2">
        <v>8</v>
      </c>
      <c r="I336" s="117" t="s">
        <v>2895</v>
      </c>
      <c r="J336" s="117" t="s">
        <v>2895</v>
      </c>
      <c r="K336" s="135" t="s">
        <v>1382</v>
      </c>
      <c r="L336" s="2" t="s">
        <v>1382</v>
      </c>
      <c r="M336" s="8" t="s">
        <v>1762</v>
      </c>
      <c r="N336" s="8">
        <v>45162</v>
      </c>
      <c r="O336" s="8">
        <v>45184</v>
      </c>
      <c r="P336" s="8">
        <v>45163</v>
      </c>
      <c r="Q336" s="229">
        <v>55089</v>
      </c>
      <c r="R336" s="115" t="str" cm="1">
        <f t="array" aca="1" ref="R336" ca="1">TRIM(SUBSTITUTE(_xlfn.ARRAYTOTEXT(IFERROR(CONCATENATE(SUMIF(INDIRECT("'"&amp;Assemblies[Assy]&amp;"'!"&amp;"C$5:C1000"), $A336, INDIRECT("'"&amp;Assemblies[Assy]&amp;"'!"&amp;"O$5:O1000")), "x",Assemblies[Assy],".",IF(SUMIF(INDIRECT("'"&amp;Assemblies[Assy]&amp;"'!"&amp;"C$5:C1000"), $A336, INDIRECT("'"&amp;Assemblies[Assy]&amp;"'!"&amp;"A$5:A1000"))=0,NA(),SUMIF(INDIRECT("'"&amp;Assemblies[Assy]&amp;"'!"&amp;"C$5:C1000"), $A336, INDIRECT("'"&amp;Assemblies[Assy]&amp;"'!"&amp;"A$5:A1000")))),"")), " ,", ""))</f>
        <v>,</v>
      </c>
      <c r="S336" s="56" t="s">
        <v>1382</v>
      </c>
      <c r="T336" s="2" t="s">
        <v>1382</v>
      </c>
      <c r="U336" s="2" t="s">
        <v>1382</v>
      </c>
      <c r="V336" s="2" t="s">
        <v>1382</v>
      </c>
    </row>
    <row r="337" spans="1:22">
      <c r="A337" s="133" t="s">
        <v>307</v>
      </c>
      <c r="B337" s="2" t="s">
        <v>3018</v>
      </c>
      <c r="C337" s="203">
        <v>6.56</v>
      </c>
      <c r="D337" s="5">
        <v>100</v>
      </c>
      <c r="E337" s="5" t="e" cm="1">
        <f t="array" aca="1" ref="E337" ca="1">SUMPRODUCT(SUMIF(INDIRECT("'"&amp;Assemblies[Assy]&amp;"'!"&amp;"C:C"),$A337,(INDIRECT("'"&amp;Assemblies[Assy]&amp;"'!"&amp;"O:O"))))</f>
        <v>#VALUE!</v>
      </c>
      <c r="F337" s="5" t="e">
        <f t="shared" ca="1" si="5"/>
        <v>#VALUE!</v>
      </c>
      <c r="G337" s="5">
        <v>6</v>
      </c>
      <c r="H337" s="2">
        <v>6</v>
      </c>
      <c r="I337" s="117" t="s">
        <v>2895</v>
      </c>
      <c r="J337" s="117" t="s">
        <v>2895</v>
      </c>
      <c r="K337" s="135" t="s">
        <v>1382</v>
      </c>
      <c r="L337" s="2" t="s">
        <v>3019</v>
      </c>
      <c r="M337" s="8" t="s">
        <v>1762</v>
      </c>
      <c r="N337" s="8">
        <v>45162</v>
      </c>
      <c r="O337" s="8">
        <v>45184</v>
      </c>
      <c r="P337" s="8">
        <v>45163</v>
      </c>
      <c r="Q337" s="229" t="s">
        <v>3020</v>
      </c>
      <c r="R337" s="115" t="str" cm="1">
        <f t="array" aca="1" ref="R337" ca="1">TRIM(SUBSTITUTE(_xlfn.ARRAYTOTEXT(IFERROR(CONCATENATE(SUMIF(INDIRECT("'"&amp;Assemblies[Assy]&amp;"'!"&amp;"C$5:C1000"), $A337, INDIRECT("'"&amp;Assemblies[Assy]&amp;"'!"&amp;"O$5:O1000")), "x",Assemblies[Assy],".",IF(SUMIF(INDIRECT("'"&amp;Assemblies[Assy]&amp;"'!"&amp;"C$5:C1000"), $A337, INDIRECT("'"&amp;Assemblies[Assy]&amp;"'!"&amp;"A$5:A1000"))=0,NA(),SUMIF(INDIRECT("'"&amp;Assemblies[Assy]&amp;"'!"&amp;"C$5:C1000"), $A337, INDIRECT("'"&amp;Assemblies[Assy]&amp;"'!"&amp;"A$5:A1000")))),"")), " ,", ""))</f>
        <v>,</v>
      </c>
      <c r="S337" s="56" t="s">
        <v>1382</v>
      </c>
      <c r="T337" s="2" t="s">
        <v>1382</v>
      </c>
      <c r="U337" s="2" t="s">
        <v>1382</v>
      </c>
      <c r="V337" s="2" t="s">
        <v>1382</v>
      </c>
    </row>
    <row r="338" spans="1:22">
      <c r="A338" s="133" t="s">
        <v>845</v>
      </c>
      <c r="B338" s="2" t="s">
        <v>3021</v>
      </c>
      <c r="C338" s="168">
        <v>5.5</v>
      </c>
      <c r="D338" s="5">
        <v>25</v>
      </c>
      <c r="E338" s="5" t="e" cm="1">
        <f t="array" aca="1" ref="E338" ca="1">SUMPRODUCT(SUMIF(INDIRECT("'"&amp;Assemblies[Assy]&amp;"'!"&amp;"C:C"),$A338,(INDIRECT("'"&amp;Assemblies[Assy]&amp;"'!"&amp;"O:O"))))</f>
        <v>#VALUE!</v>
      </c>
      <c r="F338" s="5" t="e">
        <f t="shared" ca="1" si="5"/>
        <v>#VALUE!</v>
      </c>
      <c r="G338" s="5">
        <v>2</v>
      </c>
      <c r="H338" s="2">
        <v>2</v>
      </c>
      <c r="I338" s="117" t="s">
        <v>2895</v>
      </c>
      <c r="J338" s="117" t="s">
        <v>2895</v>
      </c>
      <c r="K338" s="135" t="s">
        <v>1382</v>
      </c>
      <c r="L338" s="2" t="s">
        <v>1382</v>
      </c>
      <c r="M338" s="8" t="s">
        <v>1762</v>
      </c>
      <c r="N338" s="8">
        <v>45162</v>
      </c>
      <c r="O338" s="8">
        <v>45184</v>
      </c>
      <c r="P338" s="8">
        <v>45163</v>
      </c>
      <c r="Q338" s="229">
        <v>55089</v>
      </c>
      <c r="R338" s="115" t="str" cm="1">
        <f t="array" aca="1" ref="R338" ca="1">TRIM(SUBSTITUTE(_xlfn.ARRAYTOTEXT(IFERROR(CONCATENATE(SUMIF(INDIRECT("'"&amp;Assemblies[Assy]&amp;"'!"&amp;"C$5:C1000"), $A338, INDIRECT("'"&amp;Assemblies[Assy]&amp;"'!"&amp;"O$5:O1000")), "x",Assemblies[Assy],".",IF(SUMIF(INDIRECT("'"&amp;Assemblies[Assy]&amp;"'!"&amp;"C$5:C1000"), $A338, INDIRECT("'"&amp;Assemblies[Assy]&amp;"'!"&amp;"A$5:A1000"))=0,NA(),SUMIF(INDIRECT("'"&amp;Assemblies[Assy]&amp;"'!"&amp;"C$5:C1000"), $A338, INDIRECT("'"&amp;Assemblies[Assy]&amp;"'!"&amp;"A$5:A1000")))),"")), " ,", ""))</f>
        <v>,</v>
      </c>
      <c r="S338" s="56" t="s">
        <v>1382</v>
      </c>
      <c r="T338" s="2" t="s">
        <v>1382</v>
      </c>
      <c r="U338" s="2" t="s">
        <v>1382</v>
      </c>
      <c r="V338" s="2" t="s">
        <v>1382</v>
      </c>
    </row>
    <row r="339" spans="1:22">
      <c r="A339" s="133" t="s">
        <v>848</v>
      </c>
      <c r="B339" s="2" t="s">
        <v>3022</v>
      </c>
      <c r="C339" s="168">
        <v>6.8</v>
      </c>
      <c r="D339" s="5">
        <v>100</v>
      </c>
      <c r="E339" s="5" t="e" cm="1">
        <f t="array" aca="1" ref="E339" ca="1">SUMPRODUCT(SUMIF(INDIRECT("'"&amp;Assemblies[Assy]&amp;"'!"&amp;"C:C"),$A339,(INDIRECT("'"&amp;Assemblies[Assy]&amp;"'!"&amp;"O:O"))))</f>
        <v>#VALUE!</v>
      </c>
      <c r="F339" s="5" t="e">
        <f t="shared" ca="1" si="5"/>
        <v>#VALUE!</v>
      </c>
      <c r="G339" s="5">
        <v>1</v>
      </c>
      <c r="H339" s="2">
        <v>1</v>
      </c>
      <c r="I339" s="117" t="s">
        <v>2895</v>
      </c>
      <c r="J339" s="117" t="s">
        <v>2895</v>
      </c>
      <c r="K339" s="135" t="s">
        <v>1382</v>
      </c>
      <c r="L339" s="2" t="s">
        <v>1382</v>
      </c>
      <c r="M339" s="8" t="s">
        <v>1762</v>
      </c>
      <c r="N339" s="8">
        <v>45162</v>
      </c>
      <c r="O339" s="8">
        <v>45184</v>
      </c>
      <c r="P339" s="8">
        <v>45163</v>
      </c>
      <c r="Q339" s="229">
        <v>55089</v>
      </c>
      <c r="R339" s="115" t="str" cm="1">
        <f t="array" aca="1" ref="R339" ca="1">TRIM(SUBSTITUTE(_xlfn.ARRAYTOTEXT(IFERROR(CONCATENATE(SUMIF(INDIRECT("'"&amp;Assemblies[Assy]&amp;"'!"&amp;"C$5:C1000"), $A339, INDIRECT("'"&amp;Assemblies[Assy]&amp;"'!"&amp;"O$5:O1000")), "x",Assemblies[Assy],".",IF(SUMIF(INDIRECT("'"&amp;Assemblies[Assy]&amp;"'!"&amp;"C$5:C1000"), $A339, INDIRECT("'"&amp;Assemblies[Assy]&amp;"'!"&amp;"A$5:A1000"))=0,NA(),SUMIF(INDIRECT("'"&amp;Assemblies[Assy]&amp;"'!"&amp;"C$5:C1000"), $A339, INDIRECT("'"&amp;Assemblies[Assy]&amp;"'!"&amp;"A$5:A1000")))),"")), " ,", ""))</f>
        <v>,</v>
      </c>
      <c r="S339" s="56" t="s">
        <v>1382</v>
      </c>
      <c r="T339" s="2" t="s">
        <v>1382</v>
      </c>
      <c r="U339" s="2" t="s">
        <v>1382</v>
      </c>
      <c r="V339" s="2" t="s">
        <v>1382</v>
      </c>
    </row>
    <row r="340" spans="1:22">
      <c r="A340" s="133" t="s">
        <v>824</v>
      </c>
      <c r="B340" s="188" t="s">
        <v>3023</v>
      </c>
      <c r="C340" s="168">
        <v>8.4700000000000006</v>
      </c>
      <c r="D340" s="5">
        <v>5</v>
      </c>
      <c r="E340" s="5" t="e" cm="1">
        <f t="array" aca="1" ref="E340" ca="1">SUMPRODUCT(SUMIF(INDIRECT("'"&amp;Assemblies[Assy]&amp;"'!"&amp;"C:C"),$A340,(INDIRECT("'"&amp;Assemblies[Assy]&amp;"'!"&amp;"O:O"))))</f>
        <v>#VALUE!</v>
      </c>
      <c r="F340" s="5" t="e">
        <f t="shared" ca="1" si="5"/>
        <v>#VALUE!</v>
      </c>
      <c r="G340" s="5">
        <v>2</v>
      </c>
      <c r="H340" s="2">
        <v>2</v>
      </c>
      <c r="I340" s="117" t="s">
        <v>2895</v>
      </c>
      <c r="J340" s="117" t="s">
        <v>2895</v>
      </c>
      <c r="K340" s="135" t="s">
        <v>1382</v>
      </c>
      <c r="L340" s="2" t="s">
        <v>1382</v>
      </c>
      <c r="M340" s="8" t="s">
        <v>1762</v>
      </c>
      <c r="N340" s="8">
        <v>45162</v>
      </c>
      <c r="O340" s="8">
        <v>45184</v>
      </c>
      <c r="P340" s="8">
        <v>45163</v>
      </c>
      <c r="Q340" s="229">
        <v>55089</v>
      </c>
      <c r="R340" s="115" t="str" cm="1">
        <f t="array" aca="1" ref="R340" ca="1">TRIM(SUBSTITUTE(_xlfn.ARRAYTOTEXT(IFERROR(CONCATENATE(SUMIF(INDIRECT("'"&amp;Assemblies[Assy]&amp;"'!"&amp;"C$5:C1000"), $A340, INDIRECT("'"&amp;Assemblies[Assy]&amp;"'!"&amp;"O$5:O1000")), "x",Assemblies[Assy],".",IF(SUMIF(INDIRECT("'"&amp;Assemblies[Assy]&amp;"'!"&amp;"C$5:C1000"), $A340, INDIRECT("'"&amp;Assemblies[Assy]&amp;"'!"&amp;"A$5:A1000"))=0,NA(),SUMIF(INDIRECT("'"&amp;Assemblies[Assy]&amp;"'!"&amp;"C$5:C1000"), $A340, INDIRECT("'"&amp;Assemblies[Assy]&amp;"'!"&amp;"A$5:A1000")))),"")), " ,", ""))</f>
        <v>,</v>
      </c>
    </row>
    <row r="341" spans="1:22">
      <c r="A341" s="133" t="s">
        <v>3024</v>
      </c>
      <c r="B341" s="2" t="s">
        <v>3025</v>
      </c>
      <c r="C341" s="203">
        <v>107.53</v>
      </c>
      <c r="D341" s="5">
        <v>1</v>
      </c>
      <c r="E341" s="5" cm="1">
        <f t="array" aca="1" ref="E341" ca="1">SUMPRODUCT(SUMIF(INDIRECT("'"&amp;Assemblies[Assy]&amp;"'!"&amp;"C:C"),$A341,(INDIRECT("'"&amp;Assemblies[Assy]&amp;"'!"&amp;"O:O"))))</f>
        <v>0</v>
      </c>
      <c r="F341" s="5">
        <f t="shared" ca="1" si="5"/>
        <v>0</v>
      </c>
      <c r="G341" s="5">
        <v>2</v>
      </c>
      <c r="H341" s="2">
        <v>2</v>
      </c>
      <c r="I341" s="117" t="s">
        <v>2895</v>
      </c>
      <c r="J341" s="117" t="s">
        <v>2895</v>
      </c>
      <c r="L341" s="2" t="s">
        <v>3026</v>
      </c>
      <c r="M341" s="8" t="s">
        <v>1762</v>
      </c>
      <c r="N341" s="8">
        <v>45216</v>
      </c>
      <c r="O341" s="8">
        <v>45217</v>
      </c>
      <c r="P341" s="8">
        <v>45217</v>
      </c>
      <c r="Q341" s="229">
        <v>55215</v>
      </c>
      <c r="R341" s="115" t="str" cm="1">
        <f t="array" aca="1" ref="R341" ca="1">TRIM(SUBSTITUTE(_xlfn.ARRAYTOTEXT(IFERROR(CONCATENATE(SUMIF(INDIRECT("'"&amp;Assemblies!$B$2:$B$152&amp;"'!"&amp;"C$5:C1000"), $A341, INDIRECT("'"&amp;Assemblies!$B$2:$B$152&amp;"'!"&amp;"O$5:O1000")), "x",Assemblies!$B$2:$B$152,".",IF(SUMIF(INDIRECT("'"&amp;Assemblies!$B$2:$B$152&amp;"'!"&amp;"C$5:C1000"), $A341, INDIRECT("'"&amp;Assemblies!$B$2:$B$152&amp;"'!"&amp;"A$5:A1000"))=0,NA(),SUMIF(INDIRECT("'"&amp;Assemblies!$B$2:$B$152&amp;"'!"&amp;"C$5:C1000"), $A341, INDIRECT("'"&amp;Assemblies!$B$2:$B$152&amp;"'!"&amp;"A$5:A1000")))),"")), " ,", ""))</f>
        <v>,</v>
      </c>
    </row>
    <row r="342" spans="1:22">
      <c r="A342" s="133" t="s">
        <v>412</v>
      </c>
      <c r="B342" s="2" t="s">
        <v>3027</v>
      </c>
      <c r="C342" s="203">
        <v>10</v>
      </c>
      <c r="D342" s="5">
        <v>25</v>
      </c>
      <c r="E342" s="5" t="e" cm="1">
        <f t="array" aca="1" ref="E342" ca="1">SUMPRODUCT(SUMIF(INDIRECT("'"&amp;Assemblies[Assy]&amp;"'!"&amp;"C:C"),$A342,(INDIRECT("'"&amp;Assemblies[Assy]&amp;"'!"&amp;"O:O"))))</f>
        <v>#VALUE!</v>
      </c>
      <c r="F342" s="5" t="e">
        <f t="shared" ca="1" si="5"/>
        <v>#VALUE!</v>
      </c>
      <c r="G342" s="5">
        <v>1</v>
      </c>
      <c r="H342" s="2">
        <v>1</v>
      </c>
      <c r="I342" s="117" t="s">
        <v>2895</v>
      </c>
      <c r="J342" s="117" t="s">
        <v>2895</v>
      </c>
      <c r="K342" s="135" t="s">
        <v>1382</v>
      </c>
      <c r="L342" s="2" t="s">
        <v>2978</v>
      </c>
      <c r="M342" s="8" t="s">
        <v>1762</v>
      </c>
      <c r="N342" s="8">
        <v>45162</v>
      </c>
      <c r="O342" s="8">
        <v>45184</v>
      </c>
      <c r="P342" s="8">
        <v>45163</v>
      </c>
      <c r="Q342" s="229">
        <v>55089</v>
      </c>
      <c r="R342" s="115" t="str" cm="1">
        <f t="array" aca="1" ref="R342" ca="1">TRIM(SUBSTITUTE(_xlfn.ARRAYTOTEXT(IFERROR(CONCATENATE(SUMIF(INDIRECT("'"&amp;Assemblies[Assy]&amp;"'!"&amp;"C$5:C1000"), $A342, INDIRECT("'"&amp;Assemblies[Assy]&amp;"'!"&amp;"O$5:O1000")), "x",Assemblies[Assy],".",IF(SUMIF(INDIRECT("'"&amp;Assemblies[Assy]&amp;"'!"&amp;"C$5:C1000"), $A342, INDIRECT("'"&amp;Assemblies[Assy]&amp;"'!"&amp;"A$5:A1000"))=0,NA(),SUMIF(INDIRECT("'"&amp;Assemblies[Assy]&amp;"'!"&amp;"C$5:C1000"), $A342, INDIRECT("'"&amp;Assemblies[Assy]&amp;"'!"&amp;"A$5:A1000")))),"")), " ,", ""))</f>
        <v>,</v>
      </c>
    </row>
    <row r="343" spans="1:22">
      <c r="A343" s="133" t="s">
        <v>1228</v>
      </c>
      <c r="B343" s="2" t="s">
        <v>3028</v>
      </c>
      <c r="C343" s="168">
        <v>6.85</v>
      </c>
      <c r="D343" s="5">
        <v>100</v>
      </c>
      <c r="E343" s="5" t="e" cm="1">
        <f t="array" aca="1" ref="E343" ca="1">SUMPRODUCT(SUMIF(INDIRECT("'"&amp;Assemblies[Assy]&amp;"'!"&amp;"C:C"),$A343,(INDIRECT("'"&amp;Assemblies[Assy]&amp;"'!"&amp;"O:O"))))</f>
        <v>#VALUE!</v>
      </c>
      <c r="F343" s="5" t="e">
        <f t="shared" ca="1" si="5"/>
        <v>#VALUE!</v>
      </c>
      <c r="G343" s="5">
        <v>1</v>
      </c>
      <c r="H343" s="2">
        <v>1</v>
      </c>
      <c r="I343" s="117" t="s">
        <v>2895</v>
      </c>
      <c r="J343" s="117" t="s">
        <v>2895</v>
      </c>
      <c r="K343" s="135" t="s">
        <v>1382</v>
      </c>
      <c r="L343" s="2" t="s">
        <v>1382</v>
      </c>
      <c r="M343" s="8" t="s">
        <v>1762</v>
      </c>
      <c r="N343" s="8">
        <v>45162</v>
      </c>
      <c r="O343" s="8">
        <v>45184</v>
      </c>
      <c r="P343" s="8">
        <v>45163</v>
      </c>
      <c r="Q343" s="229">
        <v>55089</v>
      </c>
      <c r="R343" s="115" t="str" cm="1">
        <f t="array" aca="1" ref="R343" ca="1">TRIM(SUBSTITUTE(_xlfn.ARRAYTOTEXT(IFERROR(CONCATENATE(SUMIF(INDIRECT("'"&amp;Assemblies[Assy]&amp;"'!"&amp;"C$5:C1000"), $A343, INDIRECT("'"&amp;Assemblies[Assy]&amp;"'!"&amp;"O$5:O1000")), "x",Assemblies[Assy],".",IF(SUMIF(INDIRECT("'"&amp;Assemblies[Assy]&amp;"'!"&amp;"C$5:C1000"), $A343, INDIRECT("'"&amp;Assemblies[Assy]&amp;"'!"&amp;"A$5:A1000"))=0,NA(),SUMIF(INDIRECT("'"&amp;Assemblies[Assy]&amp;"'!"&amp;"C$5:C1000"), $A343, INDIRECT("'"&amp;Assemblies[Assy]&amp;"'!"&amp;"A$5:A1000")))),"")), " ,", ""))</f>
        <v>,</v>
      </c>
    </row>
    <row r="344" spans="1:22">
      <c r="A344" s="133" t="s">
        <v>617</v>
      </c>
      <c r="B344" s="2" t="s">
        <v>3029</v>
      </c>
      <c r="C344" s="204">
        <v>7.14</v>
      </c>
      <c r="D344" s="5">
        <v>1</v>
      </c>
      <c r="E344" s="5" t="e" cm="1">
        <f t="array" aca="1" ref="E344" ca="1">SUMPRODUCT(SUMIF(INDIRECT("'"&amp;Assemblies[Assy]&amp;"'!"&amp;"C:C"),$A344,(INDIRECT("'"&amp;Assemblies[Assy]&amp;"'!"&amp;"O:O"))))</f>
        <v>#VALUE!</v>
      </c>
      <c r="F344" s="5" t="e">
        <f t="shared" ca="1" si="5"/>
        <v>#VALUE!</v>
      </c>
      <c r="G344" s="5">
        <v>4</v>
      </c>
      <c r="H344" s="2">
        <v>4</v>
      </c>
      <c r="I344" s="117" t="s">
        <v>2895</v>
      </c>
      <c r="J344" s="117" t="s">
        <v>2895</v>
      </c>
      <c r="K344" s="135" t="s">
        <v>1382</v>
      </c>
      <c r="L344" s="2" t="s">
        <v>1382</v>
      </c>
      <c r="M344" s="8" t="s">
        <v>1762</v>
      </c>
      <c r="N344" s="8">
        <v>45162</v>
      </c>
      <c r="O344" s="8">
        <v>45184</v>
      </c>
      <c r="P344" s="8">
        <v>45163</v>
      </c>
      <c r="Q344" s="229">
        <v>55089</v>
      </c>
      <c r="R344" s="115" t="str" cm="1">
        <f t="array" aca="1" ref="R344" ca="1">TRIM(SUBSTITUTE(_xlfn.ARRAYTOTEXT(IFERROR(CONCATENATE(SUMIF(INDIRECT("'"&amp;Assemblies[Assy]&amp;"'!"&amp;"C$5:C1000"), $A344, INDIRECT("'"&amp;Assemblies[Assy]&amp;"'!"&amp;"O$5:O1000")), "x",Assemblies[Assy],".",IF(SUMIF(INDIRECT("'"&amp;Assemblies[Assy]&amp;"'!"&amp;"C$5:C1000"), $A344, INDIRECT("'"&amp;Assemblies[Assy]&amp;"'!"&amp;"A$5:A1000"))=0,NA(),SUMIF(INDIRECT("'"&amp;Assemblies[Assy]&amp;"'!"&amp;"C$5:C1000"), $A344, INDIRECT("'"&amp;Assemblies[Assy]&amp;"'!"&amp;"A$5:A1000")))),"")), " ,", ""))</f>
        <v>,</v>
      </c>
    </row>
    <row r="345" spans="1:22">
      <c r="A345" s="133" t="s">
        <v>3030</v>
      </c>
      <c r="B345" s="2" t="s">
        <v>3031</v>
      </c>
      <c r="C345" s="203">
        <v>13.95</v>
      </c>
      <c r="D345" s="5">
        <v>10</v>
      </c>
      <c r="E345" s="5" cm="1">
        <f t="array" aca="1" ref="E345" ca="1">SUMPRODUCT(SUMIF(INDIRECT("'"&amp;Assemblies[Assy]&amp;"'!"&amp;"C:C"),$A345,(INDIRECT("'"&amp;Assemblies[Assy]&amp;"'!"&amp;"O:O"))))</f>
        <v>0</v>
      </c>
      <c r="F345" s="5">
        <f t="shared" ca="1" si="5"/>
        <v>0</v>
      </c>
      <c r="G345" s="5">
        <v>1</v>
      </c>
      <c r="H345" s="2">
        <v>1</v>
      </c>
      <c r="I345" s="117" t="s">
        <v>2895</v>
      </c>
      <c r="J345" s="117" t="s">
        <v>2895</v>
      </c>
      <c r="K345" s="135" t="s">
        <v>1382</v>
      </c>
      <c r="L345" s="2" t="s">
        <v>1779</v>
      </c>
      <c r="M345" s="8" t="s">
        <v>1762</v>
      </c>
      <c r="N345" s="8">
        <v>45162</v>
      </c>
      <c r="O345" s="8">
        <v>45184</v>
      </c>
      <c r="P345" s="8">
        <v>45163</v>
      </c>
      <c r="Q345" s="229">
        <v>55089</v>
      </c>
      <c r="R345" s="115" t="str" cm="1">
        <f t="array" aca="1" ref="R345" ca="1">TRIM(SUBSTITUTE(_xlfn.ARRAYTOTEXT(IFERROR(CONCATENATE(SUMIF(INDIRECT("'"&amp;Assemblies[Assy]&amp;"'!"&amp;"C$5:C1000"), $A345, INDIRECT("'"&amp;Assemblies[Assy]&amp;"'!"&amp;"O$5:O1000")), "x",Assemblies[Assy],".",IF(SUMIF(INDIRECT("'"&amp;Assemblies[Assy]&amp;"'!"&amp;"C$5:C1000"), $A345, INDIRECT("'"&amp;Assemblies[Assy]&amp;"'!"&amp;"A$5:A1000"))=0,NA(),SUMIF(INDIRECT("'"&amp;Assemblies[Assy]&amp;"'!"&amp;"C$5:C1000"), $A345, INDIRECT("'"&amp;Assemblies[Assy]&amp;"'!"&amp;"A$5:A1000")))),"")), " ,", ""))</f>
        <v>,</v>
      </c>
    </row>
    <row r="346" spans="1:22">
      <c r="A346" s="133" t="s">
        <v>1176</v>
      </c>
      <c r="B346" s="2" t="s">
        <v>3032</v>
      </c>
      <c r="C346" s="168">
        <v>13.95</v>
      </c>
      <c r="D346" s="5">
        <v>25</v>
      </c>
      <c r="E346" s="5" t="e" cm="1">
        <f t="array" aca="1" ref="E346" ca="1">SUMPRODUCT(SUMIF(INDIRECT("'"&amp;Assemblies[Assy]&amp;"'!"&amp;"C:C"),$A346,(INDIRECT("'"&amp;Assemblies[Assy]&amp;"'!"&amp;"O:O"))))</f>
        <v>#VALUE!</v>
      </c>
      <c r="F346" s="5" t="e">
        <f t="shared" ca="1" si="5"/>
        <v>#VALUE!</v>
      </c>
      <c r="G346" s="5">
        <v>1</v>
      </c>
      <c r="H346" s="2">
        <v>1</v>
      </c>
      <c r="I346" s="117" t="s">
        <v>2895</v>
      </c>
      <c r="J346" s="117" t="s">
        <v>2895</v>
      </c>
      <c r="K346" s="135" t="s">
        <v>1382</v>
      </c>
      <c r="L346" s="2" t="s">
        <v>1382</v>
      </c>
      <c r="M346" s="8" t="s">
        <v>1762</v>
      </c>
      <c r="N346" s="8">
        <v>45162</v>
      </c>
      <c r="O346" s="8">
        <v>45184</v>
      </c>
      <c r="P346" s="8">
        <v>45163</v>
      </c>
      <c r="Q346" s="229">
        <v>55089</v>
      </c>
      <c r="R346" s="115" t="str" cm="1">
        <f t="array" aca="1" ref="R346" ca="1">TRIM(SUBSTITUTE(_xlfn.ARRAYTOTEXT(IFERROR(CONCATENATE(SUMIF(INDIRECT("'"&amp;Assemblies[Assy]&amp;"'!"&amp;"C$5:C1000"), $A346, INDIRECT("'"&amp;Assemblies[Assy]&amp;"'!"&amp;"O$5:O1000")), "x",Assemblies[Assy],".",IF(SUMIF(INDIRECT("'"&amp;Assemblies[Assy]&amp;"'!"&amp;"C$5:C1000"), $A346, INDIRECT("'"&amp;Assemblies[Assy]&amp;"'!"&amp;"A$5:A1000"))=0,NA(),SUMIF(INDIRECT("'"&amp;Assemblies[Assy]&amp;"'!"&amp;"C$5:C1000"), $A346, INDIRECT("'"&amp;Assemblies[Assy]&amp;"'!"&amp;"A$5:A1000")))),"")), " ,", ""))</f>
        <v>,</v>
      </c>
    </row>
    <row r="347" spans="1:22">
      <c r="A347" s="133" t="s">
        <v>951</v>
      </c>
      <c r="B347" s="22" t="s">
        <v>3033</v>
      </c>
      <c r="C347" s="168">
        <v>2.09</v>
      </c>
      <c r="D347" s="5">
        <v>1</v>
      </c>
      <c r="E347" s="5" t="e" cm="1">
        <f t="array" aca="1" ref="E347" ca="1">SUMPRODUCT(SUMIF(INDIRECT("'"&amp;Assemblies[Assy]&amp;"'!"&amp;"C:C"),$A347,(INDIRECT("'"&amp;Assemblies[Assy]&amp;"'!"&amp;"O:O"))))</f>
        <v>#VALUE!</v>
      </c>
      <c r="F347" s="5" t="e">
        <f t="shared" ca="1" si="5"/>
        <v>#VALUE!</v>
      </c>
      <c r="G347" s="5">
        <v>2</v>
      </c>
      <c r="H347" s="2">
        <v>2</v>
      </c>
      <c r="I347" s="117" t="s">
        <v>2895</v>
      </c>
      <c r="J347" s="117" t="s">
        <v>2895</v>
      </c>
      <c r="K347" s="135" t="s">
        <v>1382</v>
      </c>
      <c r="L347" s="2" t="s">
        <v>1382</v>
      </c>
      <c r="M347" s="8" t="s">
        <v>1762</v>
      </c>
      <c r="N347" s="8">
        <v>45162</v>
      </c>
      <c r="O347" s="8">
        <v>45184</v>
      </c>
      <c r="P347" s="8">
        <v>45163</v>
      </c>
      <c r="Q347" s="229">
        <v>55089</v>
      </c>
      <c r="R347" s="115" t="str" cm="1">
        <f t="array" aca="1" ref="R347" ca="1">TRIM(SUBSTITUTE(_xlfn.ARRAYTOTEXT(IFERROR(CONCATENATE(SUMIF(INDIRECT("'"&amp;Assemblies[Assy]&amp;"'!"&amp;"C$5:C1000"), $A347, INDIRECT("'"&amp;Assemblies[Assy]&amp;"'!"&amp;"O$5:O1000")), "x",Assemblies[Assy],".",IF(SUMIF(INDIRECT("'"&amp;Assemblies[Assy]&amp;"'!"&amp;"C$5:C1000"), $A347, INDIRECT("'"&amp;Assemblies[Assy]&amp;"'!"&amp;"A$5:A1000"))=0,NA(),SUMIF(INDIRECT("'"&amp;Assemblies[Assy]&amp;"'!"&amp;"C$5:C1000"), $A347, INDIRECT("'"&amp;Assemblies[Assy]&amp;"'!"&amp;"A$5:A1000")))),"")), " ,", ""))</f>
        <v>,</v>
      </c>
    </row>
    <row r="348" spans="1:22">
      <c r="A348" s="133" t="s">
        <v>599</v>
      </c>
      <c r="B348" s="2" t="s">
        <v>3034</v>
      </c>
      <c r="C348" s="205">
        <v>10.35</v>
      </c>
      <c r="D348" s="5">
        <v>1</v>
      </c>
      <c r="E348" s="5" t="e" cm="1">
        <f t="array" aca="1" ref="E348" ca="1">SUMPRODUCT(SUMIF(INDIRECT("'"&amp;Assemblies[Assy]&amp;"'!"&amp;"C:C"),$A348,(INDIRECT("'"&amp;Assemblies[Assy]&amp;"'!"&amp;"O:O"))))</f>
        <v>#VALUE!</v>
      </c>
      <c r="F348" s="5" t="e">
        <f t="shared" ca="1" si="5"/>
        <v>#VALUE!</v>
      </c>
      <c r="G348" s="5">
        <v>2</v>
      </c>
      <c r="I348" s="117" t="s">
        <v>2895</v>
      </c>
      <c r="J348" s="117" t="s">
        <v>2895</v>
      </c>
      <c r="M348" s="8" t="s">
        <v>1762</v>
      </c>
      <c r="N348" s="8">
        <v>45238</v>
      </c>
      <c r="O348" s="8">
        <v>45239</v>
      </c>
      <c r="P348" s="8">
        <v>45239</v>
      </c>
      <c r="Q348" s="229">
        <v>55277</v>
      </c>
      <c r="R348" s="115" t="str" cm="1">
        <f t="array" aca="1" ref="R348" ca="1">TRIM(SUBSTITUTE(_xlfn.ARRAYTOTEXT(IFERROR(CONCATENATE(SUMIF(INDIRECT("'"&amp;Assemblies!$B$2:$B$152&amp;"'!"&amp;"C$5:C1000"), $A348, INDIRECT("'"&amp;Assemblies!$B$2:$B$152&amp;"'!"&amp;"O$5:O1000")), "x",Assemblies!$B$2:$B$152,".",IF(SUMIF(INDIRECT("'"&amp;Assemblies!$B$2:$B$152&amp;"'!"&amp;"C$5:C1000"), $A348, INDIRECT("'"&amp;Assemblies!$B$2:$B$152&amp;"'!"&amp;"A$5:A1000"))=0,NA(),SUMIF(INDIRECT("'"&amp;Assemblies!$B$2:$B$152&amp;"'!"&amp;"C$5:C1000"), $A348, INDIRECT("'"&amp;Assemblies!$B$2:$B$152&amp;"'!"&amp;"A$5:A1000")))),"")), " ,", ""))</f>
        <v>,</v>
      </c>
    </row>
    <row r="349" spans="1:22">
      <c r="A349" s="133" t="s">
        <v>284</v>
      </c>
      <c r="B349" s="2" t="s">
        <v>3035</v>
      </c>
      <c r="C349" s="205">
        <v>13.28</v>
      </c>
      <c r="D349" s="5">
        <v>1</v>
      </c>
      <c r="E349" s="5" t="e" cm="1">
        <f t="array" aca="1" ref="E349" ca="1">SUMPRODUCT(SUMIF(INDIRECT("'"&amp;Assemblies[Assy]&amp;"'!"&amp;"C:C"),$A349,(INDIRECT("'"&amp;Assemblies[Assy]&amp;"'!"&amp;"O:O"))))</f>
        <v>#VALUE!</v>
      </c>
      <c r="F349" s="5" t="e">
        <f t="shared" ca="1" si="5"/>
        <v>#VALUE!</v>
      </c>
      <c r="G349" s="5">
        <v>6</v>
      </c>
      <c r="I349" s="117" t="s">
        <v>2895</v>
      </c>
      <c r="J349" s="117" t="s">
        <v>2895</v>
      </c>
      <c r="M349" s="8" t="s">
        <v>1762</v>
      </c>
      <c r="N349" s="8">
        <v>45238</v>
      </c>
      <c r="O349" s="8">
        <v>45239</v>
      </c>
      <c r="P349" s="8">
        <v>45239</v>
      </c>
      <c r="Q349" s="229">
        <v>55277</v>
      </c>
      <c r="R349" s="115" t="str" cm="1">
        <f t="array" aca="1" ref="R349" ca="1">TRIM(SUBSTITUTE(_xlfn.ARRAYTOTEXT(IFERROR(CONCATENATE(SUMIF(INDIRECT("'"&amp;Assemblies!$B$2:$B$152&amp;"'!"&amp;"C$5:C1000"), $A349, INDIRECT("'"&amp;Assemblies!$B$2:$B$152&amp;"'!"&amp;"O$5:O1000")), "x",Assemblies!$B$2:$B$152,".",IF(SUMIF(INDIRECT("'"&amp;Assemblies!$B$2:$B$152&amp;"'!"&amp;"C$5:C1000"), $A349, INDIRECT("'"&amp;Assemblies!$B$2:$B$152&amp;"'!"&amp;"A$5:A1000"))=0,NA(),SUMIF(INDIRECT("'"&amp;Assemblies!$B$2:$B$152&amp;"'!"&amp;"C$5:C1000"), $A349, INDIRECT("'"&amp;Assemblies!$B$2:$B$152&amp;"'!"&amp;"A$5:A1000")))),"")), " ,", ""))</f>
        <v>,</v>
      </c>
    </row>
    <row r="350" spans="1:22">
      <c r="A350" s="133" t="s">
        <v>1095</v>
      </c>
      <c r="B350" s="2" t="s">
        <v>3036</v>
      </c>
      <c r="C350" s="168">
        <v>7.99</v>
      </c>
      <c r="D350" s="5">
        <v>1</v>
      </c>
      <c r="E350" s="5" t="e" cm="1">
        <f t="array" aca="1" ref="E350" ca="1">SUMPRODUCT(SUMIF(INDIRECT("'"&amp;Assemblies[Assy]&amp;"'!"&amp;"C:C"),$A350,(INDIRECT("'"&amp;Assemblies[Assy]&amp;"'!"&amp;"O:O"))))</f>
        <v>#VALUE!</v>
      </c>
      <c r="F350" s="5" t="e">
        <f t="shared" ca="1" si="5"/>
        <v>#VALUE!</v>
      </c>
      <c r="G350" s="5">
        <v>32</v>
      </c>
      <c r="H350" s="2">
        <v>32</v>
      </c>
      <c r="I350" s="117" t="s">
        <v>2895</v>
      </c>
      <c r="J350" s="117" t="s">
        <v>2895</v>
      </c>
      <c r="M350" s="8" t="s">
        <v>1762</v>
      </c>
      <c r="N350" s="8">
        <v>45216</v>
      </c>
      <c r="O350" s="8">
        <v>45217</v>
      </c>
      <c r="P350" s="8">
        <v>45217</v>
      </c>
      <c r="Q350" s="229">
        <v>55215</v>
      </c>
      <c r="R350" s="115" t="str" cm="1">
        <f t="array" aca="1" ref="R350" ca="1">TRIM(SUBSTITUTE(_xlfn.ARRAYTOTEXT(IFERROR(CONCATENATE(SUMIF(INDIRECT("'"&amp;Assemblies!$B$2:$B$152&amp;"'!"&amp;"C$5:C1000"), $A350, INDIRECT("'"&amp;Assemblies!$B$2:$B$152&amp;"'!"&amp;"O$5:O1000")), "x",Assemblies!$B$2:$B$152,".",IF(SUMIF(INDIRECT("'"&amp;Assemblies!$B$2:$B$152&amp;"'!"&amp;"C$5:C1000"), $A350, INDIRECT("'"&amp;Assemblies!$B$2:$B$152&amp;"'!"&amp;"A$5:A1000"))=0,NA(),SUMIF(INDIRECT("'"&amp;Assemblies!$B$2:$B$152&amp;"'!"&amp;"C$5:C1000"), $A350, INDIRECT("'"&amp;Assemblies!$B$2:$B$152&amp;"'!"&amp;"A$5:A1000")))),"")), " ,", ""))</f>
        <v>,</v>
      </c>
    </row>
    <row r="351" spans="1:22">
      <c r="A351" s="133" t="s">
        <v>1051</v>
      </c>
      <c r="B351" s="2" t="s">
        <v>3037</v>
      </c>
      <c r="C351" s="205">
        <v>4.2300000000000004</v>
      </c>
      <c r="D351" s="5">
        <v>1</v>
      </c>
      <c r="E351" s="5" t="e" cm="1">
        <f t="array" aca="1" ref="E351" ca="1">SUMPRODUCT(SUMIF(INDIRECT("'"&amp;Assemblies[Assy]&amp;"'!"&amp;"C:C"),$A351,(INDIRECT("'"&amp;Assemblies[Assy]&amp;"'!"&amp;"O:O"))))</f>
        <v>#VALUE!</v>
      </c>
      <c r="F351" s="5" t="e">
        <f t="shared" ca="1" si="5"/>
        <v>#VALUE!</v>
      </c>
      <c r="G351" s="5">
        <v>64</v>
      </c>
      <c r="H351" s="2">
        <v>64</v>
      </c>
      <c r="I351" s="117" t="s">
        <v>2895</v>
      </c>
      <c r="J351" s="117" t="s">
        <v>2895</v>
      </c>
      <c r="K351" s="135" t="s">
        <v>1382</v>
      </c>
      <c r="L351" s="2" t="s">
        <v>1382</v>
      </c>
      <c r="M351" s="8" t="s">
        <v>1762</v>
      </c>
      <c r="N351" s="8">
        <v>45162</v>
      </c>
      <c r="O351" s="8">
        <v>45184</v>
      </c>
      <c r="P351" s="8">
        <v>45163</v>
      </c>
      <c r="Q351" s="229">
        <v>55089</v>
      </c>
      <c r="R351" s="115" t="str" cm="1">
        <f t="array" aca="1" ref="R351" ca="1">TRIM(SUBSTITUTE(_xlfn.ARRAYTOTEXT(IFERROR(CONCATENATE(SUMIF(INDIRECT("'"&amp;Assemblies[Assy]&amp;"'!"&amp;"C$5:C1000"), $A351, INDIRECT("'"&amp;Assemblies[Assy]&amp;"'!"&amp;"O$5:O1000")), "x",Assemblies[Assy],".",IF(SUMIF(INDIRECT("'"&amp;Assemblies[Assy]&amp;"'!"&amp;"C$5:C1000"), $A351, INDIRECT("'"&amp;Assemblies[Assy]&amp;"'!"&amp;"A$5:A1000"))=0,NA(),SUMIF(INDIRECT("'"&amp;Assemblies[Assy]&amp;"'!"&amp;"C$5:C1000"), $A351, INDIRECT("'"&amp;Assemblies[Assy]&amp;"'!"&amp;"A$5:A1000")))),"")), " ,", ""))</f>
        <v>,</v>
      </c>
    </row>
    <row r="352" spans="1:22" hidden="1">
      <c r="A352" s="133" t="s">
        <v>117</v>
      </c>
      <c r="B352" s="2" t="s">
        <v>3038</v>
      </c>
      <c r="C352" s="168"/>
      <c r="D352" s="5">
        <v>1</v>
      </c>
      <c r="E352" s="5" t="e" cm="1">
        <f t="array" aca="1" ref="E352" ca="1">SUMPRODUCT(SUMIF(INDIRECT("'"&amp;Assemblies[Assy]&amp;"'!"&amp;"C:C"),$A352,(INDIRECT("'"&amp;Assemblies[Assy]&amp;"'!"&amp;"O:O"))))</f>
        <v>#VALUE!</v>
      </c>
      <c r="F352" s="5" t="e">
        <f t="shared" ca="1" si="5"/>
        <v>#VALUE!</v>
      </c>
      <c r="G352" s="5"/>
      <c r="I352" s="117" t="s">
        <v>3039</v>
      </c>
      <c r="J352" s="117" t="s">
        <v>2635</v>
      </c>
      <c r="R352" s="115" t="str" cm="1">
        <f t="array" aca="1" ref="R352" ca="1">TRIM(SUBSTITUTE(_xlfn.ARRAYTOTEXT(IFERROR(CONCATENATE(SUMIF(INDIRECT("'"&amp;Assemblies!$B$2:$B$152&amp;"'!"&amp;"C$5:C1000"), $A352, INDIRECT("'"&amp;Assemblies!$B$2:$B$152&amp;"'!"&amp;"O$5:O1000")), "x",Assemblies!$B$2:$B$152,".",IF(SUMIF(INDIRECT("'"&amp;Assemblies!$B$2:$B$152&amp;"'!"&amp;"C$5:C1000"), $A352, INDIRECT("'"&amp;Assemblies!$B$2:$B$152&amp;"'!"&amp;"A$5:A1000"))=0,NA(),SUMIF(INDIRECT("'"&amp;Assemblies!$B$2:$B$152&amp;"'!"&amp;"C$5:C1000"), $A352, INDIRECT("'"&amp;Assemblies!$B$2:$B$152&amp;"'!"&amp;"A$5:A1000")))),"")), " ,", ""))</f>
        <v>,</v>
      </c>
      <c r="S352" s="56" t="s">
        <v>1382</v>
      </c>
      <c r="T352" s="2" t="s">
        <v>1382</v>
      </c>
      <c r="U352" s="2" t="s">
        <v>1382</v>
      </c>
      <c r="V352" s="2" t="s">
        <v>1382</v>
      </c>
    </row>
    <row r="353" spans="1:22" hidden="1">
      <c r="A353" s="133" t="s">
        <v>118</v>
      </c>
      <c r="B353" s="2" t="s">
        <v>3040</v>
      </c>
      <c r="C353" s="168"/>
      <c r="D353" s="5">
        <v>1</v>
      </c>
      <c r="E353" s="5" t="e" cm="1">
        <f t="array" aca="1" ref="E353" ca="1">SUMPRODUCT(SUMIF(INDIRECT("'"&amp;Assemblies[Assy]&amp;"'!"&amp;"C:C"),$A353,(INDIRECT("'"&amp;Assemblies[Assy]&amp;"'!"&amp;"O:O"))))</f>
        <v>#VALUE!</v>
      </c>
      <c r="F353" s="5" t="e">
        <f t="shared" ca="1" si="5"/>
        <v>#VALUE!</v>
      </c>
      <c r="G353" s="5"/>
      <c r="I353" s="117" t="s">
        <v>3039</v>
      </c>
      <c r="J353" s="117" t="s">
        <v>2635</v>
      </c>
      <c r="R353" s="115" t="str" cm="1">
        <f t="array" aca="1" ref="R353" ca="1">TRIM(SUBSTITUTE(_xlfn.ARRAYTOTEXT(IFERROR(CONCATENATE(SUMIF(INDIRECT("'"&amp;Assemblies!$B$2:$B$152&amp;"'!"&amp;"C$5:C1000"), $A353, INDIRECT("'"&amp;Assemblies!$B$2:$B$152&amp;"'!"&amp;"O$5:O1000")), "x",Assemblies!$B$2:$B$152,".",IF(SUMIF(INDIRECT("'"&amp;Assemblies!$B$2:$B$152&amp;"'!"&amp;"C$5:C1000"), $A353, INDIRECT("'"&amp;Assemblies!$B$2:$B$152&amp;"'!"&amp;"A$5:A1000"))=0,NA(),SUMIF(INDIRECT("'"&amp;Assemblies!$B$2:$B$152&amp;"'!"&amp;"C$5:C1000"), $A353, INDIRECT("'"&amp;Assemblies!$B$2:$B$152&amp;"'!"&amp;"A$5:A1000")))),"")), " ,", ""))</f>
        <v>,</v>
      </c>
      <c r="S353" s="56" t="s">
        <v>1382</v>
      </c>
      <c r="T353" s="2" t="s">
        <v>1382</v>
      </c>
      <c r="U353" s="2" t="s">
        <v>1382</v>
      </c>
      <c r="V353" s="2" t="s">
        <v>1382</v>
      </c>
    </row>
    <row r="354" spans="1:22">
      <c r="A354" s="133" t="s">
        <v>1300</v>
      </c>
      <c r="B354" s="2" t="s">
        <v>3041</v>
      </c>
      <c r="C354" s="203">
        <v>6.32</v>
      </c>
      <c r="D354" s="5">
        <v>1</v>
      </c>
      <c r="E354" s="5" t="e" cm="1">
        <f t="array" aca="1" ref="E354" ca="1">SUMPRODUCT(SUMIF(INDIRECT("'"&amp;Assemblies[Assy]&amp;"'!"&amp;"C:C"),$A354,(INDIRECT("'"&amp;Assemblies[Assy]&amp;"'!"&amp;"O:O"))))</f>
        <v>#VALUE!</v>
      </c>
      <c r="F354" s="5" t="e">
        <f t="shared" ca="1" si="5"/>
        <v>#VALUE!</v>
      </c>
      <c r="G354" s="5">
        <v>4</v>
      </c>
      <c r="H354" s="2">
        <v>4</v>
      </c>
      <c r="I354" s="117" t="s">
        <v>3042</v>
      </c>
      <c r="J354" s="117" t="s">
        <v>3042</v>
      </c>
      <c r="K354" s="135" t="s">
        <v>1382</v>
      </c>
      <c r="L354" s="2" t="s">
        <v>1382</v>
      </c>
      <c r="M354" s="8" t="s">
        <v>1762</v>
      </c>
      <c r="N354" s="8">
        <v>45161</v>
      </c>
      <c r="O354" s="8">
        <v>45191</v>
      </c>
      <c r="P354" s="8">
        <v>45176</v>
      </c>
      <c r="Q354" s="229">
        <v>55078</v>
      </c>
      <c r="R354" s="115" t="str" cm="1">
        <f t="array" aca="1" ref="R354" ca="1">TRIM(SUBSTITUTE(_xlfn.ARRAYTOTEXT(IFERROR(CONCATENATE(SUMIF(INDIRECT("'"&amp;Assemblies[Assy]&amp;"'!"&amp;"C$5:C1000"), $A354, INDIRECT("'"&amp;Assemblies[Assy]&amp;"'!"&amp;"O$5:O1000")), "x",Assemblies[Assy],".",IF(SUMIF(INDIRECT("'"&amp;Assemblies[Assy]&amp;"'!"&amp;"C$5:C1000"), $A354, INDIRECT("'"&amp;Assemblies[Assy]&amp;"'!"&amp;"A$5:A1000"))=0,NA(),SUMIF(INDIRECT("'"&amp;Assemblies[Assy]&amp;"'!"&amp;"C$5:C1000"), $A354, INDIRECT("'"&amp;Assemblies[Assy]&amp;"'!"&amp;"A$5:A1000")))),"")), " ,", ""))</f>
        <v>,</v>
      </c>
      <c r="S354" s="56" t="s">
        <v>1382</v>
      </c>
      <c r="T354" s="2" t="s">
        <v>1382</v>
      </c>
      <c r="U354" s="2" t="s">
        <v>1382</v>
      </c>
      <c r="V354" s="2" t="s">
        <v>1382</v>
      </c>
    </row>
    <row r="355" spans="1:22">
      <c r="A355" s="133" t="s">
        <v>1277</v>
      </c>
      <c r="B355" s="2" t="s">
        <v>3041</v>
      </c>
      <c r="C355" s="168">
        <v>11.77</v>
      </c>
      <c r="D355" s="5">
        <v>1</v>
      </c>
      <c r="E355" s="5" t="e" cm="1">
        <f t="array" aca="1" ref="E355" ca="1">SUMPRODUCT(SUMIF(INDIRECT("'"&amp;Assemblies[Assy]&amp;"'!"&amp;"C:C"),$A355,(INDIRECT("'"&amp;Assemblies[Assy]&amp;"'!"&amp;"O:O"))))</f>
        <v>#VALUE!</v>
      </c>
      <c r="F355" s="5" t="e">
        <f t="shared" ca="1" si="5"/>
        <v>#VALUE!</v>
      </c>
      <c r="G355" s="5">
        <v>4</v>
      </c>
      <c r="H355" s="2">
        <v>4</v>
      </c>
      <c r="I355" s="117" t="s">
        <v>3042</v>
      </c>
      <c r="J355" s="117" t="s">
        <v>3042</v>
      </c>
      <c r="K355" s="135" t="s">
        <v>1382</v>
      </c>
      <c r="L355" s="2" t="s">
        <v>1382</v>
      </c>
      <c r="M355" s="8" t="s">
        <v>1762</v>
      </c>
      <c r="N355" s="8">
        <v>45161</v>
      </c>
      <c r="O355" s="8">
        <v>45191</v>
      </c>
      <c r="P355" s="8">
        <v>45176</v>
      </c>
      <c r="Q355" s="229">
        <v>55078</v>
      </c>
      <c r="R355" s="115" t="str" cm="1">
        <f t="array" aca="1" ref="R355" ca="1">TRIM(SUBSTITUTE(_xlfn.ARRAYTOTEXT(IFERROR(CONCATENATE(SUMIF(INDIRECT("'"&amp;Assemblies[Assy]&amp;"'!"&amp;"C$5:C1000"), $A355, INDIRECT("'"&amp;Assemblies[Assy]&amp;"'!"&amp;"O$5:O1000")), "x",Assemblies[Assy],".",IF(SUMIF(INDIRECT("'"&amp;Assemblies[Assy]&amp;"'!"&amp;"C$5:C1000"), $A355, INDIRECT("'"&amp;Assemblies[Assy]&amp;"'!"&amp;"A$5:A1000"))=0,NA(),SUMIF(INDIRECT("'"&amp;Assemblies[Assy]&amp;"'!"&amp;"C$5:C1000"), $A355, INDIRECT("'"&amp;Assemblies[Assy]&amp;"'!"&amp;"A$5:A1000")))),"")), " ,", ""))</f>
        <v>,</v>
      </c>
      <c r="S355" s="56" t="s">
        <v>1382</v>
      </c>
      <c r="T355" s="2" t="s">
        <v>1382</v>
      </c>
      <c r="U355" s="2" t="s">
        <v>1382</v>
      </c>
      <c r="V355" s="2" t="s">
        <v>1382</v>
      </c>
    </row>
    <row r="356" spans="1:22">
      <c r="A356" s="133" t="s">
        <v>1299</v>
      </c>
      <c r="B356" s="2" t="s">
        <v>3043</v>
      </c>
      <c r="C356" s="203">
        <v>18.61</v>
      </c>
      <c r="D356" s="5">
        <v>1</v>
      </c>
      <c r="E356" s="5" t="e" cm="1">
        <f t="array" aca="1" ref="E356" ca="1">SUMPRODUCT(SUMIF(INDIRECT("'"&amp;Assemblies[Assy]&amp;"'!"&amp;"C:C"),$A356,(INDIRECT("'"&amp;Assemblies[Assy]&amp;"'!"&amp;"O:O"))))</f>
        <v>#VALUE!</v>
      </c>
      <c r="F356" s="5" t="e">
        <f t="shared" ca="1" si="5"/>
        <v>#VALUE!</v>
      </c>
      <c r="G356" s="5">
        <v>2</v>
      </c>
      <c r="H356" s="2">
        <v>2</v>
      </c>
      <c r="I356" s="117" t="s">
        <v>3042</v>
      </c>
      <c r="J356" s="117" t="s">
        <v>3042</v>
      </c>
      <c r="K356" s="135" t="s">
        <v>1382</v>
      </c>
      <c r="L356" s="2" t="s">
        <v>1382</v>
      </c>
      <c r="M356" s="8" t="s">
        <v>1762</v>
      </c>
      <c r="N356" s="8">
        <v>45161</v>
      </c>
      <c r="O356" s="8">
        <v>45191</v>
      </c>
      <c r="P356" s="8">
        <v>45176</v>
      </c>
      <c r="Q356" s="229">
        <v>55078</v>
      </c>
      <c r="R356" s="115" t="str" cm="1">
        <f t="array" aca="1" ref="R356" ca="1">TRIM(SUBSTITUTE(_xlfn.ARRAYTOTEXT(IFERROR(CONCATENATE(SUMIF(INDIRECT("'"&amp;Assemblies[Assy]&amp;"'!"&amp;"C$5:C1000"), $A356, INDIRECT("'"&amp;Assemblies[Assy]&amp;"'!"&amp;"O$5:O1000")), "x",Assemblies[Assy],".",IF(SUMIF(INDIRECT("'"&amp;Assemblies[Assy]&amp;"'!"&amp;"C$5:C1000"), $A356, INDIRECT("'"&amp;Assemblies[Assy]&amp;"'!"&amp;"A$5:A1000"))=0,NA(),SUMIF(INDIRECT("'"&amp;Assemblies[Assy]&amp;"'!"&amp;"C$5:C1000"), $A356, INDIRECT("'"&amp;Assemblies[Assy]&amp;"'!"&amp;"A$5:A1000")))),"")), " ,", ""))</f>
        <v>,</v>
      </c>
      <c r="S356" s="56" t="s">
        <v>1382</v>
      </c>
      <c r="T356" s="2" t="s">
        <v>1382</v>
      </c>
      <c r="U356" s="2" t="s">
        <v>1382</v>
      </c>
      <c r="V356" s="2" t="s">
        <v>1382</v>
      </c>
    </row>
    <row r="357" spans="1:22">
      <c r="A357" s="133" t="s">
        <v>1232</v>
      </c>
      <c r="B357" s="2" t="s">
        <v>3044</v>
      </c>
      <c r="C357" s="168">
        <v>11.35</v>
      </c>
      <c r="D357" s="5">
        <v>1</v>
      </c>
      <c r="E357" s="5" t="e" cm="1">
        <f t="array" aca="1" ref="E357" ca="1">SUMPRODUCT(SUMIF(INDIRECT("'"&amp;Assemblies[Assy]&amp;"'!"&amp;"C:C"),$A357,(INDIRECT("'"&amp;Assemblies[Assy]&amp;"'!"&amp;"O:O"))))</f>
        <v>#VALUE!</v>
      </c>
      <c r="F357" s="5" t="e">
        <f t="shared" ca="1" si="5"/>
        <v>#VALUE!</v>
      </c>
      <c r="G357" s="5">
        <v>4</v>
      </c>
      <c r="H357" s="2">
        <v>4</v>
      </c>
      <c r="I357" s="117" t="s">
        <v>3042</v>
      </c>
      <c r="J357" s="117" t="s">
        <v>3042</v>
      </c>
      <c r="K357" s="135" t="s">
        <v>1382</v>
      </c>
      <c r="L357" s="2" t="s">
        <v>1382</v>
      </c>
      <c r="M357" s="8" t="s">
        <v>1762</v>
      </c>
      <c r="N357" s="8">
        <v>45161</v>
      </c>
      <c r="O357" s="8">
        <v>45191</v>
      </c>
      <c r="P357" s="8">
        <v>45176</v>
      </c>
      <c r="Q357" s="229">
        <v>55078</v>
      </c>
      <c r="R357" s="115" t="str" cm="1">
        <f t="array" aca="1" ref="R357" ca="1">TRIM(SUBSTITUTE(_xlfn.ARRAYTOTEXT(IFERROR(CONCATENATE(SUMIF(INDIRECT("'"&amp;Assemblies[Assy]&amp;"'!"&amp;"C$5:C1000"), $A357, INDIRECT("'"&amp;Assemblies[Assy]&amp;"'!"&amp;"O$5:O1000")), "x",Assemblies[Assy],".",IF(SUMIF(INDIRECT("'"&amp;Assemblies[Assy]&amp;"'!"&amp;"C$5:C1000"), $A357, INDIRECT("'"&amp;Assemblies[Assy]&amp;"'!"&amp;"A$5:A1000"))=0,NA(),SUMIF(INDIRECT("'"&amp;Assemblies[Assy]&amp;"'!"&amp;"C$5:C1000"), $A357, INDIRECT("'"&amp;Assemblies[Assy]&amp;"'!"&amp;"A$5:A1000")))),"")), " ,", ""))</f>
        <v>,</v>
      </c>
      <c r="S357" s="56" t="s">
        <v>1382</v>
      </c>
      <c r="T357" s="2" t="s">
        <v>1382</v>
      </c>
      <c r="U357" s="2" t="s">
        <v>1382</v>
      </c>
      <c r="V357" s="2" t="s">
        <v>1382</v>
      </c>
    </row>
    <row r="358" spans="1:22">
      <c r="A358" s="133" t="s">
        <v>1111</v>
      </c>
      <c r="B358" s="2" t="s">
        <v>3045</v>
      </c>
      <c r="C358" s="168">
        <v>2.2200000000000002</v>
      </c>
      <c r="D358" s="5">
        <v>1</v>
      </c>
      <c r="E358" s="5" t="e" cm="1">
        <f t="array" aca="1" ref="E358" ca="1">SUMPRODUCT(SUMIF(INDIRECT("'"&amp;Assemblies[Assy]&amp;"'!"&amp;"C:C"),$A358,(INDIRECT("'"&amp;Assemblies[Assy]&amp;"'!"&amp;"O:O"))))</f>
        <v>#VALUE!</v>
      </c>
      <c r="F358" s="5" t="e">
        <f t="shared" ca="1" si="5"/>
        <v>#VALUE!</v>
      </c>
      <c r="G358" s="5">
        <v>6</v>
      </c>
      <c r="H358" s="2">
        <v>6</v>
      </c>
      <c r="I358" s="117" t="s">
        <v>3042</v>
      </c>
      <c r="J358" s="117" t="s">
        <v>3042</v>
      </c>
      <c r="K358" s="135" t="s">
        <v>1382</v>
      </c>
      <c r="L358" s="2" t="s">
        <v>1382</v>
      </c>
      <c r="M358" s="8" t="s">
        <v>1762</v>
      </c>
      <c r="N358" s="8">
        <v>45161</v>
      </c>
      <c r="O358" s="8">
        <v>45191</v>
      </c>
      <c r="P358" s="8">
        <v>45176</v>
      </c>
      <c r="Q358" s="229">
        <v>55078</v>
      </c>
      <c r="R358" s="115" t="str" cm="1">
        <f t="array" aca="1" ref="R358" ca="1">TRIM(SUBSTITUTE(_xlfn.ARRAYTOTEXT(IFERROR(CONCATENATE(SUMIF(INDIRECT("'"&amp;Assemblies[Assy]&amp;"'!"&amp;"C$5:C1000"), $A358, INDIRECT("'"&amp;Assemblies[Assy]&amp;"'!"&amp;"O$5:O1000")), "x",Assemblies[Assy],".",IF(SUMIF(INDIRECT("'"&amp;Assemblies[Assy]&amp;"'!"&amp;"C$5:C1000"), $A358, INDIRECT("'"&amp;Assemblies[Assy]&amp;"'!"&amp;"A$5:A1000"))=0,NA(),SUMIF(INDIRECT("'"&amp;Assemblies[Assy]&amp;"'!"&amp;"C$5:C1000"), $A358, INDIRECT("'"&amp;Assemblies[Assy]&amp;"'!"&amp;"A$5:A1000")))),"")), " ,", ""))</f>
        <v>,</v>
      </c>
      <c r="S358" s="56" t="s">
        <v>1382</v>
      </c>
      <c r="T358" s="2" t="s">
        <v>1382</v>
      </c>
      <c r="U358" s="2" t="s">
        <v>1382</v>
      </c>
      <c r="V358" s="2" t="s">
        <v>1382</v>
      </c>
    </row>
    <row r="359" spans="1:22">
      <c r="A359" s="133" t="s">
        <v>960</v>
      </c>
      <c r="B359" s="2" t="s">
        <v>3046</v>
      </c>
      <c r="C359" s="168">
        <v>23.3</v>
      </c>
      <c r="D359" s="5">
        <v>1</v>
      </c>
      <c r="E359" s="5" t="e" cm="1">
        <f t="array" aca="1" ref="E359" ca="1">SUMPRODUCT(SUMIF(INDIRECT("'"&amp;Assemblies[Assy]&amp;"'!"&amp;"C:C"),$A359,(INDIRECT("'"&amp;Assemblies[Assy]&amp;"'!"&amp;"O:O"))))</f>
        <v>#VALUE!</v>
      </c>
      <c r="F359" s="5" t="e">
        <f t="shared" ca="1" si="5"/>
        <v>#VALUE!</v>
      </c>
      <c r="G359" s="5">
        <v>8</v>
      </c>
      <c r="H359" s="2">
        <v>8</v>
      </c>
      <c r="I359" s="117" t="s">
        <v>3042</v>
      </c>
      <c r="J359" s="117" t="s">
        <v>3042</v>
      </c>
      <c r="K359" s="135" t="s">
        <v>1382</v>
      </c>
      <c r="L359" s="2" t="s">
        <v>1382</v>
      </c>
      <c r="M359" s="8" t="s">
        <v>1762</v>
      </c>
      <c r="N359" s="8">
        <v>45161</v>
      </c>
      <c r="O359" s="8">
        <v>45191</v>
      </c>
      <c r="P359" s="8">
        <v>45176</v>
      </c>
      <c r="Q359" s="229">
        <v>55078</v>
      </c>
      <c r="R359" s="115" t="str" cm="1">
        <f t="array" aca="1" ref="R359" ca="1">TRIM(SUBSTITUTE(_xlfn.ARRAYTOTEXT(IFERROR(CONCATENATE(SUMIF(INDIRECT("'"&amp;Assemblies[Assy]&amp;"'!"&amp;"C$5:C1000"), $A359, INDIRECT("'"&amp;Assemblies[Assy]&amp;"'!"&amp;"O$5:O1000")), "x",Assemblies[Assy],".",IF(SUMIF(INDIRECT("'"&amp;Assemblies[Assy]&amp;"'!"&amp;"C$5:C1000"), $A359, INDIRECT("'"&amp;Assemblies[Assy]&amp;"'!"&amp;"A$5:A1000"))=0,NA(),SUMIF(INDIRECT("'"&amp;Assemblies[Assy]&amp;"'!"&amp;"C$5:C1000"), $A359, INDIRECT("'"&amp;Assemblies[Assy]&amp;"'!"&amp;"A$5:A1000")))),"")), " ,", ""))</f>
        <v>,</v>
      </c>
      <c r="S359" s="56" t="s">
        <v>1382</v>
      </c>
      <c r="T359" s="2" t="s">
        <v>1382</v>
      </c>
      <c r="U359" s="2" t="s">
        <v>1382</v>
      </c>
      <c r="V359" s="2" t="s">
        <v>1382</v>
      </c>
    </row>
    <row r="360" spans="1:22">
      <c r="A360" s="133" t="s">
        <v>899</v>
      </c>
      <c r="B360" s="2" t="s">
        <v>3047</v>
      </c>
      <c r="C360" s="168">
        <v>46.29</v>
      </c>
      <c r="D360" s="5">
        <v>1</v>
      </c>
      <c r="E360" s="5" t="e" cm="1">
        <f t="array" aca="1" ref="E360" ca="1">SUMPRODUCT(SUMIF(INDIRECT("'"&amp;Assemblies[Assy]&amp;"'!"&amp;"C:C"),$A360,(INDIRECT("'"&amp;Assemblies[Assy]&amp;"'!"&amp;"O:O"))))</f>
        <v>#VALUE!</v>
      </c>
      <c r="F360" s="5" t="e">
        <f t="shared" ca="1" si="5"/>
        <v>#VALUE!</v>
      </c>
      <c r="G360" s="5">
        <v>6</v>
      </c>
      <c r="H360" s="2">
        <v>6</v>
      </c>
      <c r="I360" s="117" t="s">
        <v>3042</v>
      </c>
      <c r="J360" s="117" t="s">
        <v>3042</v>
      </c>
      <c r="K360" s="135" t="s">
        <v>1382</v>
      </c>
      <c r="L360" s="2" t="s">
        <v>1382</v>
      </c>
      <c r="M360" s="8" t="s">
        <v>1762</v>
      </c>
      <c r="N360" s="8">
        <v>45140</v>
      </c>
      <c r="O360" s="8">
        <v>45153</v>
      </c>
      <c r="P360" s="8">
        <v>45156</v>
      </c>
      <c r="Q360" s="229">
        <v>55026</v>
      </c>
      <c r="R360" s="115" t="str" cm="1">
        <f t="array" aca="1" ref="R360" ca="1">TRIM(SUBSTITUTE(_xlfn.ARRAYTOTEXT(IFERROR(CONCATENATE(SUMIF(INDIRECT("'"&amp;Assemblies[Assy]&amp;"'!"&amp;"C$5:C1000"), $A360, INDIRECT("'"&amp;Assemblies[Assy]&amp;"'!"&amp;"O$5:O1000")), "x",Assemblies[Assy],".",IF(SUMIF(INDIRECT("'"&amp;Assemblies[Assy]&amp;"'!"&amp;"C$5:C1000"), $A360, INDIRECT("'"&amp;Assemblies[Assy]&amp;"'!"&amp;"A$5:A1000"))=0,NA(),SUMIF(INDIRECT("'"&amp;Assemblies[Assy]&amp;"'!"&amp;"C$5:C1000"), $A360, INDIRECT("'"&amp;Assemblies[Assy]&amp;"'!"&amp;"A$5:A1000")))),"")), " ,", ""))</f>
        <v>,</v>
      </c>
      <c r="S360" s="56" t="s">
        <v>1382</v>
      </c>
      <c r="T360" s="2" t="s">
        <v>1382</v>
      </c>
      <c r="U360" s="2" t="s">
        <v>1382</v>
      </c>
      <c r="V360" s="2" t="s">
        <v>1382</v>
      </c>
    </row>
    <row r="361" spans="1:22">
      <c r="A361" s="133" t="s">
        <v>1270</v>
      </c>
      <c r="B361" s="2" t="s">
        <v>3048</v>
      </c>
      <c r="C361" s="168">
        <v>32.79</v>
      </c>
      <c r="D361" s="5">
        <v>1</v>
      </c>
      <c r="E361" s="5" t="e" cm="1">
        <f t="array" aca="1" ref="E361" ca="1">SUMPRODUCT(SUMIF(INDIRECT("'"&amp;Assemblies[Assy]&amp;"'!"&amp;"C:C"),$A361,(INDIRECT("'"&amp;Assemblies[Assy]&amp;"'!"&amp;"O:O"))))</f>
        <v>#VALUE!</v>
      </c>
      <c r="F361" s="5" t="e">
        <f t="shared" ca="1" si="5"/>
        <v>#VALUE!</v>
      </c>
      <c r="G361" s="5">
        <v>8</v>
      </c>
      <c r="H361" s="2">
        <v>8</v>
      </c>
      <c r="I361" s="117" t="s">
        <v>3042</v>
      </c>
      <c r="J361" s="117" t="s">
        <v>3042</v>
      </c>
      <c r="K361" s="135" t="s">
        <v>1382</v>
      </c>
      <c r="L361" s="2" t="s">
        <v>1382</v>
      </c>
      <c r="M361" s="8" t="s">
        <v>1762</v>
      </c>
      <c r="N361" s="8">
        <v>45161</v>
      </c>
      <c r="O361" s="8">
        <v>45191</v>
      </c>
      <c r="P361" s="8">
        <v>45176</v>
      </c>
      <c r="Q361" s="229">
        <v>55078</v>
      </c>
      <c r="R361" s="115" t="str" cm="1">
        <f t="array" aca="1" ref="R361" ca="1">TRIM(SUBSTITUTE(_xlfn.ARRAYTOTEXT(IFERROR(CONCATENATE(SUMIF(INDIRECT("'"&amp;Assemblies[Assy]&amp;"'!"&amp;"C$5:C1000"), $A361, INDIRECT("'"&amp;Assemblies[Assy]&amp;"'!"&amp;"O$5:O1000")), "x",Assemblies[Assy],".",IF(SUMIF(INDIRECT("'"&amp;Assemblies[Assy]&amp;"'!"&amp;"C$5:C1000"), $A361, INDIRECT("'"&amp;Assemblies[Assy]&amp;"'!"&amp;"A$5:A1000"))=0,NA(),SUMIF(INDIRECT("'"&amp;Assemblies[Assy]&amp;"'!"&amp;"C$5:C1000"), $A361, INDIRECT("'"&amp;Assemblies[Assy]&amp;"'!"&amp;"A$5:A1000")))),"")), " ,", ""))</f>
        <v>,</v>
      </c>
      <c r="S361" s="56" t="s">
        <v>1382</v>
      </c>
      <c r="T361" s="2" t="s">
        <v>1382</v>
      </c>
      <c r="U361" s="2" t="s">
        <v>1382</v>
      </c>
      <c r="V361" s="2" t="s">
        <v>1382</v>
      </c>
    </row>
    <row r="362" spans="1:22">
      <c r="A362" s="133" t="s">
        <v>270</v>
      </c>
      <c r="B362" s="2" t="s">
        <v>3049</v>
      </c>
      <c r="C362" s="203">
        <v>180.72</v>
      </c>
      <c r="D362" s="5">
        <v>1</v>
      </c>
      <c r="E362" s="5" t="e" cm="1">
        <f t="array" aca="1" ref="E362" ca="1">SUMPRODUCT(SUMIF(INDIRECT("'"&amp;Assemblies[Assy]&amp;"'!"&amp;"C:C"),$A362,(INDIRECT("'"&amp;Assemblies[Assy]&amp;"'!"&amp;"O:O"))))</f>
        <v>#VALUE!</v>
      </c>
      <c r="F362" s="5" t="e">
        <f t="shared" ca="1" si="5"/>
        <v>#VALUE!</v>
      </c>
      <c r="G362" s="5">
        <v>2</v>
      </c>
      <c r="H362" s="2">
        <v>2</v>
      </c>
      <c r="I362" s="117" t="s">
        <v>3042</v>
      </c>
      <c r="J362" s="117" t="s">
        <v>3042</v>
      </c>
      <c r="K362" s="135" t="s">
        <v>1382</v>
      </c>
      <c r="L362" s="2" t="s">
        <v>1382</v>
      </c>
      <c r="M362" s="8" t="s">
        <v>1762</v>
      </c>
      <c r="N362" s="8">
        <v>45140</v>
      </c>
      <c r="O362" s="8">
        <v>45153</v>
      </c>
      <c r="P362" s="8">
        <v>45156</v>
      </c>
      <c r="Q362" s="229">
        <v>55026</v>
      </c>
      <c r="R362" s="115" t="str" cm="1">
        <f t="array" aca="1" ref="R362" ca="1">TRIM(SUBSTITUTE(_xlfn.ARRAYTOTEXT(IFERROR(CONCATENATE(SUMIF(INDIRECT("'"&amp;Assemblies[Assy]&amp;"'!"&amp;"C$5:C1000"), $A362, INDIRECT("'"&amp;Assemblies[Assy]&amp;"'!"&amp;"O$5:O1000")), "x",Assemblies[Assy],".",IF(SUMIF(INDIRECT("'"&amp;Assemblies[Assy]&amp;"'!"&amp;"C$5:C1000"), $A362, INDIRECT("'"&amp;Assemblies[Assy]&amp;"'!"&amp;"A$5:A1000"))=0,NA(),SUMIF(INDIRECT("'"&amp;Assemblies[Assy]&amp;"'!"&amp;"C$5:C1000"), $A362, INDIRECT("'"&amp;Assemblies[Assy]&amp;"'!"&amp;"A$5:A1000")))),"")), " ,", ""))</f>
        <v>,</v>
      </c>
      <c r="S362" s="56" t="s">
        <v>1382</v>
      </c>
      <c r="T362" s="2" t="s">
        <v>1382</v>
      </c>
      <c r="U362" s="2" t="s">
        <v>1382</v>
      </c>
      <c r="V362" s="2" t="s">
        <v>1382</v>
      </c>
    </row>
    <row r="363" spans="1:22">
      <c r="A363" s="133" t="s">
        <v>264</v>
      </c>
      <c r="B363" s="2" t="s">
        <v>3050</v>
      </c>
      <c r="C363" s="203">
        <v>237.74</v>
      </c>
      <c r="D363" s="5">
        <v>1</v>
      </c>
      <c r="E363" s="5" t="e" cm="1">
        <f t="array" aca="1" ref="E363" ca="1">SUMPRODUCT(SUMIF(INDIRECT("'"&amp;Assemblies[Assy]&amp;"'!"&amp;"C:C"),$A363,(INDIRECT("'"&amp;Assemblies[Assy]&amp;"'!"&amp;"O:O"))))</f>
        <v>#VALUE!</v>
      </c>
      <c r="F363" s="5" t="e">
        <f t="shared" ca="1" si="5"/>
        <v>#VALUE!</v>
      </c>
      <c r="G363" s="5">
        <v>4</v>
      </c>
      <c r="H363" s="2">
        <v>4</v>
      </c>
      <c r="I363" s="117" t="s">
        <v>3042</v>
      </c>
      <c r="J363" s="117" t="s">
        <v>3042</v>
      </c>
      <c r="K363" s="135" t="s">
        <v>1382</v>
      </c>
      <c r="L363" s="2" t="s">
        <v>1382</v>
      </c>
      <c r="M363" s="8" t="s">
        <v>1762</v>
      </c>
      <c r="N363" s="8">
        <v>45140</v>
      </c>
      <c r="O363" s="8">
        <v>45153</v>
      </c>
      <c r="P363" s="8">
        <v>45156</v>
      </c>
      <c r="Q363" s="229">
        <v>55026</v>
      </c>
      <c r="R363" s="115" t="str" cm="1">
        <f t="array" aca="1" ref="R363" ca="1">TRIM(SUBSTITUTE(_xlfn.ARRAYTOTEXT(IFERROR(CONCATENATE(SUMIF(INDIRECT("'"&amp;Assemblies[Assy]&amp;"'!"&amp;"C$5:C1000"), $A363, INDIRECT("'"&amp;Assemblies[Assy]&amp;"'!"&amp;"O$5:O1000")), "x",Assemblies[Assy],".",IF(SUMIF(INDIRECT("'"&amp;Assemblies[Assy]&amp;"'!"&amp;"C$5:C1000"), $A363, INDIRECT("'"&amp;Assemblies[Assy]&amp;"'!"&amp;"A$5:A1000"))=0,NA(),SUMIF(INDIRECT("'"&amp;Assemblies[Assy]&amp;"'!"&amp;"C$5:C1000"), $A363, INDIRECT("'"&amp;Assemblies[Assy]&amp;"'!"&amp;"A$5:A1000")))),"")), " ,", ""))</f>
        <v>,</v>
      </c>
      <c r="S363" s="56" t="s">
        <v>1382</v>
      </c>
      <c r="T363" s="2" t="s">
        <v>1382</v>
      </c>
      <c r="U363" s="2" t="s">
        <v>1382</v>
      </c>
      <c r="V363" s="2" t="s">
        <v>1382</v>
      </c>
    </row>
    <row r="364" spans="1:22">
      <c r="A364" s="133" t="s">
        <v>962</v>
      </c>
      <c r="B364" s="2" t="s">
        <v>3051</v>
      </c>
      <c r="C364" s="168">
        <v>25.33</v>
      </c>
      <c r="D364" s="5">
        <v>1</v>
      </c>
      <c r="E364" s="5" t="e" cm="1">
        <f t="array" aca="1" ref="E364" ca="1">SUMPRODUCT(SUMIF(INDIRECT("'"&amp;Assemblies[Assy]&amp;"'!"&amp;"C:C"),$A364,(INDIRECT("'"&amp;Assemblies[Assy]&amp;"'!"&amp;"O:O"))))</f>
        <v>#VALUE!</v>
      </c>
      <c r="F364" s="5" t="e">
        <f t="shared" ca="1" si="5"/>
        <v>#VALUE!</v>
      </c>
      <c r="G364" s="5">
        <v>8</v>
      </c>
      <c r="H364" s="2">
        <v>8</v>
      </c>
      <c r="I364" s="117" t="s">
        <v>3042</v>
      </c>
      <c r="J364" s="117" t="s">
        <v>3042</v>
      </c>
      <c r="K364" s="135" t="s">
        <v>1382</v>
      </c>
      <c r="L364" s="2" t="s">
        <v>1382</v>
      </c>
      <c r="M364" s="8" t="s">
        <v>1762</v>
      </c>
      <c r="N364" s="8">
        <v>45161</v>
      </c>
      <c r="O364" s="8">
        <v>45191</v>
      </c>
      <c r="P364" s="8">
        <v>45176</v>
      </c>
      <c r="Q364" s="229">
        <v>55078</v>
      </c>
      <c r="R364" s="115" t="str" cm="1">
        <f t="array" aca="1" ref="R364" ca="1">TRIM(SUBSTITUTE(_xlfn.ARRAYTOTEXT(IFERROR(CONCATENATE(SUMIF(INDIRECT("'"&amp;Assemblies[Assy]&amp;"'!"&amp;"C$5:C1000"), $A364, INDIRECT("'"&amp;Assemblies[Assy]&amp;"'!"&amp;"O$5:O1000")), "x",Assemblies[Assy],".",IF(SUMIF(INDIRECT("'"&amp;Assemblies[Assy]&amp;"'!"&amp;"C$5:C1000"), $A364, INDIRECT("'"&amp;Assemblies[Assy]&amp;"'!"&amp;"A$5:A1000"))=0,NA(),SUMIF(INDIRECT("'"&amp;Assemblies[Assy]&amp;"'!"&amp;"C$5:C1000"), $A364, INDIRECT("'"&amp;Assemblies[Assy]&amp;"'!"&amp;"A$5:A1000")))),"")), " ,", ""))</f>
        <v>,</v>
      </c>
      <c r="S364" s="56" t="s">
        <v>1382</v>
      </c>
      <c r="T364" s="2" t="s">
        <v>1382</v>
      </c>
      <c r="U364" s="2" t="s">
        <v>1382</v>
      </c>
      <c r="V364" s="2" t="s">
        <v>1382</v>
      </c>
    </row>
    <row r="365" spans="1:22">
      <c r="A365" s="133" t="s">
        <v>1000</v>
      </c>
      <c r="B365" s="2" t="s">
        <v>3052</v>
      </c>
      <c r="C365" s="168">
        <v>54.52</v>
      </c>
      <c r="D365" s="5">
        <v>1</v>
      </c>
      <c r="E365" s="5" t="e" cm="1">
        <f t="array" aca="1" ref="E365" ca="1">SUMPRODUCT(SUMIF(INDIRECT("'"&amp;Assemblies[Assy]&amp;"'!"&amp;"C:C"),$A365,(INDIRECT("'"&amp;Assemblies[Assy]&amp;"'!"&amp;"O:O"))))</f>
        <v>#VALUE!</v>
      </c>
      <c r="F365" s="5" t="e">
        <f t="shared" ca="1" si="5"/>
        <v>#VALUE!</v>
      </c>
      <c r="G365" s="5">
        <v>4</v>
      </c>
      <c r="H365" s="2">
        <v>4</v>
      </c>
      <c r="I365" s="117" t="s">
        <v>3042</v>
      </c>
      <c r="J365" s="117" t="s">
        <v>3042</v>
      </c>
      <c r="K365" s="135" t="s">
        <v>1382</v>
      </c>
      <c r="L365" s="2" t="s">
        <v>1382</v>
      </c>
      <c r="M365" s="8" t="s">
        <v>1762</v>
      </c>
      <c r="N365" s="8">
        <v>45161</v>
      </c>
      <c r="O365" s="8">
        <v>45191</v>
      </c>
      <c r="P365" s="8">
        <v>45176</v>
      </c>
      <c r="Q365" s="229">
        <v>55078</v>
      </c>
      <c r="R365" s="115" t="str" cm="1">
        <f t="array" aca="1" ref="R365" ca="1">TRIM(SUBSTITUTE(_xlfn.ARRAYTOTEXT(IFERROR(CONCATENATE(SUMIF(INDIRECT("'"&amp;Assemblies[Assy]&amp;"'!"&amp;"C$5:C1000"), $A365, INDIRECT("'"&amp;Assemblies[Assy]&amp;"'!"&amp;"O$5:O1000")), "x",Assemblies[Assy],".",IF(SUMIF(INDIRECT("'"&amp;Assemblies[Assy]&amp;"'!"&amp;"C$5:C1000"), $A365, INDIRECT("'"&amp;Assemblies[Assy]&amp;"'!"&amp;"A$5:A1000"))=0,NA(),SUMIF(INDIRECT("'"&amp;Assemblies[Assy]&amp;"'!"&amp;"C$5:C1000"), $A365, INDIRECT("'"&amp;Assemblies[Assy]&amp;"'!"&amp;"A$5:A1000")))),"")), " ,", ""))</f>
        <v>,</v>
      </c>
      <c r="S365" s="56" t="s">
        <v>1382</v>
      </c>
      <c r="T365" s="2" t="s">
        <v>1382</v>
      </c>
      <c r="U365" s="2" t="s">
        <v>1382</v>
      </c>
      <c r="V365" s="2" t="s">
        <v>1382</v>
      </c>
    </row>
    <row r="366" spans="1:22">
      <c r="A366" s="133" t="s">
        <v>999</v>
      </c>
      <c r="B366" s="2" t="s">
        <v>3053</v>
      </c>
      <c r="C366" s="168">
        <v>37.130000000000003</v>
      </c>
      <c r="D366" s="5">
        <v>1</v>
      </c>
      <c r="E366" s="5" t="e" cm="1">
        <f t="array" aca="1" ref="E366" ca="1">SUMPRODUCT(SUMIF(INDIRECT("'"&amp;Assemblies[Assy]&amp;"'!"&amp;"C:C"),$A366,(INDIRECT("'"&amp;Assemblies[Assy]&amp;"'!"&amp;"O:O"))))</f>
        <v>#VALUE!</v>
      </c>
      <c r="F366" s="5" t="e">
        <f t="shared" ca="1" si="5"/>
        <v>#VALUE!</v>
      </c>
      <c r="G366" s="5">
        <v>8</v>
      </c>
      <c r="H366" s="2">
        <v>8</v>
      </c>
      <c r="I366" s="117" t="s">
        <v>3042</v>
      </c>
      <c r="J366" s="117" t="s">
        <v>3042</v>
      </c>
      <c r="K366" s="135" t="s">
        <v>1382</v>
      </c>
      <c r="L366" s="2" t="s">
        <v>1382</v>
      </c>
      <c r="M366" s="8" t="s">
        <v>1762</v>
      </c>
      <c r="N366" s="8">
        <v>45161</v>
      </c>
      <c r="O366" s="8">
        <v>45191</v>
      </c>
      <c r="P366" s="8">
        <v>45176</v>
      </c>
      <c r="Q366" s="229">
        <v>55078</v>
      </c>
      <c r="R366" s="115" t="str" cm="1">
        <f t="array" aca="1" ref="R366" ca="1">TRIM(SUBSTITUTE(_xlfn.ARRAYTOTEXT(IFERROR(CONCATENATE(SUMIF(INDIRECT("'"&amp;Assemblies[Assy]&amp;"'!"&amp;"C$5:C1000"), $A366, INDIRECT("'"&amp;Assemblies[Assy]&amp;"'!"&amp;"O$5:O1000")), "x",Assemblies[Assy],".",IF(SUMIF(INDIRECT("'"&amp;Assemblies[Assy]&amp;"'!"&amp;"C$5:C1000"), $A366, INDIRECT("'"&amp;Assemblies[Assy]&amp;"'!"&amp;"A$5:A1000"))=0,NA(),SUMIF(INDIRECT("'"&amp;Assemblies[Assy]&amp;"'!"&amp;"C$5:C1000"), $A366, INDIRECT("'"&amp;Assemblies[Assy]&amp;"'!"&amp;"A$5:A1000")))),"")), " ,", ""))</f>
        <v>,</v>
      </c>
    </row>
    <row r="367" spans="1:22">
      <c r="A367" s="133" t="s">
        <v>961</v>
      </c>
      <c r="B367" s="2" t="s">
        <v>3054</v>
      </c>
      <c r="C367" s="168">
        <v>57.16</v>
      </c>
      <c r="D367" s="5">
        <v>1</v>
      </c>
      <c r="E367" s="5" t="e" cm="1">
        <f t="array" aca="1" ref="E367" ca="1">SUMPRODUCT(SUMIF(INDIRECT("'"&amp;Assemblies[Assy]&amp;"'!"&amp;"C:C"),$A367,(INDIRECT("'"&amp;Assemblies[Assy]&amp;"'!"&amp;"O:O"))))</f>
        <v>#VALUE!</v>
      </c>
      <c r="F367" s="5" t="e">
        <f t="shared" ca="1" si="5"/>
        <v>#VALUE!</v>
      </c>
      <c r="G367" s="5">
        <v>8</v>
      </c>
      <c r="H367" s="2">
        <v>8</v>
      </c>
      <c r="I367" s="117" t="s">
        <v>3042</v>
      </c>
      <c r="J367" s="117" t="s">
        <v>3042</v>
      </c>
      <c r="K367" s="135" t="s">
        <v>1382</v>
      </c>
      <c r="L367" s="2" t="s">
        <v>1382</v>
      </c>
      <c r="M367" s="8" t="s">
        <v>1762</v>
      </c>
      <c r="N367" s="8">
        <v>45161</v>
      </c>
      <c r="O367" s="8">
        <v>45191</v>
      </c>
      <c r="P367" s="8">
        <v>45176</v>
      </c>
      <c r="Q367" s="229">
        <v>55078</v>
      </c>
      <c r="R367" s="115" t="str" cm="1">
        <f t="array" aca="1" ref="R367" ca="1">TRIM(SUBSTITUTE(_xlfn.ARRAYTOTEXT(IFERROR(CONCATENATE(SUMIF(INDIRECT("'"&amp;Assemblies[Assy]&amp;"'!"&amp;"C$5:C1000"), $A367, INDIRECT("'"&amp;Assemblies[Assy]&amp;"'!"&amp;"O$5:O1000")), "x",Assemblies[Assy],".",IF(SUMIF(INDIRECT("'"&amp;Assemblies[Assy]&amp;"'!"&amp;"C$5:C1000"), $A367, INDIRECT("'"&amp;Assemblies[Assy]&amp;"'!"&amp;"A$5:A1000"))=0,NA(),SUMIF(INDIRECT("'"&amp;Assemblies[Assy]&amp;"'!"&amp;"C$5:C1000"), $A367, INDIRECT("'"&amp;Assemblies[Assy]&amp;"'!"&amp;"A$5:A1000")))),"")), " ,", ""))</f>
        <v>,</v>
      </c>
      <c r="S367" s="56" t="s">
        <v>1382</v>
      </c>
      <c r="T367" s="2" t="s">
        <v>1382</v>
      </c>
      <c r="U367" s="2" t="s">
        <v>1382</v>
      </c>
      <c r="V367" s="2" t="s">
        <v>1382</v>
      </c>
    </row>
    <row r="368" spans="1:22">
      <c r="A368" s="133" t="s">
        <v>1085</v>
      </c>
      <c r="B368" s="2" t="s">
        <v>3055</v>
      </c>
      <c r="C368" s="203">
        <v>75.98</v>
      </c>
      <c r="D368" s="5">
        <v>1</v>
      </c>
      <c r="E368" s="5" t="e" cm="1">
        <f t="array" aca="1" ref="E368" ca="1">SUMPRODUCT(SUMIF(INDIRECT("'"&amp;Assemblies[Assy]&amp;"'!"&amp;"C:C"),$A368,(INDIRECT("'"&amp;Assemblies[Assy]&amp;"'!"&amp;"O:O"))))</f>
        <v>#VALUE!</v>
      </c>
      <c r="F368" s="5" t="e">
        <f t="shared" ca="1" si="5"/>
        <v>#VALUE!</v>
      </c>
      <c r="G368" s="5">
        <v>16</v>
      </c>
      <c r="H368" s="2">
        <v>16</v>
      </c>
      <c r="I368" s="117" t="s">
        <v>3042</v>
      </c>
      <c r="J368" s="117" t="s">
        <v>3042</v>
      </c>
      <c r="K368" s="135" t="s">
        <v>1382</v>
      </c>
      <c r="L368" s="2" t="s">
        <v>1382</v>
      </c>
      <c r="M368" s="8" t="s">
        <v>1762</v>
      </c>
      <c r="N368" s="8">
        <v>45140</v>
      </c>
      <c r="O368" s="8">
        <v>45153</v>
      </c>
      <c r="P368" s="8">
        <v>45156</v>
      </c>
      <c r="Q368" s="229">
        <v>55026</v>
      </c>
      <c r="R368" s="115" t="str" cm="1">
        <f t="array" aca="1" ref="R368" ca="1">TRIM(SUBSTITUTE(_xlfn.ARRAYTOTEXT(IFERROR(CONCATENATE(SUMIF(INDIRECT("'"&amp;Assemblies[Assy]&amp;"'!"&amp;"C$5:C1000"), $A368, INDIRECT("'"&amp;Assemblies[Assy]&amp;"'!"&amp;"O$5:O1000")), "x",Assemblies[Assy],".",IF(SUMIF(INDIRECT("'"&amp;Assemblies[Assy]&amp;"'!"&amp;"C$5:C1000"), $A368, INDIRECT("'"&amp;Assemblies[Assy]&amp;"'!"&amp;"A$5:A1000"))=0,NA(),SUMIF(INDIRECT("'"&amp;Assemblies[Assy]&amp;"'!"&amp;"C$5:C1000"), $A368, INDIRECT("'"&amp;Assemblies[Assy]&amp;"'!"&amp;"A$5:A1000")))),"")), " ,", ""))</f>
        <v>,</v>
      </c>
      <c r="S368" s="56" t="s">
        <v>1382</v>
      </c>
      <c r="T368" s="2" t="s">
        <v>1382</v>
      </c>
      <c r="U368" s="2" t="s">
        <v>1382</v>
      </c>
      <c r="V368" s="2" t="s">
        <v>1382</v>
      </c>
    </row>
    <row r="369" spans="1:22">
      <c r="A369" s="133" t="s">
        <v>1252</v>
      </c>
      <c r="B369" s="2" t="s">
        <v>3056</v>
      </c>
      <c r="C369" s="168">
        <v>92.55</v>
      </c>
      <c r="D369" s="5">
        <v>1</v>
      </c>
      <c r="E369" s="5" t="e" cm="1">
        <f t="array" aca="1" ref="E369" ca="1">SUMPRODUCT(SUMIF(INDIRECT("'"&amp;Assemblies[Assy]&amp;"'!"&amp;"C:C"),$A369,(INDIRECT("'"&amp;Assemblies[Assy]&amp;"'!"&amp;"O:O"))))</f>
        <v>#VALUE!</v>
      </c>
      <c r="F369" s="5" t="e">
        <f t="shared" ca="1" si="5"/>
        <v>#VALUE!</v>
      </c>
      <c r="G369" s="5">
        <v>4</v>
      </c>
      <c r="H369" s="2">
        <v>4</v>
      </c>
      <c r="I369" s="117" t="s">
        <v>3042</v>
      </c>
      <c r="J369" s="117" t="s">
        <v>3042</v>
      </c>
      <c r="K369" s="135" t="s">
        <v>1382</v>
      </c>
      <c r="L369" s="2" t="s">
        <v>1382</v>
      </c>
      <c r="M369" s="8" t="s">
        <v>1762</v>
      </c>
      <c r="N369" s="8">
        <v>45161</v>
      </c>
      <c r="O369" s="8">
        <v>45191</v>
      </c>
      <c r="P369" s="8">
        <v>45176</v>
      </c>
      <c r="Q369" s="229">
        <v>55078</v>
      </c>
      <c r="R369" s="115" t="str" cm="1">
        <f t="array" aca="1" ref="R369" ca="1">TRIM(SUBSTITUTE(_xlfn.ARRAYTOTEXT(IFERROR(CONCATENATE(SUMIF(INDIRECT("'"&amp;Assemblies[Assy]&amp;"'!"&amp;"C$5:C1000"), $A369, INDIRECT("'"&amp;Assemblies[Assy]&amp;"'!"&amp;"O$5:O1000")), "x",Assemblies[Assy],".",IF(SUMIF(INDIRECT("'"&amp;Assemblies[Assy]&amp;"'!"&amp;"C$5:C1000"), $A369, INDIRECT("'"&amp;Assemblies[Assy]&amp;"'!"&amp;"A$5:A1000"))=0,NA(),SUMIF(INDIRECT("'"&amp;Assemblies[Assy]&amp;"'!"&amp;"C$5:C1000"), $A369, INDIRECT("'"&amp;Assemblies[Assy]&amp;"'!"&amp;"A$5:A1000")))),"")), " ,", ""))</f>
        <v>,</v>
      </c>
      <c r="S369" s="56" t="s">
        <v>1382</v>
      </c>
      <c r="T369" s="2" t="s">
        <v>1382</v>
      </c>
      <c r="U369" s="2" t="s">
        <v>1382</v>
      </c>
      <c r="V369" s="2" t="s">
        <v>1382</v>
      </c>
    </row>
    <row r="370" spans="1:22">
      <c r="A370" s="133" t="s">
        <v>1187</v>
      </c>
      <c r="B370" s="2" t="s">
        <v>3057</v>
      </c>
      <c r="C370" s="168">
        <v>108.8</v>
      </c>
      <c r="D370" s="5">
        <v>1</v>
      </c>
      <c r="E370" s="5" t="e" cm="1">
        <f t="array" aca="1" ref="E370" ca="1">SUMPRODUCT(SUMIF(INDIRECT("'"&amp;Assemblies[Assy]&amp;"'!"&amp;"C:C"),$A370,(INDIRECT("'"&amp;Assemblies[Assy]&amp;"'!"&amp;"O:O"))))</f>
        <v>#VALUE!</v>
      </c>
      <c r="F370" s="5" t="e">
        <f t="shared" ca="1" si="5"/>
        <v>#VALUE!</v>
      </c>
      <c r="G370" s="5">
        <v>12</v>
      </c>
      <c r="H370" s="2">
        <v>12</v>
      </c>
      <c r="I370" s="117" t="s">
        <v>3042</v>
      </c>
      <c r="J370" s="117" t="s">
        <v>3042</v>
      </c>
      <c r="L370" s="2" t="s">
        <v>1382</v>
      </c>
      <c r="M370" s="8" t="s">
        <v>1762</v>
      </c>
      <c r="N370" s="8">
        <v>45196</v>
      </c>
      <c r="O370" s="8">
        <v>45203</v>
      </c>
      <c r="P370" s="8">
        <v>45205</v>
      </c>
      <c r="Q370" s="229">
        <v>55168</v>
      </c>
      <c r="R370" s="115" t="str" cm="1">
        <f t="array" aca="1" ref="R370" ca="1">TRIM(SUBSTITUTE(_xlfn.ARRAYTOTEXT(IFERROR(CONCATENATE(SUMIF(INDIRECT("'"&amp;Assemblies[Assy]&amp;"'!"&amp;"C$5:C1000"), $A370, INDIRECT("'"&amp;Assemblies[Assy]&amp;"'!"&amp;"O$5:O1000")), "x",Assemblies[Assy],".",IF(SUMIF(INDIRECT("'"&amp;Assemblies[Assy]&amp;"'!"&amp;"C$5:C1000"), $A370, INDIRECT("'"&amp;Assemblies[Assy]&amp;"'!"&amp;"A$5:A1000"))=0,NA(),SUMIF(INDIRECT("'"&amp;Assemblies[Assy]&amp;"'!"&amp;"C$5:C1000"), $A370, INDIRECT("'"&amp;Assemblies[Assy]&amp;"'!"&amp;"A$5:A1000")))),"")), " ,", ""))</f>
        <v>,</v>
      </c>
      <c r="S370" s="56" t="s">
        <v>1382</v>
      </c>
      <c r="T370" s="2" t="s">
        <v>1382</v>
      </c>
      <c r="U370" s="2" t="s">
        <v>1382</v>
      </c>
      <c r="V370" s="2" t="s">
        <v>1382</v>
      </c>
    </row>
    <row r="371" spans="1:22" hidden="1">
      <c r="A371" s="133" t="s">
        <v>128</v>
      </c>
      <c r="B371" s="2" t="s">
        <v>3058</v>
      </c>
      <c r="C371" s="168"/>
      <c r="D371" s="5">
        <v>1</v>
      </c>
      <c r="E371" s="5" t="e" cm="1">
        <f t="array" aca="1" ref="E371" ca="1">SUMPRODUCT(SUMIF(INDIRECT("'"&amp;Assemblies[Assy]&amp;"'!"&amp;"C:C"),$A371,(INDIRECT("'"&amp;Assemblies[Assy]&amp;"'!"&amp;"O:O"))))</f>
        <v>#VALUE!</v>
      </c>
      <c r="F371" s="5" t="e">
        <f t="shared" ca="1" si="5"/>
        <v>#VALUE!</v>
      </c>
      <c r="G371" s="5"/>
      <c r="I371" s="117" t="s">
        <v>3042</v>
      </c>
      <c r="J371" s="117" t="s">
        <v>2635</v>
      </c>
      <c r="R371" s="115" t="str" cm="1">
        <f t="array" aca="1" ref="R371" ca="1">TRIM(SUBSTITUTE(_xlfn.ARRAYTOTEXT(IFERROR(CONCATENATE(SUMIF(INDIRECT("'"&amp;Assemblies!$B$2:$B$152&amp;"'!"&amp;"C$5:C1000"), $A371, INDIRECT("'"&amp;Assemblies!$B$2:$B$152&amp;"'!"&amp;"O$5:O1000")), "x",Assemblies!$B$2:$B$152,".",IF(SUMIF(INDIRECT("'"&amp;Assemblies!$B$2:$B$152&amp;"'!"&amp;"C$5:C1000"), $A371, INDIRECT("'"&amp;Assemblies!$B$2:$B$152&amp;"'!"&amp;"A$5:A1000"))=0,NA(),SUMIF(INDIRECT("'"&amp;Assemblies!$B$2:$B$152&amp;"'!"&amp;"C$5:C1000"), $A371, INDIRECT("'"&amp;Assemblies!$B$2:$B$152&amp;"'!"&amp;"A$5:A1000")))),"")), " ,", ""))</f>
        <v>,</v>
      </c>
      <c r="S371" s="56" t="s">
        <v>1382</v>
      </c>
      <c r="T371" s="2" t="s">
        <v>1382</v>
      </c>
      <c r="U371" s="2" t="s">
        <v>1382</v>
      </c>
      <c r="V371" s="2" t="s">
        <v>1382</v>
      </c>
    </row>
    <row r="372" spans="1:22">
      <c r="A372" s="133" t="s">
        <v>897</v>
      </c>
      <c r="B372" s="2" t="s">
        <v>3059</v>
      </c>
      <c r="C372" s="168">
        <v>15.49</v>
      </c>
      <c r="D372" s="5">
        <v>1</v>
      </c>
      <c r="E372" s="5" t="e" cm="1">
        <f t="array" aca="1" ref="E372" ca="1">SUMPRODUCT(SUMIF(INDIRECT("'"&amp;Assemblies[Assy]&amp;"'!"&amp;"C:C"),$A372,(INDIRECT("'"&amp;Assemblies[Assy]&amp;"'!"&amp;"O:O"))))</f>
        <v>#VALUE!</v>
      </c>
      <c r="F372" s="5" t="e">
        <f t="shared" ca="1" si="5"/>
        <v>#VALUE!</v>
      </c>
      <c r="G372" s="5">
        <v>8</v>
      </c>
      <c r="H372" s="2">
        <v>8</v>
      </c>
      <c r="I372" s="117" t="s">
        <v>3042</v>
      </c>
      <c r="J372" s="117" t="s">
        <v>3042</v>
      </c>
      <c r="L372" s="2" t="s">
        <v>1382</v>
      </c>
      <c r="M372" s="8" t="s">
        <v>1762</v>
      </c>
      <c r="N372" s="8">
        <v>45196</v>
      </c>
      <c r="O372" s="8">
        <v>45203</v>
      </c>
      <c r="P372" s="8">
        <v>45205</v>
      </c>
      <c r="Q372" s="229">
        <v>55168</v>
      </c>
      <c r="R372" s="115" t="str" cm="1">
        <f t="array" aca="1" ref="R372" ca="1">TRIM(SUBSTITUTE(_xlfn.ARRAYTOTEXT(IFERROR(CONCATENATE(SUMIF(INDIRECT("'"&amp;Assemblies[Assy]&amp;"'!"&amp;"C$5:C1000"), $A372, INDIRECT("'"&amp;Assemblies[Assy]&amp;"'!"&amp;"O$5:O1000")), "x",Assemblies[Assy],".",IF(SUMIF(INDIRECT("'"&amp;Assemblies[Assy]&amp;"'!"&amp;"C$5:C1000"), $A372, INDIRECT("'"&amp;Assemblies[Assy]&amp;"'!"&amp;"A$5:A1000"))=0,NA(),SUMIF(INDIRECT("'"&amp;Assemblies[Assy]&amp;"'!"&amp;"C$5:C1000"), $A372, INDIRECT("'"&amp;Assemblies[Assy]&amp;"'!"&amp;"A$5:A1000")))),"")), " ,", ""))</f>
        <v>,</v>
      </c>
      <c r="S372" s="56" t="s">
        <v>1382</v>
      </c>
      <c r="T372" s="2" t="s">
        <v>1382</v>
      </c>
      <c r="U372" s="2" t="s">
        <v>1382</v>
      </c>
      <c r="V372" s="2" t="s">
        <v>1382</v>
      </c>
    </row>
    <row r="373" spans="1:22">
      <c r="A373" s="133" t="s">
        <v>3060</v>
      </c>
      <c r="B373" s="2" t="s">
        <v>3061</v>
      </c>
      <c r="C373" s="168">
        <v>15.49</v>
      </c>
      <c r="D373" s="5">
        <v>1</v>
      </c>
      <c r="E373" s="5" cm="1">
        <f t="array" aca="1" ref="E373" ca="1">SUMPRODUCT(SUMIF(INDIRECT("'"&amp;Assemblies[Assy]&amp;"'!"&amp;"C:C"),$A373,(INDIRECT("'"&amp;Assemblies[Assy]&amp;"'!"&amp;"O:O"))))</f>
        <v>0</v>
      </c>
      <c r="F373" s="5">
        <f t="shared" ca="1" si="5"/>
        <v>0</v>
      </c>
      <c r="G373" s="5">
        <v>4</v>
      </c>
      <c r="H373" s="2">
        <v>4</v>
      </c>
      <c r="I373" s="117" t="s">
        <v>3042</v>
      </c>
      <c r="J373" s="117" t="s">
        <v>3042</v>
      </c>
      <c r="K373" s="135" t="s">
        <v>1382</v>
      </c>
      <c r="L373" s="2" t="s">
        <v>1382</v>
      </c>
      <c r="M373" s="8" t="s">
        <v>1762</v>
      </c>
      <c r="N373" s="8">
        <v>45161</v>
      </c>
      <c r="O373" s="8">
        <v>45191</v>
      </c>
      <c r="P373" s="8">
        <v>45176</v>
      </c>
      <c r="Q373" s="229">
        <v>55078</v>
      </c>
      <c r="R373" s="115" t="str" cm="1">
        <f t="array" aca="1" ref="R373" ca="1">TRIM(SUBSTITUTE(_xlfn.ARRAYTOTEXT(IFERROR(CONCATENATE(SUMIF(INDIRECT("'"&amp;Assemblies[Assy]&amp;"'!"&amp;"C$5:C1000"), $A373, INDIRECT("'"&amp;Assemblies[Assy]&amp;"'!"&amp;"O$5:O1000")), "x",Assemblies[Assy],".",IF(SUMIF(INDIRECT("'"&amp;Assemblies[Assy]&amp;"'!"&amp;"C$5:C1000"), $A373, INDIRECT("'"&amp;Assemblies[Assy]&amp;"'!"&amp;"A$5:A1000"))=0,NA(),SUMIF(INDIRECT("'"&amp;Assemblies[Assy]&amp;"'!"&amp;"C$5:C1000"), $A373, INDIRECT("'"&amp;Assemblies[Assy]&amp;"'!"&amp;"A$5:A1000")))),"")), " ,", ""))</f>
        <v>,</v>
      </c>
      <c r="S373" s="56" t="s">
        <v>1382</v>
      </c>
      <c r="T373" s="2" t="s">
        <v>1382</v>
      </c>
      <c r="U373" s="2" t="s">
        <v>1382</v>
      </c>
      <c r="V373" s="2" t="s">
        <v>1382</v>
      </c>
    </row>
    <row r="374" spans="1:22">
      <c r="A374" s="133" t="s">
        <v>1113</v>
      </c>
      <c r="B374" s="2" t="s">
        <v>3059</v>
      </c>
      <c r="C374" s="168">
        <v>17.34</v>
      </c>
      <c r="D374" s="5">
        <v>1</v>
      </c>
      <c r="E374" s="5" t="e" cm="1">
        <f t="array" aca="1" ref="E374" ca="1">SUMPRODUCT(SUMIF(INDIRECT("'"&amp;Assemblies[Assy]&amp;"'!"&amp;"C:C"),$A374,(INDIRECT("'"&amp;Assemblies[Assy]&amp;"'!"&amp;"O:O"))))</f>
        <v>#VALUE!</v>
      </c>
      <c r="F374" s="5" t="e">
        <f t="shared" ca="1" si="5"/>
        <v>#VALUE!</v>
      </c>
      <c r="G374" s="5">
        <v>6</v>
      </c>
      <c r="H374" s="2">
        <v>6</v>
      </c>
      <c r="I374" s="117" t="s">
        <v>3042</v>
      </c>
      <c r="J374" s="117" t="s">
        <v>3042</v>
      </c>
      <c r="L374" s="2" t="s">
        <v>1382</v>
      </c>
      <c r="M374" s="8" t="s">
        <v>1762</v>
      </c>
      <c r="N374" s="8">
        <v>45196</v>
      </c>
      <c r="O374" s="8">
        <v>45203</v>
      </c>
      <c r="P374" s="8">
        <v>45205</v>
      </c>
      <c r="Q374" s="229">
        <v>55168</v>
      </c>
      <c r="R374" s="115" t="str" cm="1">
        <f t="array" aca="1" ref="R374" ca="1">TRIM(SUBSTITUTE(_xlfn.ARRAYTOTEXT(IFERROR(CONCATENATE(SUMIF(INDIRECT("'"&amp;Assemblies[Assy]&amp;"'!"&amp;"C$5:C1000"), $A374, INDIRECT("'"&amp;Assemblies[Assy]&amp;"'!"&amp;"O$5:O1000")), "x",Assemblies[Assy],".",IF(SUMIF(INDIRECT("'"&amp;Assemblies[Assy]&amp;"'!"&amp;"C$5:C1000"), $A374, INDIRECT("'"&amp;Assemblies[Assy]&amp;"'!"&amp;"A$5:A1000"))=0,NA(),SUMIF(INDIRECT("'"&amp;Assemblies[Assy]&amp;"'!"&amp;"C$5:C1000"), $A374, INDIRECT("'"&amp;Assemblies[Assy]&amp;"'!"&amp;"A$5:A1000")))),"")), " ,", ""))</f>
        <v>,</v>
      </c>
      <c r="S374" s="56" t="s">
        <v>1382</v>
      </c>
      <c r="T374" s="2" t="s">
        <v>1382</v>
      </c>
      <c r="U374" s="2" t="s">
        <v>1382</v>
      </c>
      <c r="V374" s="2" t="s">
        <v>1382</v>
      </c>
    </row>
    <row r="375" spans="1:22">
      <c r="A375" s="133" t="s">
        <v>896</v>
      </c>
      <c r="B375" s="2" t="s">
        <v>3062</v>
      </c>
      <c r="C375" s="168">
        <v>15.49</v>
      </c>
      <c r="D375" s="5">
        <v>1</v>
      </c>
      <c r="E375" s="5" t="e" cm="1">
        <f t="array" aca="1" ref="E375" ca="1">SUMPRODUCT(SUMIF(INDIRECT("'"&amp;Assemblies[Assy]&amp;"'!"&amp;"C:C"),$A375,(INDIRECT("'"&amp;Assemblies[Assy]&amp;"'!"&amp;"O:O"))))</f>
        <v>#VALUE!</v>
      </c>
      <c r="F375" s="5" t="e">
        <f t="shared" ca="1" si="5"/>
        <v>#VALUE!</v>
      </c>
      <c r="G375" s="5">
        <v>9</v>
      </c>
      <c r="H375" s="2">
        <v>9</v>
      </c>
      <c r="I375" s="117" t="s">
        <v>3042</v>
      </c>
      <c r="J375" s="117" t="s">
        <v>3042</v>
      </c>
      <c r="K375" s="135" t="s">
        <v>1382</v>
      </c>
      <c r="L375" s="2" t="s">
        <v>1382</v>
      </c>
      <c r="M375" s="8" t="s">
        <v>1762</v>
      </c>
      <c r="N375" s="8">
        <v>45161</v>
      </c>
      <c r="O375" s="8">
        <v>45191</v>
      </c>
      <c r="P375" s="8">
        <v>45176</v>
      </c>
      <c r="Q375" s="229" t="s">
        <v>3063</v>
      </c>
      <c r="R375" s="115" t="str" cm="1">
        <f t="array" aca="1" ref="R375" ca="1">TRIM(SUBSTITUTE(_xlfn.ARRAYTOTEXT(IFERROR(CONCATENATE(SUMIF(INDIRECT("'"&amp;Assemblies[Assy]&amp;"'!"&amp;"C$5:C1000"), $A375, INDIRECT("'"&amp;Assemblies[Assy]&amp;"'!"&amp;"O$5:O1000")), "x",Assemblies[Assy],".",IF(SUMIF(INDIRECT("'"&amp;Assemblies[Assy]&amp;"'!"&amp;"C$5:C1000"), $A375, INDIRECT("'"&amp;Assemblies[Assy]&amp;"'!"&amp;"A$5:A1000"))=0,NA(),SUMIF(INDIRECT("'"&amp;Assemblies[Assy]&amp;"'!"&amp;"C$5:C1000"), $A375, INDIRECT("'"&amp;Assemblies[Assy]&amp;"'!"&amp;"A$5:A1000")))),"")), " ,", ""))</f>
        <v>,</v>
      </c>
      <c r="S375" s="56" t="s">
        <v>1382</v>
      </c>
      <c r="T375" s="2" t="s">
        <v>1382</v>
      </c>
      <c r="U375" s="2" t="s">
        <v>1382</v>
      </c>
      <c r="V375" s="2" t="s">
        <v>1382</v>
      </c>
    </row>
    <row r="376" spans="1:22">
      <c r="A376" s="133" t="s">
        <v>512</v>
      </c>
      <c r="B376" s="2" t="s">
        <v>3064</v>
      </c>
      <c r="C376" s="168">
        <v>17.34</v>
      </c>
      <c r="D376" s="5">
        <v>1</v>
      </c>
      <c r="E376" s="5" t="e" cm="1">
        <f t="array" aca="1" ref="E376" ca="1">SUMPRODUCT(SUMIF(INDIRECT("'"&amp;Assemblies[Assy]&amp;"'!"&amp;"C:C"),$A376,(INDIRECT("'"&amp;Assemblies[Assy]&amp;"'!"&amp;"O:O"))))</f>
        <v>#VALUE!</v>
      </c>
      <c r="F376" s="5" t="e">
        <f t="shared" ca="1" si="5"/>
        <v>#VALUE!</v>
      </c>
      <c r="G376" s="5">
        <v>7</v>
      </c>
      <c r="H376" s="2">
        <v>7</v>
      </c>
      <c r="I376" s="117" t="s">
        <v>3042</v>
      </c>
      <c r="J376" s="117" t="s">
        <v>3042</v>
      </c>
      <c r="K376" s="135" t="s">
        <v>1382</v>
      </c>
      <c r="L376" s="2" t="s">
        <v>1382</v>
      </c>
      <c r="M376" s="8" t="s">
        <v>1762</v>
      </c>
      <c r="N376" s="8">
        <v>45161</v>
      </c>
      <c r="O376" s="8">
        <v>45191</v>
      </c>
      <c r="P376" s="8">
        <v>45176</v>
      </c>
      <c r="Q376" s="229">
        <v>55078</v>
      </c>
      <c r="R376" s="115" t="str" cm="1">
        <f t="array" aca="1" ref="R376" ca="1">TRIM(SUBSTITUTE(_xlfn.ARRAYTOTEXT(IFERROR(CONCATENATE(SUMIF(INDIRECT("'"&amp;Assemblies[Assy]&amp;"'!"&amp;"C$5:C1000"), $A376, INDIRECT("'"&amp;Assemblies[Assy]&amp;"'!"&amp;"O$5:O1000")), "x",Assemblies[Assy],".",IF(SUMIF(INDIRECT("'"&amp;Assemblies[Assy]&amp;"'!"&amp;"C$5:C1000"), $A376, INDIRECT("'"&amp;Assemblies[Assy]&amp;"'!"&amp;"A$5:A1000"))=0,NA(),SUMIF(INDIRECT("'"&amp;Assemblies[Assy]&amp;"'!"&amp;"C$5:C1000"), $A376, INDIRECT("'"&amp;Assemblies[Assy]&amp;"'!"&amp;"A$5:A1000")))),"")), " ,", ""))</f>
        <v>,</v>
      </c>
      <c r="S376" s="56" t="s">
        <v>1382</v>
      </c>
      <c r="T376" s="2" t="s">
        <v>1382</v>
      </c>
      <c r="U376" s="2" t="s">
        <v>1382</v>
      </c>
      <c r="V376" s="2" t="s">
        <v>1382</v>
      </c>
    </row>
    <row r="377" spans="1:22">
      <c r="A377" s="133" t="s">
        <v>1114</v>
      </c>
      <c r="B377" s="2" t="s">
        <v>3059</v>
      </c>
      <c r="C377" s="168">
        <v>17.34</v>
      </c>
      <c r="D377" s="5">
        <v>1</v>
      </c>
      <c r="E377" s="5" t="e" cm="1">
        <f t="array" aca="1" ref="E377" ca="1">SUMPRODUCT(SUMIF(INDIRECT("'"&amp;Assemblies[Assy]&amp;"'!"&amp;"C:C"),$A377,(INDIRECT("'"&amp;Assemblies[Assy]&amp;"'!"&amp;"O:O"))))</f>
        <v>#VALUE!</v>
      </c>
      <c r="F377" s="5" t="e">
        <f t="shared" ca="1" si="5"/>
        <v>#VALUE!</v>
      </c>
      <c r="G377" s="5">
        <v>3</v>
      </c>
      <c r="H377" s="2">
        <v>3</v>
      </c>
      <c r="I377" s="117" t="s">
        <v>3042</v>
      </c>
      <c r="J377" s="117" t="s">
        <v>3042</v>
      </c>
      <c r="L377" s="2" t="s">
        <v>1382</v>
      </c>
      <c r="M377" s="8" t="s">
        <v>1762</v>
      </c>
      <c r="N377" s="8">
        <v>45196</v>
      </c>
      <c r="O377" s="8">
        <v>45203</v>
      </c>
      <c r="P377" s="8">
        <v>45205</v>
      </c>
      <c r="Q377" s="229">
        <v>55168</v>
      </c>
      <c r="R377" s="115" t="str" cm="1">
        <f t="array" aca="1" ref="R377" ca="1">TRIM(SUBSTITUTE(_xlfn.ARRAYTOTEXT(IFERROR(CONCATENATE(SUMIF(INDIRECT("'"&amp;Assemblies[Assy]&amp;"'!"&amp;"C$5:C1000"), $A377, INDIRECT("'"&amp;Assemblies[Assy]&amp;"'!"&amp;"O$5:O1000")), "x",Assemblies[Assy],".",IF(SUMIF(INDIRECT("'"&amp;Assemblies[Assy]&amp;"'!"&amp;"C$5:C1000"), $A377, INDIRECT("'"&amp;Assemblies[Assy]&amp;"'!"&amp;"A$5:A1000"))=0,NA(),SUMIF(INDIRECT("'"&amp;Assemblies[Assy]&amp;"'!"&amp;"C$5:C1000"), $A377, INDIRECT("'"&amp;Assemblies[Assy]&amp;"'!"&amp;"A$5:A1000")))),"")), " ,", ""))</f>
        <v>,</v>
      </c>
      <c r="S377" s="56" t="s">
        <v>1382</v>
      </c>
      <c r="T377" s="2" t="s">
        <v>1382</v>
      </c>
      <c r="U377" s="2" t="s">
        <v>1382</v>
      </c>
      <c r="V377" s="2" t="s">
        <v>1382</v>
      </c>
    </row>
    <row r="378" spans="1:22">
      <c r="A378" s="133" t="s">
        <v>3065</v>
      </c>
      <c r="B378" s="2" t="s">
        <v>3066</v>
      </c>
      <c r="C378" s="168">
        <v>17.34</v>
      </c>
      <c r="D378" s="5">
        <v>1</v>
      </c>
      <c r="E378" s="5" cm="1">
        <f t="array" aca="1" ref="E378" ca="1">SUMPRODUCT(SUMIF(INDIRECT("'"&amp;Assemblies[Assy]&amp;"'!"&amp;"C:C"),$A378,(INDIRECT("'"&amp;Assemblies[Assy]&amp;"'!"&amp;"O:O"))))</f>
        <v>0</v>
      </c>
      <c r="F378" s="5">
        <f t="shared" ca="1" si="5"/>
        <v>0</v>
      </c>
      <c r="G378" s="5">
        <v>6</v>
      </c>
      <c r="H378" s="2">
        <v>6</v>
      </c>
      <c r="I378" s="117" t="s">
        <v>3042</v>
      </c>
      <c r="J378" s="117" t="s">
        <v>3042</v>
      </c>
      <c r="K378" s="135" t="s">
        <v>1382</v>
      </c>
      <c r="L378" s="2" t="s">
        <v>1382</v>
      </c>
      <c r="M378" s="8" t="s">
        <v>1762</v>
      </c>
      <c r="N378" s="8">
        <v>45161</v>
      </c>
      <c r="O378" s="8">
        <v>45191</v>
      </c>
      <c r="P378" s="8">
        <v>45176</v>
      </c>
      <c r="Q378" s="229">
        <v>55078</v>
      </c>
      <c r="R378" s="115" t="str" cm="1">
        <f t="array" aca="1" ref="R378" ca="1">TRIM(SUBSTITUTE(_xlfn.ARRAYTOTEXT(IFERROR(CONCATENATE(SUMIF(INDIRECT("'"&amp;Assemblies[Assy]&amp;"'!"&amp;"C$5:C1000"), $A378, INDIRECT("'"&amp;Assemblies[Assy]&amp;"'!"&amp;"O$5:O1000")), "x",Assemblies[Assy],".",IF(SUMIF(INDIRECT("'"&amp;Assemblies[Assy]&amp;"'!"&amp;"C$5:C1000"), $A378, INDIRECT("'"&amp;Assemblies[Assy]&amp;"'!"&amp;"A$5:A1000"))=0,NA(),SUMIF(INDIRECT("'"&amp;Assemblies[Assy]&amp;"'!"&amp;"C$5:C1000"), $A378, INDIRECT("'"&amp;Assemblies[Assy]&amp;"'!"&amp;"A$5:A1000")))),"")), " ,", ""))</f>
        <v>,</v>
      </c>
      <c r="S378" s="56" t="s">
        <v>1382</v>
      </c>
      <c r="T378" s="2" t="s">
        <v>1382</v>
      </c>
      <c r="U378" s="2" t="s">
        <v>1382</v>
      </c>
      <c r="V378" s="2" t="s">
        <v>1382</v>
      </c>
    </row>
    <row r="379" spans="1:22">
      <c r="A379" s="133" t="s">
        <v>1120</v>
      </c>
      <c r="B379" s="2" t="s">
        <v>3059</v>
      </c>
      <c r="C379" s="168">
        <v>17.34</v>
      </c>
      <c r="D379" s="5">
        <v>1</v>
      </c>
      <c r="E379" s="5" t="e" cm="1">
        <f t="array" aca="1" ref="E379" ca="1">SUMPRODUCT(SUMIF(INDIRECT("'"&amp;Assemblies[Assy]&amp;"'!"&amp;"C:C"),$A379,(INDIRECT("'"&amp;Assemblies[Assy]&amp;"'!"&amp;"O:O"))))</f>
        <v>#VALUE!</v>
      </c>
      <c r="F379" s="5" t="e">
        <f t="shared" ca="1" si="5"/>
        <v>#VALUE!</v>
      </c>
      <c r="G379" s="5">
        <v>3</v>
      </c>
      <c r="H379" s="2">
        <v>3</v>
      </c>
      <c r="I379" s="117" t="s">
        <v>3042</v>
      </c>
      <c r="J379" s="117" t="s">
        <v>3042</v>
      </c>
      <c r="L379" s="2" t="s">
        <v>1382</v>
      </c>
      <c r="M379" s="8" t="s">
        <v>1762</v>
      </c>
      <c r="N379" s="8">
        <v>45196</v>
      </c>
      <c r="O379" s="8">
        <v>45203</v>
      </c>
      <c r="P379" s="8">
        <v>45205</v>
      </c>
      <c r="Q379" s="229">
        <v>55168</v>
      </c>
      <c r="R379" s="115" t="str" cm="1">
        <f t="array" aca="1" ref="R379" ca="1">TRIM(SUBSTITUTE(_xlfn.ARRAYTOTEXT(IFERROR(CONCATENATE(SUMIF(INDIRECT("'"&amp;Assemblies[Assy]&amp;"'!"&amp;"C$5:C1000"), $A379, INDIRECT("'"&amp;Assemblies[Assy]&amp;"'!"&amp;"O$5:O1000")), "x",Assemblies[Assy],".",IF(SUMIF(INDIRECT("'"&amp;Assemblies[Assy]&amp;"'!"&amp;"C$5:C1000"), $A379, INDIRECT("'"&amp;Assemblies[Assy]&amp;"'!"&amp;"A$5:A1000"))=0,NA(),SUMIF(INDIRECT("'"&amp;Assemblies[Assy]&amp;"'!"&amp;"C$5:C1000"), $A379, INDIRECT("'"&amp;Assemblies[Assy]&amp;"'!"&amp;"A$5:A1000")))),"")), " ,", ""))</f>
        <v>,</v>
      </c>
      <c r="S379" s="56" t="s">
        <v>1382</v>
      </c>
      <c r="T379" s="2" t="s">
        <v>1382</v>
      </c>
      <c r="U379" s="2" t="s">
        <v>1382</v>
      </c>
      <c r="V379" s="2" t="s">
        <v>1382</v>
      </c>
    </row>
    <row r="380" spans="1:22">
      <c r="A380" s="133" t="s">
        <v>3067</v>
      </c>
      <c r="B380" s="2" t="s">
        <v>3068</v>
      </c>
      <c r="C380" s="168">
        <v>17.34</v>
      </c>
      <c r="D380" s="5">
        <v>1</v>
      </c>
      <c r="E380" s="5" cm="1">
        <f t="array" aca="1" ref="E380" ca="1">SUMPRODUCT(SUMIF(INDIRECT("'"&amp;Assemblies[Assy]&amp;"'!"&amp;"C:C"),$A380,(INDIRECT("'"&amp;Assemblies[Assy]&amp;"'!"&amp;"O:O"))))</f>
        <v>0</v>
      </c>
      <c r="F380" s="5">
        <f t="shared" ca="1" si="5"/>
        <v>0</v>
      </c>
      <c r="G380" s="5">
        <v>9</v>
      </c>
      <c r="H380" s="2">
        <v>9</v>
      </c>
      <c r="I380" s="117" t="s">
        <v>3042</v>
      </c>
      <c r="J380" s="117" t="s">
        <v>3042</v>
      </c>
      <c r="K380" s="135" t="s">
        <v>1382</v>
      </c>
      <c r="L380" s="2" t="s">
        <v>1779</v>
      </c>
      <c r="M380" s="8" t="s">
        <v>1762</v>
      </c>
      <c r="N380" s="8">
        <v>45161</v>
      </c>
      <c r="O380" s="8">
        <v>45191</v>
      </c>
      <c r="P380" s="8">
        <v>45176</v>
      </c>
      <c r="Q380" s="229">
        <v>55078</v>
      </c>
      <c r="R380" s="115" t="str" cm="1">
        <f t="array" aca="1" ref="R380" ca="1">TRIM(SUBSTITUTE(_xlfn.ARRAYTOTEXT(IFERROR(CONCATENATE(SUMIF(INDIRECT("'"&amp;Assemblies[Assy]&amp;"'!"&amp;"C$5:C1000"), $A380, INDIRECT("'"&amp;Assemblies[Assy]&amp;"'!"&amp;"O$5:O1000")), "x",Assemblies[Assy],".",IF(SUMIF(INDIRECT("'"&amp;Assemblies[Assy]&amp;"'!"&amp;"C$5:C1000"), $A380, INDIRECT("'"&amp;Assemblies[Assy]&amp;"'!"&amp;"A$5:A1000"))=0,NA(),SUMIF(INDIRECT("'"&amp;Assemblies[Assy]&amp;"'!"&amp;"C$5:C1000"), $A380, INDIRECT("'"&amp;Assemblies[Assy]&amp;"'!"&amp;"A$5:A1000")))),"")), " ,", ""))</f>
        <v>,</v>
      </c>
      <c r="S380" s="56" t="s">
        <v>1382</v>
      </c>
      <c r="T380" s="2" t="s">
        <v>1382</v>
      </c>
      <c r="U380" s="2" t="s">
        <v>1382</v>
      </c>
      <c r="V380" s="2" t="s">
        <v>1382</v>
      </c>
    </row>
    <row r="381" spans="1:22">
      <c r="A381" s="133" t="s">
        <v>1112</v>
      </c>
      <c r="B381" s="2" t="s">
        <v>3059</v>
      </c>
      <c r="C381" s="168">
        <v>17.34</v>
      </c>
      <c r="D381" s="5">
        <v>1</v>
      </c>
      <c r="E381" s="5" t="e" cm="1">
        <f t="array" aca="1" ref="E381" ca="1">SUMPRODUCT(SUMIF(INDIRECT("'"&amp;Assemblies[Assy]&amp;"'!"&amp;"C:C"),$A381,(INDIRECT("'"&amp;Assemblies[Assy]&amp;"'!"&amp;"O:O"))))</f>
        <v>#VALUE!</v>
      </c>
      <c r="F381" s="5" t="e">
        <f t="shared" ca="1" si="5"/>
        <v>#VALUE!</v>
      </c>
      <c r="G381" s="5">
        <v>6</v>
      </c>
      <c r="H381" s="2">
        <v>6</v>
      </c>
      <c r="I381" s="117" t="s">
        <v>3042</v>
      </c>
      <c r="J381" s="117" t="s">
        <v>3042</v>
      </c>
      <c r="L381" s="2" t="s">
        <v>1382</v>
      </c>
      <c r="M381" s="8" t="s">
        <v>1762</v>
      </c>
      <c r="N381" s="8">
        <v>45196</v>
      </c>
      <c r="O381" s="8">
        <v>45203</v>
      </c>
      <c r="P381" s="8">
        <v>45205</v>
      </c>
      <c r="Q381" s="229">
        <v>55168</v>
      </c>
      <c r="R381" s="115" t="str" cm="1">
        <f t="array" aca="1" ref="R381" ca="1">TRIM(SUBSTITUTE(_xlfn.ARRAYTOTEXT(IFERROR(CONCATENATE(SUMIF(INDIRECT("'"&amp;Assemblies[Assy]&amp;"'!"&amp;"C$5:C1000"), $A381, INDIRECT("'"&amp;Assemblies[Assy]&amp;"'!"&amp;"O$5:O1000")), "x",Assemblies[Assy],".",IF(SUMIF(INDIRECT("'"&amp;Assemblies[Assy]&amp;"'!"&amp;"C$5:C1000"), $A381, INDIRECT("'"&amp;Assemblies[Assy]&amp;"'!"&amp;"A$5:A1000"))=0,NA(),SUMIF(INDIRECT("'"&amp;Assemblies[Assy]&amp;"'!"&amp;"C$5:C1000"), $A381, INDIRECT("'"&amp;Assemblies[Assy]&amp;"'!"&amp;"A$5:A1000")))),"")), " ,", ""))</f>
        <v>,</v>
      </c>
      <c r="S381" s="56" t="s">
        <v>1382</v>
      </c>
      <c r="T381" s="2" t="s">
        <v>1382</v>
      </c>
      <c r="U381" s="2" t="s">
        <v>1382</v>
      </c>
      <c r="V381" s="2" t="s">
        <v>1382</v>
      </c>
    </row>
    <row r="382" spans="1:22">
      <c r="A382" s="133" t="s">
        <v>693</v>
      </c>
      <c r="B382" s="2" t="s">
        <v>3069</v>
      </c>
      <c r="C382" s="203">
        <v>4.83</v>
      </c>
      <c r="D382" s="5">
        <v>1</v>
      </c>
      <c r="E382" s="5" t="e" cm="1">
        <f t="array" aca="1" ref="E382" ca="1">SUMPRODUCT(SUMIF(INDIRECT("'"&amp;Assemblies[Assy]&amp;"'!"&amp;"C:C"),$A382,(INDIRECT("'"&amp;Assemblies[Assy]&amp;"'!"&amp;"O:O"))))</f>
        <v>#VALUE!</v>
      </c>
      <c r="F382" s="5" t="e">
        <f t="shared" ca="1" si="5"/>
        <v>#VALUE!</v>
      </c>
      <c r="G382" s="5">
        <v>2</v>
      </c>
      <c r="H382" s="2">
        <v>2</v>
      </c>
      <c r="I382" s="117" t="s">
        <v>2835</v>
      </c>
      <c r="J382" s="117" t="s">
        <v>2835</v>
      </c>
      <c r="K382" s="135" t="s">
        <v>1382</v>
      </c>
      <c r="L382" s="2" t="s">
        <v>3070</v>
      </c>
      <c r="M382" s="8" t="s">
        <v>1762</v>
      </c>
      <c r="N382" s="8">
        <v>45161</v>
      </c>
      <c r="O382" s="8">
        <v>45191</v>
      </c>
      <c r="P382" s="8">
        <v>45191</v>
      </c>
      <c r="Q382" s="229">
        <v>55079</v>
      </c>
      <c r="R382" s="115" t="str" cm="1">
        <f t="array" aca="1" ref="R382" ca="1">TRIM(SUBSTITUTE(_xlfn.ARRAYTOTEXT(IFERROR(CONCATENATE(SUMIF(INDIRECT("'"&amp;Assemblies[Assy]&amp;"'!"&amp;"C$5:C1000"), $A382, INDIRECT("'"&amp;Assemblies[Assy]&amp;"'!"&amp;"O$5:O1000")), "x",Assemblies[Assy],".",IF(SUMIF(INDIRECT("'"&amp;Assemblies[Assy]&amp;"'!"&amp;"C$5:C1000"), $A382, INDIRECT("'"&amp;Assemblies[Assy]&amp;"'!"&amp;"A$5:A1000"))=0,NA(),SUMIF(INDIRECT("'"&amp;Assemblies[Assy]&amp;"'!"&amp;"C$5:C1000"), $A382, INDIRECT("'"&amp;Assemblies[Assy]&amp;"'!"&amp;"A$5:A1000")))),"")), " ,", ""))</f>
        <v>,</v>
      </c>
      <c r="S382" s="56" t="s">
        <v>1382</v>
      </c>
      <c r="T382" s="2" t="s">
        <v>1382</v>
      </c>
      <c r="U382" s="2" t="s">
        <v>1382</v>
      </c>
      <c r="V382" s="2" t="s">
        <v>1382</v>
      </c>
    </row>
    <row r="383" spans="1:22">
      <c r="A383" s="133" t="s">
        <v>893</v>
      </c>
      <c r="B383" s="2" t="s">
        <v>3071</v>
      </c>
      <c r="C383" s="168">
        <v>27.09</v>
      </c>
      <c r="D383" s="5">
        <v>1</v>
      </c>
      <c r="E383" s="5" t="e" cm="1">
        <f t="array" aca="1" ref="E383" ca="1">SUMPRODUCT(SUMIF(INDIRECT("'"&amp;Assemblies[Assy]&amp;"'!"&amp;"C:C"),$A383,(INDIRECT("'"&amp;Assemblies[Assy]&amp;"'!"&amp;"O:O"))))</f>
        <v>#VALUE!</v>
      </c>
      <c r="F383" s="5" t="e">
        <f t="shared" ca="1" si="5"/>
        <v>#VALUE!</v>
      </c>
      <c r="G383" s="5">
        <v>12</v>
      </c>
      <c r="H383" s="2">
        <v>12</v>
      </c>
      <c r="I383" s="117" t="s">
        <v>2835</v>
      </c>
      <c r="J383" s="117" t="s">
        <v>2835</v>
      </c>
      <c r="K383" s="135" t="s">
        <v>1382</v>
      </c>
      <c r="L383" s="2" t="s">
        <v>3072</v>
      </c>
      <c r="M383" s="8" t="s">
        <v>1762</v>
      </c>
      <c r="N383" s="8">
        <v>45161</v>
      </c>
      <c r="O383" s="8">
        <v>45191</v>
      </c>
      <c r="P383" s="8">
        <v>45191</v>
      </c>
      <c r="Q383" s="229">
        <v>55079</v>
      </c>
      <c r="R383" s="115" t="str" cm="1">
        <f t="array" aca="1" ref="R383" ca="1">TRIM(SUBSTITUTE(_xlfn.ARRAYTOTEXT(IFERROR(CONCATENATE(SUMIF(INDIRECT("'"&amp;Assemblies[Assy]&amp;"'!"&amp;"C$5:C1000"), $A383, INDIRECT("'"&amp;Assemblies[Assy]&amp;"'!"&amp;"O$5:O1000")), "x",Assemblies[Assy],".",IF(SUMIF(INDIRECT("'"&amp;Assemblies[Assy]&amp;"'!"&amp;"C$5:C1000"), $A383, INDIRECT("'"&amp;Assemblies[Assy]&amp;"'!"&amp;"A$5:A1000"))=0,NA(),SUMIF(INDIRECT("'"&amp;Assemblies[Assy]&amp;"'!"&amp;"C$5:C1000"), $A383, INDIRECT("'"&amp;Assemblies[Assy]&amp;"'!"&amp;"A$5:A1000")))),"")), " ,", ""))</f>
        <v>,</v>
      </c>
      <c r="S383" s="56" t="s">
        <v>1382</v>
      </c>
      <c r="T383" s="2" t="s">
        <v>1382</v>
      </c>
      <c r="U383" s="2" t="s">
        <v>1382</v>
      </c>
      <c r="V383" s="2" t="s">
        <v>1382</v>
      </c>
    </row>
    <row r="384" spans="1:22">
      <c r="A384" s="133" t="s">
        <v>694</v>
      </c>
      <c r="B384" s="2" t="s">
        <v>3073</v>
      </c>
      <c r="C384" s="203">
        <v>5.97</v>
      </c>
      <c r="D384" s="5">
        <v>1</v>
      </c>
      <c r="E384" s="5" t="e" cm="1">
        <f t="array" aca="1" ref="E384" ca="1">SUMPRODUCT(SUMIF(INDIRECT("'"&amp;Assemblies[Assy]&amp;"'!"&amp;"C:C"),$A384,(INDIRECT("'"&amp;Assemblies[Assy]&amp;"'!"&amp;"O:O"))))</f>
        <v>#VALUE!</v>
      </c>
      <c r="F384" s="5" t="e">
        <f t="shared" ca="1" si="5"/>
        <v>#VALUE!</v>
      </c>
      <c r="G384" s="5">
        <v>2</v>
      </c>
      <c r="H384" s="2">
        <v>2</v>
      </c>
      <c r="I384" s="117" t="s">
        <v>2835</v>
      </c>
      <c r="J384" s="117" t="s">
        <v>2835</v>
      </c>
      <c r="K384" s="135" t="s">
        <v>1382</v>
      </c>
      <c r="L384" s="2" t="s">
        <v>3074</v>
      </c>
      <c r="M384" s="8" t="s">
        <v>1762</v>
      </c>
      <c r="N384" s="8">
        <v>45161</v>
      </c>
      <c r="O384" s="8">
        <v>45191</v>
      </c>
      <c r="P384" s="8">
        <v>45191</v>
      </c>
      <c r="Q384" s="229">
        <v>55079</v>
      </c>
      <c r="R384" s="115" t="str" cm="1">
        <f t="array" aca="1" ref="R384" ca="1">TRIM(SUBSTITUTE(_xlfn.ARRAYTOTEXT(IFERROR(CONCATENATE(SUMIF(INDIRECT("'"&amp;Assemblies[Assy]&amp;"'!"&amp;"C$5:C1000"), $A384, INDIRECT("'"&amp;Assemblies[Assy]&amp;"'!"&amp;"O$5:O1000")), "x",Assemblies[Assy],".",IF(SUMIF(INDIRECT("'"&amp;Assemblies[Assy]&amp;"'!"&amp;"C$5:C1000"), $A384, INDIRECT("'"&amp;Assemblies[Assy]&amp;"'!"&amp;"A$5:A1000"))=0,NA(),SUMIF(INDIRECT("'"&amp;Assemblies[Assy]&amp;"'!"&amp;"C$5:C1000"), $A384, INDIRECT("'"&amp;Assemblies[Assy]&amp;"'!"&amp;"A$5:A1000")))),"")), " ,", ""))</f>
        <v>,</v>
      </c>
      <c r="S384" s="56" t="s">
        <v>1382</v>
      </c>
      <c r="T384" s="2" t="s">
        <v>1382</v>
      </c>
      <c r="U384" s="2" t="s">
        <v>1382</v>
      </c>
      <c r="V384" s="2" t="s">
        <v>1382</v>
      </c>
    </row>
    <row r="385" spans="1:22">
      <c r="A385" s="135" t="s">
        <v>3075</v>
      </c>
      <c r="B385" s="2" t="s">
        <v>3076</v>
      </c>
      <c r="C385" s="203">
        <v>65.209999999999994</v>
      </c>
      <c r="D385" s="5">
        <v>1</v>
      </c>
      <c r="E385" s="5" cm="1">
        <f t="array" aca="1" ref="E385" ca="1">SUMPRODUCT(SUMIF(INDIRECT("'"&amp;Assemblies[Assy]&amp;"'!"&amp;"C:C"),$A385,(INDIRECT("'"&amp;Assemblies[Assy]&amp;"'!"&amp;"O:O"))))</f>
        <v>0</v>
      </c>
      <c r="F385" s="5">
        <f t="shared" ca="1" si="5"/>
        <v>0</v>
      </c>
      <c r="G385" s="5">
        <v>16</v>
      </c>
      <c r="H385" s="2">
        <v>14</v>
      </c>
      <c r="I385" s="117" t="s">
        <v>2835</v>
      </c>
      <c r="J385" s="117" t="s">
        <v>2835</v>
      </c>
      <c r="K385" s="135" t="s">
        <v>1382</v>
      </c>
      <c r="L385" s="2" t="s">
        <v>3077</v>
      </c>
      <c r="M385" s="8" t="s">
        <v>1762</v>
      </c>
      <c r="N385" s="8">
        <v>45161</v>
      </c>
      <c r="O385" s="8">
        <v>45191</v>
      </c>
      <c r="P385" s="8">
        <v>45191</v>
      </c>
      <c r="Q385" s="229" t="s">
        <v>3078</v>
      </c>
      <c r="R385" s="115" t="str" cm="1">
        <f t="array" aca="1" ref="R385" ca="1">TRIM(SUBSTITUTE(_xlfn.ARRAYTOTEXT(IFERROR(CONCATENATE(SUMIF(INDIRECT("'"&amp;Assemblies[Assy]&amp;"'!"&amp;"C$5:C1000"), $A385, INDIRECT("'"&amp;Assemblies[Assy]&amp;"'!"&amp;"O$5:O1000")), "x",Assemblies[Assy],".",IF(SUMIF(INDIRECT("'"&amp;Assemblies[Assy]&amp;"'!"&amp;"C$5:C1000"), $A385, INDIRECT("'"&amp;Assemblies[Assy]&amp;"'!"&amp;"A$5:A1000"))=0,NA(),SUMIF(INDIRECT("'"&amp;Assemblies[Assy]&amp;"'!"&amp;"C$5:C1000"), $A385, INDIRECT("'"&amp;Assemblies[Assy]&amp;"'!"&amp;"A$5:A1000")))),"")), " ,", ""))</f>
        <v>,</v>
      </c>
      <c r="S385" s="56" t="s">
        <v>1382</v>
      </c>
      <c r="T385" s="2" t="s">
        <v>1382</v>
      </c>
      <c r="U385" s="2" t="s">
        <v>1382</v>
      </c>
      <c r="V385" s="2" t="s">
        <v>1382</v>
      </c>
    </row>
    <row r="386" spans="1:22">
      <c r="A386" s="135" t="s">
        <v>3079</v>
      </c>
      <c r="B386" s="2" t="s">
        <v>3025</v>
      </c>
      <c r="D386" s="5">
        <v>1</v>
      </c>
      <c r="E386" s="5" cm="1">
        <f t="array" aca="1" ref="E386" ca="1">SUMPRODUCT(SUMIF(INDIRECT("'"&amp;Assemblies[Assy]&amp;"'!"&amp;"C:C"),$A386,(INDIRECT("'"&amp;Assemblies[Assy]&amp;"'!"&amp;"O:O"))))</f>
        <v>0</v>
      </c>
      <c r="F386" s="5">
        <f t="shared" ref="F386:F449" ca="1" si="6">E386/D386</f>
        <v>0</v>
      </c>
      <c r="G386" s="5"/>
      <c r="I386" s="117" t="s">
        <v>2835</v>
      </c>
      <c r="J386" s="117" t="s">
        <v>2835</v>
      </c>
      <c r="K386" s="135" t="s">
        <v>1382</v>
      </c>
      <c r="L386" s="2" t="s">
        <v>3026</v>
      </c>
      <c r="M386" s="8">
        <v>45218</v>
      </c>
      <c r="R386" s="115" t="str" cm="1">
        <f t="array" aca="1" ref="R386" ca="1">TRIM(SUBSTITUTE(_xlfn.ARRAYTOTEXT(IFERROR(CONCATENATE(SUMIF(INDIRECT("'"&amp;Assemblies[Assy]&amp;"'!"&amp;"C$5:C1000"), $A386, INDIRECT("'"&amp;Assemblies[Assy]&amp;"'!"&amp;"O$5:O1000")), "x",Assemblies[Assy],".",IF(SUMIF(INDIRECT("'"&amp;Assemblies[Assy]&amp;"'!"&amp;"C$5:C1000"), $A386, INDIRECT("'"&amp;Assemblies[Assy]&amp;"'!"&amp;"A$5:A1000"))=0,NA(),SUMIF(INDIRECT("'"&amp;Assemblies[Assy]&amp;"'!"&amp;"C$5:C1000"), $A386, INDIRECT("'"&amp;Assemblies[Assy]&amp;"'!"&amp;"A$5:A1000")))),"")), " ,", ""))</f>
        <v>,</v>
      </c>
    </row>
    <row r="387" spans="1:22">
      <c r="A387" s="133" t="s">
        <v>3080</v>
      </c>
      <c r="B387" s="2" t="s">
        <v>3081</v>
      </c>
      <c r="C387" s="203">
        <v>6.93</v>
      </c>
      <c r="D387" s="5">
        <v>1</v>
      </c>
      <c r="E387" s="5" cm="1">
        <f t="array" aca="1" ref="E387" ca="1">SUMPRODUCT(SUMIF(INDIRECT("'"&amp;Assemblies[Assy]&amp;"'!"&amp;"C:C"),$A387,(INDIRECT("'"&amp;Assemblies[Assy]&amp;"'!"&amp;"O:O"))))</f>
        <v>0</v>
      </c>
      <c r="F387" s="5">
        <f t="shared" ca="1" si="6"/>
        <v>0</v>
      </c>
      <c r="G387" s="5">
        <v>1</v>
      </c>
      <c r="H387" s="2">
        <v>1</v>
      </c>
      <c r="I387" s="117" t="s">
        <v>2835</v>
      </c>
      <c r="J387" s="117" t="s">
        <v>2835</v>
      </c>
      <c r="K387" s="135" t="s">
        <v>1382</v>
      </c>
      <c r="L387" s="2" t="s">
        <v>3082</v>
      </c>
      <c r="M387" s="8" t="s">
        <v>1762</v>
      </c>
      <c r="N387" s="8">
        <v>45161</v>
      </c>
      <c r="O387" s="8">
        <v>45191</v>
      </c>
      <c r="P387" s="8">
        <v>45191</v>
      </c>
      <c r="Q387" s="229">
        <v>55079</v>
      </c>
      <c r="R387" s="115" t="str" cm="1">
        <f t="array" aca="1" ref="R387" ca="1">TRIM(SUBSTITUTE(_xlfn.ARRAYTOTEXT(IFERROR(CONCATENATE(SUMIF(INDIRECT("'"&amp;Assemblies[Assy]&amp;"'!"&amp;"C$5:C1000"), $A387, INDIRECT("'"&amp;Assemblies[Assy]&amp;"'!"&amp;"O$5:O1000")), "x",Assemblies[Assy],".",IF(SUMIF(INDIRECT("'"&amp;Assemblies[Assy]&amp;"'!"&amp;"C$5:C1000"), $A387, INDIRECT("'"&amp;Assemblies[Assy]&amp;"'!"&amp;"A$5:A1000"))=0,NA(),SUMIF(INDIRECT("'"&amp;Assemblies[Assy]&amp;"'!"&amp;"C$5:C1000"), $A387, INDIRECT("'"&amp;Assemblies[Assy]&amp;"'!"&amp;"A$5:A1000")))),"")), " ,", ""))</f>
        <v>,</v>
      </c>
      <c r="S387" s="56" t="s">
        <v>1382</v>
      </c>
      <c r="T387" s="2" t="s">
        <v>1382</v>
      </c>
      <c r="U387" s="2" t="s">
        <v>1382</v>
      </c>
      <c r="V387" s="2" t="s">
        <v>1382</v>
      </c>
    </row>
    <row r="388" spans="1:22">
      <c r="A388" s="133" t="s">
        <v>621</v>
      </c>
      <c r="B388" s="2" t="s">
        <v>3083</v>
      </c>
      <c r="C388" s="203">
        <v>14.96</v>
      </c>
      <c r="D388" s="5">
        <v>1</v>
      </c>
      <c r="E388" s="5" t="e" cm="1">
        <f t="array" aca="1" ref="E388" ca="1">SUMPRODUCT(SUMIF(INDIRECT("'"&amp;Assemblies[Assy]&amp;"'!"&amp;"C:C"),$A388,(INDIRECT("'"&amp;Assemblies[Assy]&amp;"'!"&amp;"O:O"))))</f>
        <v>#VALUE!</v>
      </c>
      <c r="F388" s="5" t="e">
        <f t="shared" ca="1" si="6"/>
        <v>#VALUE!</v>
      </c>
      <c r="G388" s="5">
        <v>4</v>
      </c>
      <c r="H388" s="2">
        <v>4</v>
      </c>
      <c r="I388" s="117" t="s">
        <v>2835</v>
      </c>
      <c r="J388" s="117" t="s">
        <v>2835</v>
      </c>
      <c r="K388" s="135" t="s">
        <v>1382</v>
      </c>
      <c r="L388" s="2" t="s">
        <v>3084</v>
      </c>
      <c r="M388" s="8" t="s">
        <v>1762</v>
      </c>
      <c r="N388" s="8">
        <v>45161</v>
      </c>
      <c r="O388" s="8">
        <v>45191</v>
      </c>
      <c r="P388" s="8">
        <v>45191</v>
      </c>
      <c r="Q388" s="229">
        <v>55079</v>
      </c>
      <c r="R388" s="115" t="str" cm="1">
        <f t="array" aca="1" ref="R388" ca="1">TRIM(SUBSTITUTE(_xlfn.ARRAYTOTEXT(IFERROR(CONCATENATE(SUMIF(INDIRECT("'"&amp;Assemblies[Assy]&amp;"'!"&amp;"C$5:C1000"), $A388, INDIRECT("'"&amp;Assemblies[Assy]&amp;"'!"&amp;"O$5:O1000")), "x",Assemblies[Assy],".",IF(SUMIF(INDIRECT("'"&amp;Assemblies[Assy]&amp;"'!"&amp;"C$5:C1000"), $A388, INDIRECT("'"&amp;Assemblies[Assy]&amp;"'!"&amp;"A$5:A1000"))=0,NA(),SUMIF(INDIRECT("'"&amp;Assemblies[Assy]&amp;"'!"&amp;"C$5:C1000"), $A388, INDIRECT("'"&amp;Assemblies[Assy]&amp;"'!"&amp;"A$5:A1000")))),"")), " ,", ""))</f>
        <v>,</v>
      </c>
      <c r="S388" s="56" t="s">
        <v>1382</v>
      </c>
      <c r="T388" s="2" t="s">
        <v>1382</v>
      </c>
      <c r="U388" s="2" t="s">
        <v>1382</v>
      </c>
      <c r="V388" s="2" t="s">
        <v>1382</v>
      </c>
    </row>
    <row r="389" spans="1:22">
      <c r="A389" s="133" t="s">
        <v>1110</v>
      </c>
      <c r="B389" s="2" t="s">
        <v>3085</v>
      </c>
      <c r="C389" s="203">
        <v>1.73</v>
      </c>
      <c r="D389" s="5">
        <v>1</v>
      </c>
      <c r="E389" s="5" t="e" cm="1">
        <f t="array" aca="1" ref="E389" ca="1">SUMPRODUCT(SUMIF(INDIRECT("'"&amp;Assemblies[Assy]&amp;"'!"&amp;"C:C"),$A389,(INDIRECT("'"&amp;Assemblies[Assy]&amp;"'!"&amp;"O:O"))))</f>
        <v>#VALUE!</v>
      </c>
      <c r="F389" s="5" t="e">
        <f t="shared" ca="1" si="6"/>
        <v>#VALUE!</v>
      </c>
      <c r="G389" s="5">
        <v>12</v>
      </c>
      <c r="H389" s="2">
        <v>11</v>
      </c>
      <c r="I389" s="117" t="s">
        <v>2835</v>
      </c>
      <c r="J389" s="117" t="s">
        <v>2835</v>
      </c>
      <c r="K389" s="135" t="s">
        <v>1382</v>
      </c>
      <c r="L389" s="2" t="s">
        <v>3086</v>
      </c>
      <c r="M389" s="8" t="s">
        <v>1762</v>
      </c>
      <c r="N389" s="8">
        <v>45161</v>
      </c>
      <c r="O389" s="8">
        <v>45191</v>
      </c>
      <c r="P389" s="8">
        <v>45191</v>
      </c>
      <c r="Q389" s="229" t="s">
        <v>3087</v>
      </c>
      <c r="R389" s="115" t="str" cm="1">
        <f t="array" aca="1" ref="R389" ca="1">TRIM(SUBSTITUTE(_xlfn.ARRAYTOTEXT(IFERROR(CONCATENATE(SUMIF(INDIRECT("'"&amp;Assemblies[Assy]&amp;"'!"&amp;"C$5:C1000"), $A389, INDIRECT("'"&amp;Assemblies[Assy]&amp;"'!"&amp;"O$5:O1000")), "x",Assemblies[Assy],".",IF(SUMIF(INDIRECT("'"&amp;Assemblies[Assy]&amp;"'!"&amp;"C$5:C1000"), $A389, INDIRECT("'"&amp;Assemblies[Assy]&amp;"'!"&amp;"A$5:A1000"))=0,NA(),SUMIF(INDIRECT("'"&amp;Assemblies[Assy]&amp;"'!"&amp;"C$5:C1000"), $A389, INDIRECT("'"&amp;Assemblies[Assy]&amp;"'!"&amp;"A$5:A1000")))),"")), " ,", ""))</f>
        <v>,</v>
      </c>
      <c r="S389" s="56" t="s">
        <v>1382</v>
      </c>
      <c r="T389" s="2" t="s">
        <v>1382</v>
      </c>
      <c r="U389" s="2" t="s">
        <v>1382</v>
      </c>
      <c r="V389" s="2" t="s">
        <v>1382</v>
      </c>
    </row>
    <row r="390" spans="1:22">
      <c r="A390" s="133" t="s">
        <v>3088</v>
      </c>
      <c r="B390" s="2" t="s">
        <v>3089</v>
      </c>
      <c r="C390" s="203">
        <v>3.51</v>
      </c>
      <c r="D390" s="5">
        <v>1</v>
      </c>
      <c r="E390" s="5" cm="1">
        <f t="array" aca="1" ref="E390" ca="1">SUMPRODUCT(SUMIF(INDIRECT("'"&amp;Assemblies[Assy]&amp;"'!"&amp;"C:C"),$A390,(INDIRECT("'"&amp;Assemblies[Assy]&amp;"'!"&amp;"O:O"))))</f>
        <v>0</v>
      </c>
      <c r="F390" s="5">
        <f t="shared" ca="1" si="6"/>
        <v>0</v>
      </c>
      <c r="G390" s="5">
        <v>3</v>
      </c>
      <c r="H390" s="2">
        <v>3</v>
      </c>
      <c r="I390" s="117" t="s">
        <v>2835</v>
      </c>
      <c r="J390" s="117" t="s">
        <v>2835</v>
      </c>
      <c r="K390" s="135" t="s">
        <v>1382</v>
      </c>
      <c r="L390" s="2" t="s">
        <v>3090</v>
      </c>
      <c r="M390" s="8" t="s">
        <v>1762</v>
      </c>
      <c r="N390" s="8">
        <v>45161</v>
      </c>
      <c r="O390" s="8">
        <v>45191</v>
      </c>
      <c r="P390" s="8">
        <v>45191</v>
      </c>
      <c r="Q390" s="229">
        <v>55079</v>
      </c>
      <c r="R390" s="115" t="str" cm="1">
        <f t="array" aca="1" ref="R390" ca="1">TRIM(SUBSTITUTE(_xlfn.ARRAYTOTEXT(IFERROR(CONCATENATE(SUMIF(INDIRECT("'"&amp;Assemblies[Assy]&amp;"'!"&amp;"C$5:C1000"), $A390, INDIRECT("'"&amp;Assemblies[Assy]&amp;"'!"&amp;"O$5:O1000")), "x",Assemblies[Assy],".",IF(SUMIF(INDIRECT("'"&amp;Assemblies[Assy]&amp;"'!"&amp;"C$5:C1000"), $A390, INDIRECT("'"&amp;Assemblies[Assy]&amp;"'!"&amp;"A$5:A1000"))=0,NA(),SUMIF(INDIRECT("'"&amp;Assemblies[Assy]&amp;"'!"&amp;"C$5:C1000"), $A390, INDIRECT("'"&amp;Assemblies[Assy]&amp;"'!"&amp;"A$5:A1000")))),"")), " ,", ""))</f>
        <v>,</v>
      </c>
      <c r="S390" s="56" t="s">
        <v>1382</v>
      </c>
      <c r="T390" s="2" t="s">
        <v>1382</v>
      </c>
      <c r="U390" s="2" t="s">
        <v>1382</v>
      </c>
      <c r="V390" s="2" t="s">
        <v>1382</v>
      </c>
    </row>
    <row r="391" spans="1:22">
      <c r="A391" s="2" t="s">
        <v>467</v>
      </c>
      <c r="B391" s="2" t="s">
        <v>3091</v>
      </c>
      <c r="C391" s="203">
        <v>57.43</v>
      </c>
      <c r="D391" s="5">
        <v>1</v>
      </c>
      <c r="E391" s="5" t="e" cm="1">
        <f t="array" aca="1" ref="E391" ca="1">SUMPRODUCT(SUMIF(INDIRECT("'"&amp;Assemblies[Assy]&amp;"'!"&amp;"C:C"),$A391,(INDIRECT("'"&amp;Assemblies[Assy]&amp;"'!"&amp;"O:O"))))</f>
        <v>#VALUE!</v>
      </c>
      <c r="F391" s="5" t="e">
        <f t="shared" ca="1" si="6"/>
        <v>#VALUE!</v>
      </c>
      <c r="G391" s="5">
        <v>3</v>
      </c>
      <c r="H391" s="2">
        <v>3</v>
      </c>
      <c r="I391" s="117" t="s">
        <v>2835</v>
      </c>
      <c r="J391" s="117" t="s">
        <v>2835</v>
      </c>
      <c r="K391" s="135" t="s">
        <v>1382</v>
      </c>
      <c r="L391" s="2" t="s">
        <v>3092</v>
      </c>
      <c r="M391" s="8" t="s">
        <v>1762</v>
      </c>
      <c r="N391" s="8">
        <v>45161</v>
      </c>
      <c r="O391" s="8">
        <v>45191</v>
      </c>
      <c r="P391" s="8">
        <v>45191</v>
      </c>
      <c r="Q391" s="229">
        <v>55079</v>
      </c>
      <c r="R391" s="115" t="str" cm="1">
        <f t="array" aca="1" ref="R391" ca="1">TRIM(SUBSTITUTE(_xlfn.ARRAYTOTEXT(IFERROR(CONCATENATE(SUMIF(INDIRECT("'"&amp;Assemblies[Assy]&amp;"'!"&amp;"C$5:C1000"), $A391, INDIRECT("'"&amp;Assemblies[Assy]&amp;"'!"&amp;"O$5:O1000")), "x",Assemblies[Assy],".",IF(SUMIF(INDIRECT("'"&amp;Assemblies[Assy]&amp;"'!"&amp;"C$5:C1000"), $A391, INDIRECT("'"&amp;Assemblies[Assy]&amp;"'!"&amp;"A$5:A1000"))=0,NA(),SUMIF(INDIRECT("'"&amp;Assemblies[Assy]&amp;"'!"&amp;"C$5:C1000"), $A391, INDIRECT("'"&amp;Assemblies[Assy]&amp;"'!"&amp;"A$5:A1000")))),"")), " ,", ""))</f>
        <v>,</v>
      </c>
      <c r="S391" s="56" t="s">
        <v>1382</v>
      </c>
      <c r="T391" s="2" t="s">
        <v>1382</v>
      </c>
      <c r="U391" s="2" t="s">
        <v>1382</v>
      </c>
      <c r="V391" s="2" t="s">
        <v>1382</v>
      </c>
    </row>
    <row r="392" spans="1:22">
      <c r="A392" s="133" t="s">
        <v>755</v>
      </c>
      <c r="B392" s="2" t="s">
        <v>3093</v>
      </c>
      <c r="C392" s="203">
        <v>44.78</v>
      </c>
      <c r="D392" s="5">
        <v>1</v>
      </c>
      <c r="E392" s="5" t="e" cm="1">
        <f t="array" aca="1" ref="E392" ca="1">SUMPRODUCT(SUMIF(INDIRECT("'"&amp;Assemblies[Assy]&amp;"'!"&amp;"C:C"),$A392,(INDIRECT("'"&amp;Assemblies[Assy]&amp;"'!"&amp;"O:O"))))</f>
        <v>#VALUE!</v>
      </c>
      <c r="F392" s="5" t="e">
        <f t="shared" ca="1" si="6"/>
        <v>#VALUE!</v>
      </c>
      <c r="G392" s="5">
        <v>7</v>
      </c>
      <c r="H392" s="2">
        <v>6</v>
      </c>
      <c r="I392" s="117" t="s">
        <v>2835</v>
      </c>
      <c r="J392" s="117" t="s">
        <v>2835</v>
      </c>
      <c r="K392" s="135" t="s">
        <v>1382</v>
      </c>
      <c r="L392" s="2" t="s">
        <v>3094</v>
      </c>
      <c r="M392" s="8" t="s">
        <v>1762</v>
      </c>
      <c r="N392" s="8">
        <v>45161</v>
      </c>
      <c r="O392" s="8">
        <v>45191</v>
      </c>
      <c r="P392" s="8">
        <v>45191</v>
      </c>
      <c r="Q392" s="229" t="s">
        <v>3095</v>
      </c>
      <c r="R392" s="115" t="str" cm="1">
        <f t="array" aca="1" ref="R392" ca="1">TRIM(SUBSTITUTE(_xlfn.ARRAYTOTEXT(IFERROR(CONCATENATE(SUMIF(INDIRECT("'"&amp;Assemblies[Assy]&amp;"'!"&amp;"C$5:C1000"), $A392, INDIRECT("'"&amp;Assemblies[Assy]&amp;"'!"&amp;"O$5:O1000")), "x",Assemblies[Assy],".",IF(SUMIF(INDIRECT("'"&amp;Assemblies[Assy]&amp;"'!"&amp;"C$5:C1000"), $A392, INDIRECT("'"&amp;Assemblies[Assy]&amp;"'!"&amp;"A$5:A1000"))=0,NA(),SUMIF(INDIRECT("'"&amp;Assemblies[Assy]&amp;"'!"&amp;"C$5:C1000"), $A392, INDIRECT("'"&amp;Assemblies[Assy]&amp;"'!"&amp;"A$5:A1000")))),"")), " ,", ""))</f>
        <v>,</v>
      </c>
      <c r="S392" s="56" t="s">
        <v>1382</v>
      </c>
      <c r="T392" s="2" t="s">
        <v>1382</v>
      </c>
      <c r="U392" s="2" t="s">
        <v>1382</v>
      </c>
      <c r="V392" s="2" t="s">
        <v>1382</v>
      </c>
    </row>
    <row r="393" spans="1:22">
      <c r="A393" s="133" t="s">
        <v>1022</v>
      </c>
      <c r="B393" s="184" t="s">
        <v>3096</v>
      </c>
      <c r="C393" s="203">
        <v>11.56</v>
      </c>
      <c r="D393" s="5">
        <v>1</v>
      </c>
      <c r="E393" s="5" t="e" cm="1">
        <f t="array" aca="1" ref="E393" ca="1">SUMPRODUCT(SUMIF(INDIRECT("'"&amp;Assemblies[Assy]&amp;"'!"&amp;"C:C"),$A393,(INDIRECT("'"&amp;Assemblies[Assy]&amp;"'!"&amp;"O:O"))))</f>
        <v>#VALUE!</v>
      </c>
      <c r="F393" s="5" t="e">
        <f t="shared" ca="1" si="6"/>
        <v>#VALUE!</v>
      </c>
      <c r="G393" s="5">
        <v>3</v>
      </c>
      <c r="H393" s="2">
        <v>3</v>
      </c>
      <c r="I393" s="117" t="s">
        <v>2835</v>
      </c>
      <c r="J393" s="117" t="s">
        <v>2835</v>
      </c>
      <c r="K393" s="135" t="s">
        <v>1382</v>
      </c>
      <c r="L393" s="2" t="s">
        <v>3097</v>
      </c>
      <c r="M393" s="8" t="s">
        <v>1762</v>
      </c>
      <c r="N393" s="8">
        <v>45161</v>
      </c>
      <c r="O393" s="8">
        <v>45191</v>
      </c>
      <c r="P393" s="8">
        <v>45191</v>
      </c>
      <c r="Q393" s="229">
        <v>55079</v>
      </c>
      <c r="R393" s="115" t="str" cm="1">
        <f t="array" aca="1" ref="R393" ca="1">TRIM(SUBSTITUTE(_xlfn.ARRAYTOTEXT(IFERROR(CONCATENATE(SUMIF(INDIRECT("'"&amp;Assemblies[Assy]&amp;"'!"&amp;"C$5:C1000"), $A393, INDIRECT("'"&amp;Assemblies[Assy]&amp;"'!"&amp;"O$5:O1000")), "x",Assemblies[Assy],".",IF(SUMIF(INDIRECT("'"&amp;Assemblies[Assy]&amp;"'!"&amp;"C$5:C1000"), $A393, INDIRECT("'"&amp;Assemblies[Assy]&amp;"'!"&amp;"A$5:A1000"))=0,NA(),SUMIF(INDIRECT("'"&amp;Assemblies[Assy]&amp;"'!"&amp;"C$5:C1000"), $A393, INDIRECT("'"&amp;Assemblies[Assy]&amp;"'!"&amp;"A$5:A1000")))),"")), " ,", ""))</f>
        <v>,</v>
      </c>
      <c r="S393" s="56" t="s">
        <v>1382</v>
      </c>
      <c r="T393" s="2" t="s">
        <v>1382</v>
      </c>
      <c r="U393" s="2" t="s">
        <v>1382</v>
      </c>
      <c r="V393" s="2" t="s">
        <v>1382</v>
      </c>
    </row>
    <row r="394" spans="1:22">
      <c r="A394" s="133" t="s">
        <v>697</v>
      </c>
      <c r="B394" s="2" t="s">
        <v>3098</v>
      </c>
      <c r="C394" s="203">
        <v>26.09</v>
      </c>
      <c r="D394" s="5">
        <v>1</v>
      </c>
      <c r="E394" s="5" t="e" cm="1">
        <f t="array" aca="1" ref="E394" ca="1">SUMPRODUCT(SUMIF(INDIRECT("'"&amp;Assemblies[Assy]&amp;"'!"&amp;"C:C"),$A394,(INDIRECT("'"&amp;Assemblies[Assy]&amp;"'!"&amp;"O:O"))))</f>
        <v>#VALUE!</v>
      </c>
      <c r="F394" s="5" t="e">
        <f t="shared" ca="1" si="6"/>
        <v>#VALUE!</v>
      </c>
      <c r="G394" s="5">
        <v>20</v>
      </c>
      <c r="H394" s="2">
        <v>20</v>
      </c>
      <c r="I394" s="117" t="s">
        <v>2835</v>
      </c>
      <c r="J394" s="117" t="s">
        <v>2835</v>
      </c>
      <c r="K394" s="135" t="s">
        <v>1382</v>
      </c>
      <c r="L394" s="2" t="s">
        <v>3099</v>
      </c>
      <c r="M394" s="8" t="s">
        <v>1762</v>
      </c>
      <c r="N394" s="8">
        <v>45162</v>
      </c>
      <c r="O394" s="8">
        <v>45184</v>
      </c>
      <c r="P394" s="8">
        <v>45169</v>
      </c>
      <c r="Q394" s="229">
        <v>55097</v>
      </c>
      <c r="R394" s="115" t="str" cm="1">
        <f t="array" aca="1" ref="R394" ca="1">TRIM(SUBSTITUTE(_xlfn.ARRAYTOTEXT(IFERROR(CONCATENATE(SUMIF(INDIRECT("'"&amp;Assemblies[Assy]&amp;"'!"&amp;"C$5:C1000"), $A394, INDIRECT("'"&amp;Assemblies[Assy]&amp;"'!"&amp;"O$5:O1000")), "x",Assemblies[Assy],".",IF(SUMIF(INDIRECT("'"&amp;Assemblies[Assy]&amp;"'!"&amp;"C$5:C1000"), $A394, INDIRECT("'"&amp;Assemblies[Assy]&amp;"'!"&amp;"A$5:A1000"))=0,NA(),SUMIF(INDIRECT("'"&amp;Assemblies[Assy]&amp;"'!"&amp;"C$5:C1000"), $A394, INDIRECT("'"&amp;Assemblies[Assy]&amp;"'!"&amp;"A$5:A1000")))),"")), " ,", ""))</f>
        <v>,</v>
      </c>
      <c r="S394" s="56" t="s">
        <v>1382</v>
      </c>
      <c r="T394" s="2" t="s">
        <v>1382</v>
      </c>
      <c r="U394" s="2" t="s">
        <v>1382</v>
      </c>
      <c r="V394" s="2" t="s">
        <v>1382</v>
      </c>
    </row>
    <row r="395" spans="1:22">
      <c r="A395" s="133" t="s">
        <v>947</v>
      </c>
      <c r="B395" s="2" t="s">
        <v>3100</v>
      </c>
      <c r="C395" s="168">
        <v>20.29</v>
      </c>
      <c r="D395" s="5">
        <v>1</v>
      </c>
      <c r="E395" s="5" t="e" cm="1">
        <f t="array" aca="1" ref="E395" ca="1">SUMPRODUCT(SUMIF(INDIRECT("'"&amp;Assemblies[Assy]&amp;"'!"&amp;"C:C"),$A395,(INDIRECT("'"&amp;Assemblies[Assy]&amp;"'!"&amp;"O:O"))))</f>
        <v>#VALUE!</v>
      </c>
      <c r="F395" s="5" t="e">
        <f t="shared" ca="1" si="6"/>
        <v>#VALUE!</v>
      </c>
      <c r="G395" s="5">
        <v>4</v>
      </c>
      <c r="H395" s="2">
        <v>4</v>
      </c>
      <c r="I395" s="117" t="s">
        <v>2835</v>
      </c>
      <c r="J395" s="117" t="s">
        <v>2835</v>
      </c>
      <c r="K395" s="135" t="s">
        <v>1382</v>
      </c>
      <c r="L395" s="2" t="s">
        <v>3101</v>
      </c>
      <c r="M395" s="8" t="s">
        <v>1762</v>
      </c>
      <c r="N395" s="8">
        <v>45161</v>
      </c>
      <c r="O395" s="8">
        <v>45191</v>
      </c>
      <c r="P395" s="8">
        <v>45191</v>
      </c>
      <c r="Q395" s="229">
        <v>55079</v>
      </c>
      <c r="R395" s="115" t="str" cm="1">
        <f t="array" aca="1" ref="R395" ca="1">TRIM(SUBSTITUTE(_xlfn.ARRAYTOTEXT(IFERROR(CONCATENATE(SUMIF(INDIRECT("'"&amp;Assemblies[Assy]&amp;"'!"&amp;"C$5:C1000"), $A395, INDIRECT("'"&amp;Assemblies[Assy]&amp;"'!"&amp;"O$5:O1000")), "x",Assemblies[Assy],".",IF(SUMIF(INDIRECT("'"&amp;Assemblies[Assy]&amp;"'!"&amp;"C$5:C1000"), $A395, INDIRECT("'"&amp;Assemblies[Assy]&amp;"'!"&amp;"A$5:A1000"))=0,NA(),SUMIF(INDIRECT("'"&amp;Assemblies[Assy]&amp;"'!"&amp;"C$5:C1000"), $A395, INDIRECT("'"&amp;Assemblies[Assy]&amp;"'!"&amp;"A$5:A1000")))),"")), " ,", ""))</f>
        <v>,</v>
      </c>
      <c r="S395" s="56" t="s">
        <v>1382</v>
      </c>
      <c r="T395" s="2" t="s">
        <v>1382</v>
      </c>
      <c r="U395" s="2" t="s">
        <v>1382</v>
      </c>
      <c r="V395" s="2" t="s">
        <v>1382</v>
      </c>
    </row>
    <row r="396" spans="1:22">
      <c r="A396" s="2" t="s">
        <v>470</v>
      </c>
      <c r="B396" s="2" t="s">
        <v>3102</v>
      </c>
      <c r="C396" s="203">
        <v>2.17</v>
      </c>
      <c r="D396" s="5">
        <v>1</v>
      </c>
      <c r="E396" s="5" t="e" cm="1">
        <f t="array" aca="1" ref="E396" ca="1">SUMPRODUCT(SUMIF(INDIRECT("'"&amp;Assemblies[Assy]&amp;"'!"&amp;"C:C"),$A396,(INDIRECT("'"&amp;Assemblies[Assy]&amp;"'!"&amp;"O:O"))))</f>
        <v>#VALUE!</v>
      </c>
      <c r="F396" s="5" t="e">
        <f t="shared" ca="1" si="6"/>
        <v>#VALUE!</v>
      </c>
      <c r="G396" s="5">
        <v>11</v>
      </c>
      <c r="H396" s="2">
        <v>11</v>
      </c>
      <c r="I396" s="117" t="s">
        <v>2835</v>
      </c>
      <c r="J396" s="117" t="s">
        <v>2835</v>
      </c>
      <c r="K396" s="135" t="s">
        <v>1382</v>
      </c>
      <c r="L396" s="2" t="s">
        <v>3103</v>
      </c>
      <c r="M396" s="8" t="s">
        <v>1762</v>
      </c>
      <c r="N396" s="8">
        <v>45161</v>
      </c>
      <c r="O396" s="8">
        <v>45191</v>
      </c>
      <c r="P396" s="8">
        <v>45191</v>
      </c>
      <c r="Q396" s="229">
        <v>55079</v>
      </c>
      <c r="R396" s="115" t="str" cm="1">
        <f t="array" aca="1" ref="R396" ca="1">TRIM(SUBSTITUTE(_xlfn.ARRAYTOTEXT(IFERROR(CONCATENATE(SUMIF(INDIRECT("'"&amp;Assemblies[Assy]&amp;"'!"&amp;"C$5:C1000"), $A396, INDIRECT("'"&amp;Assemblies[Assy]&amp;"'!"&amp;"O$5:O1000")), "x",Assemblies[Assy],".",IF(SUMIF(INDIRECT("'"&amp;Assemblies[Assy]&amp;"'!"&amp;"C$5:C1000"), $A396, INDIRECT("'"&amp;Assemblies[Assy]&amp;"'!"&amp;"A$5:A1000"))=0,NA(),SUMIF(INDIRECT("'"&amp;Assemblies[Assy]&amp;"'!"&amp;"C$5:C1000"), $A396, INDIRECT("'"&amp;Assemblies[Assy]&amp;"'!"&amp;"A$5:A1000")))),"")), " ,", ""))</f>
        <v>,</v>
      </c>
      <c r="S396" s="56" t="s">
        <v>1382</v>
      </c>
      <c r="T396" s="2" t="s">
        <v>1382</v>
      </c>
      <c r="U396" s="2" t="s">
        <v>1382</v>
      </c>
      <c r="V396" s="2" t="s">
        <v>1382</v>
      </c>
    </row>
    <row r="397" spans="1:22">
      <c r="A397" s="133" t="s">
        <v>891</v>
      </c>
      <c r="B397" s="2" t="s">
        <v>3104</v>
      </c>
      <c r="C397" s="168">
        <v>6.24</v>
      </c>
      <c r="D397" s="5">
        <v>1</v>
      </c>
      <c r="E397" s="5" t="e" cm="1">
        <f t="array" aca="1" ref="E397" ca="1">SUMPRODUCT(SUMIF(INDIRECT("'"&amp;Assemblies[Assy]&amp;"'!"&amp;"C:C"),$A397,(INDIRECT("'"&amp;Assemblies[Assy]&amp;"'!"&amp;"O:O"))))</f>
        <v>#VALUE!</v>
      </c>
      <c r="F397" s="5" t="e">
        <f t="shared" ca="1" si="6"/>
        <v>#VALUE!</v>
      </c>
      <c r="G397" s="5">
        <v>6</v>
      </c>
      <c r="H397" s="2">
        <v>6</v>
      </c>
      <c r="I397" s="117" t="s">
        <v>2835</v>
      </c>
      <c r="J397" s="117" t="s">
        <v>2835</v>
      </c>
      <c r="K397" s="135" t="s">
        <v>1382</v>
      </c>
      <c r="L397" s="2" t="s">
        <v>3105</v>
      </c>
      <c r="M397" s="8" t="s">
        <v>1762</v>
      </c>
      <c r="N397" s="8">
        <v>45161</v>
      </c>
      <c r="O397" s="8">
        <v>45191</v>
      </c>
      <c r="P397" s="8">
        <v>45191</v>
      </c>
      <c r="Q397" s="229">
        <v>55079</v>
      </c>
      <c r="R397" s="115" t="str" cm="1">
        <f t="array" aca="1" ref="R397" ca="1">TRIM(SUBSTITUTE(_xlfn.ARRAYTOTEXT(IFERROR(CONCATENATE(SUMIF(INDIRECT("'"&amp;Assemblies[Assy]&amp;"'!"&amp;"C$5:C1000"), $A397, INDIRECT("'"&amp;Assemblies[Assy]&amp;"'!"&amp;"O$5:O1000")), "x",Assemblies[Assy],".",IF(SUMIF(INDIRECT("'"&amp;Assemblies[Assy]&amp;"'!"&amp;"C$5:C1000"), $A397, INDIRECT("'"&amp;Assemblies[Assy]&amp;"'!"&amp;"A$5:A1000"))=0,NA(),SUMIF(INDIRECT("'"&amp;Assemblies[Assy]&amp;"'!"&amp;"C$5:C1000"), $A397, INDIRECT("'"&amp;Assemblies[Assy]&amp;"'!"&amp;"A$5:A1000")))),"")), " ,", ""))</f>
        <v>,</v>
      </c>
    </row>
    <row r="398" spans="1:22">
      <c r="A398" s="133" t="s">
        <v>1109</v>
      </c>
      <c r="B398" s="2" t="s">
        <v>3106</v>
      </c>
      <c r="C398" s="168">
        <v>50.18</v>
      </c>
      <c r="D398" s="5">
        <v>1</v>
      </c>
      <c r="E398" s="5" t="e" cm="1">
        <f t="array" aca="1" ref="E398" ca="1">SUMPRODUCT(SUMIF(INDIRECT("'"&amp;Assemblies[Assy]&amp;"'!"&amp;"C:C"),$A398,(INDIRECT("'"&amp;Assemblies[Assy]&amp;"'!"&amp;"O:O"))))</f>
        <v>#VALUE!</v>
      </c>
      <c r="F398" s="5" t="e">
        <f t="shared" ca="1" si="6"/>
        <v>#VALUE!</v>
      </c>
      <c r="G398" s="5">
        <v>3</v>
      </c>
      <c r="H398" s="2">
        <v>3</v>
      </c>
      <c r="I398" s="117" t="s">
        <v>2835</v>
      </c>
      <c r="J398" s="117" t="s">
        <v>2835</v>
      </c>
      <c r="K398" s="135" t="s">
        <v>1382</v>
      </c>
      <c r="L398" s="2" t="s">
        <v>3107</v>
      </c>
      <c r="M398" s="8" t="s">
        <v>1762</v>
      </c>
      <c r="N398" s="8">
        <v>45161</v>
      </c>
      <c r="O398" s="8">
        <v>45191</v>
      </c>
      <c r="P398" s="8">
        <v>45191</v>
      </c>
      <c r="Q398" s="229">
        <v>55079</v>
      </c>
      <c r="R398" s="115" t="str" cm="1">
        <f t="array" aca="1" ref="R398" ca="1">TRIM(SUBSTITUTE(_xlfn.ARRAYTOTEXT(IFERROR(CONCATENATE(SUMIF(INDIRECT("'"&amp;Assemblies[Assy]&amp;"'!"&amp;"C$5:C1000"), $A398, INDIRECT("'"&amp;Assemblies[Assy]&amp;"'!"&amp;"O$5:O1000")), "x",Assemblies[Assy],".",IF(SUMIF(INDIRECT("'"&amp;Assemblies[Assy]&amp;"'!"&amp;"C$5:C1000"), $A398, INDIRECT("'"&amp;Assemblies[Assy]&amp;"'!"&amp;"A$5:A1000"))=0,NA(),SUMIF(INDIRECT("'"&amp;Assemblies[Assy]&amp;"'!"&amp;"C$5:C1000"), $A398, INDIRECT("'"&amp;Assemblies[Assy]&amp;"'!"&amp;"A$5:A1000")))),"")), " ,", ""))</f>
        <v>,</v>
      </c>
    </row>
    <row r="399" spans="1:22">
      <c r="A399" s="133" t="s">
        <v>1060</v>
      </c>
      <c r="B399" s="2" t="s">
        <v>3108</v>
      </c>
      <c r="C399" s="168">
        <v>41.75</v>
      </c>
      <c r="D399" s="5">
        <v>1</v>
      </c>
      <c r="E399" s="5" t="e" cm="1">
        <f t="array" aca="1" ref="E399" ca="1">SUMPRODUCT(SUMIF(INDIRECT("'"&amp;Assemblies[Assy]&amp;"'!"&amp;"C:C"),$A399,(INDIRECT("'"&amp;Assemblies[Assy]&amp;"'!"&amp;"O:O"))))</f>
        <v>#VALUE!</v>
      </c>
      <c r="F399" s="5" t="e">
        <f t="shared" ca="1" si="6"/>
        <v>#VALUE!</v>
      </c>
      <c r="G399" s="5">
        <v>16</v>
      </c>
      <c r="H399" s="2">
        <v>16</v>
      </c>
      <c r="I399" s="117" t="s">
        <v>2835</v>
      </c>
      <c r="J399" s="117" t="s">
        <v>2835</v>
      </c>
      <c r="K399" s="135" t="s">
        <v>1382</v>
      </c>
      <c r="L399" s="2" t="s">
        <v>3109</v>
      </c>
      <c r="M399" s="8" t="s">
        <v>1762</v>
      </c>
      <c r="N399" s="8">
        <v>45161</v>
      </c>
      <c r="O399" s="8">
        <v>45191</v>
      </c>
      <c r="P399" s="8">
        <v>45191</v>
      </c>
      <c r="Q399" s="229">
        <v>55079</v>
      </c>
      <c r="R399" s="115" t="str" cm="1">
        <f t="array" aca="1" ref="R399" ca="1">TRIM(SUBSTITUTE(_xlfn.ARRAYTOTEXT(IFERROR(CONCATENATE(SUMIF(INDIRECT("'"&amp;Assemblies[Assy]&amp;"'!"&amp;"C$5:C1000"), $A399, INDIRECT("'"&amp;Assemblies[Assy]&amp;"'!"&amp;"O$5:O1000")), "x",Assemblies[Assy],".",IF(SUMIF(INDIRECT("'"&amp;Assemblies[Assy]&amp;"'!"&amp;"C$5:C1000"), $A399, INDIRECT("'"&amp;Assemblies[Assy]&amp;"'!"&amp;"A$5:A1000"))=0,NA(),SUMIF(INDIRECT("'"&amp;Assemblies[Assy]&amp;"'!"&amp;"C$5:C1000"), $A399, INDIRECT("'"&amp;Assemblies[Assy]&amp;"'!"&amp;"A$5:A1000")))),"")), " ,", ""))</f>
        <v>,</v>
      </c>
    </row>
    <row r="400" spans="1:22">
      <c r="A400" s="247" t="s">
        <v>477</v>
      </c>
      <c r="B400" s="161" t="s">
        <v>3110</v>
      </c>
      <c r="C400" s="168">
        <v>21.52</v>
      </c>
      <c r="D400" s="5">
        <v>1</v>
      </c>
      <c r="E400" s="5" t="e" cm="1">
        <f t="array" aca="1" ref="E400" ca="1">SUMPRODUCT(SUMIF(INDIRECT("'"&amp;Assemblies[Assy]&amp;"'!"&amp;"C:C"),$A400,(INDIRECT("'"&amp;Assemblies[Assy]&amp;"'!"&amp;"O:O"))))</f>
        <v>#VALUE!</v>
      </c>
      <c r="F400" s="5" t="e">
        <f t="shared" ca="1" si="6"/>
        <v>#VALUE!</v>
      </c>
      <c r="G400" s="5">
        <v>50</v>
      </c>
      <c r="H400" s="2">
        <v>50</v>
      </c>
      <c r="I400" s="117" t="s">
        <v>3111</v>
      </c>
      <c r="J400" s="117" t="s">
        <v>3111</v>
      </c>
      <c r="K400" s="135" t="s">
        <v>1382</v>
      </c>
      <c r="L400" s="2" t="s">
        <v>1779</v>
      </c>
      <c r="M400" s="8">
        <v>45161</v>
      </c>
      <c r="N400" s="8">
        <v>45162</v>
      </c>
      <c r="O400" s="8">
        <v>45184</v>
      </c>
      <c r="P400" s="8">
        <v>45184</v>
      </c>
      <c r="Q400" s="229">
        <v>55080</v>
      </c>
      <c r="R400" s="115" t="str" cm="1">
        <f t="array" aca="1" ref="R400" ca="1">TRIM(SUBSTITUTE(_xlfn.ARRAYTOTEXT(IFERROR(CONCATENATE(SUMIF(INDIRECT("'"&amp;Assemblies[Assy]&amp;"'!"&amp;"C$5:C1000"), $A400, INDIRECT("'"&amp;Assemblies[Assy]&amp;"'!"&amp;"O$5:O1000")), "x",Assemblies[Assy],".",IF(SUMIF(INDIRECT("'"&amp;Assemblies[Assy]&amp;"'!"&amp;"C$5:C1000"), $A400, INDIRECT("'"&amp;Assemblies[Assy]&amp;"'!"&amp;"A$5:A1000"))=0,NA(),SUMIF(INDIRECT("'"&amp;Assemblies[Assy]&amp;"'!"&amp;"C$5:C1000"), $A400, INDIRECT("'"&amp;Assemblies[Assy]&amp;"'!"&amp;"A$5:A1000")))),"")), " ,", ""))</f>
        <v>,</v>
      </c>
      <c r="S400" s="56" t="s">
        <v>1382</v>
      </c>
      <c r="T400" s="2" t="s">
        <v>1382</v>
      </c>
      <c r="U400" s="2" t="s">
        <v>1382</v>
      </c>
      <c r="V400" s="2" t="s">
        <v>1382</v>
      </c>
    </row>
    <row r="401" spans="1:22">
      <c r="A401" s="247" t="s">
        <v>1003</v>
      </c>
      <c r="B401" s="161" t="s">
        <v>3112</v>
      </c>
      <c r="C401" s="168">
        <v>21.04</v>
      </c>
      <c r="D401" s="5">
        <v>1</v>
      </c>
      <c r="E401" s="5" t="e" cm="1">
        <f t="array" aca="1" ref="E401" ca="1">SUMPRODUCT(SUMIF(INDIRECT("'"&amp;Assemblies[Assy]&amp;"'!"&amp;"C:C"),$A401,(INDIRECT("'"&amp;Assemblies[Assy]&amp;"'!"&amp;"O:O"))))</f>
        <v>#VALUE!</v>
      </c>
      <c r="F401" s="5" t="e">
        <f t="shared" ca="1" si="6"/>
        <v>#VALUE!</v>
      </c>
      <c r="G401" s="5">
        <v>10</v>
      </c>
      <c r="H401" s="2">
        <v>10</v>
      </c>
      <c r="I401" s="117" t="s">
        <v>3111</v>
      </c>
      <c r="J401" s="117" t="s">
        <v>3111</v>
      </c>
      <c r="K401" s="135" t="s">
        <v>1382</v>
      </c>
      <c r="L401" s="2" t="s">
        <v>1382</v>
      </c>
      <c r="M401" s="8">
        <v>45161</v>
      </c>
      <c r="N401" s="8">
        <v>45162</v>
      </c>
      <c r="O401" s="8">
        <v>45184</v>
      </c>
      <c r="P401" s="8">
        <v>45184</v>
      </c>
      <c r="Q401" s="229">
        <v>55080</v>
      </c>
      <c r="R401" s="115" t="str" cm="1">
        <f t="array" aca="1" ref="R401" ca="1">TRIM(SUBSTITUTE(_xlfn.ARRAYTOTEXT(IFERROR(CONCATENATE(SUMIF(INDIRECT("'"&amp;Assemblies[Assy]&amp;"'!"&amp;"C$5:C1000"), $A401, INDIRECT("'"&amp;Assemblies[Assy]&amp;"'!"&amp;"O$5:O1000")), "x",Assemblies[Assy],".",IF(SUMIF(INDIRECT("'"&amp;Assemblies[Assy]&amp;"'!"&amp;"C$5:C1000"), $A401, INDIRECT("'"&amp;Assemblies[Assy]&amp;"'!"&amp;"A$5:A1000"))=0,NA(),SUMIF(INDIRECT("'"&amp;Assemblies[Assy]&amp;"'!"&amp;"C$5:C1000"), $A401, INDIRECT("'"&amp;Assemblies[Assy]&amp;"'!"&amp;"A$5:A1000")))),"")), " ,", ""))</f>
        <v>,</v>
      </c>
      <c r="S401" s="56" t="s">
        <v>1382</v>
      </c>
      <c r="T401" s="2" t="s">
        <v>1382</v>
      </c>
      <c r="U401" s="2" t="s">
        <v>1382</v>
      </c>
      <c r="V401" s="2" t="s">
        <v>1382</v>
      </c>
    </row>
    <row r="402" spans="1:22">
      <c r="A402" s="247" t="s">
        <v>625</v>
      </c>
      <c r="B402" s="161" t="s">
        <v>3113</v>
      </c>
      <c r="C402" s="168">
        <v>25</v>
      </c>
      <c r="D402" s="5">
        <v>1</v>
      </c>
      <c r="E402" s="5" t="e" cm="1">
        <f t="array" aca="1" ref="E402" ca="1">SUMPRODUCT(SUMIF(INDIRECT("'"&amp;Assemblies[Assy]&amp;"'!"&amp;"C:C"),$A402,(INDIRECT("'"&amp;Assemblies[Assy]&amp;"'!"&amp;"O:O"))))</f>
        <v>#VALUE!</v>
      </c>
      <c r="F402" s="5" t="e">
        <f t="shared" ca="1" si="6"/>
        <v>#VALUE!</v>
      </c>
      <c r="G402" s="5">
        <v>10</v>
      </c>
      <c r="H402" s="2">
        <v>10</v>
      </c>
      <c r="I402" s="117" t="s">
        <v>3111</v>
      </c>
      <c r="J402" s="117" t="s">
        <v>3111</v>
      </c>
      <c r="M402" s="8">
        <v>45216</v>
      </c>
      <c r="N402" s="8">
        <v>45219</v>
      </c>
      <c r="O402" s="8">
        <v>45226</v>
      </c>
      <c r="P402" s="8">
        <v>45226</v>
      </c>
      <c r="Q402" s="229">
        <v>55194</v>
      </c>
      <c r="R402" s="115" t="str" cm="1">
        <f t="array" aca="1" ref="R402" ca="1">TRIM(SUBSTITUTE(_xlfn.ARRAYTOTEXT(IFERROR(CONCATENATE(SUMIF(INDIRECT("'"&amp;Assemblies!$B$2:$B$152&amp;"'!"&amp;"C$5:C1000"), $A402, INDIRECT("'"&amp;Assemblies!$B$2:$B$152&amp;"'!"&amp;"O$5:O1000")), "x",Assemblies!$B$2:$B$152,".",IF(SUMIF(INDIRECT("'"&amp;Assemblies!$B$2:$B$152&amp;"'!"&amp;"C$5:C1000"), $A402, INDIRECT("'"&amp;Assemblies!$B$2:$B$152&amp;"'!"&amp;"A$5:A1000"))=0,NA(),SUMIF(INDIRECT("'"&amp;Assemblies!$B$2:$B$152&amp;"'!"&amp;"C$5:C1000"), $A402, INDIRECT("'"&amp;Assemblies!$B$2:$B$152&amp;"'!"&amp;"A$5:A1000")))),"")), " ,", ""))</f>
        <v>,</v>
      </c>
    </row>
    <row r="403" spans="1:22">
      <c r="A403" s="247" t="s">
        <v>184</v>
      </c>
      <c r="B403" s="161" t="s">
        <v>3114</v>
      </c>
      <c r="C403" s="168">
        <v>26.52</v>
      </c>
      <c r="D403" s="5">
        <v>1</v>
      </c>
      <c r="E403" s="5" t="e" cm="1">
        <f t="array" aca="1" ref="E403" ca="1">SUMPRODUCT(SUMIF(INDIRECT("'"&amp;Assemblies[Assy]&amp;"'!"&amp;"C:C"),$A403,(INDIRECT("'"&amp;Assemblies[Assy]&amp;"'!"&amp;"O:O"))))</f>
        <v>#VALUE!</v>
      </c>
      <c r="F403" s="5" t="e">
        <f t="shared" ca="1" si="6"/>
        <v>#VALUE!</v>
      </c>
      <c r="G403" s="5">
        <v>10</v>
      </c>
      <c r="H403" s="2">
        <v>10</v>
      </c>
      <c r="I403" s="117" t="s">
        <v>3111</v>
      </c>
      <c r="J403" s="117" t="s">
        <v>3111</v>
      </c>
      <c r="L403" s="2" t="s">
        <v>1382</v>
      </c>
      <c r="M403" s="8">
        <v>45216</v>
      </c>
      <c r="N403" s="8">
        <v>45219</v>
      </c>
      <c r="O403" s="8">
        <v>45226</v>
      </c>
      <c r="P403" s="8">
        <v>45226</v>
      </c>
      <c r="Q403" s="229">
        <v>55194</v>
      </c>
      <c r="R403" s="115" t="str" cm="1">
        <f t="array" aca="1" ref="R403" ca="1">TRIM(SUBSTITUTE(_xlfn.ARRAYTOTEXT(IFERROR(CONCATENATE(SUMIF(INDIRECT("'"&amp;Assemblies[Assy]&amp;"'!"&amp;"C$5:C1000"), $A403, INDIRECT("'"&amp;Assemblies[Assy]&amp;"'!"&amp;"O$5:O1000")), "x",Assemblies[Assy],".",IF(SUMIF(INDIRECT("'"&amp;Assemblies[Assy]&amp;"'!"&amp;"C$5:C1000"), $A403, INDIRECT("'"&amp;Assemblies[Assy]&amp;"'!"&amp;"A$5:A1000"))=0,NA(),SUMIF(INDIRECT("'"&amp;Assemblies[Assy]&amp;"'!"&amp;"C$5:C1000"), $A403, INDIRECT("'"&amp;Assemblies[Assy]&amp;"'!"&amp;"A$5:A1000")))),"")), " ,", ""))</f>
        <v>,</v>
      </c>
      <c r="S403" s="56" t="s">
        <v>1382</v>
      </c>
      <c r="T403" s="2" t="s">
        <v>1382</v>
      </c>
      <c r="U403" s="2" t="s">
        <v>1382</v>
      </c>
      <c r="V403" s="2" t="s">
        <v>1382</v>
      </c>
    </row>
    <row r="404" spans="1:22">
      <c r="A404" s="133" t="s">
        <v>1050</v>
      </c>
      <c r="B404" s="2" t="s">
        <v>3115</v>
      </c>
      <c r="C404" s="168">
        <v>32.76</v>
      </c>
      <c r="D404" s="5">
        <v>1</v>
      </c>
      <c r="E404" s="5" t="e" cm="1">
        <f t="array" aca="1" ref="E404" ca="1">SUMPRODUCT(SUMIF(INDIRECT("'"&amp;Assemblies[Assy]&amp;"'!"&amp;"C:C"),$A404,(INDIRECT("'"&amp;Assemblies[Assy]&amp;"'!"&amp;"O:O"))))</f>
        <v>#VALUE!</v>
      </c>
      <c r="F404" s="5" t="e">
        <f t="shared" ca="1" si="6"/>
        <v>#VALUE!</v>
      </c>
      <c r="G404" s="5">
        <v>32</v>
      </c>
      <c r="H404" s="2">
        <v>32</v>
      </c>
      <c r="I404" s="117" t="s">
        <v>3116</v>
      </c>
      <c r="J404" s="117" t="s">
        <v>2835</v>
      </c>
      <c r="K404" s="135" t="s">
        <v>1382</v>
      </c>
      <c r="L404" s="2" t="s">
        <v>1382</v>
      </c>
      <c r="M404" s="8" t="s">
        <v>1762</v>
      </c>
      <c r="N404" s="8">
        <v>45176</v>
      </c>
      <c r="O404" s="8">
        <v>45190</v>
      </c>
      <c r="P404" s="8">
        <v>45188</v>
      </c>
      <c r="Q404" s="229">
        <v>55130</v>
      </c>
      <c r="R404" s="115" t="str" cm="1">
        <f t="array" aca="1" ref="R404" ca="1">TRIM(SUBSTITUTE(_xlfn.ARRAYTOTEXT(IFERROR(CONCATENATE(SUMIF(INDIRECT("'"&amp;Assemblies[Assy]&amp;"'!"&amp;"C$5:C1000"), $A404, INDIRECT("'"&amp;Assemblies[Assy]&amp;"'!"&amp;"O$5:O1000")), "x",Assemblies[Assy],".",IF(SUMIF(INDIRECT("'"&amp;Assemblies[Assy]&amp;"'!"&amp;"C$5:C1000"), $A404, INDIRECT("'"&amp;Assemblies[Assy]&amp;"'!"&amp;"A$5:A1000"))=0,NA(),SUMIF(INDIRECT("'"&amp;Assemblies[Assy]&amp;"'!"&amp;"C$5:C1000"), $A404, INDIRECT("'"&amp;Assemblies[Assy]&amp;"'!"&amp;"A$5:A1000")))),"")), " ,", ""))</f>
        <v>,</v>
      </c>
      <c r="S404" s="56" t="s">
        <v>1382</v>
      </c>
      <c r="T404" s="2" t="s">
        <v>1382</v>
      </c>
      <c r="U404" s="2" t="s">
        <v>1382</v>
      </c>
      <c r="V404" s="2" t="s">
        <v>1382</v>
      </c>
    </row>
    <row r="405" spans="1:22">
      <c r="A405" s="247" t="s">
        <v>1019</v>
      </c>
      <c r="B405" s="161" t="s">
        <v>3117</v>
      </c>
      <c r="C405" s="168">
        <v>2.75</v>
      </c>
      <c r="D405" s="5">
        <v>1</v>
      </c>
      <c r="E405" s="5" t="e" cm="1">
        <f t="array" aca="1" ref="E405" ca="1">SUMPRODUCT(SUMIF(INDIRECT("'"&amp;Assemblies[Assy]&amp;"'!"&amp;"C:C"),$A405,(INDIRECT("'"&amp;Assemblies[Assy]&amp;"'!"&amp;"O:O"))))</f>
        <v>#VALUE!</v>
      </c>
      <c r="F405" s="5" t="e">
        <f t="shared" ca="1" si="6"/>
        <v>#VALUE!</v>
      </c>
      <c r="G405" s="5">
        <v>10</v>
      </c>
      <c r="H405" s="2">
        <v>10</v>
      </c>
      <c r="I405" s="117" t="s">
        <v>3118</v>
      </c>
      <c r="J405" s="117" t="s">
        <v>2851</v>
      </c>
      <c r="K405" s="135" t="s">
        <v>1382</v>
      </c>
      <c r="L405" s="2" t="s">
        <v>1382</v>
      </c>
      <c r="M405" s="8" t="s">
        <v>1762</v>
      </c>
      <c r="N405" s="8">
        <v>45169</v>
      </c>
      <c r="O405" s="8">
        <v>45184</v>
      </c>
      <c r="P405" s="8">
        <v>45184</v>
      </c>
      <c r="Q405" s="229">
        <v>55126</v>
      </c>
      <c r="R405" s="115" t="str" cm="1">
        <f t="array" aca="1" ref="R405" ca="1">TRIM(SUBSTITUTE(_xlfn.ARRAYTOTEXT(IFERROR(CONCATENATE(SUMIF(INDIRECT("'"&amp;Assemblies[Assy]&amp;"'!"&amp;"C$5:C1000"), $A405, INDIRECT("'"&amp;Assemblies[Assy]&amp;"'!"&amp;"O$5:O1000")), "x",Assemblies[Assy],".",IF(SUMIF(INDIRECT("'"&amp;Assemblies[Assy]&amp;"'!"&amp;"C$5:C1000"), $A405, INDIRECT("'"&amp;Assemblies[Assy]&amp;"'!"&amp;"A$5:A1000"))=0,NA(),SUMIF(INDIRECT("'"&amp;Assemblies[Assy]&amp;"'!"&amp;"C$5:C1000"), $A405, INDIRECT("'"&amp;Assemblies[Assy]&amp;"'!"&amp;"A$5:A1000")))),"")), " ,", ""))</f>
        <v>,</v>
      </c>
      <c r="S405" s="56" t="s">
        <v>1382</v>
      </c>
      <c r="T405" s="2" t="s">
        <v>1382</v>
      </c>
      <c r="U405" s="2" t="s">
        <v>1382</v>
      </c>
      <c r="V405" s="2" t="s">
        <v>1382</v>
      </c>
    </row>
    <row r="406" spans="1:22">
      <c r="A406" s="247" t="s">
        <v>1020</v>
      </c>
      <c r="B406" s="161" t="s">
        <v>3119</v>
      </c>
      <c r="C406" s="168">
        <v>19</v>
      </c>
      <c r="D406" s="5">
        <v>1</v>
      </c>
      <c r="E406" s="5" t="e" cm="1">
        <f t="array" aca="1" ref="E406" ca="1">SUMPRODUCT(SUMIF(INDIRECT("'"&amp;Assemblies[Assy]&amp;"'!"&amp;"C:C"),$A406,(INDIRECT("'"&amp;Assemblies[Assy]&amp;"'!"&amp;"O:O"))))</f>
        <v>#VALUE!</v>
      </c>
      <c r="F406" s="5" t="e">
        <f t="shared" ca="1" si="6"/>
        <v>#VALUE!</v>
      </c>
      <c r="G406" s="5">
        <v>10</v>
      </c>
      <c r="H406" s="2">
        <v>10</v>
      </c>
      <c r="I406" s="117" t="s">
        <v>3118</v>
      </c>
      <c r="J406" s="117" t="s">
        <v>2851</v>
      </c>
      <c r="K406" s="135" t="s">
        <v>1382</v>
      </c>
      <c r="L406" s="2" t="s">
        <v>1382</v>
      </c>
      <c r="M406" s="8" t="s">
        <v>1762</v>
      </c>
      <c r="N406" s="8">
        <v>45161</v>
      </c>
      <c r="O406" s="8">
        <v>45191</v>
      </c>
      <c r="P406" s="8">
        <v>45166</v>
      </c>
      <c r="Q406" s="229">
        <v>55074</v>
      </c>
      <c r="R406" s="115" t="str" cm="1">
        <f t="array" aca="1" ref="R406" ca="1">TRIM(SUBSTITUTE(_xlfn.ARRAYTOTEXT(IFERROR(CONCATENATE(SUMIF(INDIRECT("'"&amp;Assemblies[Assy]&amp;"'!"&amp;"C$5:C1000"), $A406, INDIRECT("'"&amp;Assemblies[Assy]&amp;"'!"&amp;"O$5:O1000")), "x",Assemblies[Assy],".",IF(SUMIF(INDIRECT("'"&amp;Assemblies[Assy]&amp;"'!"&amp;"C$5:C1000"), $A406, INDIRECT("'"&amp;Assemblies[Assy]&amp;"'!"&amp;"A$5:A1000"))=0,NA(),SUMIF(INDIRECT("'"&amp;Assemblies[Assy]&amp;"'!"&amp;"C$5:C1000"), $A406, INDIRECT("'"&amp;Assemblies[Assy]&amp;"'!"&amp;"A$5:A1000")))),"")), " ,", ""))</f>
        <v>,</v>
      </c>
      <c r="S406" s="56" t="s">
        <v>1382</v>
      </c>
      <c r="T406" s="2" t="s">
        <v>1382</v>
      </c>
      <c r="U406" s="2" t="s">
        <v>1382</v>
      </c>
      <c r="V406" s="2" t="s">
        <v>1382</v>
      </c>
    </row>
    <row r="407" spans="1:22">
      <c r="A407" s="133" t="s">
        <v>587</v>
      </c>
      <c r="B407" s="2" t="s">
        <v>3120</v>
      </c>
      <c r="C407" s="203">
        <v>946.12</v>
      </c>
      <c r="D407" s="5">
        <v>1</v>
      </c>
      <c r="E407" s="5" t="e" cm="1">
        <f t="array" aca="1" ref="E407" ca="1">SUMPRODUCT(SUMIF(INDIRECT("'"&amp;Assemblies[Assy]&amp;"'!"&amp;"C:C"),$A407,(INDIRECT("'"&amp;Assemblies[Assy]&amp;"'!"&amp;"O:O"))))</f>
        <v>#VALUE!</v>
      </c>
      <c r="F407" s="5" t="e">
        <f t="shared" ca="1" si="6"/>
        <v>#VALUE!</v>
      </c>
      <c r="G407" s="5">
        <v>2</v>
      </c>
      <c r="H407" s="2">
        <v>2</v>
      </c>
      <c r="I407" s="117" t="s">
        <v>3121</v>
      </c>
      <c r="J407" s="117" t="s">
        <v>2644</v>
      </c>
      <c r="K407" s="135" t="s">
        <v>1382</v>
      </c>
      <c r="L407" s="2" t="s">
        <v>1382</v>
      </c>
      <c r="M407" s="8" t="s">
        <v>1762</v>
      </c>
      <c r="N407" s="8">
        <v>45077</v>
      </c>
      <c r="O407" s="8">
        <v>45133</v>
      </c>
      <c r="P407" s="8">
        <v>45133</v>
      </c>
      <c r="Q407" s="229">
        <v>54911</v>
      </c>
      <c r="R407" s="115" t="str" cm="1">
        <f t="array" aca="1" ref="R407" ca="1">TRIM(SUBSTITUTE(_xlfn.ARRAYTOTEXT(IFERROR(CONCATENATE(SUMIF(INDIRECT("'"&amp;Assemblies[Assy]&amp;"'!"&amp;"C$5:C1000"), $A407, INDIRECT("'"&amp;Assemblies[Assy]&amp;"'!"&amp;"O$5:O1000")), "x",Assemblies[Assy],".",IF(SUMIF(INDIRECT("'"&amp;Assemblies[Assy]&amp;"'!"&amp;"C$5:C1000"), $A407, INDIRECT("'"&amp;Assemblies[Assy]&amp;"'!"&amp;"A$5:A1000"))=0,NA(),SUMIF(INDIRECT("'"&amp;Assemblies[Assy]&amp;"'!"&amp;"C$5:C1000"), $A407, INDIRECT("'"&amp;Assemblies[Assy]&amp;"'!"&amp;"A$5:A1000")))),"")), " ,", ""))</f>
        <v>,</v>
      </c>
      <c r="S407" s="56" t="s">
        <v>1382</v>
      </c>
      <c r="T407" s="2" t="s">
        <v>1382</v>
      </c>
      <c r="U407" s="2" t="s">
        <v>1382</v>
      </c>
      <c r="V407" s="2" t="s">
        <v>1382</v>
      </c>
    </row>
    <row r="408" spans="1:22" hidden="1">
      <c r="A408" s="133" t="s">
        <v>120</v>
      </c>
      <c r="B408" s="2" t="s">
        <v>3122</v>
      </c>
      <c r="C408" s="168"/>
      <c r="D408" s="5"/>
      <c r="E408" s="5" t="e" cm="1">
        <f t="array" aca="1" ref="E408" ca="1">SUMPRODUCT(SUMIF(INDIRECT("'"&amp;Assemblies[Assy]&amp;"'!"&amp;"C:C"),$A408,(INDIRECT("'"&amp;Assemblies[Assy]&amp;"'!"&amp;"O:O"))))</f>
        <v>#VALUE!</v>
      </c>
      <c r="F408" s="5" t="e">
        <f t="shared" ca="1" si="6"/>
        <v>#VALUE!</v>
      </c>
      <c r="G408" s="5"/>
      <c r="I408" s="117" t="s">
        <v>3123</v>
      </c>
      <c r="J408" s="117" t="s">
        <v>2635</v>
      </c>
      <c r="R408" s="115" t="str" cm="1">
        <f t="array" aca="1" ref="R408" ca="1">TRIM(SUBSTITUTE(_xlfn.ARRAYTOTEXT(IFERROR(CONCATENATE(SUMIF(INDIRECT("'"&amp;Assemblies!$B$2:$B$152&amp;"'!"&amp;"C$5:C1000"), $A408, INDIRECT("'"&amp;Assemblies!$B$2:$B$152&amp;"'!"&amp;"O$5:O1000")), "x",Assemblies!$B$2:$B$152,".",IF(SUMIF(INDIRECT("'"&amp;Assemblies!$B$2:$B$152&amp;"'!"&amp;"C$5:C1000"), $A408, INDIRECT("'"&amp;Assemblies!$B$2:$B$152&amp;"'!"&amp;"A$5:A1000"))=0,NA(),SUMIF(INDIRECT("'"&amp;Assemblies!$B$2:$B$152&amp;"'!"&amp;"C$5:C1000"), $A408, INDIRECT("'"&amp;Assemblies!$B$2:$B$152&amp;"'!"&amp;"A$5:A1000")))),"")), " ,", ""))</f>
        <v>,</v>
      </c>
      <c r="S408" s="56" t="s">
        <v>1382</v>
      </c>
      <c r="T408" s="2" t="s">
        <v>1382</v>
      </c>
      <c r="U408" s="2" t="s">
        <v>1382</v>
      </c>
      <c r="V408" s="2" t="s">
        <v>1382</v>
      </c>
    </row>
    <row r="409" spans="1:22" hidden="1">
      <c r="A409" s="133" t="s">
        <v>129</v>
      </c>
      <c r="B409" s="2" t="s">
        <v>3124</v>
      </c>
      <c r="C409" s="168"/>
      <c r="D409" s="5">
        <v>1</v>
      </c>
      <c r="E409" s="5" t="e" cm="1">
        <f t="array" aca="1" ref="E409" ca="1">SUMPRODUCT(SUMIF(INDIRECT("'"&amp;Assemblies[Assy]&amp;"'!"&amp;"C:C"),$A409,(INDIRECT("'"&amp;Assemblies[Assy]&amp;"'!"&amp;"O:O"))))</f>
        <v>#VALUE!</v>
      </c>
      <c r="F409" s="5" t="e">
        <f t="shared" ca="1" si="6"/>
        <v>#VALUE!</v>
      </c>
      <c r="G409" s="5"/>
      <c r="I409" s="117" t="s">
        <v>3123</v>
      </c>
      <c r="J409" s="117" t="s">
        <v>2635</v>
      </c>
      <c r="R409" s="115" t="str" cm="1">
        <f t="array" aca="1" ref="R409" ca="1">TRIM(SUBSTITUTE(_xlfn.ARRAYTOTEXT(IFERROR(CONCATENATE(SUMIF(INDIRECT("'"&amp;Assemblies!$B$2:$B$152&amp;"'!"&amp;"C$5:C1000"), $A409, INDIRECT("'"&amp;Assemblies!$B$2:$B$152&amp;"'!"&amp;"O$5:O1000")), "x",Assemblies!$B$2:$B$152,".",IF(SUMIF(INDIRECT("'"&amp;Assemblies!$B$2:$B$152&amp;"'!"&amp;"C$5:C1000"), $A409, INDIRECT("'"&amp;Assemblies!$B$2:$B$152&amp;"'!"&amp;"A$5:A1000"))=0,NA(),SUMIF(INDIRECT("'"&amp;Assemblies!$B$2:$B$152&amp;"'!"&amp;"C$5:C1000"), $A409, INDIRECT("'"&amp;Assemblies!$B$2:$B$152&amp;"'!"&amp;"A$5:A1000")))),"")), " ,", ""))</f>
        <v>,</v>
      </c>
      <c r="S409" s="56" t="s">
        <v>1382</v>
      </c>
      <c r="T409" s="2" t="s">
        <v>1382</v>
      </c>
      <c r="U409" s="2" t="s">
        <v>1382</v>
      </c>
      <c r="V409" s="2" t="s">
        <v>1382</v>
      </c>
    </row>
    <row r="410" spans="1:22" hidden="1">
      <c r="A410" s="133" t="s">
        <v>147</v>
      </c>
      <c r="B410" s="2" t="s">
        <v>3125</v>
      </c>
      <c r="C410" s="168"/>
      <c r="D410" s="5"/>
      <c r="E410" s="5" t="e" cm="1">
        <f t="array" aca="1" ref="E410" ca="1">SUMPRODUCT(SUMIF(INDIRECT("'"&amp;Assemblies[Assy]&amp;"'!"&amp;"C:C"),$A410,(INDIRECT("'"&amp;Assemblies[Assy]&amp;"'!"&amp;"O:O"))))</f>
        <v>#VALUE!</v>
      </c>
      <c r="F410" s="5" t="e">
        <f t="shared" ca="1" si="6"/>
        <v>#VALUE!</v>
      </c>
      <c r="G410" s="5"/>
      <c r="I410" s="117" t="s">
        <v>3123</v>
      </c>
      <c r="J410" s="117" t="s">
        <v>2635</v>
      </c>
      <c r="R410" s="115" t="str" cm="1">
        <f t="array" aca="1" ref="R410" ca="1">TRIM(SUBSTITUTE(_xlfn.ARRAYTOTEXT(IFERROR(CONCATENATE(SUMIF(INDIRECT("'"&amp;Assemblies!$B$2:$B$152&amp;"'!"&amp;"C$5:C1000"), $A410, INDIRECT("'"&amp;Assemblies!$B$2:$B$152&amp;"'!"&amp;"O$5:O1000")), "x",Assemblies!$B$2:$B$152,".",IF(SUMIF(INDIRECT("'"&amp;Assemblies!$B$2:$B$152&amp;"'!"&amp;"C$5:C1000"), $A410, INDIRECT("'"&amp;Assemblies!$B$2:$B$152&amp;"'!"&amp;"A$5:A1000"))=0,NA(),SUMIF(INDIRECT("'"&amp;Assemblies!$B$2:$B$152&amp;"'!"&amp;"C$5:C1000"), $A410, INDIRECT("'"&amp;Assemblies!$B$2:$B$152&amp;"'!"&amp;"A$5:A1000")))),"")), " ,", ""))</f>
        <v>,</v>
      </c>
      <c r="S410" s="56" t="s">
        <v>1382</v>
      </c>
      <c r="T410" s="2" t="s">
        <v>1382</v>
      </c>
      <c r="U410" s="2" t="s">
        <v>1382</v>
      </c>
      <c r="V410" s="2" t="s">
        <v>1382</v>
      </c>
    </row>
    <row r="411" spans="1:22" hidden="1">
      <c r="A411" s="133" t="s">
        <v>124</v>
      </c>
      <c r="B411" s="2" t="s">
        <v>3126</v>
      </c>
      <c r="C411" s="168"/>
      <c r="D411" s="5"/>
      <c r="E411" s="5" t="e" cm="1">
        <f t="array" aca="1" ref="E411" ca="1">SUMPRODUCT(SUMIF(INDIRECT("'"&amp;Assemblies[Assy]&amp;"'!"&amp;"C:C"),$A411,(INDIRECT("'"&amp;Assemblies[Assy]&amp;"'!"&amp;"O:O"))))</f>
        <v>#VALUE!</v>
      </c>
      <c r="F411" s="5" t="e">
        <f t="shared" ca="1" si="6"/>
        <v>#VALUE!</v>
      </c>
      <c r="G411" s="5"/>
      <c r="I411" s="117" t="s">
        <v>3123</v>
      </c>
      <c r="J411" s="117" t="s">
        <v>2635</v>
      </c>
      <c r="R411" s="115" t="str" cm="1">
        <f t="array" aca="1" ref="R411" ca="1">TRIM(SUBSTITUTE(_xlfn.ARRAYTOTEXT(IFERROR(CONCATENATE(SUMIF(INDIRECT("'"&amp;Assemblies!$B$2:$B$152&amp;"'!"&amp;"C$5:C1000"), $A411, INDIRECT("'"&amp;Assemblies!$B$2:$B$152&amp;"'!"&amp;"O$5:O1000")), "x",Assemblies!$B$2:$B$152,".",IF(SUMIF(INDIRECT("'"&amp;Assemblies!$B$2:$B$152&amp;"'!"&amp;"C$5:C1000"), $A411, INDIRECT("'"&amp;Assemblies!$B$2:$B$152&amp;"'!"&amp;"A$5:A1000"))=0,NA(),SUMIF(INDIRECT("'"&amp;Assemblies!$B$2:$B$152&amp;"'!"&amp;"C$5:C1000"), $A411, INDIRECT("'"&amp;Assemblies!$B$2:$B$152&amp;"'!"&amp;"A$5:A1000")))),"")), " ,", ""))</f>
        <v>,</v>
      </c>
      <c r="S411" s="56" t="s">
        <v>1382</v>
      </c>
      <c r="T411" s="2" t="s">
        <v>1382</v>
      </c>
      <c r="U411" s="2" t="s">
        <v>1382</v>
      </c>
      <c r="V411" s="2" t="s">
        <v>1382</v>
      </c>
    </row>
    <row r="412" spans="1:22" hidden="1">
      <c r="A412" s="133" t="s">
        <v>146</v>
      </c>
      <c r="B412" s="2" t="s">
        <v>3127</v>
      </c>
      <c r="C412" s="168"/>
      <c r="D412" s="5"/>
      <c r="E412" s="5" t="e" cm="1">
        <f t="array" aca="1" ref="E412" ca="1">SUMPRODUCT(SUMIF(INDIRECT("'"&amp;Assemblies[Assy]&amp;"'!"&amp;"C:C"),$A412,(INDIRECT("'"&amp;Assemblies[Assy]&amp;"'!"&amp;"O:O"))))</f>
        <v>#VALUE!</v>
      </c>
      <c r="F412" s="5" t="e">
        <f t="shared" ca="1" si="6"/>
        <v>#VALUE!</v>
      </c>
      <c r="G412" s="5"/>
      <c r="I412" s="117" t="s">
        <v>3123</v>
      </c>
      <c r="J412" s="117" t="s">
        <v>2635</v>
      </c>
      <c r="R412" s="115" t="str" cm="1">
        <f t="array" aca="1" ref="R412" ca="1">TRIM(SUBSTITUTE(_xlfn.ARRAYTOTEXT(IFERROR(CONCATENATE(SUMIF(INDIRECT("'"&amp;Assemblies!$B$2:$B$152&amp;"'!"&amp;"C$5:C1000"), $A412, INDIRECT("'"&amp;Assemblies!$B$2:$B$152&amp;"'!"&amp;"O$5:O1000")), "x",Assemblies!$B$2:$B$152,".",IF(SUMIF(INDIRECT("'"&amp;Assemblies!$B$2:$B$152&amp;"'!"&amp;"C$5:C1000"), $A412, INDIRECT("'"&amp;Assemblies!$B$2:$B$152&amp;"'!"&amp;"A$5:A1000"))=0,NA(),SUMIF(INDIRECT("'"&amp;Assemblies!$B$2:$B$152&amp;"'!"&amp;"C$5:C1000"), $A412, INDIRECT("'"&amp;Assemblies!$B$2:$B$152&amp;"'!"&amp;"A$5:A1000")))),"")), " ,", ""))</f>
        <v>,</v>
      </c>
      <c r="S412" s="56" t="s">
        <v>1382</v>
      </c>
      <c r="T412" s="2" t="s">
        <v>1382</v>
      </c>
      <c r="U412" s="2" t="s">
        <v>1382</v>
      </c>
      <c r="V412" s="2" t="s">
        <v>1382</v>
      </c>
    </row>
    <row r="413" spans="1:22" hidden="1">
      <c r="A413" s="133" t="s">
        <v>119</v>
      </c>
      <c r="B413" s="2" t="s">
        <v>3128</v>
      </c>
      <c r="C413" s="168"/>
      <c r="D413" s="5"/>
      <c r="E413" s="5" t="e" cm="1">
        <f t="array" aca="1" ref="E413" ca="1">SUMPRODUCT(SUMIF(INDIRECT("'"&amp;Assemblies[Assy]&amp;"'!"&amp;"C:C"),$A413,(INDIRECT("'"&amp;Assemblies[Assy]&amp;"'!"&amp;"O:O"))))</f>
        <v>#VALUE!</v>
      </c>
      <c r="F413" s="5" t="e">
        <f t="shared" ca="1" si="6"/>
        <v>#VALUE!</v>
      </c>
      <c r="G413" s="5"/>
      <c r="I413" s="117" t="s">
        <v>3123</v>
      </c>
      <c r="J413" s="117" t="s">
        <v>2635</v>
      </c>
      <c r="R413" s="115" t="str" cm="1">
        <f t="array" aca="1" ref="R413" ca="1">TRIM(SUBSTITUTE(_xlfn.ARRAYTOTEXT(IFERROR(CONCATENATE(SUMIF(INDIRECT("'"&amp;Assemblies!$B$2:$B$152&amp;"'!"&amp;"C$5:C1000"), $A413, INDIRECT("'"&amp;Assemblies!$B$2:$B$152&amp;"'!"&amp;"O$5:O1000")), "x",Assemblies!$B$2:$B$152,".",IF(SUMIF(INDIRECT("'"&amp;Assemblies!$B$2:$B$152&amp;"'!"&amp;"C$5:C1000"), $A413, INDIRECT("'"&amp;Assemblies!$B$2:$B$152&amp;"'!"&amp;"A$5:A1000"))=0,NA(),SUMIF(INDIRECT("'"&amp;Assemblies!$B$2:$B$152&amp;"'!"&amp;"C$5:C1000"), $A413, INDIRECT("'"&amp;Assemblies!$B$2:$B$152&amp;"'!"&amp;"A$5:A1000")))),"")), " ,", ""))</f>
        <v>,</v>
      </c>
      <c r="S413" s="56" t="s">
        <v>1382</v>
      </c>
      <c r="T413" s="2" t="s">
        <v>1382</v>
      </c>
      <c r="U413" s="2" t="s">
        <v>1382</v>
      </c>
      <c r="V413" s="2" t="s">
        <v>1382</v>
      </c>
    </row>
    <row r="414" spans="1:22" hidden="1">
      <c r="A414" s="133" t="s">
        <v>121</v>
      </c>
      <c r="B414" s="2" t="s">
        <v>3129</v>
      </c>
      <c r="C414" s="168"/>
      <c r="D414" s="5"/>
      <c r="E414" s="5" t="e" cm="1">
        <f t="array" aca="1" ref="E414" ca="1">SUMPRODUCT(SUMIF(INDIRECT("'"&amp;Assemblies[Assy]&amp;"'!"&amp;"C:C"),$A414,(INDIRECT("'"&amp;Assemblies[Assy]&amp;"'!"&amp;"O:O"))))</f>
        <v>#VALUE!</v>
      </c>
      <c r="F414" s="5" t="e">
        <f t="shared" ca="1" si="6"/>
        <v>#VALUE!</v>
      </c>
      <c r="G414" s="5"/>
      <c r="I414" s="117" t="s">
        <v>3123</v>
      </c>
      <c r="J414" s="117" t="s">
        <v>2635</v>
      </c>
      <c r="R414" s="115" t="str" cm="1">
        <f t="array" aca="1" ref="R414" ca="1">TRIM(SUBSTITUTE(_xlfn.ARRAYTOTEXT(IFERROR(CONCATENATE(SUMIF(INDIRECT("'"&amp;Assemblies!$B$2:$B$152&amp;"'!"&amp;"C$5:C1000"), $A414, INDIRECT("'"&amp;Assemblies!$B$2:$B$152&amp;"'!"&amp;"O$5:O1000")), "x",Assemblies!$B$2:$B$152,".",IF(SUMIF(INDIRECT("'"&amp;Assemblies!$B$2:$B$152&amp;"'!"&amp;"C$5:C1000"), $A414, INDIRECT("'"&amp;Assemblies!$B$2:$B$152&amp;"'!"&amp;"A$5:A1000"))=0,NA(),SUMIF(INDIRECT("'"&amp;Assemblies!$B$2:$B$152&amp;"'!"&amp;"C$5:C1000"), $A414, INDIRECT("'"&amp;Assemblies!$B$2:$B$152&amp;"'!"&amp;"A$5:A1000")))),"")), " ,", ""))</f>
        <v>,</v>
      </c>
      <c r="S414" s="56" t="s">
        <v>1382</v>
      </c>
      <c r="T414" s="2" t="s">
        <v>1382</v>
      </c>
      <c r="U414" s="2" t="s">
        <v>1382</v>
      </c>
      <c r="V414" s="2" t="s">
        <v>1382</v>
      </c>
    </row>
    <row r="415" spans="1:22" ht="13.9" hidden="1" customHeight="1">
      <c r="A415" s="133" t="s">
        <v>122</v>
      </c>
      <c r="B415" s="2" t="s">
        <v>3129</v>
      </c>
      <c r="C415" s="168"/>
      <c r="D415" s="5"/>
      <c r="E415" s="5" t="e" cm="1">
        <f t="array" aca="1" ref="E415" ca="1">SUMPRODUCT(SUMIF(INDIRECT("'"&amp;Assemblies[Assy]&amp;"'!"&amp;"C:C"),$A415,(INDIRECT("'"&amp;Assemblies[Assy]&amp;"'!"&amp;"O:O"))))</f>
        <v>#VALUE!</v>
      </c>
      <c r="F415" s="5" t="e">
        <f t="shared" ca="1" si="6"/>
        <v>#VALUE!</v>
      </c>
      <c r="G415" s="5"/>
      <c r="I415" s="117" t="s">
        <v>3123</v>
      </c>
      <c r="J415" s="117" t="s">
        <v>2635</v>
      </c>
      <c r="R415" s="115" t="str" cm="1">
        <f t="array" aca="1" ref="R415" ca="1">TRIM(SUBSTITUTE(_xlfn.ARRAYTOTEXT(IFERROR(CONCATENATE(SUMIF(INDIRECT("'"&amp;Assemblies!$B$2:$B$152&amp;"'!"&amp;"C$5:C1000"), $A415, INDIRECT("'"&amp;Assemblies!$B$2:$B$152&amp;"'!"&amp;"O$5:O1000")), "x",Assemblies!$B$2:$B$152,".",IF(SUMIF(INDIRECT("'"&amp;Assemblies!$B$2:$B$152&amp;"'!"&amp;"C$5:C1000"), $A415, INDIRECT("'"&amp;Assemblies!$B$2:$B$152&amp;"'!"&amp;"A$5:A1000"))=0,NA(),SUMIF(INDIRECT("'"&amp;Assemblies!$B$2:$B$152&amp;"'!"&amp;"C$5:C1000"), $A415, INDIRECT("'"&amp;Assemblies!$B$2:$B$152&amp;"'!"&amp;"A$5:A1000")))),"")), " ,", ""))</f>
        <v>,</v>
      </c>
      <c r="S415" s="56" t="s">
        <v>1382</v>
      </c>
      <c r="T415" s="2" t="s">
        <v>1382</v>
      </c>
      <c r="U415" s="2" t="s">
        <v>1382</v>
      </c>
      <c r="V415" s="2" t="s">
        <v>1382</v>
      </c>
    </row>
    <row r="416" spans="1:22" hidden="1">
      <c r="A416" s="133" t="s">
        <v>123</v>
      </c>
      <c r="B416" s="2" t="s">
        <v>3129</v>
      </c>
      <c r="C416" s="168"/>
      <c r="D416" s="5"/>
      <c r="E416" s="5" t="e" cm="1">
        <f t="array" aca="1" ref="E416" ca="1">SUMPRODUCT(SUMIF(INDIRECT("'"&amp;Assemblies[Assy]&amp;"'!"&amp;"C:C"),$A416,(INDIRECT("'"&amp;Assemblies[Assy]&amp;"'!"&amp;"O:O"))))</f>
        <v>#VALUE!</v>
      </c>
      <c r="F416" s="5" t="e">
        <f t="shared" ca="1" si="6"/>
        <v>#VALUE!</v>
      </c>
      <c r="G416" s="5"/>
      <c r="I416" s="117" t="s">
        <v>3123</v>
      </c>
      <c r="J416" s="117" t="s">
        <v>2635</v>
      </c>
      <c r="R416" s="115" t="str" cm="1">
        <f t="array" aca="1" ref="R416" ca="1">TRIM(SUBSTITUTE(_xlfn.ARRAYTOTEXT(IFERROR(CONCATENATE(SUMIF(INDIRECT("'"&amp;Assemblies!$B$2:$B$152&amp;"'!"&amp;"C$5:C1000"), $A416, INDIRECT("'"&amp;Assemblies!$B$2:$B$152&amp;"'!"&amp;"O$5:O1000")), "x",Assemblies!$B$2:$B$152,".",IF(SUMIF(INDIRECT("'"&amp;Assemblies!$B$2:$B$152&amp;"'!"&amp;"C$5:C1000"), $A416, INDIRECT("'"&amp;Assemblies!$B$2:$B$152&amp;"'!"&amp;"A$5:A1000"))=0,NA(),SUMIF(INDIRECT("'"&amp;Assemblies!$B$2:$B$152&amp;"'!"&amp;"C$5:C1000"), $A416, INDIRECT("'"&amp;Assemblies!$B$2:$B$152&amp;"'!"&amp;"A$5:A1000")))),"")), " ,", ""))</f>
        <v>,</v>
      </c>
      <c r="S416" s="56" t="s">
        <v>1382</v>
      </c>
      <c r="T416" s="2" t="s">
        <v>1382</v>
      </c>
      <c r="U416" s="2" t="s">
        <v>1382</v>
      </c>
      <c r="V416" s="2" t="s">
        <v>1382</v>
      </c>
    </row>
    <row r="417" spans="1:22">
      <c r="A417" s="133" t="s">
        <v>91</v>
      </c>
      <c r="B417" s="2" t="s">
        <v>3130</v>
      </c>
      <c r="C417" s="168">
        <v>397.68</v>
      </c>
      <c r="D417" s="5">
        <v>1</v>
      </c>
      <c r="E417" s="5" t="e" cm="1">
        <f t="array" aca="1" ref="E417" ca="1">SUMPRODUCT(SUMIF(INDIRECT("'"&amp;Assemblies[Assy]&amp;"'!"&amp;"C:C"),$A417,(INDIRECT("'"&amp;Assemblies[Assy]&amp;"'!"&amp;"O:O"))))</f>
        <v>#VALUE!</v>
      </c>
      <c r="F417" s="5" t="e">
        <f t="shared" ca="1" si="6"/>
        <v>#VALUE!</v>
      </c>
      <c r="G417" s="5">
        <v>4</v>
      </c>
      <c r="H417" s="2">
        <v>4</v>
      </c>
      <c r="I417" s="117" t="s">
        <v>3131</v>
      </c>
      <c r="J417" s="117" t="s">
        <v>3132</v>
      </c>
      <c r="K417" s="135" t="s">
        <v>1382</v>
      </c>
      <c r="L417" s="2" t="s">
        <v>1382</v>
      </c>
      <c r="M417" s="8" t="s">
        <v>1762</v>
      </c>
      <c r="N417" s="8">
        <v>45089</v>
      </c>
      <c r="O417" s="8">
        <v>45096</v>
      </c>
      <c r="P417" s="8">
        <v>45096</v>
      </c>
      <c r="Q417" s="229">
        <v>54932</v>
      </c>
      <c r="R417" s="115" t="str" cm="1">
        <f t="array" aca="1" ref="R417" ca="1">TRIM(SUBSTITUTE(_xlfn.ARRAYTOTEXT(IFERROR(CONCATENATE(SUMIF(INDIRECT("'"&amp;Assemblies[Assy]&amp;"'!"&amp;"C$5:C1000"), $A417, INDIRECT("'"&amp;Assemblies[Assy]&amp;"'!"&amp;"O$5:O1000")), "x",Assemblies[Assy],".",IF(SUMIF(INDIRECT("'"&amp;Assemblies[Assy]&amp;"'!"&amp;"C$5:C1000"), $A417, INDIRECT("'"&amp;Assemblies[Assy]&amp;"'!"&amp;"A$5:A1000"))=0,NA(),SUMIF(INDIRECT("'"&amp;Assemblies[Assy]&amp;"'!"&amp;"C$5:C1000"), $A417, INDIRECT("'"&amp;Assemblies[Assy]&amp;"'!"&amp;"A$5:A1000")))),"")), " ,", ""))</f>
        <v>,</v>
      </c>
      <c r="S417" s="56" t="s">
        <v>1382</v>
      </c>
      <c r="T417" s="2" t="s">
        <v>1382</v>
      </c>
      <c r="U417" s="2" t="s">
        <v>1382</v>
      </c>
      <c r="V417" s="2" t="s">
        <v>1382</v>
      </c>
    </row>
    <row r="418" spans="1:22">
      <c r="A418" s="247" t="s">
        <v>721</v>
      </c>
      <c r="B418" s="161" t="s">
        <v>3133</v>
      </c>
      <c r="C418" s="168">
        <v>280</v>
      </c>
      <c r="D418" s="5">
        <v>1</v>
      </c>
      <c r="E418" s="5" t="e" cm="1">
        <f t="array" aca="1" ref="E418" ca="1">SUMPRODUCT(SUMIF(INDIRECT("'"&amp;Assemblies[Assy]&amp;"'!"&amp;"C:C"),$A418,(INDIRECT("'"&amp;Assemblies[Assy]&amp;"'!"&amp;"O:O"))))</f>
        <v>#VALUE!</v>
      </c>
      <c r="F418" s="5" t="e">
        <f t="shared" ca="1" si="6"/>
        <v>#VALUE!</v>
      </c>
      <c r="G418" s="5">
        <v>4</v>
      </c>
      <c r="H418" s="2">
        <v>4</v>
      </c>
      <c r="I418" s="117" t="s">
        <v>3134</v>
      </c>
      <c r="J418" s="117" t="s">
        <v>3134</v>
      </c>
      <c r="K418" s="135" t="s">
        <v>1382</v>
      </c>
      <c r="L418" s="2" t="s">
        <v>1382</v>
      </c>
      <c r="M418" s="8" t="s">
        <v>1762</v>
      </c>
      <c r="N418" s="8">
        <v>45021</v>
      </c>
      <c r="O418" s="8">
        <v>45113</v>
      </c>
      <c r="P418" s="8">
        <v>45113</v>
      </c>
      <c r="Q418" s="229">
        <v>54841</v>
      </c>
      <c r="R418" s="115" t="str" cm="1">
        <f t="array" aca="1" ref="R418" ca="1">TRIM(SUBSTITUTE(_xlfn.ARRAYTOTEXT(IFERROR(CONCATENATE(SUMIF(INDIRECT("'"&amp;Assemblies[Assy]&amp;"'!"&amp;"C$5:C1000"), $A418, INDIRECT("'"&amp;Assemblies[Assy]&amp;"'!"&amp;"O$5:O1000")), "x",Assemblies[Assy],".",IF(SUMIF(INDIRECT("'"&amp;Assemblies[Assy]&amp;"'!"&amp;"C$5:C1000"), $A418, INDIRECT("'"&amp;Assemblies[Assy]&amp;"'!"&amp;"A$5:A1000"))=0,NA(),SUMIF(INDIRECT("'"&amp;Assemblies[Assy]&amp;"'!"&amp;"C$5:C1000"), $A418, INDIRECT("'"&amp;Assemblies[Assy]&amp;"'!"&amp;"A$5:A1000")))),"")), " ,", ""))</f>
        <v>,</v>
      </c>
      <c r="S418" s="56" t="s">
        <v>1382</v>
      </c>
      <c r="T418" s="2" t="s">
        <v>1382</v>
      </c>
      <c r="U418" s="2" t="s">
        <v>1382</v>
      </c>
      <c r="V418" s="2" t="s">
        <v>1382</v>
      </c>
    </row>
    <row r="419" spans="1:22" hidden="1">
      <c r="A419" s="133">
        <v>801733</v>
      </c>
      <c r="B419" s="2" t="s">
        <v>3135</v>
      </c>
      <c r="C419" s="168"/>
      <c r="D419" s="5"/>
      <c r="E419" s="5" t="e" cm="1">
        <f t="array" aca="1" ref="E419" ca="1">SUMPRODUCT(SUMIF(INDIRECT("'"&amp;Assemblies[Assy]&amp;"'!"&amp;"C:C"),$A419,(INDIRECT("'"&amp;Assemblies[Assy]&amp;"'!"&amp;"O:O"))))</f>
        <v>#VALUE!</v>
      </c>
      <c r="F419" s="5" t="e">
        <f t="shared" ca="1" si="6"/>
        <v>#VALUE!</v>
      </c>
      <c r="G419" s="5"/>
      <c r="I419" s="117" t="s">
        <v>3136</v>
      </c>
      <c r="J419" s="117" t="s">
        <v>2635</v>
      </c>
      <c r="R419" s="115" t="str" cm="1">
        <f t="array" aca="1" ref="R419" ca="1">TRIM(SUBSTITUTE(_xlfn.ARRAYTOTEXT(IFERROR(CONCATENATE(SUMIF(INDIRECT("'"&amp;Assemblies!$B$2:$B$152&amp;"'!"&amp;"C$5:C1000"), $A419, INDIRECT("'"&amp;Assemblies!$B$2:$B$152&amp;"'!"&amp;"O$5:O1000")), "x",Assemblies!$B$2:$B$152,".",IF(SUMIF(INDIRECT("'"&amp;Assemblies!$B$2:$B$152&amp;"'!"&amp;"C$5:C1000"), $A419, INDIRECT("'"&amp;Assemblies!$B$2:$B$152&amp;"'!"&amp;"A$5:A1000"))=0,NA(),SUMIF(INDIRECT("'"&amp;Assemblies!$B$2:$B$152&amp;"'!"&amp;"C$5:C1000"), $A419, INDIRECT("'"&amp;Assemblies!$B$2:$B$152&amp;"'!"&amp;"A$5:A1000")))),"")), " ,", ""))</f>
        <v>,</v>
      </c>
      <c r="S419" s="56" t="s">
        <v>1382</v>
      </c>
      <c r="T419" s="2" t="s">
        <v>1382</v>
      </c>
      <c r="U419" s="2" t="s">
        <v>1382</v>
      </c>
      <c r="V419" s="2" t="s">
        <v>1382</v>
      </c>
    </row>
    <row r="420" spans="1:22" hidden="1">
      <c r="A420" s="133">
        <v>1029569</v>
      </c>
      <c r="B420" s="2" t="s">
        <v>3137</v>
      </c>
      <c r="C420" s="168"/>
      <c r="D420" s="5">
        <v>1</v>
      </c>
      <c r="E420" s="5" t="e" cm="1">
        <f t="array" aca="1" ref="E420" ca="1">SUMPRODUCT(SUMIF(INDIRECT("'"&amp;Assemblies[Assy]&amp;"'!"&amp;"C:C"),$A420,(INDIRECT("'"&amp;Assemblies[Assy]&amp;"'!"&amp;"O:O"))))</f>
        <v>#VALUE!</v>
      </c>
      <c r="F420" s="5" t="e">
        <f t="shared" ca="1" si="6"/>
        <v>#VALUE!</v>
      </c>
      <c r="G420" s="5"/>
      <c r="I420" s="117" t="s">
        <v>3138</v>
      </c>
      <c r="J420" s="117" t="s">
        <v>2635</v>
      </c>
      <c r="R420" s="115" t="str" cm="1">
        <f t="array" aca="1" ref="R420" ca="1">TRIM(SUBSTITUTE(_xlfn.ARRAYTOTEXT(IFERROR(CONCATENATE(SUMIF(INDIRECT("'"&amp;Assemblies!$B$2:$B$152&amp;"'!"&amp;"C$5:C1000"), $A420, INDIRECT("'"&amp;Assemblies!$B$2:$B$152&amp;"'!"&amp;"O$5:O1000")), "x",Assemblies!$B$2:$B$152,".",IF(SUMIF(INDIRECT("'"&amp;Assemblies!$B$2:$B$152&amp;"'!"&amp;"C$5:C1000"), $A420, INDIRECT("'"&amp;Assemblies!$B$2:$B$152&amp;"'!"&amp;"A$5:A1000"))=0,NA(),SUMIF(INDIRECT("'"&amp;Assemblies!$B$2:$B$152&amp;"'!"&amp;"C$5:C1000"), $A420, INDIRECT("'"&amp;Assemblies!$B$2:$B$152&amp;"'!"&amp;"A$5:A1000")))),"")), " ,", ""))</f>
        <v>,</v>
      </c>
      <c r="S420" s="56" t="s">
        <v>1382</v>
      </c>
      <c r="T420" s="2" t="s">
        <v>1382</v>
      </c>
      <c r="U420" s="2" t="s">
        <v>1382</v>
      </c>
      <c r="V420" s="2" t="s">
        <v>1382</v>
      </c>
    </row>
    <row r="421" spans="1:22" hidden="1">
      <c r="A421" s="133">
        <v>1029591</v>
      </c>
      <c r="B421" s="2" t="s">
        <v>3139</v>
      </c>
      <c r="C421" s="168"/>
      <c r="D421" s="5">
        <v>1</v>
      </c>
      <c r="E421" s="5" t="e" cm="1">
        <f t="array" aca="1" ref="E421" ca="1">SUMPRODUCT(SUMIF(INDIRECT("'"&amp;Assemblies[Assy]&amp;"'!"&amp;"C:C"),$A421,(INDIRECT("'"&amp;Assemblies[Assy]&amp;"'!"&amp;"O:O"))))</f>
        <v>#VALUE!</v>
      </c>
      <c r="F421" s="5" t="e">
        <f t="shared" ca="1" si="6"/>
        <v>#VALUE!</v>
      </c>
      <c r="G421" s="5"/>
      <c r="I421" s="117" t="s">
        <v>3138</v>
      </c>
      <c r="J421" s="117" t="s">
        <v>2635</v>
      </c>
      <c r="R421" s="115" t="str" cm="1">
        <f t="array" aca="1" ref="R421" ca="1">TRIM(SUBSTITUTE(_xlfn.ARRAYTOTEXT(IFERROR(CONCATENATE(SUMIF(INDIRECT("'"&amp;Assemblies!$B$2:$B$152&amp;"'!"&amp;"C$5:C1000"), $A421, INDIRECT("'"&amp;Assemblies!$B$2:$B$152&amp;"'!"&amp;"O$5:O1000")), "x",Assemblies!$B$2:$B$152,".",IF(SUMIF(INDIRECT("'"&amp;Assemblies!$B$2:$B$152&amp;"'!"&amp;"C$5:C1000"), $A421, INDIRECT("'"&amp;Assemblies!$B$2:$B$152&amp;"'!"&amp;"A$5:A1000"))=0,NA(),SUMIF(INDIRECT("'"&amp;Assemblies!$B$2:$B$152&amp;"'!"&amp;"C$5:C1000"), $A421, INDIRECT("'"&amp;Assemblies!$B$2:$B$152&amp;"'!"&amp;"A$5:A1000")))),"")), " ,", ""))</f>
        <v>,</v>
      </c>
      <c r="S421" s="56" t="s">
        <v>1382</v>
      </c>
      <c r="T421" s="2" t="s">
        <v>1382</v>
      </c>
      <c r="U421" s="2" t="s">
        <v>1382</v>
      </c>
      <c r="V421" s="2" t="s">
        <v>1382</v>
      </c>
    </row>
    <row r="422" spans="1:22" hidden="1">
      <c r="A422" s="133">
        <v>1075896</v>
      </c>
      <c r="B422" s="2" t="s">
        <v>3140</v>
      </c>
      <c r="C422" s="168"/>
      <c r="D422" s="5">
        <v>1</v>
      </c>
      <c r="E422" s="5" t="e" cm="1">
        <f t="array" aca="1" ref="E422" ca="1">SUMPRODUCT(SUMIF(INDIRECT("'"&amp;Assemblies[Assy]&amp;"'!"&amp;"C:C"),$A422,(INDIRECT("'"&amp;Assemblies[Assy]&amp;"'!"&amp;"O:O"))))</f>
        <v>#VALUE!</v>
      </c>
      <c r="F422" s="5" t="e">
        <f t="shared" ca="1" si="6"/>
        <v>#VALUE!</v>
      </c>
      <c r="G422" s="5"/>
      <c r="I422" s="117" t="s">
        <v>3138</v>
      </c>
      <c r="J422" s="117" t="s">
        <v>2635</v>
      </c>
      <c r="R422" s="115" t="str" cm="1">
        <f t="array" aca="1" ref="R422" ca="1">TRIM(SUBSTITUTE(_xlfn.ARRAYTOTEXT(IFERROR(CONCATENATE(SUMIF(INDIRECT("'"&amp;Assemblies!$B$2:$B$152&amp;"'!"&amp;"C$5:C1000"), $A422, INDIRECT("'"&amp;Assemblies!$B$2:$B$152&amp;"'!"&amp;"O$5:O1000")), "x",Assemblies!$B$2:$B$152,".",IF(SUMIF(INDIRECT("'"&amp;Assemblies!$B$2:$B$152&amp;"'!"&amp;"C$5:C1000"), $A422, INDIRECT("'"&amp;Assemblies!$B$2:$B$152&amp;"'!"&amp;"A$5:A1000"))=0,NA(),SUMIF(INDIRECT("'"&amp;Assemblies!$B$2:$B$152&amp;"'!"&amp;"C$5:C1000"), $A422, INDIRECT("'"&amp;Assemblies!$B$2:$B$152&amp;"'!"&amp;"A$5:A1000")))),"")), " ,", ""))</f>
        <v>,</v>
      </c>
      <c r="S422" s="56" t="s">
        <v>1382</v>
      </c>
      <c r="T422" s="2" t="s">
        <v>1382</v>
      </c>
      <c r="U422" s="2" t="s">
        <v>1382</v>
      </c>
      <c r="V422" s="2" t="s">
        <v>1382</v>
      </c>
    </row>
    <row r="423" spans="1:22" hidden="1">
      <c r="A423" s="133">
        <v>1085039</v>
      </c>
      <c r="B423" s="2" t="s">
        <v>3141</v>
      </c>
      <c r="C423" s="168"/>
      <c r="D423" s="5">
        <v>1</v>
      </c>
      <c r="E423" s="5" t="e" cm="1">
        <f t="array" aca="1" ref="E423" ca="1">SUMPRODUCT(SUMIF(INDIRECT("'"&amp;Assemblies[Assy]&amp;"'!"&amp;"C:C"),$A423,(INDIRECT("'"&amp;Assemblies[Assy]&amp;"'!"&amp;"O:O"))))</f>
        <v>#VALUE!</v>
      </c>
      <c r="F423" s="5" t="e">
        <f t="shared" ca="1" si="6"/>
        <v>#VALUE!</v>
      </c>
      <c r="G423" s="5"/>
      <c r="I423" s="117" t="s">
        <v>3138</v>
      </c>
      <c r="J423" s="117" t="s">
        <v>2635</v>
      </c>
      <c r="R423" s="115" t="str" cm="1">
        <f t="array" aca="1" ref="R423" ca="1">TRIM(SUBSTITUTE(_xlfn.ARRAYTOTEXT(IFERROR(CONCATENATE(SUMIF(INDIRECT("'"&amp;Assemblies!$B$2:$B$152&amp;"'!"&amp;"C$5:C1000"), $A423, INDIRECT("'"&amp;Assemblies!$B$2:$B$152&amp;"'!"&amp;"O$5:O1000")), "x",Assemblies!$B$2:$B$152,".",IF(SUMIF(INDIRECT("'"&amp;Assemblies!$B$2:$B$152&amp;"'!"&amp;"C$5:C1000"), $A423, INDIRECT("'"&amp;Assemblies!$B$2:$B$152&amp;"'!"&amp;"A$5:A1000"))=0,NA(),SUMIF(INDIRECT("'"&amp;Assemblies!$B$2:$B$152&amp;"'!"&amp;"C$5:C1000"), $A423, INDIRECT("'"&amp;Assemblies!$B$2:$B$152&amp;"'!"&amp;"A$5:A1000")))),"")), " ,", ""))</f>
        <v>,</v>
      </c>
      <c r="S423" s="56" t="s">
        <v>1382</v>
      </c>
      <c r="T423" s="2" t="s">
        <v>1382</v>
      </c>
      <c r="U423" s="2" t="s">
        <v>1382</v>
      </c>
      <c r="V423" s="2" t="s">
        <v>1382</v>
      </c>
    </row>
    <row r="424" spans="1:22" hidden="1">
      <c r="A424" s="133">
        <v>1085254</v>
      </c>
      <c r="B424" s="2" t="s">
        <v>3142</v>
      </c>
      <c r="C424" s="168"/>
      <c r="D424" s="5">
        <v>1</v>
      </c>
      <c r="E424" s="5" t="e" cm="1">
        <f t="array" aca="1" ref="E424" ca="1">SUMPRODUCT(SUMIF(INDIRECT("'"&amp;Assemblies[Assy]&amp;"'!"&amp;"C:C"),$A424,(INDIRECT("'"&amp;Assemblies[Assy]&amp;"'!"&amp;"O:O"))))</f>
        <v>#VALUE!</v>
      </c>
      <c r="F424" s="5" t="e">
        <f t="shared" ca="1" si="6"/>
        <v>#VALUE!</v>
      </c>
      <c r="G424" s="5"/>
      <c r="I424" s="117" t="s">
        <v>3138</v>
      </c>
      <c r="J424" s="117" t="s">
        <v>2635</v>
      </c>
      <c r="R424" s="115" t="str" cm="1">
        <f t="array" aca="1" ref="R424" ca="1">TRIM(SUBSTITUTE(_xlfn.ARRAYTOTEXT(IFERROR(CONCATENATE(SUMIF(INDIRECT("'"&amp;Assemblies!$B$2:$B$152&amp;"'!"&amp;"C$5:C1000"), $A424, INDIRECT("'"&amp;Assemblies!$B$2:$B$152&amp;"'!"&amp;"O$5:O1000")), "x",Assemblies!$B$2:$B$152,".",IF(SUMIF(INDIRECT("'"&amp;Assemblies!$B$2:$B$152&amp;"'!"&amp;"C$5:C1000"), $A424, INDIRECT("'"&amp;Assemblies!$B$2:$B$152&amp;"'!"&amp;"A$5:A1000"))=0,NA(),SUMIF(INDIRECT("'"&amp;Assemblies!$B$2:$B$152&amp;"'!"&amp;"C$5:C1000"), $A424, INDIRECT("'"&amp;Assemblies!$B$2:$B$152&amp;"'!"&amp;"A$5:A1000")))),"")), " ,", ""))</f>
        <v>,</v>
      </c>
      <c r="S424" s="56" t="s">
        <v>1382</v>
      </c>
      <c r="T424" s="2" t="s">
        <v>1382</v>
      </c>
      <c r="U424" s="2" t="s">
        <v>1382</v>
      </c>
      <c r="V424" s="2" t="s">
        <v>1382</v>
      </c>
    </row>
    <row r="425" spans="1:22" hidden="1">
      <c r="A425" s="133">
        <v>2903155</v>
      </c>
      <c r="B425" s="2" t="s">
        <v>3143</v>
      </c>
      <c r="C425" s="168"/>
      <c r="D425" s="5">
        <v>1</v>
      </c>
      <c r="E425" s="5" t="e" cm="1">
        <f t="array" aca="1" ref="E425" ca="1">SUMPRODUCT(SUMIF(INDIRECT("'"&amp;Assemblies[Assy]&amp;"'!"&amp;"C:C"),$A425,(INDIRECT("'"&amp;Assemblies[Assy]&amp;"'!"&amp;"O:O"))))</f>
        <v>#VALUE!</v>
      </c>
      <c r="F425" s="5" t="e">
        <f t="shared" ca="1" si="6"/>
        <v>#VALUE!</v>
      </c>
      <c r="G425" s="5"/>
      <c r="I425" s="117" t="s">
        <v>3138</v>
      </c>
      <c r="J425" s="117" t="s">
        <v>2635</v>
      </c>
      <c r="R425" s="115" t="str" cm="1">
        <f t="array" aca="1" ref="R425" ca="1">TRIM(SUBSTITUTE(_xlfn.ARRAYTOTEXT(IFERROR(CONCATENATE(SUMIF(INDIRECT("'"&amp;Assemblies!$B$2:$B$152&amp;"'!"&amp;"C$5:C1000"), $A425, INDIRECT("'"&amp;Assemblies!$B$2:$B$152&amp;"'!"&amp;"O$5:O1000")), "x",Assemblies!$B$2:$B$152,".",IF(SUMIF(INDIRECT("'"&amp;Assemblies!$B$2:$B$152&amp;"'!"&amp;"C$5:C1000"), $A425, INDIRECT("'"&amp;Assemblies!$B$2:$B$152&amp;"'!"&amp;"A$5:A1000"))=0,NA(),SUMIF(INDIRECT("'"&amp;Assemblies!$B$2:$B$152&amp;"'!"&amp;"C$5:C1000"), $A425, INDIRECT("'"&amp;Assemblies!$B$2:$B$152&amp;"'!"&amp;"A$5:A1000")))),"")), " ,", ""))</f>
        <v>,</v>
      </c>
      <c r="S425" s="56" t="s">
        <v>1382</v>
      </c>
      <c r="T425" s="2" t="s">
        <v>1382</v>
      </c>
      <c r="U425" s="2" t="s">
        <v>1382</v>
      </c>
      <c r="V425" s="2" t="s">
        <v>1382</v>
      </c>
    </row>
    <row r="426" spans="1:22" hidden="1">
      <c r="A426" s="133">
        <v>2909909</v>
      </c>
      <c r="B426" s="2" t="s">
        <v>3144</v>
      </c>
      <c r="C426" s="168"/>
      <c r="D426" s="5">
        <v>1</v>
      </c>
      <c r="E426" s="5" t="e" cm="1">
        <f t="array" aca="1" ref="E426" ca="1">SUMPRODUCT(SUMIF(INDIRECT("'"&amp;Assemblies[Assy]&amp;"'!"&amp;"C:C"),$A426,(INDIRECT("'"&amp;Assemblies[Assy]&amp;"'!"&amp;"O:O"))))</f>
        <v>#VALUE!</v>
      </c>
      <c r="F426" s="5" t="e">
        <f t="shared" ca="1" si="6"/>
        <v>#VALUE!</v>
      </c>
      <c r="G426" s="5"/>
      <c r="I426" s="117" t="s">
        <v>3138</v>
      </c>
      <c r="J426" s="117" t="s">
        <v>2635</v>
      </c>
      <c r="R426" s="115" t="str" cm="1">
        <f t="array" aca="1" ref="R426" ca="1">TRIM(SUBSTITUTE(_xlfn.ARRAYTOTEXT(IFERROR(CONCATENATE(SUMIF(INDIRECT("'"&amp;Assemblies!$B$2:$B$152&amp;"'!"&amp;"C$5:C1000"), $A426, INDIRECT("'"&amp;Assemblies!$B$2:$B$152&amp;"'!"&amp;"O$5:O1000")), "x",Assemblies!$B$2:$B$152,".",IF(SUMIF(INDIRECT("'"&amp;Assemblies!$B$2:$B$152&amp;"'!"&amp;"C$5:C1000"), $A426, INDIRECT("'"&amp;Assemblies!$B$2:$B$152&amp;"'!"&amp;"A$5:A1000"))=0,NA(),SUMIF(INDIRECT("'"&amp;Assemblies!$B$2:$B$152&amp;"'!"&amp;"C$5:C1000"), $A426, INDIRECT("'"&amp;Assemblies!$B$2:$B$152&amp;"'!"&amp;"A$5:A1000")))),"")), " ,", ""))</f>
        <v>,</v>
      </c>
      <c r="S426" s="56" t="s">
        <v>1382</v>
      </c>
      <c r="T426" s="2" t="s">
        <v>1382</v>
      </c>
      <c r="U426" s="2" t="s">
        <v>1382</v>
      </c>
      <c r="V426" s="2" t="s">
        <v>1382</v>
      </c>
    </row>
    <row r="427" spans="1:22" hidden="1">
      <c r="A427" s="133">
        <v>3022276</v>
      </c>
      <c r="B427" s="2" t="s">
        <v>3145</v>
      </c>
      <c r="C427" s="168"/>
      <c r="D427" s="5">
        <v>1</v>
      </c>
      <c r="E427" s="5" t="e" cm="1">
        <f t="array" aca="1" ref="E427" ca="1">SUMPRODUCT(SUMIF(INDIRECT("'"&amp;Assemblies[Assy]&amp;"'!"&amp;"C:C"),$A427,(INDIRECT("'"&amp;Assemblies[Assy]&amp;"'!"&amp;"O:O"))))</f>
        <v>#VALUE!</v>
      </c>
      <c r="F427" s="5" t="e">
        <f t="shared" ca="1" si="6"/>
        <v>#VALUE!</v>
      </c>
      <c r="G427" s="5"/>
      <c r="I427" s="117" t="s">
        <v>3138</v>
      </c>
      <c r="J427" s="117" t="s">
        <v>2635</v>
      </c>
      <c r="R427" s="115" t="str" cm="1">
        <f t="array" aca="1" ref="R427" ca="1">TRIM(SUBSTITUTE(_xlfn.ARRAYTOTEXT(IFERROR(CONCATENATE(SUMIF(INDIRECT("'"&amp;Assemblies!$B$2:$B$152&amp;"'!"&amp;"C$5:C1000"), $A427, INDIRECT("'"&amp;Assemblies!$B$2:$B$152&amp;"'!"&amp;"O$5:O1000")), "x",Assemblies!$B$2:$B$152,".",IF(SUMIF(INDIRECT("'"&amp;Assemblies!$B$2:$B$152&amp;"'!"&amp;"C$5:C1000"), $A427, INDIRECT("'"&amp;Assemblies!$B$2:$B$152&amp;"'!"&amp;"A$5:A1000"))=0,NA(),SUMIF(INDIRECT("'"&amp;Assemblies!$B$2:$B$152&amp;"'!"&amp;"C$5:C1000"), $A427, INDIRECT("'"&amp;Assemblies!$B$2:$B$152&amp;"'!"&amp;"A$5:A1000")))),"")), " ,", ""))</f>
        <v>,</v>
      </c>
      <c r="S427" s="56" t="s">
        <v>1382</v>
      </c>
      <c r="T427" s="2" t="s">
        <v>1382</v>
      </c>
      <c r="U427" s="2" t="s">
        <v>1382</v>
      </c>
      <c r="V427" s="2" t="s">
        <v>1382</v>
      </c>
    </row>
    <row r="428" spans="1:22" hidden="1">
      <c r="A428" s="133">
        <v>3030161</v>
      </c>
      <c r="B428" s="2" t="s">
        <v>3146</v>
      </c>
      <c r="C428" s="168"/>
      <c r="D428" s="5">
        <v>1</v>
      </c>
      <c r="E428" s="5" t="e" cm="1">
        <f t="array" aca="1" ref="E428" ca="1">SUMPRODUCT(SUMIF(INDIRECT("'"&amp;Assemblies[Assy]&amp;"'!"&amp;"C:C"),$A428,(INDIRECT("'"&amp;Assemblies[Assy]&amp;"'!"&amp;"O:O"))))</f>
        <v>#VALUE!</v>
      </c>
      <c r="F428" s="5" t="e">
        <f t="shared" ca="1" si="6"/>
        <v>#VALUE!</v>
      </c>
      <c r="G428" s="5"/>
      <c r="I428" s="117" t="s">
        <v>3138</v>
      </c>
      <c r="J428" s="117" t="s">
        <v>2635</v>
      </c>
      <c r="R428" s="115" t="str" cm="1">
        <f t="array" aca="1" ref="R428" ca="1">TRIM(SUBSTITUTE(_xlfn.ARRAYTOTEXT(IFERROR(CONCATENATE(SUMIF(INDIRECT("'"&amp;Assemblies!$B$2:$B$152&amp;"'!"&amp;"C$5:C1000"), $A428, INDIRECT("'"&amp;Assemblies!$B$2:$B$152&amp;"'!"&amp;"O$5:O1000")), "x",Assemblies!$B$2:$B$152,".",IF(SUMIF(INDIRECT("'"&amp;Assemblies!$B$2:$B$152&amp;"'!"&amp;"C$5:C1000"), $A428, INDIRECT("'"&amp;Assemblies!$B$2:$B$152&amp;"'!"&amp;"A$5:A1000"))=0,NA(),SUMIF(INDIRECT("'"&amp;Assemblies!$B$2:$B$152&amp;"'!"&amp;"C$5:C1000"), $A428, INDIRECT("'"&amp;Assemblies!$B$2:$B$152&amp;"'!"&amp;"A$5:A1000")))),"")), " ,", ""))</f>
        <v>,</v>
      </c>
      <c r="S428" s="56" t="s">
        <v>1382</v>
      </c>
      <c r="T428" s="2" t="s">
        <v>1382</v>
      </c>
      <c r="U428" s="2" t="s">
        <v>1382</v>
      </c>
      <c r="V428" s="2" t="s">
        <v>1382</v>
      </c>
    </row>
    <row r="429" spans="1:22" hidden="1">
      <c r="A429" s="133">
        <v>3030336</v>
      </c>
      <c r="B429" s="2" t="s">
        <v>3147</v>
      </c>
      <c r="C429" s="168"/>
      <c r="D429" s="5">
        <v>1</v>
      </c>
      <c r="E429" s="5" t="e" cm="1">
        <f t="array" aca="1" ref="E429" ca="1">SUMPRODUCT(SUMIF(INDIRECT("'"&amp;Assemblies[Assy]&amp;"'!"&amp;"C:C"),$A429,(INDIRECT("'"&amp;Assemblies[Assy]&amp;"'!"&amp;"O:O"))))</f>
        <v>#VALUE!</v>
      </c>
      <c r="F429" s="5" t="e">
        <f t="shared" ca="1" si="6"/>
        <v>#VALUE!</v>
      </c>
      <c r="G429" s="5"/>
      <c r="I429" s="117" t="s">
        <v>3138</v>
      </c>
      <c r="J429" s="117" t="s">
        <v>2635</v>
      </c>
      <c r="R429" s="115" t="str" cm="1">
        <f t="array" aca="1" ref="R429" ca="1">TRIM(SUBSTITUTE(_xlfn.ARRAYTOTEXT(IFERROR(CONCATENATE(SUMIF(INDIRECT("'"&amp;Assemblies!$B$2:$B$152&amp;"'!"&amp;"C$5:C1000"), $A429, INDIRECT("'"&amp;Assemblies!$B$2:$B$152&amp;"'!"&amp;"O$5:O1000")), "x",Assemblies!$B$2:$B$152,".",IF(SUMIF(INDIRECT("'"&amp;Assemblies!$B$2:$B$152&amp;"'!"&amp;"C$5:C1000"), $A429, INDIRECT("'"&amp;Assemblies!$B$2:$B$152&amp;"'!"&amp;"A$5:A1000"))=0,NA(),SUMIF(INDIRECT("'"&amp;Assemblies!$B$2:$B$152&amp;"'!"&amp;"C$5:C1000"), $A429, INDIRECT("'"&amp;Assemblies!$B$2:$B$152&amp;"'!"&amp;"A$5:A1000")))),"")), " ,", ""))</f>
        <v>,</v>
      </c>
      <c r="S429" s="56" t="s">
        <v>1382</v>
      </c>
      <c r="T429" s="2" t="s">
        <v>1382</v>
      </c>
      <c r="U429" s="2" t="s">
        <v>1382</v>
      </c>
      <c r="V429" s="2" t="s">
        <v>1382</v>
      </c>
    </row>
    <row r="430" spans="1:22" hidden="1">
      <c r="A430" s="133">
        <v>3030513</v>
      </c>
      <c r="B430" s="2" t="s">
        <v>3148</v>
      </c>
      <c r="C430" s="168"/>
      <c r="D430" s="5">
        <v>1</v>
      </c>
      <c r="E430" s="5" t="e" cm="1">
        <f t="array" aca="1" ref="E430" ca="1">SUMPRODUCT(SUMIF(INDIRECT("'"&amp;Assemblies[Assy]&amp;"'!"&amp;"C:C"),$A430,(INDIRECT("'"&amp;Assemblies[Assy]&amp;"'!"&amp;"O:O"))))</f>
        <v>#VALUE!</v>
      </c>
      <c r="F430" s="5" t="e">
        <f t="shared" ca="1" si="6"/>
        <v>#VALUE!</v>
      </c>
      <c r="G430" s="5"/>
      <c r="I430" s="117" t="s">
        <v>3138</v>
      </c>
      <c r="J430" s="117" t="s">
        <v>2635</v>
      </c>
      <c r="R430" s="115" t="str" cm="1">
        <f t="array" aca="1" ref="R430" ca="1">TRIM(SUBSTITUTE(_xlfn.ARRAYTOTEXT(IFERROR(CONCATENATE(SUMIF(INDIRECT("'"&amp;Assemblies!$B$2:$B$152&amp;"'!"&amp;"C$5:C1000"), $A430, INDIRECT("'"&amp;Assemblies!$B$2:$B$152&amp;"'!"&amp;"O$5:O1000")), "x",Assemblies!$B$2:$B$152,".",IF(SUMIF(INDIRECT("'"&amp;Assemblies!$B$2:$B$152&amp;"'!"&amp;"C$5:C1000"), $A430, INDIRECT("'"&amp;Assemblies!$B$2:$B$152&amp;"'!"&amp;"A$5:A1000"))=0,NA(),SUMIF(INDIRECT("'"&amp;Assemblies!$B$2:$B$152&amp;"'!"&amp;"C$5:C1000"), $A430, INDIRECT("'"&amp;Assemblies!$B$2:$B$152&amp;"'!"&amp;"A$5:A1000")))),"")), " ,", ""))</f>
        <v>,</v>
      </c>
      <c r="S430" s="56" t="s">
        <v>1382</v>
      </c>
      <c r="T430" s="2" t="s">
        <v>1382</v>
      </c>
      <c r="U430" s="2" t="s">
        <v>1382</v>
      </c>
      <c r="V430" s="2" t="s">
        <v>1382</v>
      </c>
    </row>
    <row r="431" spans="1:22" hidden="1">
      <c r="A431" s="133">
        <v>3030873</v>
      </c>
      <c r="B431" s="2" t="s">
        <v>3149</v>
      </c>
      <c r="C431" s="168"/>
      <c r="D431" s="5">
        <v>1</v>
      </c>
      <c r="E431" s="5" t="e" cm="1">
        <f t="array" aca="1" ref="E431" ca="1">SUMPRODUCT(SUMIF(INDIRECT("'"&amp;Assemblies[Assy]&amp;"'!"&amp;"C:C"),$A431,(INDIRECT("'"&amp;Assemblies[Assy]&amp;"'!"&amp;"O:O"))))</f>
        <v>#VALUE!</v>
      </c>
      <c r="F431" s="5" t="e">
        <f t="shared" ca="1" si="6"/>
        <v>#VALUE!</v>
      </c>
      <c r="G431" s="5"/>
      <c r="I431" s="117" t="s">
        <v>3138</v>
      </c>
      <c r="J431" s="117" t="s">
        <v>2635</v>
      </c>
      <c r="R431" s="115" t="str" cm="1">
        <f t="array" aca="1" ref="R431" ca="1">TRIM(SUBSTITUTE(_xlfn.ARRAYTOTEXT(IFERROR(CONCATENATE(SUMIF(INDIRECT("'"&amp;Assemblies!$B$2:$B$152&amp;"'!"&amp;"C$5:C1000"), $A431, INDIRECT("'"&amp;Assemblies!$B$2:$B$152&amp;"'!"&amp;"O$5:O1000")), "x",Assemblies!$B$2:$B$152,".",IF(SUMIF(INDIRECT("'"&amp;Assemblies!$B$2:$B$152&amp;"'!"&amp;"C$5:C1000"), $A431, INDIRECT("'"&amp;Assemblies!$B$2:$B$152&amp;"'!"&amp;"A$5:A1000"))=0,NA(),SUMIF(INDIRECT("'"&amp;Assemblies!$B$2:$B$152&amp;"'!"&amp;"C$5:C1000"), $A431, INDIRECT("'"&amp;Assemblies!$B$2:$B$152&amp;"'!"&amp;"A$5:A1000")))),"")), " ,", ""))</f>
        <v>,</v>
      </c>
      <c r="S431" s="56" t="s">
        <v>1382</v>
      </c>
      <c r="T431" s="2" t="s">
        <v>1382</v>
      </c>
      <c r="U431" s="2" t="s">
        <v>1382</v>
      </c>
      <c r="V431" s="2" t="s">
        <v>1382</v>
      </c>
    </row>
    <row r="432" spans="1:22" hidden="1">
      <c r="A432" s="133">
        <v>3113771</v>
      </c>
      <c r="B432" s="2" t="s">
        <v>3150</v>
      </c>
      <c r="C432" s="168"/>
      <c r="D432" s="5">
        <v>1</v>
      </c>
      <c r="E432" s="5" t="e" cm="1">
        <f t="array" aca="1" ref="E432" ca="1">SUMPRODUCT(SUMIF(INDIRECT("'"&amp;Assemblies[Assy]&amp;"'!"&amp;"C:C"),$A432,(INDIRECT("'"&amp;Assemblies[Assy]&amp;"'!"&amp;"O:O"))))</f>
        <v>#VALUE!</v>
      </c>
      <c r="F432" s="5" t="e">
        <f t="shared" ca="1" si="6"/>
        <v>#VALUE!</v>
      </c>
      <c r="G432" s="5"/>
      <c r="I432" s="117" t="s">
        <v>3138</v>
      </c>
      <c r="J432" s="117" t="s">
        <v>2635</v>
      </c>
      <c r="R432" s="115" t="str" cm="1">
        <f t="array" aca="1" ref="R432" ca="1">TRIM(SUBSTITUTE(_xlfn.ARRAYTOTEXT(IFERROR(CONCATENATE(SUMIF(INDIRECT("'"&amp;Assemblies!$B$2:$B$152&amp;"'!"&amp;"C$5:C1000"), $A432, INDIRECT("'"&amp;Assemblies!$B$2:$B$152&amp;"'!"&amp;"O$5:O1000")), "x",Assemblies!$B$2:$B$152,".",IF(SUMIF(INDIRECT("'"&amp;Assemblies!$B$2:$B$152&amp;"'!"&amp;"C$5:C1000"), $A432, INDIRECT("'"&amp;Assemblies!$B$2:$B$152&amp;"'!"&amp;"A$5:A1000"))=0,NA(),SUMIF(INDIRECT("'"&amp;Assemblies!$B$2:$B$152&amp;"'!"&amp;"C$5:C1000"), $A432, INDIRECT("'"&amp;Assemblies!$B$2:$B$152&amp;"'!"&amp;"A$5:A1000")))),"")), " ,", ""))</f>
        <v>,</v>
      </c>
      <c r="S432" s="56" t="s">
        <v>1382</v>
      </c>
      <c r="T432" s="2" t="s">
        <v>1382</v>
      </c>
      <c r="U432" s="2" t="s">
        <v>1382</v>
      </c>
      <c r="V432" s="2" t="s">
        <v>1382</v>
      </c>
    </row>
    <row r="433" spans="1:22" hidden="1">
      <c r="A433" s="133">
        <v>3208126</v>
      </c>
      <c r="B433" s="2" t="s">
        <v>3151</v>
      </c>
      <c r="C433" s="168"/>
      <c r="D433" s="5">
        <v>1</v>
      </c>
      <c r="E433" s="5" t="e" cm="1">
        <f t="array" aca="1" ref="E433" ca="1">SUMPRODUCT(SUMIF(INDIRECT("'"&amp;Assemblies[Assy]&amp;"'!"&amp;"C:C"),$A433,(INDIRECT("'"&amp;Assemblies[Assy]&amp;"'!"&amp;"O:O"))))</f>
        <v>#VALUE!</v>
      </c>
      <c r="F433" s="5" t="e">
        <f t="shared" ca="1" si="6"/>
        <v>#VALUE!</v>
      </c>
      <c r="G433" s="5"/>
      <c r="I433" s="117" t="s">
        <v>3138</v>
      </c>
      <c r="J433" s="117" t="s">
        <v>2635</v>
      </c>
      <c r="R433" s="115" t="str" cm="1">
        <f t="array" aca="1" ref="R433" ca="1">TRIM(SUBSTITUTE(_xlfn.ARRAYTOTEXT(IFERROR(CONCATENATE(SUMIF(INDIRECT("'"&amp;Assemblies!$B$2:$B$152&amp;"'!"&amp;"C$5:C1000"), $A433, INDIRECT("'"&amp;Assemblies!$B$2:$B$152&amp;"'!"&amp;"O$5:O1000")), "x",Assemblies!$B$2:$B$152,".",IF(SUMIF(INDIRECT("'"&amp;Assemblies!$B$2:$B$152&amp;"'!"&amp;"C$5:C1000"), $A433, INDIRECT("'"&amp;Assemblies!$B$2:$B$152&amp;"'!"&amp;"A$5:A1000"))=0,NA(),SUMIF(INDIRECT("'"&amp;Assemblies!$B$2:$B$152&amp;"'!"&amp;"C$5:C1000"), $A433, INDIRECT("'"&amp;Assemblies!$B$2:$B$152&amp;"'!"&amp;"A$5:A1000")))),"")), " ,", ""))</f>
        <v>,</v>
      </c>
      <c r="S433" s="56" t="s">
        <v>1382</v>
      </c>
      <c r="T433" s="2" t="s">
        <v>1382</v>
      </c>
      <c r="U433" s="2" t="s">
        <v>1382</v>
      </c>
      <c r="V433" s="2" t="s">
        <v>1382</v>
      </c>
    </row>
    <row r="434" spans="1:22" hidden="1">
      <c r="A434" s="133">
        <v>3208208</v>
      </c>
      <c r="B434" s="2" t="s">
        <v>3152</v>
      </c>
      <c r="C434" s="168"/>
      <c r="D434" s="5">
        <v>1</v>
      </c>
      <c r="E434" s="5" t="e" cm="1">
        <f t="array" aca="1" ref="E434" ca="1">SUMPRODUCT(SUMIF(INDIRECT("'"&amp;Assemblies[Assy]&amp;"'!"&amp;"C:C"),$A434,(INDIRECT("'"&amp;Assemblies[Assy]&amp;"'!"&amp;"O:O"))))</f>
        <v>#VALUE!</v>
      </c>
      <c r="F434" s="5" t="e">
        <f t="shared" ca="1" si="6"/>
        <v>#VALUE!</v>
      </c>
      <c r="G434" s="5"/>
      <c r="I434" s="117" t="s">
        <v>3138</v>
      </c>
      <c r="J434" s="117" t="s">
        <v>2635</v>
      </c>
      <c r="R434" s="115" t="str" cm="1">
        <f t="array" aca="1" ref="R434" ca="1">TRIM(SUBSTITUTE(_xlfn.ARRAYTOTEXT(IFERROR(CONCATENATE(SUMIF(INDIRECT("'"&amp;Assemblies!$B$2:$B$152&amp;"'!"&amp;"C$5:C1000"), $A434, INDIRECT("'"&amp;Assemblies!$B$2:$B$152&amp;"'!"&amp;"O$5:O1000")), "x",Assemblies!$B$2:$B$152,".",IF(SUMIF(INDIRECT("'"&amp;Assemblies!$B$2:$B$152&amp;"'!"&amp;"C$5:C1000"), $A434, INDIRECT("'"&amp;Assemblies!$B$2:$B$152&amp;"'!"&amp;"A$5:A1000"))=0,NA(),SUMIF(INDIRECT("'"&amp;Assemblies!$B$2:$B$152&amp;"'!"&amp;"C$5:C1000"), $A434, INDIRECT("'"&amp;Assemblies!$B$2:$B$152&amp;"'!"&amp;"A$5:A1000")))),"")), " ,", ""))</f>
        <v>,</v>
      </c>
      <c r="S434" s="56" t="s">
        <v>1382</v>
      </c>
      <c r="T434" s="2" t="s">
        <v>1382</v>
      </c>
      <c r="U434" s="2" t="s">
        <v>1382</v>
      </c>
      <c r="V434" s="2" t="s">
        <v>1382</v>
      </c>
    </row>
    <row r="435" spans="1:22" hidden="1">
      <c r="A435" s="133">
        <v>3208979</v>
      </c>
      <c r="B435" s="2" t="s">
        <v>3153</v>
      </c>
      <c r="C435" s="168"/>
      <c r="D435" s="5">
        <v>1</v>
      </c>
      <c r="E435" s="5" t="e" cm="1">
        <f t="array" aca="1" ref="E435" ca="1">SUMPRODUCT(SUMIF(INDIRECT("'"&amp;Assemblies[Assy]&amp;"'!"&amp;"C:C"),$A435,(INDIRECT("'"&amp;Assemblies[Assy]&amp;"'!"&amp;"O:O"))))</f>
        <v>#VALUE!</v>
      </c>
      <c r="F435" s="5" t="e">
        <f t="shared" ca="1" si="6"/>
        <v>#VALUE!</v>
      </c>
      <c r="G435" s="5"/>
      <c r="I435" s="117" t="s">
        <v>3138</v>
      </c>
      <c r="J435" s="117" t="s">
        <v>2635</v>
      </c>
      <c r="R435" s="115" t="str" cm="1">
        <f t="array" aca="1" ref="R435" ca="1">TRIM(SUBSTITUTE(_xlfn.ARRAYTOTEXT(IFERROR(CONCATENATE(SUMIF(INDIRECT("'"&amp;Assemblies!$B$2:$B$152&amp;"'!"&amp;"C$5:C1000"), $A435, INDIRECT("'"&amp;Assemblies!$B$2:$B$152&amp;"'!"&amp;"O$5:O1000")), "x",Assemblies!$B$2:$B$152,".",IF(SUMIF(INDIRECT("'"&amp;Assemblies!$B$2:$B$152&amp;"'!"&amp;"C$5:C1000"), $A435, INDIRECT("'"&amp;Assemblies!$B$2:$B$152&amp;"'!"&amp;"A$5:A1000"))=0,NA(),SUMIF(INDIRECT("'"&amp;Assemblies!$B$2:$B$152&amp;"'!"&amp;"C$5:C1000"), $A435, INDIRECT("'"&amp;Assemblies!$B$2:$B$152&amp;"'!"&amp;"A$5:A1000")))),"")), " ,", ""))</f>
        <v>,</v>
      </c>
      <c r="S435" s="56" t="s">
        <v>1382</v>
      </c>
      <c r="T435" s="2" t="s">
        <v>1382</v>
      </c>
      <c r="U435" s="2" t="s">
        <v>1382</v>
      </c>
      <c r="V435" s="2" t="s">
        <v>1382</v>
      </c>
    </row>
    <row r="436" spans="1:22" hidden="1">
      <c r="A436" s="133">
        <v>3209581</v>
      </c>
      <c r="B436" s="2" t="s">
        <v>3154</v>
      </c>
      <c r="C436" s="168"/>
      <c r="D436" s="5">
        <v>1</v>
      </c>
      <c r="E436" s="5" t="e" cm="1">
        <f t="array" aca="1" ref="E436" ca="1">SUMPRODUCT(SUMIF(INDIRECT("'"&amp;Assemblies[Assy]&amp;"'!"&amp;"C:C"),$A436,(INDIRECT("'"&amp;Assemblies[Assy]&amp;"'!"&amp;"O:O"))))</f>
        <v>#VALUE!</v>
      </c>
      <c r="F436" s="5" t="e">
        <f t="shared" ca="1" si="6"/>
        <v>#VALUE!</v>
      </c>
      <c r="G436" s="5"/>
      <c r="I436" s="117" t="s">
        <v>3138</v>
      </c>
      <c r="J436" s="117" t="s">
        <v>2635</v>
      </c>
      <c r="R436" s="115" t="str" cm="1">
        <f t="array" aca="1" ref="R436" ca="1">TRIM(SUBSTITUTE(_xlfn.ARRAYTOTEXT(IFERROR(CONCATENATE(SUMIF(INDIRECT("'"&amp;Assemblies!$B$2:$B$152&amp;"'!"&amp;"C$5:C1000"), $A436, INDIRECT("'"&amp;Assemblies!$B$2:$B$152&amp;"'!"&amp;"O$5:O1000")), "x",Assemblies!$B$2:$B$152,".",IF(SUMIF(INDIRECT("'"&amp;Assemblies!$B$2:$B$152&amp;"'!"&amp;"C$5:C1000"), $A436, INDIRECT("'"&amp;Assemblies!$B$2:$B$152&amp;"'!"&amp;"A$5:A1000"))=0,NA(),SUMIF(INDIRECT("'"&amp;Assemblies!$B$2:$B$152&amp;"'!"&amp;"C$5:C1000"), $A436, INDIRECT("'"&amp;Assemblies!$B$2:$B$152&amp;"'!"&amp;"A$5:A1000")))),"")), " ,", ""))</f>
        <v>,</v>
      </c>
      <c r="S436" s="56" t="s">
        <v>1382</v>
      </c>
      <c r="T436" s="2" t="s">
        <v>1382</v>
      </c>
      <c r="U436" s="2" t="s">
        <v>1382</v>
      </c>
      <c r="V436" s="2" t="s">
        <v>1382</v>
      </c>
    </row>
    <row r="437" spans="1:22" hidden="1">
      <c r="A437" s="133">
        <v>3211797</v>
      </c>
      <c r="B437" s="2" t="s">
        <v>3155</v>
      </c>
      <c r="C437" s="168"/>
      <c r="D437" s="5">
        <v>1</v>
      </c>
      <c r="E437" s="5" t="e" cm="1">
        <f t="array" aca="1" ref="E437" ca="1">SUMPRODUCT(SUMIF(INDIRECT("'"&amp;Assemblies[Assy]&amp;"'!"&amp;"C:C"),$A437,(INDIRECT("'"&amp;Assemblies[Assy]&amp;"'!"&amp;"O:O"))))</f>
        <v>#VALUE!</v>
      </c>
      <c r="F437" s="5" t="e">
        <f t="shared" ca="1" si="6"/>
        <v>#VALUE!</v>
      </c>
      <c r="G437" s="5"/>
      <c r="I437" s="117" t="s">
        <v>3138</v>
      </c>
      <c r="J437" s="117" t="s">
        <v>2635</v>
      </c>
      <c r="R437" s="115" t="str" cm="1">
        <f t="array" aca="1" ref="R437" ca="1">TRIM(SUBSTITUTE(_xlfn.ARRAYTOTEXT(IFERROR(CONCATENATE(SUMIF(INDIRECT("'"&amp;Assemblies!$B$2:$B$152&amp;"'!"&amp;"C$5:C1000"), $A437, INDIRECT("'"&amp;Assemblies!$B$2:$B$152&amp;"'!"&amp;"O$5:O1000")), "x",Assemblies!$B$2:$B$152,".",IF(SUMIF(INDIRECT("'"&amp;Assemblies!$B$2:$B$152&amp;"'!"&amp;"C$5:C1000"), $A437, INDIRECT("'"&amp;Assemblies!$B$2:$B$152&amp;"'!"&amp;"A$5:A1000"))=0,NA(),SUMIF(INDIRECT("'"&amp;Assemblies!$B$2:$B$152&amp;"'!"&amp;"C$5:C1000"), $A437, INDIRECT("'"&amp;Assemblies!$B$2:$B$152&amp;"'!"&amp;"A$5:A1000")))),"")), " ,", ""))</f>
        <v>,</v>
      </c>
      <c r="S437" s="56" t="s">
        <v>1382</v>
      </c>
      <c r="T437" s="2" t="s">
        <v>1382</v>
      </c>
      <c r="U437" s="2" t="s">
        <v>1382</v>
      </c>
      <c r="V437" s="2" t="s">
        <v>1382</v>
      </c>
    </row>
    <row r="438" spans="1:22" hidden="1">
      <c r="A438" s="133">
        <v>3211809</v>
      </c>
      <c r="B438" s="2" t="s">
        <v>3156</v>
      </c>
      <c r="C438" s="168"/>
      <c r="D438" s="5">
        <v>1</v>
      </c>
      <c r="E438" s="5" t="e" cm="1">
        <f t="array" aca="1" ref="E438" ca="1">SUMPRODUCT(SUMIF(INDIRECT("'"&amp;Assemblies[Assy]&amp;"'!"&amp;"C:C"),$A438,(INDIRECT("'"&amp;Assemblies[Assy]&amp;"'!"&amp;"O:O"))))</f>
        <v>#VALUE!</v>
      </c>
      <c r="F438" s="5" t="e">
        <f t="shared" ca="1" si="6"/>
        <v>#VALUE!</v>
      </c>
      <c r="G438" s="5"/>
      <c r="I438" s="117" t="s">
        <v>3138</v>
      </c>
      <c r="J438" s="117" t="s">
        <v>2635</v>
      </c>
      <c r="R438" s="115" t="str" cm="1">
        <f t="array" aca="1" ref="R438" ca="1">TRIM(SUBSTITUTE(_xlfn.ARRAYTOTEXT(IFERROR(CONCATENATE(SUMIF(INDIRECT("'"&amp;Assemblies!$B$2:$B$152&amp;"'!"&amp;"C$5:C1000"), $A438, INDIRECT("'"&amp;Assemblies!$B$2:$B$152&amp;"'!"&amp;"O$5:O1000")), "x",Assemblies!$B$2:$B$152,".",IF(SUMIF(INDIRECT("'"&amp;Assemblies!$B$2:$B$152&amp;"'!"&amp;"C$5:C1000"), $A438, INDIRECT("'"&amp;Assemblies!$B$2:$B$152&amp;"'!"&amp;"A$5:A1000"))=0,NA(),SUMIF(INDIRECT("'"&amp;Assemblies!$B$2:$B$152&amp;"'!"&amp;"C$5:C1000"), $A438, INDIRECT("'"&amp;Assemblies!$B$2:$B$152&amp;"'!"&amp;"A$5:A1000")))),"")), " ,", ""))</f>
        <v>,</v>
      </c>
      <c r="S438" s="56" t="s">
        <v>1382</v>
      </c>
      <c r="T438" s="2" t="s">
        <v>1382</v>
      </c>
      <c r="U438" s="2" t="s">
        <v>1382</v>
      </c>
      <c r="V438" s="2" t="s">
        <v>1382</v>
      </c>
    </row>
    <row r="439" spans="1:22" hidden="1">
      <c r="A439" s="133">
        <v>3212057</v>
      </c>
      <c r="B439" s="2" t="s">
        <v>3157</v>
      </c>
      <c r="C439" s="168"/>
      <c r="D439" s="5">
        <v>1</v>
      </c>
      <c r="E439" s="5" t="e" cm="1">
        <f t="array" aca="1" ref="E439" ca="1">SUMPRODUCT(SUMIF(INDIRECT("'"&amp;Assemblies[Assy]&amp;"'!"&amp;"C:C"),$A439,(INDIRECT("'"&amp;Assemblies[Assy]&amp;"'!"&amp;"O:O"))))</f>
        <v>#VALUE!</v>
      </c>
      <c r="F439" s="5" t="e">
        <f t="shared" ca="1" si="6"/>
        <v>#VALUE!</v>
      </c>
      <c r="G439" s="5"/>
      <c r="I439" s="117" t="s">
        <v>3138</v>
      </c>
      <c r="J439" s="117" t="s">
        <v>2635</v>
      </c>
      <c r="R439" s="115" t="str" cm="1">
        <f t="array" aca="1" ref="R439" ca="1">TRIM(SUBSTITUTE(_xlfn.ARRAYTOTEXT(IFERROR(CONCATENATE(SUMIF(INDIRECT("'"&amp;Assemblies!$B$2:$B$152&amp;"'!"&amp;"C$5:C1000"), $A439, INDIRECT("'"&amp;Assemblies!$B$2:$B$152&amp;"'!"&amp;"O$5:O1000")), "x",Assemblies!$B$2:$B$152,".",IF(SUMIF(INDIRECT("'"&amp;Assemblies!$B$2:$B$152&amp;"'!"&amp;"C$5:C1000"), $A439, INDIRECT("'"&amp;Assemblies!$B$2:$B$152&amp;"'!"&amp;"A$5:A1000"))=0,NA(),SUMIF(INDIRECT("'"&amp;Assemblies!$B$2:$B$152&amp;"'!"&amp;"C$5:C1000"), $A439, INDIRECT("'"&amp;Assemblies!$B$2:$B$152&amp;"'!"&amp;"A$5:A1000")))),"")), " ,", ""))</f>
        <v>,</v>
      </c>
      <c r="S439" s="56" t="s">
        <v>1382</v>
      </c>
      <c r="T439" s="2" t="s">
        <v>1382</v>
      </c>
      <c r="U439" s="2" t="s">
        <v>1382</v>
      </c>
      <c r="V439" s="2" t="s">
        <v>1382</v>
      </c>
    </row>
    <row r="440" spans="1:22" hidden="1">
      <c r="A440" s="133">
        <v>3212120</v>
      </c>
      <c r="B440" s="2" t="s">
        <v>3158</v>
      </c>
      <c r="C440" s="168"/>
      <c r="D440" s="5">
        <v>1</v>
      </c>
      <c r="E440" s="5" t="e" cm="1">
        <f t="array" aca="1" ref="E440" ca="1">SUMPRODUCT(SUMIF(INDIRECT("'"&amp;Assemblies[Assy]&amp;"'!"&amp;"C:C"),$A440,(INDIRECT("'"&amp;Assemblies[Assy]&amp;"'!"&amp;"O:O"))))</f>
        <v>#VALUE!</v>
      </c>
      <c r="F440" s="5" t="e">
        <f t="shared" ca="1" si="6"/>
        <v>#VALUE!</v>
      </c>
      <c r="G440" s="5"/>
      <c r="I440" s="117" t="s">
        <v>3138</v>
      </c>
      <c r="J440" s="117" t="s">
        <v>2635</v>
      </c>
      <c r="R440" s="115" t="str" cm="1">
        <f t="array" aca="1" ref="R440" ca="1">TRIM(SUBSTITUTE(_xlfn.ARRAYTOTEXT(IFERROR(CONCATENATE(SUMIF(INDIRECT("'"&amp;Assemblies!$B$2:$B$152&amp;"'!"&amp;"C$5:C1000"), $A440, INDIRECT("'"&amp;Assemblies!$B$2:$B$152&amp;"'!"&amp;"O$5:O1000")), "x",Assemblies!$B$2:$B$152,".",IF(SUMIF(INDIRECT("'"&amp;Assemblies!$B$2:$B$152&amp;"'!"&amp;"C$5:C1000"), $A440, INDIRECT("'"&amp;Assemblies!$B$2:$B$152&amp;"'!"&amp;"A$5:A1000"))=0,NA(),SUMIF(INDIRECT("'"&amp;Assemblies!$B$2:$B$152&amp;"'!"&amp;"C$5:C1000"), $A440, INDIRECT("'"&amp;Assemblies!$B$2:$B$152&amp;"'!"&amp;"A$5:A1000")))),"")), " ,", ""))</f>
        <v>,</v>
      </c>
      <c r="S440" s="56" t="s">
        <v>1382</v>
      </c>
      <c r="T440" s="2" t="s">
        <v>1382</v>
      </c>
      <c r="U440" s="2" t="s">
        <v>1382</v>
      </c>
      <c r="V440" s="2" t="s">
        <v>1382</v>
      </c>
    </row>
    <row r="441" spans="1:22" hidden="1">
      <c r="A441" s="133">
        <v>3213014</v>
      </c>
      <c r="B441" s="2" t="s">
        <v>3159</v>
      </c>
      <c r="C441" s="168"/>
      <c r="D441" s="5">
        <v>1</v>
      </c>
      <c r="E441" s="5" t="e" cm="1">
        <f t="array" aca="1" ref="E441" ca="1">SUMPRODUCT(SUMIF(INDIRECT("'"&amp;Assemblies[Assy]&amp;"'!"&amp;"C:C"),$A441,(INDIRECT("'"&amp;Assemblies[Assy]&amp;"'!"&amp;"O:O"))))</f>
        <v>#VALUE!</v>
      </c>
      <c r="F441" s="5" t="e">
        <f t="shared" ca="1" si="6"/>
        <v>#VALUE!</v>
      </c>
      <c r="G441" s="5"/>
      <c r="I441" s="117" t="s">
        <v>3138</v>
      </c>
      <c r="J441" s="117" t="s">
        <v>2635</v>
      </c>
      <c r="R441" s="115" t="str" cm="1">
        <f t="array" aca="1" ref="R441" ca="1">TRIM(SUBSTITUTE(_xlfn.ARRAYTOTEXT(IFERROR(CONCATENATE(SUMIF(INDIRECT("'"&amp;Assemblies!$B$2:$B$152&amp;"'!"&amp;"C$5:C1000"), $A441, INDIRECT("'"&amp;Assemblies!$B$2:$B$152&amp;"'!"&amp;"O$5:O1000")), "x",Assemblies!$B$2:$B$152,".",IF(SUMIF(INDIRECT("'"&amp;Assemblies!$B$2:$B$152&amp;"'!"&amp;"C$5:C1000"), $A441, INDIRECT("'"&amp;Assemblies!$B$2:$B$152&amp;"'!"&amp;"A$5:A1000"))=0,NA(),SUMIF(INDIRECT("'"&amp;Assemblies!$B$2:$B$152&amp;"'!"&amp;"C$5:C1000"), $A441, INDIRECT("'"&amp;Assemblies!$B$2:$B$152&amp;"'!"&amp;"A$5:A1000")))),"")), " ,", ""))</f>
        <v>,</v>
      </c>
      <c r="S441" s="56" t="s">
        <v>1382</v>
      </c>
      <c r="T441" s="2" t="s">
        <v>1382</v>
      </c>
      <c r="U441" s="2" t="s">
        <v>1382</v>
      </c>
      <c r="V441" s="2" t="s">
        <v>1382</v>
      </c>
    </row>
    <row r="442" spans="1:22" hidden="1">
      <c r="A442" s="133">
        <v>3213027</v>
      </c>
      <c r="B442" s="2" t="s">
        <v>3160</v>
      </c>
      <c r="C442" s="168"/>
      <c r="D442" s="5">
        <v>1</v>
      </c>
      <c r="E442" s="5" t="e" cm="1">
        <f t="array" aca="1" ref="E442" ca="1">SUMPRODUCT(SUMIF(INDIRECT("'"&amp;Assemblies[Assy]&amp;"'!"&amp;"C:C"),$A442,(INDIRECT("'"&amp;Assemblies[Assy]&amp;"'!"&amp;"O:O"))))</f>
        <v>#VALUE!</v>
      </c>
      <c r="F442" s="5" t="e">
        <f t="shared" ca="1" si="6"/>
        <v>#VALUE!</v>
      </c>
      <c r="G442" s="5"/>
      <c r="I442" s="117" t="s">
        <v>3138</v>
      </c>
      <c r="J442" s="117" t="s">
        <v>2635</v>
      </c>
      <c r="R442" s="115" t="str" cm="1">
        <f t="array" aca="1" ref="R442" ca="1">TRIM(SUBSTITUTE(_xlfn.ARRAYTOTEXT(IFERROR(CONCATENATE(SUMIF(INDIRECT("'"&amp;Assemblies!$B$2:$B$152&amp;"'!"&amp;"C$5:C1000"), $A442, INDIRECT("'"&amp;Assemblies!$B$2:$B$152&amp;"'!"&amp;"O$5:O1000")), "x",Assemblies!$B$2:$B$152,".",IF(SUMIF(INDIRECT("'"&amp;Assemblies!$B$2:$B$152&amp;"'!"&amp;"C$5:C1000"), $A442, INDIRECT("'"&amp;Assemblies!$B$2:$B$152&amp;"'!"&amp;"A$5:A1000"))=0,NA(),SUMIF(INDIRECT("'"&amp;Assemblies!$B$2:$B$152&amp;"'!"&amp;"C$5:C1000"), $A442, INDIRECT("'"&amp;Assemblies!$B$2:$B$152&amp;"'!"&amp;"A$5:A1000")))),"")), " ,", ""))</f>
        <v>,</v>
      </c>
      <c r="S442" s="56" t="s">
        <v>1382</v>
      </c>
      <c r="T442" s="2" t="s">
        <v>1382</v>
      </c>
      <c r="U442" s="2" t="s">
        <v>1382</v>
      </c>
      <c r="V442" s="2" t="s">
        <v>1382</v>
      </c>
    </row>
    <row r="443" spans="1:22" hidden="1">
      <c r="A443" s="133">
        <v>3213726</v>
      </c>
      <c r="B443" s="2" t="s">
        <v>3161</v>
      </c>
      <c r="C443" s="168"/>
      <c r="D443" s="5">
        <v>1</v>
      </c>
      <c r="E443" s="5" t="e" cm="1">
        <f t="array" aca="1" ref="E443" ca="1">SUMPRODUCT(SUMIF(INDIRECT("'"&amp;Assemblies[Assy]&amp;"'!"&amp;"C:C"),$A443,(INDIRECT("'"&amp;Assemblies[Assy]&amp;"'!"&amp;"O:O"))))</f>
        <v>#VALUE!</v>
      </c>
      <c r="F443" s="5" t="e">
        <f t="shared" ca="1" si="6"/>
        <v>#VALUE!</v>
      </c>
      <c r="G443" s="5"/>
      <c r="I443" s="117" t="s">
        <v>3138</v>
      </c>
      <c r="J443" s="117" t="s">
        <v>2635</v>
      </c>
      <c r="R443" s="115" t="str" cm="1">
        <f t="array" aca="1" ref="R443" ca="1">TRIM(SUBSTITUTE(_xlfn.ARRAYTOTEXT(IFERROR(CONCATENATE(SUMIF(INDIRECT("'"&amp;Assemblies!$B$2:$B$152&amp;"'!"&amp;"C$5:C1000"), $A443, INDIRECT("'"&amp;Assemblies!$B$2:$B$152&amp;"'!"&amp;"O$5:O1000")), "x",Assemblies!$B$2:$B$152,".",IF(SUMIF(INDIRECT("'"&amp;Assemblies!$B$2:$B$152&amp;"'!"&amp;"C$5:C1000"), $A443, INDIRECT("'"&amp;Assemblies!$B$2:$B$152&amp;"'!"&amp;"A$5:A1000"))=0,NA(),SUMIF(INDIRECT("'"&amp;Assemblies!$B$2:$B$152&amp;"'!"&amp;"C$5:C1000"), $A443, INDIRECT("'"&amp;Assemblies!$B$2:$B$152&amp;"'!"&amp;"A$5:A1000")))),"")), " ,", ""))</f>
        <v>,</v>
      </c>
      <c r="S443" s="56" t="s">
        <v>1382</v>
      </c>
      <c r="T443" s="2" t="s">
        <v>1382</v>
      </c>
      <c r="U443" s="2" t="s">
        <v>1382</v>
      </c>
      <c r="V443" s="2" t="s">
        <v>1382</v>
      </c>
    </row>
    <row r="444" spans="1:22" hidden="1">
      <c r="A444" s="133">
        <v>3270145</v>
      </c>
      <c r="B444" s="2" t="s">
        <v>3162</v>
      </c>
      <c r="C444" s="168"/>
      <c r="D444" s="5">
        <v>1</v>
      </c>
      <c r="E444" s="5" t="e" cm="1">
        <f t="array" aca="1" ref="E444" ca="1">SUMPRODUCT(SUMIF(INDIRECT("'"&amp;Assemblies[Assy]&amp;"'!"&amp;"C:C"),$A444,(INDIRECT("'"&amp;Assemblies[Assy]&amp;"'!"&amp;"O:O"))))</f>
        <v>#VALUE!</v>
      </c>
      <c r="F444" s="5" t="e">
        <f t="shared" ca="1" si="6"/>
        <v>#VALUE!</v>
      </c>
      <c r="G444" s="5"/>
      <c r="I444" s="117" t="s">
        <v>3138</v>
      </c>
      <c r="J444" s="117" t="s">
        <v>2635</v>
      </c>
      <c r="R444" s="115" t="str" cm="1">
        <f t="array" aca="1" ref="R444" ca="1">TRIM(SUBSTITUTE(_xlfn.ARRAYTOTEXT(IFERROR(CONCATENATE(SUMIF(INDIRECT("'"&amp;Assemblies!$B$2:$B$152&amp;"'!"&amp;"C$5:C1000"), $A444, INDIRECT("'"&amp;Assemblies!$B$2:$B$152&amp;"'!"&amp;"O$5:O1000")), "x",Assemblies!$B$2:$B$152,".",IF(SUMIF(INDIRECT("'"&amp;Assemblies!$B$2:$B$152&amp;"'!"&amp;"C$5:C1000"), $A444, INDIRECT("'"&amp;Assemblies!$B$2:$B$152&amp;"'!"&amp;"A$5:A1000"))=0,NA(),SUMIF(INDIRECT("'"&amp;Assemblies!$B$2:$B$152&amp;"'!"&amp;"C$5:C1000"), $A444, INDIRECT("'"&amp;Assemblies!$B$2:$B$152&amp;"'!"&amp;"A$5:A1000")))),"")), " ,", ""))</f>
        <v>,</v>
      </c>
      <c r="S444" s="56" t="s">
        <v>1382</v>
      </c>
      <c r="T444" s="2" t="s">
        <v>1382</v>
      </c>
      <c r="U444" s="2" t="s">
        <v>1382</v>
      </c>
      <c r="V444" s="2" t="s">
        <v>1382</v>
      </c>
    </row>
    <row r="445" spans="1:22" hidden="1">
      <c r="A445" s="133">
        <v>3270154</v>
      </c>
      <c r="B445" s="2" t="s">
        <v>3163</v>
      </c>
      <c r="C445" s="168"/>
      <c r="D445" s="5">
        <v>1</v>
      </c>
      <c r="E445" s="5" t="e" cm="1">
        <f t="array" aca="1" ref="E445" ca="1">SUMPRODUCT(SUMIF(INDIRECT("'"&amp;Assemblies[Assy]&amp;"'!"&amp;"C:C"),$A445,(INDIRECT("'"&amp;Assemblies[Assy]&amp;"'!"&amp;"O:O"))))</f>
        <v>#VALUE!</v>
      </c>
      <c r="F445" s="5" t="e">
        <f t="shared" ca="1" si="6"/>
        <v>#VALUE!</v>
      </c>
      <c r="G445" s="5"/>
      <c r="I445" s="117" t="s">
        <v>3138</v>
      </c>
      <c r="J445" s="117" t="s">
        <v>2635</v>
      </c>
      <c r="R445" s="115" t="str" cm="1">
        <f t="array" aca="1" ref="R445" ca="1">TRIM(SUBSTITUTE(_xlfn.ARRAYTOTEXT(IFERROR(CONCATENATE(SUMIF(INDIRECT("'"&amp;Assemblies!$B$2:$B$152&amp;"'!"&amp;"C$5:C1000"), $A445, INDIRECT("'"&amp;Assemblies!$B$2:$B$152&amp;"'!"&amp;"O$5:O1000")), "x",Assemblies!$B$2:$B$152,".",IF(SUMIF(INDIRECT("'"&amp;Assemblies!$B$2:$B$152&amp;"'!"&amp;"C$5:C1000"), $A445, INDIRECT("'"&amp;Assemblies!$B$2:$B$152&amp;"'!"&amp;"A$5:A1000"))=0,NA(),SUMIF(INDIRECT("'"&amp;Assemblies!$B$2:$B$152&amp;"'!"&amp;"C$5:C1000"), $A445, INDIRECT("'"&amp;Assemblies!$B$2:$B$152&amp;"'!"&amp;"A$5:A1000")))),"")), " ,", ""))</f>
        <v>,</v>
      </c>
      <c r="S445" s="56" t="s">
        <v>1382</v>
      </c>
      <c r="T445" s="2" t="s">
        <v>1382</v>
      </c>
      <c r="U445" s="2" t="s">
        <v>1382</v>
      </c>
      <c r="V445" s="2" t="s">
        <v>1382</v>
      </c>
    </row>
    <row r="446" spans="1:22">
      <c r="A446" s="133" t="s">
        <v>517</v>
      </c>
      <c r="B446" s="2" t="s">
        <v>3164</v>
      </c>
      <c r="C446" s="168">
        <v>38</v>
      </c>
      <c r="D446" s="5">
        <v>1</v>
      </c>
      <c r="E446" s="5" t="e" cm="1">
        <f t="array" aca="1" ref="E446" ca="1">SUMPRODUCT(SUMIF(INDIRECT("'"&amp;Assemblies[Assy]&amp;"'!"&amp;"C:C"),$A446,(INDIRECT("'"&amp;Assemblies[Assy]&amp;"'!"&amp;"O:O"))))</f>
        <v>#VALUE!</v>
      </c>
      <c r="F446" s="5" t="e">
        <f t="shared" ca="1" si="6"/>
        <v>#VALUE!</v>
      </c>
      <c r="G446" s="5">
        <v>7</v>
      </c>
      <c r="H446" s="2">
        <v>7</v>
      </c>
      <c r="I446" s="117" t="s">
        <v>3165</v>
      </c>
      <c r="J446" s="117" t="s">
        <v>3165</v>
      </c>
      <c r="K446" s="135" t="s">
        <v>1382</v>
      </c>
      <c r="L446" s="2" t="s">
        <v>1382</v>
      </c>
      <c r="M446" s="8">
        <v>45169</v>
      </c>
      <c r="N446" s="8">
        <v>45176</v>
      </c>
      <c r="O446" s="8">
        <v>45191</v>
      </c>
      <c r="P446" s="8">
        <v>45191</v>
      </c>
      <c r="Q446" s="229">
        <v>55123</v>
      </c>
      <c r="R446" s="115" t="str" cm="1">
        <f t="array" aca="1" ref="R446" ca="1">TRIM(SUBSTITUTE(_xlfn.ARRAYTOTEXT(IFERROR(CONCATENATE(SUMIF(INDIRECT("'"&amp;Assemblies[Assy]&amp;"'!"&amp;"C$5:C1000"), $A446, INDIRECT("'"&amp;Assemblies[Assy]&amp;"'!"&amp;"O$5:O1000")), "x",Assemblies[Assy],".",IF(SUMIF(INDIRECT("'"&amp;Assemblies[Assy]&amp;"'!"&amp;"C$5:C1000"), $A446, INDIRECT("'"&amp;Assemblies[Assy]&amp;"'!"&amp;"A$5:A1000"))=0,NA(),SUMIF(INDIRECT("'"&amp;Assemblies[Assy]&amp;"'!"&amp;"C$5:C1000"), $A446, INDIRECT("'"&amp;Assemblies[Assy]&amp;"'!"&amp;"A$5:A1000")))),"")), " ,", ""))</f>
        <v>,</v>
      </c>
      <c r="S446" s="56" t="s">
        <v>1382</v>
      </c>
      <c r="T446" s="2" t="s">
        <v>1382</v>
      </c>
      <c r="U446" s="2" t="s">
        <v>1382</v>
      </c>
      <c r="V446" s="2" t="s">
        <v>1382</v>
      </c>
    </row>
    <row r="447" spans="1:22">
      <c r="A447" s="133" t="s">
        <v>520</v>
      </c>
      <c r="B447" s="2" t="s">
        <v>3166</v>
      </c>
      <c r="C447" s="168">
        <v>24</v>
      </c>
      <c r="D447" s="5">
        <v>1</v>
      </c>
      <c r="E447" s="5" t="e" cm="1">
        <f t="array" aca="1" ref="E447" ca="1">SUMPRODUCT(SUMIF(INDIRECT("'"&amp;Assemblies[Assy]&amp;"'!"&amp;"C:C"),$A447,(INDIRECT("'"&amp;Assemblies[Assy]&amp;"'!"&amp;"O:O"))))</f>
        <v>#VALUE!</v>
      </c>
      <c r="F447" s="5" t="e">
        <f t="shared" ca="1" si="6"/>
        <v>#VALUE!</v>
      </c>
      <c r="G447" s="5">
        <v>3</v>
      </c>
      <c r="H447" s="2">
        <v>3</v>
      </c>
      <c r="I447" s="117" t="s">
        <v>3165</v>
      </c>
      <c r="J447" s="117" t="s">
        <v>3165</v>
      </c>
      <c r="K447" s="135" t="s">
        <v>1382</v>
      </c>
      <c r="L447" s="2" t="s">
        <v>1382</v>
      </c>
      <c r="M447" s="8">
        <v>45169</v>
      </c>
      <c r="N447" s="8">
        <v>45176</v>
      </c>
      <c r="O447" s="8">
        <v>45191</v>
      </c>
      <c r="P447" s="8">
        <v>45191</v>
      </c>
      <c r="Q447" s="229">
        <v>55123</v>
      </c>
      <c r="R447" s="115" t="str" cm="1">
        <f t="array" aca="1" ref="R447" ca="1">TRIM(SUBSTITUTE(_xlfn.ARRAYTOTEXT(IFERROR(CONCATENATE(SUMIF(INDIRECT("'"&amp;Assemblies[Assy]&amp;"'!"&amp;"C$5:C1000"), $A447, INDIRECT("'"&amp;Assemblies[Assy]&amp;"'!"&amp;"O$5:O1000")), "x",Assemblies[Assy],".",IF(SUMIF(INDIRECT("'"&amp;Assemblies[Assy]&amp;"'!"&amp;"C$5:C1000"), $A447, INDIRECT("'"&amp;Assemblies[Assy]&amp;"'!"&amp;"A$5:A1000"))=0,NA(),SUMIF(INDIRECT("'"&amp;Assemblies[Assy]&amp;"'!"&amp;"C$5:C1000"), $A447, INDIRECT("'"&amp;Assemblies[Assy]&amp;"'!"&amp;"A$5:A1000")))),"")), " ,", ""))</f>
        <v>,</v>
      </c>
      <c r="S447" s="56" t="s">
        <v>1382</v>
      </c>
      <c r="T447" s="2" t="s">
        <v>1382</v>
      </c>
      <c r="U447" s="2" t="s">
        <v>1382</v>
      </c>
      <c r="V447" s="2" t="s">
        <v>1382</v>
      </c>
    </row>
    <row r="448" spans="1:22">
      <c r="A448" s="133" t="s">
        <v>519</v>
      </c>
      <c r="B448" s="2" t="s">
        <v>3167</v>
      </c>
      <c r="C448" s="168">
        <v>29</v>
      </c>
      <c r="D448" s="5">
        <v>1</v>
      </c>
      <c r="E448" s="5" t="e" cm="1">
        <f t="array" aca="1" ref="E448" ca="1">SUMPRODUCT(SUMIF(INDIRECT("'"&amp;Assemblies[Assy]&amp;"'!"&amp;"C:C"),$A448,(INDIRECT("'"&amp;Assemblies[Assy]&amp;"'!"&amp;"O:O"))))</f>
        <v>#VALUE!</v>
      </c>
      <c r="F448" s="5" t="e">
        <f t="shared" ca="1" si="6"/>
        <v>#VALUE!</v>
      </c>
      <c r="G448" s="5">
        <v>20</v>
      </c>
      <c r="H448" s="2">
        <v>20</v>
      </c>
      <c r="I448" s="117" t="s">
        <v>3165</v>
      </c>
      <c r="J448" s="117" t="s">
        <v>3165</v>
      </c>
      <c r="K448" s="135" t="s">
        <v>1382</v>
      </c>
      <c r="L448" s="2" t="s">
        <v>1382</v>
      </c>
      <c r="M448" s="8">
        <v>45169</v>
      </c>
      <c r="N448" s="8">
        <v>45176</v>
      </c>
      <c r="O448" s="8">
        <v>45191</v>
      </c>
      <c r="P448" s="8">
        <v>45191</v>
      </c>
      <c r="Q448" s="229">
        <v>55123</v>
      </c>
      <c r="R448" s="115" t="str" cm="1">
        <f t="array" aca="1" ref="R448" ca="1">TRIM(SUBSTITUTE(_xlfn.ARRAYTOTEXT(IFERROR(CONCATENATE(SUMIF(INDIRECT("'"&amp;Assemblies[Assy]&amp;"'!"&amp;"C$5:C1000"), $A448, INDIRECT("'"&amp;Assemblies[Assy]&amp;"'!"&amp;"O$5:O1000")), "x",Assemblies[Assy],".",IF(SUMIF(INDIRECT("'"&amp;Assemblies[Assy]&amp;"'!"&amp;"C$5:C1000"), $A448, INDIRECT("'"&amp;Assemblies[Assy]&amp;"'!"&amp;"A$5:A1000"))=0,NA(),SUMIF(INDIRECT("'"&amp;Assemblies[Assy]&amp;"'!"&amp;"C$5:C1000"), $A448, INDIRECT("'"&amp;Assemblies[Assy]&amp;"'!"&amp;"A$5:A1000")))),"")), " ,", ""))</f>
        <v>,</v>
      </c>
      <c r="S448" s="56" t="s">
        <v>1382</v>
      </c>
      <c r="T448" s="2" t="s">
        <v>1382</v>
      </c>
      <c r="U448" s="2" t="s">
        <v>1382</v>
      </c>
      <c r="V448" s="2" t="s">
        <v>1382</v>
      </c>
    </row>
    <row r="449" spans="1:22">
      <c r="A449" s="133" t="s">
        <v>523</v>
      </c>
      <c r="B449" s="2" t="s">
        <v>3168</v>
      </c>
      <c r="C449" s="168">
        <v>4</v>
      </c>
      <c r="D449" s="5">
        <v>1</v>
      </c>
      <c r="E449" s="5" t="e" cm="1">
        <f t="array" aca="1" ref="E449" ca="1">SUMPRODUCT(SUMIF(INDIRECT("'"&amp;Assemblies[Assy]&amp;"'!"&amp;"C:C"),$A449,(INDIRECT("'"&amp;Assemblies[Assy]&amp;"'!"&amp;"O:O"))))</f>
        <v>#VALUE!</v>
      </c>
      <c r="F449" s="5" t="e">
        <f t="shared" ca="1" si="6"/>
        <v>#VALUE!</v>
      </c>
      <c r="G449" s="5">
        <v>10</v>
      </c>
      <c r="H449" s="2">
        <v>10</v>
      </c>
      <c r="I449" s="117" t="s">
        <v>3165</v>
      </c>
      <c r="J449" s="117" t="s">
        <v>3165</v>
      </c>
      <c r="K449" s="135" t="s">
        <v>1382</v>
      </c>
      <c r="L449" s="2" t="s">
        <v>1382</v>
      </c>
      <c r="M449" s="8">
        <v>45169</v>
      </c>
      <c r="N449" s="8">
        <v>45176</v>
      </c>
      <c r="O449" s="8">
        <v>45191</v>
      </c>
      <c r="P449" s="8">
        <v>45191</v>
      </c>
      <c r="Q449" s="229" t="s">
        <v>3169</v>
      </c>
      <c r="R449" s="115" t="str" cm="1">
        <f t="array" aca="1" ref="R449" ca="1">TRIM(SUBSTITUTE(_xlfn.ARRAYTOTEXT(IFERROR(CONCATENATE(SUMIF(INDIRECT("'"&amp;Assemblies[Assy]&amp;"'!"&amp;"C$5:C1000"), $A449, INDIRECT("'"&amp;Assemblies[Assy]&amp;"'!"&amp;"O$5:O1000")), "x",Assemblies[Assy],".",IF(SUMIF(INDIRECT("'"&amp;Assemblies[Assy]&amp;"'!"&amp;"C$5:C1000"), $A449, INDIRECT("'"&amp;Assemblies[Assy]&amp;"'!"&amp;"A$5:A1000"))=0,NA(),SUMIF(INDIRECT("'"&amp;Assemblies[Assy]&amp;"'!"&amp;"C$5:C1000"), $A449, INDIRECT("'"&amp;Assemblies[Assy]&amp;"'!"&amp;"A$5:A1000")))),"")), " ,", ""))</f>
        <v>,</v>
      </c>
      <c r="S449" s="56" t="s">
        <v>1382</v>
      </c>
      <c r="T449" s="2" t="s">
        <v>1382</v>
      </c>
      <c r="U449" s="2" t="s">
        <v>1382</v>
      </c>
      <c r="V449" s="2" t="s">
        <v>1382</v>
      </c>
    </row>
    <row r="450" spans="1:22">
      <c r="A450" s="133" t="s">
        <v>524</v>
      </c>
      <c r="B450" s="2" t="s">
        <v>3170</v>
      </c>
      <c r="C450" s="168">
        <v>26</v>
      </c>
      <c r="D450" s="5">
        <v>1</v>
      </c>
      <c r="E450" s="5" t="e" cm="1">
        <f t="array" aca="1" ref="E450" ca="1">SUMPRODUCT(SUMIF(INDIRECT("'"&amp;Assemblies[Assy]&amp;"'!"&amp;"C:C"),$A450,(INDIRECT("'"&amp;Assemblies[Assy]&amp;"'!"&amp;"O:O"))))</f>
        <v>#VALUE!</v>
      </c>
      <c r="F450" s="5" t="e">
        <f t="shared" ref="F450:F513" ca="1" si="7">E450/D450</f>
        <v>#VALUE!</v>
      </c>
      <c r="G450" s="5">
        <v>2</v>
      </c>
      <c r="H450" s="2">
        <v>2</v>
      </c>
      <c r="I450" s="117" t="s">
        <v>3165</v>
      </c>
      <c r="J450" s="117" t="s">
        <v>3165</v>
      </c>
      <c r="K450" s="135" t="s">
        <v>1382</v>
      </c>
      <c r="L450" s="2" t="s">
        <v>1382</v>
      </c>
      <c r="M450" s="8">
        <v>45169</v>
      </c>
      <c r="N450" s="8">
        <v>45176</v>
      </c>
      <c r="O450" s="8">
        <v>45191</v>
      </c>
      <c r="P450" s="8">
        <v>45191</v>
      </c>
      <c r="Q450" s="229">
        <v>55123</v>
      </c>
      <c r="R450" s="115" t="str" cm="1">
        <f t="array" aca="1" ref="R450" ca="1">TRIM(SUBSTITUTE(_xlfn.ARRAYTOTEXT(IFERROR(CONCATENATE(SUMIF(INDIRECT("'"&amp;Assemblies[Assy]&amp;"'!"&amp;"C$5:C1000"), $A450, INDIRECT("'"&amp;Assemblies[Assy]&amp;"'!"&amp;"O$5:O1000")), "x",Assemblies[Assy],".",IF(SUMIF(INDIRECT("'"&amp;Assemblies[Assy]&amp;"'!"&amp;"C$5:C1000"), $A450, INDIRECT("'"&amp;Assemblies[Assy]&amp;"'!"&amp;"A$5:A1000"))=0,NA(),SUMIF(INDIRECT("'"&amp;Assemblies[Assy]&amp;"'!"&amp;"C$5:C1000"), $A450, INDIRECT("'"&amp;Assemblies[Assy]&amp;"'!"&amp;"A$5:A1000")))),"")), " ,", ""))</f>
        <v>,</v>
      </c>
      <c r="S450" s="56" t="s">
        <v>1382</v>
      </c>
      <c r="T450" s="2" t="s">
        <v>1382</v>
      </c>
      <c r="U450" s="2" t="s">
        <v>1382</v>
      </c>
      <c r="V450" s="2" t="s">
        <v>1382</v>
      </c>
    </row>
    <row r="451" spans="1:22">
      <c r="A451" s="133" t="s">
        <v>516</v>
      </c>
      <c r="B451" s="2" t="s">
        <v>3171</v>
      </c>
      <c r="C451" s="168">
        <v>56</v>
      </c>
      <c r="D451" s="5">
        <v>1</v>
      </c>
      <c r="E451" s="5" t="e" cm="1">
        <f t="array" aca="1" ref="E451" ca="1">SUMPRODUCT(SUMIF(INDIRECT("'"&amp;Assemblies[Assy]&amp;"'!"&amp;"C:C"),$A451,(INDIRECT("'"&amp;Assemblies[Assy]&amp;"'!"&amp;"O:O"))))</f>
        <v>#VALUE!</v>
      </c>
      <c r="F451" s="5" t="e">
        <f t="shared" ca="1" si="7"/>
        <v>#VALUE!</v>
      </c>
      <c r="G451" s="5">
        <v>2</v>
      </c>
      <c r="H451" s="2">
        <v>2</v>
      </c>
      <c r="I451" s="117" t="s">
        <v>3165</v>
      </c>
      <c r="J451" s="117" t="s">
        <v>3165</v>
      </c>
      <c r="K451" s="135" t="s">
        <v>1382</v>
      </c>
      <c r="L451" s="2" t="s">
        <v>1382</v>
      </c>
      <c r="M451" s="8">
        <v>45169</v>
      </c>
      <c r="N451" s="8">
        <v>45176</v>
      </c>
      <c r="O451" s="8">
        <v>45191</v>
      </c>
      <c r="P451" s="8">
        <v>45191</v>
      </c>
      <c r="Q451" s="229">
        <v>55123</v>
      </c>
      <c r="R451" s="115" t="str" cm="1">
        <f t="array" aca="1" ref="R451" ca="1">TRIM(SUBSTITUTE(_xlfn.ARRAYTOTEXT(IFERROR(CONCATENATE(SUMIF(INDIRECT("'"&amp;Assemblies[Assy]&amp;"'!"&amp;"C$5:C1000"), $A451, INDIRECT("'"&amp;Assemblies[Assy]&amp;"'!"&amp;"O$5:O1000")), "x",Assemblies[Assy],".",IF(SUMIF(INDIRECT("'"&amp;Assemblies[Assy]&amp;"'!"&amp;"C$5:C1000"), $A451, INDIRECT("'"&amp;Assemblies[Assy]&amp;"'!"&amp;"A$5:A1000"))=0,NA(),SUMIF(INDIRECT("'"&amp;Assemblies[Assy]&amp;"'!"&amp;"C$5:C1000"), $A451, INDIRECT("'"&amp;Assemblies[Assy]&amp;"'!"&amp;"A$5:A1000")))),"")), " ,", ""))</f>
        <v>,</v>
      </c>
      <c r="S451" s="56" t="s">
        <v>1382</v>
      </c>
      <c r="T451" s="2" t="s">
        <v>1382</v>
      </c>
      <c r="U451" s="2" t="s">
        <v>1382</v>
      </c>
      <c r="V451" s="2" t="s">
        <v>1382</v>
      </c>
    </row>
    <row r="452" spans="1:22">
      <c r="A452" s="133" t="s">
        <v>527</v>
      </c>
      <c r="B452" s="22" t="s">
        <v>3172</v>
      </c>
      <c r="C452" s="168">
        <v>36</v>
      </c>
      <c r="D452" s="5">
        <v>1</v>
      </c>
      <c r="E452" s="5" t="e" cm="1">
        <f t="array" aca="1" ref="E452" ca="1">SUMPRODUCT(SUMIF(INDIRECT("'"&amp;Assemblies[Assy]&amp;"'!"&amp;"C:C"),$A452,(INDIRECT("'"&amp;Assemblies[Assy]&amp;"'!"&amp;"O:O"))))</f>
        <v>#VALUE!</v>
      </c>
      <c r="F452" s="5" t="e">
        <f t="shared" ca="1" si="7"/>
        <v>#VALUE!</v>
      </c>
      <c r="G452" s="5">
        <v>2</v>
      </c>
      <c r="H452" s="2">
        <v>2</v>
      </c>
      <c r="I452" s="117" t="s">
        <v>3165</v>
      </c>
      <c r="J452" s="117" t="s">
        <v>3165</v>
      </c>
      <c r="M452" s="8" t="s">
        <v>1762</v>
      </c>
      <c r="N452" s="8">
        <v>45230</v>
      </c>
      <c r="O452" s="8">
        <v>45230</v>
      </c>
      <c r="P452" s="8">
        <v>45230</v>
      </c>
      <c r="Q452" s="229">
        <v>55263</v>
      </c>
      <c r="R452" s="115" t="str" cm="1">
        <f t="array" aca="1" ref="R452" ca="1">TRIM(SUBSTITUTE(_xlfn.ARRAYTOTEXT(IFERROR(CONCATENATE(SUMIF(INDIRECT("'"&amp;Assemblies!$B$2:$B$152&amp;"'!"&amp;"C$5:C1000"), $A452, INDIRECT("'"&amp;Assemblies!$B$2:$B$152&amp;"'!"&amp;"O$5:O1000")), "x",Assemblies!$B$2:$B$152,".",IF(SUMIF(INDIRECT("'"&amp;Assemblies!$B$2:$B$152&amp;"'!"&amp;"C$5:C1000"), $A452, INDIRECT("'"&amp;Assemblies!$B$2:$B$152&amp;"'!"&amp;"A$5:A1000"))=0,NA(),SUMIF(INDIRECT("'"&amp;Assemblies!$B$2:$B$152&amp;"'!"&amp;"C$5:C1000"), $A452, INDIRECT("'"&amp;Assemblies!$B$2:$B$152&amp;"'!"&amp;"A$5:A1000")))),"")), " ,", ""))</f>
        <v>,</v>
      </c>
      <c r="S452" s="56" t="s">
        <v>1382</v>
      </c>
      <c r="T452" s="2" t="s">
        <v>1382</v>
      </c>
      <c r="U452" s="2" t="s">
        <v>1382</v>
      </c>
      <c r="V452" s="2" t="s">
        <v>1382</v>
      </c>
    </row>
    <row r="453" spans="1:22">
      <c r="A453" s="133" t="s">
        <v>518</v>
      </c>
      <c r="B453" s="2" t="s">
        <v>3173</v>
      </c>
      <c r="C453" s="168">
        <v>140</v>
      </c>
      <c r="D453" s="5">
        <v>1</v>
      </c>
      <c r="E453" s="5" t="e" cm="1">
        <f t="array" aca="1" ref="E453" ca="1">SUMPRODUCT(SUMIF(INDIRECT("'"&amp;Assemblies[Assy]&amp;"'!"&amp;"C:C"),$A453,(INDIRECT("'"&amp;Assemblies[Assy]&amp;"'!"&amp;"O:O"))))</f>
        <v>#VALUE!</v>
      </c>
      <c r="F453" s="5" t="e">
        <f t="shared" ca="1" si="7"/>
        <v>#VALUE!</v>
      </c>
      <c r="G453" s="5">
        <v>4</v>
      </c>
      <c r="H453" s="2">
        <v>4</v>
      </c>
      <c r="I453" s="117" t="s">
        <v>3165</v>
      </c>
      <c r="J453" s="117" t="s">
        <v>3165</v>
      </c>
      <c r="K453" s="135" t="s">
        <v>1382</v>
      </c>
      <c r="L453" s="2" t="s">
        <v>3174</v>
      </c>
      <c r="M453" s="8">
        <v>45169</v>
      </c>
      <c r="N453" s="8">
        <v>45176</v>
      </c>
      <c r="O453" s="8">
        <v>45191</v>
      </c>
      <c r="P453" s="8">
        <v>45191</v>
      </c>
      <c r="Q453" s="229">
        <v>55123</v>
      </c>
      <c r="R453" s="115" t="str" cm="1">
        <f t="array" aca="1" ref="R453" ca="1">TRIM(SUBSTITUTE(_xlfn.ARRAYTOTEXT(IFERROR(CONCATENATE(SUMIF(INDIRECT("'"&amp;Assemblies[Assy]&amp;"'!"&amp;"C$5:C1000"), $A453, INDIRECT("'"&amp;Assemblies[Assy]&amp;"'!"&amp;"O$5:O1000")), "x",Assemblies[Assy],".",IF(SUMIF(INDIRECT("'"&amp;Assemblies[Assy]&amp;"'!"&amp;"C$5:C1000"), $A453, INDIRECT("'"&amp;Assemblies[Assy]&amp;"'!"&amp;"A$5:A1000"))=0,NA(),SUMIF(INDIRECT("'"&amp;Assemblies[Assy]&amp;"'!"&amp;"C$5:C1000"), $A453, INDIRECT("'"&amp;Assemblies[Assy]&amp;"'!"&amp;"A$5:A1000")))),"")), " ,", ""))</f>
        <v>,</v>
      </c>
    </row>
    <row r="454" spans="1:22">
      <c r="A454" s="133" t="s">
        <v>277</v>
      </c>
      <c r="B454" s="2" t="s">
        <v>3175</v>
      </c>
      <c r="C454" s="168">
        <v>6.79</v>
      </c>
      <c r="D454" s="5">
        <v>1</v>
      </c>
      <c r="E454" s="5" t="e" cm="1">
        <f t="array" aca="1" ref="E454" ca="1">SUMPRODUCT(SUMIF(INDIRECT("'"&amp;Assemblies[Assy]&amp;"'!"&amp;"C:C"),$A454,(INDIRECT("'"&amp;Assemblies[Assy]&amp;"'!"&amp;"O:O"))))</f>
        <v>#VALUE!</v>
      </c>
      <c r="F454" s="5" t="e">
        <f t="shared" ca="1" si="7"/>
        <v>#VALUE!</v>
      </c>
      <c r="G454" s="5">
        <v>100</v>
      </c>
      <c r="H454" s="2">
        <v>100</v>
      </c>
      <c r="I454" s="117" t="s">
        <v>3176</v>
      </c>
      <c r="J454" s="117" t="s">
        <v>3176</v>
      </c>
      <c r="K454" s="135" t="s">
        <v>1382</v>
      </c>
      <c r="L454" s="2" t="s">
        <v>3177</v>
      </c>
      <c r="M454" s="8" t="s">
        <v>1762</v>
      </c>
      <c r="N454" s="8">
        <v>45124</v>
      </c>
      <c r="O454" s="8">
        <v>45145</v>
      </c>
      <c r="P454" s="8">
        <v>45148</v>
      </c>
      <c r="Q454" s="229">
        <v>54997</v>
      </c>
      <c r="R454" s="115" t="str" cm="1">
        <f t="array" aca="1" ref="R454" ca="1">TRIM(SUBSTITUTE(_xlfn.ARRAYTOTEXT(IFERROR(CONCATENATE(SUMIF(INDIRECT("'"&amp;Assemblies[Assy]&amp;"'!"&amp;"C$5:C1000"), $A454, INDIRECT("'"&amp;Assemblies[Assy]&amp;"'!"&amp;"O$5:O1000")), "x",Assemblies[Assy],".",IF(SUMIF(INDIRECT("'"&amp;Assemblies[Assy]&amp;"'!"&amp;"C$5:C1000"), $A454, INDIRECT("'"&amp;Assemblies[Assy]&amp;"'!"&amp;"A$5:A1000"))=0,NA(),SUMIF(INDIRECT("'"&amp;Assemblies[Assy]&amp;"'!"&amp;"C$5:C1000"), $A454, INDIRECT("'"&amp;Assemblies[Assy]&amp;"'!"&amp;"A$5:A1000")))),"")), " ,", ""))</f>
        <v>,</v>
      </c>
      <c r="S454" s="56" t="s">
        <v>1382</v>
      </c>
      <c r="T454" s="2" t="s">
        <v>1382</v>
      </c>
      <c r="U454" s="2" t="s">
        <v>1382</v>
      </c>
      <c r="V454" s="2" t="s">
        <v>1382</v>
      </c>
    </row>
    <row r="455" spans="1:22" hidden="1">
      <c r="A455" s="133" t="s">
        <v>130</v>
      </c>
      <c r="B455" s="2" t="s">
        <v>3178</v>
      </c>
      <c r="C455" s="168"/>
      <c r="D455" s="5">
        <v>1</v>
      </c>
      <c r="E455" s="5" t="e" cm="1">
        <f t="array" aca="1" ref="E455" ca="1">SUMPRODUCT(SUMIF(INDIRECT("'"&amp;Assemblies[Assy]&amp;"'!"&amp;"C:C"),$A455,(INDIRECT("'"&amp;Assemblies[Assy]&amp;"'!"&amp;"O:O"))))</f>
        <v>#VALUE!</v>
      </c>
      <c r="F455" s="5" t="e">
        <f t="shared" ca="1" si="7"/>
        <v>#VALUE!</v>
      </c>
      <c r="G455" s="5"/>
      <c r="I455" s="117" t="s">
        <v>3179</v>
      </c>
      <c r="J455" s="117" t="s">
        <v>2635</v>
      </c>
      <c r="R455" s="115" t="str" cm="1">
        <f t="array" aca="1" ref="R455" ca="1">TRIM(SUBSTITUTE(_xlfn.ARRAYTOTEXT(IFERROR(CONCATENATE(SUMIF(INDIRECT("'"&amp;Assemblies!$B$2:$B$152&amp;"'!"&amp;"C$5:C1000"), $A455, INDIRECT("'"&amp;Assemblies!$B$2:$B$152&amp;"'!"&amp;"O$5:O1000")), "x",Assemblies!$B$2:$B$152,".",IF(SUMIF(INDIRECT("'"&amp;Assemblies!$B$2:$B$152&amp;"'!"&amp;"C$5:C1000"), $A455, INDIRECT("'"&amp;Assemblies!$B$2:$B$152&amp;"'!"&amp;"A$5:A1000"))=0,NA(),SUMIF(INDIRECT("'"&amp;Assemblies!$B$2:$B$152&amp;"'!"&amp;"C$5:C1000"), $A455, INDIRECT("'"&amp;Assemblies!$B$2:$B$152&amp;"'!"&amp;"A$5:A1000")))),"")), " ,", ""))</f>
        <v>,</v>
      </c>
      <c r="S455" s="56" t="s">
        <v>1382</v>
      </c>
      <c r="T455" s="2" t="s">
        <v>1382</v>
      </c>
      <c r="U455" s="2" t="s">
        <v>1382</v>
      </c>
      <c r="V455" s="2" t="s">
        <v>1382</v>
      </c>
    </row>
    <row r="456" spans="1:22">
      <c r="A456" s="133" t="s">
        <v>206</v>
      </c>
      <c r="B456" s="2" t="s">
        <v>3180</v>
      </c>
      <c r="C456" s="203">
        <v>367.49</v>
      </c>
      <c r="D456" s="5">
        <v>1</v>
      </c>
      <c r="E456" s="5" t="e" cm="1">
        <f t="array" aca="1" ref="E456" ca="1">SUMPRODUCT(SUMIF(INDIRECT("'"&amp;Assemblies[Assy]&amp;"'!"&amp;"C:C"),$A456,(INDIRECT("'"&amp;Assemblies[Assy]&amp;"'!"&amp;"O:O"))))</f>
        <v>#VALUE!</v>
      </c>
      <c r="F456" s="5" t="e">
        <f t="shared" ca="1" si="7"/>
        <v>#VALUE!</v>
      </c>
      <c r="G456" s="5">
        <v>1</v>
      </c>
      <c r="H456" s="2">
        <v>1</v>
      </c>
      <c r="I456" s="117" t="s">
        <v>3181</v>
      </c>
      <c r="J456" s="117" t="s">
        <v>3181</v>
      </c>
      <c r="K456" s="135" t="s">
        <v>1382</v>
      </c>
      <c r="L456" s="2" t="s">
        <v>1382</v>
      </c>
      <c r="M456" s="8" t="s">
        <v>1762</v>
      </c>
      <c r="N456" s="8">
        <v>45013</v>
      </c>
      <c r="O456" s="8">
        <v>45043</v>
      </c>
      <c r="P456" s="8">
        <v>45043</v>
      </c>
      <c r="Q456" s="229">
        <v>54824</v>
      </c>
      <c r="R456" s="115" t="str" cm="1">
        <f t="array" aca="1" ref="R456" ca="1">TRIM(SUBSTITUTE(_xlfn.ARRAYTOTEXT(IFERROR(CONCATENATE(SUMIF(INDIRECT("'"&amp;Assemblies[Assy]&amp;"'!"&amp;"C$5:C1000"), $A456, INDIRECT("'"&amp;Assemblies[Assy]&amp;"'!"&amp;"O$5:O1000")), "x",Assemblies[Assy],".",IF(SUMIF(INDIRECT("'"&amp;Assemblies[Assy]&amp;"'!"&amp;"C$5:C1000"), $A456, INDIRECT("'"&amp;Assemblies[Assy]&amp;"'!"&amp;"A$5:A1000"))=0,NA(),SUMIF(INDIRECT("'"&amp;Assemblies[Assy]&amp;"'!"&amp;"C$5:C1000"), $A456, INDIRECT("'"&amp;Assemblies[Assy]&amp;"'!"&amp;"A$5:A1000")))),"")), " ,", ""))</f>
        <v>,</v>
      </c>
      <c r="S456" s="56" t="s">
        <v>1382</v>
      </c>
      <c r="T456" s="2" t="s">
        <v>1382</v>
      </c>
      <c r="U456" s="2" t="s">
        <v>1382</v>
      </c>
      <c r="V456" s="2" t="s">
        <v>1382</v>
      </c>
    </row>
    <row r="457" spans="1:22">
      <c r="A457" s="133" t="s">
        <v>201</v>
      </c>
      <c r="B457" s="2" t="s">
        <v>3182</v>
      </c>
      <c r="C457" s="168">
        <v>369.55</v>
      </c>
      <c r="D457" s="5">
        <v>1</v>
      </c>
      <c r="E457" s="5" t="e" cm="1">
        <f t="array" aca="1" ref="E457" ca="1">SUMPRODUCT(SUMIF(INDIRECT("'"&amp;Assemblies[Assy]&amp;"'!"&amp;"C:C"),$A457,(INDIRECT("'"&amp;Assemblies[Assy]&amp;"'!"&amp;"O:O"))))</f>
        <v>#VALUE!</v>
      </c>
      <c r="F457" s="5" t="e">
        <f t="shared" ca="1" si="7"/>
        <v>#VALUE!</v>
      </c>
      <c r="G457" s="5">
        <v>2</v>
      </c>
      <c r="H457" s="2">
        <v>2</v>
      </c>
      <c r="I457" s="117" t="s">
        <v>3181</v>
      </c>
      <c r="J457" s="117" t="s">
        <v>3181</v>
      </c>
      <c r="K457" s="135" t="s">
        <v>1382</v>
      </c>
      <c r="L457" s="2" t="s">
        <v>1382</v>
      </c>
      <c r="M457" s="8" t="s">
        <v>1762</v>
      </c>
      <c r="N457" s="8">
        <v>45013</v>
      </c>
      <c r="O457" s="8">
        <v>45043</v>
      </c>
      <c r="P457" s="8">
        <v>45043</v>
      </c>
      <c r="Q457" s="229">
        <v>54830</v>
      </c>
      <c r="R457" s="115" t="str" cm="1">
        <f t="array" aca="1" ref="R457" ca="1">TRIM(SUBSTITUTE(_xlfn.ARRAYTOTEXT(IFERROR(CONCATENATE(SUMIF(INDIRECT("'"&amp;Assemblies[Assy]&amp;"'!"&amp;"C$5:C1000"), $A457, INDIRECT("'"&amp;Assemblies[Assy]&amp;"'!"&amp;"O$5:O1000")), "x",Assemblies[Assy],".",IF(SUMIF(INDIRECT("'"&amp;Assemblies[Assy]&amp;"'!"&amp;"C$5:C1000"), $A457, INDIRECT("'"&amp;Assemblies[Assy]&amp;"'!"&amp;"A$5:A1000"))=0,NA(),SUMIF(INDIRECT("'"&amp;Assemblies[Assy]&amp;"'!"&amp;"C$5:C1000"), $A457, INDIRECT("'"&amp;Assemblies[Assy]&amp;"'!"&amp;"A$5:A1000")))),"")), " ,", ""))</f>
        <v>,</v>
      </c>
    </row>
    <row r="458" spans="1:22">
      <c r="A458" s="133" t="s">
        <v>202</v>
      </c>
      <c r="B458" s="2" t="s">
        <v>3183</v>
      </c>
      <c r="C458" s="168">
        <v>46.6</v>
      </c>
      <c r="D458" s="5">
        <v>1</v>
      </c>
      <c r="E458" s="5" t="e" cm="1">
        <f t="array" aca="1" ref="E458" ca="1">SUMPRODUCT(SUMIF(INDIRECT("'"&amp;Assemblies[Assy]&amp;"'!"&amp;"C:C"),$A458,(INDIRECT("'"&amp;Assemblies[Assy]&amp;"'!"&amp;"O:O"))))</f>
        <v>#VALUE!</v>
      </c>
      <c r="F458" s="5" t="e">
        <f t="shared" ca="1" si="7"/>
        <v>#VALUE!</v>
      </c>
      <c r="G458" s="5">
        <v>2</v>
      </c>
      <c r="H458" s="2">
        <v>2</v>
      </c>
      <c r="I458" s="117" t="s">
        <v>3181</v>
      </c>
      <c r="J458" s="117" t="s">
        <v>3181</v>
      </c>
      <c r="K458" s="135" t="s">
        <v>1382</v>
      </c>
      <c r="L458" s="2" t="s">
        <v>1382</v>
      </c>
      <c r="M458" s="8" t="s">
        <v>1762</v>
      </c>
      <c r="N458" s="8">
        <v>45013</v>
      </c>
      <c r="O458" s="8">
        <v>45043</v>
      </c>
      <c r="P458" s="8">
        <v>45043</v>
      </c>
      <c r="Q458" s="229">
        <v>54831</v>
      </c>
      <c r="R458" s="115" t="str" cm="1">
        <f t="array" aca="1" ref="R458" ca="1">TRIM(SUBSTITUTE(_xlfn.ARRAYTOTEXT(IFERROR(CONCATENATE(SUMIF(INDIRECT("'"&amp;Assemblies[Assy]&amp;"'!"&amp;"C$5:C1000"), $A458, INDIRECT("'"&amp;Assemblies[Assy]&amp;"'!"&amp;"O$5:O1000")), "x",Assemblies[Assy],".",IF(SUMIF(INDIRECT("'"&amp;Assemblies[Assy]&amp;"'!"&amp;"C$5:C1000"), $A458, INDIRECT("'"&amp;Assemblies[Assy]&amp;"'!"&amp;"A$5:A1000"))=0,NA(),SUMIF(INDIRECT("'"&amp;Assemblies[Assy]&amp;"'!"&amp;"C$5:C1000"), $A458, INDIRECT("'"&amp;Assemblies[Assy]&amp;"'!"&amp;"A$5:A1000")))),"")), " ,", ""))</f>
        <v>,</v>
      </c>
    </row>
    <row r="459" spans="1:22">
      <c r="A459" s="133" t="s">
        <v>132</v>
      </c>
      <c r="B459" s="2" t="s">
        <v>3184</v>
      </c>
      <c r="C459" s="168">
        <v>438.17</v>
      </c>
      <c r="D459" s="5">
        <v>1</v>
      </c>
      <c r="E459" s="5" t="e" cm="1">
        <f t="array" aca="1" ref="E459" ca="1">SUMPRODUCT(SUMIF(INDIRECT("'"&amp;Assemblies[Assy]&amp;"'!"&amp;"C:C"),$A459,(INDIRECT("'"&amp;Assemblies[Assy]&amp;"'!"&amp;"O:O"))))</f>
        <v>#VALUE!</v>
      </c>
      <c r="F459" s="5" t="e">
        <f t="shared" ca="1" si="7"/>
        <v>#VALUE!</v>
      </c>
      <c r="G459" s="5">
        <v>1</v>
      </c>
      <c r="H459" s="2">
        <v>1</v>
      </c>
      <c r="I459" s="117" t="s">
        <v>3181</v>
      </c>
      <c r="J459" s="117" t="s">
        <v>3181</v>
      </c>
      <c r="K459" s="135" t="s">
        <v>1382</v>
      </c>
      <c r="L459" s="2" t="s">
        <v>1382</v>
      </c>
      <c r="M459" s="8" t="s">
        <v>1762</v>
      </c>
      <c r="N459" s="8">
        <v>45013</v>
      </c>
      <c r="O459" s="8">
        <v>45043</v>
      </c>
      <c r="P459" s="8">
        <v>45043</v>
      </c>
      <c r="Q459" s="229">
        <v>54826</v>
      </c>
      <c r="R459" s="115" t="str" cm="1">
        <f t="array" aca="1" ref="R459" ca="1">TRIM(SUBSTITUTE(_xlfn.ARRAYTOTEXT(IFERROR(CONCATENATE(SUMIF(INDIRECT("'"&amp;Assemblies[Assy]&amp;"'!"&amp;"C$5:C1000"), $A459, INDIRECT("'"&amp;Assemblies[Assy]&amp;"'!"&amp;"O$5:O1000")), "x",Assemblies[Assy],".",IF(SUMIF(INDIRECT("'"&amp;Assemblies[Assy]&amp;"'!"&amp;"C$5:C1000"), $A459, INDIRECT("'"&amp;Assemblies[Assy]&amp;"'!"&amp;"A$5:A1000"))=0,NA(),SUMIF(INDIRECT("'"&amp;Assemblies[Assy]&amp;"'!"&amp;"C$5:C1000"), $A459, INDIRECT("'"&amp;Assemblies[Assy]&amp;"'!"&amp;"A$5:A1000")))),"")), " ,", ""))</f>
        <v>,</v>
      </c>
    </row>
    <row r="460" spans="1:22">
      <c r="A460" s="133" t="s">
        <v>133</v>
      </c>
      <c r="B460" s="2" t="s">
        <v>3185</v>
      </c>
      <c r="C460" s="168">
        <v>55.46</v>
      </c>
      <c r="D460" s="5">
        <v>1</v>
      </c>
      <c r="E460" s="5" t="e" cm="1">
        <f t="array" aca="1" ref="E460" ca="1">SUMPRODUCT(SUMIF(INDIRECT("'"&amp;Assemblies[Assy]&amp;"'!"&amp;"C:C"),$A460,(INDIRECT("'"&amp;Assemblies[Assy]&amp;"'!"&amp;"O:O"))))</f>
        <v>#VALUE!</v>
      </c>
      <c r="F460" s="5" t="e">
        <f t="shared" ca="1" si="7"/>
        <v>#VALUE!</v>
      </c>
      <c r="G460" s="5">
        <v>1</v>
      </c>
      <c r="H460" s="2">
        <v>1</v>
      </c>
      <c r="I460" s="117" t="s">
        <v>3181</v>
      </c>
      <c r="J460" s="117" t="s">
        <v>3181</v>
      </c>
      <c r="K460" s="135" t="s">
        <v>1382</v>
      </c>
      <c r="L460" s="2" t="s">
        <v>1382</v>
      </c>
      <c r="M460" s="8" t="s">
        <v>1762</v>
      </c>
      <c r="N460" s="8">
        <v>45013</v>
      </c>
      <c r="O460" s="8">
        <v>45043</v>
      </c>
      <c r="P460" s="8">
        <v>45043</v>
      </c>
      <c r="Q460" s="229">
        <v>54827</v>
      </c>
      <c r="R460" s="115" t="str" cm="1">
        <f t="array" aca="1" ref="R460" ca="1">TRIM(SUBSTITUTE(_xlfn.ARRAYTOTEXT(IFERROR(CONCATENATE(SUMIF(INDIRECT("'"&amp;Assemblies[Assy]&amp;"'!"&amp;"C$5:C1000"), $A460, INDIRECT("'"&amp;Assemblies[Assy]&amp;"'!"&amp;"O$5:O1000")), "x",Assemblies[Assy],".",IF(SUMIF(INDIRECT("'"&amp;Assemblies[Assy]&amp;"'!"&amp;"C$5:C1000"), $A460, INDIRECT("'"&amp;Assemblies[Assy]&amp;"'!"&amp;"A$5:A1000"))=0,NA(),SUMIF(INDIRECT("'"&amp;Assemblies[Assy]&amp;"'!"&amp;"C$5:C1000"), $A460, INDIRECT("'"&amp;Assemblies[Assy]&amp;"'!"&amp;"A$5:A1000")))),"")), " ,", ""))</f>
        <v>,</v>
      </c>
    </row>
    <row r="461" spans="1:22">
      <c r="A461" s="133" t="s">
        <v>77</v>
      </c>
      <c r="B461" s="2" t="s">
        <v>3186</v>
      </c>
      <c r="C461" s="168">
        <v>318.33999999999997</v>
      </c>
      <c r="D461" s="5">
        <v>1</v>
      </c>
      <c r="E461" s="5" t="e" cm="1">
        <f t="array" aca="1" ref="E461" ca="1">SUMPRODUCT(SUMIF(INDIRECT("'"&amp;Assemblies[Assy]&amp;"'!"&amp;"C:C"),$A461,(INDIRECT("'"&amp;Assemblies[Assy]&amp;"'!"&amp;"O:O"))))</f>
        <v>#VALUE!</v>
      </c>
      <c r="F461" s="5" t="e">
        <f t="shared" ca="1" si="7"/>
        <v>#VALUE!</v>
      </c>
      <c r="G461" s="5">
        <v>1</v>
      </c>
      <c r="H461" s="2">
        <v>1</v>
      </c>
      <c r="I461" s="117" t="s">
        <v>3181</v>
      </c>
      <c r="J461" s="117" t="s">
        <v>3181</v>
      </c>
      <c r="K461" s="135" t="s">
        <v>1382</v>
      </c>
      <c r="L461" s="2" t="s">
        <v>1382</v>
      </c>
      <c r="M461" s="8" t="s">
        <v>1762</v>
      </c>
      <c r="N461" s="8">
        <v>45013</v>
      </c>
      <c r="O461" s="8">
        <v>45043</v>
      </c>
      <c r="P461" s="8">
        <v>45043</v>
      </c>
      <c r="Q461" s="229">
        <v>54825</v>
      </c>
      <c r="R461" s="115" t="str" cm="1">
        <f t="array" aca="1" ref="R461" ca="1">TRIM(SUBSTITUTE(_xlfn.ARRAYTOTEXT(IFERROR(CONCATENATE(SUMIF(INDIRECT("'"&amp;Assemblies[Assy]&amp;"'!"&amp;"C$5:C1000"), $A461, INDIRECT("'"&amp;Assemblies[Assy]&amp;"'!"&amp;"O$5:O1000")), "x",Assemblies[Assy],".",IF(SUMIF(INDIRECT("'"&amp;Assemblies[Assy]&amp;"'!"&amp;"C$5:C1000"), $A461, INDIRECT("'"&amp;Assemblies[Assy]&amp;"'!"&amp;"A$5:A1000"))=0,NA(),SUMIF(INDIRECT("'"&amp;Assemblies[Assy]&amp;"'!"&amp;"C$5:C1000"), $A461, INDIRECT("'"&amp;Assemblies[Assy]&amp;"'!"&amp;"A$5:A1000")))),"")), " ,", ""))</f>
        <v>,</v>
      </c>
    </row>
    <row r="462" spans="1:22">
      <c r="A462" s="133" t="s">
        <v>76</v>
      </c>
      <c r="B462" s="2" t="s">
        <v>3187</v>
      </c>
      <c r="C462" s="168">
        <v>2446.17</v>
      </c>
      <c r="D462" s="5">
        <v>1</v>
      </c>
      <c r="E462" s="5" t="e" cm="1">
        <f t="array" aca="1" ref="E462" ca="1">SUMPRODUCT(SUMIF(INDIRECT("'"&amp;Assemblies[Assy]&amp;"'!"&amp;"C:C"),$A462,(INDIRECT("'"&amp;Assemblies[Assy]&amp;"'!"&amp;"O:O"))))</f>
        <v>#VALUE!</v>
      </c>
      <c r="F462" s="5" t="e">
        <f t="shared" ca="1" si="7"/>
        <v>#VALUE!</v>
      </c>
      <c r="G462" s="5">
        <v>1</v>
      </c>
      <c r="H462" s="2">
        <v>1</v>
      </c>
      <c r="I462" s="117" t="s">
        <v>3181</v>
      </c>
      <c r="J462" s="117" t="s">
        <v>3181</v>
      </c>
      <c r="K462" s="135" t="s">
        <v>1382</v>
      </c>
      <c r="L462" s="2" t="s">
        <v>1382</v>
      </c>
      <c r="M462" s="8" t="s">
        <v>1762</v>
      </c>
      <c r="N462" s="8">
        <v>45013</v>
      </c>
      <c r="O462" s="8">
        <v>45043</v>
      </c>
      <c r="P462" s="8">
        <v>45043</v>
      </c>
      <c r="Q462" s="229">
        <v>54824</v>
      </c>
      <c r="R462" s="115" t="str" cm="1">
        <f t="array" aca="1" ref="R462" ca="1">TRIM(SUBSTITUTE(_xlfn.ARRAYTOTEXT(IFERROR(CONCATENATE(SUMIF(INDIRECT("'"&amp;Assemblies[Assy]&amp;"'!"&amp;"C$5:C1000"), $A462, INDIRECT("'"&amp;Assemblies[Assy]&amp;"'!"&amp;"O$5:O1000")), "x",Assemblies[Assy],".",IF(SUMIF(INDIRECT("'"&amp;Assemblies[Assy]&amp;"'!"&amp;"C$5:C1000"), $A462, INDIRECT("'"&amp;Assemblies[Assy]&amp;"'!"&amp;"A$5:A1000"))=0,NA(),SUMIF(INDIRECT("'"&amp;Assemblies[Assy]&amp;"'!"&amp;"C$5:C1000"), $A462, INDIRECT("'"&amp;Assemblies[Assy]&amp;"'!"&amp;"A$5:A1000")))),"")), " ,", ""))</f>
        <v>,</v>
      </c>
    </row>
    <row r="463" spans="1:22">
      <c r="A463" s="133" t="s">
        <v>179</v>
      </c>
      <c r="B463" s="2" t="s">
        <v>3188</v>
      </c>
      <c r="C463" s="168">
        <v>30.63</v>
      </c>
      <c r="D463" s="5">
        <v>1</v>
      </c>
      <c r="E463" s="5" t="e" cm="1">
        <f t="array" aca="1" ref="E463" ca="1">SUMPRODUCT(SUMIF(INDIRECT("'"&amp;Assemblies[Assy]&amp;"'!"&amp;"C:C"),$A463,(INDIRECT("'"&amp;Assemblies[Assy]&amp;"'!"&amp;"O:O"))))</f>
        <v>#VALUE!</v>
      </c>
      <c r="F463" s="5" t="e">
        <f t="shared" ca="1" si="7"/>
        <v>#VALUE!</v>
      </c>
      <c r="G463" s="5">
        <v>8</v>
      </c>
      <c r="H463" s="2">
        <v>8</v>
      </c>
      <c r="I463" s="117" t="s">
        <v>3181</v>
      </c>
      <c r="J463" s="117" t="s">
        <v>3181</v>
      </c>
      <c r="K463" s="135" t="s">
        <v>1382</v>
      </c>
      <c r="L463" s="2" t="s">
        <v>1382</v>
      </c>
      <c r="M463" s="8" t="s">
        <v>1762</v>
      </c>
      <c r="N463" s="8">
        <v>45013</v>
      </c>
      <c r="O463" s="8">
        <v>45043</v>
      </c>
      <c r="P463" s="8">
        <v>45043</v>
      </c>
      <c r="Q463" s="229">
        <v>54829</v>
      </c>
      <c r="R463" s="115" t="str" cm="1">
        <f t="array" aca="1" ref="R463" ca="1">TRIM(SUBSTITUTE(_xlfn.ARRAYTOTEXT(IFERROR(CONCATENATE(SUMIF(INDIRECT("'"&amp;Assemblies[Assy]&amp;"'!"&amp;"C$5:C1000"), $A463, INDIRECT("'"&amp;Assemblies[Assy]&amp;"'!"&amp;"O$5:O1000")), "x",Assemblies[Assy],".",IF(SUMIF(INDIRECT("'"&amp;Assemblies[Assy]&amp;"'!"&amp;"C$5:C1000"), $A463, INDIRECT("'"&amp;Assemblies[Assy]&amp;"'!"&amp;"A$5:A1000"))=0,NA(),SUMIF(INDIRECT("'"&amp;Assemblies[Assy]&amp;"'!"&amp;"C$5:C1000"), $A463, INDIRECT("'"&amp;Assemblies[Assy]&amp;"'!"&amp;"A$5:A1000")))),"")), " ,", ""))</f>
        <v>,</v>
      </c>
    </row>
    <row r="464" spans="1:22">
      <c r="A464" s="133" t="s">
        <v>207</v>
      </c>
      <c r="B464" s="2" t="s">
        <v>3189</v>
      </c>
      <c r="C464" s="203">
        <v>32.15</v>
      </c>
      <c r="D464" s="5">
        <v>1</v>
      </c>
      <c r="E464" s="5" t="e" cm="1">
        <f t="array" aca="1" ref="E464" ca="1">SUMPRODUCT(SUMIF(INDIRECT("'"&amp;Assemblies[Assy]&amp;"'!"&amp;"C:C"),$A464,(INDIRECT("'"&amp;Assemblies[Assy]&amp;"'!"&amp;"O:O"))))</f>
        <v>#VALUE!</v>
      </c>
      <c r="F464" s="5" t="e">
        <f t="shared" ca="1" si="7"/>
        <v>#VALUE!</v>
      </c>
      <c r="G464" s="5">
        <v>1</v>
      </c>
      <c r="H464" s="2">
        <v>1</v>
      </c>
      <c r="I464" s="117" t="s">
        <v>3181</v>
      </c>
      <c r="J464" s="117" t="s">
        <v>3181</v>
      </c>
      <c r="K464" s="135" t="s">
        <v>1382</v>
      </c>
      <c r="L464" s="2" t="s">
        <v>1382</v>
      </c>
      <c r="M464" s="8" t="s">
        <v>1762</v>
      </c>
      <c r="N464" s="8">
        <v>45013</v>
      </c>
      <c r="O464" s="8">
        <v>45043</v>
      </c>
      <c r="P464" s="8">
        <v>45043</v>
      </c>
      <c r="Q464" s="229">
        <v>54824</v>
      </c>
      <c r="R464" s="115" t="str" cm="1">
        <f t="array" aca="1" ref="R464" ca="1">TRIM(SUBSTITUTE(_xlfn.ARRAYTOTEXT(IFERROR(CONCATENATE(SUMIF(INDIRECT("'"&amp;Assemblies[Assy]&amp;"'!"&amp;"C$5:C1000"), $A464, INDIRECT("'"&amp;Assemblies[Assy]&amp;"'!"&amp;"O$5:O1000")), "x",Assemblies[Assy],".",IF(SUMIF(INDIRECT("'"&amp;Assemblies[Assy]&amp;"'!"&amp;"C$5:C1000"), $A464, INDIRECT("'"&amp;Assemblies[Assy]&amp;"'!"&amp;"A$5:A1000"))=0,NA(),SUMIF(INDIRECT("'"&amp;Assemblies[Assy]&amp;"'!"&amp;"C$5:C1000"), $A464, INDIRECT("'"&amp;Assemblies[Assy]&amp;"'!"&amp;"A$5:A1000")))),"")), " ,", ""))</f>
        <v>,</v>
      </c>
    </row>
    <row r="465" spans="1:18">
      <c r="A465" s="133" t="s">
        <v>178</v>
      </c>
      <c r="B465" s="2" t="s">
        <v>3190</v>
      </c>
      <c r="C465" s="168">
        <v>242.83</v>
      </c>
      <c r="D465" s="5">
        <v>1</v>
      </c>
      <c r="E465" s="5" t="e" cm="1">
        <f t="array" aca="1" ref="E465" ca="1">SUMPRODUCT(SUMIF(INDIRECT("'"&amp;Assemblies[Assy]&amp;"'!"&amp;"C:C"),$A465,(INDIRECT("'"&amp;Assemblies[Assy]&amp;"'!"&amp;"O:O"))))</f>
        <v>#VALUE!</v>
      </c>
      <c r="F465" s="5" t="e">
        <f t="shared" ca="1" si="7"/>
        <v>#VALUE!</v>
      </c>
      <c r="G465" s="5">
        <v>8</v>
      </c>
      <c r="H465" s="2">
        <v>8</v>
      </c>
      <c r="I465" s="117" t="s">
        <v>3181</v>
      </c>
      <c r="J465" s="117" t="s">
        <v>3181</v>
      </c>
      <c r="K465" s="135" t="s">
        <v>1382</v>
      </c>
      <c r="L465" s="2" t="s">
        <v>1382</v>
      </c>
      <c r="M465" s="8" t="s">
        <v>1762</v>
      </c>
      <c r="N465" s="8">
        <v>45013</v>
      </c>
      <c r="O465" s="8">
        <v>45043</v>
      </c>
      <c r="P465" s="8">
        <v>45043</v>
      </c>
      <c r="Q465" s="229">
        <v>54828</v>
      </c>
      <c r="R465" s="115" t="str" cm="1">
        <f t="array" aca="1" ref="R465" ca="1">TRIM(SUBSTITUTE(_xlfn.ARRAYTOTEXT(IFERROR(CONCATENATE(SUMIF(INDIRECT("'"&amp;Assemblies[Assy]&amp;"'!"&amp;"C$5:C1000"), $A465, INDIRECT("'"&amp;Assemblies[Assy]&amp;"'!"&amp;"O$5:O1000")), "x",Assemblies[Assy],".",IF(SUMIF(INDIRECT("'"&amp;Assemblies[Assy]&amp;"'!"&amp;"C$5:C1000"), $A465, INDIRECT("'"&amp;Assemblies[Assy]&amp;"'!"&amp;"A$5:A1000"))=0,NA(),SUMIF(INDIRECT("'"&amp;Assemblies[Assy]&amp;"'!"&amp;"C$5:C1000"), $A465, INDIRECT("'"&amp;Assemblies[Assy]&amp;"'!"&amp;"A$5:A1000")))),"")), " ,", ""))</f>
        <v>,</v>
      </c>
    </row>
    <row r="466" spans="1:18">
      <c r="A466" s="133" t="s">
        <v>78</v>
      </c>
      <c r="B466" s="2" t="s">
        <v>3191</v>
      </c>
      <c r="C466" s="168">
        <v>180.54</v>
      </c>
      <c r="D466" s="5">
        <v>1</v>
      </c>
      <c r="E466" s="5" t="e" cm="1">
        <f t="array" aca="1" ref="E466" ca="1">SUMPRODUCT(SUMIF(INDIRECT("'"&amp;Assemblies[Assy]&amp;"'!"&amp;"C:C"),$A466,(INDIRECT("'"&amp;Assemblies[Assy]&amp;"'!"&amp;"O:O"))))</f>
        <v>#VALUE!</v>
      </c>
      <c r="F466" s="5" t="e">
        <f t="shared" ca="1" si="7"/>
        <v>#VALUE!</v>
      </c>
      <c r="G466" s="5">
        <v>2</v>
      </c>
      <c r="H466" s="2">
        <v>2</v>
      </c>
      <c r="I466" s="117" t="s">
        <v>3181</v>
      </c>
      <c r="J466" s="117" t="s">
        <v>3181</v>
      </c>
      <c r="K466" s="135" t="s">
        <v>1382</v>
      </c>
      <c r="L466" s="2" t="s">
        <v>1382</v>
      </c>
      <c r="M466" s="8" t="s">
        <v>1762</v>
      </c>
      <c r="N466" s="8">
        <v>45089</v>
      </c>
      <c r="O466" s="8">
        <v>45104</v>
      </c>
      <c r="P466" s="8">
        <v>45104</v>
      </c>
      <c r="Q466" s="229">
        <v>54935</v>
      </c>
      <c r="R466" s="115" t="str" cm="1">
        <f t="array" aca="1" ref="R466" ca="1">TRIM(SUBSTITUTE(_xlfn.ARRAYTOTEXT(IFERROR(CONCATENATE(SUMIF(INDIRECT("'"&amp;Assemblies[Assy]&amp;"'!"&amp;"C$5:C1000"), $A466, INDIRECT("'"&amp;Assemblies[Assy]&amp;"'!"&amp;"O$5:O1000")), "x",Assemblies[Assy],".",IF(SUMIF(INDIRECT("'"&amp;Assemblies[Assy]&amp;"'!"&amp;"C$5:C1000"), $A466, INDIRECT("'"&amp;Assemblies[Assy]&amp;"'!"&amp;"A$5:A1000"))=0,NA(),SUMIF(INDIRECT("'"&amp;Assemblies[Assy]&amp;"'!"&amp;"C$5:C1000"), $A466, INDIRECT("'"&amp;Assemblies[Assy]&amp;"'!"&amp;"A$5:A1000")))),"")), " ,", ""))</f>
        <v>,</v>
      </c>
    </row>
    <row r="467" spans="1:18">
      <c r="A467" s="133" t="s">
        <v>79</v>
      </c>
      <c r="B467" s="2" t="s">
        <v>3192</v>
      </c>
      <c r="C467" s="168">
        <v>456.5</v>
      </c>
      <c r="D467" s="5">
        <v>1</v>
      </c>
      <c r="E467" s="5" t="e" cm="1">
        <f t="array" aca="1" ref="E467" ca="1">SUMPRODUCT(SUMIF(INDIRECT("'"&amp;Assemblies[Assy]&amp;"'!"&amp;"C:C"),$A467,(INDIRECT("'"&amp;Assemblies[Assy]&amp;"'!"&amp;"O:O"))))</f>
        <v>#VALUE!</v>
      </c>
      <c r="F467" s="5" t="e">
        <f t="shared" ca="1" si="7"/>
        <v>#VALUE!</v>
      </c>
      <c r="G467" s="5">
        <v>1</v>
      </c>
      <c r="H467" s="2">
        <v>1</v>
      </c>
      <c r="I467" s="117" t="s">
        <v>3181</v>
      </c>
      <c r="J467" s="117" t="s">
        <v>3181</v>
      </c>
      <c r="K467" s="135" t="s">
        <v>1382</v>
      </c>
      <c r="L467" s="2" t="s">
        <v>1382</v>
      </c>
      <c r="M467" s="8" t="s">
        <v>1762</v>
      </c>
      <c r="N467" s="8">
        <v>45089</v>
      </c>
      <c r="O467" s="8">
        <v>45104</v>
      </c>
      <c r="P467" s="8">
        <v>45104</v>
      </c>
      <c r="Q467" s="229">
        <v>54936</v>
      </c>
      <c r="R467" s="115" t="str" cm="1">
        <f t="array" aca="1" ref="R467" ca="1">TRIM(SUBSTITUTE(_xlfn.ARRAYTOTEXT(IFERROR(CONCATENATE(SUMIF(INDIRECT("'"&amp;Assemblies[Assy]&amp;"'!"&amp;"C$5:C1000"), $A467, INDIRECT("'"&amp;Assemblies[Assy]&amp;"'!"&amp;"O$5:O1000")), "x",Assemblies[Assy],".",IF(SUMIF(INDIRECT("'"&amp;Assemblies[Assy]&amp;"'!"&amp;"C$5:C1000"), $A467, INDIRECT("'"&amp;Assemblies[Assy]&amp;"'!"&amp;"A$5:A1000"))=0,NA(),SUMIF(INDIRECT("'"&amp;Assemblies[Assy]&amp;"'!"&amp;"C$5:C1000"), $A467, INDIRECT("'"&amp;Assemblies[Assy]&amp;"'!"&amp;"A$5:A1000")))),"")), " ,", ""))</f>
        <v>,</v>
      </c>
    </row>
    <row r="468" spans="1:18">
      <c r="A468" s="133" t="s">
        <v>80</v>
      </c>
      <c r="B468" s="2" t="s">
        <v>3193</v>
      </c>
      <c r="C468" s="168">
        <v>48.2</v>
      </c>
      <c r="D468" s="5">
        <v>1</v>
      </c>
      <c r="E468" s="5" t="e" cm="1">
        <f t="array" aca="1" ref="E468" ca="1">SUMPRODUCT(SUMIF(INDIRECT("'"&amp;Assemblies[Assy]&amp;"'!"&amp;"C:C"),$A468,(INDIRECT("'"&amp;Assemblies[Assy]&amp;"'!"&amp;"O:O"))))</f>
        <v>#VALUE!</v>
      </c>
      <c r="F468" s="5" t="e">
        <f t="shared" ca="1" si="7"/>
        <v>#VALUE!</v>
      </c>
      <c r="G468" s="5">
        <v>1</v>
      </c>
      <c r="H468" s="2">
        <v>1</v>
      </c>
      <c r="I468" s="117" t="s">
        <v>3181</v>
      </c>
      <c r="J468" s="117" t="s">
        <v>3181</v>
      </c>
      <c r="K468" s="135" t="s">
        <v>1382</v>
      </c>
      <c r="L468" s="2" t="s">
        <v>1382</v>
      </c>
      <c r="M468" s="8" t="s">
        <v>1762</v>
      </c>
      <c r="N468" s="8">
        <v>45089</v>
      </c>
      <c r="O468" s="8">
        <v>45104</v>
      </c>
      <c r="P468" s="8">
        <v>45104</v>
      </c>
      <c r="Q468" s="229">
        <v>54937</v>
      </c>
      <c r="R468" s="115" t="str" cm="1">
        <f t="array" aca="1" ref="R468" ca="1">TRIM(SUBSTITUTE(_xlfn.ARRAYTOTEXT(IFERROR(CONCATENATE(SUMIF(INDIRECT("'"&amp;Assemblies[Assy]&amp;"'!"&amp;"C$5:C1000"), $A468, INDIRECT("'"&amp;Assemblies[Assy]&amp;"'!"&amp;"O$5:O1000")), "x",Assemblies[Assy],".",IF(SUMIF(INDIRECT("'"&amp;Assemblies[Assy]&amp;"'!"&amp;"C$5:C1000"), $A468, INDIRECT("'"&amp;Assemblies[Assy]&amp;"'!"&amp;"A$5:A1000"))=0,NA(),SUMIF(INDIRECT("'"&amp;Assemblies[Assy]&amp;"'!"&amp;"C$5:C1000"), $A468, INDIRECT("'"&amp;Assemblies[Assy]&amp;"'!"&amp;"A$5:A1000")))),"")), " ,", ""))</f>
        <v>,</v>
      </c>
    </row>
    <row r="469" spans="1:18">
      <c r="A469" s="133" t="s">
        <v>346</v>
      </c>
      <c r="B469" s="2" t="s">
        <v>3194</v>
      </c>
      <c r="C469" s="203">
        <v>67.28</v>
      </c>
      <c r="D469" s="5">
        <v>1</v>
      </c>
      <c r="E469" s="5" t="e" cm="1">
        <f t="array" aca="1" ref="E469" ca="1">SUMPRODUCT(SUMIF(INDIRECT("'"&amp;Assemblies[Assy]&amp;"'!"&amp;"C:C"),$A469,(INDIRECT("'"&amp;Assemblies[Assy]&amp;"'!"&amp;"O:O"))))</f>
        <v>#VALUE!</v>
      </c>
      <c r="F469" s="5" t="e">
        <f t="shared" ca="1" si="7"/>
        <v>#VALUE!</v>
      </c>
      <c r="G469" s="5">
        <v>1</v>
      </c>
      <c r="H469" s="2">
        <v>1</v>
      </c>
      <c r="I469" s="117" t="s">
        <v>3181</v>
      </c>
      <c r="J469" s="117" t="s">
        <v>3181</v>
      </c>
      <c r="K469" s="135" t="s">
        <v>1382</v>
      </c>
      <c r="L469" s="2" t="s">
        <v>1382</v>
      </c>
      <c r="M469" s="8" t="s">
        <v>1762</v>
      </c>
      <c r="N469" s="8">
        <v>45013</v>
      </c>
      <c r="O469" s="8">
        <v>45043</v>
      </c>
      <c r="P469" s="8">
        <v>45043</v>
      </c>
      <c r="Q469" s="229">
        <v>54824</v>
      </c>
      <c r="R469" s="115" t="str" cm="1">
        <f t="array" aca="1" ref="R469" ca="1">TRIM(SUBSTITUTE(_xlfn.ARRAYTOTEXT(IFERROR(CONCATENATE(SUMIF(INDIRECT("'"&amp;Assemblies[Assy]&amp;"'!"&amp;"C$5:C1000"), $A469, INDIRECT("'"&amp;Assemblies[Assy]&amp;"'!"&amp;"O$5:O1000")), "x",Assemblies[Assy],".",IF(SUMIF(INDIRECT("'"&amp;Assemblies[Assy]&amp;"'!"&amp;"C$5:C1000"), $A469, INDIRECT("'"&amp;Assemblies[Assy]&amp;"'!"&amp;"A$5:A1000"))=0,NA(),SUMIF(INDIRECT("'"&amp;Assemblies[Assy]&amp;"'!"&amp;"C$5:C1000"), $A469, INDIRECT("'"&amp;Assemblies[Assy]&amp;"'!"&amp;"A$5:A1000")))),"")), " ,", ""))</f>
        <v>,</v>
      </c>
    </row>
    <row r="470" spans="1:18">
      <c r="A470" s="133" t="s">
        <v>347</v>
      </c>
      <c r="B470" s="2" t="s">
        <v>3195</v>
      </c>
      <c r="C470" s="203">
        <v>126.23</v>
      </c>
      <c r="D470" s="5">
        <v>1</v>
      </c>
      <c r="E470" s="5" t="e" cm="1">
        <f t="array" aca="1" ref="E470" ca="1">SUMPRODUCT(SUMIF(INDIRECT("'"&amp;Assemblies[Assy]&amp;"'!"&amp;"C:C"),$A470,(INDIRECT("'"&amp;Assemblies[Assy]&amp;"'!"&amp;"O:O"))))</f>
        <v>#VALUE!</v>
      </c>
      <c r="F470" s="5" t="e">
        <f t="shared" ca="1" si="7"/>
        <v>#VALUE!</v>
      </c>
      <c r="G470" s="5">
        <v>1</v>
      </c>
      <c r="H470" s="2">
        <v>1</v>
      </c>
      <c r="I470" s="117" t="s">
        <v>3181</v>
      </c>
      <c r="J470" s="117" t="s">
        <v>3181</v>
      </c>
      <c r="K470" s="135" t="s">
        <v>1382</v>
      </c>
      <c r="L470" s="2" t="s">
        <v>1382</v>
      </c>
      <c r="M470" s="8" t="s">
        <v>1762</v>
      </c>
      <c r="N470" s="8">
        <v>45013</v>
      </c>
      <c r="O470" s="8">
        <v>45043</v>
      </c>
      <c r="P470" s="8">
        <v>45043</v>
      </c>
      <c r="Q470" s="229">
        <v>54824</v>
      </c>
      <c r="R470" s="115" t="str" cm="1">
        <f t="array" aca="1" ref="R470" ca="1">TRIM(SUBSTITUTE(_xlfn.ARRAYTOTEXT(IFERROR(CONCATENATE(SUMIF(INDIRECT("'"&amp;Assemblies[Assy]&amp;"'!"&amp;"C$5:C1000"), $A470, INDIRECT("'"&amp;Assemblies[Assy]&amp;"'!"&amp;"O$5:O1000")), "x",Assemblies[Assy],".",IF(SUMIF(INDIRECT("'"&amp;Assemblies[Assy]&amp;"'!"&amp;"C$5:C1000"), $A470, INDIRECT("'"&amp;Assemblies[Assy]&amp;"'!"&amp;"A$5:A1000"))=0,NA(),SUMIF(INDIRECT("'"&amp;Assemblies[Assy]&amp;"'!"&amp;"C$5:C1000"), $A470, INDIRECT("'"&amp;Assemblies[Assy]&amp;"'!"&amp;"A$5:A1000")))),"")), " ,", ""))</f>
        <v>,</v>
      </c>
    </row>
    <row r="471" spans="1:18">
      <c r="A471" s="133" t="s">
        <v>349</v>
      </c>
      <c r="B471" s="2" t="s">
        <v>3196</v>
      </c>
      <c r="C471" s="203">
        <v>116.45</v>
      </c>
      <c r="D471" s="5">
        <v>1</v>
      </c>
      <c r="E471" s="5" t="e" cm="1">
        <f t="array" aca="1" ref="E471" ca="1">SUMPRODUCT(SUMIF(INDIRECT("'"&amp;Assemblies[Assy]&amp;"'!"&amp;"C:C"),$A471,(INDIRECT("'"&amp;Assemblies[Assy]&amp;"'!"&amp;"O:O"))))</f>
        <v>#VALUE!</v>
      </c>
      <c r="F471" s="5" t="e">
        <f t="shared" ca="1" si="7"/>
        <v>#VALUE!</v>
      </c>
      <c r="G471" s="5">
        <v>1</v>
      </c>
      <c r="H471" s="2">
        <v>1</v>
      </c>
      <c r="I471" s="117" t="s">
        <v>3181</v>
      </c>
      <c r="J471" s="117" t="s">
        <v>3181</v>
      </c>
      <c r="K471" s="135" t="s">
        <v>1382</v>
      </c>
      <c r="L471" s="2" t="s">
        <v>1382</v>
      </c>
      <c r="M471" s="8" t="s">
        <v>1762</v>
      </c>
      <c r="N471" s="8">
        <v>45013</v>
      </c>
      <c r="O471" s="8">
        <v>45043</v>
      </c>
      <c r="P471" s="8">
        <v>45043</v>
      </c>
      <c r="Q471" s="229">
        <v>54824</v>
      </c>
      <c r="R471" s="115" t="str" cm="1">
        <f t="array" aca="1" ref="R471" ca="1">TRIM(SUBSTITUTE(_xlfn.ARRAYTOTEXT(IFERROR(CONCATENATE(SUMIF(INDIRECT("'"&amp;Assemblies[Assy]&amp;"'!"&amp;"C$5:C1000"), $A471, INDIRECT("'"&amp;Assemblies[Assy]&amp;"'!"&amp;"O$5:O1000")), "x",Assemblies[Assy],".",IF(SUMIF(INDIRECT("'"&amp;Assemblies[Assy]&amp;"'!"&amp;"C$5:C1000"), $A471, INDIRECT("'"&amp;Assemblies[Assy]&amp;"'!"&amp;"A$5:A1000"))=0,NA(),SUMIF(INDIRECT("'"&amp;Assemblies[Assy]&amp;"'!"&amp;"C$5:C1000"), $A471, INDIRECT("'"&amp;Assemblies[Assy]&amp;"'!"&amp;"A$5:A1000")))),"")), " ,", ""))</f>
        <v>,</v>
      </c>
    </row>
    <row r="472" spans="1:18">
      <c r="A472" s="133" t="s">
        <v>348</v>
      </c>
      <c r="B472" s="2" t="s">
        <v>3197</v>
      </c>
      <c r="C472" s="203">
        <v>116.45</v>
      </c>
      <c r="D472" s="5">
        <v>1</v>
      </c>
      <c r="E472" s="5" t="e" cm="1">
        <f t="array" aca="1" ref="E472" ca="1">SUMPRODUCT(SUMIF(INDIRECT("'"&amp;Assemblies[Assy]&amp;"'!"&amp;"C:C"),$A472,(INDIRECT("'"&amp;Assemblies[Assy]&amp;"'!"&amp;"O:O"))))</f>
        <v>#VALUE!</v>
      </c>
      <c r="F472" s="5" t="e">
        <f t="shared" ca="1" si="7"/>
        <v>#VALUE!</v>
      </c>
      <c r="G472" s="5">
        <v>1</v>
      </c>
      <c r="H472" s="2">
        <v>1</v>
      </c>
      <c r="I472" s="117" t="s">
        <v>3181</v>
      </c>
      <c r="J472" s="117" t="s">
        <v>3181</v>
      </c>
      <c r="K472" s="135" t="s">
        <v>1382</v>
      </c>
      <c r="L472" s="2" t="s">
        <v>1382</v>
      </c>
      <c r="M472" s="8" t="s">
        <v>1762</v>
      </c>
      <c r="N472" s="8">
        <v>45013</v>
      </c>
      <c r="O472" s="8">
        <v>45043</v>
      </c>
      <c r="P472" s="8">
        <v>45043</v>
      </c>
      <c r="Q472" s="229">
        <v>54824</v>
      </c>
      <c r="R472" s="115" t="str" cm="1">
        <f t="array" aca="1" ref="R472" ca="1">TRIM(SUBSTITUTE(_xlfn.ARRAYTOTEXT(IFERROR(CONCATENATE(SUMIF(INDIRECT("'"&amp;Assemblies[Assy]&amp;"'!"&amp;"C$5:C1000"), $A472, INDIRECT("'"&amp;Assemblies[Assy]&amp;"'!"&amp;"O$5:O1000")), "x",Assemblies[Assy],".",IF(SUMIF(INDIRECT("'"&amp;Assemblies[Assy]&amp;"'!"&amp;"C$5:C1000"), $A472, INDIRECT("'"&amp;Assemblies[Assy]&amp;"'!"&amp;"A$5:A1000"))=0,NA(),SUMIF(INDIRECT("'"&amp;Assemblies[Assy]&amp;"'!"&amp;"C$5:C1000"), $A472, INDIRECT("'"&amp;Assemblies[Assy]&amp;"'!"&amp;"A$5:A1000")))),"")), " ,", ""))</f>
        <v>,</v>
      </c>
    </row>
    <row r="473" spans="1:18">
      <c r="A473" s="133" t="s">
        <v>350</v>
      </c>
      <c r="B473" s="2" t="s">
        <v>3198</v>
      </c>
      <c r="C473" s="203">
        <v>92.37</v>
      </c>
      <c r="D473" s="5">
        <v>1</v>
      </c>
      <c r="E473" s="5" t="e" cm="1">
        <f t="array" aca="1" ref="E473" ca="1">SUMPRODUCT(SUMIF(INDIRECT("'"&amp;Assemblies[Assy]&amp;"'!"&amp;"C:C"),$A473,(INDIRECT("'"&amp;Assemblies[Assy]&amp;"'!"&amp;"O:O"))))</f>
        <v>#VALUE!</v>
      </c>
      <c r="F473" s="5" t="e">
        <f t="shared" ca="1" si="7"/>
        <v>#VALUE!</v>
      </c>
      <c r="G473" s="5">
        <v>1</v>
      </c>
      <c r="H473" s="2">
        <v>1</v>
      </c>
      <c r="I473" s="117" t="s">
        <v>3181</v>
      </c>
      <c r="J473" s="117" t="s">
        <v>3181</v>
      </c>
      <c r="K473" s="135" t="s">
        <v>1382</v>
      </c>
      <c r="L473" s="2" t="s">
        <v>1382</v>
      </c>
      <c r="M473" s="8" t="s">
        <v>1762</v>
      </c>
      <c r="N473" s="8">
        <v>45013</v>
      </c>
      <c r="O473" s="8">
        <v>45043</v>
      </c>
      <c r="P473" s="8">
        <v>45043</v>
      </c>
      <c r="Q473" s="229">
        <v>54824</v>
      </c>
      <c r="R473" s="115" t="str" cm="1">
        <f t="array" aca="1" ref="R473" ca="1">TRIM(SUBSTITUTE(_xlfn.ARRAYTOTEXT(IFERROR(CONCATENATE(SUMIF(INDIRECT("'"&amp;Assemblies[Assy]&amp;"'!"&amp;"C$5:C1000"), $A473, INDIRECT("'"&amp;Assemblies[Assy]&amp;"'!"&amp;"O$5:O1000")), "x",Assemblies[Assy],".",IF(SUMIF(INDIRECT("'"&amp;Assemblies[Assy]&amp;"'!"&amp;"C$5:C1000"), $A473, INDIRECT("'"&amp;Assemblies[Assy]&amp;"'!"&amp;"A$5:A1000"))=0,NA(),SUMIF(INDIRECT("'"&amp;Assemblies[Assy]&amp;"'!"&amp;"C$5:C1000"), $A473, INDIRECT("'"&amp;Assemblies[Assy]&amp;"'!"&amp;"A$5:A1000")))),"")), " ,", ""))</f>
        <v>,</v>
      </c>
    </row>
    <row r="474" spans="1:18" hidden="1">
      <c r="A474" s="133" t="s">
        <v>148</v>
      </c>
      <c r="B474" s="2" t="s">
        <v>3199</v>
      </c>
      <c r="C474" s="168"/>
      <c r="D474" s="5">
        <v>1</v>
      </c>
      <c r="E474" s="5" t="e" cm="1">
        <f t="array" aca="1" ref="E474" ca="1">SUMPRODUCT(SUMIF(INDIRECT("'"&amp;Assemblies[Assy]&amp;"'!"&amp;"C:C"),$A474,(INDIRECT("'"&amp;Assemblies[Assy]&amp;"'!"&amp;"O:O"))))</f>
        <v>#VALUE!</v>
      </c>
      <c r="F474" s="5" t="e">
        <f t="shared" ca="1" si="7"/>
        <v>#VALUE!</v>
      </c>
      <c r="G474" s="5"/>
      <c r="I474" s="117" t="s">
        <v>3200</v>
      </c>
      <c r="J474" s="117" t="s">
        <v>2635</v>
      </c>
      <c r="R474" s="115" t="str" cm="1">
        <f t="array" aca="1" ref="R474" ca="1">TRIM(SUBSTITUTE(_xlfn.ARRAYTOTEXT(IFERROR(CONCATENATE(SUMIF(INDIRECT("'"&amp;Assemblies!$B$2:$B$152&amp;"'!"&amp;"C$5:C1000"), $A474, INDIRECT("'"&amp;Assemblies!$B$2:$B$152&amp;"'!"&amp;"O$5:O1000")), "x",Assemblies!$B$2:$B$152,".",IF(SUMIF(INDIRECT("'"&amp;Assemblies!$B$2:$B$152&amp;"'!"&amp;"C$5:C1000"), $A474, INDIRECT("'"&amp;Assemblies!$B$2:$B$152&amp;"'!"&amp;"A$5:A1000"))=0,NA(),SUMIF(INDIRECT("'"&amp;Assemblies!$B$2:$B$152&amp;"'!"&amp;"C$5:C1000"), $A474, INDIRECT("'"&amp;Assemblies!$B$2:$B$152&amp;"'!"&amp;"A$5:A1000")))),"")), " ,", ""))</f>
        <v>,</v>
      </c>
    </row>
    <row r="475" spans="1:18" hidden="1">
      <c r="A475" s="133" t="s">
        <v>3201</v>
      </c>
      <c r="B475" s="2" t="s">
        <v>3202</v>
      </c>
      <c r="C475" s="168"/>
      <c r="D475" s="5">
        <v>1</v>
      </c>
      <c r="E475" s="5" cm="1">
        <f t="array" aca="1" ref="E475" ca="1">SUMPRODUCT(SUMIF(INDIRECT("'"&amp;Assemblies[Assy]&amp;"'!"&amp;"C:C"),$A475,(INDIRECT("'"&amp;Assemblies[Assy]&amp;"'!"&amp;"O:O"))))</f>
        <v>0</v>
      </c>
      <c r="F475" s="5">
        <f t="shared" ca="1" si="7"/>
        <v>0</v>
      </c>
      <c r="G475" s="5"/>
      <c r="I475" s="117" t="s">
        <v>3200</v>
      </c>
      <c r="J475" s="117" t="s">
        <v>2635</v>
      </c>
      <c r="R475" s="115" t="str" cm="1">
        <f t="array" aca="1" ref="R475" ca="1">TRIM(SUBSTITUTE(_xlfn.ARRAYTOTEXT(IFERROR(CONCATENATE(SUMIF(INDIRECT("'"&amp;Assemblies!$B$2:$B$152&amp;"'!"&amp;"C$5:C1000"), $A475, INDIRECT("'"&amp;Assemblies!$B$2:$B$152&amp;"'!"&amp;"O$5:O1000")), "x",Assemblies!$B$2:$B$152,".",IF(SUMIF(INDIRECT("'"&amp;Assemblies!$B$2:$B$152&amp;"'!"&amp;"C$5:C1000"), $A475, INDIRECT("'"&amp;Assemblies!$B$2:$B$152&amp;"'!"&amp;"A$5:A1000"))=0,NA(),SUMIF(INDIRECT("'"&amp;Assemblies!$B$2:$B$152&amp;"'!"&amp;"C$5:C1000"), $A475, INDIRECT("'"&amp;Assemblies!$B$2:$B$152&amp;"'!"&amp;"A$5:A1000")))),"")), " ,", ""))</f>
        <v>,</v>
      </c>
    </row>
    <row r="476" spans="1:18">
      <c r="A476" s="133" t="s">
        <v>81</v>
      </c>
      <c r="B476" s="2" t="s">
        <v>3199</v>
      </c>
      <c r="C476" s="168">
        <v>203.42</v>
      </c>
      <c r="D476" s="5">
        <v>1</v>
      </c>
      <c r="E476" s="5" t="e" cm="1">
        <f t="array" aca="1" ref="E476" ca="1">SUMPRODUCT(SUMIF(INDIRECT("'"&amp;Assemblies[Assy]&amp;"'!"&amp;"C:C"),$A476,(INDIRECT("'"&amp;Assemblies[Assy]&amp;"'!"&amp;"O:O"))))</f>
        <v>#VALUE!</v>
      </c>
      <c r="F476" s="5" t="e">
        <f t="shared" ca="1" si="7"/>
        <v>#VALUE!</v>
      </c>
      <c r="G476" s="5">
        <v>2</v>
      </c>
      <c r="H476" s="2">
        <v>2</v>
      </c>
      <c r="I476" s="117" t="s">
        <v>3203</v>
      </c>
      <c r="J476" s="117" t="s">
        <v>3204</v>
      </c>
      <c r="K476" s="135" t="s">
        <v>1382</v>
      </c>
      <c r="L476" s="2" t="s">
        <v>1382</v>
      </c>
      <c r="M476" s="8" t="s">
        <v>1762</v>
      </c>
      <c r="N476" s="8">
        <v>45089</v>
      </c>
      <c r="O476" s="8">
        <v>45096</v>
      </c>
      <c r="P476" s="8">
        <v>45096</v>
      </c>
      <c r="Q476" s="229">
        <v>54928</v>
      </c>
      <c r="R476" s="115" t="str" cm="1">
        <f t="array" aca="1" ref="R476" ca="1">TRIM(SUBSTITUTE(_xlfn.ARRAYTOTEXT(IFERROR(CONCATENATE(SUMIF(INDIRECT("'"&amp;Assemblies[Assy]&amp;"'!"&amp;"C$5:C1000"), $A476, INDIRECT("'"&amp;Assemblies[Assy]&amp;"'!"&amp;"O$5:O1000")), "x",Assemblies[Assy],".",IF(SUMIF(INDIRECT("'"&amp;Assemblies[Assy]&amp;"'!"&amp;"C$5:C1000"), $A476, INDIRECT("'"&amp;Assemblies[Assy]&amp;"'!"&amp;"A$5:A1000"))=0,NA(),SUMIF(INDIRECT("'"&amp;Assemblies[Assy]&amp;"'!"&amp;"C$5:C1000"), $A476, INDIRECT("'"&amp;Assemblies[Assy]&amp;"'!"&amp;"A$5:A1000")))),"")), " ,", ""))</f>
        <v>,</v>
      </c>
    </row>
    <row r="477" spans="1:18">
      <c r="A477" s="133" t="s">
        <v>82</v>
      </c>
      <c r="B477" s="2" t="s">
        <v>3202</v>
      </c>
      <c r="C477" s="168">
        <v>127.94</v>
      </c>
      <c r="D477" s="5">
        <v>1</v>
      </c>
      <c r="E477" s="5" t="e" cm="1">
        <f t="array" aca="1" ref="E477" ca="1">SUMPRODUCT(SUMIF(INDIRECT("'"&amp;Assemblies[Assy]&amp;"'!"&amp;"C:C"),$A477,(INDIRECT("'"&amp;Assemblies[Assy]&amp;"'!"&amp;"O:O"))))</f>
        <v>#VALUE!</v>
      </c>
      <c r="F477" s="5" t="e">
        <f t="shared" ca="1" si="7"/>
        <v>#VALUE!</v>
      </c>
      <c r="G477" s="5">
        <v>1</v>
      </c>
      <c r="H477" s="2">
        <v>1</v>
      </c>
      <c r="I477" s="117" t="s">
        <v>3203</v>
      </c>
      <c r="J477" s="117" t="s">
        <v>3204</v>
      </c>
      <c r="K477" s="135" t="s">
        <v>1382</v>
      </c>
      <c r="L477" s="2" t="s">
        <v>1382</v>
      </c>
      <c r="M477" s="8" t="s">
        <v>1762</v>
      </c>
      <c r="N477" s="8">
        <v>45089</v>
      </c>
      <c r="O477" s="8">
        <v>45096</v>
      </c>
      <c r="P477" s="8">
        <v>45096</v>
      </c>
      <c r="Q477" s="229">
        <v>54928</v>
      </c>
      <c r="R477" s="115" t="str" cm="1">
        <f t="array" aca="1" ref="R477" ca="1">TRIM(SUBSTITUTE(_xlfn.ARRAYTOTEXT(IFERROR(CONCATENATE(SUMIF(INDIRECT("'"&amp;Assemblies[Assy]&amp;"'!"&amp;"C$5:C1000"), $A477, INDIRECT("'"&amp;Assemblies[Assy]&amp;"'!"&amp;"O$5:O1000")), "x",Assemblies[Assy],".",IF(SUMIF(INDIRECT("'"&amp;Assemblies[Assy]&amp;"'!"&amp;"C$5:C1000"), $A477, INDIRECT("'"&amp;Assemblies[Assy]&amp;"'!"&amp;"A$5:A1000"))=0,NA(),SUMIF(INDIRECT("'"&amp;Assemblies[Assy]&amp;"'!"&amp;"C$5:C1000"), $A477, INDIRECT("'"&amp;Assemblies[Assy]&amp;"'!"&amp;"A$5:A1000")))),"")), " ,", ""))</f>
        <v>,</v>
      </c>
    </row>
    <row r="478" spans="1:18">
      <c r="A478" s="133" t="s">
        <v>965</v>
      </c>
      <c r="B478" s="2" t="s">
        <v>3205</v>
      </c>
      <c r="C478" s="168">
        <v>8.64</v>
      </c>
      <c r="D478" s="5">
        <v>1</v>
      </c>
      <c r="E478" s="5" t="e" cm="1">
        <f t="array" aca="1" ref="E478" ca="1">SUMPRODUCT(SUMIF(INDIRECT("'"&amp;Assemblies[Assy]&amp;"'!"&amp;"C:C"),$A478,(INDIRECT("'"&amp;Assemblies[Assy]&amp;"'!"&amp;"O:O"))))</f>
        <v>#VALUE!</v>
      </c>
      <c r="F478" s="5" t="e">
        <f t="shared" ca="1" si="7"/>
        <v>#VALUE!</v>
      </c>
      <c r="G478" s="5">
        <v>4</v>
      </c>
      <c r="H478" s="2">
        <v>4</v>
      </c>
      <c r="I478" s="117" t="s">
        <v>3206</v>
      </c>
      <c r="J478" s="117" t="s">
        <v>3206</v>
      </c>
      <c r="K478" s="135" t="s">
        <v>1382</v>
      </c>
      <c r="L478" s="2" t="s">
        <v>1382</v>
      </c>
      <c r="M478" s="8" t="s">
        <v>1762</v>
      </c>
      <c r="N478" s="8">
        <v>45161</v>
      </c>
      <c r="O478" s="8">
        <v>45191</v>
      </c>
      <c r="P478" s="8">
        <v>45168</v>
      </c>
      <c r="Q478" s="229">
        <v>55081</v>
      </c>
      <c r="R478" s="115" t="str" cm="1">
        <f t="array" aca="1" ref="R478" ca="1">TRIM(SUBSTITUTE(_xlfn.ARRAYTOTEXT(IFERROR(CONCATENATE(SUMIF(INDIRECT("'"&amp;Assemblies[Assy]&amp;"'!"&amp;"C$5:C1000"), $A478, INDIRECT("'"&amp;Assemblies[Assy]&amp;"'!"&amp;"O$5:O1000")), "x",Assemblies[Assy],".",IF(SUMIF(INDIRECT("'"&amp;Assemblies[Assy]&amp;"'!"&amp;"C$5:C1000"), $A478, INDIRECT("'"&amp;Assemblies[Assy]&amp;"'!"&amp;"A$5:A1000"))=0,NA(),SUMIF(INDIRECT("'"&amp;Assemblies[Assy]&amp;"'!"&amp;"C$5:C1000"), $A478, INDIRECT("'"&amp;Assemblies[Assy]&amp;"'!"&amp;"A$5:A1000")))),"")), " ,", ""))</f>
        <v>,</v>
      </c>
    </row>
    <row r="479" spans="1:18" hidden="1">
      <c r="A479" s="133">
        <v>1043700</v>
      </c>
      <c r="B479" s="2" t="s">
        <v>3207</v>
      </c>
      <c r="C479" s="168"/>
      <c r="D479" s="5">
        <v>1</v>
      </c>
      <c r="E479" s="5" t="e" cm="1">
        <f t="array" aca="1" ref="E479" ca="1">SUMPRODUCT(SUMIF(INDIRECT("'"&amp;Assemblies[Assy]&amp;"'!"&amp;"C:C"),$A479,(INDIRECT("'"&amp;Assemblies[Assy]&amp;"'!"&amp;"O:O"))))</f>
        <v>#VALUE!</v>
      </c>
      <c r="F479" s="5" t="e">
        <f t="shared" ca="1" si="7"/>
        <v>#VALUE!</v>
      </c>
      <c r="G479" s="5"/>
      <c r="I479" s="117" t="s">
        <v>3208</v>
      </c>
      <c r="J479" s="117" t="s">
        <v>2635</v>
      </c>
      <c r="R479" s="115" t="str" cm="1">
        <f t="array" aca="1" ref="R479" ca="1">TRIM(SUBSTITUTE(_xlfn.ARRAYTOTEXT(IFERROR(CONCATENATE(SUMIF(INDIRECT("'"&amp;Assemblies!$B$2:$B$152&amp;"'!"&amp;"C$5:C1000"), $A479, INDIRECT("'"&amp;Assemblies!$B$2:$B$152&amp;"'!"&amp;"O$5:O1000")), "x",Assemblies!$B$2:$B$152,".",IF(SUMIF(INDIRECT("'"&amp;Assemblies!$B$2:$B$152&amp;"'!"&amp;"C$5:C1000"), $A479, INDIRECT("'"&amp;Assemblies!$B$2:$B$152&amp;"'!"&amp;"A$5:A1000"))=0,NA(),SUMIF(INDIRECT("'"&amp;Assemblies!$B$2:$B$152&amp;"'!"&amp;"C$5:C1000"), $A479, INDIRECT("'"&amp;Assemblies!$B$2:$B$152&amp;"'!"&amp;"A$5:A1000")))),"")), " ,", ""))</f>
        <v>,</v>
      </c>
    </row>
    <row r="480" spans="1:18" hidden="1">
      <c r="A480" s="133">
        <v>1043784</v>
      </c>
      <c r="B480" s="2" t="s">
        <v>3209</v>
      </c>
      <c r="C480" s="168"/>
      <c r="D480" s="5">
        <v>1</v>
      </c>
      <c r="E480" s="5" t="e" cm="1">
        <f t="array" aca="1" ref="E480" ca="1">SUMPRODUCT(SUMIF(INDIRECT("'"&amp;Assemblies[Assy]&amp;"'!"&amp;"C:C"),$A480,(INDIRECT("'"&amp;Assemblies[Assy]&amp;"'!"&amp;"O:O"))))</f>
        <v>#VALUE!</v>
      </c>
      <c r="F480" s="5" t="e">
        <f t="shared" ca="1" si="7"/>
        <v>#VALUE!</v>
      </c>
      <c r="G480" s="5"/>
      <c r="I480" s="117" t="s">
        <v>3208</v>
      </c>
      <c r="J480" s="117" t="s">
        <v>2635</v>
      </c>
      <c r="R480" s="115" t="str" cm="1">
        <f t="array" aca="1" ref="R480" ca="1">TRIM(SUBSTITUTE(_xlfn.ARRAYTOTEXT(IFERROR(CONCATENATE(SUMIF(INDIRECT("'"&amp;Assemblies!$B$2:$B$152&amp;"'!"&amp;"C$5:C1000"), $A480, INDIRECT("'"&amp;Assemblies!$B$2:$B$152&amp;"'!"&amp;"O$5:O1000")), "x",Assemblies!$B$2:$B$152,".",IF(SUMIF(INDIRECT("'"&amp;Assemblies!$B$2:$B$152&amp;"'!"&amp;"C$5:C1000"), $A480, INDIRECT("'"&amp;Assemblies!$B$2:$B$152&amp;"'!"&amp;"A$5:A1000"))=0,NA(),SUMIF(INDIRECT("'"&amp;Assemblies!$B$2:$B$152&amp;"'!"&amp;"C$5:C1000"), $A480, INDIRECT("'"&amp;Assemblies!$B$2:$B$152&amp;"'!"&amp;"A$5:A1000")))),"")), " ,", ""))</f>
        <v>,</v>
      </c>
    </row>
    <row r="481" spans="1:18" hidden="1">
      <c r="A481" s="133">
        <v>1044072</v>
      </c>
      <c r="B481" s="2" t="s">
        <v>3210</v>
      </c>
      <c r="C481" s="168"/>
      <c r="D481" s="5">
        <v>1</v>
      </c>
      <c r="E481" s="5" t="e" cm="1">
        <f t="array" aca="1" ref="E481" ca="1">SUMPRODUCT(SUMIF(INDIRECT("'"&amp;Assemblies[Assy]&amp;"'!"&amp;"C:C"),$A481,(INDIRECT("'"&amp;Assemblies[Assy]&amp;"'!"&amp;"O:O"))))</f>
        <v>#VALUE!</v>
      </c>
      <c r="F481" s="5" t="e">
        <f t="shared" ca="1" si="7"/>
        <v>#VALUE!</v>
      </c>
      <c r="G481" s="5"/>
      <c r="I481" s="117" t="s">
        <v>3208</v>
      </c>
      <c r="J481" s="117" t="s">
        <v>2635</v>
      </c>
      <c r="R481" s="115" t="str" cm="1">
        <f t="array" aca="1" ref="R481" ca="1">TRIM(SUBSTITUTE(_xlfn.ARRAYTOTEXT(IFERROR(CONCATENATE(SUMIF(INDIRECT("'"&amp;Assemblies!$B$2:$B$152&amp;"'!"&amp;"C$5:C1000"), $A481, INDIRECT("'"&amp;Assemblies!$B$2:$B$152&amp;"'!"&amp;"O$5:O1000")), "x",Assemblies!$B$2:$B$152,".",IF(SUMIF(INDIRECT("'"&amp;Assemblies!$B$2:$B$152&amp;"'!"&amp;"C$5:C1000"), $A481, INDIRECT("'"&amp;Assemblies!$B$2:$B$152&amp;"'!"&amp;"A$5:A1000"))=0,NA(),SUMIF(INDIRECT("'"&amp;Assemblies!$B$2:$B$152&amp;"'!"&amp;"C$5:C1000"), $A481, INDIRECT("'"&amp;Assemblies!$B$2:$B$152&amp;"'!"&amp;"A$5:A1000")))),"")), " ,", ""))</f>
        <v>,</v>
      </c>
    </row>
    <row r="482" spans="1:18" hidden="1">
      <c r="A482" s="133">
        <v>1044124</v>
      </c>
      <c r="B482" s="2" t="s">
        <v>3211</v>
      </c>
      <c r="C482" s="168"/>
      <c r="D482" s="5">
        <v>1</v>
      </c>
      <c r="E482" s="5" t="e" cm="1">
        <f t="array" aca="1" ref="E482" ca="1">SUMPRODUCT(SUMIF(INDIRECT("'"&amp;Assemblies[Assy]&amp;"'!"&amp;"C:C"),$A482,(INDIRECT("'"&amp;Assemblies[Assy]&amp;"'!"&amp;"O:O"))))</f>
        <v>#VALUE!</v>
      </c>
      <c r="F482" s="5" t="e">
        <f t="shared" ca="1" si="7"/>
        <v>#VALUE!</v>
      </c>
      <c r="G482" s="5"/>
      <c r="I482" s="117" t="s">
        <v>3208</v>
      </c>
      <c r="J482" s="117" t="s">
        <v>2635</v>
      </c>
      <c r="R482" s="115" t="str" cm="1">
        <f t="array" aca="1" ref="R482" ca="1">TRIM(SUBSTITUTE(_xlfn.ARRAYTOTEXT(IFERROR(CONCATENATE(SUMIF(INDIRECT("'"&amp;Assemblies!$B$2:$B$152&amp;"'!"&amp;"C$5:C1000"), $A482, INDIRECT("'"&amp;Assemblies!$B$2:$B$152&amp;"'!"&amp;"O$5:O1000")), "x",Assemblies!$B$2:$B$152,".",IF(SUMIF(INDIRECT("'"&amp;Assemblies!$B$2:$B$152&amp;"'!"&amp;"C$5:C1000"), $A482, INDIRECT("'"&amp;Assemblies!$B$2:$B$152&amp;"'!"&amp;"A$5:A1000"))=0,NA(),SUMIF(INDIRECT("'"&amp;Assemblies!$B$2:$B$152&amp;"'!"&amp;"C$5:C1000"), $A482, INDIRECT("'"&amp;Assemblies!$B$2:$B$152&amp;"'!"&amp;"A$5:A1000")))),"")), " ,", ""))</f>
        <v>,</v>
      </c>
    </row>
    <row r="483" spans="1:18" hidden="1">
      <c r="A483" s="133">
        <v>1044125</v>
      </c>
      <c r="B483" s="2" t="s">
        <v>3212</v>
      </c>
      <c r="C483" s="168"/>
      <c r="D483" s="5">
        <v>1</v>
      </c>
      <c r="E483" s="5" t="e" cm="1">
        <f t="array" aca="1" ref="E483" ca="1">SUMPRODUCT(SUMIF(INDIRECT("'"&amp;Assemblies[Assy]&amp;"'!"&amp;"C:C"),$A483,(INDIRECT("'"&amp;Assemblies[Assy]&amp;"'!"&amp;"O:O"))))</f>
        <v>#VALUE!</v>
      </c>
      <c r="F483" s="5" t="e">
        <f t="shared" ca="1" si="7"/>
        <v>#VALUE!</v>
      </c>
      <c r="G483" s="5"/>
      <c r="I483" s="117" t="s">
        <v>3208</v>
      </c>
      <c r="J483" s="117" t="s">
        <v>2635</v>
      </c>
      <c r="R483" s="115" t="str" cm="1">
        <f t="array" aca="1" ref="R483" ca="1">TRIM(SUBSTITUTE(_xlfn.ARRAYTOTEXT(IFERROR(CONCATENATE(SUMIF(INDIRECT("'"&amp;Assemblies!$B$2:$B$152&amp;"'!"&amp;"C$5:C1000"), $A483, INDIRECT("'"&amp;Assemblies!$B$2:$B$152&amp;"'!"&amp;"O$5:O1000")), "x",Assemblies!$B$2:$B$152,".",IF(SUMIF(INDIRECT("'"&amp;Assemblies!$B$2:$B$152&amp;"'!"&amp;"C$5:C1000"), $A483, INDIRECT("'"&amp;Assemblies!$B$2:$B$152&amp;"'!"&amp;"A$5:A1000"))=0,NA(),SUMIF(INDIRECT("'"&amp;Assemblies!$B$2:$B$152&amp;"'!"&amp;"C$5:C1000"), $A483, INDIRECT("'"&amp;Assemblies!$B$2:$B$152&amp;"'!"&amp;"A$5:A1000")))),"")), " ,", ""))</f>
        <v>,</v>
      </c>
    </row>
    <row r="484" spans="1:18" hidden="1">
      <c r="A484" s="133">
        <v>1085343</v>
      </c>
      <c r="B484" s="2" t="s">
        <v>3213</v>
      </c>
      <c r="C484" s="168"/>
      <c r="D484" s="5">
        <v>1</v>
      </c>
      <c r="E484" s="5" t="e" cm="1">
        <f t="array" aca="1" ref="E484" ca="1">SUMPRODUCT(SUMIF(INDIRECT("'"&amp;Assemblies[Assy]&amp;"'!"&amp;"C:C"),$A484,(INDIRECT("'"&amp;Assemblies[Assy]&amp;"'!"&amp;"O:O"))))</f>
        <v>#VALUE!</v>
      </c>
      <c r="F484" s="5" t="e">
        <f t="shared" ca="1" si="7"/>
        <v>#VALUE!</v>
      </c>
      <c r="G484" s="5"/>
      <c r="I484" s="117" t="s">
        <v>3208</v>
      </c>
      <c r="J484" s="117" t="s">
        <v>2635</v>
      </c>
      <c r="R484" s="115" t="str" cm="1">
        <f t="array" aca="1" ref="R484" ca="1">TRIM(SUBSTITUTE(_xlfn.ARRAYTOTEXT(IFERROR(CONCATENATE(SUMIF(INDIRECT("'"&amp;Assemblies!$B$2:$B$152&amp;"'!"&amp;"C$5:C1000"), $A484, INDIRECT("'"&amp;Assemblies!$B$2:$B$152&amp;"'!"&amp;"O$5:O1000")), "x",Assemblies!$B$2:$B$152,".",IF(SUMIF(INDIRECT("'"&amp;Assemblies!$B$2:$B$152&amp;"'!"&amp;"C$5:C1000"), $A484, INDIRECT("'"&amp;Assemblies!$B$2:$B$152&amp;"'!"&amp;"A$5:A1000"))=0,NA(),SUMIF(INDIRECT("'"&amp;Assemblies!$B$2:$B$152&amp;"'!"&amp;"C$5:C1000"), $A484, INDIRECT("'"&amp;Assemblies!$B$2:$B$152&amp;"'!"&amp;"A$5:A1000")))),"")), " ,", ""))</f>
        <v>,</v>
      </c>
    </row>
    <row r="485" spans="1:18">
      <c r="A485" s="247" t="s">
        <v>616</v>
      </c>
      <c r="B485" s="161" t="s">
        <v>3214</v>
      </c>
      <c r="C485" s="203">
        <v>464</v>
      </c>
      <c r="D485" s="5">
        <v>1</v>
      </c>
      <c r="E485" s="5" t="e" cm="1">
        <f t="array" aca="1" ref="E485" ca="1">SUMPRODUCT(SUMIF(INDIRECT("'"&amp;Assemblies[Assy]&amp;"'!"&amp;"C:C"),$A485,(INDIRECT("'"&amp;Assemblies[Assy]&amp;"'!"&amp;"O:O"))))</f>
        <v>#VALUE!</v>
      </c>
      <c r="F485" s="5" t="e">
        <f t="shared" ca="1" si="7"/>
        <v>#VALUE!</v>
      </c>
      <c r="G485" s="5">
        <v>2</v>
      </c>
      <c r="H485" s="2">
        <v>2</v>
      </c>
      <c r="I485" s="117" t="s">
        <v>3215</v>
      </c>
      <c r="J485" s="117" t="s">
        <v>2647</v>
      </c>
      <c r="K485" s="135" t="s">
        <v>1382</v>
      </c>
      <c r="L485" s="2" t="s">
        <v>1382</v>
      </c>
      <c r="M485" s="8" t="s">
        <v>1762</v>
      </c>
      <c r="N485" s="8">
        <v>45152</v>
      </c>
      <c r="O485" s="8">
        <v>45187</v>
      </c>
      <c r="P485" s="8">
        <v>45187</v>
      </c>
      <c r="Q485" s="229">
        <v>55054</v>
      </c>
      <c r="R485" s="115" t="str" cm="1">
        <f t="array" aca="1" ref="R485" ca="1">TRIM(SUBSTITUTE(_xlfn.ARRAYTOTEXT(IFERROR(CONCATENATE(SUMIF(INDIRECT("'"&amp;Assemblies[Assy]&amp;"'!"&amp;"C$5:C1000"), $A485, INDIRECT("'"&amp;Assemblies[Assy]&amp;"'!"&amp;"O$5:O1000")), "x",Assemblies[Assy],".",IF(SUMIF(INDIRECT("'"&amp;Assemblies[Assy]&amp;"'!"&amp;"C$5:C1000"), $A485, INDIRECT("'"&amp;Assemblies[Assy]&amp;"'!"&amp;"A$5:A1000"))=0,NA(),SUMIF(INDIRECT("'"&amp;Assemblies[Assy]&amp;"'!"&amp;"C$5:C1000"), $A485, INDIRECT("'"&amp;Assemblies[Assy]&amp;"'!"&amp;"A$5:A1000")))),"")), " ,", ""))</f>
        <v>,</v>
      </c>
    </row>
    <row r="486" spans="1:18">
      <c r="A486" s="133" t="s">
        <v>626</v>
      </c>
      <c r="B486" s="2" t="s">
        <v>3216</v>
      </c>
      <c r="C486" s="168">
        <v>6.8666999999999998</v>
      </c>
      <c r="D486" s="5">
        <v>1</v>
      </c>
      <c r="E486" s="5" t="e" cm="1">
        <f t="array" aca="1" ref="E486" ca="1">SUMPRODUCT(SUMIF(INDIRECT("'"&amp;Assemblies[Assy]&amp;"'!"&amp;"C:C"),$A486,(INDIRECT("'"&amp;Assemblies[Assy]&amp;"'!"&amp;"O:O"))))</f>
        <v>#VALUE!</v>
      </c>
      <c r="F486" s="5" t="e">
        <f t="shared" ca="1" si="7"/>
        <v>#VALUE!</v>
      </c>
      <c r="G486" s="5">
        <v>4</v>
      </c>
      <c r="H486" s="2">
        <v>4</v>
      </c>
      <c r="I486" s="117" t="s">
        <v>3208</v>
      </c>
      <c r="J486" s="117" t="s">
        <v>2647</v>
      </c>
      <c r="M486" s="8">
        <v>45202</v>
      </c>
      <c r="N486" s="8">
        <v>45203</v>
      </c>
      <c r="O486" s="8">
        <v>45238</v>
      </c>
      <c r="P486" s="8">
        <v>45238</v>
      </c>
      <c r="Q486" s="229">
        <v>55182</v>
      </c>
      <c r="R486" s="115" t="str" cm="1">
        <f t="array" aca="1" ref="R486" ca="1">TRIM(SUBSTITUTE(_xlfn.ARRAYTOTEXT(IFERROR(CONCATENATE(SUMIF(INDIRECT("'"&amp;Assemblies!$B$2:$B$152&amp;"'!"&amp;"C$5:C1000"), $A486, INDIRECT("'"&amp;Assemblies!$B$2:$B$152&amp;"'!"&amp;"O$5:O1000")), "x",Assemblies!$B$2:$B$152,".",IF(SUMIF(INDIRECT("'"&amp;Assemblies!$B$2:$B$152&amp;"'!"&amp;"C$5:C1000"), $A486, INDIRECT("'"&amp;Assemblies!$B$2:$B$152&amp;"'!"&amp;"A$5:A1000"))=0,NA(),SUMIF(INDIRECT("'"&amp;Assemblies!$B$2:$B$152&amp;"'!"&amp;"C$5:C1000"), $A486, INDIRECT("'"&amp;Assemblies!$B$2:$B$152&amp;"'!"&amp;"A$5:A1000")))),"")), " ,", ""))</f>
        <v>,</v>
      </c>
    </row>
    <row r="487" spans="1:18" hidden="1">
      <c r="A487" s="133" t="s">
        <v>127</v>
      </c>
      <c r="B487" s="2" t="s">
        <v>3217</v>
      </c>
      <c r="C487" s="168">
        <v>0</v>
      </c>
      <c r="D487" s="5">
        <v>1</v>
      </c>
      <c r="E487" s="5" t="e" cm="1">
        <f t="array" aca="1" ref="E487" ca="1">SUMPRODUCT(SUMIF(INDIRECT("'"&amp;Assemblies[Assy]&amp;"'!"&amp;"C:C"),$A487,(INDIRECT("'"&amp;Assemblies[Assy]&amp;"'!"&amp;"O:O"))))</f>
        <v>#VALUE!</v>
      </c>
      <c r="F487" s="5" t="e">
        <f t="shared" ca="1" si="7"/>
        <v>#VALUE!</v>
      </c>
      <c r="G487" s="5">
        <v>3</v>
      </c>
      <c r="H487" s="2">
        <v>3</v>
      </c>
      <c r="I487" s="117" t="s">
        <v>3215</v>
      </c>
      <c r="J487" s="117" t="s">
        <v>2635</v>
      </c>
      <c r="K487" s="135" t="s">
        <v>1382</v>
      </c>
      <c r="L487" s="2" t="s">
        <v>2731</v>
      </c>
      <c r="M487" s="8" t="s">
        <v>1762</v>
      </c>
      <c r="N487" s="8" t="s">
        <v>1762</v>
      </c>
      <c r="O487" s="8" t="s">
        <v>1762</v>
      </c>
      <c r="P487" s="8" t="s">
        <v>1762</v>
      </c>
      <c r="Q487" s="229" t="s">
        <v>1762</v>
      </c>
      <c r="R487" s="115" t="str" cm="1">
        <f t="array" aca="1" ref="R487" ca="1">TRIM(SUBSTITUTE(_xlfn.ARRAYTOTEXT(IFERROR(CONCATENATE(SUMIF(INDIRECT("'"&amp;Assemblies[Assy]&amp;"'!"&amp;"C$5:C1000"), $A487, INDIRECT("'"&amp;Assemblies[Assy]&amp;"'!"&amp;"O$5:O1000")), "x",Assemblies[Assy],".",IF(SUMIF(INDIRECT("'"&amp;Assemblies[Assy]&amp;"'!"&amp;"C$5:C1000"), $A487, INDIRECT("'"&amp;Assemblies[Assy]&amp;"'!"&amp;"A$5:A1000"))=0,NA(),SUMIF(INDIRECT("'"&amp;Assemblies[Assy]&amp;"'!"&amp;"C$5:C1000"), $A487, INDIRECT("'"&amp;Assemblies[Assy]&amp;"'!"&amp;"A$5:A1000")))),"")), " ,", ""))</f>
        <v>,</v>
      </c>
    </row>
    <row r="488" spans="1:18" hidden="1">
      <c r="A488" s="133" t="s">
        <v>165</v>
      </c>
      <c r="B488" s="2" t="s">
        <v>3218</v>
      </c>
      <c r="C488" s="168"/>
      <c r="D488" s="5">
        <v>1</v>
      </c>
      <c r="E488" s="5" t="e" cm="1">
        <f t="array" aca="1" ref="E488" ca="1">SUMPRODUCT(SUMIF(INDIRECT("'"&amp;Assemblies[Assy]&amp;"'!"&amp;"C:C"),$A488,(INDIRECT("'"&amp;Assemblies[Assy]&amp;"'!"&amp;"O:O"))))</f>
        <v>#VALUE!</v>
      </c>
      <c r="F488" s="5" t="e">
        <f t="shared" ca="1" si="7"/>
        <v>#VALUE!</v>
      </c>
      <c r="G488" s="5"/>
      <c r="I488" s="117" t="s">
        <v>3219</v>
      </c>
      <c r="J488" s="117" t="s">
        <v>2635</v>
      </c>
      <c r="R488" s="115" t="str" cm="1">
        <f t="array" aca="1" ref="R488" ca="1">TRIM(SUBSTITUTE(_xlfn.ARRAYTOTEXT(IFERROR(CONCATENATE(SUMIF(INDIRECT("'"&amp;Assemblies!$B$2:$B$152&amp;"'!"&amp;"C$5:C1000"), $A488, INDIRECT("'"&amp;Assemblies!$B$2:$B$152&amp;"'!"&amp;"O$5:O1000")), "x",Assemblies!$B$2:$B$152,".",IF(SUMIF(INDIRECT("'"&amp;Assemblies!$B$2:$B$152&amp;"'!"&amp;"C$5:C1000"), $A488, INDIRECT("'"&amp;Assemblies!$B$2:$B$152&amp;"'!"&amp;"A$5:A1000"))=0,NA(),SUMIF(INDIRECT("'"&amp;Assemblies!$B$2:$B$152&amp;"'!"&amp;"C$5:C1000"), $A488, INDIRECT("'"&amp;Assemblies!$B$2:$B$152&amp;"'!"&amp;"A$5:A1000")))),"")), " ,", ""))</f>
        <v>,</v>
      </c>
    </row>
    <row r="489" spans="1:18">
      <c r="A489" s="247" t="s">
        <v>503</v>
      </c>
      <c r="B489" s="248" t="s">
        <v>3220</v>
      </c>
      <c r="C489" s="168">
        <v>3.8180000000000001</v>
      </c>
      <c r="D489" s="5">
        <v>1</v>
      </c>
      <c r="E489" s="5" t="e" cm="1">
        <f t="array" aca="1" ref="E489" ca="1">SUMPRODUCT(SUMIF(INDIRECT("'"&amp;Assemblies[Assy]&amp;"'!"&amp;"C:C"),$A489,(INDIRECT("'"&amp;Assemblies[Assy]&amp;"'!"&amp;"O:O"))))</f>
        <v>#VALUE!</v>
      </c>
      <c r="F489" s="5" t="e">
        <f t="shared" ca="1" si="7"/>
        <v>#VALUE!</v>
      </c>
      <c r="G489" s="5">
        <v>1</v>
      </c>
      <c r="H489" s="2">
        <v>1</v>
      </c>
      <c r="I489" s="117" t="s">
        <v>3221</v>
      </c>
      <c r="J489" s="117" t="s">
        <v>2647</v>
      </c>
      <c r="K489" s="135" t="s">
        <v>1382</v>
      </c>
      <c r="L489" s="2" t="s">
        <v>1382</v>
      </c>
      <c r="M489" s="8">
        <v>45126</v>
      </c>
      <c r="N489" s="8">
        <v>45126</v>
      </c>
      <c r="O489" s="8">
        <v>45140</v>
      </c>
      <c r="P489" s="8">
        <v>45148</v>
      </c>
      <c r="Q489" s="229">
        <v>55002</v>
      </c>
      <c r="R489" s="115" t="str" cm="1">
        <f t="array" aca="1" ref="R489" ca="1">TRIM(SUBSTITUTE(_xlfn.ARRAYTOTEXT(IFERROR(CONCATENATE(SUMIF(INDIRECT("'"&amp;Assemblies[Assy]&amp;"'!"&amp;"C$5:C1000"), $A489, INDIRECT("'"&amp;Assemblies[Assy]&amp;"'!"&amp;"O$5:O1000")), "x",Assemblies[Assy],".",IF(SUMIF(INDIRECT("'"&amp;Assemblies[Assy]&amp;"'!"&amp;"C$5:C1000"), $A489, INDIRECT("'"&amp;Assemblies[Assy]&amp;"'!"&amp;"A$5:A1000"))=0,NA(),SUMIF(INDIRECT("'"&amp;Assemblies[Assy]&amp;"'!"&amp;"C$5:C1000"), $A489, INDIRECT("'"&amp;Assemblies[Assy]&amp;"'!"&amp;"A$5:A1000")))),"")), " ,", ""))</f>
        <v>,</v>
      </c>
    </row>
    <row r="490" spans="1:18">
      <c r="A490" s="247" t="s">
        <v>509</v>
      </c>
      <c r="B490" s="248" t="s">
        <v>3222</v>
      </c>
      <c r="C490" s="203">
        <v>4.8140000000000001</v>
      </c>
      <c r="D490" s="5">
        <v>1</v>
      </c>
      <c r="E490" s="5" t="e" cm="1">
        <f t="array" aca="1" ref="E490" ca="1">SUMPRODUCT(SUMIF(INDIRECT("'"&amp;Assemblies[Assy]&amp;"'!"&amp;"C:C"),$A490,(INDIRECT("'"&amp;Assemblies[Assy]&amp;"'!"&amp;"O:O"))))</f>
        <v>#VALUE!</v>
      </c>
      <c r="F490" s="5" t="e">
        <f t="shared" ca="1" si="7"/>
        <v>#VALUE!</v>
      </c>
      <c r="G490" s="5">
        <v>1</v>
      </c>
      <c r="H490" s="2">
        <v>1</v>
      </c>
      <c r="I490" s="117" t="s">
        <v>3221</v>
      </c>
      <c r="J490" s="117" t="s">
        <v>2647</v>
      </c>
      <c r="K490" s="135" t="s">
        <v>1382</v>
      </c>
      <c r="L490" s="2" t="s">
        <v>1382</v>
      </c>
      <c r="M490" s="8">
        <v>45126</v>
      </c>
      <c r="N490" s="8">
        <v>45126</v>
      </c>
      <c r="O490" s="8">
        <v>45140</v>
      </c>
      <c r="P490" s="8">
        <v>45148</v>
      </c>
      <c r="Q490" s="229">
        <v>55002</v>
      </c>
      <c r="R490" s="115" t="str" cm="1">
        <f t="array" aca="1" ref="R490" ca="1">TRIM(SUBSTITUTE(_xlfn.ARRAYTOTEXT(IFERROR(CONCATENATE(SUMIF(INDIRECT("'"&amp;Assemblies[Assy]&amp;"'!"&amp;"C$5:C1000"), $A490, INDIRECT("'"&amp;Assemblies[Assy]&amp;"'!"&amp;"O$5:O1000")), "x",Assemblies[Assy],".",IF(SUMIF(INDIRECT("'"&amp;Assemblies[Assy]&amp;"'!"&amp;"C$5:C1000"), $A490, INDIRECT("'"&amp;Assemblies[Assy]&amp;"'!"&amp;"A$5:A1000"))=0,NA(),SUMIF(INDIRECT("'"&amp;Assemblies[Assy]&amp;"'!"&amp;"C$5:C1000"), $A490, INDIRECT("'"&amp;Assemblies[Assy]&amp;"'!"&amp;"A$5:A1000")))),"")), " ,", ""))</f>
        <v>,</v>
      </c>
    </row>
    <row r="491" spans="1:18">
      <c r="A491" s="247" t="s">
        <v>447</v>
      </c>
      <c r="B491" s="161" t="s">
        <v>3223</v>
      </c>
      <c r="C491" s="168">
        <v>19.0623</v>
      </c>
      <c r="D491" s="5">
        <v>1</v>
      </c>
      <c r="E491" s="5" t="e" cm="1">
        <f t="array" aca="1" ref="E491" ca="1">SUMPRODUCT(SUMIF(INDIRECT("'"&amp;Assemblies[Assy]&amp;"'!"&amp;"C:C"),$A491,(INDIRECT("'"&amp;Assemblies[Assy]&amp;"'!"&amp;"O:O"))))</f>
        <v>#VALUE!</v>
      </c>
      <c r="F491" s="5" t="e">
        <f t="shared" ca="1" si="7"/>
        <v>#VALUE!</v>
      </c>
      <c r="G491" s="5">
        <v>6</v>
      </c>
      <c r="I491" s="117" t="s">
        <v>3221</v>
      </c>
      <c r="J491" s="117" t="s">
        <v>2647</v>
      </c>
      <c r="K491" s="135" t="s">
        <v>1382</v>
      </c>
      <c r="L491" s="2" t="s">
        <v>1382</v>
      </c>
      <c r="M491" s="8" t="s">
        <v>1762</v>
      </c>
      <c r="N491" s="8">
        <v>45162</v>
      </c>
      <c r="O491" s="8">
        <v>45184</v>
      </c>
      <c r="P491" s="8">
        <v>45180</v>
      </c>
      <c r="Q491" s="229">
        <v>55037</v>
      </c>
      <c r="R491" s="115" t="str" cm="1">
        <f t="array" aca="1" ref="R491" ca="1">TRIM(SUBSTITUTE(_xlfn.ARRAYTOTEXT(IFERROR(CONCATENATE(SUMIF(INDIRECT("'"&amp;Assemblies[Assy]&amp;"'!"&amp;"C$5:C1000"), $A491, INDIRECT("'"&amp;Assemblies[Assy]&amp;"'!"&amp;"O$5:O1000")), "x",Assemblies[Assy],".",IF(SUMIF(INDIRECT("'"&amp;Assemblies[Assy]&amp;"'!"&amp;"C$5:C1000"), $A491, INDIRECT("'"&amp;Assemblies[Assy]&amp;"'!"&amp;"A$5:A1000"))=0,NA(),SUMIF(INDIRECT("'"&amp;Assemblies[Assy]&amp;"'!"&amp;"C$5:C1000"), $A491, INDIRECT("'"&amp;Assemblies[Assy]&amp;"'!"&amp;"A$5:A1000")))),"")), " ,", ""))</f>
        <v>,</v>
      </c>
    </row>
    <row r="492" spans="1:18">
      <c r="A492" s="133" t="s">
        <v>990</v>
      </c>
      <c r="B492" s="2" t="s">
        <v>3224</v>
      </c>
      <c r="C492" s="168">
        <v>13.487500000000001</v>
      </c>
      <c r="D492" s="5">
        <v>1</v>
      </c>
      <c r="E492" s="5" t="e" cm="1">
        <f t="array" aca="1" ref="E492" ca="1">SUMPRODUCT(SUMIF(INDIRECT("'"&amp;Assemblies[Assy]&amp;"'!"&amp;"C:C"),$A492,(INDIRECT("'"&amp;Assemblies[Assy]&amp;"'!"&amp;"O:O"))))</f>
        <v>#VALUE!</v>
      </c>
      <c r="F492" s="5" t="e">
        <f t="shared" ca="1" si="7"/>
        <v>#VALUE!</v>
      </c>
      <c r="G492" s="5">
        <v>4</v>
      </c>
      <c r="I492" s="117" t="s">
        <v>3221</v>
      </c>
      <c r="J492" s="117" t="s">
        <v>2647</v>
      </c>
      <c r="K492" s="135" t="s">
        <v>1382</v>
      </c>
      <c r="L492" s="2" t="s">
        <v>1382</v>
      </c>
      <c r="M492" s="8" t="s">
        <v>1762</v>
      </c>
      <c r="N492" s="8">
        <v>45162</v>
      </c>
      <c r="O492" s="8">
        <v>45184</v>
      </c>
      <c r="P492" s="8">
        <v>45197</v>
      </c>
      <c r="Q492" s="229">
        <v>55073</v>
      </c>
      <c r="R492" s="115" t="str" cm="1">
        <f t="array" aca="1" ref="R492" ca="1">TRIM(SUBSTITUTE(_xlfn.ARRAYTOTEXT(IFERROR(CONCATENATE(SUMIF(INDIRECT("'"&amp;Assemblies[Assy]&amp;"'!"&amp;"C$5:C1000"), $A492, INDIRECT("'"&amp;Assemblies[Assy]&amp;"'!"&amp;"O$5:O1000")), "x",Assemblies[Assy],".",IF(SUMIF(INDIRECT("'"&amp;Assemblies[Assy]&amp;"'!"&amp;"C$5:C1000"), $A492, INDIRECT("'"&amp;Assemblies[Assy]&amp;"'!"&amp;"A$5:A1000"))=0,NA(),SUMIF(INDIRECT("'"&amp;Assemblies[Assy]&amp;"'!"&amp;"C$5:C1000"), $A492, INDIRECT("'"&amp;Assemblies[Assy]&amp;"'!"&amp;"A$5:A1000")))),"")), " ,", ""))</f>
        <v>,</v>
      </c>
    </row>
    <row r="493" spans="1:18">
      <c r="A493" s="133" t="s">
        <v>991</v>
      </c>
      <c r="B493" s="2" t="s">
        <v>3224</v>
      </c>
      <c r="C493" s="168">
        <v>13.487500000000001</v>
      </c>
      <c r="D493" s="5">
        <v>1</v>
      </c>
      <c r="E493" s="5" t="e" cm="1">
        <f t="array" aca="1" ref="E493" ca="1">SUMPRODUCT(SUMIF(INDIRECT("'"&amp;Assemblies[Assy]&amp;"'!"&amp;"C:C"),$A493,(INDIRECT("'"&amp;Assemblies[Assy]&amp;"'!"&amp;"O:O"))))</f>
        <v>#VALUE!</v>
      </c>
      <c r="F493" s="5" t="e">
        <f t="shared" ca="1" si="7"/>
        <v>#VALUE!</v>
      </c>
      <c r="G493" s="5">
        <v>4</v>
      </c>
      <c r="I493" s="117" t="s">
        <v>3221</v>
      </c>
      <c r="J493" s="117" t="s">
        <v>2647</v>
      </c>
      <c r="K493" s="135" t="s">
        <v>1382</v>
      </c>
      <c r="L493" s="2" t="s">
        <v>1382</v>
      </c>
      <c r="M493" s="8" t="s">
        <v>1762</v>
      </c>
      <c r="N493" s="8">
        <v>45162</v>
      </c>
      <c r="O493" s="8">
        <v>45184</v>
      </c>
      <c r="P493" s="8">
        <v>45197</v>
      </c>
      <c r="Q493" s="229">
        <v>55073</v>
      </c>
      <c r="R493" s="115" t="str" cm="1">
        <f t="array" aca="1" ref="R493" ca="1">TRIM(SUBSTITUTE(_xlfn.ARRAYTOTEXT(IFERROR(CONCATENATE(SUMIF(INDIRECT("'"&amp;Assemblies[Assy]&amp;"'!"&amp;"C$5:C1000"), $A493, INDIRECT("'"&amp;Assemblies[Assy]&amp;"'!"&amp;"O$5:O1000")), "x",Assemblies[Assy],".",IF(SUMIF(INDIRECT("'"&amp;Assemblies[Assy]&amp;"'!"&amp;"C$5:C1000"), $A493, INDIRECT("'"&amp;Assemblies[Assy]&amp;"'!"&amp;"A$5:A1000"))=0,NA(),SUMIF(INDIRECT("'"&amp;Assemblies[Assy]&amp;"'!"&amp;"C$5:C1000"), $A493, INDIRECT("'"&amp;Assemblies[Assy]&amp;"'!"&amp;"A$5:A1000")))),"")), " ,", ""))</f>
        <v>,</v>
      </c>
    </row>
    <row r="494" spans="1:18">
      <c r="A494" s="133" t="s">
        <v>1266</v>
      </c>
      <c r="B494" s="2" t="s">
        <v>3225</v>
      </c>
      <c r="C494" s="168">
        <v>14.773999999999999</v>
      </c>
      <c r="D494" s="5">
        <v>1</v>
      </c>
      <c r="E494" s="5" t="e" cm="1">
        <f t="array" aca="1" ref="E494" ca="1">SUMPRODUCT(SUMIF(INDIRECT("'"&amp;Assemblies[Assy]&amp;"'!"&amp;"C:C"),$A494,(INDIRECT("'"&amp;Assemblies[Assy]&amp;"'!"&amp;"O:O"))))</f>
        <v>#VALUE!</v>
      </c>
      <c r="F494" s="5" t="e">
        <f t="shared" ca="1" si="7"/>
        <v>#VALUE!</v>
      </c>
      <c r="G494" s="5">
        <v>16</v>
      </c>
      <c r="I494" s="117" t="s">
        <v>3221</v>
      </c>
      <c r="J494" s="117" t="s">
        <v>2647</v>
      </c>
      <c r="K494" s="135" t="s">
        <v>1382</v>
      </c>
      <c r="L494" s="2" t="s">
        <v>1382</v>
      </c>
      <c r="M494" s="8" t="s">
        <v>1762</v>
      </c>
      <c r="N494" s="8">
        <v>45162</v>
      </c>
      <c r="O494" s="8">
        <v>45184</v>
      </c>
      <c r="P494" s="8">
        <v>45197</v>
      </c>
      <c r="Q494" s="229">
        <v>55073</v>
      </c>
      <c r="R494" s="115" t="str" cm="1">
        <f t="array" aca="1" ref="R494" ca="1">TRIM(SUBSTITUTE(_xlfn.ARRAYTOTEXT(IFERROR(CONCATENATE(SUMIF(INDIRECT("'"&amp;Assemblies[Assy]&amp;"'!"&amp;"C$5:C1000"), $A494, INDIRECT("'"&amp;Assemblies[Assy]&amp;"'!"&amp;"O$5:O1000")), "x",Assemblies[Assy],".",IF(SUMIF(INDIRECT("'"&amp;Assemblies[Assy]&amp;"'!"&amp;"C$5:C1000"), $A494, INDIRECT("'"&amp;Assemblies[Assy]&amp;"'!"&amp;"A$5:A1000"))=0,NA(),SUMIF(INDIRECT("'"&amp;Assemblies[Assy]&amp;"'!"&amp;"C$5:C1000"), $A494, INDIRECT("'"&amp;Assemblies[Assy]&amp;"'!"&amp;"A$5:A1000")))),"")), " ,", ""))</f>
        <v>,</v>
      </c>
    </row>
    <row r="495" spans="1:18">
      <c r="A495" s="133" t="s">
        <v>445</v>
      </c>
      <c r="B495" s="2" t="s">
        <v>3224</v>
      </c>
      <c r="C495" s="168">
        <v>20.3765</v>
      </c>
      <c r="D495" s="5">
        <v>1</v>
      </c>
      <c r="E495" s="5" t="e" cm="1">
        <f t="array" aca="1" ref="E495" ca="1">SUMPRODUCT(SUMIF(INDIRECT("'"&amp;Assemblies[Assy]&amp;"'!"&amp;"C:C"),$A495,(INDIRECT("'"&amp;Assemblies[Assy]&amp;"'!"&amp;"O:O"))))</f>
        <v>#VALUE!</v>
      </c>
      <c r="F495" s="5" t="e">
        <f t="shared" ca="1" si="7"/>
        <v>#VALUE!</v>
      </c>
      <c r="G495" s="5">
        <v>18</v>
      </c>
      <c r="I495" s="117" t="s">
        <v>3221</v>
      </c>
      <c r="J495" s="117" t="s">
        <v>2647</v>
      </c>
      <c r="K495" s="135" t="s">
        <v>1382</v>
      </c>
      <c r="L495" s="2" t="s">
        <v>1382</v>
      </c>
      <c r="M495" s="8" t="s">
        <v>1762</v>
      </c>
      <c r="N495" s="8">
        <v>45162</v>
      </c>
      <c r="O495" s="8">
        <v>45184</v>
      </c>
      <c r="P495" s="8">
        <v>45180</v>
      </c>
      <c r="Q495" s="229">
        <v>55037</v>
      </c>
      <c r="R495" s="115" t="str" cm="1">
        <f t="array" aca="1" ref="R495" ca="1">TRIM(SUBSTITUTE(_xlfn.ARRAYTOTEXT(IFERROR(CONCATENATE(SUMIF(INDIRECT("'"&amp;Assemblies[Assy]&amp;"'!"&amp;"C$5:C1000"), $A495, INDIRECT("'"&amp;Assemblies[Assy]&amp;"'!"&amp;"O$5:O1000")), "x",Assemblies[Assy],".",IF(SUMIF(INDIRECT("'"&amp;Assemblies[Assy]&amp;"'!"&amp;"C$5:C1000"), $A495, INDIRECT("'"&amp;Assemblies[Assy]&amp;"'!"&amp;"A$5:A1000"))=0,NA(),SUMIF(INDIRECT("'"&amp;Assemblies[Assy]&amp;"'!"&amp;"C$5:C1000"), $A495, INDIRECT("'"&amp;Assemblies[Assy]&amp;"'!"&amp;"A$5:A1000")))),"")), " ,", ""))</f>
        <v>,</v>
      </c>
    </row>
    <row r="496" spans="1:18">
      <c r="A496" s="133" t="s">
        <v>992</v>
      </c>
      <c r="B496" s="2" t="s">
        <v>3226</v>
      </c>
      <c r="C496" s="168">
        <v>1.494</v>
      </c>
      <c r="D496" s="5">
        <v>1</v>
      </c>
      <c r="E496" s="5" t="e" cm="1">
        <f t="array" aca="1" ref="E496" ca="1">SUMPRODUCT(SUMIF(INDIRECT("'"&amp;Assemblies[Assy]&amp;"'!"&amp;"C:C"),$A496,(INDIRECT("'"&amp;Assemblies[Assy]&amp;"'!"&amp;"O:O"))))</f>
        <v>#VALUE!</v>
      </c>
      <c r="F496" s="5" t="e">
        <f t="shared" ca="1" si="7"/>
        <v>#VALUE!</v>
      </c>
      <c r="G496" s="5">
        <v>4</v>
      </c>
      <c r="I496" s="117" t="s">
        <v>3221</v>
      </c>
      <c r="J496" s="117" t="s">
        <v>2647</v>
      </c>
      <c r="K496" s="135" t="s">
        <v>1382</v>
      </c>
      <c r="L496" s="2" t="s">
        <v>1382</v>
      </c>
      <c r="M496" s="8" t="s">
        <v>1762</v>
      </c>
      <c r="N496" s="8">
        <v>45162</v>
      </c>
      <c r="O496" s="8">
        <v>45184</v>
      </c>
      <c r="P496" s="8">
        <v>45197</v>
      </c>
      <c r="Q496" s="229">
        <v>55073</v>
      </c>
      <c r="R496" s="115" t="str" cm="1">
        <f t="array" aca="1" ref="R496" ca="1">TRIM(SUBSTITUTE(_xlfn.ARRAYTOTEXT(IFERROR(CONCATENATE(SUMIF(INDIRECT("'"&amp;Assemblies[Assy]&amp;"'!"&amp;"C$5:C1000"), $A496, INDIRECT("'"&amp;Assemblies[Assy]&amp;"'!"&amp;"O$5:O1000")), "x",Assemblies[Assy],".",IF(SUMIF(INDIRECT("'"&amp;Assemblies[Assy]&amp;"'!"&amp;"C$5:C1000"), $A496, INDIRECT("'"&amp;Assemblies[Assy]&amp;"'!"&amp;"A$5:A1000"))=0,NA(),SUMIF(INDIRECT("'"&amp;Assemblies[Assy]&amp;"'!"&amp;"C$5:C1000"), $A496, INDIRECT("'"&amp;Assemblies[Assy]&amp;"'!"&amp;"A$5:A1000")))),"")), " ,", ""))</f>
        <v>,</v>
      </c>
    </row>
    <row r="497" spans="1:18">
      <c r="A497" s="133" t="s">
        <v>421</v>
      </c>
      <c r="B497" s="2" t="s">
        <v>3227</v>
      </c>
      <c r="C497" s="168">
        <v>2.2410000000000001</v>
      </c>
      <c r="D497" s="5">
        <v>1</v>
      </c>
      <c r="E497" s="5" t="e" cm="1">
        <f t="array" aca="1" ref="E497" ca="1">SUMPRODUCT(SUMIF(INDIRECT("'"&amp;Assemblies[Assy]&amp;"'!"&amp;"C:C"),$A497,(INDIRECT("'"&amp;Assemblies[Assy]&amp;"'!"&amp;"O:O"))))</f>
        <v>#VALUE!</v>
      </c>
      <c r="F497" s="5" t="e">
        <f t="shared" ca="1" si="7"/>
        <v>#VALUE!</v>
      </c>
      <c r="G497" s="5">
        <v>28</v>
      </c>
      <c r="I497" s="117" t="s">
        <v>3221</v>
      </c>
      <c r="J497" s="117" t="s">
        <v>2647</v>
      </c>
      <c r="K497" s="135" t="s">
        <v>1382</v>
      </c>
      <c r="L497" s="2" t="s">
        <v>1382</v>
      </c>
      <c r="M497" s="8" t="s">
        <v>1762</v>
      </c>
      <c r="N497" s="8">
        <v>45162</v>
      </c>
      <c r="O497" s="8">
        <v>45184</v>
      </c>
      <c r="P497" s="8">
        <v>45180</v>
      </c>
      <c r="Q497" s="229">
        <v>55037</v>
      </c>
      <c r="R497" s="115" t="str" cm="1">
        <f t="array" aca="1" ref="R497" ca="1">TRIM(SUBSTITUTE(_xlfn.ARRAYTOTEXT(IFERROR(CONCATENATE(SUMIF(INDIRECT("'"&amp;Assemblies[Assy]&amp;"'!"&amp;"C$5:C1000"), $A497, INDIRECT("'"&amp;Assemblies[Assy]&amp;"'!"&amp;"O$5:O1000")), "x",Assemblies[Assy],".",IF(SUMIF(INDIRECT("'"&amp;Assemblies[Assy]&amp;"'!"&amp;"C$5:C1000"), $A497, INDIRECT("'"&amp;Assemblies[Assy]&amp;"'!"&amp;"A$5:A1000"))=0,NA(),SUMIF(INDIRECT("'"&amp;Assemblies[Assy]&amp;"'!"&amp;"C$5:C1000"), $A497, INDIRECT("'"&amp;Assemblies[Assy]&amp;"'!"&amp;"A$5:A1000")))),"")), " ,", ""))</f>
        <v>,</v>
      </c>
    </row>
    <row r="498" spans="1:18">
      <c r="A498" s="133" t="s">
        <v>820</v>
      </c>
      <c r="B498" s="2" t="s">
        <v>3224</v>
      </c>
      <c r="C498" s="168">
        <v>20.3764</v>
      </c>
      <c r="D498" s="5">
        <v>1</v>
      </c>
      <c r="E498" s="5" t="e" cm="1">
        <f t="array" aca="1" ref="E498" ca="1">SUMPRODUCT(SUMIF(INDIRECT("'"&amp;Assemblies[Assy]&amp;"'!"&amp;"C:C"),$A498,(INDIRECT("'"&amp;Assemblies[Assy]&amp;"'!"&amp;"O:O"))))</f>
        <v>#VALUE!</v>
      </c>
      <c r="F498" s="5" t="e">
        <f t="shared" ca="1" si="7"/>
        <v>#VALUE!</v>
      </c>
      <c r="G498" s="5">
        <v>22</v>
      </c>
      <c r="I498" s="117" t="s">
        <v>3221</v>
      </c>
      <c r="J498" s="117" t="s">
        <v>2647</v>
      </c>
      <c r="K498" s="135" t="s">
        <v>1382</v>
      </c>
      <c r="L498" s="2" t="s">
        <v>1382</v>
      </c>
      <c r="M498" s="8" t="s">
        <v>1762</v>
      </c>
      <c r="N498" s="8">
        <v>45162</v>
      </c>
      <c r="O498" s="8">
        <v>45184</v>
      </c>
      <c r="P498" s="8">
        <v>45180</v>
      </c>
      <c r="Q498" s="229">
        <v>55037</v>
      </c>
      <c r="R498" s="115" t="str" cm="1">
        <f t="array" aca="1" ref="R498" ca="1">TRIM(SUBSTITUTE(_xlfn.ARRAYTOTEXT(IFERROR(CONCATENATE(SUMIF(INDIRECT("'"&amp;Assemblies[Assy]&amp;"'!"&amp;"C$5:C1000"), $A498, INDIRECT("'"&amp;Assemblies[Assy]&amp;"'!"&amp;"O$5:O1000")), "x",Assemblies[Assy],".",IF(SUMIF(INDIRECT("'"&amp;Assemblies[Assy]&amp;"'!"&amp;"C$5:C1000"), $A498, INDIRECT("'"&amp;Assemblies[Assy]&amp;"'!"&amp;"A$5:A1000"))=0,NA(),SUMIF(INDIRECT("'"&amp;Assemblies[Assy]&amp;"'!"&amp;"C$5:C1000"), $A498, INDIRECT("'"&amp;Assemblies[Assy]&amp;"'!"&amp;"A$5:A1000")))),"")), " ,", ""))</f>
        <v>,</v>
      </c>
    </row>
    <row r="499" spans="1:18">
      <c r="A499" s="133" t="s">
        <v>821</v>
      </c>
      <c r="B499" s="2" t="s">
        <v>3228</v>
      </c>
      <c r="C499" s="168">
        <v>2.2410000000000001</v>
      </c>
      <c r="D499" s="5">
        <v>1</v>
      </c>
      <c r="E499" s="5" t="e" cm="1">
        <f t="array" aca="1" ref="E499" ca="1">SUMPRODUCT(SUMIF(INDIRECT("'"&amp;Assemblies[Assy]&amp;"'!"&amp;"C:C"),$A499,(INDIRECT("'"&amp;Assemblies[Assy]&amp;"'!"&amp;"O:O"))))</f>
        <v>#VALUE!</v>
      </c>
      <c r="F499" s="5" t="e">
        <f t="shared" ca="1" si="7"/>
        <v>#VALUE!</v>
      </c>
      <c r="G499" s="5">
        <v>12</v>
      </c>
      <c r="I499" s="117" t="s">
        <v>3221</v>
      </c>
      <c r="J499" s="117" t="s">
        <v>2647</v>
      </c>
      <c r="K499" s="135" t="s">
        <v>1382</v>
      </c>
      <c r="L499" s="2" t="s">
        <v>1382</v>
      </c>
      <c r="M499" s="8" t="s">
        <v>1762</v>
      </c>
      <c r="N499" s="8">
        <v>45162</v>
      </c>
      <c r="O499" s="8">
        <v>45184</v>
      </c>
      <c r="P499" s="8">
        <v>45197</v>
      </c>
      <c r="Q499" s="229">
        <v>55073</v>
      </c>
      <c r="R499" s="115" t="str" cm="1">
        <f t="array" aca="1" ref="R499" ca="1">TRIM(SUBSTITUTE(_xlfn.ARRAYTOTEXT(IFERROR(CONCATENATE(SUMIF(INDIRECT("'"&amp;Assemblies[Assy]&amp;"'!"&amp;"C$5:C1000"), $A499, INDIRECT("'"&amp;Assemblies[Assy]&amp;"'!"&amp;"O$5:O1000")), "x",Assemblies[Assy],".",IF(SUMIF(INDIRECT("'"&amp;Assemblies[Assy]&amp;"'!"&amp;"C$5:C1000"), $A499, INDIRECT("'"&amp;Assemblies[Assy]&amp;"'!"&amp;"A$5:A1000"))=0,NA(),SUMIF(INDIRECT("'"&amp;Assemblies[Assy]&amp;"'!"&amp;"C$5:C1000"), $A499, INDIRECT("'"&amp;Assemblies[Assy]&amp;"'!"&amp;"A$5:A1000")))),"")), " ,", ""))</f>
        <v>,</v>
      </c>
    </row>
    <row r="500" spans="1:18">
      <c r="A500" s="247" t="s">
        <v>508</v>
      </c>
      <c r="B500" s="248" t="s">
        <v>3229</v>
      </c>
      <c r="C500" s="203">
        <v>163.74520000000001</v>
      </c>
      <c r="D500" s="5">
        <v>1</v>
      </c>
      <c r="E500" s="5" t="e" cm="1">
        <f t="array" aca="1" ref="E500" ca="1">SUMPRODUCT(SUMIF(INDIRECT("'"&amp;Assemblies[Assy]&amp;"'!"&amp;"C:C"),$A500,(INDIRECT("'"&amp;Assemblies[Assy]&amp;"'!"&amp;"O:O"))))</f>
        <v>#VALUE!</v>
      </c>
      <c r="F500" s="5" t="e">
        <f t="shared" ca="1" si="7"/>
        <v>#VALUE!</v>
      </c>
      <c r="G500" s="5">
        <v>1</v>
      </c>
      <c r="H500" s="2">
        <v>1</v>
      </c>
      <c r="I500" s="117" t="s">
        <v>3221</v>
      </c>
      <c r="J500" s="117" t="s">
        <v>2647</v>
      </c>
      <c r="K500" s="135" t="s">
        <v>1382</v>
      </c>
      <c r="L500" s="2" t="s">
        <v>1382</v>
      </c>
      <c r="M500" s="8">
        <v>45126</v>
      </c>
      <c r="N500" s="8">
        <v>45126</v>
      </c>
      <c r="O500" s="8">
        <v>45140</v>
      </c>
      <c r="P500" s="8">
        <v>45148</v>
      </c>
      <c r="Q500" s="229">
        <v>55002</v>
      </c>
      <c r="R500" s="115" t="str" cm="1">
        <f t="array" aca="1" ref="R500" ca="1">TRIM(SUBSTITUTE(_xlfn.ARRAYTOTEXT(IFERROR(CONCATENATE(SUMIF(INDIRECT("'"&amp;Assemblies[Assy]&amp;"'!"&amp;"C$5:C1000"), $A500, INDIRECT("'"&amp;Assemblies[Assy]&amp;"'!"&amp;"O$5:O1000")), "x",Assemblies[Assy],".",IF(SUMIF(INDIRECT("'"&amp;Assemblies[Assy]&amp;"'!"&amp;"C$5:C1000"), $A500, INDIRECT("'"&amp;Assemblies[Assy]&amp;"'!"&amp;"A$5:A1000"))=0,NA(),SUMIF(INDIRECT("'"&amp;Assemblies[Assy]&amp;"'!"&amp;"C$5:C1000"), $A500, INDIRECT("'"&amp;Assemblies[Assy]&amp;"'!"&amp;"A$5:A1000")))),"")), " ,", ""))</f>
        <v>,</v>
      </c>
    </row>
    <row r="501" spans="1:18">
      <c r="A501" s="247" t="s">
        <v>505</v>
      </c>
      <c r="B501" s="248" t="s">
        <v>3230</v>
      </c>
      <c r="C501" s="203">
        <v>54.309699999999999</v>
      </c>
      <c r="D501" s="5">
        <v>1</v>
      </c>
      <c r="E501" s="5" t="e" cm="1">
        <f t="array" aca="1" ref="E501" ca="1">SUMPRODUCT(SUMIF(INDIRECT("'"&amp;Assemblies[Assy]&amp;"'!"&amp;"C:C"),$A501,(INDIRECT("'"&amp;Assemblies[Assy]&amp;"'!"&amp;"O:O"))))</f>
        <v>#VALUE!</v>
      </c>
      <c r="F501" s="5" t="e">
        <f t="shared" ca="1" si="7"/>
        <v>#VALUE!</v>
      </c>
      <c r="G501" s="5">
        <v>1</v>
      </c>
      <c r="H501" s="2">
        <v>1</v>
      </c>
      <c r="I501" s="117" t="s">
        <v>3221</v>
      </c>
      <c r="J501" s="117" t="s">
        <v>2647</v>
      </c>
      <c r="K501" s="135" t="s">
        <v>1382</v>
      </c>
      <c r="L501" s="2" t="s">
        <v>1382</v>
      </c>
      <c r="M501" s="8">
        <v>45126</v>
      </c>
      <c r="N501" s="8">
        <v>45126</v>
      </c>
      <c r="O501" s="8">
        <v>45140</v>
      </c>
      <c r="P501" s="8">
        <v>45148</v>
      </c>
      <c r="Q501" s="229">
        <v>55002</v>
      </c>
      <c r="R501" s="115" t="str" cm="1">
        <f t="array" aca="1" ref="R501" ca="1">TRIM(SUBSTITUTE(_xlfn.ARRAYTOTEXT(IFERROR(CONCATENATE(SUMIF(INDIRECT("'"&amp;Assemblies[Assy]&amp;"'!"&amp;"C$5:C1000"), $A501, INDIRECT("'"&amp;Assemblies[Assy]&amp;"'!"&amp;"O$5:O1000")), "x",Assemblies[Assy],".",IF(SUMIF(INDIRECT("'"&amp;Assemblies[Assy]&amp;"'!"&amp;"C$5:C1000"), $A501, INDIRECT("'"&amp;Assemblies[Assy]&amp;"'!"&amp;"A$5:A1000"))=0,NA(),SUMIF(INDIRECT("'"&amp;Assemblies[Assy]&amp;"'!"&amp;"C$5:C1000"), $A501, INDIRECT("'"&amp;Assemblies[Assy]&amp;"'!"&amp;"A$5:A1000")))),"")), " ,", ""))</f>
        <v>,</v>
      </c>
    </row>
    <row r="502" spans="1:18">
      <c r="A502" s="247" t="s">
        <v>183</v>
      </c>
      <c r="B502" s="161" t="s">
        <v>3231</v>
      </c>
      <c r="C502" s="168">
        <v>97.691000000000003</v>
      </c>
      <c r="D502" s="5">
        <v>1</v>
      </c>
      <c r="E502" s="5" t="e" cm="1">
        <f t="array" aca="1" ref="E502" ca="1">SUMPRODUCT(SUMIF(INDIRECT("'"&amp;Assemblies[Assy]&amp;"'!"&amp;"C:C"),$A502,(INDIRECT("'"&amp;Assemblies[Assy]&amp;"'!"&amp;"O:O"))))</f>
        <v>#VALUE!</v>
      </c>
      <c r="F502" s="5" t="e">
        <f t="shared" ca="1" si="7"/>
        <v>#VALUE!</v>
      </c>
      <c r="G502" s="5">
        <v>2</v>
      </c>
      <c r="H502" s="221">
        <v>2</v>
      </c>
      <c r="I502" s="117" t="s">
        <v>3221</v>
      </c>
      <c r="J502" s="117" t="s">
        <v>2647</v>
      </c>
      <c r="M502" s="8">
        <v>45089</v>
      </c>
      <c r="N502" s="8">
        <v>45167</v>
      </c>
      <c r="O502" s="8">
        <v>45184</v>
      </c>
      <c r="P502" s="8">
        <v>45184</v>
      </c>
      <c r="Q502" s="229">
        <v>55114</v>
      </c>
      <c r="R502" s="115" t="str" cm="1">
        <f t="array" aca="1" ref="R502" ca="1">TRIM(SUBSTITUTE(_xlfn.ARRAYTOTEXT(IFERROR(CONCATENATE(SUMIF(INDIRECT("'"&amp;Assemblies[Assy]&amp;"'!"&amp;"C$5:C1000"), $A502, INDIRECT("'"&amp;Assemblies[Assy]&amp;"'!"&amp;"O$5:O1000")), "x",Assemblies[Assy],".",IF(SUMIF(INDIRECT("'"&amp;Assemblies[Assy]&amp;"'!"&amp;"C$5:C1000"), $A502, INDIRECT("'"&amp;Assemblies[Assy]&amp;"'!"&amp;"A$5:A1000"))=0,NA(),SUMIF(INDIRECT("'"&amp;Assemblies[Assy]&amp;"'!"&amp;"C$5:C1000"), $A502, INDIRECT("'"&amp;Assemblies[Assy]&amp;"'!"&amp;"A$5:A1000")))),"")), " ,", ""))</f>
        <v>,</v>
      </c>
    </row>
    <row r="503" spans="1:18">
      <c r="A503" s="247" t="s">
        <v>449</v>
      </c>
      <c r="B503" s="161" t="s">
        <v>3232</v>
      </c>
      <c r="C503" s="168">
        <v>136.85319999999999</v>
      </c>
      <c r="D503" s="5">
        <v>1</v>
      </c>
      <c r="E503" s="5" t="e" cm="1">
        <f t="array" aca="1" ref="E503" ca="1">SUMPRODUCT(SUMIF(INDIRECT("'"&amp;Assemblies[Assy]&amp;"'!"&amp;"C:C"),$A503,(INDIRECT("'"&amp;Assemblies[Assy]&amp;"'!"&amp;"O:O"))))</f>
        <v>#VALUE!</v>
      </c>
      <c r="F503" s="5" t="e">
        <f t="shared" ca="1" si="7"/>
        <v>#VALUE!</v>
      </c>
      <c r="G503" s="5">
        <v>5</v>
      </c>
      <c r="H503" s="221">
        <v>5</v>
      </c>
      <c r="I503" s="117" t="s">
        <v>3221</v>
      </c>
      <c r="J503" s="117" t="s">
        <v>2647</v>
      </c>
      <c r="M503" s="8">
        <v>45089</v>
      </c>
      <c r="N503" s="8">
        <v>45167</v>
      </c>
      <c r="O503" s="8">
        <v>45184</v>
      </c>
      <c r="P503" s="8">
        <v>45184</v>
      </c>
      <c r="Q503" s="229">
        <v>55114</v>
      </c>
      <c r="R503" s="115" t="str" cm="1">
        <f t="array" aca="1" ref="R503" ca="1">TRIM(SUBSTITUTE(_xlfn.ARRAYTOTEXT(IFERROR(CONCATENATE(SUMIF(INDIRECT("'"&amp;Assemblies[Assy]&amp;"'!"&amp;"C$5:C1000"), $A503, INDIRECT("'"&amp;Assemblies[Assy]&amp;"'!"&amp;"O$5:O1000")), "x",Assemblies[Assy],".",IF(SUMIF(INDIRECT("'"&amp;Assemblies[Assy]&amp;"'!"&amp;"C$5:C1000"), $A503, INDIRECT("'"&amp;Assemblies[Assy]&amp;"'!"&amp;"A$5:A1000"))=0,NA(),SUMIF(INDIRECT("'"&amp;Assemblies[Assy]&amp;"'!"&amp;"C$5:C1000"), $A503, INDIRECT("'"&amp;Assemblies[Assy]&amp;"'!"&amp;"A$5:A1000")))),"")), " ,", ""))</f>
        <v>,</v>
      </c>
    </row>
    <row r="504" spans="1:18">
      <c r="A504" s="247" t="s">
        <v>448</v>
      </c>
      <c r="B504" s="161" t="s">
        <v>3233</v>
      </c>
      <c r="C504" s="168">
        <v>234.11529999999999</v>
      </c>
      <c r="D504" s="5">
        <v>1</v>
      </c>
      <c r="E504" s="5" t="e" cm="1">
        <f t="array" aca="1" ref="E504" ca="1">SUMPRODUCT(SUMIF(INDIRECT("'"&amp;Assemblies[Assy]&amp;"'!"&amp;"C:C"),$A504,(INDIRECT("'"&amp;Assemblies[Assy]&amp;"'!"&amp;"O:O"))))</f>
        <v>#VALUE!</v>
      </c>
      <c r="F504" s="5" t="e">
        <f t="shared" ca="1" si="7"/>
        <v>#VALUE!</v>
      </c>
      <c r="G504" s="5">
        <v>2</v>
      </c>
      <c r="H504" s="221">
        <v>2</v>
      </c>
      <c r="I504" s="117" t="s">
        <v>3221</v>
      </c>
      <c r="J504" s="117" t="s">
        <v>2647</v>
      </c>
      <c r="M504" s="8">
        <v>45089</v>
      </c>
      <c r="N504" s="8">
        <v>45167</v>
      </c>
      <c r="O504" s="8">
        <v>45184</v>
      </c>
      <c r="P504" s="8">
        <v>45184</v>
      </c>
      <c r="Q504" s="229">
        <v>55114</v>
      </c>
      <c r="R504" s="115" t="str" cm="1">
        <f t="array" aca="1" ref="R504" ca="1">TRIM(SUBSTITUTE(_xlfn.ARRAYTOTEXT(IFERROR(CONCATENATE(SUMIF(INDIRECT("'"&amp;Assemblies[Assy]&amp;"'!"&amp;"C$5:C1000"), $A504, INDIRECT("'"&amp;Assemblies[Assy]&amp;"'!"&amp;"O$5:O1000")), "x",Assemblies[Assy],".",IF(SUMIF(INDIRECT("'"&amp;Assemblies[Assy]&amp;"'!"&amp;"C$5:C1000"), $A504, INDIRECT("'"&amp;Assemblies[Assy]&amp;"'!"&amp;"A$5:A1000"))=0,NA(),SUMIF(INDIRECT("'"&amp;Assemblies[Assy]&amp;"'!"&amp;"C$5:C1000"), $A504, INDIRECT("'"&amp;Assemblies[Assy]&amp;"'!"&amp;"A$5:A1000")))),"")), " ,", ""))</f>
        <v>,</v>
      </c>
    </row>
    <row r="505" spans="1:18">
      <c r="A505" s="133" t="s">
        <v>723</v>
      </c>
      <c r="B505" s="2" t="s">
        <v>3234</v>
      </c>
      <c r="C505" s="168">
        <v>4.5511999999999997</v>
      </c>
      <c r="D505" s="5">
        <v>1</v>
      </c>
      <c r="E505" s="5" t="e" cm="1">
        <f t="array" aca="1" ref="E505" ca="1">SUMPRODUCT(SUMIF(INDIRECT("'"&amp;Assemblies[Assy]&amp;"'!"&amp;"C:C"),$A505,(INDIRECT("'"&amp;Assemblies[Assy]&amp;"'!"&amp;"O:O"))))</f>
        <v>#VALUE!</v>
      </c>
      <c r="F505" s="5" t="e">
        <f t="shared" ca="1" si="7"/>
        <v>#VALUE!</v>
      </c>
      <c r="G505" s="5">
        <v>4</v>
      </c>
      <c r="H505" s="2">
        <v>4</v>
      </c>
      <c r="I505" s="117" t="s">
        <v>3221</v>
      </c>
      <c r="J505" s="117" t="s">
        <v>3235</v>
      </c>
      <c r="K505" s="135" t="s">
        <v>1382</v>
      </c>
      <c r="L505" s="2" t="s">
        <v>1382</v>
      </c>
      <c r="M505" s="8" t="s">
        <v>1762</v>
      </c>
      <c r="N505" s="8">
        <v>45162</v>
      </c>
      <c r="O505" s="8">
        <v>45184</v>
      </c>
      <c r="P505" s="8">
        <v>45197</v>
      </c>
      <c r="Q505" s="229" t="s">
        <v>3236</v>
      </c>
      <c r="R505" s="115" t="str" cm="1">
        <f t="array" aca="1" ref="R505" ca="1">TRIM(SUBSTITUTE(_xlfn.ARRAYTOTEXT(IFERROR(CONCATENATE(SUMIF(INDIRECT("'"&amp;Assemblies[Assy]&amp;"'!"&amp;"C$5:C1000"), $A505, INDIRECT("'"&amp;Assemblies[Assy]&amp;"'!"&amp;"O$5:O1000")), "x",Assemblies[Assy],".",IF(SUMIF(INDIRECT("'"&amp;Assemblies[Assy]&amp;"'!"&amp;"C$5:C1000"), $A505, INDIRECT("'"&amp;Assemblies[Assy]&amp;"'!"&amp;"A$5:A1000"))=0,NA(),SUMIF(INDIRECT("'"&amp;Assemblies[Assy]&amp;"'!"&amp;"C$5:C1000"), $A505, INDIRECT("'"&amp;Assemblies[Assy]&amp;"'!"&amp;"A$5:A1000")))),"")), " ,", ""))</f>
        <v>,</v>
      </c>
    </row>
    <row r="506" spans="1:18">
      <c r="A506" s="133" t="s">
        <v>1267</v>
      </c>
      <c r="B506" s="2" t="s">
        <v>3237</v>
      </c>
      <c r="C506" s="168">
        <v>2.2686999999999999</v>
      </c>
      <c r="D506" s="5">
        <v>1</v>
      </c>
      <c r="E506" s="5" t="e" cm="1">
        <f t="array" aca="1" ref="E506" ca="1">SUMPRODUCT(SUMIF(INDIRECT("'"&amp;Assemblies[Assy]&amp;"'!"&amp;"C:C"),$A506,(INDIRECT("'"&amp;Assemblies[Assy]&amp;"'!"&amp;"O:O"))))</f>
        <v>#VALUE!</v>
      </c>
      <c r="F506" s="5" t="e">
        <f t="shared" ca="1" si="7"/>
        <v>#VALUE!</v>
      </c>
      <c r="G506" s="5">
        <v>4</v>
      </c>
      <c r="H506" s="2">
        <v>4</v>
      </c>
      <c r="I506" s="117" t="s">
        <v>3221</v>
      </c>
      <c r="J506" s="117" t="s">
        <v>2647</v>
      </c>
      <c r="K506" s="135" t="s">
        <v>1382</v>
      </c>
      <c r="L506" s="2" t="s">
        <v>1382</v>
      </c>
      <c r="M506" s="8" t="s">
        <v>1762</v>
      </c>
      <c r="N506" s="8">
        <v>45162</v>
      </c>
      <c r="O506" s="8">
        <v>45184</v>
      </c>
      <c r="P506" s="8">
        <v>45197</v>
      </c>
      <c r="Q506" s="229">
        <v>55073</v>
      </c>
      <c r="R506" s="115" t="str" cm="1">
        <f t="array" aca="1" ref="R506" ca="1">TRIM(SUBSTITUTE(_xlfn.ARRAYTOTEXT(IFERROR(CONCATENATE(SUMIF(INDIRECT("'"&amp;Assemblies[Assy]&amp;"'!"&amp;"C$5:C1000"), $A506, INDIRECT("'"&amp;Assemblies[Assy]&amp;"'!"&amp;"O$5:O1000")), "x",Assemblies[Assy],".",IF(SUMIF(INDIRECT("'"&amp;Assemblies[Assy]&amp;"'!"&amp;"C$5:C1000"), $A506, INDIRECT("'"&amp;Assemblies[Assy]&amp;"'!"&amp;"A$5:A1000"))=0,NA(),SUMIF(INDIRECT("'"&amp;Assemblies[Assy]&amp;"'!"&amp;"C$5:C1000"), $A506, INDIRECT("'"&amp;Assemblies[Assy]&amp;"'!"&amp;"A$5:A1000")))),"")), " ,", ""))</f>
        <v>,</v>
      </c>
    </row>
    <row r="507" spans="1:18">
      <c r="A507" s="247" t="s">
        <v>716</v>
      </c>
      <c r="B507" s="161" t="s">
        <v>3238</v>
      </c>
      <c r="C507" s="203">
        <v>92.13</v>
      </c>
      <c r="D507" s="5">
        <v>1</v>
      </c>
      <c r="E507" s="5" t="e" cm="1">
        <f t="array" aca="1" ref="E507" ca="1">SUMPRODUCT(SUMIF(INDIRECT("'"&amp;Assemblies[Assy]&amp;"'!"&amp;"C:C"),$A507,(INDIRECT("'"&amp;Assemblies[Assy]&amp;"'!"&amp;"O:O"))))</f>
        <v>#VALUE!</v>
      </c>
      <c r="F507" s="5" t="e">
        <f t="shared" ca="1" si="7"/>
        <v>#VALUE!</v>
      </c>
      <c r="G507" s="5">
        <v>2</v>
      </c>
      <c r="H507" s="2">
        <v>2</v>
      </c>
      <c r="I507" s="117" t="s">
        <v>3221</v>
      </c>
      <c r="J507" s="117" t="s">
        <v>2647</v>
      </c>
      <c r="K507" s="135" t="s">
        <v>1382</v>
      </c>
      <c r="L507" s="2" t="s">
        <v>1382</v>
      </c>
      <c r="M507" s="8" t="s">
        <v>1762</v>
      </c>
      <c r="N507" s="8">
        <v>45042</v>
      </c>
      <c r="O507" s="8">
        <v>45098</v>
      </c>
      <c r="P507" s="8">
        <v>45134</v>
      </c>
      <c r="Q507" s="229">
        <v>54862</v>
      </c>
      <c r="R507" s="115" t="str" cm="1">
        <f t="array" aca="1" ref="R507" ca="1">TRIM(SUBSTITUTE(_xlfn.ARRAYTOTEXT(IFERROR(CONCATENATE(SUMIF(INDIRECT("'"&amp;Assemblies[Assy]&amp;"'!"&amp;"C$5:C1000"), $A507, INDIRECT("'"&amp;Assemblies[Assy]&amp;"'!"&amp;"O$5:O1000")), "x",Assemblies[Assy],".",IF(SUMIF(INDIRECT("'"&amp;Assemblies[Assy]&amp;"'!"&amp;"C$5:C1000"), $A507, INDIRECT("'"&amp;Assemblies[Assy]&amp;"'!"&amp;"A$5:A1000"))=0,NA(),SUMIF(INDIRECT("'"&amp;Assemblies[Assy]&amp;"'!"&amp;"C$5:C1000"), $A507, INDIRECT("'"&amp;Assemblies[Assy]&amp;"'!"&amp;"A$5:A1000")))),"")), " ,", ""))</f>
        <v>,</v>
      </c>
    </row>
    <row r="508" spans="1:18">
      <c r="A508" s="247" t="s">
        <v>1316</v>
      </c>
      <c r="B508" s="161" t="s">
        <v>3238</v>
      </c>
      <c r="C508" s="203">
        <v>91.147800000000004</v>
      </c>
      <c r="D508" s="5">
        <v>1</v>
      </c>
      <c r="E508" s="5" t="e" cm="1">
        <f t="array" aca="1" ref="E508" ca="1">SUMPRODUCT(SUMIF(INDIRECT("'"&amp;Assemblies[Assy]&amp;"'!"&amp;"C:C"),$A508,(INDIRECT("'"&amp;Assemblies[Assy]&amp;"'!"&amp;"O:O"))))</f>
        <v>#VALUE!</v>
      </c>
      <c r="F508" s="5" t="e">
        <f t="shared" ca="1" si="7"/>
        <v>#VALUE!</v>
      </c>
      <c r="G508" s="5">
        <v>2</v>
      </c>
      <c r="H508" s="2">
        <v>2</v>
      </c>
      <c r="I508" s="117" t="s">
        <v>3221</v>
      </c>
      <c r="J508" s="117" t="s">
        <v>2647</v>
      </c>
      <c r="K508" s="135" t="s">
        <v>1382</v>
      </c>
      <c r="L508" s="2" t="s">
        <v>1382</v>
      </c>
      <c r="M508" s="8" t="s">
        <v>1762</v>
      </c>
      <c r="N508" s="8">
        <v>45042</v>
      </c>
      <c r="O508" s="8">
        <v>45098</v>
      </c>
      <c r="P508" s="8">
        <v>45135</v>
      </c>
      <c r="Q508" s="229">
        <v>54862</v>
      </c>
      <c r="R508" s="115" t="str" cm="1">
        <f t="array" aca="1" ref="R508" ca="1">TRIM(SUBSTITUTE(_xlfn.ARRAYTOTEXT(IFERROR(CONCATENATE(SUMIF(INDIRECT("'"&amp;Assemblies[Assy]&amp;"'!"&amp;"C$5:C1000"), $A508, INDIRECT("'"&amp;Assemblies[Assy]&amp;"'!"&amp;"O$5:O1000")), "x",Assemblies[Assy],".",IF(SUMIF(INDIRECT("'"&amp;Assemblies[Assy]&amp;"'!"&amp;"C$5:C1000"), $A508, INDIRECT("'"&amp;Assemblies[Assy]&amp;"'!"&amp;"A$5:A1000"))=0,NA(),SUMIF(INDIRECT("'"&amp;Assemblies[Assy]&amp;"'!"&amp;"C$5:C1000"), $A508, INDIRECT("'"&amp;Assemblies[Assy]&amp;"'!"&amp;"A$5:A1000")))),"")), " ,", ""))</f>
        <v>,</v>
      </c>
    </row>
    <row r="509" spans="1:18">
      <c r="A509" s="247" t="s">
        <v>717</v>
      </c>
      <c r="B509" s="161" t="s">
        <v>3239</v>
      </c>
      <c r="C509" s="203">
        <v>24.955300000000001</v>
      </c>
      <c r="D509" s="5">
        <v>1</v>
      </c>
      <c r="E509" s="5" t="e" cm="1">
        <f t="array" aca="1" ref="E509" ca="1">SUMPRODUCT(SUMIF(INDIRECT("'"&amp;Assemblies[Assy]&amp;"'!"&amp;"C:C"),$A509,(INDIRECT("'"&amp;Assemblies[Assy]&amp;"'!"&amp;"O:O"))))</f>
        <v>#VALUE!</v>
      </c>
      <c r="F509" s="5" t="e">
        <f t="shared" ca="1" si="7"/>
        <v>#VALUE!</v>
      </c>
      <c r="G509" s="5">
        <v>4</v>
      </c>
      <c r="H509" s="2">
        <v>4</v>
      </c>
      <c r="I509" s="117" t="s">
        <v>3221</v>
      </c>
      <c r="J509" s="117" t="s">
        <v>2647</v>
      </c>
      <c r="K509" s="135" t="s">
        <v>1382</v>
      </c>
      <c r="L509" s="2" t="s">
        <v>1382</v>
      </c>
      <c r="M509" s="8" t="s">
        <v>1762</v>
      </c>
      <c r="N509" s="8">
        <v>45042</v>
      </c>
      <c r="O509" s="8">
        <v>45098</v>
      </c>
      <c r="P509" s="8">
        <v>45136</v>
      </c>
      <c r="Q509" s="229">
        <v>54862</v>
      </c>
      <c r="R509" s="115" t="str" cm="1">
        <f t="array" aca="1" ref="R509" ca="1">TRIM(SUBSTITUTE(_xlfn.ARRAYTOTEXT(IFERROR(CONCATENATE(SUMIF(INDIRECT("'"&amp;Assemblies[Assy]&amp;"'!"&amp;"C$5:C1000"), $A509, INDIRECT("'"&amp;Assemblies[Assy]&amp;"'!"&amp;"O$5:O1000")), "x",Assemblies[Assy],".",IF(SUMIF(INDIRECT("'"&amp;Assemblies[Assy]&amp;"'!"&amp;"C$5:C1000"), $A509, INDIRECT("'"&amp;Assemblies[Assy]&amp;"'!"&amp;"A$5:A1000"))=0,NA(),SUMIF(INDIRECT("'"&amp;Assemblies[Assy]&amp;"'!"&amp;"C$5:C1000"), $A509, INDIRECT("'"&amp;Assemblies[Assy]&amp;"'!"&amp;"A$5:A1000")))),"")), " ,", ""))</f>
        <v>,</v>
      </c>
    </row>
    <row r="510" spans="1:18">
      <c r="A510" s="247" t="s">
        <v>956</v>
      </c>
      <c r="B510" s="161" t="s">
        <v>3238</v>
      </c>
      <c r="C510" s="168">
        <v>26.629200000000001</v>
      </c>
      <c r="D510" s="5">
        <v>1</v>
      </c>
      <c r="E510" s="5" t="e" cm="1">
        <f t="array" aca="1" ref="E510" ca="1">SUMPRODUCT(SUMIF(INDIRECT("'"&amp;Assemblies[Assy]&amp;"'!"&amp;"C:C"),$A510,(INDIRECT("'"&amp;Assemblies[Assy]&amp;"'!"&amp;"O:O"))))</f>
        <v>#VALUE!</v>
      </c>
      <c r="F510" s="5" t="e">
        <f t="shared" ca="1" si="7"/>
        <v>#VALUE!</v>
      </c>
      <c r="G510" s="5">
        <v>8</v>
      </c>
      <c r="H510" s="2">
        <v>8</v>
      </c>
      <c r="I510" s="117" t="s">
        <v>3221</v>
      </c>
      <c r="J510" s="117" t="s">
        <v>2647</v>
      </c>
      <c r="K510" s="135" t="s">
        <v>1382</v>
      </c>
      <c r="L510" s="2" t="s">
        <v>1382</v>
      </c>
      <c r="M510" s="8" t="s">
        <v>1762</v>
      </c>
      <c r="N510" s="8">
        <v>45152</v>
      </c>
      <c r="O510" s="8">
        <v>45166</v>
      </c>
      <c r="P510" s="8">
        <v>45166</v>
      </c>
      <c r="Q510" s="229">
        <v>55055</v>
      </c>
      <c r="R510" s="115" t="str" cm="1">
        <f t="array" aca="1" ref="R510" ca="1">TRIM(SUBSTITUTE(_xlfn.ARRAYTOTEXT(IFERROR(CONCATENATE(SUMIF(INDIRECT("'"&amp;Assemblies[Assy]&amp;"'!"&amp;"C$5:C1000"), $A510, INDIRECT("'"&amp;Assemblies[Assy]&amp;"'!"&amp;"O$5:O1000")), "x",Assemblies[Assy],".",IF(SUMIF(INDIRECT("'"&amp;Assemblies[Assy]&amp;"'!"&amp;"C$5:C1000"), $A510, INDIRECT("'"&amp;Assemblies[Assy]&amp;"'!"&amp;"A$5:A1000"))=0,NA(),SUMIF(INDIRECT("'"&amp;Assemblies[Assy]&amp;"'!"&amp;"C$5:C1000"), $A510, INDIRECT("'"&amp;Assemblies[Assy]&amp;"'!"&amp;"A$5:A1000")))),"")), " ,", ""))</f>
        <v>,</v>
      </c>
    </row>
    <row r="511" spans="1:18">
      <c r="A511" s="247" t="s">
        <v>1355</v>
      </c>
      <c r="B511" s="161" t="s">
        <v>3239</v>
      </c>
      <c r="C511" s="168">
        <v>26.891999999999999</v>
      </c>
      <c r="D511" s="5">
        <v>1</v>
      </c>
      <c r="E511" s="5" t="e" cm="1">
        <f t="array" aca="1" ref="E511" ca="1">SUMPRODUCT(SUMIF(INDIRECT("'"&amp;Assemblies[Assy]&amp;"'!"&amp;"C:C"),$A511,(INDIRECT("'"&amp;Assemblies[Assy]&amp;"'!"&amp;"O:O"))))</f>
        <v>#VALUE!</v>
      </c>
      <c r="F511" s="5" t="e">
        <f t="shared" ca="1" si="7"/>
        <v>#VALUE!</v>
      </c>
      <c r="G511" s="5">
        <v>4</v>
      </c>
      <c r="H511" s="2">
        <v>4</v>
      </c>
      <c r="I511" s="117" t="s">
        <v>3221</v>
      </c>
      <c r="J511" s="117" t="s">
        <v>2647</v>
      </c>
      <c r="K511" s="135" t="s">
        <v>1382</v>
      </c>
      <c r="L511" s="2" t="s">
        <v>3240</v>
      </c>
      <c r="M511" s="8" t="s">
        <v>1762</v>
      </c>
      <c r="N511" s="8">
        <v>45162</v>
      </c>
      <c r="O511" s="8">
        <v>45184</v>
      </c>
      <c r="P511" s="8">
        <v>45180</v>
      </c>
      <c r="Q511" s="229">
        <v>55037</v>
      </c>
      <c r="R511" s="115" t="str" cm="1">
        <f t="array" aca="1" ref="R511" ca="1">TRIM(SUBSTITUTE(_xlfn.ARRAYTOTEXT(IFERROR(CONCATENATE(SUMIF(INDIRECT("'"&amp;Assemblies[Assy]&amp;"'!"&amp;"C$5:C1000"), $A511, INDIRECT("'"&amp;Assemblies[Assy]&amp;"'!"&amp;"O$5:O1000")), "x",Assemblies[Assy],".",IF(SUMIF(INDIRECT("'"&amp;Assemblies[Assy]&amp;"'!"&amp;"C$5:C1000"), $A511, INDIRECT("'"&amp;Assemblies[Assy]&amp;"'!"&amp;"A$5:A1000"))=0,NA(),SUMIF(INDIRECT("'"&amp;Assemblies[Assy]&amp;"'!"&amp;"C$5:C1000"), $A511, INDIRECT("'"&amp;Assemblies[Assy]&amp;"'!"&amp;"A$5:A1000")))),"")), " ,", ""))</f>
        <v>,</v>
      </c>
    </row>
    <row r="512" spans="1:18">
      <c r="A512" s="247" t="s">
        <v>935</v>
      </c>
      <c r="B512" s="161" t="s">
        <v>3239</v>
      </c>
      <c r="C512" s="203">
        <v>91.715000000000003</v>
      </c>
      <c r="D512" s="5">
        <v>1</v>
      </c>
      <c r="E512" s="5" t="e" cm="1">
        <f t="array" aca="1" ref="E512" ca="1">SUMPRODUCT(SUMIF(INDIRECT("'"&amp;Assemblies[Assy]&amp;"'!"&amp;"C:C"),$A512,(INDIRECT("'"&amp;Assemblies[Assy]&amp;"'!"&amp;"O:O"))))</f>
        <v>#VALUE!</v>
      </c>
      <c r="F512" s="5" t="e">
        <f t="shared" ca="1" si="7"/>
        <v>#VALUE!</v>
      </c>
      <c r="G512" s="5">
        <v>4</v>
      </c>
      <c r="H512" s="2">
        <v>4</v>
      </c>
      <c r="I512" s="117" t="s">
        <v>3221</v>
      </c>
      <c r="J512" s="117" t="s">
        <v>2647</v>
      </c>
      <c r="K512" s="135" t="s">
        <v>1382</v>
      </c>
      <c r="L512" s="2" t="s">
        <v>1382</v>
      </c>
      <c r="M512" s="8" t="s">
        <v>1762</v>
      </c>
      <c r="N512" s="8">
        <v>45042</v>
      </c>
      <c r="O512" s="8">
        <v>45098</v>
      </c>
      <c r="P512" s="8">
        <v>45137</v>
      </c>
      <c r="Q512" s="229">
        <v>54862</v>
      </c>
      <c r="R512" s="115" t="str" cm="1">
        <f t="array" aca="1" ref="R512" ca="1">TRIM(SUBSTITUTE(_xlfn.ARRAYTOTEXT(IFERROR(CONCATENATE(SUMIF(INDIRECT("'"&amp;Assemblies[Assy]&amp;"'!"&amp;"C$5:C1000"), $A512, INDIRECT("'"&amp;Assemblies[Assy]&amp;"'!"&amp;"O$5:O1000")), "x",Assemblies[Assy],".",IF(SUMIF(INDIRECT("'"&amp;Assemblies[Assy]&amp;"'!"&amp;"C$5:C1000"), $A512, INDIRECT("'"&amp;Assemblies[Assy]&amp;"'!"&amp;"A$5:A1000"))=0,NA(),SUMIF(INDIRECT("'"&amp;Assemblies[Assy]&amp;"'!"&amp;"C$5:C1000"), $A512, INDIRECT("'"&amp;Assemblies[Assy]&amp;"'!"&amp;"A$5:A1000")))),"")), " ,", ""))</f>
        <v>,</v>
      </c>
    </row>
    <row r="513" spans="1:18">
      <c r="A513" s="247" t="s">
        <v>471</v>
      </c>
      <c r="B513" s="161" t="s">
        <v>3241</v>
      </c>
      <c r="C513" s="203">
        <v>75.820499999999996</v>
      </c>
      <c r="D513" s="5">
        <v>1</v>
      </c>
      <c r="E513" s="5" t="e" cm="1">
        <f t="array" aca="1" ref="E513" ca="1">SUMPRODUCT(SUMIF(INDIRECT("'"&amp;Assemblies[Assy]&amp;"'!"&amp;"C:C"),$A513,(INDIRECT("'"&amp;Assemblies[Assy]&amp;"'!"&amp;"O:O"))))</f>
        <v>#VALUE!</v>
      </c>
      <c r="F513" s="5" t="e">
        <f t="shared" ca="1" si="7"/>
        <v>#VALUE!</v>
      </c>
      <c r="G513" s="5">
        <v>1</v>
      </c>
      <c r="H513" s="2">
        <v>1</v>
      </c>
      <c r="I513" s="117" t="s">
        <v>3221</v>
      </c>
      <c r="J513" s="117" t="s">
        <v>2647</v>
      </c>
      <c r="K513" s="135" t="s">
        <v>1382</v>
      </c>
      <c r="L513" s="2" t="s">
        <v>1382</v>
      </c>
      <c r="M513" s="8" t="s">
        <v>1762</v>
      </c>
      <c r="N513" s="8">
        <v>45042</v>
      </c>
      <c r="O513" s="8">
        <v>45098</v>
      </c>
      <c r="P513" s="8">
        <v>45138</v>
      </c>
      <c r="Q513" s="229">
        <v>54862</v>
      </c>
      <c r="R513" s="115" t="str" cm="1">
        <f t="array" aca="1" ref="R513" ca="1">TRIM(SUBSTITUTE(_xlfn.ARRAYTOTEXT(IFERROR(CONCATENATE(SUMIF(INDIRECT("'"&amp;Assemblies[Assy]&amp;"'!"&amp;"C$5:C1000"), $A513, INDIRECT("'"&amp;Assemblies[Assy]&amp;"'!"&amp;"O$5:O1000")), "x",Assemblies[Assy],".",IF(SUMIF(INDIRECT("'"&amp;Assemblies[Assy]&amp;"'!"&amp;"C$5:C1000"), $A513, INDIRECT("'"&amp;Assemblies[Assy]&amp;"'!"&amp;"A$5:A1000"))=0,NA(),SUMIF(INDIRECT("'"&amp;Assemblies[Assy]&amp;"'!"&amp;"C$5:C1000"), $A513, INDIRECT("'"&amp;Assemblies[Assy]&amp;"'!"&amp;"A$5:A1000")))),"")), " ,", ""))</f>
        <v>,</v>
      </c>
    </row>
    <row r="514" spans="1:18">
      <c r="A514" s="247" t="s">
        <v>817</v>
      </c>
      <c r="B514" s="161" t="s">
        <v>3242</v>
      </c>
      <c r="C514" s="203">
        <v>1019.8487</v>
      </c>
      <c r="D514" s="5">
        <v>1</v>
      </c>
      <c r="E514" s="5" t="e" cm="1">
        <f t="array" aca="1" ref="E514" ca="1">SUMPRODUCT(SUMIF(INDIRECT("'"&amp;Assemblies[Assy]&amp;"'!"&amp;"C:C"),$A514,(INDIRECT("'"&amp;Assemblies[Assy]&amp;"'!"&amp;"O:O"))))</f>
        <v>#VALUE!</v>
      </c>
      <c r="F514" s="5" t="e">
        <f t="shared" ref="F514:F577" ca="1" si="8">E514/D514</f>
        <v>#VALUE!</v>
      </c>
      <c r="G514" s="5">
        <v>2</v>
      </c>
      <c r="H514" s="2">
        <v>2</v>
      </c>
      <c r="I514" s="117" t="s">
        <v>3221</v>
      </c>
      <c r="J514" s="117" t="s">
        <v>2647</v>
      </c>
      <c r="K514" s="135" t="s">
        <v>1382</v>
      </c>
      <c r="L514" s="2" t="s">
        <v>1382</v>
      </c>
      <c r="M514" s="8" t="s">
        <v>1762</v>
      </c>
      <c r="N514" s="8">
        <v>45042</v>
      </c>
      <c r="O514" s="8">
        <v>45098</v>
      </c>
      <c r="P514" s="8">
        <v>45139</v>
      </c>
      <c r="Q514" s="229">
        <v>54862</v>
      </c>
      <c r="R514" s="115" t="str" cm="1">
        <f t="array" aca="1" ref="R514" ca="1">TRIM(SUBSTITUTE(_xlfn.ARRAYTOTEXT(IFERROR(CONCATENATE(SUMIF(INDIRECT("'"&amp;Assemblies[Assy]&amp;"'!"&amp;"C$5:C1000"), $A514, INDIRECT("'"&amp;Assemblies[Assy]&amp;"'!"&amp;"O$5:O1000")), "x",Assemblies[Assy],".",IF(SUMIF(INDIRECT("'"&amp;Assemblies[Assy]&amp;"'!"&amp;"C$5:C1000"), $A514, INDIRECT("'"&amp;Assemblies[Assy]&amp;"'!"&amp;"A$5:A1000"))=0,NA(),SUMIF(INDIRECT("'"&amp;Assemblies[Assy]&amp;"'!"&amp;"C$5:C1000"), $A514, INDIRECT("'"&amp;Assemblies[Assy]&amp;"'!"&amp;"A$5:A1000")))),"")), " ,", ""))</f>
        <v>,</v>
      </c>
    </row>
    <row r="515" spans="1:18">
      <c r="A515" s="247" t="s">
        <v>825</v>
      </c>
      <c r="B515" s="161" t="s">
        <v>3243</v>
      </c>
      <c r="C515" s="168">
        <v>43.962299999999999</v>
      </c>
      <c r="D515" s="5">
        <v>1</v>
      </c>
      <c r="E515" s="5" t="e" cm="1">
        <f t="array" aca="1" ref="E515" ca="1">SUMPRODUCT(SUMIF(INDIRECT("'"&amp;Assemblies[Assy]&amp;"'!"&amp;"C:C"),$A515,(INDIRECT("'"&amp;Assemblies[Assy]&amp;"'!"&amp;"O:O"))))</f>
        <v>#VALUE!</v>
      </c>
      <c r="F515" s="5" t="e">
        <f t="shared" ca="1" si="8"/>
        <v>#VALUE!</v>
      </c>
      <c r="G515" s="5">
        <v>4</v>
      </c>
      <c r="H515" s="2">
        <v>4</v>
      </c>
      <c r="I515" s="117" t="s">
        <v>3221</v>
      </c>
      <c r="J515" s="117" t="s">
        <v>2647</v>
      </c>
      <c r="K515" s="135" t="s">
        <v>1382</v>
      </c>
      <c r="L515" s="2" t="s">
        <v>1382</v>
      </c>
      <c r="M515" s="8" t="s">
        <v>1762</v>
      </c>
      <c r="N515" s="8">
        <v>45162</v>
      </c>
      <c r="O515" s="8">
        <v>45184</v>
      </c>
      <c r="P515" s="8">
        <v>45197</v>
      </c>
      <c r="Q515" s="229" t="s">
        <v>3244</v>
      </c>
      <c r="R515" s="115" t="str" cm="1">
        <f t="array" aca="1" ref="R515" ca="1">TRIM(SUBSTITUTE(_xlfn.ARRAYTOTEXT(IFERROR(CONCATENATE(SUMIF(INDIRECT("'"&amp;Assemblies[Assy]&amp;"'!"&amp;"C$5:C1000"), $A515, INDIRECT("'"&amp;Assemblies[Assy]&amp;"'!"&amp;"O$5:O1000")), "x",Assemblies[Assy],".",IF(SUMIF(INDIRECT("'"&amp;Assemblies[Assy]&amp;"'!"&amp;"C$5:C1000"), $A515, INDIRECT("'"&amp;Assemblies[Assy]&amp;"'!"&amp;"A$5:A1000"))=0,NA(),SUMIF(INDIRECT("'"&amp;Assemblies[Assy]&amp;"'!"&amp;"C$5:C1000"), $A515, INDIRECT("'"&amp;Assemblies[Assy]&amp;"'!"&amp;"A$5:A1000")))),"")), " ,", ""))</f>
        <v>,</v>
      </c>
    </row>
    <row r="516" spans="1:18">
      <c r="A516" s="247" t="s">
        <v>476</v>
      </c>
      <c r="B516" s="161" t="s">
        <v>3245</v>
      </c>
      <c r="C516" s="168">
        <v>37.226700000000001</v>
      </c>
      <c r="D516" s="5">
        <v>1</v>
      </c>
      <c r="E516" s="5" t="e" cm="1">
        <f t="array" aca="1" ref="E516" ca="1">SUMPRODUCT(SUMIF(INDIRECT("'"&amp;Assemblies[Assy]&amp;"'!"&amp;"C:C"),$A516,(INDIRECT("'"&amp;Assemblies[Assy]&amp;"'!"&amp;"O:O"))))</f>
        <v>#VALUE!</v>
      </c>
      <c r="F516" s="5" t="e">
        <f t="shared" ca="1" si="8"/>
        <v>#VALUE!</v>
      </c>
      <c r="G516" s="5">
        <v>40</v>
      </c>
      <c r="H516" s="2">
        <v>40</v>
      </c>
      <c r="I516" s="117" t="s">
        <v>3221</v>
      </c>
      <c r="J516" s="117" t="s">
        <v>2647</v>
      </c>
      <c r="K516" s="135" t="s">
        <v>1382</v>
      </c>
      <c r="L516" s="2" t="s">
        <v>1382</v>
      </c>
      <c r="M516" s="8" t="s">
        <v>1762</v>
      </c>
      <c r="N516" s="8">
        <v>45162</v>
      </c>
      <c r="O516" s="8">
        <v>45184</v>
      </c>
      <c r="P516" s="8">
        <v>45180</v>
      </c>
      <c r="Q516" s="229">
        <v>55037</v>
      </c>
      <c r="R516" s="115" t="str" cm="1">
        <f t="array" aca="1" ref="R516" ca="1">TRIM(SUBSTITUTE(_xlfn.ARRAYTOTEXT(IFERROR(CONCATENATE(SUMIF(INDIRECT("'"&amp;Assemblies[Assy]&amp;"'!"&amp;"C$5:C1000"), $A516, INDIRECT("'"&amp;Assemblies[Assy]&amp;"'!"&amp;"O$5:O1000")), "x",Assemblies[Assy],".",IF(SUMIF(INDIRECT("'"&amp;Assemblies[Assy]&amp;"'!"&amp;"C$5:C1000"), $A516, INDIRECT("'"&amp;Assemblies[Assy]&amp;"'!"&amp;"A$5:A1000"))=0,NA(),SUMIF(INDIRECT("'"&amp;Assemblies[Assy]&amp;"'!"&amp;"C$5:C1000"), $A516, INDIRECT("'"&amp;Assemblies[Assy]&amp;"'!"&amp;"A$5:A1000")))),"")), " ,", ""))</f>
        <v>,</v>
      </c>
    </row>
    <row r="517" spans="1:18">
      <c r="A517" s="247" t="s">
        <v>506</v>
      </c>
      <c r="B517" s="161" t="s">
        <v>3246</v>
      </c>
      <c r="C517" s="203">
        <v>10.3788</v>
      </c>
      <c r="D517" s="5">
        <v>1</v>
      </c>
      <c r="E517" s="5" t="e" cm="1">
        <f t="array" aca="1" ref="E517" ca="1">SUMPRODUCT(SUMIF(INDIRECT("'"&amp;Assemblies[Assy]&amp;"'!"&amp;"C:C"),$A517,(INDIRECT("'"&amp;Assemblies[Assy]&amp;"'!"&amp;"O:O"))))</f>
        <v>#VALUE!</v>
      </c>
      <c r="F517" s="5" t="e">
        <f t="shared" ca="1" si="8"/>
        <v>#VALUE!</v>
      </c>
      <c r="G517" s="5">
        <v>1</v>
      </c>
      <c r="I517" s="117" t="s">
        <v>3221</v>
      </c>
      <c r="J517" s="117" t="s">
        <v>2647</v>
      </c>
      <c r="M517" s="8">
        <v>45231</v>
      </c>
      <c r="N517" s="8">
        <v>45231</v>
      </c>
      <c r="O517" s="8">
        <v>45237</v>
      </c>
      <c r="Q517" s="229">
        <v>55265</v>
      </c>
      <c r="R517" s="115" t="str" cm="1">
        <f t="array" aca="1" ref="R517" ca="1">TRIM(SUBSTITUTE(_xlfn.ARRAYTOTEXT(IFERROR(CONCATENATE(SUMIF(INDIRECT("'"&amp;Assemblies!$B$2:$B$152&amp;"'!"&amp;"C$5:C1000"), $A517, INDIRECT("'"&amp;Assemblies!$B$2:$B$152&amp;"'!"&amp;"O$5:O1000")), "x",Assemblies!$B$2:$B$152,".",IF(SUMIF(INDIRECT("'"&amp;Assemblies!$B$2:$B$152&amp;"'!"&amp;"C$5:C1000"), $A517, INDIRECT("'"&amp;Assemblies!$B$2:$B$152&amp;"'!"&amp;"A$5:A1000"))=0,NA(),SUMIF(INDIRECT("'"&amp;Assemblies!$B$2:$B$152&amp;"'!"&amp;"C$5:C1000"), $A517, INDIRECT("'"&amp;Assemblies!$B$2:$B$152&amp;"'!"&amp;"A$5:A1000")))),"")), " ,", ""))</f>
        <v>,</v>
      </c>
    </row>
    <row r="518" spans="1:18">
      <c r="A518" s="247" t="s">
        <v>511</v>
      </c>
      <c r="B518" s="248" t="s">
        <v>3247</v>
      </c>
      <c r="C518" s="203">
        <v>44.82</v>
      </c>
      <c r="D518" s="5">
        <v>1</v>
      </c>
      <c r="E518" s="5" t="e" cm="1">
        <f t="array" aca="1" ref="E518" ca="1">SUMPRODUCT(SUMIF(INDIRECT("'"&amp;Assemblies[Assy]&amp;"'!"&amp;"C:C"),$A518,(INDIRECT("'"&amp;Assemblies[Assy]&amp;"'!"&amp;"O:O"))))</f>
        <v>#VALUE!</v>
      </c>
      <c r="F518" s="5" t="e">
        <f t="shared" ca="1" si="8"/>
        <v>#VALUE!</v>
      </c>
      <c r="G518" s="5">
        <v>1</v>
      </c>
      <c r="H518" s="2">
        <v>1</v>
      </c>
      <c r="I518" s="117" t="s">
        <v>3221</v>
      </c>
      <c r="J518" s="117" t="s">
        <v>2647</v>
      </c>
      <c r="K518" s="135" t="s">
        <v>1382</v>
      </c>
      <c r="L518" s="2" t="s">
        <v>1382</v>
      </c>
      <c r="M518" s="8">
        <v>45126</v>
      </c>
      <c r="N518" s="8">
        <v>45126</v>
      </c>
      <c r="O518" s="8">
        <v>45140</v>
      </c>
      <c r="P518" s="8">
        <v>45148</v>
      </c>
      <c r="Q518" s="229">
        <v>55002</v>
      </c>
      <c r="R518" s="115" t="str" cm="1">
        <f t="array" aca="1" ref="R518" ca="1">TRIM(SUBSTITUTE(_xlfn.ARRAYTOTEXT(IFERROR(CONCATENATE(SUMIF(INDIRECT("'"&amp;Assemblies[Assy]&amp;"'!"&amp;"C$5:C1000"), $A518, INDIRECT("'"&amp;Assemblies[Assy]&amp;"'!"&amp;"O$5:O1000")), "x",Assemblies[Assy],".",IF(SUMIF(INDIRECT("'"&amp;Assemblies[Assy]&amp;"'!"&amp;"C$5:C1000"), $A518, INDIRECT("'"&amp;Assemblies[Assy]&amp;"'!"&amp;"A$5:A1000"))=0,NA(),SUMIF(INDIRECT("'"&amp;Assemblies[Assy]&amp;"'!"&amp;"C$5:C1000"), $A518, INDIRECT("'"&amp;Assemblies[Assy]&amp;"'!"&amp;"A$5:A1000")))),"")), " ,", ""))</f>
        <v>,</v>
      </c>
    </row>
    <row r="519" spans="1:18">
      <c r="A519" s="247" t="s">
        <v>182</v>
      </c>
      <c r="B519" s="161" t="s">
        <v>3248</v>
      </c>
      <c r="C519" s="203">
        <v>348.6</v>
      </c>
      <c r="D519" s="5">
        <v>1</v>
      </c>
      <c r="E519" s="5" t="e" cm="1">
        <f t="array" aca="1" ref="E519" ca="1">SUMPRODUCT(SUMIF(INDIRECT("'"&amp;Assemblies[Assy]&amp;"'!"&amp;"C:C"),$A519,(INDIRECT("'"&amp;Assemblies[Assy]&amp;"'!"&amp;"O:O"))))</f>
        <v>#VALUE!</v>
      </c>
      <c r="F519" s="5" t="e">
        <f t="shared" ca="1" si="8"/>
        <v>#VALUE!</v>
      </c>
      <c r="G519" s="5">
        <v>4</v>
      </c>
      <c r="H519" s="2">
        <v>4</v>
      </c>
      <c r="I519" s="117" t="s">
        <v>3221</v>
      </c>
      <c r="J519" s="117" t="s">
        <v>2647</v>
      </c>
      <c r="K519" s="135" t="s">
        <v>1382</v>
      </c>
      <c r="L519" s="2" t="s">
        <v>1382</v>
      </c>
      <c r="M519" s="8" t="s">
        <v>1762</v>
      </c>
      <c r="N519" s="8">
        <v>45099</v>
      </c>
      <c r="O519" s="8">
        <v>45129</v>
      </c>
      <c r="P519" s="8">
        <v>45129</v>
      </c>
      <c r="Q519" s="229">
        <v>54958</v>
      </c>
      <c r="R519" s="115" t="str" cm="1">
        <f t="array" aca="1" ref="R519" ca="1">TRIM(SUBSTITUTE(_xlfn.ARRAYTOTEXT(IFERROR(CONCATENATE(SUMIF(INDIRECT("'"&amp;Assemblies[Assy]&amp;"'!"&amp;"C$5:C1000"), $A519, INDIRECT("'"&amp;Assemblies[Assy]&amp;"'!"&amp;"O$5:O1000")), "x",Assemblies[Assy],".",IF(SUMIF(INDIRECT("'"&amp;Assemblies[Assy]&amp;"'!"&amp;"C$5:C1000"), $A519, INDIRECT("'"&amp;Assemblies[Assy]&amp;"'!"&amp;"A$5:A1000"))=0,NA(),SUMIF(INDIRECT("'"&amp;Assemblies[Assy]&amp;"'!"&amp;"C$5:C1000"), $A519, INDIRECT("'"&amp;Assemblies[Assy]&amp;"'!"&amp;"A$5:A1000")))),"")), " ,", ""))</f>
        <v>,</v>
      </c>
    </row>
    <row r="520" spans="1:18">
      <c r="A520" s="133" t="s">
        <v>718</v>
      </c>
      <c r="B520" s="2" t="s">
        <v>3249</v>
      </c>
      <c r="C520" s="203">
        <v>24.941500000000001</v>
      </c>
      <c r="D520" s="5">
        <v>1</v>
      </c>
      <c r="E520" s="5" t="e" cm="1">
        <f t="array" aca="1" ref="E520" ca="1">SUMPRODUCT(SUMIF(INDIRECT("'"&amp;Assemblies[Assy]&amp;"'!"&amp;"C:C"),$A520,(INDIRECT("'"&amp;Assemblies[Assy]&amp;"'!"&amp;"O:O"))))</f>
        <v>#VALUE!</v>
      </c>
      <c r="F520" s="5" t="e">
        <f t="shared" ca="1" si="8"/>
        <v>#VALUE!</v>
      </c>
      <c r="G520" s="5">
        <v>4</v>
      </c>
      <c r="H520" s="2">
        <v>4</v>
      </c>
      <c r="I520" s="117" t="s">
        <v>3221</v>
      </c>
      <c r="J520" s="117" t="s">
        <v>2647</v>
      </c>
      <c r="K520" s="135" t="s">
        <v>1382</v>
      </c>
      <c r="L520" s="2" t="s">
        <v>1382</v>
      </c>
      <c r="M520" s="8" t="s">
        <v>1762</v>
      </c>
      <c r="N520" s="8">
        <v>45042</v>
      </c>
      <c r="O520" s="8">
        <v>45098</v>
      </c>
      <c r="P520" s="8">
        <v>45140</v>
      </c>
      <c r="Q520" s="229">
        <v>54862</v>
      </c>
      <c r="R520" s="115" t="str" cm="1">
        <f t="array" aca="1" ref="R520" ca="1">TRIM(SUBSTITUTE(_xlfn.ARRAYTOTEXT(IFERROR(CONCATENATE(SUMIF(INDIRECT("'"&amp;Assemblies[Assy]&amp;"'!"&amp;"C$5:C1000"), $A520, INDIRECT("'"&amp;Assemblies[Assy]&amp;"'!"&amp;"O$5:O1000")), "x",Assemblies[Assy],".",IF(SUMIF(INDIRECT("'"&amp;Assemblies[Assy]&amp;"'!"&amp;"C$5:C1000"), $A520, INDIRECT("'"&amp;Assemblies[Assy]&amp;"'!"&amp;"A$5:A1000"))=0,NA(),SUMIF(INDIRECT("'"&amp;Assemblies[Assy]&amp;"'!"&amp;"C$5:C1000"), $A520, INDIRECT("'"&amp;Assemblies[Assy]&amp;"'!"&amp;"A$5:A1000")))),"")), " ,", ""))</f>
        <v>,</v>
      </c>
    </row>
    <row r="521" spans="1:18">
      <c r="A521" s="133" t="s">
        <v>1116</v>
      </c>
      <c r="B521" s="2" t="s">
        <v>3250</v>
      </c>
      <c r="C521" s="168">
        <v>1.8398000000000001</v>
      </c>
      <c r="D521" s="5">
        <v>1</v>
      </c>
      <c r="E521" s="5" t="e" cm="1">
        <f t="array" aca="1" ref="E521" ca="1">SUMPRODUCT(SUMIF(INDIRECT("'"&amp;Assemblies[Assy]&amp;"'!"&amp;"C:C"),$A521,(INDIRECT("'"&amp;Assemblies[Assy]&amp;"'!"&amp;"O:O"))))</f>
        <v>#VALUE!</v>
      </c>
      <c r="F521" s="5" t="e">
        <f t="shared" ca="1" si="8"/>
        <v>#VALUE!</v>
      </c>
      <c r="G521" s="5">
        <v>10</v>
      </c>
      <c r="I521" s="117" t="s">
        <v>3221</v>
      </c>
      <c r="J521" s="117" t="s">
        <v>2647</v>
      </c>
      <c r="K521" s="135" t="s">
        <v>1382</v>
      </c>
      <c r="L521" s="2" t="s">
        <v>1382</v>
      </c>
      <c r="M521" s="8" t="s">
        <v>1762</v>
      </c>
      <c r="N521" s="8">
        <v>45162</v>
      </c>
      <c r="O521" s="8">
        <v>45184</v>
      </c>
      <c r="P521" s="8">
        <v>45180</v>
      </c>
      <c r="Q521" s="229">
        <v>55037</v>
      </c>
      <c r="R521" s="115" t="str" cm="1">
        <f t="array" aca="1" ref="R521" ca="1">TRIM(SUBSTITUTE(_xlfn.ARRAYTOTEXT(IFERROR(CONCATENATE(SUMIF(INDIRECT("'"&amp;Assemblies[Assy]&amp;"'!"&amp;"C$5:C1000"), $A521, INDIRECT("'"&amp;Assemblies[Assy]&amp;"'!"&amp;"O$5:O1000")), "x",Assemblies[Assy],".",IF(SUMIF(INDIRECT("'"&amp;Assemblies[Assy]&amp;"'!"&amp;"C$5:C1000"), $A521, INDIRECT("'"&amp;Assemblies[Assy]&amp;"'!"&amp;"A$5:A1000"))=0,NA(),SUMIF(INDIRECT("'"&amp;Assemblies[Assy]&amp;"'!"&amp;"C$5:C1000"), $A521, INDIRECT("'"&amp;Assemblies[Assy]&amp;"'!"&amp;"A$5:A1000")))),"")), " ,", ""))</f>
        <v>,</v>
      </c>
    </row>
    <row r="522" spans="1:18">
      <c r="A522" s="133" t="s">
        <v>793</v>
      </c>
      <c r="B522" s="2" t="s">
        <v>3251</v>
      </c>
      <c r="C522" s="168">
        <v>0.84379999999999999</v>
      </c>
      <c r="D522" s="5">
        <v>1</v>
      </c>
      <c r="E522" s="5" t="e" cm="1">
        <f t="array" aca="1" ref="E522" ca="1">SUMPRODUCT(SUMIF(INDIRECT("'"&amp;Assemblies[Assy]&amp;"'!"&amp;"C:C"),$A522,(INDIRECT("'"&amp;Assemblies[Assy]&amp;"'!"&amp;"O:O"))))</f>
        <v>#VALUE!</v>
      </c>
      <c r="F522" s="5" t="e">
        <f t="shared" ca="1" si="8"/>
        <v>#VALUE!</v>
      </c>
      <c r="G522" s="5">
        <v>40</v>
      </c>
      <c r="I522" s="117" t="s">
        <v>3221</v>
      </c>
      <c r="J522" s="117" t="s">
        <v>2647</v>
      </c>
      <c r="K522" s="135" t="s">
        <v>1382</v>
      </c>
      <c r="L522" s="2" t="s">
        <v>1779</v>
      </c>
      <c r="M522" s="8" t="s">
        <v>1762</v>
      </c>
      <c r="N522" s="8">
        <v>45162</v>
      </c>
      <c r="O522" s="8">
        <v>45184</v>
      </c>
      <c r="P522" s="8">
        <v>45180</v>
      </c>
      <c r="Q522" s="229">
        <v>55037</v>
      </c>
      <c r="R522" s="115" t="str" cm="1">
        <f t="array" aca="1" ref="R522" ca="1">TRIM(SUBSTITUTE(_xlfn.ARRAYTOTEXT(IFERROR(CONCATENATE(SUMIF(INDIRECT("'"&amp;Assemblies[Assy]&amp;"'!"&amp;"C$5:C1000"), $A522, INDIRECT("'"&amp;Assemblies[Assy]&amp;"'!"&amp;"O$5:O1000")), "x",Assemblies[Assy],".",IF(SUMIF(INDIRECT("'"&amp;Assemblies[Assy]&amp;"'!"&amp;"C$5:C1000"), $A522, INDIRECT("'"&amp;Assemblies[Assy]&amp;"'!"&amp;"A$5:A1000"))=0,NA(),SUMIF(INDIRECT("'"&amp;Assemblies[Assy]&amp;"'!"&amp;"C$5:C1000"), $A522, INDIRECT("'"&amp;Assemblies[Assy]&amp;"'!"&amp;"A$5:A1000")))),"")), " ,", ""))</f>
        <v>,</v>
      </c>
    </row>
    <row r="523" spans="1:18">
      <c r="A523" s="133" t="s">
        <v>601</v>
      </c>
      <c r="B523" s="2" t="s">
        <v>3252</v>
      </c>
      <c r="C523" s="168"/>
      <c r="D523" s="5">
        <v>1</v>
      </c>
      <c r="E523" s="5" t="e" cm="1">
        <f t="array" aca="1" ref="E523" ca="1">SUMPRODUCT(SUMIF(INDIRECT("'"&amp;Assemblies[Assy]&amp;"'!"&amp;"C:C"),$A523,(INDIRECT("'"&amp;Assemblies[Assy]&amp;"'!"&amp;"O:O"))))</f>
        <v>#VALUE!</v>
      </c>
      <c r="F523" s="5" t="e">
        <f t="shared" ca="1" si="8"/>
        <v>#VALUE!</v>
      </c>
      <c r="G523" s="5"/>
      <c r="I523" s="117" t="s">
        <v>3221</v>
      </c>
      <c r="J523" s="117" t="s">
        <v>2647</v>
      </c>
      <c r="L523" s="2" t="s">
        <v>3253</v>
      </c>
      <c r="R523" s="115" t="str" cm="1">
        <f t="array" aca="1" ref="R523" ca="1">TRIM(SUBSTITUTE(_xlfn.ARRAYTOTEXT(IFERROR(CONCATENATE(SUMIF(INDIRECT("'"&amp;Assemblies!$B$2:$B$152&amp;"'!"&amp;"C$5:C1000"), $A523, INDIRECT("'"&amp;Assemblies!$B$2:$B$152&amp;"'!"&amp;"O$5:O1000")), "x",Assemblies!$B$2:$B$152,".",IF(SUMIF(INDIRECT("'"&amp;Assemblies!$B$2:$B$152&amp;"'!"&amp;"C$5:C1000"), $A523, INDIRECT("'"&amp;Assemblies!$B$2:$B$152&amp;"'!"&amp;"A$5:A1000"))=0,NA(),SUMIF(INDIRECT("'"&amp;Assemblies!$B$2:$B$152&amp;"'!"&amp;"C$5:C1000"), $A523, INDIRECT("'"&amp;Assemblies!$B$2:$B$152&amp;"'!"&amp;"A$5:A1000")))),"")), " ,", ""))</f>
        <v>,</v>
      </c>
    </row>
    <row r="524" spans="1:18">
      <c r="A524" s="133" t="s">
        <v>631</v>
      </c>
      <c r="B524" s="2" t="s">
        <v>3250</v>
      </c>
      <c r="C524" s="168">
        <v>1.6738</v>
      </c>
      <c r="D524" s="5">
        <v>1</v>
      </c>
      <c r="E524" s="5" t="e" cm="1">
        <f t="array" aca="1" ref="E524" ca="1">SUMPRODUCT(SUMIF(INDIRECT("'"&amp;Assemblies[Assy]&amp;"'!"&amp;"C:C"),$A524,(INDIRECT("'"&amp;Assemblies[Assy]&amp;"'!"&amp;"O:O"))))</f>
        <v>#VALUE!</v>
      </c>
      <c r="F524" s="5" t="e">
        <f t="shared" ca="1" si="8"/>
        <v>#VALUE!</v>
      </c>
      <c r="G524" s="5">
        <v>10</v>
      </c>
      <c r="I524" s="117" t="s">
        <v>3221</v>
      </c>
      <c r="J524" s="117" t="s">
        <v>2647</v>
      </c>
      <c r="K524" s="135" t="s">
        <v>1382</v>
      </c>
      <c r="L524" s="2" t="s">
        <v>1382</v>
      </c>
      <c r="M524" s="8" t="s">
        <v>1762</v>
      </c>
      <c r="N524" s="8">
        <v>45162</v>
      </c>
      <c r="O524" s="8">
        <v>45184</v>
      </c>
      <c r="P524" s="8">
        <v>45180</v>
      </c>
      <c r="Q524" s="229">
        <v>55037</v>
      </c>
      <c r="R524" s="115" t="str" cm="1">
        <f t="array" aca="1" ref="R524" ca="1">TRIM(SUBSTITUTE(_xlfn.ARRAYTOTEXT(IFERROR(CONCATENATE(SUMIF(INDIRECT("'"&amp;Assemblies[Assy]&amp;"'!"&amp;"C$5:C1000"), $A524, INDIRECT("'"&amp;Assemblies[Assy]&amp;"'!"&amp;"O$5:O1000")), "x",Assemblies[Assy],".",IF(SUMIF(INDIRECT("'"&amp;Assemblies[Assy]&amp;"'!"&amp;"C$5:C1000"), $A524, INDIRECT("'"&amp;Assemblies[Assy]&amp;"'!"&amp;"A$5:A1000"))=0,NA(),SUMIF(INDIRECT("'"&amp;Assemblies[Assy]&amp;"'!"&amp;"C$5:C1000"), $A524, INDIRECT("'"&amp;Assemblies[Assy]&amp;"'!"&amp;"A$5:A1000")))),"")), " ,", ""))</f>
        <v>,</v>
      </c>
    </row>
    <row r="525" spans="1:18">
      <c r="A525" s="133" t="s">
        <v>600</v>
      </c>
      <c r="B525" s="2" t="s">
        <v>3251</v>
      </c>
      <c r="C525" s="168">
        <v>1.3280000000000001</v>
      </c>
      <c r="D525" s="5">
        <v>1</v>
      </c>
      <c r="E525" s="5" t="e" cm="1">
        <f t="array" aca="1" ref="E525" ca="1">SUMPRODUCT(SUMIF(INDIRECT("'"&amp;Assemblies[Assy]&amp;"'!"&amp;"C:C"),$A525,(INDIRECT("'"&amp;Assemblies[Assy]&amp;"'!"&amp;"O:O"))))</f>
        <v>#VALUE!</v>
      </c>
      <c r="F525" s="5" t="e">
        <f t="shared" ca="1" si="8"/>
        <v>#VALUE!</v>
      </c>
      <c r="G525" s="5">
        <v>10</v>
      </c>
      <c r="I525" s="117" t="s">
        <v>3221</v>
      </c>
      <c r="J525" s="117" t="s">
        <v>2647</v>
      </c>
      <c r="K525" s="135" t="s">
        <v>1382</v>
      </c>
      <c r="L525" s="2" t="s">
        <v>1382</v>
      </c>
      <c r="M525" s="8" t="s">
        <v>1762</v>
      </c>
      <c r="N525" s="8">
        <v>45162</v>
      </c>
      <c r="O525" s="8">
        <v>45184</v>
      </c>
      <c r="P525" s="8">
        <v>45180</v>
      </c>
      <c r="Q525" s="229">
        <v>55037</v>
      </c>
      <c r="R525" s="115" t="str" cm="1">
        <f t="array" aca="1" ref="R525" ca="1">TRIM(SUBSTITUTE(_xlfn.ARRAYTOTEXT(IFERROR(CONCATENATE(SUMIF(INDIRECT("'"&amp;Assemblies[Assy]&amp;"'!"&amp;"C$5:C1000"), $A525, INDIRECT("'"&amp;Assemblies[Assy]&amp;"'!"&amp;"O$5:O1000")), "x",Assemblies[Assy],".",IF(SUMIF(INDIRECT("'"&amp;Assemblies[Assy]&amp;"'!"&amp;"C$5:C1000"), $A525, INDIRECT("'"&amp;Assemblies[Assy]&amp;"'!"&amp;"A$5:A1000"))=0,NA(),SUMIF(INDIRECT("'"&amp;Assemblies[Assy]&amp;"'!"&amp;"C$5:C1000"), $A525, INDIRECT("'"&amp;Assemblies[Assy]&amp;"'!"&amp;"A$5:A1000")))),"")), " ,", ""))</f>
        <v>,</v>
      </c>
    </row>
    <row r="526" spans="1:18">
      <c r="A526" s="133" t="s">
        <v>290</v>
      </c>
      <c r="B526" s="2" t="s">
        <v>3254</v>
      </c>
      <c r="C526" s="168">
        <v>1.6323000000000001</v>
      </c>
      <c r="D526" s="5">
        <v>1</v>
      </c>
      <c r="E526" s="5" t="e" cm="1">
        <f t="array" aca="1" ref="E526" ca="1">SUMPRODUCT(SUMIF(INDIRECT("'"&amp;Assemblies[Assy]&amp;"'!"&amp;"C:C"),$A526,(INDIRECT("'"&amp;Assemblies[Assy]&amp;"'!"&amp;"O:O"))))</f>
        <v>#VALUE!</v>
      </c>
      <c r="F526" s="5" t="e">
        <f t="shared" ca="1" si="8"/>
        <v>#VALUE!</v>
      </c>
      <c r="G526" s="5">
        <v>30</v>
      </c>
      <c r="I526" s="117" t="s">
        <v>3221</v>
      </c>
      <c r="J526" s="117" t="s">
        <v>2647</v>
      </c>
      <c r="K526" s="135" t="s">
        <v>1382</v>
      </c>
      <c r="L526" s="2" t="s">
        <v>1382</v>
      </c>
      <c r="M526" s="8" t="s">
        <v>1762</v>
      </c>
      <c r="N526" s="8">
        <v>45162</v>
      </c>
      <c r="O526" s="8">
        <v>45184</v>
      </c>
      <c r="P526" s="8">
        <v>45180</v>
      </c>
      <c r="Q526" s="229" t="s">
        <v>3255</v>
      </c>
      <c r="R526" s="115" t="str" cm="1">
        <f t="array" aca="1" ref="R526" ca="1">TRIM(SUBSTITUTE(_xlfn.ARRAYTOTEXT(IFERROR(CONCATENATE(SUMIF(INDIRECT("'"&amp;Assemblies[Assy]&amp;"'!"&amp;"C$5:C1000"), $A526, INDIRECT("'"&amp;Assemblies[Assy]&amp;"'!"&amp;"O$5:O1000")), "x",Assemblies[Assy],".",IF(SUMIF(INDIRECT("'"&amp;Assemblies[Assy]&amp;"'!"&amp;"C$5:C1000"), $A526, INDIRECT("'"&amp;Assemblies[Assy]&amp;"'!"&amp;"A$5:A1000"))=0,NA(),SUMIF(INDIRECT("'"&amp;Assemblies[Assy]&amp;"'!"&amp;"C$5:C1000"), $A526, INDIRECT("'"&amp;Assemblies[Assy]&amp;"'!"&amp;"A$5:A1000")))),"")), " ,", ""))</f>
        <v>,</v>
      </c>
    </row>
    <row r="527" spans="1:18">
      <c r="A527" s="133" t="s">
        <v>285</v>
      </c>
      <c r="B527" s="2" t="s">
        <v>3256</v>
      </c>
      <c r="C527" s="168">
        <v>2.1436000000000002</v>
      </c>
      <c r="D527" s="5">
        <v>1</v>
      </c>
      <c r="E527" s="5" t="e" cm="1">
        <f t="array" aca="1" ref="E527" ca="1">SUMPRODUCT(SUMIF(INDIRECT("'"&amp;Assemblies[Assy]&amp;"'!"&amp;"C:C"),$A527,(INDIRECT("'"&amp;Assemblies[Assy]&amp;"'!"&amp;"O:O"))))</f>
        <v>#VALUE!</v>
      </c>
      <c r="F527" s="5" t="e">
        <f t="shared" ca="1" si="8"/>
        <v>#VALUE!</v>
      </c>
      <c r="G527" s="5">
        <v>20</v>
      </c>
      <c r="I527" s="117" t="s">
        <v>3221</v>
      </c>
      <c r="J527" s="117" t="s">
        <v>2647</v>
      </c>
      <c r="M527" s="8">
        <v>45237</v>
      </c>
      <c r="N527" s="8">
        <v>45237</v>
      </c>
      <c r="O527" s="8">
        <v>45246</v>
      </c>
      <c r="P527" s="8">
        <v>45246</v>
      </c>
      <c r="Q527" s="229">
        <v>55270</v>
      </c>
      <c r="R527" s="115" t="str" cm="1">
        <f t="array" aca="1" ref="R527" ca="1">TRIM(SUBSTITUTE(_xlfn.ARRAYTOTEXT(IFERROR(CONCATENATE(SUMIF(INDIRECT("'"&amp;Assemblies!$B$2:$B$152&amp;"'!"&amp;"C$5:C1000"), $A527, INDIRECT("'"&amp;Assemblies!$B$2:$B$152&amp;"'!"&amp;"O$5:O1000")), "x",Assemblies!$B$2:$B$152,".",IF(SUMIF(INDIRECT("'"&amp;Assemblies!$B$2:$B$152&amp;"'!"&amp;"C$5:C1000"), $A527, INDIRECT("'"&amp;Assemblies!$B$2:$B$152&amp;"'!"&amp;"A$5:A1000"))=0,NA(),SUMIF(INDIRECT("'"&amp;Assemblies!$B$2:$B$152&amp;"'!"&amp;"C$5:C1000"), $A527, INDIRECT("'"&amp;Assemblies!$B$2:$B$152&amp;"'!"&amp;"A$5:A1000")))),"")), " ,", ""))</f>
        <v>,</v>
      </c>
    </row>
    <row r="528" spans="1:18">
      <c r="A528" s="133" t="s">
        <v>521</v>
      </c>
      <c r="B528" s="2" t="s">
        <v>3257</v>
      </c>
      <c r="C528" s="168">
        <v>2.3654999999999999</v>
      </c>
      <c r="D528" s="5">
        <v>1</v>
      </c>
      <c r="E528" s="5" t="e" cm="1">
        <f t="array" aca="1" ref="E528" ca="1">SUMPRODUCT(SUMIF(INDIRECT("'"&amp;Assemblies[Assy]&amp;"'!"&amp;"C:C"),$A528,(INDIRECT("'"&amp;Assemblies[Assy]&amp;"'!"&amp;"O:O"))))</f>
        <v>#VALUE!</v>
      </c>
      <c r="F528" s="5" t="e">
        <f t="shared" ca="1" si="8"/>
        <v>#VALUE!</v>
      </c>
      <c r="G528" s="5">
        <v>20</v>
      </c>
      <c r="I528" s="117" t="s">
        <v>3221</v>
      </c>
      <c r="J528" s="117" t="s">
        <v>2647</v>
      </c>
      <c r="K528" s="135" t="s">
        <v>1382</v>
      </c>
      <c r="L528" s="2" t="s">
        <v>1382</v>
      </c>
      <c r="M528" s="8" t="s">
        <v>1762</v>
      </c>
      <c r="N528" s="8">
        <v>45162</v>
      </c>
      <c r="O528" s="8">
        <v>45184</v>
      </c>
      <c r="P528" s="8">
        <v>45180</v>
      </c>
      <c r="Q528" s="229">
        <v>55037</v>
      </c>
      <c r="R528" s="115" t="str" cm="1">
        <f t="array" aca="1" ref="R528" ca="1">TRIM(SUBSTITUTE(_xlfn.ARRAYTOTEXT(IFERROR(CONCATENATE(SUMIF(INDIRECT("'"&amp;Assemblies[Assy]&amp;"'!"&amp;"C$5:C1000"), $A528, INDIRECT("'"&amp;Assemblies[Assy]&amp;"'!"&amp;"O$5:O1000")), "x",Assemblies[Assy],".",IF(SUMIF(INDIRECT("'"&amp;Assemblies[Assy]&amp;"'!"&amp;"C$5:C1000"), $A528, INDIRECT("'"&amp;Assemblies[Assy]&amp;"'!"&amp;"A$5:A1000"))=0,NA(),SUMIF(INDIRECT("'"&amp;Assemblies[Assy]&amp;"'!"&amp;"C$5:C1000"), $A528, INDIRECT("'"&amp;Assemblies[Assy]&amp;"'!"&amp;"A$5:A1000")))),"")), " ,", ""))</f>
        <v>,</v>
      </c>
    </row>
    <row r="529" spans="1:18">
      <c r="A529" s="133" t="s">
        <v>186</v>
      </c>
      <c r="B529" s="2" t="s">
        <v>3258</v>
      </c>
      <c r="C529" s="168">
        <v>1.4248000000000001</v>
      </c>
      <c r="D529" s="5">
        <v>1</v>
      </c>
      <c r="E529" s="5" t="e" cm="1">
        <f t="array" aca="1" ref="E529" ca="1">SUMPRODUCT(SUMIF(INDIRECT("'"&amp;Assemblies[Assy]&amp;"'!"&amp;"C:C"),$A529,(INDIRECT("'"&amp;Assemblies[Assy]&amp;"'!"&amp;"O:O"))))</f>
        <v>#VALUE!</v>
      </c>
      <c r="F529" s="5" t="e">
        <f t="shared" ca="1" si="8"/>
        <v>#VALUE!</v>
      </c>
      <c r="G529" s="5">
        <v>30</v>
      </c>
      <c r="I529" s="117" t="s">
        <v>3221</v>
      </c>
      <c r="J529" s="117" t="s">
        <v>2647</v>
      </c>
      <c r="K529" s="135" t="s">
        <v>1382</v>
      </c>
      <c r="L529" s="2" t="s">
        <v>1779</v>
      </c>
      <c r="M529" s="8" t="s">
        <v>1762</v>
      </c>
      <c r="N529" s="8">
        <v>45162</v>
      </c>
      <c r="O529" s="8">
        <v>45184</v>
      </c>
      <c r="P529" s="8">
        <v>45180</v>
      </c>
      <c r="Q529" s="229">
        <v>55037</v>
      </c>
      <c r="R529" s="115" t="str" cm="1">
        <f t="array" aca="1" ref="R529" ca="1">TRIM(SUBSTITUTE(_xlfn.ARRAYTOTEXT(IFERROR(CONCATENATE(SUMIF(INDIRECT("'"&amp;Assemblies[Assy]&amp;"'!"&amp;"C$5:C1000"), $A529, INDIRECT("'"&amp;Assemblies[Assy]&amp;"'!"&amp;"O$5:O1000")), "x",Assemblies[Assy],".",IF(SUMIF(INDIRECT("'"&amp;Assemblies[Assy]&amp;"'!"&amp;"C$5:C1000"), $A529, INDIRECT("'"&amp;Assemblies[Assy]&amp;"'!"&amp;"A$5:A1000"))=0,NA(),SUMIF(INDIRECT("'"&amp;Assemblies[Assy]&amp;"'!"&amp;"C$5:C1000"), $A529, INDIRECT("'"&amp;Assemblies[Assy]&amp;"'!"&amp;"A$5:A1000")))),"")), " ,", ""))</f>
        <v>,</v>
      </c>
    </row>
    <row r="530" spans="1:18">
      <c r="A530" s="133" t="s">
        <v>473</v>
      </c>
      <c r="B530" s="2" t="s">
        <v>3254</v>
      </c>
      <c r="C530" s="168">
        <v>1.3867</v>
      </c>
      <c r="D530" s="5">
        <v>1</v>
      </c>
      <c r="E530" s="5" t="e" cm="1">
        <f t="array" aca="1" ref="E530" ca="1">SUMPRODUCT(SUMIF(INDIRECT("'"&amp;Assemblies[Assy]&amp;"'!"&amp;"C:C"),$A530,(INDIRECT("'"&amp;Assemblies[Assy]&amp;"'!"&amp;"O:O"))))</f>
        <v>#VALUE!</v>
      </c>
      <c r="F530" s="5" t="e">
        <f t="shared" ca="1" si="8"/>
        <v>#VALUE!</v>
      </c>
      <c r="G530" s="5">
        <v>10</v>
      </c>
      <c r="H530" s="2">
        <v>10</v>
      </c>
      <c r="I530" s="117" t="s">
        <v>3221</v>
      </c>
      <c r="J530" s="117" t="s">
        <v>2647</v>
      </c>
      <c r="K530" s="135" t="s">
        <v>1382</v>
      </c>
      <c r="L530" s="2" t="s">
        <v>1779</v>
      </c>
      <c r="M530" s="8" t="s">
        <v>1762</v>
      </c>
      <c r="N530" s="8">
        <v>45162</v>
      </c>
      <c r="O530" s="8">
        <v>45184</v>
      </c>
      <c r="P530" s="8">
        <v>45184</v>
      </c>
      <c r="Q530" s="229">
        <v>55098</v>
      </c>
      <c r="R530" s="115" t="str" cm="1">
        <f t="array" aca="1" ref="R530" ca="1">TRIM(SUBSTITUTE(_xlfn.ARRAYTOTEXT(IFERROR(CONCATENATE(SUMIF(INDIRECT("'"&amp;Assemblies[Assy]&amp;"'!"&amp;"C$5:C1000"), $A530, INDIRECT("'"&amp;Assemblies[Assy]&amp;"'!"&amp;"O$5:O1000")), "x",Assemblies[Assy],".",IF(SUMIF(INDIRECT("'"&amp;Assemblies[Assy]&amp;"'!"&amp;"C$5:C1000"), $A530, INDIRECT("'"&amp;Assemblies[Assy]&amp;"'!"&amp;"A$5:A1000"))=0,NA(),SUMIF(INDIRECT("'"&amp;Assemblies[Assy]&amp;"'!"&amp;"C$5:C1000"), $A530, INDIRECT("'"&amp;Assemblies[Assy]&amp;"'!"&amp;"A$5:A1000")))),"")), " ,", ""))</f>
        <v>,</v>
      </c>
    </row>
    <row r="531" spans="1:18">
      <c r="A531" s="133" t="s">
        <v>722</v>
      </c>
      <c r="B531" s="2" t="s">
        <v>3258</v>
      </c>
      <c r="C531" s="168">
        <v>1.7292000000000001</v>
      </c>
      <c r="D531" s="5">
        <v>1</v>
      </c>
      <c r="E531" s="5" t="e" cm="1">
        <f t="array" aca="1" ref="E531" ca="1">SUMPRODUCT(SUMIF(INDIRECT("'"&amp;Assemblies[Assy]&amp;"'!"&amp;"C:C"),$A531,(INDIRECT("'"&amp;Assemblies[Assy]&amp;"'!"&amp;"O:O"))))</f>
        <v>#VALUE!</v>
      </c>
      <c r="F531" s="5" t="e">
        <f t="shared" ca="1" si="8"/>
        <v>#VALUE!</v>
      </c>
      <c r="G531" s="5">
        <v>20</v>
      </c>
      <c r="I531" s="117" t="s">
        <v>3221</v>
      </c>
      <c r="J531" s="117" t="s">
        <v>2647</v>
      </c>
      <c r="K531" s="135" t="s">
        <v>1382</v>
      </c>
      <c r="L531" s="2" t="s">
        <v>1382</v>
      </c>
      <c r="M531" s="8" t="s">
        <v>1762</v>
      </c>
      <c r="N531" s="8">
        <v>45162</v>
      </c>
      <c r="O531" s="8">
        <v>45184</v>
      </c>
      <c r="P531" s="8">
        <v>45180</v>
      </c>
      <c r="Q531" s="229">
        <v>55037</v>
      </c>
      <c r="R531" s="115" t="str" cm="1">
        <f t="array" aca="1" ref="R531" ca="1">TRIM(SUBSTITUTE(_xlfn.ARRAYTOTEXT(IFERROR(CONCATENATE(SUMIF(INDIRECT("'"&amp;Assemblies[Assy]&amp;"'!"&amp;"C$5:C1000"), $A531, INDIRECT("'"&amp;Assemblies[Assy]&amp;"'!"&amp;"O$5:O1000")), "x",Assemblies[Assy],".",IF(SUMIF(INDIRECT("'"&amp;Assemblies[Assy]&amp;"'!"&amp;"C$5:C1000"), $A531, INDIRECT("'"&amp;Assemblies[Assy]&amp;"'!"&amp;"A$5:A1000"))=0,NA(),SUMIF(INDIRECT("'"&amp;Assemblies[Assy]&amp;"'!"&amp;"C$5:C1000"), $A531, INDIRECT("'"&amp;Assemblies[Assy]&amp;"'!"&amp;"A$5:A1000")))),"")), " ,", ""))</f>
        <v>,</v>
      </c>
    </row>
    <row r="532" spans="1:18">
      <c r="A532" s="133" t="s">
        <v>3259</v>
      </c>
      <c r="B532" s="2" t="s">
        <v>3258</v>
      </c>
      <c r="C532" s="168">
        <v>1.7292000000000001</v>
      </c>
      <c r="D532" s="5">
        <v>1</v>
      </c>
      <c r="E532" s="5" cm="1">
        <f t="array" aca="1" ref="E532" ca="1">SUMPRODUCT(SUMIF(INDIRECT("'"&amp;Assemblies[Assy]&amp;"'!"&amp;"C:C"),$A532,(INDIRECT("'"&amp;Assemblies[Assy]&amp;"'!"&amp;"O:O"))))</f>
        <v>0</v>
      </c>
      <c r="F532" s="5">
        <f t="shared" ca="1" si="8"/>
        <v>0</v>
      </c>
      <c r="G532" s="5">
        <v>10</v>
      </c>
      <c r="I532" s="117" t="s">
        <v>3221</v>
      </c>
      <c r="J532" s="117" t="s">
        <v>2647</v>
      </c>
      <c r="K532" s="135" t="s">
        <v>1382</v>
      </c>
      <c r="L532" s="2" t="s">
        <v>1382</v>
      </c>
      <c r="M532" s="8" t="s">
        <v>1762</v>
      </c>
      <c r="N532" s="8">
        <v>45162</v>
      </c>
      <c r="O532" s="8">
        <v>45184</v>
      </c>
      <c r="P532" s="8">
        <v>45180</v>
      </c>
      <c r="Q532" s="229">
        <v>55037</v>
      </c>
      <c r="R532" s="115" t="str" cm="1">
        <f t="array" aca="1" ref="R532" ca="1">TRIM(SUBSTITUTE(_xlfn.ARRAYTOTEXT(IFERROR(CONCATENATE(SUMIF(INDIRECT("'"&amp;Assemblies[Assy]&amp;"'!"&amp;"C$5:C1000"), $A532, INDIRECT("'"&amp;Assemblies[Assy]&amp;"'!"&amp;"O$5:O1000")), "x",Assemblies[Assy],".",IF(SUMIF(INDIRECT("'"&amp;Assemblies[Assy]&amp;"'!"&amp;"C$5:C1000"), $A532, INDIRECT("'"&amp;Assemblies[Assy]&amp;"'!"&amp;"A$5:A1000"))=0,NA(),SUMIF(INDIRECT("'"&amp;Assemblies[Assy]&amp;"'!"&amp;"C$5:C1000"), $A532, INDIRECT("'"&amp;Assemblies[Assy]&amp;"'!"&amp;"A$5:A1000")))),"")), " ,", ""))</f>
        <v>,</v>
      </c>
    </row>
    <row r="533" spans="1:18">
      <c r="A533" s="133" t="s">
        <v>623</v>
      </c>
      <c r="B533" s="2" t="s">
        <v>3258</v>
      </c>
      <c r="C533" s="168">
        <v>1.5467</v>
      </c>
      <c r="D533" s="5">
        <v>1</v>
      </c>
      <c r="E533" s="5" t="e" cm="1">
        <f t="array" aca="1" ref="E533" ca="1">SUMPRODUCT(SUMIF(INDIRECT("'"&amp;Assemblies[Assy]&amp;"'!"&amp;"C:C"),$A533,(INDIRECT("'"&amp;Assemblies[Assy]&amp;"'!"&amp;"O:O"))))</f>
        <v>#VALUE!</v>
      </c>
      <c r="F533" s="5" t="e">
        <f t="shared" ca="1" si="8"/>
        <v>#VALUE!</v>
      </c>
      <c r="G533" s="5">
        <v>20</v>
      </c>
      <c r="I533" s="117" t="s">
        <v>3221</v>
      </c>
      <c r="J533" s="117" t="s">
        <v>3260</v>
      </c>
      <c r="K533" s="135" t="s">
        <v>1382</v>
      </c>
      <c r="L533" s="2" t="s">
        <v>1382</v>
      </c>
      <c r="M533" s="8" t="s">
        <v>1762</v>
      </c>
      <c r="N533" s="8">
        <v>45162</v>
      </c>
      <c r="O533" s="8">
        <v>45184</v>
      </c>
      <c r="P533" s="8">
        <v>45180</v>
      </c>
      <c r="Q533" s="229">
        <v>55037</v>
      </c>
      <c r="R533" s="115" t="str" cm="1">
        <f t="array" aca="1" ref="R533" ca="1">TRIM(SUBSTITUTE(_xlfn.ARRAYTOTEXT(IFERROR(CONCATENATE(SUMIF(INDIRECT("'"&amp;Assemblies[Assy]&amp;"'!"&amp;"C$5:C1000"), $A533, INDIRECT("'"&amp;Assemblies[Assy]&amp;"'!"&amp;"O$5:O1000")), "x",Assemblies[Assy],".",IF(SUMIF(INDIRECT("'"&amp;Assemblies[Assy]&amp;"'!"&amp;"C$5:C1000"), $A533, INDIRECT("'"&amp;Assemblies[Assy]&amp;"'!"&amp;"A$5:A1000"))=0,NA(),SUMIF(INDIRECT("'"&amp;Assemblies[Assy]&amp;"'!"&amp;"C$5:C1000"), $A533, INDIRECT("'"&amp;Assemblies[Assy]&amp;"'!"&amp;"A$5:A1000")))),"")), " ,", ""))</f>
        <v>,</v>
      </c>
    </row>
    <row r="534" spans="1:18">
      <c r="A534" s="133" t="s">
        <v>446</v>
      </c>
      <c r="B534" s="2" t="s">
        <v>3258</v>
      </c>
      <c r="C534" s="168">
        <v>1.8674999999999999</v>
      </c>
      <c r="D534" s="5">
        <v>1</v>
      </c>
      <c r="E534" s="5" t="e" cm="1">
        <f t="array" aca="1" ref="E534" ca="1">SUMPRODUCT(SUMIF(INDIRECT("'"&amp;Assemblies[Assy]&amp;"'!"&amp;"C:C"),$A534,(INDIRECT("'"&amp;Assemblies[Assy]&amp;"'!"&amp;"O:O"))))</f>
        <v>#VALUE!</v>
      </c>
      <c r="F534" s="5" t="e">
        <f t="shared" ca="1" si="8"/>
        <v>#VALUE!</v>
      </c>
      <c r="G534" s="5">
        <v>30</v>
      </c>
      <c r="I534" s="117" t="s">
        <v>3221</v>
      </c>
      <c r="J534" s="117" t="s">
        <v>2647</v>
      </c>
      <c r="K534" s="135" t="s">
        <v>1382</v>
      </c>
      <c r="L534" s="2" t="s">
        <v>1779</v>
      </c>
      <c r="M534" s="8" t="s">
        <v>1762</v>
      </c>
      <c r="N534" s="8">
        <v>45162</v>
      </c>
      <c r="O534" s="8">
        <v>45184</v>
      </c>
      <c r="P534" s="8">
        <v>45180</v>
      </c>
      <c r="Q534" s="229">
        <v>55037</v>
      </c>
      <c r="R534" s="115" t="str" cm="1">
        <f t="array" aca="1" ref="R534" ca="1">TRIM(SUBSTITUTE(_xlfn.ARRAYTOTEXT(IFERROR(CONCATENATE(SUMIF(INDIRECT("'"&amp;Assemblies[Assy]&amp;"'!"&amp;"C$5:C1000"), $A534, INDIRECT("'"&amp;Assemblies[Assy]&amp;"'!"&amp;"O$5:O1000")), "x",Assemblies[Assy],".",IF(SUMIF(INDIRECT("'"&amp;Assemblies[Assy]&amp;"'!"&amp;"C$5:C1000"), $A534, INDIRECT("'"&amp;Assemblies[Assy]&amp;"'!"&amp;"A$5:A1000"))=0,NA(),SUMIF(INDIRECT("'"&amp;Assemblies[Assy]&amp;"'!"&amp;"C$5:C1000"), $A534, INDIRECT("'"&amp;Assemblies[Assy]&amp;"'!"&amp;"A$5:A1000")))),"")), " ,", ""))</f>
        <v>,</v>
      </c>
    </row>
    <row r="535" spans="1:18">
      <c r="A535" s="133" t="s">
        <v>959</v>
      </c>
      <c r="B535" s="2" t="s">
        <v>3261</v>
      </c>
      <c r="C535" s="168">
        <v>1.4248000000000001</v>
      </c>
      <c r="D535" s="5">
        <v>1</v>
      </c>
      <c r="E535" s="5" t="e" cm="1">
        <f t="array" aca="1" ref="E535" ca="1">SUMPRODUCT(SUMIF(INDIRECT("'"&amp;Assemblies[Assy]&amp;"'!"&amp;"C:C"),$A535,(INDIRECT("'"&amp;Assemblies[Assy]&amp;"'!"&amp;"O:O"))))</f>
        <v>#VALUE!</v>
      </c>
      <c r="F535" s="5" t="e">
        <f t="shared" ca="1" si="8"/>
        <v>#VALUE!</v>
      </c>
      <c r="G535" s="5">
        <v>10</v>
      </c>
      <c r="I535" s="117" t="s">
        <v>3221</v>
      </c>
      <c r="J535" s="117" t="s">
        <v>2647</v>
      </c>
      <c r="K535" s="135" t="s">
        <v>1382</v>
      </c>
      <c r="L535" s="2" t="s">
        <v>1382</v>
      </c>
      <c r="M535" s="8" t="s">
        <v>1762</v>
      </c>
      <c r="N535" s="8">
        <v>45162</v>
      </c>
      <c r="O535" s="8">
        <v>45184</v>
      </c>
      <c r="P535" s="8">
        <v>45197</v>
      </c>
      <c r="Q535" s="229">
        <v>55073</v>
      </c>
      <c r="R535" s="115" t="str" cm="1">
        <f t="array" aca="1" ref="R535" ca="1">TRIM(SUBSTITUTE(_xlfn.ARRAYTOTEXT(IFERROR(CONCATENATE(SUMIF(INDIRECT("'"&amp;Assemblies[Assy]&amp;"'!"&amp;"C$5:C1000"), $A535, INDIRECT("'"&amp;Assemblies[Assy]&amp;"'!"&amp;"O$5:O1000")), "x",Assemblies[Assy],".",IF(SUMIF(INDIRECT("'"&amp;Assemblies[Assy]&amp;"'!"&amp;"C$5:C1000"), $A535, INDIRECT("'"&amp;Assemblies[Assy]&amp;"'!"&amp;"A$5:A1000"))=0,NA(),SUMIF(INDIRECT("'"&amp;Assemblies[Assy]&amp;"'!"&amp;"C$5:C1000"), $A535, INDIRECT("'"&amp;Assemblies[Assy]&amp;"'!"&amp;"A$5:A1000")))),"")), " ,", ""))</f>
        <v>,</v>
      </c>
    </row>
    <row r="536" spans="1:18">
      <c r="A536" s="133" t="s">
        <v>720</v>
      </c>
      <c r="B536" s="2" t="s">
        <v>3258</v>
      </c>
      <c r="C536" s="168">
        <v>2.1857000000000002</v>
      </c>
      <c r="D536" s="5">
        <v>1</v>
      </c>
      <c r="E536" s="5" t="e" cm="1">
        <f t="array" aca="1" ref="E536" ca="1">SUMPRODUCT(SUMIF(INDIRECT("'"&amp;Assemblies[Assy]&amp;"'!"&amp;"C:C"),$A536,(INDIRECT("'"&amp;Assemblies[Assy]&amp;"'!"&amp;"O:O"))))</f>
        <v>#VALUE!</v>
      </c>
      <c r="F536" s="5" t="e">
        <f t="shared" ca="1" si="8"/>
        <v>#VALUE!</v>
      </c>
      <c r="G536" s="5">
        <v>10</v>
      </c>
      <c r="I536" s="117" t="s">
        <v>3221</v>
      </c>
      <c r="J536" s="117" t="s">
        <v>2647</v>
      </c>
      <c r="K536" s="135" t="s">
        <v>1382</v>
      </c>
      <c r="L536" s="2" t="s">
        <v>1382</v>
      </c>
      <c r="M536" s="8" t="s">
        <v>1762</v>
      </c>
      <c r="N536" s="8">
        <v>45162</v>
      </c>
      <c r="O536" s="8">
        <v>45184</v>
      </c>
      <c r="P536" s="8">
        <v>45180</v>
      </c>
      <c r="Q536" s="229">
        <v>55037</v>
      </c>
      <c r="R536" s="115" t="str" cm="1">
        <f t="array" aca="1" ref="R536" ca="1">TRIM(SUBSTITUTE(_xlfn.ARRAYTOTEXT(IFERROR(CONCATENATE(SUMIF(INDIRECT("'"&amp;Assemblies[Assy]&amp;"'!"&amp;"C$5:C1000"), $A536, INDIRECT("'"&amp;Assemblies[Assy]&amp;"'!"&amp;"O$5:O1000")), "x",Assemblies[Assy],".",IF(SUMIF(INDIRECT("'"&amp;Assemblies[Assy]&amp;"'!"&amp;"C$5:C1000"), $A536, INDIRECT("'"&amp;Assemblies[Assy]&amp;"'!"&amp;"A$5:A1000"))=0,NA(),SUMIF(INDIRECT("'"&amp;Assemblies[Assy]&amp;"'!"&amp;"C$5:C1000"), $A536, INDIRECT("'"&amp;Assemblies[Assy]&amp;"'!"&amp;"A$5:A1000")))),"")), " ,", ""))</f>
        <v>,</v>
      </c>
    </row>
    <row r="537" spans="1:18">
      <c r="A537" s="133" t="s">
        <v>185</v>
      </c>
      <c r="B537" s="2" t="s">
        <v>3258</v>
      </c>
      <c r="C537" s="168">
        <v>2.2932999999999999</v>
      </c>
      <c r="D537" s="5">
        <v>1</v>
      </c>
      <c r="E537" s="5" t="e" cm="1">
        <f t="array" aca="1" ref="E537" ca="1">SUMPRODUCT(SUMIF(INDIRECT("'"&amp;Assemblies[Assy]&amp;"'!"&amp;"C:C"),$A537,(INDIRECT("'"&amp;Assemblies[Assy]&amp;"'!"&amp;"O:O"))))</f>
        <v>#VALUE!</v>
      </c>
      <c r="F537" s="5" t="e">
        <f t="shared" ca="1" si="8"/>
        <v>#VALUE!</v>
      </c>
      <c r="G537" s="5">
        <v>40</v>
      </c>
      <c r="I537" s="117" t="s">
        <v>3221</v>
      </c>
      <c r="J537" s="117" t="s">
        <v>2647</v>
      </c>
      <c r="K537" s="135" t="s">
        <v>1382</v>
      </c>
      <c r="L537" s="2" t="s">
        <v>1382</v>
      </c>
      <c r="M537" s="8" t="s">
        <v>1762</v>
      </c>
      <c r="N537" s="8">
        <v>45162</v>
      </c>
      <c r="O537" s="8">
        <v>45184</v>
      </c>
      <c r="P537" s="8">
        <v>45180</v>
      </c>
      <c r="Q537" s="229" t="s">
        <v>3262</v>
      </c>
      <c r="R537" s="115" t="str" cm="1">
        <f t="array" aca="1" ref="R537" ca="1">TRIM(SUBSTITUTE(_xlfn.ARRAYTOTEXT(IFERROR(CONCATENATE(SUMIF(INDIRECT("'"&amp;Assemblies[Assy]&amp;"'!"&amp;"C$5:C1000"), $A537, INDIRECT("'"&amp;Assemblies[Assy]&amp;"'!"&amp;"O$5:O1000")), "x",Assemblies[Assy],".",IF(SUMIF(INDIRECT("'"&amp;Assemblies[Assy]&amp;"'!"&amp;"C$5:C1000"), $A537, INDIRECT("'"&amp;Assemblies[Assy]&amp;"'!"&amp;"A$5:A1000"))=0,NA(),SUMIF(INDIRECT("'"&amp;Assemblies[Assy]&amp;"'!"&amp;"C$5:C1000"), $A537, INDIRECT("'"&amp;Assemblies[Assy]&amp;"'!"&amp;"A$5:A1000")))),"")), " ,", ""))</f>
        <v>,</v>
      </c>
    </row>
    <row r="538" spans="1:18">
      <c r="A538" s="133" t="s">
        <v>420</v>
      </c>
      <c r="B538" s="2" t="s">
        <v>3254</v>
      </c>
      <c r="C538" s="168">
        <v>2.5453000000000001</v>
      </c>
      <c r="D538" s="5">
        <v>1</v>
      </c>
      <c r="E538" s="5" t="e" cm="1">
        <f t="array" aca="1" ref="E538" ca="1">SUMPRODUCT(SUMIF(INDIRECT("'"&amp;Assemblies[Assy]&amp;"'!"&amp;"C:C"),$A538,(INDIRECT("'"&amp;Assemblies[Assy]&amp;"'!"&amp;"O:O"))))</f>
        <v>#VALUE!</v>
      </c>
      <c r="F538" s="5" t="e">
        <f t="shared" ca="1" si="8"/>
        <v>#VALUE!</v>
      </c>
      <c r="G538" s="5">
        <v>20</v>
      </c>
      <c r="I538" s="117" t="s">
        <v>3221</v>
      </c>
      <c r="J538" s="117" t="s">
        <v>2647</v>
      </c>
      <c r="K538" s="135" t="s">
        <v>1382</v>
      </c>
      <c r="L538" s="2" t="s">
        <v>1382</v>
      </c>
      <c r="M538" s="8" t="s">
        <v>1762</v>
      </c>
      <c r="N538" s="8">
        <v>45162</v>
      </c>
      <c r="O538" s="8">
        <v>45184</v>
      </c>
      <c r="P538" s="8">
        <v>45180</v>
      </c>
      <c r="Q538" s="229">
        <v>55037</v>
      </c>
      <c r="R538" s="115" t="str" cm="1">
        <f t="array" aca="1" ref="R538" ca="1">TRIM(SUBSTITUTE(_xlfn.ARRAYTOTEXT(IFERROR(CONCATENATE(SUMIF(INDIRECT("'"&amp;Assemblies[Assy]&amp;"'!"&amp;"C$5:C1000"), $A538, INDIRECT("'"&amp;Assemblies[Assy]&amp;"'!"&amp;"O$5:O1000")), "x",Assemblies[Assy],".",IF(SUMIF(INDIRECT("'"&amp;Assemblies[Assy]&amp;"'!"&amp;"C$5:C1000"), $A538, INDIRECT("'"&amp;Assemblies[Assy]&amp;"'!"&amp;"A$5:A1000"))=0,NA(),SUMIF(INDIRECT("'"&amp;Assemblies[Assy]&amp;"'!"&amp;"C$5:C1000"), $A538, INDIRECT("'"&amp;Assemblies[Assy]&amp;"'!"&amp;"A$5:A1000")))),"")), " ,", ""))</f>
        <v>,</v>
      </c>
    </row>
    <row r="539" spans="1:18">
      <c r="A539" s="133" t="s">
        <v>632</v>
      </c>
      <c r="B539" s="2" t="s">
        <v>3258</v>
      </c>
      <c r="C539" s="168">
        <v>2.8081999999999998</v>
      </c>
      <c r="D539" s="5">
        <v>1</v>
      </c>
      <c r="E539" s="5" t="e" cm="1">
        <f t="array" aca="1" ref="E539" ca="1">SUMPRODUCT(SUMIF(INDIRECT("'"&amp;Assemblies[Assy]&amp;"'!"&amp;"C:C"),$A539,(INDIRECT("'"&amp;Assemblies[Assy]&amp;"'!"&amp;"O:O"))))</f>
        <v>#VALUE!</v>
      </c>
      <c r="F539" s="5" t="e">
        <f t="shared" ca="1" si="8"/>
        <v>#VALUE!</v>
      </c>
      <c r="G539" s="5">
        <v>10</v>
      </c>
      <c r="I539" s="117" t="s">
        <v>3221</v>
      </c>
      <c r="J539" s="117" t="s">
        <v>2647</v>
      </c>
      <c r="K539" s="135" t="s">
        <v>1382</v>
      </c>
      <c r="L539" s="2" t="s">
        <v>1382</v>
      </c>
      <c r="M539" s="8" t="s">
        <v>1762</v>
      </c>
      <c r="N539" s="8">
        <v>45162</v>
      </c>
      <c r="O539" s="8">
        <v>45184</v>
      </c>
      <c r="P539" s="8">
        <v>45180</v>
      </c>
      <c r="Q539" s="229">
        <v>55037</v>
      </c>
      <c r="R539" s="115" t="str" cm="1">
        <f t="array" aca="1" ref="R539" ca="1">TRIM(SUBSTITUTE(_xlfn.ARRAYTOTEXT(IFERROR(CONCATENATE(SUMIF(INDIRECT("'"&amp;Assemblies[Assy]&amp;"'!"&amp;"C$5:C1000"), $A539, INDIRECT("'"&amp;Assemblies[Assy]&amp;"'!"&amp;"O$5:O1000")), "x",Assemblies[Assy],".",IF(SUMIF(INDIRECT("'"&amp;Assemblies[Assy]&amp;"'!"&amp;"C$5:C1000"), $A539, INDIRECT("'"&amp;Assemblies[Assy]&amp;"'!"&amp;"A$5:A1000"))=0,NA(),SUMIF(INDIRECT("'"&amp;Assemblies[Assy]&amp;"'!"&amp;"C$5:C1000"), $A539, INDIRECT("'"&amp;Assemblies[Assy]&amp;"'!"&amp;"A$5:A1000")))),"")), " ,", ""))</f>
        <v>,</v>
      </c>
    </row>
    <row r="540" spans="1:18">
      <c r="A540" s="133" t="s">
        <v>3263</v>
      </c>
      <c r="B540" s="2" t="s">
        <v>3264</v>
      </c>
      <c r="C540" s="168">
        <v>5.6302000000000003</v>
      </c>
      <c r="D540" s="5">
        <v>1</v>
      </c>
      <c r="E540" s="5" cm="1">
        <f t="array" aca="1" ref="E540" ca="1">SUMPRODUCT(SUMIF(INDIRECT("'"&amp;Assemblies[Assy]&amp;"'!"&amp;"C:C"),$A540,(INDIRECT("'"&amp;Assemblies[Assy]&amp;"'!"&amp;"O:O"))))</f>
        <v>0</v>
      </c>
      <c r="F540" s="5">
        <f t="shared" ca="1" si="8"/>
        <v>0</v>
      </c>
      <c r="G540" s="5">
        <v>10</v>
      </c>
      <c r="I540" s="117" t="s">
        <v>3221</v>
      </c>
      <c r="J540" s="117" t="s">
        <v>2647</v>
      </c>
      <c r="K540" s="135" t="s">
        <v>1382</v>
      </c>
      <c r="L540" s="2" t="s">
        <v>1382</v>
      </c>
      <c r="M540" s="8" t="s">
        <v>1762</v>
      </c>
      <c r="N540" s="8">
        <v>45162</v>
      </c>
      <c r="O540" s="8">
        <v>45184</v>
      </c>
      <c r="P540" s="8">
        <v>45180</v>
      </c>
      <c r="Q540" s="229">
        <v>55037</v>
      </c>
      <c r="R540" s="115" t="str" cm="1">
        <f t="array" aca="1" ref="R540" ca="1">TRIM(SUBSTITUTE(_xlfn.ARRAYTOTEXT(IFERROR(CONCATENATE(SUMIF(INDIRECT("'"&amp;Assemblies[Assy]&amp;"'!"&amp;"C$5:C1000"), $A540, INDIRECT("'"&amp;Assemblies[Assy]&amp;"'!"&amp;"O$5:O1000")), "x",Assemblies[Assy],".",IF(SUMIF(INDIRECT("'"&amp;Assemblies[Assy]&amp;"'!"&amp;"C$5:C1000"), $A540, INDIRECT("'"&amp;Assemblies[Assy]&amp;"'!"&amp;"A$5:A1000"))=0,NA(),SUMIF(INDIRECT("'"&amp;Assemblies[Assy]&amp;"'!"&amp;"C$5:C1000"), $A540, INDIRECT("'"&amp;Assemblies[Assy]&amp;"'!"&amp;"A$5:A1000")))),"")), " ,", ""))</f>
        <v>,</v>
      </c>
    </row>
    <row r="541" spans="1:18">
      <c r="A541" s="133" t="s">
        <v>3265</v>
      </c>
      <c r="B541" s="2" t="s">
        <v>3266</v>
      </c>
      <c r="C541" s="168">
        <v>0.62680000000000002</v>
      </c>
      <c r="D541" s="5">
        <v>1</v>
      </c>
      <c r="E541" s="5" cm="1">
        <f t="array" aca="1" ref="E541" ca="1">SUMPRODUCT(SUMIF(INDIRECT("'"&amp;Assemblies[Assy]&amp;"'!"&amp;"C:C"),$A541,(INDIRECT("'"&amp;Assemblies[Assy]&amp;"'!"&amp;"O:O"))))</f>
        <v>0</v>
      </c>
      <c r="F541" s="5">
        <f t="shared" ca="1" si="8"/>
        <v>0</v>
      </c>
      <c r="G541" s="5">
        <v>20</v>
      </c>
      <c r="I541" s="117" t="s">
        <v>3221</v>
      </c>
      <c r="J541" s="117" t="s">
        <v>2647</v>
      </c>
      <c r="M541" s="8">
        <v>45237</v>
      </c>
      <c r="N541" s="8">
        <v>45237</v>
      </c>
      <c r="O541" s="8">
        <v>45246</v>
      </c>
      <c r="P541" s="8">
        <v>45246</v>
      </c>
      <c r="Q541" s="229">
        <v>55270</v>
      </c>
      <c r="R541" s="115" t="str" cm="1">
        <f t="array" aca="1" ref="R541" ca="1">TRIM(SUBSTITUTE(_xlfn.ARRAYTOTEXT(IFERROR(CONCATENATE(SUMIF(INDIRECT("'"&amp;Assemblies!$B$2:$B$152&amp;"'!"&amp;"C$5:C1000"), $A541, INDIRECT("'"&amp;Assemblies!$B$2:$B$152&amp;"'!"&amp;"O$5:O1000")), "x",Assemblies!$B$2:$B$152,".",IF(SUMIF(INDIRECT("'"&amp;Assemblies!$B$2:$B$152&amp;"'!"&amp;"C$5:C1000"), $A541, INDIRECT("'"&amp;Assemblies!$B$2:$B$152&amp;"'!"&amp;"A$5:A1000"))=0,NA(),SUMIF(INDIRECT("'"&amp;Assemblies!$B$2:$B$152&amp;"'!"&amp;"C$5:C1000"), $A541, INDIRECT("'"&amp;Assemblies!$B$2:$B$152&amp;"'!"&amp;"A$5:A1000")))),"")), " ,", ""))</f>
        <v>,</v>
      </c>
    </row>
    <row r="542" spans="1:18">
      <c r="A542" s="133" t="s">
        <v>1361</v>
      </c>
      <c r="B542" s="2" t="s">
        <v>3267</v>
      </c>
      <c r="C542" s="168">
        <v>1.0237000000000001</v>
      </c>
      <c r="D542" s="5">
        <v>1</v>
      </c>
      <c r="E542" s="5" t="e" cm="1">
        <f t="array" aca="1" ref="E542" ca="1">SUMPRODUCT(SUMIF(INDIRECT("'"&amp;Assemblies[Assy]&amp;"'!"&amp;"C:C"),$A542,(INDIRECT("'"&amp;Assemblies[Assy]&amp;"'!"&amp;"O:O"))))</f>
        <v>#VALUE!</v>
      </c>
      <c r="F542" s="5" t="e">
        <f t="shared" ca="1" si="8"/>
        <v>#VALUE!</v>
      </c>
      <c r="G542" s="5">
        <v>10</v>
      </c>
      <c r="H542" s="2">
        <v>10</v>
      </c>
      <c r="I542" s="117" t="s">
        <v>3221</v>
      </c>
      <c r="J542" s="117" t="s">
        <v>2647</v>
      </c>
      <c r="K542" s="135" t="s">
        <v>1382</v>
      </c>
      <c r="L542" s="2" t="s">
        <v>1779</v>
      </c>
      <c r="M542" s="8" t="s">
        <v>1762</v>
      </c>
      <c r="N542" s="8">
        <v>45162</v>
      </c>
      <c r="O542" s="8">
        <v>45184</v>
      </c>
      <c r="P542" s="8">
        <v>45184</v>
      </c>
      <c r="Q542" s="229">
        <v>55098</v>
      </c>
      <c r="R542" s="115" t="str" cm="1">
        <f t="array" aca="1" ref="R542" ca="1">TRIM(SUBSTITUTE(_xlfn.ARRAYTOTEXT(IFERROR(CONCATENATE(SUMIF(INDIRECT("'"&amp;Assemblies[Assy]&amp;"'!"&amp;"C$5:C1000"), $A542, INDIRECT("'"&amp;Assemblies[Assy]&amp;"'!"&amp;"O$5:O1000")), "x",Assemblies[Assy],".",IF(SUMIF(INDIRECT("'"&amp;Assemblies[Assy]&amp;"'!"&amp;"C$5:C1000"), $A542, INDIRECT("'"&amp;Assemblies[Assy]&amp;"'!"&amp;"A$5:A1000"))=0,NA(),SUMIF(INDIRECT("'"&amp;Assemblies[Assy]&amp;"'!"&amp;"C$5:C1000"), $A542, INDIRECT("'"&amp;Assemblies[Assy]&amp;"'!"&amp;"A$5:A1000")))),"")), " ,", ""))</f>
        <v>,</v>
      </c>
    </row>
    <row r="543" spans="1:18">
      <c r="A543" s="133" t="s">
        <v>1359</v>
      </c>
      <c r="B543" s="2" t="s">
        <v>3268</v>
      </c>
      <c r="C543" s="168">
        <v>1.0375000000000001</v>
      </c>
      <c r="D543" s="5">
        <v>1</v>
      </c>
      <c r="E543" s="5" t="e" cm="1">
        <f t="array" aca="1" ref="E543" ca="1">SUMPRODUCT(SUMIF(INDIRECT("'"&amp;Assemblies[Assy]&amp;"'!"&amp;"C:C"),$A543,(INDIRECT("'"&amp;Assemblies[Assy]&amp;"'!"&amp;"O:O"))))</f>
        <v>#VALUE!</v>
      </c>
      <c r="F543" s="5" t="e">
        <f t="shared" ca="1" si="8"/>
        <v>#VALUE!</v>
      </c>
      <c r="G543" s="5">
        <v>30</v>
      </c>
      <c r="I543" s="117" t="s">
        <v>3221</v>
      </c>
      <c r="J543" s="117" t="s">
        <v>2647</v>
      </c>
      <c r="K543" s="135" t="s">
        <v>1382</v>
      </c>
      <c r="L543" s="2" t="s">
        <v>1382</v>
      </c>
      <c r="M543" s="8" t="s">
        <v>1762</v>
      </c>
      <c r="N543" s="8">
        <v>45162</v>
      </c>
      <c r="O543" s="8">
        <v>45184</v>
      </c>
      <c r="P543" s="8">
        <v>45180</v>
      </c>
      <c r="Q543" s="229" t="s">
        <v>3269</v>
      </c>
      <c r="R543" s="115" t="str" cm="1">
        <f t="array" aca="1" ref="R543" ca="1">TRIM(SUBSTITUTE(_xlfn.ARRAYTOTEXT(IFERROR(CONCATENATE(SUMIF(INDIRECT("'"&amp;Assemblies[Assy]&amp;"'!"&amp;"C$5:C1000"), $A543, INDIRECT("'"&amp;Assemblies[Assy]&amp;"'!"&amp;"O$5:O1000")), "x",Assemblies[Assy],".",IF(SUMIF(INDIRECT("'"&amp;Assemblies[Assy]&amp;"'!"&amp;"C$5:C1000"), $A543, INDIRECT("'"&amp;Assemblies[Assy]&amp;"'!"&amp;"A$5:A1000"))=0,NA(),SUMIF(INDIRECT("'"&amp;Assemblies[Assy]&amp;"'!"&amp;"C$5:C1000"), $A543, INDIRECT("'"&amp;Assemblies[Assy]&amp;"'!"&amp;"A$5:A1000")))),"")), " ,", ""))</f>
        <v>,</v>
      </c>
    </row>
    <row r="544" spans="1:18">
      <c r="A544" s="133" t="s">
        <v>522</v>
      </c>
      <c r="B544" s="2" t="s">
        <v>3268</v>
      </c>
      <c r="C544" s="168">
        <v>1.079</v>
      </c>
      <c r="D544" s="5">
        <v>1</v>
      </c>
      <c r="E544" s="5" t="e" cm="1">
        <f t="array" aca="1" ref="E544" ca="1">SUMPRODUCT(SUMIF(INDIRECT("'"&amp;Assemblies[Assy]&amp;"'!"&amp;"C:C"),$A544,(INDIRECT("'"&amp;Assemblies[Assy]&amp;"'!"&amp;"O:O"))))</f>
        <v>#VALUE!</v>
      </c>
      <c r="F544" s="5" t="e">
        <f t="shared" ca="1" si="8"/>
        <v>#VALUE!</v>
      </c>
      <c r="G544" s="5">
        <v>10</v>
      </c>
      <c r="I544" s="117" t="s">
        <v>3221</v>
      </c>
      <c r="J544" s="117" t="s">
        <v>2647</v>
      </c>
      <c r="K544" s="135" t="s">
        <v>1382</v>
      </c>
      <c r="L544" s="2" t="s">
        <v>1382</v>
      </c>
      <c r="M544" s="8" t="s">
        <v>1762</v>
      </c>
      <c r="N544" s="8">
        <v>45162</v>
      </c>
      <c r="O544" s="8">
        <v>45184</v>
      </c>
      <c r="P544" s="8">
        <v>45180</v>
      </c>
      <c r="Q544" s="229">
        <v>55037</v>
      </c>
      <c r="R544" s="115" t="str" cm="1">
        <f t="array" aca="1" ref="R544" ca="1">TRIM(SUBSTITUTE(_xlfn.ARRAYTOTEXT(IFERROR(CONCATENATE(SUMIF(INDIRECT("'"&amp;Assemblies[Assy]&amp;"'!"&amp;"C$5:C1000"), $A544, INDIRECT("'"&amp;Assemblies[Assy]&amp;"'!"&amp;"O$5:O1000")), "x",Assemblies[Assy],".",IF(SUMIF(INDIRECT("'"&amp;Assemblies[Assy]&amp;"'!"&amp;"C$5:C1000"), $A544, INDIRECT("'"&amp;Assemblies[Assy]&amp;"'!"&amp;"A$5:A1000"))=0,NA(),SUMIF(INDIRECT("'"&amp;Assemblies[Assy]&amp;"'!"&amp;"C$5:C1000"), $A544, INDIRECT("'"&amp;Assemblies[Assy]&amp;"'!"&amp;"A$5:A1000")))),"")), " ,", ""))</f>
        <v>,</v>
      </c>
    </row>
    <row r="545" spans="1:18">
      <c r="A545" s="133" t="s">
        <v>989</v>
      </c>
      <c r="B545" s="2" t="s">
        <v>3251</v>
      </c>
      <c r="C545" s="168">
        <v>1.3418000000000001</v>
      </c>
      <c r="D545" s="5">
        <v>1</v>
      </c>
      <c r="E545" s="5" t="e" cm="1">
        <f t="array" aca="1" ref="E545" ca="1">SUMPRODUCT(SUMIF(INDIRECT("'"&amp;Assemblies[Assy]&amp;"'!"&amp;"C:C"),$A545,(INDIRECT("'"&amp;Assemblies[Assy]&amp;"'!"&amp;"O:O"))))</f>
        <v>#VALUE!</v>
      </c>
      <c r="F545" s="5" t="e">
        <f t="shared" ca="1" si="8"/>
        <v>#VALUE!</v>
      </c>
      <c r="G545" s="5">
        <v>10</v>
      </c>
      <c r="I545" s="117" t="s">
        <v>3221</v>
      </c>
      <c r="J545" s="117" t="s">
        <v>2647</v>
      </c>
      <c r="K545" s="135" t="s">
        <v>1382</v>
      </c>
      <c r="L545" s="2" t="s">
        <v>1382</v>
      </c>
      <c r="M545" s="8" t="s">
        <v>1762</v>
      </c>
      <c r="N545" s="8">
        <v>45162</v>
      </c>
      <c r="O545" s="8">
        <v>45184</v>
      </c>
      <c r="P545" s="8">
        <v>45197</v>
      </c>
      <c r="Q545" s="229">
        <v>55073</v>
      </c>
      <c r="R545" s="115" t="str" cm="1">
        <f t="array" aca="1" ref="R545" ca="1">TRIM(SUBSTITUTE(_xlfn.ARRAYTOTEXT(IFERROR(CONCATENATE(SUMIF(INDIRECT("'"&amp;Assemblies[Assy]&amp;"'!"&amp;"C$5:C1000"), $A545, INDIRECT("'"&amp;Assemblies[Assy]&amp;"'!"&amp;"O$5:O1000")), "x",Assemblies[Assy],".",IF(SUMIF(INDIRECT("'"&amp;Assemblies[Assy]&amp;"'!"&amp;"C$5:C1000"), $A545, INDIRECT("'"&amp;Assemblies[Assy]&amp;"'!"&amp;"A$5:A1000"))=0,NA(),SUMIF(INDIRECT("'"&amp;Assemblies[Assy]&amp;"'!"&amp;"C$5:C1000"), $A545, INDIRECT("'"&amp;Assemblies[Assy]&amp;"'!"&amp;"A$5:A1000")))),"")), " ,", ""))</f>
        <v>,</v>
      </c>
    </row>
    <row r="546" spans="1:18">
      <c r="A546" s="133" t="s">
        <v>901</v>
      </c>
      <c r="B546" s="2" t="s">
        <v>3270</v>
      </c>
      <c r="C546" s="168">
        <v>1.6877</v>
      </c>
      <c r="D546" s="5">
        <v>1</v>
      </c>
      <c r="E546" s="5" t="e" cm="1">
        <f t="array" aca="1" ref="E546" ca="1">SUMPRODUCT(SUMIF(INDIRECT("'"&amp;Assemblies[Assy]&amp;"'!"&amp;"C:C"),$A546,(INDIRECT("'"&amp;Assemblies[Assy]&amp;"'!"&amp;"O:O"))))</f>
        <v>#VALUE!</v>
      </c>
      <c r="F546" s="5" t="e">
        <f t="shared" ca="1" si="8"/>
        <v>#VALUE!</v>
      </c>
      <c r="G546" s="5">
        <v>20</v>
      </c>
      <c r="I546" s="117" t="s">
        <v>3221</v>
      </c>
      <c r="J546" s="117" t="s">
        <v>2647</v>
      </c>
      <c r="K546" s="135" t="s">
        <v>1382</v>
      </c>
      <c r="L546" s="2" t="s">
        <v>1382</v>
      </c>
      <c r="M546" s="8" t="s">
        <v>1762</v>
      </c>
      <c r="N546" s="8">
        <v>45162</v>
      </c>
      <c r="O546" s="8">
        <v>45184</v>
      </c>
      <c r="P546" s="8">
        <v>45180</v>
      </c>
      <c r="Q546" s="229">
        <v>55037</v>
      </c>
      <c r="R546" s="115" t="str" cm="1">
        <f t="array" aca="1" ref="R546" ca="1">TRIM(SUBSTITUTE(_xlfn.ARRAYTOTEXT(IFERROR(CONCATENATE(SUMIF(INDIRECT("'"&amp;Assemblies[Assy]&amp;"'!"&amp;"C$5:C1000"), $A546, INDIRECT("'"&amp;Assemblies[Assy]&amp;"'!"&amp;"O$5:O1000")), "x",Assemblies[Assy],".",IF(SUMIF(INDIRECT("'"&amp;Assemblies[Assy]&amp;"'!"&amp;"C$5:C1000"), $A546, INDIRECT("'"&amp;Assemblies[Assy]&amp;"'!"&amp;"A$5:A1000"))=0,NA(),SUMIF(INDIRECT("'"&amp;Assemblies[Assy]&amp;"'!"&amp;"C$5:C1000"), $A546, INDIRECT("'"&amp;Assemblies[Assy]&amp;"'!"&amp;"A$5:A1000")))),"")), " ,", ""))</f>
        <v>,</v>
      </c>
    </row>
    <row r="547" spans="1:18">
      <c r="A547" s="133" t="s">
        <v>957</v>
      </c>
      <c r="B547" s="2" t="s">
        <v>3271</v>
      </c>
      <c r="C547" s="168">
        <v>2.3932000000000002</v>
      </c>
      <c r="D547" s="5">
        <v>1</v>
      </c>
      <c r="E547" s="5" t="e" cm="1">
        <f t="array" aca="1" ref="E547" ca="1">SUMPRODUCT(SUMIF(INDIRECT("'"&amp;Assemblies[Assy]&amp;"'!"&amp;"C:C"),$A547,(INDIRECT("'"&amp;Assemblies[Assy]&amp;"'!"&amp;"O:O"))))</f>
        <v>#VALUE!</v>
      </c>
      <c r="F547" s="5" t="e">
        <f t="shared" ca="1" si="8"/>
        <v>#VALUE!</v>
      </c>
      <c r="G547" s="5">
        <v>20</v>
      </c>
      <c r="I547" s="117" t="s">
        <v>3221</v>
      </c>
      <c r="J547" s="117" t="s">
        <v>2647</v>
      </c>
      <c r="K547" s="135" t="s">
        <v>1382</v>
      </c>
      <c r="L547" s="2" t="s">
        <v>1382</v>
      </c>
      <c r="M547" s="8" t="s">
        <v>1762</v>
      </c>
      <c r="N547" s="8">
        <v>45162</v>
      </c>
      <c r="O547" s="8">
        <v>45184</v>
      </c>
      <c r="P547" s="8">
        <v>45180</v>
      </c>
      <c r="Q547" s="229">
        <v>55037</v>
      </c>
      <c r="R547" s="115" t="str" cm="1">
        <f t="array" aca="1" ref="R547" ca="1">TRIM(SUBSTITUTE(_xlfn.ARRAYTOTEXT(IFERROR(CONCATENATE(SUMIF(INDIRECT("'"&amp;Assemblies[Assy]&amp;"'!"&amp;"C$5:C1000"), $A547, INDIRECT("'"&amp;Assemblies[Assy]&amp;"'!"&amp;"O$5:O1000")), "x",Assemblies[Assy],".",IF(SUMIF(INDIRECT("'"&amp;Assemblies[Assy]&amp;"'!"&amp;"C$5:C1000"), $A547, INDIRECT("'"&amp;Assemblies[Assy]&amp;"'!"&amp;"A$5:A1000"))=0,NA(),SUMIF(INDIRECT("'"&amp;Assemblies[Assy]&amp;"'!"&amp;"C$5:C1000"), $A547, INDIRECT("'"&amp;Assemblies[Assy]&amp;"'!"&amp;"A$5:A1000")))),"")), " ,", ""))</f>
        <v>,</v>
      </c>
    </row>
    <row r="548" spans="1:18">
      <c r="A548" s="133" t="s">
        <v>1115</v>
      </c>
      <c r="B548" s="2" t="s">
        <v>3271</v>
      </c>
      <c r="C548" s="168">
        <v>2.1579999999999999</v>
      </c>
      <c r="D548" s="5">
        <v>1</v>
      </c>
      <c r="E548" s="5" t="e" cm="1">
        <f t="array" aca="1" ref="E548" ca="1">SUMPRODUCT(SUMIF(INDIRECT("'"&amp;Assemblies[Assy]&amp;"'!"&amp;"C:C"),$A548,(INDIRECT("'"&amp;Assemblies[Assy]&amp;"'!"&amp;"O:O"))))</f>
        <v>#VALUE!</v>
      </c>
      <c r="F548" s="5" t="e">
        <f t="shared" ca="1" si="8"/>
        <v>#VALUE!</v>
      </c>
      <c r="G548" s="5">
        <v>10</v>
      </c>
      <c r="I548" s="117" t="s">
        <v>3221</v>
      </c>
      <c r="J548" s="117" t="s">
        <v>2647</v>
      </c>
      <c r="K548" s="135" t="s">
        <v>1382</v>
      </c>
      <c r="L548" s="2" t="s">
        <v>1382</v>
      </c>
      <c r="M548" s="8" t="s">
        <v>1762</v>
      </c>
      <c r="N548" s="8">
        <v>45162</v>
      </c>
      <c r="O548" s="8">
        <v>45184</v>
      </c>
      <c r="P548" s="8">
        <v>45180</v>
      </c>
      <c r="Q548" s="229">
        <v>55037</v>
      </c>
      <c r="R548" s="115" t="str" cm="1">
        <f t="array" aca="1" ref="R548" ca="1">TRIM(SUBSTITUTE(_xlfn.ARRAYTOTEXT(IFERROR(CONCATENATE(SUMIF(INDIRECT("'"&amp;Assemblies[Assy]&amp;"'!"&amp;"C$5:C1000"), $A548, INDIRECT("'"&amp;Assemblies[Assy]&amp;"'!"&amp;"O$5:O1000")), "x",Assemblies[Assy],".",IF(SUMIF(INDIRECT("'"&amp;Assemblies[Assy]&amp;"'!"&amp;"C$5:C1000"), $A548, INDIRECT("'"&amp;Assemblies[Assy]&amp;"'!"&amp;"A$5:A1000"))=0,NA(),SUMIF(INDIRECT("'"&amp;Assemblies[Assy]&amp;"'!"&amp;"C$5:C1000"), $A548, INDIRECT("'"&amp;Assemblies[Assy]&amp;"'!"&amp;"A$5:A1000")))),"")), " ,", ""))</f>
        <v>,</v>
      </c>
    </row>
    <row r="549" spans="1:18">
      <c r="A549" s="133" t="s">
        <v>641</v>
      </c>
      <c r="B549" s="2" t="s">
        <v>3271</v>
      </c>
      <c r="C549" s="168">
        <v>2.3932000000000002</v>
      </c>
      <c r="D549" s="5">
        <v>1</v>
      </c>
      <c r="E549" s="5" t="e" cm="1">
        <f t="array" aca="1" ref="E549" ca="1">SUMPRODUCT(SUMIF(INDIRECT("'"&amp;Assemblies[Assy]&amp;"'!"&amp;"C:C"),$A549,(INDIRECT("'"&amp;Assemblies[Assy]&amp;"'!"&amp;"O:O"))))</f>
        <v>#VALUE!</v>
      </c>
      <c r="F549" s="5" t="e">
        <f t="shared" ca="1" si="8"/>
        <v>#VALUE!</v>
      </c>
      <c r="G549" s="5">
        <v>10</v>
      </c>
      <c r="I549" s="117" t="s">
        <v>3221</v>
      </c>
      <c r="J549" s="117" t="s">
        <v>2647</v>
      </c>
      <c r="K549" s="135" t="s">
        <v>1382</v>
      </c>
      <c r="L549" s="2" t="s">
        <v>1382</v>
      </c>
      <c r="M549" s="8" t="s">
        <v>1762</v>
      </c>
      <c r="N549" s="8">
        <v>45162</v>
      </c>
      <c r="O549" s="8">
        <v>45184</v>
      </c>
      <c r="P549" s="8">
        <v>45180</v>
      </c>
      <c r="Q549" s="229">
        <v>55037</v>
      </c>
      <c r="R549" s="115" t="str" cm="1">
        <f t="array" aca="1" ref="R549" ca="1">TRIM(SUBSTITUTE(_xlfn.ARRAYTOTEXT(IFERROR(CONCATENATE(SUMIF(INDIRECT("'"&amp;Assemblies[Assy]&amp;"'!"&amp;"C$5:C1000"), $A549, INDIRECT("'"&amp;Assemblies[Assy]&amp;"'!"&amp;"O$5:O1000")), "x",Assemblies[Assy],".",IF(SUMIF(INDIRECT("'"&amp;Assemblies[Assy]&amp;"'!"&amp;"C$5:C1000"), $A549, INDIRECT("'"&amp;Assemblies[Assy]&amp;"'!"&amp;"A$5:A1000"))=0,NA(),SUMIF(INDIRECT("'"&amp;Assemblies[Assy]&amp;"'!"&amp;"C$5:C1000"), $A549, INDIRECT("'"&amp;Assemblies[Assy]&amp;"'!"&amp;"A$5:A1000")))),"")), " ,", ""))</f>
        <v>,</v>
      </c>
    </row>
    <row r="550" spans="1:18">
      <c r="A550" s="133" t="s">
        <v>422</v>
      </c>
      <c r="B550" s="2" t="s">
        <v>3270</v>
      </c>
      <c r="C550" s="168">
        <v>2.4346999999999999</v>
      </c>
      <c r="D550" s="5">
        <v>1</v>
      </c>
      <c r="E550" s="5" t="e" cm="1">
        <f t="array" aca="1" ref="E550" ca="1">SUMPRODUCT(SUMIF(INDIRECT("'"&amp;Assemblies[Assy]&amp;"'!"&amp;"C:C"),$A550,(INDIRECT("'"&amp;Assemblies[Assy]&amp;"'!"&amp;"O:O"))))</f>
        <v>#VALUE!</v>
      </c>
      <c r="F550" s="5" t="e">
        <f t="shared" ca="1" si="8"/>
        <v>#VALUE!</v>
      </c>
      <c r="G550" s="5">
        <v>20</v>
      </c>
      <c r="I550" s="117" t="s">
        <v>3221</v>
      </c>
      <c r="J550" s="117" t="s">
        <v>2647</v>
      </c>
      <c r="K550" s="135" t="s">
        <v>1382</v>
      </c>
      <c r="L550" s="2" t="s">
        <v>1382</v>
      </c>
      <c r="M550" s="8" t="s">
        <v>1762</v>
      </c>
      <c r="N550" s="8">
        <v>45162</v>
      </c>
      <c r="O550" s="8">
        <v>45184</v>
      </c>
      <c r="P550" s="8">
        <v>45180</v>
      </c>
      <c r="Q550" s="229">
        <v>55037</v>
      </c>
      <c r="R550" s="115" t="str" cm="1">
        <f t="array" aca="1" ref="R550" ca="1">TRIM(SUBSTITUTE(_xlfn.ARRAYTOTEXT(IFERROR(CONCATENATE(SUMIF(INDIRECT("'"&amp;Assemblies[Assy]&amp;"'!"&amp;"C$5:C1000"), $A550, INDIRECT("'"&amp;Assemblies[Assy]&amp;"'!"&amp;"O$5:O1000")), "x",Assemblies[Assy],".",IF(SUMIF(INDIRECT("'"&amp;Assemblies[Assy]&amp;"'!"&amp;"C$5:C1000"), $A550, INDIRECT("'"&amp;Assemblies[Assy]&amp;"'!"&amp;"A$5:A1000"))=0,NA(),SUMIF(INDIRECT("'"&amp;Assemblies[Assy]&amp;"'!"&amp;"C$5:C1000"), $A550, INDIRECT("'"&amp;Assemblies[Assy]&amp;"'!"&amp;"A$5:A1000")))),"")), " ,", ""))</f>
        <v>,</v>
      </c>
    </row>
    <row r="551" spans="1:18">
      <c r="A551" s="133" t="s">
        <v>633</v>
      </c>
      <c r="B551" s="2" t="s">
        <v>3270</v>
      </c>
      <c r="C551" s="168">
        <v>3.0710000000000002</v>
      </c>
      <c r="D551" s="5">
        <v>1</v>
      </c>
      <c r="E551" s="5" t="e" cm="1">
        <f t="array" aca="1" ref="E551" ca="1">SUMPRODUCT(SUMIF(INDIRECT("'"&amp;Assemblies[Assy]&amp;"'!"&amp;"C:C"),$A551,(INDIRECT("'"&amp;Assemblies[Assy]&amp;"'!"&amp;"O:O"))))</f>
        <v>#VALUE!</v>
      </c>
      <c r="F551" s="5" t="e">
        <f t="shared" ca="1" si="8"/>
        <v>#VALUE!</v>
      </c>
      <c r="G551" s="5">
        <v>30</v>
      </c>
      <c r="I551" s="117" t="s">
        <v>3221</v>
      </c>
      <c r="J551" s="117" t="s">
        <v>2647</v>
      </c>
      <c r="K551" s="135" t="s">
        <v>1382</v>
      </c>
      <c r="L551" s="2" t="s">
        <v>1382</v>
      </c>
      <c r="M551" s="8" t="s">
        <v>1762</v>
      </c>
      <c r="N551" s="8">
        <v>45162</v>
      </c>
      <c r="O551" s="8">
        <v>45184</v>
      </c>
      <c r="P551" s="8">
        <v>45180</v>
      </c>
      <c r="Q551" s="229" t="s">
        <v>3269</v>
      </c>
      <c r="R551" s="115" t="str" cm="1">
        <f t="array" aca="1" ref="R551" ca="1">TRIM(SUBSTITUTE(_xlfn.ARRAYTOTEXT(IFERROR(CONCATENATE(SUMIF(INDIRECT("'"&amp;Assemblies[Assy]&amp;"'!"&amp;"C$5:C1000"), $A551, INDIRECT("'"&amp;Assemblies[Assy]&amp;"'!"&amp;"O$5:O1000")), "x",Assemblies[Assy],".",IF(SUMIF(INDIRECT("'"&amp;Assemblies[Assy]&amp;"'!"&amp;"C$5:C1000"), $A551, INDIRECT("'"&amp;Assemblies[Assy]&amp;"'!"&amp;"A$5:A1000"))=0,NA(),SUMIF(INDIRECT("'"&amp;Assemblies[Assy]&amp;"'!"&amp;"C$5:C1000"), $A551, INDIRECT("'"&amp;Assemblies[Assy]&amp;"'!"&amp;"A$5:A1000")))),"")), " ,", ""))</f>
        <v>,</v>
      </c>
    </row>
    <row r="552" spans="1:18">
      <c r="A552" s="133" t="s">
        <v>1175</v>
      </c>
      <c r="B552" s="2" t="s">
        <v>3272</v>
      </c>
      <c r="C552" s="168">
        <v>2.5314999999999999</v>
      </c>
      <c r="D552" s="5">
        <v>1</v>
      </c>
      <c r="E552" s="5" t="e" cm="1">
        <f t="array" aca="1" ref="E552" ca="1">SUMPRODUCT(SUMIF(INDIRECT("'"&amp;Assemblies[Assy]&amp;"'!"&amp;"C:C"),$A552,(INDIRECT("'"&amp;Assemblies[Assy]&amp;"'!"&amp;"O:O"))))</f>
        <v>#VALUE!</v>
      </c>
      <c r="F552" s="5" t="e">
        <f t="shared" ca="1" si="8"/>
        <v>#VALUE!</v>
      </c>
      <c r="G552" s="5">
        <v>10</v>
      </c>
      <c r="I552" s="117" t="s">
        <v>3221</v>
      </c>
      <c r="J552" s="117" t="s">
        <v>2647</v>
      </c>
      <c r="K552" s="135" t="s">
        <v>1382</v>
      </c>
      <c r="L552" s="2" t="s">
        <v>1382</v>
      </c>
      <c r="M552" s="8" t="s">
        <v>1762</v>
      </c>
      <c r="N552" s="8">
        <v>45162</v>
      </c>
      <c r="O552" s="8">
        <v>45184</v>
      </c>
      <c r="P552" s="8">
        <v>45180</v>
      </c>
      <c r="Q552" s="229">
        <v>55037</v>
      </c>
      <c r="R552" s="115" t="str" cm="1">
        <f t="array" aca="1" ref="R552" ca="1">TRIM(SUBSTITUTE(_xlfn.ARRAYTOTEXT(IFERROR(CONCATENATE(SUMIF(INDIRECT("'"&amp;Assemblies[Assy]&amp;"'!"&amp;"C$5:C1000"), $A552, INDIRECT("'"&amp;Assemblies[Assy]&amp;"'!"&amp;"O$5:O1000")), "x",Assemblies[Assy],".",IF(SUMIF(INDIRECT("'"&amp;Assemblies[Assy]&amp;"'!"&amp;"C$5:C1000"), $A552, INDIRECT("'"&amp;Assemblies[Assy]&amp;"'!"&amp;"A$5:A1000"))=0,NA(),SUMIF(INDIRECT("'"&amp;Assemblies[Assy]&amp;"'!"&amp;"C$5:C1000"), $A552, INDIRECT("'"&amp;Assemblies[Assy]&amp;"'!"&amp;"A$5:A1000")))),"")), " ,", ""))</f>
        <v>,</v>
      </c>
    </row>
    <row r="553" spans="1:18">
      <c r="A553" s="133" t="s">
        <v>1360</v>
      </c>
      <c r="B553" s="2" t="s">
        <v>3273</v>
      </c>
      <c r="C553" s="203">
        <v>2.4346999999999999</v>
      </c>
      <c r="D553" s="5">
        <v>1</v>
      </c>
      <c r="E553" s="5" t="e" cm="1">
        <f t="array" aca="1" ref="E553" ca="1">SUMPRODUCT(SUMIF(INDIRECT("'"&amp;Assemblies[Assy]&amp;"'!"&amp;"C:C"),$A553,(INDIRECT("'"&amp;Assemblies[Assy]&amp;"'!"&amp;"O:O"))))</f>
        <v>#VALUE!</v>
      </c>
      <c r="F553" s="5" t="e">
        <f t="shared" ca="1" si="8"/>
        <v>#VALUE!</v>
      </c>
      <c r="G553" s="5">
        <v>10</v>
      </c>
      <c r="H553" s="2">
        <v>10</v>
      </c>
      <c r="I553" s="117" t="s">
        <v>3221</v>
      </c>
      <c r="J553" s="117" t="s">
        <v>2647</v>
      </c>
      <c r="K553" s="135" t="s">
        <v>1382</v>
      </c>
      <c r="L553" s="2" t="s">
        <v>1779</v>
      </c>
      <c r="M553" s="8" t="s">
        <v>1762</v>
      </c>
      <c r="N553" s="8">
        <v>45162</v>
      </c>
      <c r="O553" s="8">
        <v>45184</v>
      </c>
      <c r="P553" s="8">
        <v>45184</v>
      </c>
      <c r="Q553" s="229">
        <v>55098</v>
      </c>
      <c r="R553" s="115" t="str" cm="1">
        <f t="array" aca="1" ref="R553" ca="1">TRIM(SUBSTITUTE(_xlfn.ARRAYTOTEXT(IFERROR(CONCATENATE(SUMIF(INDIRECT("'"&amp;Assemblies[Assy]&amp;"'!"&amp;"C$5:C1000"), $A553, INDIRECT("'"&amp;Assemblies[Assy]&amp;"'!"&amp;"O$5:O1000")), "x",Assemblies[Assy],".",IF(SUMIF(INDIRECT("'"&amp;Assemblies[Assy]&amp;"'!"&amp;"C$5:C1000"), $A553, INDIRECT("'"&amp;Assemblies[Assy]&amp;"'!"&amp;"A$5:A1000"))=0,NA(),SUMIF(INDIRECT("'"&amp;Assemblies[Assy]&amp;"'!"&amp;"C$5:C1000"), $A553, INDIRECT("'"&amp;Assemblies[Assy]&amp;"'!"&amp;"A$5:A1000")))),"")), " ,", ""))</f>
        <v>,</v>
      </c>
    </row>
    <row r="554" spans="1:18">
      <c r="A554" s="133" t="s">
        <v>958</v>
      </c>
      <c r="B554" s="2" t="s">
        <v>3274</v>
      </c>
      <c r="C554" s="168">
        <v>2.9603000000000002</v>
      </c>
      <c r="D554" s="5">
        <v>1</v>
      </c>
      <c r="E554" s="5" t="e" cm="1">
        <f t="array" aca="1" ref="E554" ca="1">SUMPRODUCT(SUMIF(INDIRECT("'"&amp;Assemblies[Assy]&amp;"'!"&amp;"C:C"),$A554,(INDIRECT("'"&amp;Assemblies[Assy]&amp;"'!"&amp;"O:O"))))</f>
        <v>#VALUE!</v>
      </c>
      <c r="F554" s="5" t="e">
        <f t="shared" ca="1" si="8"/>
        <v>#VALUE!</v>
      </c>
      <c r="G554" s="5">
        <v>10</v>
      </c>
      <c r="I554" s="117" t="s">
        <v>3221</v>
      </c>
      <c r="J554" s="117" t="s">
        <v>2647</v>
      </c>
      <c r="K554" s="135" t="s">
        <v>1382</v>
      </c>
      <c r="L554" s="2" t="s">
        <v>1382</v>
      </c>
      <c r="M554" s="8" t="s">
        <v>1762</v>
      </c>
      <c r="N554" s="8">
        <v>45162</v>
      </c>
      <c r="O554" s="8">
        <v>45184</v>
      </c>
      <c r="P554" s="8">
        <v>45197</v>
      </c>
      <c r="Q554" s="229">
        <v>55073</v>
      </c>
      <c r="R554" s="115" t="str" cm="1">
        <f t="array" aca="1" ref="R554" ca="1">TRIM(SUBSTITUTE(_xlfn.ARRAYTOTEXT(IFERROR(CONCATENATE(SUMIF(INDIRECT("'"&amp;Assemblies[Assy]&amp;"'!"&amp;"C$5:C1000"), $A554, INDIRECT("'"&amp;Assemblies[Assy]&amp;"'!"&amp;"O$5:O1000")), "x",Assemblies[Assy],".",IF(SUMIF(INDIRECT("'"&amp;Assemblies[Assy]&amp;"'!"&amp;"C$5:C1000"), $A554, INDIRECT("'"&amp;Assemblies[Assy]&amp;"'!"&amp;"A$5:A1000"))=0,NA(),SUMIF(INDIRECT("'"&amp;Assemblies[Assy]&amp;"'!"&amp;"C$5:C1000"), $A554, INDIRECT("'"&amp;Assemblies[Assy]&amp;"'!"&amp;"A$5:A1000")))),"")), " ,", ""))</f>
        <v>,</v>
      </c>
    </row>
    <row r="555" spans="1:18">
      <c r="A555" s="133" t="s">
        <v>794</v>
      </c>
      <c r="B555" s="2" t="s">
        <v>3275</v>
      </c>
      <c r="C555" s="168">
        <v>4.1638000000000002</v>
      </c>
      <c r="D555" s="5">
        <v>1</v>
      </c>
      <c r="E555" s="5" t="e" cm="1">
        <f t="array" aca="1" ref="E555" ca="1">SUMPRODUCT(SUMIF(INDIRECT("'"&amp;Assemblies[Assy]&amp;"'!"&amp;"C:C"),$A555,(INDIRECT("'"&amp;Assemblies[Assy]&amp;"'!"&amp;"O:O"))))</f>
        <v>#VALUE!</v>
      </c>
      <c r="F555" s="5" t="e">
        <f t="shared" ca="1" si="8"/>
        <v>#VALUE!</v>
      </c>
      <c r="G555" s="5">
        <v>10</v>
      </c>
      <c r="I555" s="117" t="s">
        <v>3221</v>
      </c>
      <c r="J555" s="117" t="s">
        <v>2647</v>
      </c>
      <c r="K555" s="135" t="s">
        <v>1382</v>
      </c>
      <c r="L555" s="2" t="s">
        <v>1382</v>
      </c>
      <c r="M555" s="8" t="s">
        <v>1762</v>
      </c>
      <c r="N555" s="8">
        <v>45162</v>
      </c>
      <c r="O555" s="8">
        <v>45184</v>
      </c>
      <c r="P555" s="8">
        <v>45197</v>
      </c>
      <c r="Q555" s="229">
        <v>55073</v>
      </c>
      <c r="R555" s="115" t="str" cm="1">
        <f t="array" aca="1" ref="R555" ca="1">TRIM(SUBSTITUTE(_xlfn.ARRAYTOTEXT(IFERROR(CONCATENATE(SUMIF(INDIRECT("'"&amp;Assemblies[Assy]&amp;"'!"&amp;"C$5:C1000"), $A555, INDIRECT("'"&amp;Assemblies[Assy]&amp;"'!"&amp;"O$5:O1000")), "x",Assemblies[Assy],".",IF(SUMIF(INDIRECT("'"&amp;Assemblies[Assy]&amp;"'!"&amp;"C$5:C1000"), $A555, INDIRECT("'"&amp;Assemblies[Assy]&amp;"'!"&amp;"A$5:A1000"))=0,NA(),SUMIF(INDIRECT("'"&amp;Assemblies[Assy]&amp;"'!"&amp;"C$5:C1000"), $A555, INDIRECT("'"&amp;Assemblies[Assy]&amp;"'!"&amp;"A$5:A1000")))),"")), " ,", ""))</f>
        <v>,</v>
      </c>
    </row>
    <row r="556" spans="1:18">
      <c r="A556" s="133" t="s">
        <v>719</v>
      </c>
      <c r="B556" s="2" t="s">
        <v>3276</v>
      </c>
      <c r="C556" s="168">
        <v>3.7181999999999999</v>
      </c>
      <c r="D556" s="5">
        <v>1</v>
      </c>
      <c r="E556" s="5" t="e" cm="1">
        <f t="array" aca="1" ref="E556" ca="1">SUMPRODUCT(SUMIF(INDIRECT("'"&amp;Assemblies[Assy]&amp;"'!"&amp;"C:C"),$A556,(INDIRECT("'"&amp;Assemblies[Assy]&amp;"'!"&amp;"O:O"))))</f>
        <v>#VALUE!</v>
      </c>
      <c r="F556" s="5" t="e">
        <f t="shared" ca="1" si="8"/>
        <v>#VALUE!</v>
      </c>
      <c r="G556" s="5">
        <v>10</v>
      </c>
      <c r="I556" s="117" t="s">
        <v>3221</v>
      </c>
      <c r="J556" s="117" t="s">
        <v>2647</v>
      </c>
      <c r="M556" s="8">
        <v>45231</v>
      </c>
      <c r="N556" s="8">
        <v>45231</v>
      </c>
      <c r="O556" s="8">
        <v>45237</v>
      </c>
      <c r="P556" s="8">
        <v>45237</v>
      </c>
      <c r="Q556" s="229">
        <v>55265</v>
      </c>
      <c r="R556" s="115" t="str" cm="1">
        <f t="array" aca="1" ref="R556" ca="1">TRIM(SUBSTITUTE(_xlfn.ARRAYTOTEXT(IFERROR(CONCATENATE(SUMIF(INDIRECT("'"&amp;Assemblies!$B$2:$B$152&amp;"'!"&amp;"C$5:C1000"), $A556, INDIRECT("'"&amp;Assemblies!$B$2:$B$152&amp;"'!"&amp;"O$5:O1000")), "x",Assemblies!$B$2:$B$152,".",IF(SUMIF(INDIRECT("'"&amp;Assemblies!$B$2:$B$152&amp;"'!"&amp;"C$5:C1000"), $A556, INDIRECT("'"&amp;Assemblies!$B$2:$B$152&amp;"'!"&amp;"A$5:A1000"))=0,NA(),SUMIF(INDIRECT("'"&amp;Assemblies!$B$2:$B$152&amp;"'!"&amp;"C$5:C1000"), $A556, INDIRECT("'"&amp;Assemblies!$B$2:$B$152&amp;"'!"&amp;"A$5:A1000")))),"")), " ,", ""))</f>
        <v>,</v>
      </c>
    </row>
    <row r="557" spans="1:18">
      <c r="A557" s="133" t="s">
        <v>602</v>
      </c>
      <c r="B557" s="2" t="s">
        <v>3277</v>
      </c>
      <c r="C557" s="168">
        <v>4.3437000000000001</v>
      </c>
      <c r="D557" s="5">
        <v>1</v>
      </c>
      <c r="E557" s="5" t="e" cm="1">
        <f t="array" aca="1" ref="E557" ca="1">SUMPRODUCT(SUMIF(INDIRECT("'"&amp;Assemblies[Assy]&amp;"'!"&amp;"C:C"),$A557,(INDIRECT("'"&amp;Assemblies[Assy]&amp;"'!"&amp;"O:O"))))</f>
        <v>#VALUE!</v>
      </c>
      <c r="F557" s="5" t="e">
        <f t="shared" ca="1" si="8"/>
        <v>#VALUE!</v>
      </c>
      <c r="G557" s="5">
        <v>10</v>
      </c>
      <c r="I557" s="117" t="s">
        <v>3221</v>
      </c>
      <c r="J557" s="117" t="s">
        <v>2647</v>
      </c>
      <c r="K557" s="135" t="s">
        <v>1382</v>
      </c>
      <c r="L557" s="2" t="s">
        <v>1779</v>
      </c>
      <c r="M557" s="8" t="s">
        <v>1762</v>
      </c>
      <c r="N557" s="8">
        <v>45162</v>
      </c>
      <c r="O557" s="8">
        <v>45184</v>
      </c>
      <c r="P557" s="8">
        <v>45197</v>
      </c>
      <c r="Q557" s="229">
        <v>55073</v>
      </c>
      <c r="R557" s="115" t="str" cm="1">
        <f t="array" aca="1" ref="R557" ca="1">TRIM(SUBSTITUTE(_xlfn.ARRAYTOTEXT(IFERROR(CONCATENATE(SUMIF(INDIRECT("'"&amp;Assemblies[Assy]&amp;"'!"&amp;"C$5:C1000"), $A557, INDIRECT("'"&amp;Assemblies[Assy]&amp;"'!"&amp;"O$5:O1000")), "x",Assemblies[Assy],".",IF(SUMIF(INDIRECT("'"&amp;Assemblies[Assy]&amp;"'!"&amp;"C$5:C1000"), $A557, INDIRECT("'"&amp;Assemblies[Assy]&amp;"'!"&amp;"A$5:A1000"))=0,NA(),SUMIF(INDIRECT("'"&amp;Assemblies[Assy]&amp;"'!"&amp;"C$5:C1000"), $A557, INDIRECT("'"&amp;Assemblies[Assy]&amp;"'!"&amp;"A$5:A1000")))),"")), " ,", ""))</f>
        <v>,</v>
      </c>
    </row>
    <row r="558" spans="1:18">
      <c r="A558" s="133" t="s">
        <v>424</v>
      </c>
      <c r="B558" s="2" t="s">
        <v>3278</v>
      </c>
      <c r="C558" s="168">
        <v>34.64</v>
      </c>
      <c r="D558" s="5">
        <v>1</v>
      </c>
      <c r="E558" s="5" t="e" cm="1">
        <f t="array" aca="1" ref="E558" ca="1">SUMPRODUCT(SUMIF(INDIRECT("'"&amp;Assemblies[Assy]&amp;"'!"&amp;"C:C"),$A558,(INDIRECT("'"&amp;Assemblies[Assy]&amp;"'!"&amp;"O:O"))))</f>
        <v>#VALUE!</v>
      </c>
      <c r="F558" s="5" t="e">
        <f t="shared" ca="1" si="8"/>
        <v>#VALUE!</v>
      </c>
      <c r="G558" s="5">
        <v>4</v>
      </c>
      <c r="H558" s="2">
        <v>4</v>
      </c>
      <c r="I558" s="117" t="s">
        <v>3221</v>
      </c>
      <c r="J558" s="117" t="s">
        <v>3279</v>
      </c>
      <c r="M558" s="8" t="s">
        <v>1762</v>
      </c>
      <c r="N558" s="8">
        <v>45215</v>
      </c>
      <c r="O558" s="8">
        <v>45222</v>
      </c>
      <c r="P558" s="8">
        <v>45222</v>
      </c>
      <c r="Q558" s="229">
        <v>55211</v>
      </c>
      <c r="R558" s="115" t="str" cm="1">
        <f t="array" aca="1" ref="R558" ca="1">TRIM(SUBSTITUTE(_xlfn.ARRAYTOTEXT(IFERROR(CONCATENATE(SUMIF(INDIRECT("'"&amp;Assemblies!$B$2:$B$152&amp;"'!"&amp;"C$5:C1000"), $A558, INDIRECT("'"&amp;Assemblies!$B$2:$B$152&amp;"'!"&amp;"O$5:O1000")), "x",Assemblies!$B$2:$B$152,".",IF(SUMIF(INDIRECT("'"&amp;Assemblies!$B$2:$B$152&amp;"'!"&amp;"C$5:C1000"), $A558, INDIRECT("'"&amp;Assemblies!$B$2:$B$152&amp;"'!"&amp;"A$5:A1000"))=0,NA(),SUMIF(INDIRECT("'"&amp;Assemblies!$B$2:$B$152&amp;"'!"&amp;"C$5:C1000"), $A558, INDIRECT("'"&amp;Assemblies!$B$2:$B$152&amp;"'!"&amp;"A$5:A1000")))),"")), " ,", ""))</f>
        <v>,</v>
      </c>
    </row>
    <row r="559" spans="1:18">
      <c r="A559" s="247" t="s">
        <v>988</v>
      </c>
      <c r="B559" s="161" t="s">
        <v>3280</v>
      </c>
      <c r="C559" s="203">
        <v>353.10969999999998</v>
      </c>
      <c r="D559" s="5">
        <v>1</v>
      </c>
      <c r="E559" s="5" t="e" cm="1">
        <f t="array" aca="1" ref="E559" ca="1">SUMPRODUCT(SUMIF(INDIRECT("'"&amp;Assemblies[Assy]&amp;"'!"&amp;"C:C"),$A559,(INDIRECT("'"&amp;Assemblies[Assy]&amp;"'!"&amp;"O:O"))))</f>
        <v>#VALUE!</v>
      </c>
      <c r="F559" s="5" t="e">
        <f t="shared" ca="1" si="8"/>
        <v>#VALUE!</v>
      </c>
      <c r="G559" s="5">
        <v>4</v>
      </c>
      <c r="H559" s="2">
        <v>4</v>
      </c>
      <c r="I559" s="117" t="s">
        <v>3221</v>
      </c>
      <c r="J559" s="117" t="s">
        <v>2647</v>
      </c>
      <c r="K559" s="135" t="s">
        <v>1382</v>
      </c>
      <c r="L559" s="2" t="s">
        <v>1382</v>
      </c>
      <c r="M559" s="8" t="s">
        <v>1762</v>
      </c>
      <c r="N559" s="8">
        <v>45042</v>
      </c>
      <c r="O559" s="8">
        <v>45098</v>
      </c>
      <c r="P559" s="8">
        <v>45141</v>
      </c>
      <c r="Q559" s="229">
        <v>54862</v>
      </c>
      <c r="R559" s="115" t="str" cm="1">
        <f t="array" aca="1" ref="R559" ca="1">TRIM(SUBSTITUTE(_xlfn.ARRAYTOTEXT(IFERROR(CONCATENATE(SUMIF(INDIRECT("'"&amp;Assemblies[Assy]&amp;"'!"&amp;"C$5:C1000"), $A559, INDIRECT("'"&amp;Assemblies[Assy]&amp;"'!"&amp;"O$5:O1000")), "x",Assemblies[Assy],".",IF(SUMIF(INDIRECT("'"&amp;Assemblies[Assy]&amp;"'!"&amp;"C$5:C1000"), $A559, INDIRECT("'"&amp;Assemblies[Assy]&amp;"'!"&amp;"A$5:A1000"))=0,NA(),SUMIF(INDIRECT("'"&amp;Assemblies[Assy]&amp;"'!"&amp;"C$5:C1000"), $A559, INDIRECT("'"&amp;Assemblies[Assy]&amp;"'!"&amp;"A$5:A1000")))),"")), " ,", ""))</f>
        <v>,</v>
      </c>
    </row>
    <row r="560" spans="1:18">
      <c r="A560" s="247" t="s">
        <v>3281</v>
      </c>
      <c r="B560" s="161" t="s">
        <v>3282</v>
      </c>
      <c r="C560" s="168">
        <v>381.19130000000001</v>
      </c>
      <c r="D560" s="5">
        <v>1</v>
      </c>
      <c r="E560" s="5" cm="1">
        <f t="array" aca="1" ref="E560" ca="1">SUMPRODUCT(SUMIF(INDIRECT("'"&amp;Assemblies[Assy]&amp;"'!"&amp;"C:C"),$A560,(INDIRECT("'"&amp;Assemblies[Assy]&amp;"'!"&amp;"O:O"))))</f>
        <v>0</v>
      </c>
      <c r="F560" s="5">
        <f t="shared" ca="1" si="8"/>
        <v>0</v>
      </c>
      <c r="G560" s="5">
        <v>2</v>
      </c>
      <c r="H560" s="2">
        <v>2</v>
      </c>
      <c r="I560" s="117" t="s">
        <v>3221</v>
      </c>
      <c r="J560" s="117" t="s">
        <v>2647</v>
      </c>
      <c r="K560" s="135" t="s">
        <v>1382</v>
      </c>
      <c r="L560" s="2" t="s">
        <v>3283</v>
      </c>
      <c r="M560" s="8" t="s">
        <v>1762</v>
      </c>
      <c r="N560" s="8">
        <v>45162</v>
      </c>
      <c r="O560" s="8">
        <v>45184</v>
      </c>
      <c r="P560" s="8">
        <v>45197</v>
      </c>
      <c r="Q560" s="229">
        <v>55073</v>
      </c>
      <c r="R560" s="115" t="str" cm="1">
        <f t="array" aca="1" ref="R560" ca="1">TRIM(SUBSTITUTE(_xlfn.ARRAYTOTEXT(IFERROR(CONCATENATE(SUMIF(INDIRECT("'"&amp;Assemblies[Assy]&amp;"'!"&amp;"C$5:C1000"), $A560, INDIRECT("'"&amp;Assemblies[Assy]&amp;"'!"&amp;"O$5:O1000")), "x",Assemblies[Assy],".",IF(SUMIF(INDIRECT("'"&amp;Assemblies[Assy]&amp;"'!"&amp;"C$5:C1000"), $A560, INDIRECT("'"&amp;Assemblies[Assy]&amp;"'!"&amp;"A$5:A1000"))=0,NA(),SUMIF(INDIRECT("'"&amp;Assemblies[Assy]&amp;"'!"&amp;"C$5:C1000"), $A560, INDIRECT("'"&amp;Assemblies[Assy]&amp;"'!"&amp;"A$5:A1000")))),"")), " ,", ""))</f>
        <v>,</v>
      </c>
    </row>
    <row r="561" spans="1:18">
      <c r="A561" s="247" t="s">
        <v>987</v>
      </c>
      <c r="B561" s="161" t="s">
        <v>3284</v>
      </c>
      <c r="C561" s="203">
        <v>428.93020000000001</v>
      </c>
      <c r="D561" s="5">
        <v>1</v>
      </c>
      <c r="E561" s="5" t="e" cm="1">
        <f t="array" aca="1" ref="E561" ca="1">SUMPRODUCT(SUMIF(INDIRECT("'"&amp;Assemblies[Assy]&amp;"'!"&amp;"C:C"),$A561,(INDIRECT("'"&amp;Assemblies[Assy]&amp;"'!"&amp;"O:O"))))</f>
        <v>#VALUE!</v>
      </c>
      <c r="F561" s="5" t="e">
        <f t="shared" ca="1" si="8"/>
        <v>#VALUE!</v>
      </c>
      <c r="G561" s="5">
        <v>2</v>
      </c>
      <c r="H561" s="2">
        <v>2</v>
      </c>
      <c r="I561" s="117" t="s">
        <v>3221</v>
      </c>
      <c r="J561" s="117" t="s">
        <v>2647</v>
      </c>
      <c r="K561" s="135" t="s">
        <v>1382</v>
      </c>
      <c r="L561" s="2" t="s">
        <v>1382</v>
      </c>
      <c r="M561" s="8" t="s">
        <v>1762</v>
      </c>
      <c r="N561" s="8">
        <v>45042</v>
      </c>
      <c r="O561" s="8">
        <v>45098</v>
      </c>
      <c r="P561" s="8">
        <v>45142</v>
      </c>
      <c r="Q561" s="229">
        <v>54862</v>
      </c>
      <c r="R561" s="115" t="str" cm="1">
        <f t="array" aca="1" ref="R561" ca="1">TRIM(SUBSTITUTE(_xlfn.ARRAYTOTEXT(IFERROR(CONCATENATE(SUMIF(INDIRECT("'"&amp;Assemblies[Assy]&amp;"'!"&amp;"C$5:C1000"), $A561, INDIRECT("'"&amp;Assemblies[Assy]&amp;"'!"&amp;"O$5:O1000")), "x",Assemblies[Assy],".",IF(SUMIF(INDIRECT("'"&amp;Assemblies[Assy]&amp;"'!"&amp;"C$5:C1000"), $A561, INDIRECT("'"&amp;Assemblies[Assy]&amp;"'!"&amp;"A$5:A1000"))=0,NA(),SUMIF(INDIRECT("'"&amp;Assemblies[Assy]&amp;"'!"&amp;"C$5:C1000"), $A561, INDIRECT("'"&amp;Assemblies[Assy]&amp;"'!"&amp;"A$5:A1000")))),"")), " ,", ""))</f>
        <v>,</v>
      </c>
    </row>
    <row r="562" spans="1:18">
      <c r="A562" s="247" t="s">
        <v>1268</v>
      </c>
      <c r="B562" s="161" t="s">
        <v>3285</v>
      </c>
      <c r="C562" s="203">
        <v>320.61520000000002</v>
      </c>
      <c r="D562" s="5">
        <v>1</v>
      </c>
      <c r="E562" s="5" t="e" cm="1">
        <f t="array" aca="1" ref="E562" ca="1">SUMPRODUCT(SUMIF(INDIRECT("'"&amp;Assemblies[Assy]&amp;"'!"&amp;"C:C"),$A562,(INDIRECT("'"&amp;Assemblies[Assy]&amp;"'!"&amp;"O:O"))))</f>
        <v>#VALUE!</v>
      </c>
      <c r="F562" s="5" t="e">
        <f t="shared" ca="1" si="8"/>
        <v>#VALUE!</v>
      </c>
      <c r="G562" s="5">
        <v>2</v>
      </c>
      <c r="H562" s="2">
        <v>2</v>
      </c>
      <c r="I562" s="117" t="s">
        <v>3221</v>
      </c>
      <c r="J562" s="117" t="s">
        <v>2647</v>
      </c>
      <c r="K562" s="135" t="s">
        <v>1382</v>
      </c>
      <c r="L562" s="2" t="s">
        <v>1382</v>
      </c>
      <c r="M562" s="8" t="s">
        <v>1762</v>
      </c>
      <c r="N562" s="8">
        <v>45042</v>
      </c>
      <c r="O562" s="8">
        <v>45098</v>
      </c>
      <c r="P562" s="8">
        <v>45143</v>
      </c>
      <c r="Q562" s="229">
        <v>54862</v>
      </c>
      <c r="R562" s="115" t="str" cm="1">
        <f t="array" aca="1" ref="R562" ca="1">TRIM(SUBSTITUTE(_xlfn.ARRAYTOTEXT(IFERROR(CONCATENATE(SUMIF(INDIRECT("'"&amp;Assemblies[Assy]&amp;"'!"&amp;"C$5:C1000"), $A562, INDIRECT("'"&amp;Assemblies[Assy]&amp;"'!"&amp;"O$5:O1000")), "x",Assemblies[Assy],".",IF(SUMIF(INDIRECT("'"&amp;Assemblies[Assy]&amp;"'!"&amp;"C$5:C1000"), $A562, INDIRECT("'"&amp;Assemblies[Assy]&amp;"'!"&amp;"A$5:A1000"))=0,NA(),SUMIF(INDIRECT("'"&amp;Assemblies[Assy]&amp;"'!"&amp;"C$5:C1000"), $A562, INDIRECT("'"&amp;Assemblies[Assy]&amp;"'!"&amp;"A$5:A1000")))),"")), " ,", ""))</f>
        <v>,</v>
      </c>
    </row>
    <row r="563" spans="1:18">
      <c r="A563" s="247" t="s">
        <v>1319</v>
      </c>
      <c r="B563" s="248" t="s">
        <v>3286</v>
      </c>
      <c r="C563" s="168">
        <v>31.954999999999998</v>
      </c>
      <c r="D563" s="5">
        <v>1</v>
      </c>
      <c r="E563" s="5" t="e" cm="1">
        <f t="array" aca="1" ref="E563" ca="1">SUMPRODUCT(SUMIF(INDIRECT("'"&amp;Assemblies[Assy]&amp;"'!"&amp;"C:C"),$A563,(INDIRECT("'"&amp;Assemblies[Assy]&amp;"'!"&amp;"O:O"))))</f>
        <v>#VALUE!</v>
      </c>
      <c r="F563" s="5" t="e">
        <f t="shared" ca="1" si="8"/>
        <v>#VALUE!</v>
      </c>
      <c r="G563" s="5">
        <v>4</v>
      </c>
      <c r="H563" s="2">
        <v>4</v>
      </c>
      <c r="I563" s="117" t="s">
        <v>3221</v>
      </c>
      <c r="J563" s="117" t="s">
        <v>2647</v>
      </c>
      <c r="K563" s="135" t="s">
        <v>1382</v>
      </c>
      <c r="L563" s="2" t="s">
        <v>1382</v>
      </c>
      <c r="M563" s="8" t="s">
        <v>1762</v>
      </c>
      <c r="N563" s="8">
        <v>45162</v>
      </c>
      <c r="O563" s="8">
        <v>45184</v>
      </c>
      <c r="P563" s="8">
        <v>45180</v>
      </c>
      <c r="Q563" s="229">
        <v>55037</v>
      </c>
      <c r="R563" s="115" t="str" cm="1">
        <f t="array" aca="1" ref="R563" ca="1">TRIM(SUBSTITUTE(_xlfn.ARRAYTOTEXT(IFERROR(CONCATENATE(SUMIF(INDIRECT("'"&amp;Assemblies[Assy]&amp;"'!"&amp;"C$5:C1000"), $A563, INDIRECT("'"&amp;Assemblies[Assy]&amp;"'!"&amp;"O$5:O1000")), "x",Assemblies[Assy],".",IF(SUMIF(INDIRECT("'"&amp;Assemblies[Assy]&amp;"'!"&amp;"C$5:C1000"), $A563, INDIRECT("'"&amp;Assemblies[Assy]&amp;"'!"&amp;"A$5:A1000"))=0,NA(),SUMIF(INDIRECT("'"&amp;Assemblies[Assy]&amp;"'!"&amp;"C$5:C1000"), $A563, INDIRECT("'"&amp;Assemblies[Assy]&amp;"'!"&amp;"A$5:A1000")))),"")), " ,", ""))</f>
        <v>,</v>
      </c>
    </row>
    <row r="564" spans="1:18">
      <c r="A564" s="247" t="s">
        <v>615</v>
      </c>
      <c r="B564" s="161" t="s">
        <v>3287</v>
      </c>
      <c r="C564" s="203">
        <v>57.975499999999997</v>
      </c>
      <c r="D564" s="5">
        <v>1</v>
      </c>
      <c r="E564" s="5" t="e" cm="1">
        <f t="array" aca="1" ref="E564" ca="1">SUMPRODUCT(SUMIF(INDIRECT("'"&amp;Assemblies[Assy]&amp;"'!"&amp;"C:C"),$A564,(INDIRECT("'"&amp;Assemblies[Assy]&amp;"'!"&amp;"O:O"))))</f>
        <v>#VALUE!</v>
      </c>
      <c r="F564" s="5" t="e">
        <f t="shared" ca="1" si="8"/>
        <v>#VALUE!</v>
      </c>
      <c r="G564" s="5">
        <v>4</v>
      </c>
      <c r="H564" s="2">
        <v>4</v>
      </c>
      <c r="I564" s="117" t="s">
        <v>3221</v>
      </c>
      <c r="J564" s="117" t="s">
        <v>2647</v>
      </c>
      <c r="K564" s="135" t="s">
        <v>1382</v>
      </c>
      <c r="L564" s="2" t="s">
        <v>1382</v>
      </c>
      <c r="M564" s="8" t="s">
        <v>1762</v>
      </c>
      <c r="N564" s="8">
        <v>45042</v>
      </c>
      <c r="O564" s="8">
        <v>45098</v>
      </c>
      <c r="P564" s="8">
        <v>45144</v>
      </c>
      <c r="Q564" s="229">
        <v>54862</v>
      </c>
      <c r="R564" s="115" t="str" cm="1">
        <f t="array" aca="1" ref="R564" ca="1">TRIM(SUBSTITUTE(_xlfn.ARRAYTOTEXT(IFERROR(CONCATENATE(SUMIF(INDIRECT("'"&amp;Assemblies[Assy]&amp;"'!"&amp;"C$5:C1000"), $A564, INDIRECT("'"&amp;Assemblies[Assy]&amp;"'!"&amp;"O$5:O1000")), "x",Assemblies[Assy],".",IF(SUMIF(INDIRECT("'"&amp;Assemblies[Assy]&amp;"'!"&amp;"C$5:C1000"), $A564, INDIRECT("'"&amp;Assemblies[Assy]&amp;"'!"&amp;"A$5:A1000"))=0,NA(),SUMIF(INDIRECT("'"&amp;Assemblies[Assy]&amp;"'!"&amp;"C$5:C1000"), $A564, INDIRECT("'"&amp;Assemblies[Assy]&amp;"'!"&amp;"A$5:A1000")))),"")), " ,", ""))</f>
        <v>,</v>
      </c>
    </row>
    <row r="565" spans="1:18">
      <c r="A565" s="247" t="s">
        <v>417</v>
      </c>
      <c r="B565" s="161" t="s">
        <v>3288</v>
      </c>
      <c r="C565" s="203">
        <v>75.585300000000004</v>
      </c>
      <c r="D565" s="5">
        <v>1</v>
      </c>
      <c r="E565" s="5" t="e" cm="1">
        <f t="array" aca="1" ref="E565" ca="1">SUMPRODUCT(SUMIF(INDIRECT("'"&amp;Assemblies[Assy]&amp;"'!"&amp;"C:C"),$A565,(INDIRECT("'"&amp;Assemblies[Assy]&amp;"'!"&amp;"O:O"))))</f>
        <v>#VALUE!</v>
      </c>
      <c r="F565" s="5" t="e">
        <f t="shared" ca="1" si="8"/>
        <v>#VALUE!</v>
      </c>
      <c r="G565" s="5">
        <v>10</v>
      </c>
      <c r="H565" s="2">
        <v>10</v>
      </c>
      <c r="I565" s="117" t="s">
        <v>3221</v>
      </c>
      <c r="J565" s="117" t="s">
        <v>2647</v>
      </c>
      <c r="K565" s="135" t="s">
        <v>1382</v>
      </c>
      <c r="L565" s="2" t="s">
        <v>1382</v>
      </c>
      <c r="M565" s="8" t="s">
        <v>1762</v>
      </c>
      <c r="N565" s="8">
        <v>45042</v>
      </c>
      <c r="O565" s="8">
        <v>45098</v>
      </c>
      <c r="P565" s="8">
        <v>45145</v>
      </c>
      <c r="Q565" s="229">
        <v>54862</v>
      </c>
      <c r="R565" s="115" t="str" cm="1">
        <f t="array" aca="1" ref="R565" ca="1">TRIM(SUBSTITUTE(_xlfn.ARRAYTOTEXT(IFERROR(CONCATENATE(SUMIF(INDIRECT("'"&amp;Assemblies[Assy]&amp;"'!"&amp;"C$5:C1000"), $A565, INDIRECT("'"&amp;Assemblies[Assy]&amp;"'!"&amp;"O$5:O1000")), "x",Assemblies[Assy],".",IF(SUMIF(INDIRECT("'"&amp;Assemblies[Assy]&amp;"'!"&amp;"C$5:C1000"), $A565, INDIRECT("'"&amp;Assemblies[Assy]&amp;"'!"&amp;"A$5:A1000"))=0,NA(),SUMIF(INDIRECT("'"&amp;Assemblies[Assy]&amp;"'!"&amp;"C$5:C1000"), $A565, INDIRECT("'"&amp;Assemblies[Assy]&amp;"'!"&amp;"A$5:A1000")))),"")), " ,", ""))</f>
        <v>,</v>
      </c>
    </row>
    <row r="566" spans="1:18">
      <c r="A566" s="133" t="s">
        <v>174</v>
      </c>
      <c r="B566" s="2" t="s">
        <v>3289</v>
      </c>
      <c r="C566" s="203">
        <v>5.4641999999999999</v>
      </c>
      <c r="D566" s="5">
        <v>1</v>
      </c>
      <c r="E566" s="5" t="e" cm="1">
        <f t="array" aca="1" ref="E566" ca="1">SUMPRODUCT(SUMIF(INDIRECT("'"&amp;Assemblies[Assy]&amp;"'!"&amp;"C:C"),$A566,(INDIRECT("'"&amp;Assemblies[Assy]&amp;"'!"&amp;"O:O"))))</f>
        <v>#VALUE!</v>
      </c>
      <c r="F566" s="5" t="e">
        <f t="shared" ca="1" si="8"/>
        <v>#VALUE!</v>
      </c>
      <c r="G566" s="5">
        <v>6</v>
      </c>
      <c r="H566" s="2">
        <v>6</v>
      </c>
      <c r="I566" s="117" t="s">
        <v>3221</v>
      </c>
      <c r="J566" s="117" t="s">
        <v>2647</v>
      </c>
      <c r="K566" s="135" t="s">
        <v>1382</v>
      </c>
      <c r="L566" s="2" t="s">
        <v>1382</v>
      </c>
      <c r="M566" s="8" t="s">
        <v>1762</v>
      </c>
      <c r="N566" s="8">
        <v>45086</v>
      </c>
      <c r="O566" s="8">
        <v>45103</v>
      </c>
      <c r="P566" s="8">
        <v>45103</v>
      </c>
      <c r="Q566" s="229">
        <v>54926</v>
      </c>
      <c r="R566" s="115" t="str" cm="1">
        <f t="array" aca="1" ref="R566" ca="1">TRIM(SUBSTITUTE(_xlfn.ARRAYTOTEXT(IFERROR(CONCATENATE(SUMIF(INDIRECT("'"&amp;Assemblies[Assy]&amp;"'!"&amp;"C$5:C1000"), $A566, INDIRECT("'"&amp;Assemblies[Assy]&amp;"'!"&amp;"O$5:O1000")), "x",Assemblies[Assy],".",IF(SUMIF(INDIRECT("'"&amp;Assemblies[Assy]&amp;"'!"&amp;"C$5:C1000"), $A566, INDIRECT("'"&amp;Assemblies[Assy]&amp;"'!"&amp;"A$5:A1000"))=0,NA(),SUMIF(INDIRECT("'"&amp;Assemblies[Assy]&amp;"'!"&amp;"C$5:C1000"), $A566, INDIRECT("'"&amp;Assemblies[Assy]&amp;"'!"&amp;"A$5:A1000")))),"")), " ,", ""))</f>
        <v>,</v>
      </c>
    </row>
    <row r="567" spans="1:18">
      <c r="A567" s="133" t="s">
        <v>404</v>
      </c>
      <c r="B567" s="2" t="s">
        <v>3289</v>
      </c>
      <c r="C567" s="203">
        <v>2.9603000000000002</v>
      </c>
      <c r="D567" s="5">
        <v>1</v>
      </c>
      <c r="E567" s="5" t="e" cm="1">
        <f t="array" aca="1" ref="E567" ca="1">SUMPRODUCT(SUMIF(INDIRECT("'"&amp;Assemblies[Assy]&amp;"'!"&amp;"C:C"),$A567,(INDIRECT("'"&amp;Assemblies[Assy]&amp;"'!"&amp;"O:O"))))</f>
        <v>#VALUE!</v>
      </c>
      <c r="F567" s="5" t="e">
        <f t="shared" ca="1" si="8"/>
        <v>#VALUE!</v>
      </c>
      <c r="G567" s="5">
        <v>15</v>
      </c>
      <c r="H567" s="2">
        <v>15</v>
      </c>
      <c r="I567" s="117" t="s">
        <v>3221</v>
      </c>
      <c r="J567" s="117" t="s">
        <v>2647</v>
      </c>
      <c r="K567" s="135" t="s">
        <v>1382</v>
      </c>
      <c r="L567" s="2" t="s">
        <v>1382</v>
      </c>
      <c r="M567" s="8" t="s">
        <v>1762</v>
      </c>
      <c r="N567" s="8">
        <v>45086</v>
      </c>
      <c r="O567" s="8">
        <v>45103</v>
      </c>
      <c r="P567" s="8">
        <v>45103</v>
      </c>
      <c r="Q567" s="229">
        <v>54926</v>
      </c>
      <c r="R567" s="115" t="str" cm="1">
        <f t="array" aca="1" ref="R567" ca="1">TRIM(SUBSTITUTE(_xlfn.ARRAYTOTEXT(IFERROR(CONCATENATE(SUMIF(INDIRECT("'"&amp;Assemblies[Assy]&amp;"'!"&amp;"C$5:C1000"), $A567, INDIRECT("'"&amp;Assemblies[Assy]&amp;"'!"&amp;"O$5:O1000")), "x",Assemblies[Assy],".",IF(SUMIF(INDIRECT("'"&amp;Assemblies[Assy]&amp;"'!"&amp;"C$5:C1000"), $A567, INDIRECT("'"&amp;Assemblies[Assy]&amp;"'!"&amp;"A$5:A1000"))=0,NA(),SUMIF(INDIRECT("'"&amp;Assemblies[Assy]&amp;"'!"&amp;"C$5:C1000"), $A567, INDIRECT("'"&amp;Assemblies[Assy]&amp;"'!"&amp;"A$5:A1000")))),"")), " ,", ""))</f>
        <v>,</v>
      </c>
    </row>
    <row r="568" spans="1:18">
      <c r="A568" s="133" t="s">
        <v>1358</v>
      </c>
      <c r="B568" s="2" t="s">
        <v>3289</v>
      </c>
      <c r="C568" s="203">
        <v>3.569</v>
      </c>
      <c r="D568" s="5">
        <v>1</v>
      </c>
      <c r="E568" s="5" t="e" cm="1">
        <f t="array" aca="1" ref="E568" ca="1">SUMPRODUCT(SUMIF(INDIRECT("'"&amp;Assemblies[Assy]&amp;"'!"&amp;"C:C"),$A568,(INDIRECT("'"&amp;Assemblies[Assy]&amp;"'!"&amp;"O:O"))))</f>
        <v>#VALUE!</v>
      </c>
      <c r="F568" s="5" t="e">
        <f t="shared" ca="1" si="8"/>
        <v>#VALUE!</v>
      </c>
      <c r="G568" s="5">
        <v>3</v>
      </c>
      <c r="H568" s="2">
        <v>3</v>
      </c>
      <c r="I568" s="117" t="s">
        <v>3221</v>
      </c>
      <c r="J568" s="117" t="s">
        <v>2647</v>
      </c>
      <c r="K568" s="135" t="s">
        <v>1382</v>
      </c>
      <c r="L568" s="2" t="s">
        <v>1382</v>
      </c>
      <c r="M568" s="8" t="s">
        <v>1762</v>
      </c>
      <c r="N568" s="8">
        <v>45086</v>
      </c>
      <c r="O568" s="8">
        <v>45103</v>
      </c>
      <c r="P568" s="8">
        <v>45103</v>
      </c>
      <c r="Q568" s="229">
        <v>54926</v>
      </c>
      <c r="R568" s="115" t="str" cm="1">
        <f t="array" aca="1" ref="R568" ca="1">TRIM(SUBSTITUTE(_xlfn.ARRAYTOTEXT(IFERROR(CONCATENATE(SUMIF(INDIRECT("'"&amp;Assemblies[Assy]&amp;"'!"&amp;"C$5:C1000"), $A568, INDIRECT("'"&amp;Assemblies[Assy]&amp;"'!"&amp;"O$5:O1000")), "x",Assemblies[Assy],".",IF(SUMIF(INDIRECT("'"&amp;Assemblies[Assy]&amp;"'!"&amp;"C$5:C1000"), $A568, INDIRECT("'"&amp;Assemblies[Assy]&amp;"'!"&amp;"A$5:A1000"))=0,NA(),SUMIF(INDIRECT("'"&amp;Assemblies[Assy]&amp;"'!"&amp;"C$5:C1000"), $A568, INDIRECT("'"&amp;Assemblies[Assy]&amp;"'!"&amp;"A$5:A1000")))),"")), " ,", ""))</f>
        <v>,</v>
      </c>
    </row>
    <row r="569" spans="1:18">
      <c r="A569" s="133" t="s">
        <v>630</v>
      </c>
      <c r="B569" s="2" t="s">
        <v>3290</v>
      </c>
      <c r="C569" s="203">
        <v>13.3492</v>
      </c>
      <c r="D569" s="5">
        <v>1</v>
      </c>
      <c r="E569" s="5" t="e" cm="1">
        <f t="array" aca="1" ref="E569" ca="1">SUMPRODUCT(SUMIF(INDIRECT("'"&amp;Assemblies[Assy]&amp;"'!"&amp;"C:C"),$A569,(INDIRECT("'"&amp;Assemblies[Assy]&amp;"'!"&amp;"O:O"))))</f>
        <v>#VALUE!</v>
      </c>
      <c r="F569" s="5" t="e">
        <f t="shared" ca="1" si="8"/>
        <v>#VALUE!</v>
      </c>
      <c r="G569" s="5">
        <v>2</v>
      </c>
      <c r="H569" s="2">
        <v>2</v>
      </c>
      <c r="I569" s="117" t="s">
        <v>3221</v>
      </c>
      <c r="J569" s="117" t="s">
        <v>2647</v>
      </c>
      <c r="K569" s="135" t="s">
        <v>1382</v>
      </c>
      <c r="L569" s="2" t="s">
        <v>1382</v>
      </c>
      <c r="M569" s="8" t="s">
        <v>1762</v>
      </c>
      <c r="N569" s="8">
        <v>45086</v>
      </c>
      <c r="O569" s="8">
        <v>45103</v>
      </c>
      <c r="P569" s="8">
        <v>45103</v>
      </c>
      <c r="Q569" s="229">
        <v>54926</v>
      </c>
      <c r="R569" s="115" t="str" cm="1">
        <f t="array" aca="1" ref="R569" ca="1">TRIM(SUBSTITUTE(_xlfn.ARRAYTOTEXT(IFERROR(CONCATENATE(SUMIF(INDIRECT("'"&amp;Assemblies[Assy]&amp;"'!"&amp;"C$5:C1000"), $A569, INDIRECT("'"&amp;Assemblies[Assy]&amp;"'!"&amp;"O$5:O1000")), "x",Assemblies[Assy],".",IF(SUMIF(INDIRECT("'"&amp;Assemblies[Assy]&amp;"'!"&amp;"C$5:C1000"), $A569, INDIRECT("'"&amp;Assemblies[Assy]&amp;"'!"&amp;"A$5:A1000"))=0,NA(),SUMIF(INDIRECT("'"&amp;Assemblies[Assy]&amp;"'!"&amp;"C$5:C1000"), $A569, INDIRECT("'"&amp;Assemblies[Assy]&amp;"'!"&amp;"A$5:A1000")))),"")), " ,", ""))</f>
        <v>,</v>
      </c>
    </row>
    <row r="570" spans="1:18">
      <c r="A570" s="133" t="s">
        <v>169</v>
      </c>
      <c r="B570" s="2" t="s">
        <v>3291</v>
      </c>
      <c r="C570" s="203">
        <v>49.398800000000001</v>
      </c>
      <c r="D570" s="5">
        <v>1</v>
      </c>
      <c r="E570" s="5" t="e" cm="1">
        <f t="array" aca="1" ref="E570" ca="1">SUMPRODUCT(SUMIF(INDIRECT("'"&amp;Assemblies[Assy]&amp;"'!"&amp;"C:C"),$A570,(INDIRECT("'"&amp;Assemblies[Assy]&amp;"'!"&amp;"O:O"))))</f>
        <v>#VALUE!</v>
      </c>
      <c r="F570" s="5" t="e">
        <f t="shared" ca="1" si="8"/>
        <v>#VALUE!</v>
      </c>
      <c r="G570" s="5">
        <v>10</v>
      </c>
      <c r="H570" s="2">
        <v>10</v>
      </c>
      <c r="I570" s="117" t="s">
        <v>3221</v>
      </c>
      <c r="J570" s="117" t="s">
        <v>2647</v>
      </c>
      <c r="K570" s="135" t="s">
        <v>1382</v>
      </c>
      <c r="L570" s="2" t="s">
        <v>1779</v>
      </c>
      <c r="M570" s="8" t="s">
        <v>1762</v>
      </c>
      <c r="N570" s="8">
        <v>45086</v>
      </c>
      <c r="O570" s="8">
        <v>45103</v>
      </c>
      <c r="P570" s="8">
        <v>45103</v>
      </c>
      <c r="Q570" s="229">
        <v>54926</v>
      </c>
      <c r="R570" s="115" t="str" cm="1">
        <f t="array" aca="1" ref="R570" ca="1">TRIM(SUBSTITUTE(_xlfn.ARRAYTOTEXT(IFERROR(CONCATENATE(SUMIF(INDIRECT("'"&amp;Assemblies[Assy]&amp;"'!"&amp;"C$5:C1000"), $A570, INDIRECT("'"&amp;Assemblies[Assy]&amp;"'!"&amp;"O$5:O1000")), "x",Assemblies[Assy],".",IF(SUMIF(INDIRECT("'"&amp;Assemblies[Assy]&amp;"'!"&amp;"C$5:C1000"), $A570, INDIRECT("'"&amp;Assemblies[Assy]&amp;"'!"&amp;"A$5:A1000"))=0,NA(),SUMIF(INDIRECT("'"&amp;Assemblies[Assy]&amp;"'!"&amp;"C$5:C1000"), $A570, INDIRECT("'"&amp;Assemblies[Assy]&amp;"'!"&amp;"A$5:A1000")))),"")), " ,", ""))</f>
        <v>,</v>
      </c>
    </row>
    <row r="571" spans="1:18">
      <c r="A571" s="133" t="s">
        <v>170</v>
      </c>
      <c r="B571" s="2" t="s">
        <v>3292</v>
      </c>
      <c r="C571" s="203">
        <v>17.9833</v>
      </c>
      <c r="D571" s="5">
        <v>1</v>
      </c>
      <c r="E571" s="5" t="e" cm="1">
        <f t="array" aca="1" ref="E571" ca="1">SUMPRODUCT(SUMIF(INDIRECT("'"&amp;Assemblies[Assy]&amp;"'!"&amp;"C:C"),$A571,(INDIRECT("'"&amp;Assemblies[Assy]&amp;"'!"&amp;"O:O"))))</f>
        <v>#VALUE!</v>
      </c>
      <c r="F571" s="5" t="e">
        <f t="shared" ca="1" si="8"/>
        <v>#VALUE!</v>
      </c>
      <c r="G571" s="5">
        <v>58</v>
      </c>
      <c r="H571" s="2">
        <v>58</v>
      </c>
      <c r="I571" s="117" t="s">
        <v>3221</v>
      </c>
      <c r="J571" s="117" t="s">
        <v>2647</v>
      </c>
      <c r="K571" s="135" t="s">
        <v>1382</v>
      </c>
      <c r="L571" s="2" t="s">
        <v>1779</v>
      </c>
      <c r="M571" s="8" t="s">
        <v>1762</v>
      </c>
      <c r="N571" s="8">
        <v>45086</v>
      </c>
      <c r="O571" s="8">
        <v>45103</v>
      </c>
      <c r="P571" s="8">
        <v>45103</v>
      </c>
      <c r="Q571" s="229">
        <v>54926</v>
      </c>
      <c r="R571" s="115" t="str" cm="1">
        <f t="array" aca="1" ref="R571" ca="1">TRIM(SUBSTITUTE(_xlfn.ARRAYTOTEXT(IFERROR(CONCATENATE(SUMIF(INDIRECT("'"&amp;Assemblies[Assy]&amp;"'!"&amp;"C$5:C1000"), $A571, INDIRECT("'"&amp;Assemblies[Assy]&amp;"'!"&amp;"O$5:O1000")), "x",Assemblies[Assy],".",IF(SUMIF(INDIRECT("'"&amp;Assemblies[Assy]&amp;"'!"&amp;"C$5:C1000"), $A571, INDIRECT("'"&amp;Assemblies[Assy]&amp;"'!"&amp;"A$5:A1000"))=0,NA(),SUMIF(INDIRECT("'"&amp;Assemblies[Assy]&amp;"'!"&amp;"C$5:C1000"), $A571, INDIRECT("'"&amp;Assemblies[Assy]&amp;"'!"&amp;"A$5:A1000")))),"")), " ,", ""))</f>
        <v>,</v>
      </c>
    </row>
    <row r="572" spans="1:18">
      <c r="A572" s="133" t="s">
        <v>402</v>
      </c>
      <c r="B572" s="2" t="s">
        <v>3293</v>
      </c>
      <c r="C572" s="203">
        <v>5.6577999999999999</v>
      </c>
      <c r="D572" s="5">
        <v>1</v>
      </c>
      <c r="E572" s="5" t="e" cm="1">
        <f t="array" aca="1" ref="E572" ca="1">SUMPRODUCT(SUMIF(INDIRECT("'"&amp;Assemblies[Assy]&amp;"'!"&amp;"C:C"),$A572,(INDIRECT("'"&amp;Assemblies[Assy]&amp;"'!"&amp;"O:O"))))</f>
        <v>#VALUE!</v>
      </c>
      <c r="F572" s="5" t="e">
        <f t="shared" ca="1" si="8"/>
        <v>#VALUE!</v>
      </c>
      <c r="G572" s="5">
        <v>17</v>
      </c>
      <c r="H572" s="2">
        <v>17</v>
      </c>
      <c r="I572" s="117" t="s">
        <v>3221</v>
      </c>
      <c r="J572" s="117" t="s">
        <v>2647</v>
      </c>
      <c r="K572" s="135" t="s">
        <v>1382</v>
      </c>
      <c r="L572" s="2" t="s">
        <v>1779</v>
      </c>
      <c r="M572" s="8" t="s">
        <v>1762</v>
      </c>
      <c r="N572" s="8">
        <v>45086</v>
      </c>
      <c r="O572" s="8">
        <v>45103</v>
      </c>
      <c r="P572" s="8">
        <v>45103</v>
      </c>
      <c r="Q572" s="229">
        <v>54926</v>
      </c>
      <c r="R572" s="115" t="str" cm="1">
        <f t="array" aca="1" ref="R572" ca="1">TRIM(SUBSTITUTE(_xlfn.ARRAYTOTEXT(IFERROR(CONCATENATE(SUMIF(INDIRECT("'"&amp;Assemblies[Assy]&amp;"'!"&amp;"C$5:C1000"), $A572, INDIRECT("'"&amp;Assemblies[Assy]&amp;"'!"&amp;"O$5:O1000")), "x",Assemblies[Assy],".",IF(SUMIF(INDIRECT("'"&amp;Assemblies[Assy]&amp;"'!"&amp;"C$5:C1000"), $A572, INDIRECT("'"&amp;Assemblies[Assy]&amp;"'!"&amp;"A$5:A1000"))=0,NA(),SUMIF(INDIRECT("'"&amp;Assemblies[Assy]&amp;"'!"&amp;"C$5:C1000"), $A572, INDIRECT("'"&amp;Assemblies[Assy]&amp;"'!"&amp;"A$5:A1000")))),"")), " ,", ""))</f>
        <v>,</v>
      </c>
    </row>
    <row r="573" spans="1:18">
      <c r="A573" s="133" t="s">
        <v>403</v>
      </c>
      <c r="B573" s="2" t="s">
        <v>3294</v>
      </c>
      <c r="C573" s="203">
        <v>32.0242</v>
      </c>
      <c r="D573" s="5">
        <v>1</v>
      </c>
      <c r="E573" s="5" t="e" cm="1">
        <f t="array" aca="1" ref="E573" ca="1">SUMPRODUCT(SUMIF(INDIRECT("'"&amp;Assemblies[Assy]&amp;"'!"&amp;"C:C"),$A573,(INDIRECT("'"&amp;Assemblies[Assy]&amp;"'!"&amp;"O:O"))))</f>
        <v>#VALUE!</v>
      </c>
      <c r="F573" s="5" t="e">
        <f t="shared" ca="1" si="8"/>
        <v>#VALUE!</v>
      </c>
      <c r="G573" s="5">
        <v>6</v>
      </c>
      <c r="H573" s="2">
        <v>6</v>
      </c>
      <c r="I573" s="117" t="s">
        <v>3221</v>
      </c>
      <c r="J573" s="117" t="s">
        <v>2647</v>
      </c>
      <c r="K573" s="135" t="s">
        <v>1382</v>
      </c>
      <c r="L573" s="2" t="s">
        <v>1382</v>
      </c>
      <c r="M573" s="8" t="s">
        <v>1762</v>
      </c>
      <c r="N573" s="8">
        <v>45086</v>
      </c>
      <c r="O573" s="8">
        <v>45103</v>
      </c>
      <c r="P573" s="8">
        <v>45103</v>
      </c>
      <c r="Q573" s="229">
        <v>54926</v>
      </c>
      <c r="R573" s="115" t="str" cm="1">
        <f t="array" aca="1" ref="R573" ca="1">TRIM(SUBSTITUTE(_xlfn.ARRAYTOTEXT(IFERROR(CONCATENATE(SUMIF(INDIRECT("'"&amp;Assemblies[Assy]&amp;"'!"&amp;"C$5:C1000"), $A573, INDIRECT("'"&amp;Assemblies[Assy]&amp;"'!"&amp;"O$5:O1000")), "x",Assemblies[Assy],".",IF(SUMIF(INDIRECT("'"&amp;Assemblies[Assy]&amp;"'!"&amp;"C$5:C1000"), $A573, INDIRECT("'"&amp;Assemblies[Assy]&amp;"'!"&amp;"A$5:A1000"))=0,NA(),SUMIF(INDIRECT("'"&amp;Assemblies[Assy]&amp;"'!"&amp;"C$5:C1000"), $A573, INDIRECT("'"&amp;Assemblies[Assy]&amp;"'!"&amp;"A$5:A1000")))),"")), " ,", ""))</f>
        <v>,</v>
      </c>
    </row>
    <row r="574" spans="1:18">
      <c r="A574" s="133" t="s">
        <v>176</v>
      </c>
      <c r="B574" s="2" t="s">
        <v>3294</v>
      </c>
      <c r="C574" s="203">
        <v>33.116999999999997</v>
      </c>
      <c r="D574" s="5">
        <v>1</v>
      </c>
      <c r="E574" s="5" t="e" cm="1">
        <f t="array" aca="1" ref="E574" ca="1">SUMPRODUCT(SUMIF(INDIRECT("'"&amp;Assemblies[Assy]&amp;"'!"&amp;"C:C"),$A574,(INDIRECT("'"&amp;Assemblies[Assy]&amp;"'!"&amp;"O:O"))))</f>
        <v>#VALUE!</v>
      </c>
      <c r="F574" s="5" t="e">
        <f t="shared" ca="1" si="8"/>
        <v>#VALUE!</v>
      </c>
      <c r="G574" s="5">
        <v>4</v>
      </c>
      <c r="H574" s="2">
        <v>4</v>
      </c>
      <c r="I574" s="117" t="s">
        <v>3221</v>
      </c>
      <c r="J574" s="117" t="s">
        <v>2647</v>
      </c>
      <c r="K574" s="135" t="s">
        <v>1382</v>
      </c>
      <c r="L574" s="2" t="s">
        <v>1382</v>
      </c>
      <c r="M574" s="8" t="s">
        <v>1762</v>
      </c>
      <c r="N574" s="8">
        <v>45086</v>
      </c>
      <c r="O574" s="8">
        <v>45103</v>
      </c>
      <c r="P574" s="8">
        <v>45103</v>
      </c>
      <c r="Q574" s="229">
        <v>54926</v>
      </c>
      <c r="R574" s="115" t="str" cm="1">
        <f t="array" aca="1" ref="R574" ca="1">TRIM(SUBSTITUTE(_xlfn.ARRAYTOTEXT(IFERROR(CONCATENATE(SUMIF(INDIRECT("'"&amp;Assemblies[Assy]&amp;"'!"&amp;"C$5:C1000"), $A574, INDIRECT("'"&amp;Assemblies[Assy]&amp;"'!"&amp;"O$5:O1000")), "x",Assemblies[Assy],".",IF(SUMIF(INDIRECT("'"&amp;Assemblies[Assy]&amp;"'!"&amp;"C$5:C1000"), $A574, INDIRECT("'"&amp;Assemblies[Assy]&amp;"'!"&amp;"A$5:A1000"))=0,NA(),SUMIF(INDIRECT("'"&amp;Assemblies[Assy]&amp;"'!"&amp;"C$5:C1000"), $A574, INDIRECT("'"&amp;Assemblies[Assy]&amp;"'!"&amp;"A$5:A1000")))),"")), " ,", ""))</f>
        <v>, 0x217.308,</v>
      </c>
    </row>
    <row r="575" spans="1:18">
      <c r="A575" s="133" t="s">
        <v>173</v>
      </c>
      <c r="B575" s="2" t="s">
        <v>3295</v>
      </c>
      <c r="C575" s="168">
        <v>14.84</v>
      </c>
      <c r="D575" s="5">
        <v>1</v>
      </c>
      <c r="E575" s="5" t="e" cm="1">
        <f t="array" aca="1" ref="E575" ca="1">SUMPRODUCT(SUMIF(INDIRECT("'"&amp;Assemblies[Assy]&amp;"'!"&amp;"C:C"),$A575,(INDIRECT("'"&amp;Assemblies[Assy]&amp;"'!"&amp;"O:O"))))</f>
        <v>#VALUE!</v>
      </c>
      <c r="F575" s="5" t="e">
        <f t="shared" ca="1" si="8"/>
        <v>#VALUE!</v>
      </c>
      <c r="G575" s="5">
        <v>4</v>
      </c>
      <c r="I575" s="117" t="s">
        <v>3221</v>
      </c>
      <c r="J575" s="117" t="s">
        <v>3279</v>
      </c>
      <c r="M575" s="8" t="s">
        <v>1762</v>
      </c>
      <c r="N575" s="8">
        <v>45229</v>
      </c>
      <c r="O575" s="8">
        <v>45233</v>
      </c>
      <c r="Q575" s="229">
        <v>55258</v>
      </c>
      <c r="R575" s="115" t="str" cm="1">
        <f t="array" aca="1" ref="R575" ca="1">TRIM(SUBSTITUTE(_xlfn.ARRAYTOTEXT(IFERROR(CONCATENATE(SUMIF(INDIRECT("'"&amp;Assemblies!$B$2:$B$152&amp;"'!"&amp;"C$5:C1000"), $A575, INDIRECT("'"&amp;Assemblies!$B$2:$B$152&amp;"'!"&amp;"O$5:O1000")), "x",Assemblies!$B$2:$B$152,".",IF(SUMIF(INDIRECT("'"&amp;Assemblies!$B$2:$B$152&amp;"'!"&amp;"C$5:C1000"), $A575, INDIRECT("'"&amp;Assemblies!$B$2:$B$152&amp;"'!"&amp;"A$5:A1000"))=0,NA(),SUMIF(INDIRECT("'"&amp;Assemblies!$B$2:$B$152&amp;"'!"&amp;"C$5:C1000"), $A575, INDIRECT("'"&amp;Assemblies!$B$2:$B$152&amp;"'!"&amp;"A$5:A1000")))),"")), " ,", ""))</f>
        <v>,</v>
      </c>
    </row>
    <row r="576" spans="1:18">
      <c r="A576" s="133" t="s">
        <v>177</v>
      </c>
      <c r="B576" s="2" t="s">
        <v>3296</v>
      </c>
      <c r="C576" s="203">
        <v>1.7153</v>
      </c>
      <c r="D576" s="5">
        <v>1</v>
      </c>
      <c r="E576" s="5" t="e" cm="1">
        <f t="array" aca="1" ref="E576" ca="1">SUMPRODUCT(SUMIF(INDIRECT("'"&amp;Assemblies[Assy]&amp;"'!"&amp;"C:C"),$A576,(INDIRECT("'"&amp;Assemblies[Assy]&amp;"'!"&amp;"O:O"))))</f>
        <v>#VALUE!</v>
      </c>
      <c r="F576" s="5" t="e">
        <f t="shared" ca="1" si="8"/>
        <v>#VALUE!</v>
      </c>
      <c r="G576" s="5">
        <v>9</v>
      </c>
      <c r="H576" s="2">
        <v>9</v>
      </c>
      <c r="I576" s="117" t="s">
        <v>3221</v>
      </c>
      <c r="J576" s="117" t="s">
        <v>2647</v>
      </c>
      <c r="K576" s="135" t="s">
        <v>1382</v>
      </c>
      <c r="L576" s="2" t="s">
        <v>1382</v>
      </c>
      <c r="M576" s="8" t="s">
        <v>1762</v>
      </c>
      <c r="N576" s="8">
        <v>45086</v>
      </c>
      <c r="O576" s="8">
        <v>45103</v>
      </c>
      <c r="P576" s="8">
        <v>45103</v>
      </c>
      <c r="Q576" s="229" t="s">
        <v>3297</v>
      </c>
      <c r="R576" s="115" t="str" cm="1">
        <f t="array" aca="1" ref="R576" ca="1">TRIM(SUBSTITUTE(_xlfn.ARRAYTOTEXT(IFERROR(CONCATENATE(SUMIF(INDIRECT("'"&amp;Assemblies[Assy]&amp;"'!"&amp;"C$5:C1000"), $A576, INDIRECT("'"&amp;Assemblies[Assy]&amp;"'!"&amp;"O$5:O1000")), "x",Assemblies[Assy],".",IF(SUMIF(INDIRECT("'"&amp;Assemblies[Assy]&amp;"'!"&amp;"C$5:C1000"), $A576, INDIRECT("'"&amp;Assemblies[Assy]&amp;"'!"&amp;"A$5:A1000"))=0,NA(),SUMIF(INDIRECT("'"&amp;Assemblies[Assy]&amp;"'!"&amp;"C$5:C1000"), $A576, INDIRECT("'"&amp;Assemblies[Assy]&amp;"'!"&amp;"A$5:A1000")))),"")), " ,", ""))</f>
        <v>,</v>
      </c>
    </row>
    <row r="577" spans="1:18">
      <c r="A577" s="247" t="s">
        <v>200</v>
      </c>
      <c r="B577" s="161" t="s">
        <v>3298</v>
      </c>
      <c r="C577" s="168">
        <v>53.659500000000001</v>
      </c>
      <c r="D577" s="5">
        <v>1</v>
      </c>
      <c r="E577" s="5" t="e" cm="1">
        <f t="array" aca="1" ref="E577" ca="1">SUMPRODUCT(SUMIF(INDIRECT("'"&amp;Assemblies[Assy]&amp;"'!"&amp;"C:C"),$A577,(INDIRECT("'"&amp;Assemblies[Assy]&amp;"'!"&amp;"O:O"))))</f>
        <v>#VALUE!</v>
      </c>
      <c r="F577" s="5" t="e">
        <f t="shared" ca="1" si="8"/>
        <v>#VALUE!</v>
      </c>
      <c r="G577" s="5">
        <v>10</v>
      </c>
      <c r="H577" s="2">
        <v>10</v>
      </c>
      <c r="I577" s="117" t="s">
        <v>3221</v>
      </c>
      <c r="J577" s="117" t="s">
        <v>2647</v>
      </c>
      <c r="K577" s="135" t="s">
        <v>1382</v>
      </c>
      <c r="L577" s="2" t="s">
        <v>1382</v>
      </c>
      <c r="M577" s="8" t="s">
        <v>1762</v>
      </c>
      <c r="N577" s="8">
        <v>45086</v>
      </c>
      <c r="O577" s="8">
        <v>45103</v>
      </c>
      <c r="P577" s="8">
        <v>45103</v>
      </c>
      <c r="Q577" s="229">
        <v>54926</v>
      </c>
      <c r="R577" s="115" t="str" cm="1">
        <f t="array" aca="1" ref="R577" ca="1">TRIM(SUBSTITUTE(_xlfn.ARRAYTOTEXT(IFERROR(CONCATENATE(SUMIF(INDIRECT("'"&amp;Assemblies[Assy]&amp;"'!"&amp;"C$5:C1000"), $A577, INDIRECT("'"&amp;Assemblies[Assy]&amp;"'!"&amp;"O$5:O1000")), "x",Assemblies[Assy],".",IF(SUMIF(INDIRECT("'"&amp;Assemblies[Assy]&amp;"'!"&amp;"C$5:C1000"), $A577, INDIRECT("'"&amp;Assemblies[Assy]&amp;"'!"&amp;"A$5:A1000"))=0,NA(),SUMIF(INDIRECT("'"&amp;Assemblies[Assy]&amp;"'!"&amp;"C$5:C1000"), $A577, INDIRECT("'"&amp;Assemblies[Assy]&amp;"'!"&amp;"A$5:A1000")))),"")), " ,", ""))</f>
        <v>,</v>
      </c>
    </row>
    <row r="578" spans="1:18">
      <c r="A578" s="247" t="s">
        <v>172</v>
      </c>
      <c r="B578" s="161" t="s">
        <v>3298</v>
      </c>
      <c r="C578" s="168">
        <v>83.1798</v>
      </c>
      <c r="D578" s="5">
        <v>1</v>
      </c>
      <c r="E578" s="5" t="e" cm="1">
        <f t="array" aca="1" ref="E578" ca="1">SUMPRODUCT(SUMIF(INDIRECT("'"&amp;Assemblies[Assy]&amp;"'!"&amp;"C:C"),$A578,(INDIRECT("'"&amp;Assemblies[Assy]&amp;"'!"&amp;"O:O"))))</f>
        <v>#VALUE!</v>
      </c>
      <c r="F578" s="5" t="e">
        <f t="shared" ref="F578:F612" ca="1" si="9">E578/D578</f>
        <v>#VALUE!</v>
      </c>
      <c r="G578" s="5">
        <v>21</v>
      </c>
      <c r="H578" s="2">
        <v>21</v>
      </c>
      <c r="I578" s="117" t="s">
        <v>3221</v>
      </c>
      <c r="J578" s="117" t="s">
        <v>2647</v>
      </c>
      <c r="K578" s="135" t="s">
        <v>1382</v>
      </c>
      <c r="L578" s="2" t="s">
        <v>1382</v>
      </c>
      <c r="M578" s="8" t="s">
        <v>1762</v>
      </c>
      <c r="N578" s="8">
        <v>45086</v>
      </c>
      <c r="O578" s="8">
        <v>45103</v>
      </c>
      <c r="P578" s="8">
        <v>45103</v>
      </c>
      <c r="Q578" s="229">
        <v>54926</v>
      </c>
      <c r="R578" s="115" t="str" cm="1">
        <f t="array" aca="1" ref="R578" ca="1">TRIM(SUBSTITUTE(_xlfn.ARRAYTOTEXT(IFERROR(CONCATENATE(SUMIF(INDIRECT("'"&amp;Assemblies[Assy]&amp;"'!"&amp;"C$5:C1000"), $A578, INDIRECT("'"&amp;Assemblies[Assy]&amp;"'!"&amp;"O$5:O1000")), "x",Assemblies[Assy],".",IF(SUMIF(INDIRECT("'"&amp;Assemblies[Assy]&amp;"'!"&amp;"C$5:C1000"), $A578, INDIRECT("'"&amp;Assemblies[Assy]&amp;"'!"&amp;"A$5:A1000"))=0,NA(),SUMIF(INDIRECT("'"&amp;Assemblies[Assy]&amp;"'!"&amp;"C$5:C1000"), $A578, INDIRECT("'"&amp;Assemblies[Assy]&amp;"'!"&amp;"A$5:A1000")))),"")), " ,", ""))</f>
        <v>,</v>
      </c>
    </row>
    <row r="579" spans="1:18">
      <c r="A579" s="247" t="s">
        <v>171</v>
      </c>
      <c r="B579" s="250" t="s">
        <v>3299</v>
      </c>
      <c r="C579" s="203">
        <v>89.391000000000005</v>
      </c>
      <c r="D579" s="5">
        <v>1</v>
      </c>
      <c r="E579" s="5" t="e" cm="1">
        <f t="array" aca="1" ref="E579" ca="1">SUMPRODUCT(SUMIF(INDIRECT("'"&amp;Assemblies[Assy]&amp;"'!"&amp;"C:C"),$A579,(INDIRECT("'"&amp;Assemblies[Assy]&amp;"'!"&amp;"O:O"))))</f>
        <v>#VALUE!</v>
      </c>
      <c r="F579" s="5" t="e">
        <f t="shared" ca="1" si="9"/>
        <v>#VALUE!</v>
      </c>
      <c r="G579" s="5">
        <v>14</v>
      </c>
      <c r="H579" s="2">
        <v>14</v>
      </c>
      <c r="I579" s="117" t="s">
        <v>3221</v>
      </c>
      <c r="J579" s="117" t="s">
        <v>3235</v>
      </c>
      <c r="K579" s="135" t="s">
        <v>1382</v>
      </c>
      <c r="L579" s="2" t="s">
        <v>1382</v>
      </c>
      <c r="M579" s="8" t="s">
        <v>1762</v>
      </c>
      <c r="N579" s="8">
        <v>45086</v>
      </c>
      <c r="O579" s="8">
        <v>45103</v>
      </c>
      <c r="P579" s="8">
        <v>45103</v>
      </c>
      <c r="Q579" s="229" t="s">
        <v>3300</v>
      </c>
      <c r="R579" s="115" t="str" cm="1">
        <f t="array" aca="1" ref="R579" ca="1">TRIM(SUBSTITUTE(_xlfn.ARRAYTOTEXT(IFERROR(CONCATENATE(SUMIF(INDIRECT("'"&amp;Assemblies[Assy]&amp;"'!"&amp;"C$5:C1000"), $A579, INDIRECT("'"&amp;Assemblies[Assy]&amp;"'!"&amp;"O$5:O1000")), "x",Assemblies[Assy],".",IF(SUMIF(INDIRECT("'"&amp;Assemblies[Assy]&amp;"'!"&amp;"C$5:C1000"), $A579, INDIRECT("'"&amp;Assemblies[Assy]&amp;"'!"&amp;"A$5:A1000"))=0,NA(),SUMIF(INDIRECT("'"&amp;Assemblies[Assy]&amp;"'!"&amp;"C$5:C1000"), $A579, INDIRECT("'"&amp;Assemblies[Assy]&amp;"'!"&amp;"A$5:A1000")))),"")), " ,", ""))</f>
        <v>,</v>
      </c>
    </row>
    <row r="580" spans="1:18">
      <c r="A580" s="247" t="s">
        <v>502</v>
      </c>
      <c r="B580" s="248" t="s">
        <v>3301</v>
      </c>
      <c r="C580" s="203">
        <v>41.804299999999998</v>
      </c>
      <c r="D580" s="5">
        <v>1</v>
      </c>
      <c r="E580" s="5" t="e" cm="1">
        <f t="array" aca="1" ref="E580" ca="1">SUMPRODUCT(SUMIF(INDIRECT("'"&amp;Assemblies[Assy]&amp;"'!"&amp;"C:C"),$A580,(INDIRECT("'"&amp;Assemblies[Assy]&amp;"'!"&amp;"O:O"))))</f>
        <v>#VALUE!</v>
      </c>
      <c r="F580" s="5" t="e">
        <f t="shared" ca="1" si="9"/>
        <v>#VALUE!</v>
      </c>
      <c r="G580" s="5">
        <v>1</v>
      </c>
      <c r="H580" s="2">
        <v>1</v>
      </c>
      <c r="I580" s="117" t="s">
        <v>3221</v>
      </c>
      <c r="J580" s="117" t="s">
        <v>2647</v>
      </c>
      <c r="K580" s="135" t="s">
        <v>1382</v>
      </c>
      <c r="L580" s="2" t="s">
        <v>1382</v>
      </c>
      <c r="M580" s="8">
        <v>45126</v>
      </c>
      <c r="N580" s="8">
        <v>45126</v>
      </c>
      <c r="O580" s="8">
        <v>45140</v>
      </c>
      <c r="P580" s="8">
        <v>45148</v>
      </c>
      <c r="Q580" s="229">
        <v>55002</v>
      </c>
      <c r="R580" s="115" t="str" cm="1">
        <f t="array" aca="1" ref="R580" ca="1">TRIM(SUBSTITUTE(_xlfn.ARRAYTOTEXT(IFERROR(CONCATENATE(SUMIF(INDIRECT("'"&amp;Assemblies[Assy]&amp;"'!"&amp;"C$5:C1000"), $A580, INDIRECT("'"&amp;Assemblies[Assy]&amp;"'!"&amp;"O$5:O1000")), "x",Assemblies[Assy],".",IF(SUMIF(INDIRECT("'"&amp;Assemblies[Assy]&amp;"'!"&amp;"C$5:C1000"), $A580, INDIRECT("'"&amp;Assemblies[Assy]&amp;"'!"&amp;"A$5:A1000"))=0,NA(),SUMIF(INDIRECT("'"&amp;Assemblies[Assy]&amp;"'!"&amp;"C$5:C1000"), $A580, INDIRECT("'"&amp;Assemblies[Assy]&amp;"'!"&amp;"A$5:A1000")))),"")), " ,", ""))</f>
        <v>,</v>
      </c>
    </row>
    <row r="581" spans="1:18">
      <c r="A581" s="133" t="s">
        <v>175</v>
      </c>
      <c r="B581" s="2" t="s">
        <v>3302</v>
      </c>
      <c r="C581" s="203">
        <v>3.3892000000000002</v>
      </c>
      <c r="D581" s="5">
        <v>1</v>
      </c>
      <c r="E581" s="5" t="e" cm="1">
        <f t="array" aca="1" ref="E581" ca="1">SUMPRODUCT(SUMIF(INDIRECT("'"&amp;Assemblies[Assy]&amp;"'!"&amp;"C:C"),$A581,(INDIRECT("'"&amp;Assemblies[Assy]&amp;"'!"&amp;"O:O"))))</f>
        <v>#VALUE!</v>
      </c>
      <c r="F581" s="5" t="e">
        <f t="shared" ca="1" si="9"/>
        <v>#VALUE!</v>
      </c>
      <c r="G581" s="5">
        <v>20</v>
      </c>
      <c r="H581" s="2">
        <v>20</v>
      </c>
      <c r="I581" s="117" t="s">
        <v>3221</v>
      </c>
      <c r="J581" s="117" t="s">
        <v>2647</v>
      </c>
      <c r="K581" s="135" t="s">
        <v>1382</v>
      </c>
      <c r="L581" s="2" t="s">
        <v>1382</v>
      </c>
      <c r="M581" s="8" t="s">
        <v>1762</v>
      </c>
      <c r="N581" s="8">
        <v>45086</v>
      </c>
      <c r="O581" s="8">
        <v>45103</v>
      </c>
      <c r="P581" s="8">
        <v>45103</v>
      </c>
      <c r="Q581" s="229">
        <v>54926</v>
      </c>
      <c r="R581" s="115" t="str" cm="1">
        <f t="array" aca="1" ref="R581" ca="1">TRIM(SUBSTITUTE(_xlfn.ARRAYTOTEXT(IFERROR(CONCATENATE(SUMIF(INDIRECT("'"&amp;Assemblies[Assy]&amp;"'!"&amp;"C$5:C1000"), $A581, INDIRECT("'"&amp;Assemblies[Assy]&amp;"'!"&amp;"O$5:O1000")), "x",Assemblies[Assy],".",IF(SUMIF(INDIRECT("'"&amp;Assemblies[Assy]&amp;"'!"&amp;"C$5:C1000"), $A581, INDIRECT("'"&amp;Assemblies[Assy]&amp;"'!"&amp;"A$5:A1000"))=0,NA(),SUMIF(INDIRECT("'"&amp;Assemblies[Assy]&amp;"'!"&amp;"C$5:C1000"), $A581, INDIRECT("'"&amp;Assemblies[Assy]&amp;"'!"&amp;"A$5:A1000")))),"")), " ,", ""))</f>
        <v>, 0x217.307,</v>
      </c>
    </row>
    <row r="582" spans="1:18">
      <c r="A582" s="133" t="s">
        <v>3303</v>
      </c>
      <c r="B582" s="22" t="s">
        <v>3304</v>
      </c>
      <c r="C582" s="203">
        <v>4.6341999999999999</v>
      </c>
      <c r="D582" s="5">
        <v>1</v>
      </c>
      <c r="E582" s="5" cm="1">
        <f t="array" aca="1" ref="E582" ca="1">SUMPRODUCT(SUMIF(INDIRECT("'"&amp;Assemblies[Assy]&amp;"'!"&amp;"C:C"),$A582,(INDIRECT("'"&amp;Assemblies[Assy]&amp;"'!"&amp;"O:O"))))</f>
        <v>0</v>
      </c>
      <c r="F582" s="5">
        <f t="shared" ca="1" si="9"/>
        <v>0</v>
      </c>
      <c r="G582" s="5">
        <v>1</v>
      </c>
      <c r="H582" s="2">
        <v>1</v>
      </c>
      <c r="I582" s="117" t="s">
        <v>3221</v>
      </c>
      <c r="J582" s="117" t="s">
        <v>2647</v>
      </c>
      <c r="K582" s="135" t="s">
        <v>1382</v>
      </c>
      <c r="L582" s="2" t="s">
        <v>1382</v>
      </c>
      <c r="M582" s="8">
        <v>45126</v>
      </c>
      <c r="N582" s="8">
        <v>45126</v>
      </c>
      <c r="O582" s="8">
        <v>45140</v>
      </c>
      <c r="P582" s="8">
        <v>45148</v>
      </c>
      <c r="Q582" s="229">
        <v>55002</v>
      </c>
      <c r="R582" s="115" t="str" cm="1">
        <f t="array" aca="1" ref="R582" ca="1">TRIM(SUBSTITUTE(_xlfn.ARRAYTOTEXT(IFERROR(CONCATENATE(SUMIF(INDIRECT("'"&amp;Assemblies[Assy]&amp;"'!"&amp;"C$5:C1000"), $A582, INDIRECT("'"&amp;Assemblies[Assy]&amp;"'!"&amp;"O$5:O1000")), "x",Assemblies[Assy],".",IF(SUMIF(INDIRECT("'"&amp;Assemblies[Assy]&amp;"'!"&amp;"C$5:C1000"), $A582, INDIRECT("'"&amp;Assemblies[Assy]&amp;"'!"&amp;"A$5:A1000"))=0,NA(),SUMIF(INDIRECT("'"&amp;Assemblies[Assy]&amp;"'!"&amp;"C$5:C1000"), $A582, INDIRECT("'"&amp;Assemblies[Assy]&amp;"'!"&amp;"A$5:A1000")))),"")), " ,", ""))</f>
        <v>,</v>
      </c>
    </row>
    <row r="583" spans="1:18">
      <c r="A583" s="133" t="s">
        <v>510</v>
      </c>
      <c r="B583" s="22" t="s">
        <v>3305</v>
      </c>
      <c r="C583" s="203">
        <v>7.12</v>
      </c>
      <c r="D583" s="5">
        <v>1</v>
      </c>
      <c r="E583" s="5" t="e" cm="1">
        <f t="array" aca="1" ref="E583" ca="1">SUMPRODUCT(SUMIF(INDIRECT("'"&amp;Assemblies[Assy]&amp;"'!"&amp;"C:C"),$A583,(INDIRECT("'"&amp;Assemblies[Assy]&amp;"'!"&amp;"O:O"))))</f>
        <v>#VALUE!</v>
      </c>
      <c r="F583" s="5" t="e">
        <f t="shared" ca="1" si="9"/>
        <v>#VALUE!</v>
      </c>
      <c r="G583" s="5">
        <v>2</v>
      </c>
      <c r="H583" s="2">
        <v>2</v>
      </c>
      <c r="I583" s="117" t="s">
        <v>3221</v>
      </c>
      <c r="J583" s="117" t="s">
        <v>2647</v>
      </c>
      <c r="K583" s="135" t="s">
        <v>1382</v>
      </c>
      <c r="L583" s="2" t="s">
        <v>1382</v>
      </c>
      <c r="M583" s="8">
        <v>45126</v>
      </c>
      <c r="N583" s="8">
        <v>45126</v>
      </c>
      <c r="O583" s="8">
        <v>45140</v>
      </c>
      <c r="P583" s="8">
        <v>45148</v>
      </c>
      <c r="Q583" s="229">
        <v>55002</v>
      </c>
      <c r="R583" s="115" t="str" cm="1">
        <f t="array" aca="1" ref="R583" ca="1">TRIM(SUBSTITUTE(_xlfn.ARRAYTOTEXT(IFERROR(CONCATENATE(SUMIF(INDIRECT("'"&amp;Assemblies[Assy]&amp;"'!"&amp;"C$5:C1000"), $A583, INDIRECT("'"&amp;Assemblies[Assy]&amp;"'!"&amp;"O$5:O1000")), "x",Assemblies[Assy],".",IF(SUMIF(INDIRECT("'"&amp;Assemblies[Assy]&amp;"'!"&amp;"C$5:C1000"), $A583, INDIRECT("'"&amp;Assemblies[Assy]&amp;"'!"&amp;"A$5:A1000"))=0,NA(),SUMIF(INDIRECT("'"&amp;Assemblies[Assy]&amp;"'!"&amp;"C$5:C1000"), $A583, INDIRECT("'"&amp;Assemblies[Assy]&amp;"'!"&amp;"A$5:A1000")))),"")), " ,", ""))</f>
        <v>,</v>
      </c>
    </row>
    <row r="584" spans="1:18">
      <c r="A584" s="133" t="s">
        <v>3306</v>
      </c>
      <c r="B584" s="22" t="s">
        <v>3307</v>
      </c>
      <c r="C584" s="203">
        <v>6.2272999999999996</v>
      </c>
      <c r="D584" s="5">
        <v>1</v>
      </c>
      <c r="E584" s="5" cm="1">
        <f t="array" aca="1" ref="E584" ca="1">SUMPRODUCT(SUMIF(INDIRECT("'"&amp;Assemblies[Assy]&amp;"'!"&amp;"C:C"),$A584,(INDIRECT("'"&amp;Assemblies[Assy]&amp;"'!"&amp;"O:O"))))</f>
        <v>0</v>
      </c>
      <c r="F584" s="5">
        <f t="shared" ca="1" si="9"/>
        <v>0</v>
      </c>
      <c r="G584" s="5">
        <v>1</v>
      </c>
      <c r="I584" s="117" t="s">
        <v>3221</v>
      </c>
      <c r="J584" s="117" t="s">
        <v>2647</v>
      </c>
      <c r="M584" s="8">
        <v>45231</v>
      </c>
      <c r="N584" s="8">
        <v>45231</v>
      </c>
      <c r="O584" s="8">
        <v>45237</v>
      </c>
      <c r="Q584" s="229">
        <v>55265</v>
      </c>
      <c r="R584" s="115" t="str" cm="1">
        <f t="array" aca="1" ref="R584" ca="1">TRIM(SUBSTITUTE(_xlfn.ARRAYTOTEXT(IFERROR(CONCATENATE(SUMIF(INDIRECT("'"&amp;Assemblies!$B$2:$B$152&amp;"'!"&amp;"C$5:C1000"), $A584, INDIRECT("'"&amp;Assemblies!$B$2:$B$152&amp;"'!"&amp;"O$5:O1000")), "x",Assemblies!$B$2:$B$152,".",IF(SUMIF(INDIRECT("'"&amp;Assemblies!$B$2:$B$152&amp;"'!"&amp;"C$5:C1000"), $A584, INDIRECT("'"&amp;Assemblies!$B$2:$B$152&amp;"'!"&amp;"A$5:A1000"))=0,NA(),SUMIF(INDIRECT("'"&amp;Assemblies!$B$2:$B$152&amp;"'!"&amp;"C$5:C1000"), $A584, INDIRECT("'"&amp;Assemblies!$B$2:$B$152&amp;"'!"&amp;"A$5:A1000")))),"")), " ,", ""))</f>
        <v>,</v>
      </c>
    </row>
    <row r="585" spans="1:18">
      <c r="A585" s="133" t="s">
        <v>504</v>
      </c>
      <c r="B585" s="22" t="s">
        <v>3308</v>
      </c>
      <c r="C585" s="203">
        <v>7.5972</v>
      </c>
      <c r="D585" s="5">
        <v>1</v>
      </c>
      <c r="E585" s="5" t="e" cm="1">
        <f t="array" aca="1" ref="E585" ca="1">SUMPRODUCT(SUMIF(INDIRECT("'"&amp;Assemblies[Assy]&amp;"'!"&amp;"C:C"),$A585,(INDIRECT("'"&amp;Assemblies[Assy]&amp;"'!"&amp;"O:O"))))</f>
        <v>#VALUE!</v>
      </c>
      <c r="F585" s="5" t="e">
        <f t="shared" ca="1" si="9"/>
        <v>#VALUE!</v>
      </c>
      <c r="G585" s="5">
        <v>1</v>
      </c>
      <c r="I585" s="117" t="s">
        <v>3221</v>
      </c>
      <c r="J585" s="117" t="s">
        <v>2647</v>
      </c>
      <c r="M585" s="8">
        <v>45231</v>
      </c>
      <c r="N585" s="8">
        <v>45231</v>
      </c>
      <c r="O585" s="8">
        <v>45237</v>
      </c>
      <c r="Q585" s="229">
        <v>55265</v>
      </c>
      <c r="R585" s="115" t="str" cm="1">
        <f t="array" aca="1" ref="R585" ca="1">TRIM(SUBSTITUTE(_xlfn.ARRAYTOTEXT(IFERROR(CONCATENATE(SUMIF(INDIRECT("'"&amp;Assemblies!$B$2:$B$152&amp;"'!"&amp;"C$5:C1000"), $A585, INDIRECT("'"&amp;Assemblies!$B$2:$B$152&amp;"'!"&amp;"O$5:O1000")), "x",Assemblies!$B$2:$B$152,".",IF(SUMIF(INDIRECT("'"&amp;Assemblies!$B$2:$B$152&amp;"'!"&amp;"C$5:C1000"), $A585, INDIRECT("'"&amp;Assemblies!$B$2:$B$152&amp;"'!"&amp;"A$5:A1000"))=0,NA(),SUMIF(INDIRECT("'"&amp;Assemblies!$B$2:$B$152&amp;"'!"&amp;"C$5:C1000"), $A585, INDIRECT("'"&amp;Assemblies!$B$2:$B$152&amp;"'!"&amp;"A$5:A1000")))),"")), " ,", ""))</f>
        <v>,</v>
      </c>
    </row>
    <row r="586" spans="1:18">
      <c r="A586" s="247" t="s">
        <v>1269</v>
      </c>
      <c r="B586" s="161" t="s">
        <v>3309</v>
      </c>
      <c r="C586" s="168">
        <v>15.7423</v>
      </c>
      <c r="D586" s="5">
        <v>1</v>
      </c>
      <c r="E586" s="5" t="e" cm="1">
        <f t="array" aca="1" ref="E586" ca="1">SUMPRODUCT(SUMIF(INDIRECT("'"&amp;Assemblies[Assy]&amp;"'!"&amp;"C:C"),$A586,(INDIRECT("'"&amp;Assemblies[Assy]&amp;"'!"&amp;"O:O"))))</f>
        <v>#VALUE!</v>
      </c>
      <c r="F586" s="5" t="e">
        <f t="shared" ca="1" si="9"/>
        <v>#VALUE!</v>
      </c>
      <c r="G586" s="5">
        <v>2</v>
      </c>
      <c r="H586" s="2">
        <v>2</v>
      </c>
      <c r="I586" s="117" t="s">
        <v>3221</v>
      </c>
      <c r="J586" s="117" t="s">
        <v>2647</v>
      </c>
      <c r="K586" s="135" t="s">
        <v>1382</v>
      </c>
      <c r="L586" s="2" t="s">
        <v>1382</v>
      </c>
      <c r="M586" s="8" t="s">
        <v>1762</v>
      </c>
      <c r="N586" s="8">
        <v>45162</v>
      </c>
      <c r="O586" s="8">
        <v>45184</v>
      </c>
      <c r="P586" s="8">
        <v>45197</v>
      </c>
      <c r="Q586" s="229">
        <v>55073</v>
      </c>
      <c r="R586" s="115" t="str" cm="1">
        <f t="array" aca="1" ref="R586" ca="1">TRIM(SUBSTITUTE(_xlfn.ARRAYTOTEXT(IFERROR(CONCATENATE(SUMIF(INDIRECT("'"&amp;Assemblies[Assy]&amp;"'!"&amp;"C$5:C1000"), $A586, INDIRECT("'"&amp;Assemblies[Assy]&amp;"'!"&amp;"O$5:O1000")), "x",Assemblies[Assy],".",IF(SUMIF(INDIRECT("'"&amp;Assemblies[Assy]&amp;"'!"&amp;"C$5:C1000"), $A586, INDIRECT("'"&amp;Assemblies[Assy]&amp;"'!"&amp;"A$5:A1000"))=0,NA(),SUMIF(INDIRECT("'"&amp;Assemblies[Assy]&amp;"'!"&amp;"C$5:C1000"), $A586, INDIRECT("'"&amp;Assemblies[Assy]&amp;"'!"&amp;"A$5:A1000")))),"")), " ,", ""))</f>
        <v>,</v>
      </c>
    </row>
    <row r="587" spans="1:18" hidden="1">
      <c r="A587" s="133" t="s">
        <v>126</v>
      </c>
      <c r="B587" s="2" t="s">
        <v>3310</v>
      </c>
      <c r="C587" s="168"/>
      <c r="D587" s="5">
        <v>1</v>
      </c>
      <c r="E587" s="5" t="e" cm="1">
        <f t="array" aca="1" ref="E587" ca="1">SUMPRODUCT(SUMIF(INDIRECT("'"&amp;Assemblies[Assy]&amp;"'!"&amp;"C:C"),$A587,(INDIRECT("'"&amp;Assemblies[Assy]&amp;"'!"&amp;"O:O"))))</f>
        <v>#VALUE!</v>
      </c>
      <c r="F587" s="5" t="e">
        <f t="shared" ca="1" si="9"/>
        <v>#VALUE!</v>
      </c>
      <c r="G587" s="5"/>
      <c r="I587" s="117" t="s">
        <v>3311</v>
      </c>
      <c r="J587" s="117" t="s">
        <v>2635</v>
      </c>
      <c r="R587" s="115" t="str" cm="1">
        <f t="array" aca="1" ref="R587" ca="1">TRIM(SUBSTITUTE(_xlfn.ARRAYTOTEXT(IFERROR(CONCATENATE(SUMIF(INDIRECT("'"&amp;Assemblies!$B$2:$B$152&amp;"'!"&amp;"C$5:C1000"), $A587, INDIRECT("'"&amp;Assemblies!$B$2:$B$152&amp;"'!"&amp;"O$5:O1000")), "x",Assemblies!$B$2:$B$152,".",IF(SUMIF(INDIRECT("'"&amp;Assemblies!$B$2:$B$152&amp;"'!"&amp;"C$5:C1000"), $A587, INDIRECT("'"&amp;Assemblies!$B$2:$B$152&amp;"'!"&amp;"A$5:A1000"))=0,NA(),SUMIF(INDIRECT("'"&amp;Assemblies!$B$2:$B$152&amp;"'!"&amp;"C$5:C1000"), $A587, INDIRECT("'"&amp;Assemblies!$B$2:$B$152&amp;"'!"&amp;"A$5:A1000")))),"")), " ,", ""))</f>
        <v>,</v>
      </c>
    </row>
    <row r="588" spans="1:18">
      <c r="A588" s="133" t="s">
        <v>1374</v>
      </c>
      <c r="B588" s="2" t="s">
        <v>3312</v>
      </c>
      <c r="C588" s="203">
        <v>25.411799999999999</v>
      </c>
      <c r="D588" s="5">
        <v>1</v>
      </c>
      <c r="E588" s="5" t="e" cm="1">
        <f t="array" aca="1" ref="E588" ca="1">SUMPRODUCT(SUMIF(INDIRECT("'"&amp;Assemblies[Assy]&amp;"'!"&amp;"C:C"),$A588,(INDIRECT("'"&amp;Assemblies[Assy]&amp;"'!"&amp;"O:O"))))</f>
        <v>#VALUE!</v>
      </c>
      <c r="F588" s="5" t="e">
        <f t="shared" ca="1" si="9"/>
        <v>#VALUE!</v>
      </c>
      <c r="G588" s="5">
        <v>1</v>
      </c>
      <c r="H588" s="2">
        <v>1</v>
      </c>
      <c r="I588" s="117" t="s">
        <v>3313</v>
      </c>
      <c r="J588" s="117" t="s">
        <v>2647</v>
      </c>
      <c r="M588" s="8">
        <v>45216</v>
      </c>
      <c r="N588" s="8">
        <v>45216</v>
      </c>
      <c r="O588" s="8">
        <v>45224</v>
      </c>
      <c r="P588" s="8">
        <v>45224</v>
      </c>
      <c r="Q588" s="229">
        <v>55217</v>
      </c>
      <c r="R588" s="115" t="str" cm="1">
        <f t="array" aca="1" ref="R588" ca="1">TRIM(SUBSTITUTE(_xlfn.ARRAYTOTEXT(IFERROR(CONCATENATE(SUMIF(INDIRECT("'"&amp;Assemblies[Assy]&amp;"'!"&amp;"C$5:C1000"), $A588, INDIRECT("'"&amp;Assemblies[Assy]&amp;"'!"&amp;"O$5:O1000")), "x",Assemblies[Assy],".",IF(SUMIF(INDIRECT("'"&amp;Assemblies[Assy]&amp;"'!"&amp;"C$5:C1000"), $A588, INDIRECT("'"&amp;Assemblies[Assy]&amp;"'!"&amp;"A$5:A1000"))=0,NA(),SUMIF(INDIRECT("'"&amp;Assemblies[Assy]&amp;"'!"&amp;"C$5:C1000"), $A588, INDIRECT("'"&amp;Assemblies[Assy]&amp;"'!"&amp;"A$5:A1000")))),"")), " ,", ""))</f>
        <v>,</v>
      </c>
    </row>
    <row r="589" spans="1:18">
      <c r="A589" s="133" t="s">
        <v>1371</v>
      </c>
      <c r="B589" s="2" t="s">
        <v>3314</v>
      </c>
      <c r="C589" s="168">
        <v>2926.1097</v>
      </c>
      <c r="D589" s="5">
        <v>1</v>
      </c>
      <c r="E589" s="5" t="e" cm="1">
        <f t="array" aca="1" ref="E589" ca="1">SUMPRODUCT(SUMIF(INDIRECT("'"&amp;Assemblies[Assy]&amp;"'!"&amp;"C:C"),$A589,(INDIRECT("'"&amp;Assemblies[Assy]&amp;"'!"&amp;"O:O"))))</f>
        <v>#VALUE!</v>
      </c>
      <c r="F589" s="5" t="e">
        <f t="shared" ca="1" si="9"/>
        <v>#VALUE!</v>
      </c>
      <c r="G589" s="5">
        <v>1</v>
      </c>
      <c r="H589" s="2">
        <v>1</v>
      </c>
      <c r="I589" s="117" t="s">
        <v>3313</v>
      </c>
      <c r="J589" s="117" t="s">
        <v>2647</v>
      </c>
      <c r="K589" s="135" t="s">
        <v>1382</v>
      </c>
      <c r="L589" s="2" t="s">
        <v>1382</v>
      </c>
      <c r="M589" s="8" t="s">
        <v>1762</v>
      </c>
      <c r="N589" s="8">
        <v>45096</v>
      </c>
      <c r="O589" s="8">
        <v>45110</v>
      </c>
      <c r="P589" s="8">
        <v>45110</v>
      </c>
      <c r="Q589" s="229">
        <v>54937</v>
      </c>
      <c r="R589" s="115" t="str" cm="1">
        <f t="array" aca="1" ref="R589" ca="1">TRIM(SUBSTITUTE(_xlfn.ARRAYTOTEXT(IFERROR(CONCATENATE(SUMIF(INDIRECT("'"&amp;Assemblies[Assy]&amp;"'!"&amp;"C$5:C1000"), $A589, INDIRECT("'"&amp;Assemblies[Assy]&amp;"'!"&amp;"O$5:O1000")), "x",Assemblies[Assy],".",IF(SUMIF(INDIRECT("'"&amp;Assemblies[Assy]&amp;"'!"&amp;"C$5:C1000"), $A589, INDIRECT("'"&amp;Assemblies[Assy]&amp;"'!"&amp;"A$5:A1000"))=0,NA(),SUMIF(INDIRECT("'"&amp;Assemblies[Assy]&amp;"'!"&amp;"C$5:C1000"), $A589, INDIRECT("'"&amp;Assemblies[Assy]&amp;"'!"&amp;"A$5:A1000")))),"")), " ,", ""))</f>
        <v>,</v>
      </c>
    </row>
    <row r="590" spans="1:18">
      <c r="A590" s="133" t="s">
        <v>441</v>
      </c>
      <c r="B590" s="2" t="s">
        <v>3315</v>
      </c>
      <c r="C590" s="168">
        <v>2926.1097</v>
      </c>
      <c r="D590" s="5">
        <v>1</v>
      </c>
      <c r="E590" s="5" t="e" cm="1">
        <f t="array" aca="1" ref="E590" ca="1">SUMPRODUCT(SUMIF(INDIRECT("'"&amp;Assemblies[Assy]&amp;"'!"&amp;"C:C"),$A590,(INDIRECT("'"&amp;Assemblies[Assy]&amp;"'!"&amp;"O:O"))))</f>
        <v>#VALUE!</v>
      </c>
      <c r="F590" s="5" t="e">
        <f t="shared" ca="1" si="9"/>
        <v>#VALUE!</v>
      </c>
      <c r="G590" s="5">
        <v>5</v>
      </c>
      <c r="H590" s="2">
        <v>5</v>
      </c>
      <c r="I590" s="117" t="s">
        <v>3313</v>
      </c>
      <c r="J590" s="117" t="s">
        <v>2647</v>
      </c>
      <c r="K590" s="135" t="s">
        <v>1382</v>
      </c>
      <c r="L590" s="2" t="s">
        <v>1382</v>
      </c>
      <c r="M590" s="8" t="s">
        <v>1762</v>
      </c>
      <c r="N590" s="8">
        <v>45096</v>
      </c>
      <c r="O590" s="8">
        <v>45110</v>
      </c>
      <c r="P590" s="8">
        <v>45110</v>
      </c>
      <c r="Q590" s="229">
        <v>54937</v>
      </c>
      <c r="R590" s="115" t="str" cm="1">
        <f t="array" aca="1" ref="R590" ca="1">TRIM(SUBSTITUTE(_xlfn.ARRAYTOTEXT(IFERROR(CONCATENATE(SUMIF(INDIRECT("'"&amp;Assemblies[Assy]&amp;"'!"&amp;"C$5:C1000"), $A590, INDIRECT("'"&amp;Assemblies[Assy]&amp;"'!"&amp;"O$5:O1000")), "x",Assemblies[Assy],".",IF(SUMIF(INDIRECT("'"&amp;Assemblies[Assy]&amp;"'!"&amp;"C$5:C1000"), $A590, INDIRECT("'"&amp;Assemblies[Assy]&amp;"'!"&amp;"A$5:A1000"))=0,NA(),SUMIF(INDIRECT("'"&amp;Assemblies[Assy]&amp;"'!"&amp;"C$5:C1000"), $A590, INDIRECT("'"&amp;Assemblies[Assy]&amp;"'!"&amp;"A$5:A1000")))),"")), " ,", ""))</f>
        <v>,</v>
      </c>
    </row>
    <row r="591" spans="1:18">
      <c r="A591" s="133" t="s">
        <v>1157</v>
      </c>
      <c r="B591" s="2" t="s">
        <v>3316</v>
      </c>
      <c r="C591" s="168">
        <v>2926.1097</v>
      </c>
      <c r="D591" s="5">
        <v>1</v>
      </c>
      <c r="E591" s="5" t="e" cm="1">
        <f t="array" aca="1" ref="E591" ca="1">SUMPRODUCT(SUMIF(INDIRECT("'"&amp;Assemblies[Assy]&amp;"'!"&amp;"C:C"),$A591,(INDIRECT("'"&amp;Assemblies[Assy]&amp;"'!"&amp;"O:O"))))</f>
        <v>#VALUE!</v>
      </c>
      <c r="F591" s="5" t="e">
        <f t="shared" ca="1" si="9"/>
        <v>#VALUE!</v>
      </c>
      <c r="G591" s="5">
        <v>1</v>
      </c>
      <c r="H591" s="2">
        <v>1</v>
      </c>
      <c r="I591" s="117" t="s">
        <v>3313</v>
      </c>
      <c r="J591" s="117" t="s">
        <v>2647</v>
      </c>
      <c r="K591" s="135" t="s">
        <v>1382</v>
      </c>
      <c r="L591" s="2" t="s">
        <v>1382</v>
      </c>
      <c r="M591" s="8" t="s">
        <v>1762</v>
      </c>
      <c r="N591" s="8">
        <v>45096</v>
      </c>
      <c r="O591" s="8">
        <v>45110</v>
      </c>
      <c r="P591" s="8">
        <v>45110</v>
      </c>
      <c r="Q591" s="229">
        <v>54937</v>
      </c>
      <c r="R591" s="115" t="str" cm="1">
        <f t="array" aca="1" ref="R591" ca="1">TRIM(SUBSTITUTE(_xlfn.ARRAYTOTEXT(IFERROR(CONCATENATE(SUMIF(INDIRECT("'"&amp;Assemblies[Assy]&amp;"'!"&amp;"C$5:C1000"), $A591, INDIRECT("'"&amp;Assemblies[Assy]&amp;"'!"&amp;"O$5:O1000")), "x",Assemblies[Assy],".",IF(SUMIF(INDIRECT("'"&amp;Assemblies[Assy]&amp;"'!"&amp;"C$5:C1000"), $A591, INDIRECT("'"&amp;Assemblies[Assy]&amp;"'!"&amp;"A$5:A1000"))=0,NA(),SUMIF(INDIRECT("'"&amp;Assemblies[Assy]&amp;"'!"&amp;"C$5:C1000"), $A591, INDIRECT("'"&amp;Assemblies[Assy]&amp;"'!"&amp;"A$5:A1000")))),"")), " ,", ""))</f>
        <v>,</v>
      </c>
    </row>
    <row r="592" spans="1:18">
      <c r="A592" s="133" t="s">
        <v>1171</v>
      </c>
      <c r="B592" s="2" t="s">
        <v>3316</v>
      </c>
      <c r="C592" s="168">
        <v>2926.1097</v>
      </c>
      <c r="D592" s="5">
        <v>1</v>
      </c>
      <c r="E592" s="5" t="e" cm="1">
        <f t="array" aca="1" ref="E592" ca="1">SUMPRODUCT(SUMIF(INDIRECT("'"&amp;Assemblies[Assy]&amp;"'!"&amp;"C:C"),$A592,(INDIRECT("'"&amp;Assemblies[Assy]&amp;"'!"&amp;"O:O"))))</f>
        <v>#VALUE!</v>
      </c>
      <c r="F592" s="5" t="e">
        <f t="shared" ca="1" si="9"/>
        <v>#VALUE!</v>
      </c>
      <c r="G592" s="5">
        <v>1</v>
      </c>
      <c r="H592" s="2">
        <v>1</v>
      </c>
      <c r="I592" s="117" t="s">
        <v>3313</v>
      </c>
      <c r="J592" s="117" t="s">
        <v>2647</v>
      </c>
      <c r="K592" s="135" t="s">
        <v>1382</v>
      </c>
      <c r="L592" s="2" t="s">
        <v>1382</v>
      </c>
      <c r="M592" s="8" t="s">
        <v>1762</v>
      </c>
      <c r="N592" s="8">
        <v>45096</v>
      </c>
      <c r="O592" s="8">
        <v>45110</v>
      </c>
      <c r="P592" s="8">
        <v>45110</v>
      </c>
      <c r="Q592" s="229">
        <v>54937</v>
      </c>
      <c r="R592" s="115" t="str" cm="1">
        <f t="array" aca="1" ref="R592" ca="1">TRIM(SUBSTITUTE(_xlfn.ARRAYTOTEXT(IFERROR(CONCATENATE(SUMIF(INDIRECT("'"&amp;Assemblies[Assy]&amp;"'!"&amp;"C$5:C1000"), $A592, INDIRECT("'"&amp;Assemblies[Assy]&amp;"'!"&amp;"O$5:O1000")), "x",Assemblies[Assy],".",IF(SUMIF(INDIRECT("'"&amp;Assemblies[Assy]&amp;"'!"&amp;"C$5:C1000"), $A592, INDIRECT("'"&amp;Assemblies[Assy]&amp;"'!"&amp;"A$5:A1000"))=0,NA(),SUMIF(INDIRECT("'"&amp;Assemblies[Assy]&amp;"'!"&amp;"C$5:C1000"), $A592, INDIRECT("'"&amp;Assemblies[Assy]&amp;"'!"&amp;"A$5:A1000")))),"")), " ,", ""))</f>
        <v>,</v>
      </c>
    </row>
    <row r="593" spans="1:18">
      <c r="A593" s="133" t="s">
        <v>1098</v>
      </c>
      <c r="B593" s="2" t="s">
        <v>3316</v>
      </c>
      <c r="C593" s="168">
        <v>2926.1097</v>
      </c>
      <c r="D593" s="5">
        <v>1</v>
      </c>
      <c r="E593" s="5" t="e" cm="1">
        <f t="array" aca="1" ref="E593" ca="1">SUMPRODUCT(SUMIF(INDIRECT("'"&amp;Assemblies[Assy]&amp;"'!"&amp;"C:C"),$A593,(INDIRECT("'"&amp;Assemblies[Assy]&amp;"'!"&amp;"O:O"))))</f>
        <v>#VALUE!</v>
      </c>
      <c r="F593" s="5" t="e">
        <f t="shared" ca="1" si="9"/>
        <v>#VALUE!</v>
      </c>
      <c r="G593" s="5">
        <v>3</v>
      </c>
      <c r="H593" s="2">
        <v>3</v>
      </c>
      <c r="I593" s="117" t="s">
        <v>3313</v>
      </c>
      <c r="J593" s="117" t="s">
        <v>2647</v>
      </c>
      <c r="K593" s="135" t="s">
        <v>1382</v>
      </c>
      <c r="L593" s="2" t="s">
        <v>1382</v>
      </c>
      <c r="M593" s="8" t="s">
        <v>1762</v>
      </c>
      <c r="N593" s="8">
        <v>45096</v>
      </c>
      <c r="O593" s="8">
        <v>45110</v>
      </c>
      <c r="P593" s="8">
        <v>45110</v>
      </c>
      <c r="Q593" s="229">
        <v>54937</v>
      </c>
      <c r="R593" s="115" t="str" cm="1">
        <f t="array" aca="1" ref="R593" ca="1">TRIM(SUBSTITUTE(_xlfn.ARRAYTOTEXT(IFERROR(CONCATENATE(SUMIF(INDIRECT("'"&amp;Assemblies[Assy]&amp;"'!"&amp;"C$5:C1000"), $A593, INDIRECT("'"&amp;Assemblies[Assy]&amp;"'!"&amp;"O$5:O1000")), "x",Assemblies[Assy],".",IF(SUMIF(INDIRECT("'"&amp;Assemblies[Assy]&amp;"'!"&amp;"C$5:C1000"), $A593, INDIRECT("'"&amp;Assemblies[Assy]&amp;"'!"&amp;"A$5:A1000"))=0,NA(),SUMIF(INDIRECT("'"&amp;Assemblies[Assy]&amp;"'!"&amp;"C$5:C1000"), $A593, INDIRECT("'"&amp;Assemblies[Assy]&amp;"'!"&amp;"A$5:A1000")))),"")), " ,", ""))</f>
        <v>,</v>
      </c>
    </row>
    <row r="594" spans="1:18">
      <c r="A594" s="133" t="s">
        <v>1062</v>
      </c>
      <c r="B594" s="2" t="s">
        <v>3316</v>
      </c>
      <c r="C594" s="168">
        <v>2926.1097</v>
      </c>
      <c r="D594" s="5">
        <v>1</v>
      </c>
      <c r="E594" s="5" t="e" cm="1">
        <f t="array" aca="1" ref="E594" ca="1">SUMPRODUCT(SUMIF(INDIRECT("'"&amp;Assemblies[Assy]&amp;"'!"&amp;"C:C"),$A594,(INDIRECT("'"&amp;Assemblies[Assy]&amp;"'!"&amp;"O:O"))))</f>
        <v>#VALUE!</v>
      </c>
      <c r="F594" s="5" t="e">
        <f t="shared" ca="1" si="9"/>
        <v>#VALUE!</v>
      </c>
      <c r="G594" s="5">
        <v>3</v>
      </c>
      <c r="H594" s="2">
        <v>3</v>
      </c>
      <c r="I594" s="117" t="s">
        <v>3313</v>
      </c>
      <c r="J594" s="117" t="s">
        <v>2647</v>
      </c>
      <c r="K594" s="135" t="s">
        <v>1382</v>
      </c>
      <c r="L594" s="2" t="s">
        <v>1382</v>
      </c>
      <c r="M594" s="8" t="s">
        <v>1762</v>
      </c>
      <c r="N594" s="8">
        <v>45096</v>
      </c>
      <c r="O594" s="8">
        <v>45110</v>
      </c>
      <c r="P594" s="8">
        <v>45110</v>
      </c>
      <c r="Q594" s="229">
        <v>54937</v>
      </c>
      <c r="R594" s="115" t="str" cm="1">
        <f t="array" aca="1" ref="R594" ca="1">TRIM(SUBSTITUTE(_xlfn.ARRAYTOTEXT(IFERROR(CONCATENATE(SUMIF(INDIRECT("'"&amp;Assemblies[Assy]&amp;"'!"&amp;"C$5:C1000"), $A594, INDIRECT("'"&amp;Assemblies[Assy]&amp;"'!"&amp;"O$5:O1000")), "x",Assemblies[Assy],".",IF(SUMIF(INDIRECT("'"&amp;Assemblies[Assy]&amp;"'!"&amp;"C$5:C1000"), $A594, INDIRECT("'"&amp;Assemblies[Assy]&amp;"'!"&amp;"A$5:A1000"))=0,NA(),SUMIF(INDIRECT("'"&amp;Assemblies[Assy]&amp;"'!"&amp;"C$5:C1000"), $A594, INDIRECT("'"&amp;Assemblies[Assy]&amp;"'!"&amp;"A$5:A1000")))),"")), " ,", ""))</f>
        <v>,</v>
      </c>
    </row>
    <row r="595" spans="1:18">
      <c r="A595" s="133" t="s">
        <v>657</v>
      </c>
      <c r="B595" s="2" t="s">
        <v>3317</v>
      </c>
      <c r="C595" s="203">
        <v>6236.2879999999996</v>
      </c>
      <c r="D595" s="5">
        <v>1</v>
      </c>
      <c r="E595" s="5" t="e" cm="1">
        <f t="array" aca="1" ref="E595" ca="1">SUMPRODUCT(SUMIF(INDIRECT("'"&amp;Assemblies[Assy]&amp;"'!"&amp;"C:C"),$A595,(INDIRECT("'"&amp;Assemblies[Assy]&amp;"'!"&amp;"O:O"))))</f>
        <v>#VALUE!</v>
      </c>
      <c r="F595" s="5" t="e">
        <f t="shared" ca="1" si="9"/>
        <v>#VALUE!</v>
      </c>
      <c r="G595" s="5">
        <v>2</v>
      </c>
      <c r="H595" s="2">
        <v>2</v>
      </c>
      <c r="I595" s="117" t="s">
        <v>3313</v>
      </c>
      <c r="J595" s="117" t="s">
        <v>2647</v>
      </c>
      <c r="K595" s="135" t="s">
        <v>1382</v>
      </c>
      <c r="L595" s="2" t="s">
        <v>1382</v>
      </c>
      <c r="M595" s="8" t="s">
        <v>1762</v>
      </c>
      <c r="N595" s="8">
        <v>45096</v>
      </c>
      <c r="O595" s="8">
        <v>45110</v>
      </c>
      <c r="P595" s="8">
        <v>45110</v>
      </c>
      <c r="Q595" s="229">
        <v>54937</v>
      </c>
      <c r="R595" s="115" t="str" cm="1">
        <f t="array" aca="1" ref="R595" ca="1">TRIM(SUBSTITUTE(_xlfn.ARRAYTOTEXT(IFERROR(CONCATENATE(SUMIF(INDIRECT("'"&amp;Assemblies[Assy]&amp;"'!"&amp;"C$5:C1000"), $A595, INDIRECT("'"&amp;Assemblies[Assy]&amp;"'!"&amp;"O$5:O1000")), "x",Assemblies[Assy],".",IF(SUMIF(INDIRECT("'"&amp;Assemblies[Assy]&amp;"'!"&amp;"C$5:C1000"), $A595, INDIRECT("'"&amp;Assemblies[Assy]&amp;"'!"&amp;"A$5:A1000"))=0,NA(),SUMIF(INDIRECT("'"&amp;Assemblies[Assy]&amp;"'!"&amp;"C$5:C1000"), $A595, INDIRECT("'"&amp;Assemblies[Assy]&amp;"'!"&amp;"A$5:A1000")))),"")), " ,", ""))</f>
        <v>,</v>
      </c>
    </row>
    <row r="596" spans="1:18">
      <c r="A596" s="133" t="s">
        <v>756</v>
      </c>
      <c r="B596" s="2" t="s">
        <v>3318</v>
      </c>
      <c r="C596" s="203">
        <v>678.08</v>
      </c>
      <c r="D596" s="5">
        <v>1</v>
      </c>
      <c r="E596" s="5" t="e" cm="1">
        <f t="array" aca="1" ref="E596" ca="1">SUMPRODUCT(SUMIF(INDIRECT("'"&amp;Assemblies[Assy]&amp;"'!"&amp;"C:C"),$A596,(INDIRECT("'"&amp;Assemblies[Assy]&amp;"'!"&amp;"O:O"))))</f>
        <v>#VALUE!</v>
      </c>
      <c r="F596" s="5" t="e">
        <f t="shared" ca="1" si="9"/>
        <v>#VALUE!</v>
      </c>
      <c r="G596" s="5">
        <v>2</v>
      </c>
      <c r="H596" s="2">
        <v>2</v>
      </c>
      <c r="I596" s="117" t="s">
        <v>3319</v>
      </c>
      <c r="J596" s="117" t="s">
        <v>2644</v>
      </c>
      <c r="K596" s="135" t="s">
        <v>1382</v>
      </c>
      <c r="L596" s="2" t="s">
        <v>1382</v>
      </c>
      <c r="M596" s="8" t="s">
        <v>1762</v>
      </c>
      <c r="N596" s="8">
        <v>45077</v>
      </c>
      <c r="O596" s="8">
        <v>45133</v>
      </c>
      <c r="P596" s="8">
        <v>45133</v>
      </c>
      <c r="Q596" s="229">
        <v>54911</v>
      </c>
      <c r="R596" s="115" t="str" cm="1">
        <f t="array" aca="1" ref="R596" ca="1">TRIM(SUBSTITUTE(_xlfn.ARRAYTOTEXT(IFERROR(CONCATENATE(SUMIF(INDIRECT("'"&amp;Assemblies[Assy]&amp;"'!"&amp;"C$5:C1000"), $A596, INDIRECT("'"&amp;Assemblies[Assy]&amp;"'!"&amp;"O$5:O1000")), "x",Assemblies[Assy],".",IF(SUMIF(INDIRECT("'"&amp;Assemblies[Assy]&amp;"'!"&amp;"C$5:C1000"), $A596, INDIRECT("'"&amp;Assemblies[Assy]&amp;"'!"&amp;"A$5:A1000"))=0,NA(),SUMIF(INDIRECT("'"&amp;Assemblies[Assy]&amp;"'!"&amp;"C$5:C1000"), $A596, INDIRECT("'"&amp;Assemblies[Assy]&amp;"'!"&amp;"A$5:A1000")))),"")), " ,", ""))</f>
        <v>,</v>
      </c>
    </row>
    <row r="597" spans="1:18">
      <c r="A597" s="133" t="s">
        <v>83</v>
      </c>
      <c r="B597" s="2" t="s">
        <v>3320</v>
      </c>
      <c r="C597" s="168">
        <v>1411.4132999999999</v>
      </c>
      <c r="D597" s="5">
        <v>1</v>
      </c>
      <c r="E597" s="5" t="e" cm="1">
        <f t="array" aca="1" ref="E597" ca="1">SUMPRODUCT(SUMIF(INDIRECT("'"&amp;Assemblies[Assy]&amp;"'!"&amp;"C:C"),$A597,(INDIRECT("'"&amp;Assemblies[Assy]&amp;"'!"&amp;"O:O"))))</f>
        <v>#VALUE!</v>
      </c>
      <c r="F597" s="5" t="e">
        <f t="shared" ca="1" si="9"/>
        <v>#VALUE!</v>
      </c>
      <c r="G597" s="5">
        <v>1</v>
      </c>
      <c r="H597" s="2">
        <v>1</v>
      </c>
      <c r="I597" s="117" t="s">
        <v>3321</v>
      </c>
      <c r="J597" s="117" t="s">
        <v>2647</v>
      </c>
      <c r="K597" s="135" t="s">
        <v>1382</v>
      </c>
      <c r="L597" s="2" t="s">
        <v>1382</v>
      </c>
      <c r="M597" s="8" t="s">
        <v>1762</v>
      </c>
      <c r="N597" s="8">
        <v>45089</v>
      </c>
      <c r="O597" s="8">
        <v>45105</v>
      </c>
      <c r="P597" s="8">
        <v>45105</v>
      </c>
      <c r="Q597" s="229">
        <v>54930</v>
      </c>
      <c r="R597" s="115" t="str" cm="1">
        <f t="array" aca="1" ref="R597" ca="1">TRIM(SUBSTITUTE(_xlfn.ARRAYTOTEXT(IFERROR(CONCATENATE(SUMIF(INDIRECT("'"&amp;Assemblies[Assy]&amp;"'!"&amp;"C$5:C1000"), $A597, INDIRECT("'"&amp;Assemblies[Assy]&amp;"'!"&amp;"O$5:O1000")), "x",Assemblies[Assy],".",IF(SUMIF(INDIRECT("'"&amp;Assemblies[Assy]&amp;"'!"&amp;"C$5:C1000"), $A597, INDIRECT("'"&amp;Assemblies[Assy]&amp;"'!"&amp;"A$5:A1000"))=0,NA(),SUMIF(INDIRECT("'"&amp;Assemblies[Assy]&amp;"'!"&amp;"C$5:C1000"), $A597, INDIRECT("'"&amp;Assemblies[Assy]&amp;"'!"&amp;"A$5:A1000")))),"")), " ,", ""))</f>
        <v>,</v>
      </c>
    </row>
    <row r="598" spans="1:18">
      <c r="A598" s="247" t="s">
        <v>938</v>
      </c>
      <c r="B598" s="161" t="s">
        <v>3322</v>
      </c>
      <c r="C598" s="168">
        <v>48.45</v>
      </c>
      <c r="D598" s="5">
        <v>1</v>
      </c>
      <c r="E598" s="5" t="e" cm="1">
        <f t="array" aca="1" ref="E598" ca="1">SUMPRODUCT(SUMIF(INDIRECT("'"&amp;Assemblies[Assy]&amp;"'!"&amp;"C:C"),$A598,(INDIRECT("'"&amp;Assemblies[Assy]&amp;"'!"&amp;"O:O"))))</f>
        <v>#VALUE!</v>
      </c>
      <c r="F598" s="5" t="e">
        <f t="shared" ca="1" si="9"/>
        <v>#VALUE!</v>
      </c>
      <c r="G598" s="5">
        <v>4</v>
      </c>
      <c r="H598" s="2">
        <v>4</v>
      </c>
      <c r="I598" s="117" t="s">
        <v>3323</v>
      </c>
      <c r="J598" s="117" t="s">
        <v>3324</v>
      </c>
      <c r="K598" s="135" t="s">
        <v>1382</v>
      </c>
      <c r="L598" s="2" t="s">
        <v>1382</v>
      </c>
      <c r="M598" s="8">
        <v>45121</v>
      </c>
      <c r="N598" s="8">
        <v>45126</v>
      </c>
      <c r="O598" s="8">
        <v>45156</v>
      </c>
      <c r="P598" s="8">
        <v>45183</v>
      </c>
      <c r="Q598" s="229">
        <v>54998</v>
      </c>
      <c r="R598" s="115" t="str" cm="1">
        <f t="array" aca="1" ref="R598" ca="1">TRIM(SUBSTITUTE(_xlfn.ARRAYTOTEXT(IFERROR(CONCATENATE(SUMIF(INDIRECT("'"&amp;Assemblies[Assy]&amp;"'!"&amp;"C$5:C1000"), $A598, INDIRECT("'"&amp;Assemblies[Assy]&amp;"'!"&amp;"O$5:O1000")), "x",Assemblies[Assy],".",IF(SUMIF(INDIRECT("'"&amp;Assemblies[Assy]&amp;"'!"&amp;"C$5:C1000"), $A598, INDIRECT("'"&amp;Assemblies[Assy]&amp;"'!"&amp;"A$5:A1000"))=0,NA(),SUMIF(INDIRECT("'"&amp;Assemblies[Assy]&amp;"'!"&amp;"C$5:C1000"), $A598, INDIRECT("'"&amp;Assemblies[Assy]&amp;"'!"&amp;"A$5:A1000")))),"")), " ,", ""))</f>
        <v>,</v>
      </c>
    </row>
    <row r="599" spans="1:18">
      <c r="A599" s="247" t="s">
        <v>937</v>
      </c>
      <c r="B599" s="161" t="s">
        <v>3325</v>
      </c>
      <c r="C599" s="203">
        <v>23.76</v>
      </c>
      <c r="D599" s="5">
        <v>1</v>
      </c>
      <c r="E599" s="5" t="e" cm="1">
        <f t="array" aca="1" ref="E599" ca="1">SUMPRODUCT(SUMIF(INDIRECT("'"&amp;Assemblies[Assy]&amp;"'!"&amp;"C:C"),$A599,(INDIRECT("'"&amp;Assemblies[Assy]&amp;"'!"&amp;"O:O"))))</f>
        <v>#VALUE!</v>
      </c>
      <c r="F599" s="5" t="e">
        <f t="shared" ca="1" si="9"/>
        <v>#VALUE!</v>
      </c>
      <c r="G599" s="5">
        <v>28</v>
      </c>
      <c r="H599" s="2">
        <v>28</v>
      </c>
      <c r="I599" s="117" t="s">
        <v>3323</v>
      </c>
      <c r="J599" s="117" t="s">
        <v>3324</v>
      </c>
      <c r="K599" s="135" t="s">
        <v>1382</v>
      </c>
      <c r="L599" s="2" t="s">
        <v>1779</v>
      </c>
      <c r="M599" s="8">
        <v>45121</v>
      </c>
      <c r="N599" s="8">
        <v>45126</v>
      </c>
      <c r="O599" s="8">
        <v>45156</v>
      </c>
      <c r="P599" s="8">
        <v>45156</v>
      </c>
      <c r="Q599" s="229">
        <v>54998</v>
      </c>
      <c r="R599" s="115" t="str" cm="1">
        <f t="array" aca="1" ref="R599" ca="1">TRIM(SUBSTITUTE(_xlfn.ARRAYTOTEXT(IFERROR(CONCATENATE(SUMIF(INDIRECT("'"&amp;Assemblies[Assy]&amp;"'!"&amp;"C$5:C1000"), $A599, INDIRECT("'"&amp;Assemblies[Assy]&amp;"'!"&amp;"O$5:O1000")), "x",Assemblies[Assy],".",IF(SUMIF(INDIRECT("'"&amp;Assemblies[Assy]&amp;"'!"&amp;"C$5:C1000"), $A599, INDIRECT("'"&amp;Assemblies[Assy]&amp;"'!"&amp;"A$5:A1000"))=0,NA(),SUMIF(INDIRECT("'"&amp;Assemblies[Assy]&amp;"'!"&amp;"C$5:C1000"), $A599, INDIRECT("'"&amp;Assemblies[Assy]&amp;"'!"&amp;"A$5:A1000")))),"")), " ,", ""))</f>
        <v>,</v>
      </c>
    </row>
    <row r="600" spans="1:18">
      <c r="A600" s="247" t="s">
        <v>936</v>
      </c>
      <c r="B600" s="161" t="s">
        <v>3326</v>
      </c>
      <c r="C600" s="168">
        <v>64.400000000000006</v>
      </c>
      <c r="D600" s="5">
        <v>1</v>
      </c>
      <c r="E600" s="5" t="e" cm="1">
        <f t="array" aca="1" ref="E600" ca="1">SUMPRODUCT(SUMIF(INDIRECT("'"&amp;Assemblies[Assy]&amp;"'!"&amp;"C:C"),$A600,(INDIRECT("'"&amp;Assemblies[Assy]&amp;"'!"&amp;"O:O"))))</f>
        <v>#VALUE!</v>
      </c>
      <c r="F600" s="5" t="e">
        <f t="shared" ca="1" si="9"/>
        <v>#VALUE!</v>
      </c>
      <c r="G600" s="5">
        <v>4</v>
      </c>
      <c r="H600" s="2">
        <v>4</v>
      </c>
      <c r="I600" s="117" t="s">
        <v>3323</v>
      </c>
      <c r="J600" s="117" t="s">
        <v>3324</v>
      </c>
      <c r="K600" s="135" t="s">
        <v>1382</v>
      </c>
      <c r="L600" s="2" t="s">
        <v>1382</v>
      </c>
      <c r="M600" s="8">
        <v>45121</v>
      </c>
      <c r="N600" s="8">
        <v>45126</v>
      </c>
      <c r="O600" s="8">
        <v>45156</v>
      </c>
      <c r="P600" s="8">
        <v>45156</v>
      </c>
      <c r="Q600" s="229">
        <v>54998</v>
      </c>
      <c r="R600" s="115" t="str" cm="1">
        <f t="array" aca="1" ref="R600" ca="1">TRIM(SUBSTITUTE(_xlfn.ARRAYTOTEXT(IFERROR(CONCATENATE(SUMIF(INDIRECT("'"&amp;Assemblies[Assy]&amp;"'!"&amp;"C$5:C1000"), $A600, INDIRECT("'"&amp;Assemblies[Assy]&amp;"'!"&amp;"O$5:O1000")), "x",Assemblies[Assy],".",IF(SUMIF(INDIRECT("'"&amp;Assemblies[Assy]&amp;"'!"&amp;"C$5:C1000"), $A600, INDIRECT("'"&amp;Assemblies[Assy]&amp;"'!"&amp;"A$5:A1000"))=0,NA(),SUMIF(INDIRECT("'"&amp;Assemblies[Assy]&amp;"'!"&amp;"C$5:C1000"), $A600, INDIRECT("'"&amp;Assemblies[Assy]&amp;"'!"&amp;"A$5:A1000")))),"")), " ,", ""))</f>
        <v>,</v>
      </c>
    </row>
    <row r="601" spans="1:18">
      <c r="A601" s="247" t="s">
        <v>964</v>
      </c>
      <c r="B601" s="161" t="s">
        <v>3327</v>
      </c>
      <c r="C601" s="168">
        <v>8.16</v>
      </c>
      <c r="D601" s="5">
        <v>1</v>
      </c>
      <c r="E601" s="5" t="e" cm="1">
        <f t="array" aca="1" ref="E601" ca="1">SUMPRODUCT(SUMIF(INDIRECT("'"&amp;Assemblies[Assy]&amp;"'!"&amp;"C:C"),$A601,(INDIRECT("'"&amp;Assemblies[Assy]&amp;"'!"&amp;"O:O"))))</f>
        <v>#VALUE!</v>
      </c>
      <c r="F601" s="5" t="e">
        <f t="shared" ca="1" si="9"/>
        <v>#VALUE!</v>
      </c>
      <c r="G601" s="5">
        <v>30</v>
      </c>
      <c r="H601" s="2">
        <v>30</v>
      </c>
      <c r="I601" s="117" t="s">
        <v>3323</v>
      </c>
      <c r="J601" s="117" t="s">
        <v>3324</v>
      </c>
      <c r="K601" s="135" t="s">
        <v>1382</v>
      </c>
      <c r="L601" s="2" t="s">
        <v>1382</v>
      </c>
      <c r="M601" s="8" t="s">
        <v>1762</v>
      </c>
      <c r="N601" s="8">
        <v>45161</v>
      </c>
      <c r="O601" s="8">
        <v>45191</v>
      </c>
      <c r="P601" s="8">
        <v>45177</v>
      </c>
      <c r="Q601" s="229">
        <v>55082</v>
      </c>
      <c r="R601" s="115" t="str" cm="1">
        <f t="array" aca="1" ref="R601" ca="1">TRIM(SUBSTITUTE(_xlfn.ARRAYTOTEXT(IFERROR(CONCATENATE(SUMIF(INDIRECT("'"&amp;Assemblies[Assy]&amp;"'!"&amp;"C$5:C1000"), $A601, INDIRECT("'"&amp;Assemblies[Assy]&amp;"'!"&amp;"O$5:O1000")), "x",Assemblies[Assy],".",IF(SUMIF(INDIRECT("'"&amp;Assemblies[Assy]&amp;"'!"&amp;"C$5:C1000"), $A601, INDIRECT("'"&amp;Assemblies[Assy]&amp;"'!"&amp;"A$5:A1000"))=0,NA(),SUMIF(INDIRECT("'"&amp;Assemblies[Assy]&amp;"'!"&amp;"C$5:C1000"), $A601, INDIRECT("'"&amp;Assemblies[Assy]&amp;"'!"&amp;"A$5:A1000")))),"")), " ,", ""))</f>
        <v>,</v>
      </c>
    </row>
    <row r="602" spans="1:18">
      <c r="A602" s="133" t="s">
        <v>135</v>
      </c>
      <c r="B602" s="2" t="s">
        <v>3328</v>
      </c>
      <c r="C602" s="168">
        <v>30</v>
      </c>
      <c r="D602" s="5">
        <v>1</v>
      </c>
      <c r="E602" s="5" t="e" cm="1">
        <f t="array" aca="1" ref="E602" ca="1">SUMPRODUCT(SUMIF(INDIRECT("'"&amp;Assemblies[Assy]&amp;"'!"&amp;"C:C"),$A602,(INDIRECT("'"&amp;Assemblies[Assy]&amp;"'!"&amp;"O:O"))))</f>
        <v>#VALUE!</v>
      </c>
      <c r="F602" s="5" t="e">
        <f t="shared" ca="1" si="9"/>
        <v>#VALUE!</v>
      </c>
      <c r="G602" s="5">
        <v>2</v>
      </c>
      <c r="H602" s="2">
        <v>2</v>
      </c>
      <c r="I602" s="117" t="s">
        <v>3329</v>
      </c>
      <c r="J602" s="117" t="s">
        <v>2851</v>
      </c>
      <c r="K602" s="135" t="s">
        <v>1382</v>
      </c>
      <c r="L602" s="2" t="s">
        <v>1382</v>
      </c>
      <c r="M602" s="8" t="s">
        <v>1762</v>
      </c>
      <c r="N602" s="8">
        <v>45093</v>
      </c>
      <c r="O602" s="8">
        <v>45100</v>
      </c>
      <c r="P602" s="8">
        <v>45100</v>
      </c>
      <c r="Q602" s="229">
        <v>54941</v>
      </c>
      <c r="R602" s="115" t="str" cm="1">
        <f t="array" aca="1" ref="R602" ca="1">TRIM(SUBSTITUTE(_xlfn.ARRAYTOTEXT(IFERROR(CONCATENATE(SUMIF(INDIRECT("'"&amp;Assemblies[Assy]&amp;"'!"&amp;"C$5:C1000"), $A602, INDIRECT("'"&amp;Assemblies[Assy]&amp;"'!"&amp;"O$5:O1000")), "x",Assemblies[Assy],".",IF(SUMIF(INDIRECT("'"&amp;Assemblies[Assy]&amp;"'!"&amp;"C$5:C1000"), $A602, INDIRECT("'"&amp;Assemblies[Assy]&amp;"'!"&amp;"A$5:A1000"))=0,NA(),SUMIF(INDIRECT("'"&amp;Assemblies[Assy]&amp;"'!"&amp;"C$5:C1000"), $A602, INDIRECT("'"&amp;Assemblies[Assy]&amp;"'!"&amp;"A$5:A1000")))),"")), " ,", ""))</f>
        <v>,</v>
      </c>
    </row>
    <row r="603" spans="1:18">
      <c r="A603" s="133" t="s">
        <v>136</v>
      </c>
      <c r="B603" s="2" t="s">
        <v>3330</v>
      </c>
      <c r="C603" s="168">
        <v>23</v>
      </c>
      <c r="D603" s="5">
        <v>1</v>
      </c>
      <c r="E603" s="5" t="e" cm="1">
        <f t="array" aca="1" ref="E603" ca="1">SUMPRODUCT(SUMIF(INDIRECT("'"&amp;Assemblies[Assy]&amp;"'!"&amp;"C:C"),$A603,(INDIRECT("'"&amp;Assemblies[Assy]&amp;"'!"&amp;"O:O"))))</f>
        <v>#VALUE!</v>
      </c>
      <c r="F603" s="5" t="e">
        <f t="shared" ca="1" si="9"/>
        <v>#VALUE!</v>
      </c>
      <c r="G603" s="5">
        <v>2</v>
      </c>
      <c r="H603" s="2">
        <v>2</v>
      </c>
      <c r="I603" s="117" t="s">
        <v>3329</v>
      </c>
      <c r="J603" s="117" t="s">
        <v>2851</v>
      </c>
      <c r="K603" s="135" t="s">
        <v>1382</v>
      </c>
      <c r="L603" s="2" t="s">
        <v>1382</v>
      </c>
      <c r="M603" s="8" t="s">
        <v>1762</v>
      </c>
      <c r="N603" s="8">
        <v>45093</v>
      </c>
      <c r="O603" s="8">
        <v>45100</v>
      </c>
      <c r="P603" s="8">
        <v>45100</v>
      </c>
      <c r="Q603" s="229">
        <v>54941</v>
      </c>
      <c r="R603" s="115" t="str" cm="1">
        <f t="array" aca="1" ref="R603" ca="1">TRIM(SUBSTITUTE(_xlfn.ARRAYTOTEXT(IFERROR(CONCATENATE(SUMIF(INDIRECT("'"&amp;Assemblies[Assy]&amp;"'!"&amp;"C$5:C1000"), $A603, INDIRECT("'"&amp;Assemblies[Assy]&amp;"'!"&amp;"O$5:O1000")), "x",Assemblies[Assy],".",IF(SUMIF(INDIRECT("'"&amp;Assemblies[Assy]&amp;"'!"&amp;"C$5:C1000"), $A603, INDIRECT("'"&amp;Assemblies[Assy]&amp;"'!"&amp;"A$5:A1000"))=0,NA(),SUMIF(INDIRECT("'"&amp;Assemblies[Assy]&amp;"'!"&amp;"C$5:C1000"), $A603, INDIRECT("'"&amp;Assemblies[Assy]&amp;"'!"&amp;"A$5:A1000")))),"")), " ,", ""))</f>
        <v>,</v>
      </c>
    </row>
    <row r="604" spans="1:18">
      <c r="A604" s="133" t="s">
        <v>137</v>
      </c>
      <c r="B604" s="2" t="s">
        <v>3331</v>
      </c>
      <c r="C604" s="168">
        <v>23</v>
      </c>
      <c r="D604" s="5">
        <v>1</v>
      </c>
      <c r="E604" s="5" t="e" cm="1">
        <f t="array" aca="1" ref="E604" ca="1">SUMPRODUCT(SUMIF(INDIRECT("'"&amp;Assemblies[Assy]&amp;"'!"&amp;"C:C"),$A604,(INDIRECT("'"&amp;Assemblies[Assy]&amp;"'!"&amp;"O:O"))))</f>
        <v>#VALUE!</v>
      </c>
      <c r="F604" s="5" t="e">
        <f t="shared" ca="1" si="9"/>
        <v>#VALUE!</v>
      </c>
      <c r="G604" s="5">
        <v>2</v>
      </c>
      <c r="H604" s="2">
        <v>2</v>
      </c>
      <c r="I604" s="117" t="s">
        <v>3329</v>
      </c>
      <c r="J604" s="117" t="s">
        <v>2851</v>
      </c>
      <c r="K604" s="135" t="s">
        <v>1382</v>
      </c>
      <c r="L604" s="2" t="s">
        <v>1382</v>
      </c>
      <c r="M604" s="8" t="s">
        <v>1762</v>
      </c>
      <c r="N604" s="8">
        <v>45093</v>
      </c>
      <c r="O604" s="8">
        <v>45100</v>
      </c>
      <c r="P604" s="8">
        <v>45100</v>
      </c>
      <c r="Q604" s="229">
        <v>54941</v>
      </c>
      <c r="R604" s="115" t="str" cm="1">
        <f t="array" aca="1" ref="R604" ca="1">TRIM(SUBSTITUTE(_xlfn.ARRAYTOTEXT(IFERROR(CONCATENATE(SUMIF(INDIRECT("'"&amp;Assemblies[Assy]&amp;"'!"&amp;"C$5:C1000"), $A604, INDIRECT("'"&amp;Assemblies[Assy]&amp;"'!"&amp;"O$5:O1000")), "x",Assemblies[Assy],".",IF(SUMIF(INDIRECT("'"&amp;Assemblies[Assy]&amp;"'!"&amp;"C$5:C1000"), $A604, INDIRECT("'"&amp;Assemblies[Assy]&amp;"'!"&amp;"A$5:A1000"))=0,NA(),SUMIF(INDIRECT("'"&amp;Assemblies[Assy]&amp;"'!"&amp;"C$5:C1000"), $A604, INDIRECT("'"&amp;Assemblies[Assy]&amp;"'!"&amp;"A$5:A1000")))),"")), " ,", ""))</f>
        <v>,</v>
      </c>
    </row>
    <row r="605" spans="1:18">
      <c r="A605" s="133" t="s">
        <v>138</v>
      </c>
      <c r="B605" s="2" t="s">
        <v>3332</v>
      </c>
      <c r="C605" s="168">
        <v>23</v>
      </c>
      <c r="D605" s="5">
        <v>1</v>
      </c>
      <c r="E605" s="5" t="e" cm="1">
        <f t="array" aca="1" ref="E605" ca="1">SUMPRODUCT(SUMIF(INDIRECT("'"&amp;Assemblies[Assy]&amp;"'!"&amp;"C:C"),$A605,(INDIRECT("'"&amp;Assemblies[Assy]&amp;"'!"&amp;"O:O"))))</f>
        <v>#VALUE!</v>
      </c>
      <c r="F605" s="5" t="e">
        <f t="shared" ca="1" si="9"/>
        <v>#VALUE!</v>
      </c>
      <c r="G605" s="5">
        <v>2</v>
      </c>
      <c r="H605" s="2">
        <v>2</v>
      </c>
      <c r="I605" s="117" t="s">
        <v>3329</v>
      </c>
      <c r="J605" s="117" t="s">
        <v>2851</v>
      </c>
      <c r="K605" s="135" t="s">
        <v>1382</v>
      </c>
      <c r="L605" s="2" t="s">
        <v>1382</v>
      </c>
      <c r="M605" s="8" t="s">
        <v>1762</v>
      </c>
      <c r="N605" s="8">
        <v>45093</v>
      </c>
      <c r="O605" s="8">
        <v>45100</v>
      </c>
      <c r="P605" s="8">
        <v>45100</v>
      </c>
      <c r="Q605" s="229">
        <v>54941</v>
      </c>
      <c r="R605" s="115" t="str" cm="1">
        <f t="array" aca="1" ref="R605" ca="1">TRIM(SUBSTITUTE(_xlfn.ARRAYTOTEXT(IFERROR(CONCATENATE(SUMIF(INDIRECT("'"&amp;Assemblies[Assy]&amp;"'!"&amp;"C$5:C1000"), $A605, INDIRECT("'"&amp;Assemblies[Assy]&amp;"'!"&amp;"O$5:O1000")), "x",Assemblies[Assy],".",IF(SUMIF(INDIRECT("'"&amp;Assemblies[Assy]&amp;"'!"&amp;"C$5:C1000"), $A605, INDIRECT("'"&amp;Assemblies[Assy]&amp;"'!"&amp;"A$5:A1000"))=0,NA(),SUMIF(INDIRECT("'"&amp;Assemblies[Assy]&amp;"'!"&amp;"C$5:C1000"), $A605, INDIRECT("'"&amp;Assemblies[Assy]&amp;"'!"&amp;"A$5:A1000")))),"")), " ,", ""))</f>
        <v>,</v>
      </c>
    </row>
    <row r="606" spans="1:18">
      <c r="A606" s="133" t="s">
        <v>134</v>
      </c>
      <c r="B606" s="2" t="s">
        <v>3333</v>
      </c>
      <c r="C606" s="168">
        <v>55</v>
      </c>
      <c r="D606" s="5">
        <v>1</v>
      </c>
      <c r="E606" s="5" t="e" cm="1">
        <f t="array" aca="1" ref="E606" ca="1">SUMPRODUCT(SUMIF(INDIRECT("'"&amp;Assemblies[Assy]&amp;"'!"&amp;"C:C"),$A606,(INDIRECT("'"&amp;Assemblies[Assy]&amp;"'!"&amp;"O:O"))))</f>
        <v>#VALUE!</v>
      </c>
      <c r="F606" s="5" t="e">
        <f t="shared" ca="1" si="9"/>
        <v>#VALUE!</v>
      </c>
      <c r="G606" s="5">
        <v>2</v>
      </c>
      <c r="H606" s="2">
        <v>2</v>
      </c>
      <c r="I606" s="117" t="s">
        <v>3329</v>
      </c>
      <c r="J606" s="117" t="s">
        <v>2851</v>
      </c>
      <c r="K606" s="135" t="s">
        <v>1382</v>
      </c>
      <c r="L606" s="2" t="s">
        <v>1382</v>
      </c>
      <c r="M606" s="8" t="s">
        <v>1762</v>
      </c>
      <c r="N606" s="8">
        <v>45093</v>
      </c>
      <c r="O606" s="8">
        <v>45100</v>
      </c>
      <c r="P606" s="8">
        <v>45100</v>
      </c>
      <c r="Q606" s="229">
        <v>54941</v>
      </c>
      <c r="R606" s="115" t="str" cm="1">
        <f t="array" aca="1" ref="R606" ca="1">TRIM(SUBSTITUTE(_xlfn.ARRAYTOTEXT(IFERROR(CONCATENATE(SUMIF(INDIRECT("'"&amp;Assemblies[Assy]&amp;"'!"&amp;"C$5:C1000"), $A606, INDIRECT("'"&amp;Assemblies[Assy]&amp;"'!"&amp;"O$5:O1000")), "x",Assemblies[Assy],".",IF(SUMIF(INDIRECT("'"&amp;Assemblies[Assy]&amp;"'!"&amp;"C$5:C1000"), $A606, INDIRECT("'"&amp;Assemblies[Assy]&amp;"'!"&amp;"A$5:A1000"))=0,NA(),SUMIF(INDIRECT("'"&amp;Assemblies[Assy]&amp;"'!"&amp;"C$5:C1000"), $A606, INDIRECT("'"&amp;Assemblies[Assy]&amp;"'!"&amp;"A$5:A1000")))),"")), " ,", ""))</f>
        <v>,</v>
      </c>
    </row>
    <row r="607" spans="1:18">
      <c r="A607" s="133" t="s">
        <v>139</v>
      </c>
      <c r="B607" s="2" t="s">
        <v>3334</v>
      </c>
      <c r="C607" s="168">
        <v>8.25</v>
      </c>
      <c r="D607" s="5">
        <v>1</v>
      </c>
      <c r="E607" s="5" t="e" cm="1">
        <f t="array" aca="1" ref="E607" ca="1">SUMPRODUCT(SUMIF(INDIRECT("'"&amp;Assemblies[Assy]&amp;"'!"&amp;"C:C"),$A607,(INDIRECT("'"&amp;Assemblies[Assy]&amp;"'!"&amp;"O:O"))))</f>
        <v>#VALUE!</v>
      </c>
      <c r="F607" s="5" t="e">
        <f t="shared" ca="1" si="9"/>
        <v>#VALUE!</v>
      </c>
      <c r="G607" s="5">
        <v>10</v>
      </c>
      <c r="H607" s="2">
        <v>10</v>
      </c>
      <c r="I607" s="117" t="s">
        <v>3329</v>
      </c>
      <c r="J607" s="117" t="s">
        <v>2851</v>
      </c>
      <c r="K607" s="135" t="s">
        <v>1382</v>
      </c>
      <c r="L607" s="2" t="s">
        <v>1382</v>
      </c>
      <c r="M607" s="8" t="s">
        <v>1762</v>
      </c>
      <c r="N607" s="8">
        <v>45093</v>
      </c>
      <c r="O607" s="8">
        <v>45100</v>
      </c>
      <c r="P607" s="8">
        <v>45100</v>
      </c>
      <c r="Q607" s="229">
        <v>54941</v>
      </c>
      <c r="R607" s="115" t="str" cm="1">
        <f t="array" aca="1" ref="R607" ca="1">TRIM(SUBSTITUTE(_xlfn.ARRAYTOTEXT(IFERROR(CONCATENATE(SUMIF(INDIRECT("'"&amp;Assemblies[Assy]&amp;"'!"&amp;"C$5:C1000"), $A607, INDIRECT("'"&amp;Assemblies[Assy]&amp;"'!"&amp;"O$5:O1000")), "x",Assemblies[Assy],".",IF(SUMIF(INDIRECT("'"&amp;Assemblies[Assy]&amp;"'!"&amp;"C$5:C1000"), $A607, INDIRECT("'"&amp;Assemblies[Assy]&amp;"'!"&amp;"A$5:A1000"))=0,NA(),SUMIF(INDIRECT("'"&amp;Assemblies[Assy]&amp;"'!"&amp;"C$5:C1000"), $A607, INDIRECT("'"&amp;Assemblies[Assy]&amp;"'!"&amp;"A$5:A1000")))),"")), " ,", ""))</f>
        <v>,</v>
      </c>
    </row>
    <row r="608" spans="1:18" hidden="1">
      <c r="A608" s="133" t="s">
        <v>211</v>
      </c>
      <c r="B608" s="2" t="s">
        <v>3335</v>
      </c>
      <c r="C608" s="168">
        <v>0</v>
      </c>
      <c r="D608" s="5">
        <v>1</v>
      </c>
      <c r="E608" s="5" t="e" cm="1">
        <f t="array" aca="1" ref="E608" ca="1">SUMPRODUCT(SUMIF(INDIRECT("'"&amp;Assemblies[Assy]&amp;"'!"&amp;"C:C"),$A608,(INDIRECT("'"&amp;Assemblies[Assy]&amp;"'!"&amp;"O:O"))))</f>
        <v>#VALUE!</v>
      </c>
      <c r="F608" s="5" t="e">
        <f t="shared" ca="1" si="9"/>
        <v>#VALUE!</v>
      </c>
      <c r="G608" s="5">
        <v>1</v>
      </c>
      <c r="H608" s="2">
        <v>1</v>
      </c>
      <c r="I608" s="117" t="s">
        <v>3336</v>
      </c>
      <c r="J608" s="117" t="s">
        <v>2635</v>
      </c>
      <c r="L608" s="2" t="s">
        <v>3337</v>
      </c>
      <c r="M608" s="8" t="s">
        <v>1762</v>
      </c>
      <c r="N608" s="8" t="s">
        <v>1762</v>
      </c>
      <c r="O608" s="8" t="s">
        <v>1762</v>
      </c>
      <c r="P608" s="8" t="s">
        <v>1762</v>
      </c>
      <c r="Q608" s="229" t="s">
        <v>1762</v>
      </c>
      <c r="R608" s="115" t="str" cm="1">
        <f t="array" aca="1" ref="R608" ca="1">TRIM(SUBSTITUTE(_xlfn.ARRAYTOTEXT(IFERROR(CONCATENATE(SUMIF(INDIRECT("'"&amp;Assemblies[Assy]&amp;"'!"&amp;"C$5:C1000"), $A608, INDIRECT("'"&amp;Assemblies[Assy]&amp;"'!"&amp;"O$5:O1000")), "x",Assemblies[Assy],".",IF(SUMIF(INDIRECT("'"&amp;Assemblies[Assy]&amp;"'!"&amp;"C$5:C1000"), $A608, INDIRECT("'"&amp;Assemblies[Assy]&amp;"'!"&amp;"A$5:A1000"))=0,NA(),SUMIF(INDIRECT("'"&amp;Assemblies[Assy]&amp;"'!"&amp;"C$5:C1000"), $A608, INDIRECT("'"&amp;Assemblies[Assy]&amp;"'!"&amp;"A$5:A1000")))),"")), " ,", ""))</f>
        <v>,</v>
      </c>
    </row>
    <row r="609" spans="1:18">
      <c r="A609" s="247" t="s">
        <v>1301</v>
      </c>
      <c r="B609" s="161" t="s">
        <v>3338</v>
      </c>
      <c r="C609" s="203">
        <v>709.4</v>
      </c>
      <c r="D609" s="5">
        <v>1</v>
      </c>
      <c r="E609" s="5" t="e" cm="1">
        <f t="array" aca="1" ref="E609" ca="1">SUMPRODUCT(SUMIF(INDIRECT("'"&amp;Assemblies[Assy]&amp;"'!"&amp;"C:C"),$A609,(INDIRECT("'"&amp;Assemblies[Assy]&amp;"'!"&amp;"O:O"))))</f>
        <v>#VALUE!</v>
      </c>
      <c r="F609" s="5" t="e">
        <f t="shared" ca="1" si="9"/>
        <v>#VALUE!</v>
      </c>
      <c r="G609" s="5">
        <v>2</v>
      </c>
      <c r="H609" s="2">
        <v>2</v>
      </c>
      <c r="I609" s="117" t="s">
        <v>3339</v>
      </c>
      <c r="J609" s="117" t="s">
        <v>3339</v>
      </c>
      <c r="K609" s="135" t="s">
        <v>1382</v>
      </c>
      <c r="L609" s="2" t="s">
        <v>1382</v>
      </c>
      <c r="M609" s="8" t="s">
        <v>1762</v>
      </c>
      <c r="N609" s="8">
        <v>45117</v>
      </c>
      <c r="O609" s="8">
        <v>45147</v>
      </c>
      <c r="P609" s="8">
        <v>45180</v>
      </c>
      <c r="Q609" s="229">
        <v>54979</v>
      </c>
      <c r="R609" s="115" t="str" cm="1">
        <f t="array" aca="1" ref="R609" ca="1">TRIM(SUBSTITUTE(_xlfn.ARRAYTOTEXT(IFERROR(CONCATENATE(SUMIF(INDIRECT("'"&amp;Assemblies[Assy]&amp;"'!"&amp;"C$5:C1000"), $A609, INDIRECT("'"&amp;Assemblies[Assy]&amp;"'!"&amp;"O$5:O1000")), "x",Assemblies[Assy],".",IF(SUMIF(INDIRECT("'"&amp;Assemblies[Assy]&amp;"'!"&amp;"C$5:C1000"), $A609, INDIRECT("'"&amp;Assemblies[Assy]&amp;"'!"&amp;"A$5:A1000"))=0,NA(),SUMIF(INDIRECT("'"&amp;Assemblies[Assy]&amp;"'!"&amp;"C$5:C1000"), $A609, INDIRECT("'"&amp;Assemblies[Assy]&amp;"'!"&amp;"A$5:A1000")))),"")), " ,", ""))</f>
        <v>,</v>
      </c>
    </row>
    <row r="610" spans="1:18">
      <c r="A610" s="247" t="s">
        <v>1295</v>
      </c>
      <c r="B610" s="161" t="s">
        <v>3340</v>
      </c>
      <c r="C610" s="168">
        <v>95.3</v>
      </c>
      <c r="D610" s="5">
        <v>1</v>
      </c>
      <c r="E610" s="5" t="e" cm="1">
        <f t="array" aca="1" ref="E610" ca="1">SUMPRODUCT(SUMIF(INDIRECT("'"&amp;Assemblies[Assy]&amp;"'!"&amp;"C:C"),$A610,(INDIRECT("'"&amp;Assemblies[Assy]&amp;"'!"&amp;"O:O"))))</f>
        <v>#VALUE!</v>
      </c>
      <c r="F610" s="5" t="e">
        <f t="shared" ca="1" si="9"/>
        <v>#VALUE!</v>
      </c>
      <c r="G610" s="5">
        <v>6</v>
      </c>
      <c r="H610" s="2">
        <v>6</v>
      </c>
      <c r="I610" s="117" t="s">
        <v>3339</v>
      </c>
      <c r="J610" s="117" t="s">
        <v>3339</v>
      </c>
      <c r="M610" s="8">
        <v>45216</v>
      </c>
      <c r="N610" s="8">
        <v>45218</v>
      </c>
      <c r="O610" s="8">
        <v>45225</v>
      </c>
      <c r="P610" s="8">
        <v>45225</v>
      </c>
      <c r="Q610" s="229">
        <v>55222</v>
      </c>
      <c r="R610" s="115" t="str" cm="1">
        <f t="array" aca="1" ref="R610" ca="1">TRIM(SUBSTITUTE(_xlfn.ARRAYTOTEXT(IFERROR(CONCATENATE(SUMIF(INDIRECT("'"&amp;Assemblies!$B$2:$B$152&amp;"'!"&amp;"C$5:C1000"), $A610, INDIRECT("'"&amp;Assemblies!$B$2:$B$152&amp;"'!"&amp;"O$5:O1000")), "x",Assemblies!$B$2:$B$152,".",IF(SUMIF(INDIRECT("'"&amp;Assemblies!$B$2:$B$152&amp;"'!"&amp;"C$5:C1000"), $A610, INDIRECT("'"&amp;Assemblies!$B$2:$B$152&amp;"'!"&amp;"A$5:A1000"))=0,NA(),SUMIF(INDIRECT("'"&amp;Assemblies!$B$2:$B$152&amp;"'!"&amp;"C$5:C1000"), $A610, INDIRECT("'"&amp;Assemblies!$B$2:$B$152&amp;"'!"&amp;"A$5:A1000")))),"")), " ,", ""))</f>
        <v>,</v>
      </c>
    </row>
    <row r="611" spans="1:18">
      <c r="A611" s="133" t="s">
        <v>900</v>
      </c>
      <c r="B611" s="2" t="s">
        <v>3341</v>
      </c>
      <c r="C611" s="203">
        <v>428.1</v>
      </c>
      <c r="D611" s="5">
        <v>1</v>
      </c>
      <c r="E611" s="5" t="e" cm="1">
        <f t="array" aca="1" ref="E611" ca="1">SUMPRODUCT(SUMIF(INDIRECT("'"&amp;Assemblies[Assy]&amp;"'!"&amp;"C:C"),$A611,(INDIRECT("'"&amp;Assemblies[Assy]&amp;"'!"&amp;"O:O"))))</f>
        <v>#VALUE!</v>
      </c>
      <c r="F611" s="5" t="e">
        <f t="shared" ca="1" si="9"/>
        <v>#VALUE!</v>
      </c>
      <c r="G611" s="5">
        <v>20</v>
      </c>
      <c r="H611" s="2">
        <v>20</v>
      </c>
      <c r="I611" s="117" t="s">
        <v>3339</v>
      </c>
      <c r="J611" s="117" t="s">
        <v>3339</v>
      </c>
      <c r="K611" s="135" t="s">
        <v>1382</v>
      </c>
      <c r="L611" s="2" t="s">
        <v>1382</v>
      </c>
      <c r="M611" s="8" t="s">
        <v>1762</v>
      </c>
      <c r="N611" s="8">
        <v>45117</v>
      </c>
      <c r="O611" s="8">
        <v>45147</v>
      </c>
      <c r="P611" s="8">
        <v>45180</v>
      </c>
      <c r="Q611" s="229">
        <v>54979</v>
      </c>
      <c r="R611" s="115" t="str" cm="1">
        <f t="array" aca="1" ref="R611" ca="1">TRIM(SUBSTITUTE(_xlfn.ARRAYTOTEXT(IFERROR(CONCATENATE(SUMIF(INDIRECT("'"&amp;Assemblies[Assy]&amp;"'!"&amp;"C$5:C1000"), $A611, INDIRECT("'"&amp;Assemblies[Assy]&amp;"'!"&amp;"O$5:O1000")), "x",Assemblies[Assy],".",IF(SUMIF(INDIRECT("'"&amp;Assemblies[Assy]&amp;"'!"&amp;"C$5:C1000"), $A611, INDIRECT("'"&amp;Assemblies[Assy]&amp;"'!"&amp;"A$5:A1000"))=0,NA(),SUMIF(INDIRECT("'"&amp;Assemblies[Assy]&amp;"'!"&amp;"C$5:C1000"), $A611, INDIRECT("'"&amp;Assemblies[Assy]&amp;"'!"&amp;"A$5:A1000")))),"")), " ,", ""))</f>
        <v>,</v>
      </c>
    </row>
    <row r="612" spans="1:18">
      <c r="A612" s="133" t="s">
        <v>791</v>
      </c>
      <c r="B612" s="22" t="s">
        <v>3342</v>
      </c>
      <c r="C612" s="203">
        <v>455</v>
      </c>
      <c r="D612" s="5">
        <v>1</v>
      </c>
      <c r="E612" s="5" t="e" cm="1">
        <f t="array" aca="1" ref="E612" ca="1">SUMPRODUCT(SUMIF(INDIRECT("'"&amp;Assemblies[Assy]&amp;"'!"&amp;"C:C"),$A612,(INDIRECT("'"&amp;Assemblies[Assy]&amp;"'!"&amp;"O:O"))))</f>
        <v>#VALUE!</v>
      </c>
      <c r="F612" s="5" t="e">
        <f t="shared" ca="1" si="9"/>
        <v>#VALUE!</v>
      </c>
      <c r="G612" s="5">
        <v>8</v>
      </c>
      <c r="H612" s="2">
        <v>8</v>
      </c>
      <c r="I612" s="117" t="s">
        <v>3339</v>
      </c>
      <c r="J612" s="117" t="s">
        <v>3339</v>
      </c>
      <c r="K612" s="135" t="s">
        <v>1382</v>
      </c>
      <c r="L612" s="2" t="s">
        <v>1382</v>
      </c>
      <c r="M612" s="8" t="s">
        <v>1762</v>
      </c>
      <c r="N612" s="8">
        <v>45117</v>
      </c>
      <c r="O612" s="8">
        <v>45147</v>
      </c>
      <c r="P612" s="8">
        <v>45180</v>
      </c>
      <c r="Q612" s="229">
        <v>54979</v>
      </c>
      <c r="R612" s="115" t="str" cm="1">
        <f t="array" aca="1" ref="R612" ca="1">TRIM(SUBSTITUTE(_xlfn.ARRAYTOTEXT(IFERROR(CONCATENATE(SUMIF(INDIRECT("'"&amp;Assemblies[Assy]&amp;"'!"&amp;"C$5:C1000"), $A612, INDIRECT("'"&amp;Assemblies[Assy]&amp;"'!"&amp;"O$5:O1000")), "x",Assemblies[Assy],".",IF(SUMIF(INDIRECT("'"&amp;Assemblies[Assy]&amp;"'!"&amp;"C$5:C1000"), $A612, INDIRECT("'"&amp;Assemblies[Assy]&amp;"'!"&amp;"A$5:A1000"))=0,NA(),SUMIF(INDIRECT("'"&amp;Assemblies[Assy]&amp;"'!"&amp;"C$5:C1000"), $A612, INDIRECT("'"&amp;Assemblies[Assy]&amp;"'!"&amp;"A$5:A1000")))),"")), " ,", ""))</f>
        <v>,</v>
      </c>
    </row>
  </sheetData>
  <phoneticPr fontId="8" type="noConversion"/>
  <conditionalFormatting sqref="A470:A473 A475:A489 A352:A466 A1:A350 A491:A1048576">
    <cfRule type="duplicateValues" dxfId="93" priority="194"/>
  </conditionalFormatting>
  <conditionalFormatting sqref="G2:G612">
    <cfRule type="cellIs" dxfId="92" priority="39" operator="equal">
      <formula>F2</formula>
    </cfRule>
    <cfRule type="cellIs" dxfId="91" priority="40" operator="lessThan">
      <formula>F2</formula>
    </cfRule>
    <cfRule type="cellIs" dxfId="90" priority="41" operator="greaterThan">
      <formula>F2</formula>
    </cfRule>
  </conditionalFormatting>
  <conditionalFormatting sqref="A467:A469">
    <cfRule type="duplicateValues" dxfId="89" priority="11"/>
    <cfRule type="duplicateValues" dxfId="88" priority="13"/>
  </conditionalFormatting>
  <conditionalFormatting sqref="A467:A469">
    <cfRule type="duplicateValues" dxfId="87" priority="10"/>
  </conditionalFormatting>
  <conditionalFormatting sqref="B467:B469">
    <cfRule type="duplicateValues" dxfId="86" priority="9"/>
  </conditionalFormatting>
  <conditionalFormatting sqref="A474">
    <cfRule type="duplicateValues" dxfId="85" priority="7"/>
    <cfRule type="duplicateValues" dxfId="84" priority="8"/>
  </conditionalFormatting>
  <conditionalFormatting sqref="A474">
    <cfRule type="duplicateValues" dxfId="83" priority="6"/>
  </conditionalFormatting>
  <conditionalFormatting sqref="B474">
    <cfRule type="duplicateValues" dxfId="82" priority="5"/>
  </conditionalFormatting>
  <conditionalFormatting sqref="O430:O436">
    <cfRule type="cellIs" dxfId="81" priority="1" stopIfTrue="1" operator="equal">
      <formula>"N/A"</formula>
    </cfRule>
    <cfRule type="cellIs" dxfId="80" priority="2" stopIfTrue="1" operator="greaterThan">
      <formula>$S$2</formula>
    </cfRule>
    <cfRule type="cellIs" dxfId="79" priority="3" operator="lessThanOrEqual">
      <formula>N430</formula>
    </cfRule>
    <cfRule type="cellIs" dxfId="78" priority="4" operator="greaterThan">
      <formula>N430</formula>
    </cfRule>
  </conditionalFormatting>
  <conditionalFormatting sqref="H590:H612 H2:H587">
    <cfRule type="cellIs" dxfId="77" priority="27" operator="greaterThan">
      <formula>F2</formula>
    </cfRule>
    <cfRule type="cellIs" dxfId="76" priority="28" operator="equal">
      <formula>F2</formula>
    </cfRule>
    <cfRule type="expression" dxfId="75" priority="29">
      <formula>AND(P2&lt;=TODAY(),H2&lt;F2)</formula>
    </cfRule>
    <cfRule type="cellIs" dxfId="74" priority="33" operator="lessThan">
      <formula>F2</formula>
    </cfRule>
  </conditionalFormatting>
  <conditionalFormatting sqref="P2:P87 P352:P489 P89:P339 P345:P350">
    <cfRule type="cellIs" dxfId="73" priority="14" stopIfTrue="1" operator="equal">
      <formula>"N/A"</formula>
    </cfRule>
    <cfRule type="cellIs" dxfId="72" priority="20" stopIfTrue="1" operator="greaterThan">
      <formula>$S$2</formula>
    </cfRule>
    <cfRule type="cellIs" dxfId="71" priority="21" operator="greaterThan">
      <formula>O3</formula>
    </cfRule>
    <cfRule type="cellIs" dxfId="70" priority="22" operator="lessThanOrEqual">
      <formula>O3</formula>
    </cfRule>
  </conditionalFormatting>
  <conditionalFormatting sqref="H588">
    <cfRule type="cellIs" dxfId="69" priority="482" operator="greaterThan">
      <formula>F589</formula>
    </cfRule>
    <cfRule type="cellIs" dxfId="68" priority="483" operator="equal">
      <formula>F589</formula>
    </cfRule>
    <cfRule type="expression" dxfId="67" priority="484">
      <formula>AND(P589&lt;=TODAY(),H588&lt;F589)</formula>
    </cfRule>
    <cfRule type="cellIs" dxfId="66" priority="485" operator="lessThan">
      <formula>F589</formula>
    </cfRule>
  </conditionalFormatting>
  <pageMargins left="0.7" right="0.7" top="0.75" bottom="0.75" header="0.3" footer="0.3"/>
  <pageSetup paperSize="3" fitToHeight="0" orientation="landscape" horizontalDpi="1200" verticalDpi="1200" r:id="rId1"/>
  <tableParts count="1">
    <tablePart r:id="rId2"/>
  </tableParts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D3D37F-AF04-4FF4-96F4-6672E7074A05}">
  <dimension ref="A1"/>
  <sheetViews>
    <sheetView workbookViewId="0">
      <selection activeCell="Q24" sqref="Q24"/>
    </sheetView>
  </sheetViews>
  <sheetFormatPr defaultRowHeight="1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4DD133-62D1-4DA8-91A8-F876BA0B6E7B}">
  <sheetPr codeName="Sheet149">
    <pageSetUpPr fitToPage="1"/>
  </sheetPr>
  <dimension ref="A1:X94"/>
  <sheetViews>
    <sheetView zoomScaleNormal="100" workbookViewId="0">
      <pane ySplit="1" topLeftCell="A19" activePane="bottomLeft" state="frozen"/>
      <selection pane="bottomLeft" activeCell="C27" sqref="C27"/>
      <selection activeCell="G23" sqref="G23"/>
    </sheetView>
  </sheetViews>
  <sheetFormatPr defaultColWidth="9.140625" defaultRowHeight="15"/>
  <cols>
    <col min="1" max="1" width="16.28515625" style="121" bestFit="1" customWidth="1"/>
    <col min="2" max="2" width="30.5703125" style="2" customWidth="1"/>
    <col min="3" max="3" width="21.140625" style="2" bestFit="1" customWidth="1"/>
    <col min="4" max="4" width="11.7109375" style="2" customWidth="1"/>
    <col min="5" max="5" width="9.7109375" style="2" customWidth="1"/>
    <col min="6" max="6" width="13.42578125" style="52" bestFit="1" customWidth="1"/>
    <col min="7" max="7" width="9.85546875" style="2" customWidth="1"/>
    <col min="8" max="8" width="9.28515625" style="2" customWidth="1"/>
    <col min="9" max="9" width="28.5703125" style="2" bestFit="1" customWidth="1"/>
    <col min="10" max="10" width="9.7109375" style="116" customWidth="1"/>
    <col min="11" max="11" width="12.85546875" style="116" customWidth="1"/>
    <col min="12" max="12" width="10.28515625" style="116" customWidth="1"/>
    <col min="13" max="13" width="11.140625" style="116" customWidth="1"/>
    <col min="14" max="14" width="9.7109375" style="2" customWidth="1"/>
    <col min="15" max="17" width="10" style="7" customWidth="1"/>
    <col min="18" max="18" width="10" style="51" customWidth="1"/>
    <col min="19" max="19" width="10" style="2" customWidth="1"/>
    <col min="20" max="20" width="15.85546875" style="2" bestFit="1" customWidth="1"/>
    <col min="21" max="21" width="14.28515625" style="2" bestFit="1" customWidth="1"/>
    <col min="22" max="22" width="48.42578125" style="2" bestFit="1" customWidth="1"/>
    <col min="23" max="23" width="27.140625" style="2" bestFit="1" customWidth="1"/>
    <col min="25" max="16384" width="9.140625" style="2"/>
  </cols>
  <sheetData>
    <row r="1" spans="1:24" s="122" customFormat="1">
      <c r="A1" s="175" t="s">
        <v>3343</v>
      </c>
      <c r="B1" s="122" t="s">
        <v>3344</v>
      </c>
      <c r="C1" s="122" t="s">
        <v>15</v>
      </c>
      <c r="D1" s="122" t="s">
        <v>53</v>
      </c>
      <c r="E1" s="122" t="s">
        <v>3345</v>
      </c>
      <c r="F1" s="172" t="s">
        <v>44</v>
      </c>
      <c r="G1" s="122" t="s">
        <v>16</v>
      </c>
      <c r="H1" s="122" t="s">
        <v>17</v>
      </c>
      <c r="I1" s="122" t="s">
        <v>18</v>
      </c>
      <c r="J1" s="123" t="s">
        <v>51</v>
      </c>
      <c r="K1" s="123" t="s">
        <v>20</v>
      </c>
      <c r="L1" s="123" t="s">
        <v>21</v>
      </c>
      <c r="M1" s="123" t="s">
        <v>52</v>
      </c>
      <c r="N1" s="122" t="s">
        <v>2610</v>
      </c>
      <c r="O1" s="124" t="s">
        <v>23</v>
      </c>
      <c r="P1" s="124" t="s">
        <v>25</v>
      </c>
      <c r="Q1" s="124" t="s">
        <v>1753</v>
      </c>
      <c r="R1" s="125" t="s">
        <v>1754</v>
      </c>
      <c r="S1" s="122" t="s">
        <v>3346</v>
      </c>
      <c r="T1" s="122" t="s">
        <v>3347</v>
      </c>
      <c r="U1" s="122" t="s">
        <v>3348</v>
      </c>
      <c r="V1" s="122" t="s">
        <v>1378</v>
      </c>
      <c r="W1" s="122" t="s">
        <v>3349</v>
      </c>
      <c r="X1" s="122" t="s">
        <v>1382</v>
      </c>
    </row>
    <row r="2" spans="1:24" ht="12.75">
      <c r="A2" s="166">
        <v>1273.4000000000001</v>
      </c>
      <c r="B2" s="2" t="s">
        <v>916</v>
      </c>
      <c r="C2" s="121" t="s">
        <v>3350</v>
      </c>
      <c r="D2" s="5" t="e" cm="1">
        <f t="array" aca="1" ref="D2" ca="1">SUMPRODUCT(SUMIF(INDIRECT("'"&amp;Assemblies[Assy]&amp;"'!"&amp;"C$5:C1000"),$B2,(INDIRECT("'"&amp;Assemblies[Assy]&amp;"'!"&amp;"O$5:O1000"))))</f>
        <v>#VALUE!</v>
      </c>
      <c r="E2" s="5">
        <v>1</v>
      </c>
      <c r="F2" s="52">
        <f t="shared" ref="F2:F35" si="0">O2+P2+Q2+(65*R2)</f>
        <v>43.464319536666665</v>
      </c>
      <c r="G2" s="2" t="s">
        <v>3351</v>
      </c>
      <c r="H2" s="2" t="s">
        <v>1812</v>
      </c>
      <c r="I2" s="2" t="s">
        <v>1382</v>
      </c>
      <c r="J2" s="116" t="s">
        <v>1762</v>
      </c>
      <c r="K2" s="116">
        <v>44894</v>
      </c>
      <c r="L2" s="116">
        <v>44970</v>
      </c>
      <c r="M2" s="116">
        <v>44970</v>
      </c>
      <c r="N2" s="2">
        <v>54598</v>
      </c>
      <c r="O2" s="7">
        <f t="shared" ref="O2:O35" si="1">U2*A2</f>
        <v>27.214319536666665</v>
      </c>
      <c r="P2" s="7">
        <v>0</v>
      </c>
      <c r="Q2" s="7">
        <v>0</v>
      </c>
      <c r="R2" s="52">
        <v>0.25</v>
      </c>
      <c r="S2" s="2">
        <v>6</v>
      </c>
      <c r="T2" s="53">
        <v>128.22829999999999</v>
      </c>
      <c r="U2" s="53">
        <f t="shared" ref="U2:U35" si="2">T2/(S2*1000)</f>
        <v>2.137138333333333E-2</v>
      </c>
      <c r="V2" s="2" t="str" cm="1">
        <f t="array" aca="1" ref="V2" ca="1">TRIM(SUBSTITUTE(_xlfn.ARRAYTOTEXT(IFERROR(CONCATENATE(SUMIF(INDIRECT("'"&amp;Assemblies[Assy]&amp;"'!"&amp;"C$5:C1000"), $B2, INDIRECT("'"&amp;Assemblies[Assy]&amp;"'!"&amp;"O$5:O1000")), "x",Assemblies[Assy],".",IF(SUMIF(INDIRECT("'"&amp;Assemblies[Assy]&amp;"'!"&amp;"C$5:C1000"), $B2, INDIRECT("'"&amp;Assemblies[Assy]&amp;"'!"&amp;"A$5:A1000"))=0,NA(),SUMIF(INDIRECT("'"&amp;Assemblies[Assy]&amp;"'!"&amp;"C$5:C1000"), $B2, INDIRECT("'"&amp;Assemblies[Assy]&amp;"'!"&amp;"A$5:A1000")))),"")), " ,", ""))</f>
        <v>,</v>
      </c>
      <c r="W2" s="2" t="s">
        <v>1382</v>
      </c>
      <c r="X2" s="2" t="s">
        <v>1382</v>
      </c>
    </row>
    <row r="3" spans="1:24" ht="12.75">
      <c r="A3" s="167">
        <v>1075</v>
      </c>
      <c r="B3" s="2" t="s">
        <v>369</v>
      </c>
      <c r="C3" s="121" t="s">
        <v>3352</v>
      </c>
      <c r="D3" s="5" t="e" cm="1">
        <f t="array" aca="1" ref="D3" ca="1">SUMPRODUCT(SUMIF(INDIRECT("'"&amp;Assemblies[Assy]&amp;"'!"&amp;"C$5:C1000"),$B3,(INDIRECT("'"&amp;Assemblies[Assy]&amp;"'!"&amp;"O$5:O1000"))))</f>
        <v>#VALUE!</v>
      </c>
      <c r="E3" s="5">
        <v>12</v>
      </c>
      <c r="F3" s="52">
        <f t="shared" si="0"/>
        <v>39.224237083333335</v>
      </c>
      <c r="G3" s="2" t="s">
        <v>3351</v>
      </c>
      <c r="H3" s="2" t="s">
        <v>1812</v>
      </c>
      <c r="I3" s="2" t="s">
        <v>1382</v>
      </c>
      <c r="J3" s="116" t="s">
        <v>1762</v>
      </c>
      <c r="K3" s="116">
        <v>44894</v>
      </c>
      <c r="L3" s="116">
        <v>44970</v>
      </c>
      <c r="M3" s="116">
        <v>44970</v>
      </c>
      <c r="N3" s="2">
        <v>54598</v>
      </c>
      <c r="O3" s="7">
        <f t="shared" si="1"/>
        <v>22.974237083333332</v>
      </c>
      <c r="P3" s="7">
        <v>0</v>
      </c>
      <c r="Q3" s="7">
        <v>0</v>
      </c>
      <c r="R3" s="52">
        <v>0.25</v>
      </c>
      <c r="S3" s="2">
        <v>6</v>
      </c>
      <c r="T3" s="53">
        <v>128.22829999999999</v>
      </c>
      <c r="U3" s="53">
        <f t="shared" si="2"/>
        <v>2.137138333333333E-2</v>
      </c>
      <c r="V3" s="2" t="str" cm="1">
        <f t="array" aca="1" ref="V3" ca="1">TRIM(SUBSTITUTE(_xlfn.ARRAYTOTEXT(IFERROR(CONCATENATE(SUMIF(INDIRECT("'"&amp;Assemblies[Assy]&amp;"'!"&amp;"C$5:C1000"), $B3, INDIRECT("'"&amp;Assemblies[Assy]&amp;"'!"&amp;"O$5:O1000")), "x",Assemblies[Assy],".",IF(SUMIF(INDIRECT("'"&amp;Assemblies[Assy]&amp;"'!"&amp;"C$5:C1000"), $B3, INDIRECT("'"&amp;Assemblies[Assy]&amp;"'!"&amp;"A$5:A1000"))=0,NA(),SUMIF(INDIRECT("'"&amp;Assemblies[Assy]&amp;"'!"&amp;"C$5:C1000"), $B3, INDIRECT("'"&amp;Assemblies[Assy]&amp;"'!"&amp;"A$5:A1000")))),"")), " ,", ""))</f>
        <v>,</v>
      </c>
      <c r="W3" s="161" t="s">
        <v>1897</v>
      </c>
      <c r="X3" s="2" t="s">
        <v>1382</v>
      </c>
    </row>
    <row r="4" spans="1:24" ht="12.75">
      <c r="A4" s="167">
        <v>1192</v>
      </c>
      <c r="B4" s="2" t="s">
        <v>366</v>
      </c>
      <c r="C4" s="121" t="s">
        <v>3352</v>
      </c>
      <c r="D4" s="5" t="e" cm="1">
        <f t="array" aca="1" ref="D4" ca="1">SUMPRODUCT(SUMIF(INDIRECT("'"&amp;Assemblies[Assy]&amp;"'!"&amp;"C$5:C1000"),$B4,(INDIRECT("'"&amp;Assemblies[Assy]&amp;"'!"&amp;"O$5:O1000"))))</f>
        <v>#VALUE!</v>
      </c>
      <c r="E4" s="5">
        <v>16</v>
      </c>
      <c r="F4" s="52">
        <f t="shared" si="0"/>
        <v>41.724688933333326</v>
      </c>
      <c r="G4" s="2" t="s">
        <v>3351</v>
      </c>
      <c r="H4" s="2" t="s">
        <v>1812</v>
      </c>
      <c r="I4" s="2" t="s">
        <v>1382</v>
      </c>
      <c r="J4" s="116" t="s">
        <v>1762</v>
      </c>
      <c r="K4" s="116">
        <v>44894</v>
      </c>
      <c r="L4" s="116">
        <v>44970</v>
      </c>
      <c r="M4" s="116">
        <v>44970</v>
      </c>
      <c r="N4" s="2">
        <v>54598</v>
      </c>
      <c r="O4" s="7">
        <f t="shared" si="1"/>
        <v>25.474688933333329</v>
      </c>
      <c r="P4" s="7">
        <v>0</v>
      </c>
      <c r="Q4" s="7">
        <v>0</v>
      </c>
      <c r="R4" s="52">
        <v>0.25</v>
      </c>
      <c r="S4" s="2">
        <v>6</v>
      </c>
      <c r="T4" s="53">
        <v>128.22829999999999</v>
      </c>
      <c r="U4" s="53">
        <f t="shared" si="2"/>
        <v>2.137138333333333E-2</v>
      </c>
      <c r="V4" s="2" t="str" cm="1">
        <f t="array" aca="1" ref="V4" ca="1">TRIM(SUBSTITUTE(_xlfn.ARRAYTOTEXT(IFERROR(CONCATENATE(SUMIF(INDIRECT("'"&amp;Assemblies[Assy]&amp;"'!"&amp;"C$5:C1000"), $B4, INDIRECT("'"&amp;Assemblies[Assy]&amp;"'!"&amp;"O$5:O1000")), "x",Assemblies[Assy],".",IF(SUMIF(INDIRECT("'"&amp;Assemblies[Assy]&amp;"'!"&amp;"C$5:C1000"), $B4, INDIRECT("'"&amp;Assemblies[Assy]&amp;"'!"&amp;"A$5:A1000"))=0,NA(),SUMIF(INDIRECT("'"&amp;Assemblies[Assy]&amp;"'!"&amp;"C$5:C1000"), $B4, INDIRECT("'"&amp;Assemblies[Assy]&amp;"'!"&amp;"A$5:A1000")))),"")), " ,", ""))</f>
        <v>,</v>
      </c>
      <c r="W4" s="161" t="s">
        <v>1897</v>
      </c>
      <c r="X4" s="2" t="s">
        <v>1382</v>
      </c>
    </row>
    <row r="5" spans="1:24" ht="12.75">
      <c r="A5" s="166">
        <v>120</v>
      </c>
      <c r="B5" s="2" t="s">
        <v>546</v>
      </c>
      <c r="C5" s="121" t="s">
        <v>3353</v>
      </c>
      <c r="D5" s="5" t="e" cm="1">
        <f t="array" aca="1" ref="D5" ca="1">SUMPRODUCT(SUMIF(INDIRECT("'"&amp;Assemblies[Assy]&amp;"'!"&amp;"C$5:C1000"),$B5,(INDIRECT("'"&amp;Assemblies[Assy]&amp;"'!"&amp;"O$5:O1000"))))</f>
        <v>#VALUE!</v>
      </c>
      <c r="E5" s="5">
        <v>2</v>
      </c>
      <c r="F5" s="52">
        <f t="shared" si="0"/>
        <v>18.814565999999999</v>
      </c>
      <c r="G5" s="2" t="s">
        <v>3351</v>
      </c>
      <c r="H5" s="2" t="s">
        <v>1812</v>
      </c>
      <c r="I5" s="2" t="s">
        <v>1382</v>
      </c>
      <c r="J5" s="116" t="s">
        <v>1762</v>
      </c>
      <c r="K5" s="116">
        <v>44894</v>
      </c>
      <c r="L5" s="116">
        <v>44970</v>
      </c>
      <c r="M5" s="116">
        <v>44970</v>
      </c>
      <c r="N5" s="2">
        <v>54598</v>
      </c>
      <c r="O5" s="7">
        <f t="shared" si="1"/>
        <v>2.5645659999999997</v>
      </c>
      <c r="P5" s="7">
        <v>0</v>
      </c>
      <c r="Q5" s="7">
        <v>0</v>
      </c>
      <c r="R5" s="52">
        <v>0.25</v>
      </c>
      <c r="S5" s="2">
        <v>6</v>
      </c>
      <c r="T5" s="53">
        <v>128.22829999999999</v>
      </c>
      <c r="U5" s="53">
        <f t="shared" si="2"/>
        <v>2.137138333333333E-2</v>
      </c>
      <c r="V5" s="2" t="str" cm="1">
        <f t="array" aca="1" ref="V5" ca="1">TRIM(SUBSTITUTE(_xlfn.ARRAYTOTEXT(IFERROR(CONCATENATE(SUMIF(INDIRECT("'"&amp;Assemblies[Assy]&amp;"'!"&amp;"C$5:C1000"), $B5, INDIRECT("'"&amp;Assemblies[Assy]&amp;"'!"&amp;"O$5:O1000")), "x",Assemblies[Assy],".",IF(SUMIF(INDIRECT("'"&amp;Assemblies[Assy]&amp;"'!"&amp;"C$5:C1000"), $B5, INDIRECT("'"&amp;Assemblies[Assy]&amp;"'!"&amp;"A$5:A1000"))=0,NA(),SUMIF(INDIRECT("'"&amp;Assemblies[Assy]&amp;"'!"&amp;"C$5:C1000"), $B5, INDIRECT("'"&amp;Assemblies[Assy]&amp;"'!"&amp;"A$5:A1000")))),"")), " ,", ""))</f>
        <v>,</v>
      </c>
      <c r="W5" s="161" t="s">
        <v>1897</v>
      </c>
      <c r="X5" s="2" t="s">
        <v>1382</v>
      </c>
    </row>
    <row r="6" spans="1:24" ht="12.75">
      <c r="A6" s="166">
        <v>1453</v>
      </c>
      <c r="B6" s="2" t="s">
        <v>544</v>
      </c>
      <c r="C6" s="121" t="s">
        <v>3353</v>
      </c>
      <c r="D6" s="5" t="e" cm="1">
        <f t="array" aca="1" ref="D6" ca="1">SUMPRODUCT(SUMIF(INDIRECT("'"&amp;Assemblies[Assy]&amp;"'!"&amp;"C$5:C1000"),$B6,(INDIRECT("'"&amp;Assemblies[Assy]&amp;"'!"&amp;"O$5:O1000"))))</f>
        <v>#VALUE!</v>
      </c>
      <c r="E6" s="5">
        <v>4</v>
      </c>
      <c r="F6" s="52">
        <f t="shared" si="0"/>
        <v>47.302619983333329</v>
      </c>
      <c r="G6" s="2" t="s">
        <v>3351</v>
      </c>
      <c r="H6" s="2" t="s">
        <v>1812</v>
      </c>
      <c r="I6" s="2" t="s">
        <v>1382</v>
      </c>
      <c r="J6" s="116" t="s">
        <v>1762</v>
      </c>
      <c r="K6" s="116">
        <v>44894</v>
      </c>
      <c r="L6" s="116">
        <v>44970</v>
      </c>
      <c r="M6" s="116">
        <v>44970</v>
      </c>
      <c r="N6" s="2">
        <v>54598</v>
      </c>
      <c r="O6" s="7">
        <f t="shared" si="1"/>
        <v>31.052619983333329</v>
      </c>
      <c r="P6" s="7">
        <v>0</v>
      </c>
      <c r="Q6" s="7">
        <v>0</v>
      </c>
      <c r="R6" s="52">
        <v>0.25</v>
      </c>
      <c r="S6" s="2">
        <v>6</v>
      </c>
      <c r="T6" s="53">
        <v>128.22829999999999</v>
      </c>
      <c r="U6" s="53">
        <f t="shared" si="2"/>
        <v>2.137138333333333E-2</v>
      </c>
      <c r="V6" s="2" t="str" cm="1">
        <f t="array" aca="1" ref="V6" ca="1">TRIM(SUBSTITUTE(_xlfn.ARRAYTOTEXT(IFERROR(CONCATENATE(SUMIF(INDIRECT("'"&amp;Assemblies[Assy]&amp;"'!"&amp;"C$5:C1000"), $B6, INDIRECT("'"&amp;Assemblies[Assy]&amp;"'!"&amp;"O$5:O1000")), "x",Assemblies[Assy],".",IF(SUMIF(INDIRECT("'"&amp;Assemblies[Assy]&amp;"'!"&amp;"C$5:C1000"), $B6, INDIRECT("'"&amp;Assemblies[Assy]&amp;"'!"&amp;"A$5:A1000"))=0,NA(),SUMIF(INDIRECT("'"&amp;Assemblies[Assy]&amp;"'!"&amp;"C$5:C1000"), $B6, INDIRECT("'"&amp;Assemblies[Assy]&amp;"'!"&amp;"A$5:A1000")))),"")), " ,", ""))</f>
        <v>,</v>
      </c>
      <c r="W6" s="161" t="s">
        <v>1897</v>
      </c>
      <c r="X6" s="2" t="s">
        <v>1382</v>
      </c>
    </row>
    <row r="7" spans="1:24" ht="12.75">
      <c r="A7" s="166">
        <v>1679</v>
      </c>
      <c r="B7" s="2" t="s">
        <v>321</v>
      </c>
      <c r="C7" s="121" t="s">
        <v>3354</v>
      </c>
      <c r="D7" s="5" t="e" cm="1">
        <f t="array" aca="1" ref="D7" ca="1">SUMPRODUCT(SUMIF(INDIRECT("'"&amp;Assemblies[Assy]&amp;"'!"&amp;"C$5:C1000"),$B7,(INDIRECT("'"&amp;Assemblies[Assy]&amp;"'!"&amp;"O$5:O1000"))))</f>
        <v>#VALUE!</v>
      </c>
      <c r="E7" s="5">
        <v>5</v>
      </c>
      <c r="F7" s="52">
        <f t="shared" si="0"/>
        <v>52.132552616666665</v>
      </c>
      <c r="G7" s="2" t="s">
        <v>3351</v>
      </c>
      <c r="H7" s="2" t="s">
        <v>1812</v>
      </c>
      <c r="J7" s="116" t="s">
        <v>1762</v>
      </c>
      <c r="K7" s="116">
        <v>44894</v>
      </c>
      <c r="L7" s="116">
        <v>44970</v>
      </c>
      <c r="M7" s="116">
        <v>44970</v>
      </c>
      <c r="N7" s="2">
        <v>54598</v>
      </c>
      <c r="O7" s="7">
        <f t="shared" si="1"/>
        <v>35.882552616666665</v>
      </c>
      <c r="P7" s="7">
        <v>0</v>
      </c>
      <c r="Q7" s="7">
        <v>0</v>
      </c>
      <c r="R7" s="52">
        <v>0.25</v>
      </c>
      <c r="S7" s="2">
        <v>6</v>
      </c>
      <c r="T7" s="53">
        <v>128.22829999999999</v>
      </c>
      <c r="U7" s="53">
        <f t="shared" si="2"/>
        <v>2.137138333333333E-2</v>
      </c>
      <c r="V7" s="2" t="str" cm="1">
        <f t="array" aca="1" ref="V7" ca="1">TRIM(SUBSTITUTE(_xlfn.ARRAYTOTEXT(IFERROR(CONCATENATE(SUMIF(INDIRECT("'"&amp;Assemblies[Assy]&amp;"'!"&amp;"C$5:C1000"), $B7, INDIRECT("'"&amp;Assemblies[Assy]&amp;"'!"&amp;"O$5:O1000")), "x",Assemblies[Assy],".",IF(SUMIF(INDIRECT("'"&amp;Assemblies[Assy]&amp;"'!"&amp;"C$5:C1000"), $B7, INDIRECT("'"&amp;Assemblies[Assy]&amp;"'!"&amp;"A$5:A1000"))=0,NA(),SUMIF(INDIRECT("'"&amp;Assemblies[Assy]&amp;"'!"&amp;"C$5:C1000"), $B7, INDIRECT("'"&amp;Assemblies[Assy]&amp;"'!"&amp;"A$5:A1000")))),"")), " ,", ""))</f>
        <v>,</v>
      </c>
      <c r="W7" s="161" t="s">
        <v>1897</v>
      </c>
      <c r="X7" s="2" t="s">
        <v>1382</v>
      </c>
    </row>
    <row r="8" spans="1:24" ht="12.75">
      <c r="A8" s="166">
        <v>513.20000000000005</v>
      </c>
      <c r="B8" s="2" t="s">
        <v>543</v>
      </c>
      <c r="C8" s="121" t="s">
        <v>3353</v>
      </c>
      <c r="D8" s="5" t="e" cm="1">
        <f t="array" aca="1" ref="D8" ca="1">SUMPRODUCT(SUMIF(INDIRECT("'"&amp;Assemblies[Assy]&amp;"'!"&amp;"C$5:C1000"),$B8,(INDIRECT("'"&amp;Assemblies[Assy]&amp;"'!"&amp;"O$5:O1000"))))</f>
        <v>#VALUE!</v>
      </c>
      <c r="E8" s="5">
        <v>7</v>
      </c>
      <c r="F8" s="52">
        <f t="shared" si="0"/>
        <v>27.217793926666666</v>
      </c>
      <c r="G8" s="2" t="s">
        <v>3351</v>
      </c>
      <c r="H8" s="2" t="s">
        <v>1812</v>
      </c>
      <c r="I8" s="2" t="s">
        <v>1382</v>
      </c>
      <c r="J8" s="116" t="s">
        <v>1762</v>
      </c>
      <c r="K8" s="116">
        <v>44894</v>
      </c>
      <c r="L8" s="116">
        <v>44970</v>
      </c>
      <c r="M8" s="116">
        <v>44970</v>
      </c>
      <c r="N8" s="2">
        <v>54598</v>
      </c>
      <c r="O8" s="7">
        <f t="shared" si="1"/>
        <v>10.967793926666666</v>
      </c>
      <c r="P8" s="7">
        <v>0</v>
      </c>
      <c r="Q8" s="7">
        <v>0</v>
      </c>
      <c r="R8" s="52">
        <v>0.25</v>
      </c>
      <c r="S8" s="2">
        <v>6</v>
      </c>
      <c r="T8" s="53">
        <v>128.22829999999999</v>
      </c>
      <c r="U8" s="53">
        <f t="shared" si="2"/>
        <v>2.137138333333333E-2</v>
      </c>
      <c r="V8" s="2" t="str" cm="1">
        <f t="array" aca="1" ref="V8" ca="1">TRIM(SUBSTITUTE(_xlfn.ARRAYTOTEXT(IFERROR(CONCATENATE(SUMIF(INDIRECT("'"&amp;Assemblies[Assy]&amp;"'!"&amp;"C$5:C1000"), $B8, INDIRECT("'"&amp;Assemblies[Assy]&amp;"'!"&amp;"O$5:O1000")), "x",Assemblies[Assy],".",IF(SUMIF(INDIRECT("'"&amp;Assemblies[Assy]&amp;"'!"&amp;"C$5:C1000"), $B8, INDIRECT("'"&amp;Assemblies[Assy]&amp;"'!"&amp;"A$5:A1000"))=0,NA(),SUMIF(INDIRECT("'"&amp;Assemblies[Assy]&amp;"'!"&amp;"C$5:C1000"), $B8, INDIRECT("'"&amp;Assemblies[Assy]&amp;"'!"&amp;"A$5:A1000")))),"")), " ,", ""))</f>
        <v>,</v>
      </c>
      <c r="W8" s="161" t="s">
        <v>1897</v>
      </c>
      <c r="X8" s="2" t="s">
        <v>1382</v>
      </c>
    </row>
    <row r="9" spans="1:24" ht="12.75">
      <c r="A9" s="167">
        <v>924</v>
      </c>
      <c r="B9" s="2" t="s">
        <v>363</v>
      </c>
      <c r="C9" s="121" t="s">
        <v>3352</v>
      </c>
      <c r="D9" s="5" t="e" cm="1">
        <f t="array" aca="1" ref="D9" ca="1">SUMPRODUCT(SUMIF(INDIRECT("'"&amp;Assemblies[Assy]&amp;"'!"&amp;"C$5:C1000"),$B9,(INDIRECT("'"&amp;Assemblies[Assy]&amp;"'!"&amp;"O$5:O1000"))))</f>
        <v>#VALUE!</v>
      </c>
      <c r="E9" s="5">
        <v>8</v>
      </c>
      <c r="F9" s="52">
        <f t="shared" si="0"/>
        <v>35.997158200000001</v>
      </c>
      <c r="G9" s="2" t="s">
        <v>3351</v>
      </c>
      <c r="H9" s="2" t="s">
        <v>1812</v>
      </c>
      <c r="I9" s="2" t="s">
        <v>1382</v>
      </c>
      <c r="J9" s="116" t="s">
        <v>1762</v>
      </c>
      <c r="K9" s="116">
        <v>44894</v>
      </c>
      <c r="L9" s="116">
        <v>44970</v>
      </c>
      <c r="M9" s="116">
        <v>44970</v>
      </c>
      <c r="N9" s="2">
        <v>54598</v>
      </c>
      <c r="O9" s="7">
        <f t="shared" si="1"/>
        <v>19.747158199999998</v>
      </c>
      <c r="P9" s="7">
        <v>0</v>
      </c>
      <c r="Q9" s="7">
        <v>0</v>
      </c>
      <c r="R9" s="52">
        <v>0.25</v>
      </c>
      <c r="S9" s="2">
        <v>6</v>
      </c>
      <c r="T9" s="53">
        <v>128.22829999999999</v>
      </c>
      <c r="U9" s="53">
        <f t="shared" si="2"/>
        <v>2.137138333333333E-2</v>
      </c>
      <c r="V9" s="2" t="str" cm="1">
        <f t="array" aca="1" ref="V9" ca="1">TRIM(SUBSTITUTE(_xlfn.ARRAYTOTEXT(IFERROR(CONCATENATE(SUMIF(INDIRECT("'"&amp;Assemblies[Assy]&amp;"'!"&amp;"C$5:C1000"), $B9, INDIRECT("'"&amp;Assemblies[Assy]&amp;"'!"&amp;"O$5:O1000")), "x",Assemblies[Assy],".",IF(SUMIF(INDIRECT("'"&amp;Assemblies[Assy]&amp;"'!"&amp;"C$5:C1000"), $B9, INDIRECT("'"&amp;Assemblies[Assy]&amp;"'!"&amp;"A$5:A1000"))=0,NA(),SUMIF(INDIRECT("'"&amp;Assemblies[Assy]&amp;"'!"&amp;"C$5:C1000"), $B9, INDIRECT("'"&amp;Assemblies[Assy]&amp;"'!"&amp;"A$5:A1000")))),"")), " ,", ""))</f>
        <v>,</v>
      </c>
      <c r="W9" s="161" t="s">
        <v>1897</v>
      </c>
      <c r="X9" s="2" t="s">
        <v>1382</v>
      </c>
    </row>
    <row r="10" spans="1:24" ht="12.75">
      <c r="A10" s="166">
        <v>936</v>
      </c>
      <c r="B10" s="2" t="s">
        <v>545</v>
      </c>
      <c r="C10" s="121" t="s">
        <v>3353</v>
      </c>
      <c r="D10" s="5" t="e" cm="1">
        <f t="array" aca="1" ref="D10" ca="1">SUMPRODUCT(SUMIF(INDIRECT("'"&amp;Assemblies[Assy]&amp;"'!"&amp;"C$5:C1000"),$B10,(INDIRECT("'"&amp;Assemblies[Assy]&amp;"'!"&amp;"O$5:O1000"))))</f>
        <v>#VALUE!</v>
      </c>
      <c r="E10" s="5">
        <v>2</v>
      </c>
      <c r="F10" s="52">
        <f t="shared" si="0"/>
        <v>36.253614799999994</v>
      </c>
      <c r="G10" s="2" t="s">
        <v>3351</v>
      </c>
      <c r="H10" s="2" t="s">
        <v>1812</v>
      </c>
      <c r="I10" s="2" t="s">
        <v>1382</v>
      </c>
      <c r="J10" s="116" t="s">
        <v>1762</v>
      </c>
      <c r="K10" s="116">
        <v>44894</v>
      </c>
      <c r="L10" s="116">
        <v>44970</v>
      </c>
      <c r="M10" s="116">
        <v>44970</v>
      </c>
      <c r="N10" s="2">
        <v>54598</v>
      </c>
      <c r="O10" s="7">
        <f t="shared" si="1"/>
        <v>20.003614799999998</v>
      </c>
      <c r="P10" s="7">
        <v>0</v>
      </c>
      <c r="Q10" s="7">
        <v>0</v>
      </c>
      <c r="R10" s="52">
        <v>0.25</v>
      </c>
      <c r="S10" s="2">
        <v>6</v>
      </c>
      <c r="T10" s="53">
        <v>128.22829999999999</v>
      </c>
      <c r="U10" s="53">
        <f t="shared" si="2"/>
        <v>2.137138333333333E-2</v>
      </c>
      <c r="V10" s="2" t="str" cm="1">
        <f t="array" aca="1" ref="V10" ca="1">TRIM(SUBSTITUTE(_xlfn.ARRAYTOTEXT(IFERROR(CONCATENATE(SUMIF(INDIRECT("'"&amp;Assemblies[Assy]&amp;"'!"&amp;"C$5:C1000"), $B10, INDIRECT("'"&amp;Assemblies[Assy]&amp;"'!"&amp;"O$5:O1000")), "x",Assemblies[Assy],".",IF(SUMIF(INDIRECT("'"&amp;Assemblies[Assy]&amp;"'!"&amp;"C$5:C1000"), $B10, INDIRECT("'"&amp;Assemblies[Assy]&amp;"'!"&amp;"A$5:A1000"))=0,NA(),SUMIF(INDIRECT("'"&amp;Assemblies[Assy]&amp;"'!"&amp;"C$5:C1000"), $B10, INDIRECT("'"&amp;Assemblies[Assy]&amp;"'!"&amp;"A$5:A1000")))),"")), " ,", ""))</f>
        <v>,</v>
      </c>
      <c r="W10" s="161" t="s">
        <v>1897</v>
      </c>
      <c r="X10" s="2" t="s">
        <v>1382</v>
      </c>
    </row>
    <row r="11" spans="1:24" ht="12.75">
      <c r="A11" s="166">
        <v>606</v>
      </c>
      <c r="B11" s="2" t="s">
        <v>385</v>
      </c>
      <c r="C11" s="121" t="s">
        <v>3352</v>
      </c>
      <c r="D11" s="5" t="e" cm="1">
        <f t="array" aca="1" ref="D11" ca="1">SUMPRODUCT(SUMIF(INDIRECT("'"&amp;Assemblies[Assy]&amp;"'!"&amp;"C$5:C1000"),$B11,(INDIRECT("'"&amp;Assemblies[Assy]&amp;"'!"&amp;"O$5:O1000"))))</f>
        <v>#VALUE!</v>
      </c>
      <c r="E11" s="5">
        <v>4</v>
      </c>
      <c r="F11" s="52">
        <f t="shared" si="0"/>
        <v>29.2010583</v>
      </c>
      <c r="G11" s="2" t="s">
        <v>3351</v>
      </c>
      <c r="H11" s="2" t="s">
        <v>1812</v>
      </c>
      <c r="I11" s="2" t="s">
        <v>1382</v>
      </c>
      <c r="J11" s="116" t="s">
        <v>1762</v>
      </c>
      <c r="K11" s="116">
        <v>44894</v>
      </c>
      <c r="L11" s="116">
        <v>44970</v>
      </c>
      <c r="M11" s="116">
        <v>44970</v>
      </c>
      <c r="N11" s="2">
        <v>54598</v>
      </c>
      <c r="O11" s="7">
        <f t="shared" si="1"/>
        <v>12.951058299999998</v>
      </c>
      <c r="P11" s="7">
        <v>0</v>
      </c>
      <c r="Q11" s="7">
        <v>0</v>
      </c>
      <c r="R11" s="52">
        <v>0.25</v>
      </c>
      <c r="S11" s="2">
        <v>6</v>
      </c>
      <c r="T11" s="53">
        <v>128.22829999999999</v>
      </c>
      <c r="U11" s="53">
        <f t="shared" si="2"/>
        <v>2.137138333333333E-2</v>
      </c>
      <c r="V11" s="2" t="str" cm="1">
        <f t="array" aca="1" ref="V11" ca="1">TRIM(SUBSTITUTE(_xlfn.ARRAYTOTEXT(IFERROR(CONCATENATE(SUMIF(INDIRECT("'"&amp;Assemblies[Assy]&amp;"'!"&amp;"C$5:C1000"), $B11, INDIRECT("'"&amp;Assemblies[Assy]&amp;"'!"&amp;"O$5:O1000")), "x",Assemblies[Assy],".",IF(SUMIF(INDIRECT("'"&amp;Assemblies[Assy]&amp;"'!"&amp;"C$5:C1000"), $B11, INDIRECT("'"&amp;Assemblies[Assy]&amp;"'!"&amp;"A$5:A1000"))=0,NA(),SUMIF(INDIRECT("'"&amp;Assemblies[Assy]&amp;"'!"&amp;"C$5:C1000"), $B11, INDIRECT("'"&amp;Assemblies[Assy]&amp;"'!"&amp;"A$5:A1000")))),"")), " ,", ""))</f>
        <v>,</v>
      </c>
      <c r="W11" s="161" t="s">
        <v>1897</v>
      </c>
      <c r="X11" s="2" t="s">
        <v>1382</v>
      </c>
    </row>
    <row r="12" spans="1:24" ht="12.75">
      <c r="A12" s="167">
        <v>746</v>
      </c>
      <c r="B12" s="2" t="s">
        <v>768</v>
      </c>
      <c r="C12" s="121" t="s">
        <v>3352</v>
      </c>
      <c r="D12" s="5" t="e" cm="1">
        <f t="array" aca="1" ref="D12" ca="1">SUMPRODUCT(SUMIF(INDIRECT("'"&amp;Assemblies[Assy]&amp;"'!"&amp;"C$5:C1000"),$B12,(INDIRECT("'"&amp;Assemblies[Assy]&amp;"'!"&amp;"O$5:O1000"))))</f>
        <v>#VALUE!</v>
      </c>
      <c r="E12" s="5">
        <v>4</v>
      </c>
      <c r="F12" s="52">
        <f t="shared" si="0"/>
        <v>32.193051966666665</v>
      </c>
      <c r="G12" s="2" t="s">
        <v>3351</v>
      </c>
      <c r="H12" s="2" t="s">
        <v>1812</v>
      </c>
      <c r="I12" s="2" t="s">
        <v>1382</v>
      </c>
      <c r="J12" s="116" t="s">
        <v>1762</v>
      </c>
      <c r="K12" s="116">
        <v>44894</v>
      </c>
      <c r="L12" s="116">
        <v>44970</v>
      </c>
      <c r="M12" s="116">
        <v>44970</v>
      </c>
      <c r="N12" s="2">
        <v>54598</v>
      </c>
      <c r="O12" s="7">
        <f t="shared" si="1"/>
        <v>15.943051966666664</v>
      </c>
      <c r="P12" s="7">
        <v>0</v>
      </c>
      <c r="Q12" s="7">
        <v>0</v>
      </c>
      <c r="R12" s="52">
        <v>0.25</v>
      </c>
      <c r="S12" s="2">
        <v>6</v>
      </c>
      <c r="T12" s="53">
        <v>128.22829999999999</v>
      </c>
      <c r="U12" s="53">
        <f t="shared" si="2"/>
        <v>2.137138333333333E-2</v>
      </c>
      <c r="V12" s="2" t="str" cm="1">
        <f t="array" aca="1" ref="V12" ca="1">TRIM(SUBSTITUTE(_xlfn.ARRAYTOTEXT(IFERROR(CONCATENATE(SUMIF(INDIRECT("'"&amp;Assemblies[Assy]&amp;"'!"&amp;"C$5:C1000"), $B12, INDIRECT("'"&amp;Assemblies[Assy]&amp;"'!"&amp;"O$5:O1000")), "x",Assemblies[Assy],".",IF(SUMIF(INDIRECT("'"&amp;Assemblies[Assy]&amp;"'!"&amp;"C$5:C1000"), $B12, INDIRECT("'"&amp;Assemblies[Assy]&amp;"'!"&amp;"A$5:A1000"))=0,NA(),SUMIF(INDIRECT("'"&amp;Assemblies[Assy]&amp;"'!"&amp;"C$5:C1000"), $B12, INDIRECT("'"&amp;Assemblies[Assy]&amp;"'!"&amp;"A$5:A1000")))),"")), " ,", ""))</f>
        <v>,</v>
      </c>
      <c r="W12" s="161" t="s">
        <v>1897</v>
      </c>
      <c r="X12" s="2" t="s">
        <v>1382</v>
      </c>
    </row>
    <row r="13" spans="1:24" ht="12.75">
      <c r="A13" s="167">
        <v>792</v>
      </c>
      <c r="B13" s="2" t="s">
        <v>370</v>
      </c>
      <c r="C13" s="121" t="s">
        <v>3352</v>
      </c>
      <c r="D13" s="5" t="e" cm="1">
        <f t="array" aca="1" ref="D13" ca="1">SUMPRODUCT(SUMIF(INDIRECT("'"&amp;Assemblies[Assy]&amp;"'!"&amp;"C$5:C1000"),$B13,(INDIRECT("'"&amp;Assemblies[Assy]&amp;"'!"&amp;"O$5:O1000"))))</f>
        <v>#VALUE!</v>
      </c>
      <c r="E13" s="5">
        <v>4</v>
      </c>
      <c r="F13" s="52">
        <f t="shared" si="0"/>
        <v>33.176135599999995</v>
      </c>
      <c r="G13" s="2" t="s">
        <v>3351</v>
      </c>
      <c r="H13" s="2" t="s">
        <v>1812</v>
      </c>
      <c r="I13" s="2" t="s">
        <v>1382</v>
      </c>
      <c r="J13" s="116" t="s">
        <v>1762</v>
      </c>
      <c r="K13" s="116">
        <v>44894</v>
      </c>
      <c r="L13" s="116">
        <v>44970</v>
      </c>
      <c r="M13" s="116">
        <v>44970</v>
      </c>
      <c r="N13" s="2">
        <v>54598</v>
      </c>
      <c r="O13" s="7">
        <f t="shared" si="1"/>
        <v>16.926135599999999</v>
      </c>
      <c r="P13" s="7">
        <v>0</v>
      </c>
      <c r="Q13" s="7">
        <v>0</v>
      </c>
      <c r="R13" s="52">
        <v>0.25</v>
      </c>
      <c r="S13" s="2">
        <v>6</v>
      </c>
      <c r="T13" s="53">
        <v>128.22829999999999</v>
      </c>
      <c r="U13" s="53">
        <f t="shared" si="2"/>
        <v>2.137138333333333E-2</v>
      </c>
      <c r="V13" s="2" t="str" cm="1">
        <f t="array" aca="1" ref="V13" ca="1">TRIM(SUBSTITUTE(_xlfn.ARRAYTOTEXT(IFERROR(CONCATENATE(SUMIF(INDIRECT("'"&amp;Assemblies[Assy]&amp;"'!"&amp;"C$5:C1000"), $B13, INDIRECT("'"&amp;Assemblies[Assy]&amp;"'!"&amp;"O$5:O1000")), "x",Assemblies[Assy],".",IF(SUMIF(INDIRECT("'"&amp;Assemblies[Assy]&amp;"'!"&amp;"C$5:C1000"), $B13, INDIRECT("'"&amp;Assemblies[Assy]&amp;"'!"&amp;"A$5:A1000"))=0,NA(),SUMIF(INDIRECT("'"&amp;Assemblies[Assy]&amp;"'!"&amp;"C$5:C1000"), $B13, INDIRECT("'"&amp;Assemblies[Assy]&amp;"'!"&amp;"A$5:A1000")))),"")), " ,", ""))</f>
        <v>,</v>
      </c>
      <c r="W13" s="161" t="s">
        <v>1897</v>
      </c>
      <c r="X13" s="2" t="s">
        <v>1382</v>
      </c>
    </row>
    <row r="14" spans="1:24" ht="12.75">
      <c r="A14" s="167">
        <v>1076</v>
      </c>
      <c r="B14" s="2" t="s">
        <v>364</v>
      </c>
      <c r="C14" s="121" t="s">
        <v>3352</v>
      </c>
      <c r="D14" s="5" t="e" cm="1">
        <f t="array" aca="1" ref="D14" ca="1">SUMPRODUCT(SUMIF(INDIRECT("'"&amp;Assemblies[Assy]&amp;"'!"&amp;"C$5:C1000"),$B14,(INDIRECT("'"&amp;Assemblies[Assy]&amp;"'!"&amp;"O$5:O1000"))))</f>
        <v>#VALUE!</v>
      </c>
      <c r="E14" s="5">
        <v>4</v>
      </c>
      <c r="F14" s="52">
        <f t="shared" si="0"/>
        <v>39.245608466666667</v>
      </c>
      <c r="G14" s="2" t="s">
        <v>3351</v>
      </c>
      <c r="H14" s="2" t="s">
        <v>1812</v>
      </c>
      <c r="I14" s="2" t="s">
        <v>1382</v>
      </c>
      <c r="J14" s="116" t="s">
        <v>1762</v>
      </c>
      <c r="K14" s="116">
        <v>44894</v>
      </c>
      <c r="L14" s="116">
        <v>44970</v>
      </c>
      <c r="M14" s="116">
        <v>44970</v>
      </c>
      <c r="N14" s="2">
        <v>54598</v>
      </c>
      <c r="O14" s="7">
        <f t="shared" si="1"/>
        <v>22.995608466666663</v>
      </c>
      <c r="P14" s="7">
        <v>0</v>
      </c>
      <c r="Q14" s="7">
        <v>0</v>
      </c>
      <c r="R14" s="52">
        <v>0.25</v>
      </c>
      <c r="S14" s="2">
        <v>6</v>
      </c>
      <c r="T14" s="53">
        <v>128.22829999999999</v>
      </c>
      <c r="U14" s="53">
        <f t="shared" si="2"/>
        <v>2.137138333333333E-2</v>
      </c>
      <c r="V14" s="2" t="str" cm="1">
        <f t="array" aca="1" ref="V14" ca="1">TRIM(SUBSTITUTE(_xlfn.ARRAYTOTEXT(IFERROR(CONCATENATE(SUMIF(INDIRECT("'"&amp;Assemblies[Assy]&amp;"'!"&amp;"C$5:C1000"), $B14, INDIRECT("'"&amp;Assemblies[Assy]&amp;"'!"&amp;"O$5:O1000")), "x",Assemblies[Assy],".",IF(SUMIF(INDIRECT("'"&amp;Assemblies[Assy]&amp;"'!"&amp;"C$5:C1000"), $B14, INDIRECT("'"&amp;Assemblies[Assy]&amp;"'!"&amp;"A$5:A1000"))=0,NA(),SUMIF(INDIRECT("'"&amp;Assemblies[Assy]&amp;"'!"&amp;"C$5:C1000"), $B14, INDIRECT("'"&amp;Assemblies[Assy]&amp;"'!"&amp;"A$5:A1000")))),"")), " ,", ""))</f>
        <v>,</v>
      </c>
      <c r="W14" s="161" t="s">
        <v>1897</v>
      </c>
      <c r="X14" s="2" t="s">
        <v>1382</v>
      </c>
    </row>
    <row r="15" spans="1:24" ht="12.75">
      <c r="A15" s="167">
        <v>1121</v>
      </c>
      <c r="B15" s="2" t="s">
        <v>365</v>
      </c>
      <c r="C15" s="121" t="s">
        <v>3352</v>
      </c>
      <c r="D15" s="5" t="e" cm="1">
        <f t="array" aca="1" ref="D15" ca="1">SUMPRODUCT(SUMIF(INDIRECT("'"&amp;Assemblies[Assy]&amp;"'!"&amp;"C$5:C1000"),$B15,(INDIRECT("'"&amp;Assemblies[Assy]&amp;"'!"&amp;"O$5:O1000"))))</f>
        <v>#VALUE!</v>
      </c>
      <c r="E15" s="5">
        <v>4</v>
      </c>
      <c r="F15" s="52">
        <f t="shared" si="0"/>
        <v>40.207320716666665</v>
      </c>
      <c r="G15" s="2" t="s">
        <v>3351</v>
      </c>
      <c r="H15" s="2" t="s">
        <v>1812</v>
      </c>
      <c r="I15" s="2" t="s">
        <v>1382</v>
      </c>
      <c r="J15" s="116" t="s">
        <v>1762</v>
      </c>
      <c r="K15" s="116">
        <v>44894</v>
      </c>
      <c r="L15" s="116">
        <v>44970</v>
      </c>
      <c r="M15" s="116">
        <v>44970</v>
      </c>
      <c r="N15" s="2">
        <v>54598</v>
      </c>
      <c r="O15" s="7">
        <f t="shared" si="1"/>
        <v>23.957320716666665</v>
      </c>
      <c r="P15" s="7">
        <v>0</v>
      </c>
      <c r="Q15" s="7">
        <v>0</v>
      </c>
      <c r="R15" s="52">
        <v>0.25</v>
      </c>
      <c r="S15" s="2">
        <v>6</v>
      </c>
      <c r="T15" s="53">
        <v>128.22829999999999</v>
      </c>
      <c r="U15" s="53">
        <f t="shared" si="2"/>
        <v>2.137138333333333E-2</v>
      </c>
      <c r="V15" s="2" t="str" cm="1">
        <f t="array" aca="1" ref="V15" ca="1">TRIM(SUBSTITUTE(_xlfn.ARRAYTOTEXT(IFERROR(CONCATENATE(SUMIF(INDIRECT("'"&amp;Assemblies[Assy]&amp;"'!"&amp;"C$5:C1000"), $B15, INDIRECT("'"&amp;Assemblies[Assy]&amp;"'!"&amp;"O$5:O1000")), "x",Assemblies[Assy],".",IF(SUMIF(INDIRECT("'"&amp;Assemblies[Assy]&amp;"'!"&amp;"C$5:C1000"), $B15, INDIRECT("'"&amp;Assemblies[Assy]&amp;"'!"&amp;"A$5:A1000"))=0,NA(),SUMIF(INDIRECT("'"&amp;Assemblies[Assy]&amp;"'!"&amp;"C$5:C1000"), $B15, INDIRECT("'"&amp;Assemblies[Assy]&amp;"'!"&amp;"A$5:A1000")))),"")), " ,", ""))</f>
        <v>,</v>
      </c>
      <c r="W15" s="161" t="s">
        <v>1897</v>
      </c>
      <c r="X15" s="2" t="s">
        <v>1382</v>
      </c>
    </row>
    <row r="16" spans="1:24" ht="12.75">
      <c r="A16" s="167">
        <v>390</v>
      </c>
      <c r="B16" s="2" t="s">
        <v>772</v>
      </c>
      <c r="C16" s="121" t="s">
        <v>3352</v>
      </c>
      <c r="D16" s="5" t="e" cm="1">
        <f t="array" aca="1" ref="D16" ca="1">SUMPRODUCT(SUMIF(INDIRECT("'"&amp;Assemblies[Assy]&amp;"'!"&amp;"C$5:C1000"),$B16,(INDIRECT("'"&amp;Assemblies[Assy]&amp;"'!"&amp;"O$5:O1000"))))</f>
        <v>#VALUE!</v>
      </c>
      <c r="E16" s="5">
        <v>4</v>
      </c>
      <c r="F16" s="52">
        <f t="shared" si="0"/>
        <v>24.584839500000001</v>
      </c>
      <c r="G16" s="2" t="s">
        <v>3351</v>
      </c>
      <c r="H16" s="2" t="s">
        <v>1812</v>
      </c>
      <c r="I16" s="2" t="s">
        <v>1382</v>
      </c>
      <c r="J16" s="116" t="s">
        <v>1762</v>
      </c>
      <c r="K16" s="116">
        <v>44894</v>
      </c>
      <c r="L16" s="116">
        <v>44970</v>
      </c>
      <c r="M16" s="116">
        <v>44970</v>
      </c>
      <c r="N16" s="2">
        <v>54598</v>
      </c>
      <c r="O16" s="7">
        <f t="shared" si="1"/>
        <v>8.3348394999999993</v>
      </c>
      <c r="P16" s="7">
        <v>0</v>
      </c>
      <c r="Q16" s="7">
        <v>0</v>
      </c>
      <c r="R16" s="52">
        <v>0.25</v>
      </c>
      <c r="S16" s="2">
        <v>6</v>
      </c>
      <c r="T16" s="53">
        <v>128.22829999999999</v>
      </c>
      <c r="U16" s="53">
        <f t="shared" si="2"/>
        <v>2.137138333333333E-2</v>
      </c>
      <c r="V16" s="2" t="str" cm="1">
        <f t="array" aca="1" ref="V16" ca="1">TRIM(SUBSTITUTE(_xlfn.ARRAYTOTEXT(IFERROR(CONCATENATE(SUMIF(INDIRECT("'"&amp;Assemblies[Assy]&amp;"'!"&amp;"C$5:C1000"), $B16, INDIRECT("'"&amp;Assemblies[Assy]&amp;"'!"&amp;"O$5:O1000")), "x",Assemblies[Assy],".",IF(SUMIF(INDIRECT("'"&amp;Assemblies[Assy]&amp;"'!"&amp;"C$5:C1000"), $B16, INDIRECT("'"&amp;Assemblies[Assy]&amp;"'!"&amp;"A$5:A1000"))=0,NA(),SUMIF(INDIRECT("'"&amp;Assemblies[Assy]&amp;"'!"&amp;"C$5:C1000"), $B16, INDIRECT("'"&amp;Assemblies[Assy]&amp;"'!"&amp;"A$5:A1000")))),"")), " ,", ""))</f>
        <v>,</v>
      </c>
      <c r="W16" s="161" t="s">
        <v>1897</v>
      </c>
      <c r="X16" s="2" t="s">
        <v>1382</v>
      </c>
    </row>
    <row r="17" spans="1:24" ht="12.75">
      <c r="A17" s="167">
        <v>585</v>
      </c>
      <c r="B17" s="2" t="s">
        <v>375</v>
      </c>
      <c r="C17" s="121" t="s">
        <v>3352</v>
      </c>
      <c r="D17" s="5" t="e" cm="1">
        <f t="array" aca="1" ref="D17" ca="1">SUMPRODUCT(SUMIF(INDIRECT("'"&amp;Assemblies[Assy]&amp;"'!"&amp;"C$5:C1000"),$B17,(INDIRECT("'"&amp;Assemblies[Assy]&amp;"'!"&amp;"O$5:O1000"))))</f>
        <v>#VALUE!</v>
      </c>
      <c r="E17" s="5">
        <v>4</v>
      </c>
      <c r="F17" s="52">
        <f t="shared" si="0"/>
        <v>28.752259249999998</v>
      </c>
      <c r="G17" s="2" t="s">
        <v>3351</v>
      </c>
      <c r="H17" s="2" t="s">
        <v>1812</v>
      </c>
      <c r="I17" s="2" t="s">
        <v>1382</v>
      </c>
      <c r="J17" s="116" t="s">
        <v>1762</v>
      </c>
      <c r="K17" s="116">
        <v>44894</v>
      </c>
      <c r="L17" s="116">
        <v>44970</v>
      </c>
      <c r="M17" s="116">
        <v>44970</v>
      </c>
      <c r="N17" s="2">
        <v>54598</v>
      </c>
      <c r="O17" s="7">
        <f t="shared" si="1"/>
        <v>12.502259249999998</v>
      </c>
      <c r="P17" s="7">
        <v>0</v>
      </c>
      <c r="Q17" s="7">
        <v>0</v>
      </c>
      <c r="R17" s="52">
        <v>0.25</v>
      </c>
      <c r="S17" s="2">
        <v>6</v>
      </c>
      <c r="T17" s="53">
        <v>128.22829999999999</v>
      </c>
      <c r="U17" s="53">
        <f t="shared" si="2"/>
        <v>2.137138333333333E-2</v>
      </c>
      <c r="V17" s="2" t="str" cm="1">
        <f t="array" aca="1" ref="V17" ca="1">TRIM(SUBSTITUTE(_xlfn.ARRAYTOTEXT(IFERROR(CONCATENATE(SUMIF(INDIRECT("'"&amp;Assemblies[Assy]&amp;"'!"&amp;"C$5:C1000"), $B17, INDIRECT("'"&amp;Assemblies[Assy]&amp;"'!"&amp;"O$5:O1000")), "x",Assemblies[Assy],".",IF(SUMIF(INDIRECT("'"&amp;Assemblies[Assy]&amp;"'!"&amp;"C$5:C1000"), $B17, INDIRECT("'"&amp;Assemblies[Assy]&amp;"'!"&amp;"A$5:A1000"))=0,NA(),SUMIF(INDIRECT("'"&amp;Assemblies[Assy]&amp;"'!"&amp;"C$5:C1000"), $B17, INDIRECT("'"&amp;Assemblies[Assy]&amp;"'!"&amp;"A$5:A1000")))),"")), " ,", ""))</f>
        <v>,</v>
      </c>
      <c r="W17" s="161" t="s">
        <v>1897</v>
      </c>
      <c r="X17" s="2" t="s">
        <v>1382</v>
      </c>
    </row>
    <row r="18" spans="1:24" ht="12.75">
      <c r="A18" s="167">
        <v>630</v>
      </c>
      <c r="B18" s="2" t="s">
        <v>376</v>
      </c>
      <c r="C18" s="121" t="s">
        <v>3352</v>
      </c>
      <c r="D18" s="5" t="e" cm="1">
        <f t="array" aca="1" ref="D18" ca="1">SUMPRODUCT(SUMIF(INDIRECT("'"&amp;Assemblies[Assy]&amp;"'!"&amp;"C$5:C1000"),$B18,(INDIRECT("'"&amp;Assemblies[Assy]&amp;"'!"&amp;"O$5:O1000"))))</f>
        <v>#VALUE!</v>
      </c>
      <c r="E18" s="5">
        <v>4</v>
      </c>
      <c r="F18" s="52">
        <f t="shared" si="0"/>
        <v>29.7139715</v>
      </c>
      <c r="G18" s="2" t="s">
        <v>3351</v>
      </c>
      <c r="H18" s="2" t="s">
        <v>1812</v>
      </c>
      <c r="I18" s="2" t="s">
        <v>1382</v>
      </c>
      <c r="J18" s="116" t="s">
        <v>1762</v>
      </c>
      <c r="K18" s="116">
        <v>44894</v>
      </c>
      <c r="L18" s="116">
        <v>44970</v>
      </c>
      <c r="M18" s="116">
        <v>44970</v>
      </c>
      <c r="N18" s="2">
        <v>54598</v>
      </c>
      <c r="O18" s="7">
        <f t="shared" si="1"/>
        <v>13.463971499999998</v>
      </c>
      <c r="P18" s="7">
        <v>0</v>
      </c>
      <c r="Q18" s="7">
        <v>0</v>
      </c>
      <c r="R18" s="52">
        <v>0.25</v>
      </c>
      <c r="S18" s="2">
        <v>6</v>
      </c>
      <c r="T18" s="53">
        <v>128.22829999999999</v>
      </c>
      <c r="U18" s="53">
        <f t="shared" si="2"/>
        <v>2.137138333333333E-2</v>
      </c>
      <c r="V18" s="2" t="str" cm="1">
        <f t="array" aca="1" ref="V18" ca="1">TRIM(SUBSTITUTE(_xlfn.ARRAYTOTEXT(IFERROR(CONCATENATE(SUMIF(INDIRECT("'"&amp;Assemblies[Assy]&amp;"'!"&amp;"C$5:C1000"), $B18, INDIRECT("'"&amp;Assemblies[Assy]&amp;"'!"&amp;"O$5:O1000")), "x",Assemblies[Assy],".",IF(SUMIF(INDIRECT("'"&amp;Assemblies[Assy]&amp;"'!"&amp;"C$5:C1000"), $B18, INDIRECT("'"&amp;Assemblies[Assy]&amp;"'!"&amp;"A$5:A1000"))=0,NA(),SUMIF(INDIRECT("'"&amp;Assemblies[Assy]&amp;"'!"&amp;"C$5:C1000"), $B18, INDIRECT("'"&amp;Assemblies[Assy]&amp;"'!"&amp;"A$5:A1000")))),"")), " ,", ""))</f>
        <v>,</v>
      </c>
      <c r="W18" s="161" t="s">
        <v>1897</v>
      </c>
      <c r="X18" s="2" t="s">
        <v>1382</v>
      </c>
    </row>
    <row r="19" spans="1:24" ht="12.75">
      <c r="A19" s="166">
        <v>835</v>
      </c>
      <c r="B19" s="2" t="s">
        <v>381</v>
      </c>
      <c r="C19" s="121" t="s">
        <v>3352</v>
      </c>
      <c r="D19" s="5" t="e" cm="1">
        <f t="array" aca="1" ref="D19" ca="1">SUMPRODUCT(SUMIF(INDIRECT("'"&amp;Assemblies[Assy]&amp;"'!"&amp;"C$5:C1000"),$B19,(INDIRECT("'"&amp;Assemblies[Assy]&amp;"'!"&amp;"O$5:O1000"))))</f>
        <v>#VALUE!</v>
      </c>
      <c r="E19" s="5">
        <v>4</v>
      </c>
      <c r="F19" s="52">
        <f t="shared" si="0"/>
        <v>34.09510508333333</v>
      </c>
      <c r="G19" s="2" t="s">
        <v>3351</v>
      </c>
      <c r="H19" s="2" t="s">
        <v>1812</v>
      </c>
      <c r="I19" s="2" t="s">
        <v>1382</v>
      </c>
      <c r="J19" s="116" t="s">
        <v>1762</v>
      </c>
      <c r="K19" s="116">
        <v>44894</v>
      </c>
      <c r="L19" s="116">
        <v>44970</v>
      </c>
      <c r="M19" s="116">
        <v>44970</v>
      </c>
      <c r="N19" s="2">
        <v>54598</v>
      </c>
      <c r="O19" s="7">
        <f t="shared" si="1"/>
        <v>17.84510508333333</v>
      </c>
      <c r="P19" s="7">
        <v>0</v>
      </c>
      <c r="Q19" s="7">
        <v>0</v>
      </c>
      <c r="R19" s="52">
        <v>0.25</v>
      </c>
      <c r="S19" s="2">
        <v>6</v>
      </c>
      <c r="T19" s="53">
        <v>128.22829999999999</v>
      </c>
      <c r="U19" s="53">
        <f t="shared" si="2"/>
        <v>2.137138333333333E-2</v>
      </c>
      <c r="V19" s="2" t="str" cm="1">
        <f t="array" aca="1" ref="V19" ca="1">TRIM(SUBSTITUTE(_xlfn.ARRAYTOTEXT(IFERROR(CONCATENATE(SUMIF(INDIRECT("'"&amp;Assemblies[Assy]&amp;"'!"&amp;"C$5:C1000"), $B19, INDIRECT("'"&amp;Assemblies[Assy]&amp;"'!"&amp;"O$5:O1000")), "x",Assemblies[Assy],".",IF(SUMIF(INDIRECT("'"&amp;Assemblies[Assy]&amp;"'!"&amp;"C$5:C1000"), $B19, INDIRECT("'"&amp;Assemblies[Assy]&amp;"'!"&amp;"A$5:A1000"))=0,NA(),SUMIF(INDIRECT("'"&amp;Assemblies[Assy]&amp;"'!"&amp;"C$5:C1000"), $B19, INDIRECT("'"&amp;Assemblies[Assy]&amp;"'!"&amp;"A$5:A1000")))),"")), " ,", ""))</f>
        <v>,</v>
      </c>
      <c r="W19" s="161" t="s">
        <v>1897</v>
      </c>
      <c r="X19" s="2" t="s">
        <v>1382</v>
      </c>
    </row>
    <row r="20" spans="1:24" ht="12.75">
      <c r="A20" s="166">
        <v>880</v>
      </c>
      <c r="B20" s="2" t="s">
        <v>382</v>
      </c>
      <c r="C20" s="121" t="s">
        <v>3352</v>
      </c>
      <c r="D20" s="5" t="e" cm="1">
        <f t="array" aca="1" ref="D20" ca="1">SUMPRODUCT(SUMIF(INDIRECT("'"&amp;Assemblies[Assy]&amp;"'!"&amp;"C$5:C1000"),$B20,(INDIRECT("'"&amp;Assemblies[Assy]&amp;"'!"&amp;"O$5:O1000"))))</f>
        <v>#VALUE!</v>
      </c>
      <c r="E20" s="5">
        <v>4</v>
      </c>
      <c r="F20" s="52">
        <f t="shared" si="0"/>
        <v>35.056817333333328</v>
      </c>
      <c r="G20" s="2" t="s">
        <v>3351</v>
      </c>
      <c r="H20" s="2" t="s">
        <v>1812</v>
      </c>
      <c r="I20" s="2" t="s">
        <v>1382</v>
      </c>
      <c r="J20" s="116" t="s">
        <v>1762</v>
      </c>
      <c r="K20" s="116">
        <v>44894</v>
      </c>
      <c r="L20" s="116">
        <v>44970</v>
      </c>
      <c r="M20" s="116">
        <v>44970</v>
      </c>
      <c r="N20" s="2">
        <v>54598</v>
      </c>
      <c r="O20" s="7">
        <f t="shared" si="1"/>
        <v>18.806817333333331</v>
      </c>
      <c r="P20" s="7">
        <v>0</v>
      </c>
      <c r="Q20" s="7">
        <v>0</v>
      </c>
      <c r="R20" s="52">
        <v>0.25</v>
      </c>
      <c r="S20" s="2">
        <v>6</v>
      </c>
      <c r="T20" s="53">
        <v>128.22829999999999</v>
      </c>
      <c r="U20" s="53">
        <f t="shared" si="2"/>
        <v>2.137138333333333E-2</v>
      </c>
      <c r="V20" s="2" t="str" cm="1">
        <f t="array" aca="1" ref="V20" ca="1">TRIM(SUBSTITUTE(_xlfn.ARRAYTOTEXT(IFERROR(CONCATENATE(SUMIF(INDIRECT("'"&amp;Assemblies[Assy]&amp;"'!"&amp;"C$5:C1000"), $B20, INDIRECT("'"&amp;Assemblies[Assy]&amp;"'!"&amp;"O$5:O1000")), "x",Assemblies[Assy],".",IF(SUMIF(INDIRECT("'"&amp;Assemblies[Assy]&amp;"'!"&amp;"C$5:C1000"), $B20, INDIRECT("'"&amp;Assemblies[Assy]&amp;"'!"&amp;"A$5:A1000"))=0,NA(),SUMIF(INDIRECT("'"&amp;Assemblies[Assy]&amp;"'!"&amp;"C$5:C1000"), $B20, INDIRECT("'"&amp;Assemblies[Assy]&amp;"'!"&amp;"A$5:A1000")))),"")), " ,", ""))</f>
        <v>,</v>
      </c>
      <c r="W20" s="161" t="s">
        <v>1897</v>
      </c>
      <c r="X20" s="2" t="s">
        <v>1382</v>
      </c>
    </row>
    <row r="21" spans="1:24" ht="12.75">
      <c r="A21" s="166">
        <v>1453</v>
      </c>
      <c r="B21" s="2" t="s">
        <v>917</v>
      </c>
      <c r="C21" s="121" t="s">
        <v>3355</v>
      </c>
      <c r="D21" s="5" t="e" cm="1">
        <f t="array" aca="1" ref="D21" ca="1">SUMPRODUCT(SUMIF(INDIRECT("'"&amp;Assemblies[Assy]&amp;"'!"&amp;"C$5:C1000"),$B21,(INDIRECT("'"&amp;Assemblies[Assy]&amp;"'!"&amp;"O$5:O1000"))))</f>
        <v>#VALUE!</v>
      </c>
      <c r="E21" s="5">
        <v>1</v>
      </c>
      <c r="F21" s="52">
        <f t="shared" si="0"/>
        <v>47.302619983333329</v>
      </c>
      <c r="G21" s="2" t="s">
        <v>3351</v>
      </c>
      <c r="H21" s="2" t="s">
        <v>1812</v>
      </c>
      <c r="I21" s="2" t="s">
        <v>1382</v>
      </c>
      <c r="J21" s="116" t="s">
        <v>1762</v>
      </c>
      <c r="K21" s="116">
        <v>44894</v>
      </c>
      <c r="L21" s="116">
        <v>44970</v>
      </c>
      <c r="M21" s="116">
        <v>44970</v>
      </c>
      <c r="N21" s="2">
        <v>54598</v>
      </c>
      <c r="O21" s="7">
        <f t="shared" si="1"/>
        <v>31.052619983333329</v>
      </c>
      <c r="P21" s="7">
        <v>0</v>
      </c>
      <c r="Q21" s="7">
        <v>0</v>
      </c>
      <c r="R21" s="52">
        <v>0.25</v>
      </c>
      <c r="S21" s="2">
        <v>6</v>
      </c>
      <c r="T21" s="53">
        <v>128.22829999999999</v>
      </c>
      <c r="U21" s="53">
        <f t="shared" si="2"/>
        <v>2.137138333333333E-2</v>
      </c>
      <c r="V21" s="2" t="str" cm="1">
        <f t="array" aca="1" ref="V21" ca="1">TRIM(SUBSTITUTE(_xlfn.ARRAYTOTEXT(IFERROR(CONCATENATE(SUMIF(INDIRECT("'"&amp;Assemblies[Assy]&amp;"'!"&amp;"C$5:C1000"), $B21, INDIRECT("'"&amp;Assemblies[Assy]&amp;"'!"&amp;"O$5:O1000")), "x",Assemblies[Assy],".",IF(SUMIF(INDIRECT("'"&amp;Assemblies[Assy]&amp;"'!"&amp;"C$5:C1000"), $B21, INDIRECT("'"&amp;Assemblies[Assy]&amp;"'!"&amp;"A$5:A1000"))=0,NA(),SUMIF(INDIRECT("'"&amp;Assemblies[Assy]&amp;"'!"&amp;"C$5:C1000"), $B21, INDIRECT("'"&amp;Assemblies[Assy]&amp;"'!"&amp;"A$5:A1000")))),"")), " ,", ""))</f>
        <v>,</v>
      </c>
      <c r="W21" s="161" t="s">
        <v>1897</v>
      </c>
      <c r="X21" s="2"/>
    </row>
    <row r="22" spans="1:24" ht="12.75">
      <c r="A22" s="166">
        <v>108</v>
      </c>
      <c r="B22" s="2" t="s">
        <v>323</v>
      </c>
      <c r="C22" s="121" t="s">
        <v>3356</v>
      </c>
      <c r="D22" s="5" t="e" cm="1">
        <f t="array" aca="1" ref="D22" ca="1">SUMPRODUCT(SUMIF(INDIRECT("'"&amp;Assemblies!$B$2:$B$153&amp;"'!"&amp;"C$5:C1000"),$B22,(INDIRECT("'"&amp;Assemblies!$B$2:$B$153&amp;"'!"&amp;"O$5:O1000"))))</f>
        <v>#VALUE!</v>
      </c>
      <c r="E22" s="5"/>
      <c r="F22" s="52">
        <f t="shared" ref="F22" si="3">O22+P22+Q22+(65*R22)</f>
        <v>18.558109399999999</v>
      </c>
      <c r="G22" s="2" t="s">
        <v>3351</v>
      </c>
      <c r="H22" s="2" t="s">
        <v>1812</v>
      </c>
      <c r="I22" s="2" t="s">
        <v>1382</v>
      </c>
      <c r="J22" s="116" t="s">
        <v>1762</v>
      </c>
      <c r="K22" s="116">
        <v>44894</v>
      </c>
      <c r="L22" s="116">
        <v>44970</v>
      </c>
      <c r="M22" s="116">
        <v>44970</v>
      </c>
      <c r="N22" s="2">
        <v>54598</v>
      </c>
      <c r="O22" s="7">
        <f t="shared" ref="O22" si="4">U22*A22</f>
        <v>2.3081093999999998</v>
      </c>
      <c r="P22" s="7">
        <v>0</v>
      </c>
      <c r="Q22" s="7">
        <v>0</v>
      </c>
      <c r="R22" s="52">
        <v>0.25</v>
      </c>
      <c r="S22" s="2">
        <v>6</v>
      </c>
      <c r="T22" s="53">
        <v>128.22829999999999</v>
      </c>
      <c r="U22" s="53">
        <f t="shared" ref="U22" si="5">T22/(S22*1000)</f>
        <v>2.137138333333333E-2</v>
      </c>
      <c r="V22" s="2" t="str" cm="1">
        <f t="array" aca="1" ref="V22" ca="1">TRIM(SUBSTITUTE(_xlfn.ARRAYTOTEXT(IFERROR(CONCATENATE(SUMIF(INDIRECT("'"&amp;Assemblies[Assy]&amp;"'!"&amp;"C$5:C1000"), $B22, INDIRECT("'"&amp;Assemblies[Assy]&amp;"'!"&amp;"O$5:O1000")), "x",Assemblies[Assy],".",IF(SUMIF(INDIRECT("'"&amp;Assemblies[Assy]&amp;"'!"&amp;"C$5:C1000"), $B22, INDIRECT("'"&amp;Assemblies[Assy]&amp;"'!"&amp;"A$5:A1000"))=0,NA(),SUMIF(INDIRECT("'"&amp;Assemblies[Assy]&amp;"'!"&amp;"C$5:C1000"), $B22, INDIRECT("'"&amp;Assemblies[Assy]&amp;"'!"&amp;"A$5:A1000")))),"")), " ,", ""))</f>
        <v>,</v>
      </c>
      <c r="W22" s="161" t="s">
        <v>1897</v>
      </c>
      <c r="X22" s="2"/>
    </row>
    <row r="23" spans="1:24" ht="12.75">
      <c r="A23" s="166">
        <v>1680</v>
      </c>
      <c r="B23" s="2" t="s">
        <v>643</v>
      </c>
      <c r="C23" s="121" t="s">
        <v>3357</v>
      </c>
      <c r="D23" s="5" t="e" cm="1">
        <f t="array" aca="1" ref="D23" ca="1">SUMPRODUCT(SUMIF(INDIRECT("'"&amp;Assemblies[Assy]&amp;"'!"&amp;"C$5:C1000"),$B23,(INDIRECT("'"&amp;Assemblies[Assy]&amp;"'!"&amp;"O$5:O1000"))))</f>
        <v>#VALUE!</v>
      </c>
      <c r="E23" s="236">
        <v>2</v>
      </c>
      <c r="F23" s="52">
        <f t="shared" si="0"/>
        <v>52.153923999999996</v>
      </c>
      <c r="G23" s="2" t="s">
        <v>3351</v>
      </c>
      <c r="H23" s="2" t="s">
        <v>1812</v>
      </c>
      <c r="I23" s="2" t="s">
        <v>1382</v>
      </c>
      <c r="J23" s="116" t="s">
        <v>1762</v>
      </c>
      <c r="K23" s="116">
        <v>44894</v>
      </c>
      <c r="L23" s="116">
        <v>44970</v>
      </c>
      <c r="M23" s="116">
        <v>44970</v>
      </c>
      <c r="N23" s="2">
        <v>54598</v>
      </c>
      <c r="O23" s="7">
        <f t="shared" si="1"/>
        <v>35.903923999999996</v>
      </c>
      <c r="P23" s="7">
        <v>0</v>
      </c>
      <c r="Q23" s="7">
        <v>0</v>
      </c>
      <c r="R23" s="52">
        <v>0.25</v>
      </c>
      <c r="S23" s="2">
        <v>6</v>
      </c>
      <c r="T23" s="53">
        <v>128.22829999999999</v>
      </c>
      <c r="U23" s="53">
        <f t="shared" si="2"/>
        <v>2.137138333333333E-2</v>
      </c>
      <c r="V23" s="2" t="str" cm="1">
        <f t="array" aca="1" ref="V23" ca="1">TRIM(SUBSTITUTE(_xlfn.ARRAYTOTEXT(IFERROR(CONCATENATE(SUMIF(INDIRECT("'"&amp;Assemblies[Assy]&amp;"'!"&amp;"C$5:C1000"), $B23, INDIRECT("'"&amp;Assemblies[Assy]&amp;"'!"&amp;"O$5:O1000")), "x",Assemblies[Assy],".",IF(SUMIF(INDIRECT("'"&amp;Assemblies[Assy]&amp;"'!"&amp;"C$5:C1000"), $B23, INDIRECT("'"&amp;Assemblies[Assy]&amp;"'!"&amp;"A$5:A1000"))=0,NA(),SUMIF(INDIRECT("'"&amp;Assemblies[Assy]&amp;"'!"&amp;"C$5:C1000"), $B23, INDIRECT("'"&amp;Assemblies[Assy]&amp;"'!"&amp;"A$5:A1000")))),"")), " ,", ""))</f>
        <v>,</v>
      </c>
      <c r="W23" s="161" t="s">
        <v>1897</v>
      </c>
      <c r="X23" s="2" t="s">
        <v>1382</v>
      </c>
    </row>
    <row r="24" spans="1:24" ht="12.75">
      <c r="A24" s="166">
        <v>1730</v>
      </c>
      <c r="B24" s="2" t="s">
        <v>313</v>
      </c>
      <c r="C24" s="121" t="s">
        <v>3356</v>
      </c>
      <c r="D24" s="5" t="e" cm="1">
        <f t="array" aca="1" ref="D24" ca="1">SUMPRODUCT(SUMIF(INDIRECT("'"&amp;Assemblies[Assy]&amp;"'!"&amp;"C$5:C1000"),$B24,(INDIRECT("'"&amp;Assemblies[Assy]&amp;"'!"&amp;"O$5:O1000"))))</f>
        <v>#VALUE!</v>
      </c>
      <c r="E24" s="5">
        <v>1</v>
      </c>
      <c r="F24" s="52">
        <f t="shared" si="0"/>
        <v>53.222493166666659</v>
      </c>
      <c r="G24" s="2" t="s">
        <v>3351</v>
      </c>
      <c r="H24" s="2" t="s">
        <v>1812</v>
      </c>
      <c r="I24" s="2" t="s">
        <v>1382</v>
      </c>
      <c r="J24" s="116" t="s">
        <v>1762</v>
      </c>
      <c r="K24" s="116">
        <v>44894</v>
      </c>
      <c r="L24" s="116">
        <v>44970</v>
      </c>
      <c r="M24" s="116">
        <v>44970</v>
      </c>
      <c r="N24" s="2">
        <v>54598</v>
      </c>
      <c r="O24" s="7">
        <f t="shared" si="1"/>
        <v>36.972493166666659</v>
      </c>
      <c r="P24" s="7">
        <v>0</v>
      </c>
      <c r="Q24" s="7">
        <v>0</v>
      </c>
      <c r="R24" s="52">
        <v>0.25</v>
      </c>
      <c r="S24" s="2">
        <v>6</v>
      </c>
      <c r="T24" s="53">
        <v>128.22829999999999</v>
      </c>
      <c r="U24" s="53">
        <f t="shared" si="2"/>
        <v>2.137138333333333E-2</v>
      </c>
      <c r="V24" s="2" t="str" cm="1">
        <f t="array" aca="1" ref="V24" ca="1">TRIM(SUBSTITUTE(_xlfn.ARRAYTOTEXT(IFERROR(CONCATENATE(SUMIF(INDIRECT("'"&amp;Assemblies[Assy]&amp;"'!"&amp;"C$5:C1000"), $B24, INDIRECT("'"&amp;Assemblies[Assy]&amp;"'!"&amp;"O$5:O1000")), "x",Assemblies[Assy],".",IF(SUMIF(INDIRECT("'"&amp;Assemblies[Assy]&amp;"'!"&amp;"C$5:C1000"), $B24, INDIRECT("'"&amp;Assemblies[Assy]&amp;"'!"&amp;"A$5:A1000"))=0,NA(),SUMIF(INDIRECT("'"&amp;Assemblies[Assy]&amp;"'!"&amp;"C$5:C1000"), $B24, INDIRECT("'"&amp;Assemblies[Assy]&amp;"'!"&amp;"A$5:A1000")))),"")), " ,", ""))</f>
        <v>,</v>
      </c>
      <c r="W24" s="161" t="s">
        <v>1897</v>
      </c>
      <c r="X24" s="2" t="s">
        <v>1382</v>
      </c>
    </row>
    <row r="25" spans="1:24" ht="12.75">
      <c r="A25" s="166">
        <v>1752.06</v>
      </c>
      <c r="B25" s="2" t="s">
        <v>250</v>
      </c>
      <c r="C25" s="121" t="s">
        <v>3358</v>
      </c>
      <c r="D25" s="5" t="e" cm="1">
        <f t="array" aca="1" ref="D25" ca="1">SUMPRODUCT(SUMIF(INDIRECT("'"&amp;Assemblies[Assy]&amp;"'!"&amp;"C$5:C1000"),$B25,(INDIRECT("'"&amp;Assemblies[Assy]&amp;"'!"&amp;"O$5:O1000"))))</f>
        <v>#VALUE!</v>
      </c>
      <c r="E25" s="5">
        <v>1</v>
      </c>
      <c r="F25" s="52">
        <f t="shared" si="0"/>
        <v>53.693945882999991</v>
      </c>
      <c r="G25" s="2" t="s">
        <v>3351</v>
      </c>
      <c r="H25" s="2" t="s">
        <v>1812</v>
      </c>
      <c r="I25" s="2" t="s">
        <v>1382</v>
      </c>
      <c r="J25" s="116" t="s">
        <v>1762</v>
      </c>
      <c r="K25" s="116">
        <v>44894</v>
      </c>
      <c r="L25" s="116">
        <v>44970</v>
      </c>
      <c r="M25" s="116">
        <v>44970</v>
      </c>
      <c r="N25" s="2">
        <v>54598</v>
      </c>
      <c r="O25" s="7">
        <f t="shared" si="1"/>
        <v>37.443945882999991</v>
      </c>
      <c r="P25" s="7">
        <v>0</v>
      </c>
      <c r="Q25" s="7">
        <v>0</v>
      </c>
      <c r="R25" s="52">
        <v>0.25</v>
      </c>
      <c r="S25" s="2">
        <v>6</v>
      </c>
      <c r="T25" s="53">
        <v>128.22829999999999</v>
      </c>
      <c r="U25" s="53">
        <f t="shared" si="2"/>
        <v>2.137138333333333E-2</v>
      </c>
      <c r="V25" s="2" t="str" cm="1">
        <f t="array" aca="1" ref="V25" ca="1">TRIM(SUBSTITUTE(_xlfn.ARRAYTOTEXT(IFERROR(CONCATENATE(SUMIF(INDIRECT("'"&amp;Assemblies[Assy]&amp;"'!"&amp;"C$5:C1000"), $B25, INDIRECT("'"&amp;Assemblies[Assy]&amp;"'!"&amp;"O$5:O1000")), "x",Assemblies[Assy],".",IF(SUMIF(INDIRECT("'"&amp;Assemblies[Assy]&amp;"'!"&amp;"C$5:C1000"), $B25, INDIRECT("'"&amp;Assemblies[Assy]&amp;"'!"&amp;"A$5:A1000"))=0,NA(),SUMIF(INDIRECT("'"&amp;Assemblies[Assy]&amp;"'!"&amp;"C$5:C1000"), $B25, INDIRECT("'"&amp;Assemblies[Assy]&amp;"'!"&amp;"A$5:A1000")))),"")), " ,", ""))</f>
        <v>,</v>
      </c>
      <c r="W25" s="161" t="s">
        <v>1897</v>
      </c>
      <c r="X25" s="2" t="s">
        <v>1382</v>
      </c>
    </row>
    <row r="26" spans="1:24" ht="12.75">
      <c r="A26" s="166">
        <v>2018</v>
      </c>
      <c r="B26" s="2" t="s">
        <v>773</v>
      </c>
      <c r="C26" s="121" t="s">
        <v>3356</v>
      </c>
      <c r="D26" s="5" t="e" cm="1">
        <f t="array" aca="1" ref="D26" ca="1">SUMPRODUCT(SUMIF(INDIRECT("'"&amp;Assemblies[Assy]&amp;"'!"&amp;"C$5:C1000"),$B26,(INDIRECT("'"&amp;Assemblies[Assy]&amp;"'!"&amp;"O$5:O1000"))))</f>
        <v>#VALUE!</v>
      </c>
      <c r="E26" s="5">
        <v>4</v>
      </c>
      <c r="F26" s="52">
        <f t="shared" si="0"/>
        <v>59.377451566666657</v>
      </c>
      <c r="G26" s="2" t="s">
        <v>3351</v>
      </c>
      <c r="H26" s="2" t="s">
        <v>1812</v>
      </c>
      <c r="I26" s="2" t="s">
        <v>1382</v>
      </c>
      <c r="J26" s="116" t="s">
        <v>1762</v>
      </c>
      <c r="K26" s="116">
        <v>44894</v>
      </c>
      <c r="L26" s="116">
        <v>44970</v>
      </c>
      <c r="M26" s="116">
        <v>44970</v>
      </c>
      <c r="N26" s="2">
        <v>54598</v>
      </c>
      <c r="O26" s="7">
        <f t="shared" si="1"/>
        <v>43.127451566666657</v>
      </c>
      <c r="P26" s="7">
        <v>0</v>
      </c>
      <c r="Q26" s="7">
        <v>0</v>
      </c>
      <c r="R26" s="52">
        <v>0.25</v>
      </c>
      <c r="S26" s="2">
        <v>6</v>
      </c>
      <c r="T26" s="53">
        <v>128.22829999999999</v>
      </c>
      <c r="U26" s="53">
        <f t="shared" si="2"/>
        <v>2.137138333333333E-2</v>
      </c>
      <c r="V26" s="2" t="str" cm="1">
        <f t="array" aca="1" ref="V26" ca="1">TRIM(SUBSTITUTE(_xlfn.ARRAYTOTEXT(IFERROR(CONCATENATE(SUMIF(INDIRECT("'"&amp;Assemblies[Assy]&amp;"'!"&amp;"C$5:C1000"), $B26, INDIRECT("'"&amp;Assemblies[Assy]&amp;"'!"&amp;"O$5:O1000")), "x",Assemblies[Assy],".",IF(SUMIF(INDIRECT("'"&amp;Assemblies[Assy]&amp;"'!"&amp;"C$5:C1000"), $B26, INDIRECT("'"&amp;Assemblies[Assy]&amp;"'!"&amp;"A$5:A1000"))=0,NA(),SUMIF(INDIRECT("'"&amp;Assemblies[Assy]&amp;"'!"&amp;"C$5:C1000"), $B26, INDIRECT("'"&amp;Assemblies[Assy]&amp;"'!"&amp;"A$5:A1000")))),"")), " ,", ""))</f>
        <v>,</v>
      </c>
      <c r="W26" s="161" t="s">
        <v>1897</v>
      </c>
      <c r="X26" s="2" t="s">
        <v>1382</v>
      </c>
    </row>
    <row r="27" spans="1:24" ht="12.75">
      <c r="A27" s="166">
        <v>1853</v>
      </c>
      <c r="B27" s="2" t="s">
        <v>774</v>
      </c>
      <c r="C27" s="121" t="s">
        <v>3356</v>
      </c>
      <c r="D27" s="5" t="e" cm="1">
        <f t="array" aca="1" ref="D27" ca="1">SUMPRODUCT(SUMIF(INDIRECT("'"&amp;Assemblies[Assy]&amp;"'!"&amp;"C$5:C1000"),$B27,(INDIRECT("'"&amp;Assemblies[Assy]&amp;"'!"&amp;"O$5:O1000"))))</f>
        <v>#VALUE!</v>
      </c>
      <c r="E27" s="5">
        <v>4</v>
      </c>
      <c r="F27" s="52">
        <f t="shared" ref="F27" si="6">O27+P27+Q27+(65*R27)</f>
        <v>55.85117331666666</v>
      </c>
      <c r="G27" s="2" t="s">
        <v>3351</v>
      </c>
      <c r="H27" s="2" t="s">
        <v>1812</v>
      </c>
      <c r="I27" s="2" t="s">
        <v>1382</v>
      </c>
      <c r="J27" s="116" t="s">
        <v>1762</v>
      </c>
      <c r="K27" s="116">
        <v>44894</v>
      </c>
      <c r="L27" s="116">
        <v>44970</v>
      </c>
      <c r="M27" s="116">
        <v>44970</v>
      </c>
      <c r="N27" s="2">
        <v>54598</v>
      </c>
      <c r="O27" s="7">
        <f t="shared" ref="O27" si="7">U27*A27</f>
        <v>39.60117331666666</v>
      </c>
      <c r="P27" s="7">
        <v>0</v>
      </c>
      <c r="Q27" s="7">
        <v>0</v>
      </c>
      <c r="R27" s="52">
        <v>0.25</v>
      </c>
      <c r="S27" s="2">
        <v>6</v>
      </c>
      <c r="T27" s="53">
        <v>128.22829999999999</v>
      </c>
      <c r="U27" s="53">
        <f t="shared" ref="U27" si="8">T27/(S27*1000)</f>
        <v>2.137138333333333E-2</v>
      </c>
      <c r="V27" s="2" t="str" cm="1">
        <f t="array" aca="1" ref="V27" ca="1">TRIM(SUBSTITUTE(_xlfn.ARRAYTOTEXT(IFERROR(CONCATENATE(SUMIF(INDIRECT("'"&amp;Assemblies[Assy]&amp;"'!"&amp;"C$5:C1000"), $B27, INDIRECT("'"&amp;Assemblies[Assy]&amp;"'!"&amp;"O$5:O1000")), "x",Assemblies[Assy],".",IF(SUMIF(INDIRECT("'"&amp;Assemblies[Assy]&amp;"'!"&amp;"C$5:C1000"), $B27, INDIRECT("'"&amp;Assemblies[Assy]&amp;"'!"&amp;"A$5:A1000"))=0,NA(),SUMIF(INDIRECT("'"&amp;Assemblies[Assy]&amp;"'!"&amp;"C$5:C1000"), $B27, INDIRECT("'"&amp;Assemblies[Assy]&amp;"'!"&amp;"A$5:A1000")))),"")), " ,", ""))</f>
        <v>,</v>
      </c>
      <c r="W27" s="161" t="s">
        <v>1897</v>
      </c>
      <c r="X27" s="2"/>
    </row>
    <row r="28" spans="1:24" ht="12.75">
      <c r="A28" s="166">
        <v>2212.06</v>
      </c>
      <c r="B28" s="2" t="s">
        <v>314</v>
      </c>
      <c r="C28" s="121" t="s">
        <v>3356</v>
      </c>
      <c r="D28" s="5" t="e" cm="1">
        <f t="array" aca="1" ref="D28" ca="1">SUMPRODUCT(SUMIF(INDIRECT("'"&amp;Assemblies[Assy]&amp;"'!"&amp;"C$5:C1000"),$B28,(INDIRECT("'"&amp;Assemblies[Assy]&amp;"'!"&amp;"O$5:O1000"))))</f>
        <v>#VALUE!</v>
      </c>
      <c r="E28" s="5">
        <v>2</v>
      </c>
      <c r="F28" s="52">
        <f t="shared" si="0"/>
        <v>63.524782216333328</v>
      </c>
      <c r="G28" s="2" t="s">
        <v>3351</v>
      </c>
      <c r="H28" s="2" t="s">
        <v>1812</v>
      </c>
      <c r="I28" s="2" t="s">
        <v>1382</v>
      </c>
      <c r="J28" s="116" t="s">
        <v>1762</v>
      </c>
      <c r="K28" s="116">
        <v>44894</v>
      </c>
      <c r="L28" s="116">
        <v>44970</v>
      </c>
      <c r="M28" s="116">
        <v>44970</v>
      </c>
      <c r="N28" s="2">
        <v>54598</v>
      </c>
      <c r="O28" s="7">
        <f t="shared" si="1"/>
        <v>47.274782216333328</v>
      </c>
      <c r="P28" s="7">
        <v>0</v>
      </c>
      <c r="Q28" s="7">
        <v>0</v>
      </c>
      <c r="R28" s="52">
        <v>0.25</v>
      </c>
      <c r="S28" s="2">
        <v>6</v>
      </c>
      <c r="T28" s="53">
        <v>128.22829999999999</v>
      </c>
      <c r="U28" s="53">
        <f t="shared" si="2"/>
        <v>2.137138333333333E-2</v>
      </c>
      <c r="V28" s="2" t="str" cm="1">
        <f t="array" aca="1" ref="V28" ca="1">TRIM(SUBSTITUTE(_xlfn.ARRAYTOTEXT(IFERROR(CONCATENATE(SUMIF(INDIRECT("'"&amp;Assemblies[Assy]&amp;"'!"&amp;"C$5:C1000"), $B28, INDIRECT("'"&amp;Assemblies[Assy]&amp;"'!"&amp;"O$5:O1000")), "x",Assemblies[Assy],".",IF(SUMIF(INDIRECT("'"&amp;Assemblies[Assy]&amp;"'!"&amp;"C$5:C1000"), $B28, INDIRECT("'"&amp;Assemblies[Assy]&amp;"'!"&amp;"A$5:A1000"))=0,NA(),SUMIF(INDIRECT("'"&amp;Assemblies[Assy]&amp;"'!"&amp;"C$5:C1000"), $B28, INDIRECT("'"&amp;Assemblies[Assy]&amp;"'!"&amp;"A$5:A1000")))),"")), " ,", ""))</f>
        <v>,</v>
      </c>
      <c r="W28" s="161" t="s">
        <v>1897</v>
      </c>
      <c r="X28" s="2" t="s">
        <v>1382</v>
      </c>
    </row>
    <row r="29" spans="1:24" ht="12.75">
      <c r="A29" s="166">
        <v>891</v>
      </c>
      <c r="B29" s="2" t="s">
        <v>547</v>
      </c>
      <c r="C29" s="121" t="s">
        <v>3353</v>
      </c>
      <c r="D29" s="5" t="e" cm="1">
        <f t="array" aca="1" ref="D29" ca="1">SUMPRODUCT(SUMIF(INDIRECT("'"&amp;Assemblies[Assy]&amp;"'!"&amp;"C$5:C1000"),$B29,(INDIRECT("'"&amp;Assemblies[Assy]&amp;"'!"&amp;"O$5:O1000"))))</f>
        <v>#VALUE!</v>
      </c>
      <c r="E29" s="5">
        <v>2</v>
      </c>
      <c r="F29" s="52">
        <f t="shared" si="0"/>
        <v>35.291902549999996</v>
      </c>
      <c r="G29" s="2" t="s">
        <v>3351</v>
      </c>
      <c r="H29" s="2" t="s">
        <v>1812</v>
      </c>
      <c r="J29" s="116" t="s">
        <v>1762</v>
      </c>
      <c r="K29" s="116">
        <v>44894</v>
      </c>
      <c r="L29" s="116">
        <v>44970</v>
      </c>
      <c r="M29" s="116">
        <v>44970</v>
      </c>
      <c r="N29" s="2">
        <v>54598</v>
      </c>
      <c r="O29" s="7">
        <f t="shared" si="1"/>
        <v>19.041902549999996</v>
      </c>
      <c r="P29" s="7">
        <v>0</v>
      </c>
      <c r="Q29" s="7">
        <v>0</v>
      </c>
      <c r="R29" s="52">
        <v>0.25</v>
      </c>
      <c r="S29" s="2">
        <v>6</v>
      </c>
      <c r="T29" s="53">
        <v>128.22829999999999</v>
      </c>
      <c r="U29" s="53">
        <f t="shared" si="2"/>
        <v>2.137138333333333E-2</v>
      </c>
      <c r="V29" s="2" t="str" cm="1">
        <f t="array" aca="1" ref="V29" ca="1">TRIM(SUBSTITUTE(_xlfn.ARRAYTOTEXT(IFERROR(CONCATENATE(SUMIF(INDIRECT("'"&amp;Assemblies[Assy]&amp;"'!"&amp;"C$5:C1000"), $B29, INDIRECT("'"&amp;Assemblies[Assy]&amp;"'!"&amp;"O$5:O1000")), "x",Assemblies[Assy],".",IF(SUMIF(INDIRECT("'"&amp;Assemblies[Assy]&amp;"'!"&amp;"C$5:C1000"), $B29, INDIRECT("'"&amp;Assemblies[Assy]&amp;"'!"&amp;"A$5:A1000"))=0,NA(),SUMIF(INDIRECT("'"&amp;Assemblies[Assy]&amp;"'!"&amp;"C$5:C1000"), $B29, INDIRECT("'"&amp;Assemblies[Assy]&amp;"'!"&amp;"A$5:A1000")))),"")), " ,", ""))</f>
        <v>,</v>
      </c>
      <c r="W29" s="161" t="s">
        <v>1897</v>
      </c>
      <c r="X29" s="2" t="s">
        <v>1382</v>
      </c>
    </row>
    <row r="30" spans="1:24" ht="12.75">
      <c r="A30" s="166">
        <v>1539.5</v>
      </c>
      <c r="B30" s="2" t="s">
        <v>1178</v>
      </c>
      <c r="C30" s="121" t="s">
        <v>3359</v>
      </c>
      <c r="D30" s="5" t="e" cm="1">
        <f t="array" aca="1" ref="D30" ca="1">SUMPRODUCT(SUMIF(INDIRECT("'"&amp;Assemblies[Assy]&amp;"'!"&amp;"C$5:C1000"),$B30,(INDIRECT("'"&amp;Assemblies[Assy]&amp;"'!"&amp;"O$5:O1000"))))</f>
        <v>#VALUE!</v>
      </c>
      <c r="E30" s="5">
        <v>1</v>
      </c>
      <c r="F30" s="52">
        <f t="shared" si="0"/>
        <v>49.151244641666665</v>
      </c>
      <c r="G30" s="2" t="s">
        <v>3351</v>
      </c>
      <c r="H30" s="2" t="s">
        <v>1812</v>
      </c>
      <c r="I30" s="2" t="s">
        <v>1382</v>
      </c>
      <c r="J30" s="116" t="s">
        <v>1762</v>
      </c>
      <c r="K30" s="116">
        <v>44894</v>
      </c>
      <c r="L30" s="116">
        <v>44970</v>
      </c>
      <c r="M30" s="116">
        <v>44970</v>
      </c>
      <c r="N30" s="2">
        <v>54598</v>
      </c>
      <c r="O30" s="7">
        <f t="shared" si="1"/>
        <v>32.901244641666665</v>
      </c>
      <c r="P30" s="7">
        <v>0</v>
      </c>
      <c r="Q30" s="7">
        <v>0</v>
      </c>
      <c r="R30" s="52">
        <v>0.25</v>
      </c>
      <c r="S30" s="2">
        <v>6</v>
      </c>
      <c r="T30" s="53">
        <v>128.22829999999999</v>
      </c>
      <c r="U30" s="53">
        <f t="shared" si="2"/>
        <v>2.137138333333333E-2</v>
      </c>
      <c r="V30" s="2" t="str" cm="1">
        <f t="array" aca="1" ref="V30" ca="1">TRIM(SUBSTITUTE(_xlfn.ARRAYTOTEXT(IFERROR(CONCATENATE(SUMIF(INDIRECT("'"&amp;Assemblies[Assy]&amp;"'!"&amp;"C$5:C1000"), $B30, INDIRECT("'"&amp;Assemblies[Assy]&amp;"'!"&amp;"O$5:O1000")), "x",Assemblies[Assy],".",IF(SUMIF(INDIRECT("'"&amp;Assemblies[Assy]&amp;"'!"&amp;"C$5:C1000"), $B30, INDIRECT("'"&amp;Assemblies[Assy]&amp;"'!"&amp;"A$5:A1000"))=0,NA(),SUMIF(INDIRECT("'"&amp;Assemblies[Assy]&amp;"'!"&amp;"C$5:C1000"), $B30, INDIRECT("'"&amp;Assemblies[Assy]&amp;"'!"&amp;"A$5:A1000")))),"")), " ,", ""))</f>
        <v>,</v>
      </c>
      <c r="W30" s="161" t="s">
        <v>1897</v>
      </c>
      <c r="X30" s="2" t="s">
        <v>1382</v>
      </c>
    </row>
    <row r="31" spans="1:24" ht="12.75">
      <c r="A31" s="166">
        <v>290</v>
      </c>
      <c r="B31" s="2" t="s">
        <v>548</v>
      </c>
      <c r="C31" s="121" t="s">
        <v>3353</v>
      </c>
      <c r="D31" s="5" t="e" cm="1">
        <f t="array" aca="1" ref="D31" ca="1">SUMPRODUCT(SUMIF(INDIRECT("'"&amp;Assemblies!$B$2:$B$153&amp;"'!"&amp;"C$5:C1000"),$B31,(INDIRECT("'"&amp;Assemblies!$B$2:$B$153&amp;"'!"&amp;"O$5:O1000"))))</f>
        <v>#VALUE!</v>
      </c>
      <c r="E31" s="5">
        <v>4</v>
      </c>
      <c r="F31" s="52">
        <f>O31+P31+Q31+(65*R31)</f>
        <v>22.447701166666665</v>
      </c>
      <c r="G31" s="2" t="s">
        <v>3351</v>
      </c>
      <c r="H31" s="2" t="s">
        <v>1812</v>
      </c>
      <c r="I31" s="2" t="s">
        <v>1382</v>
      </c>
      <c r="J31" s="116" t="s">
        <v>1762</v>
      </c>
      <c r="K31" s="116">
        <v>44894</v>
      </c>
      <c r="L31" s="116">
        <v>44970</v>
      </c>
      <c r="M31" s="116">
        <v>44970</v>
      </c>
      <c r="N31" s="2">
        <v>54598</v>
      </c>
      <c r="O31" s="7">
        <f t="shared" ref="O31" si="9">U31*A31</f>
        <v>6.1977011666666657</v>
      </c>
      <c r="P31" s="7">
        <v>0</v>
      </c>
      <c r="Q31" s="7">
        <v>0</v>
      </c>
      <c r="R31" s="52">
        <v>0.25</v>
      </c>
      <c r="S31" s="2">
        <v>6</v>
      </c>
      <c r="T31" s="53">
        <v>128.22829999999999</v>
      </c>
      <c r="U31" s="53">
        <f t="shared" ref="U31" si="10">T31/(S31*1000)</f>
        <v>2.137138333333333E-2</v>
      </c>
      <c r="V31" s="2" t="str" cm="1">
        <f t="array" aca="1" ref="V31" ca="1">TRIM(SUBSTITUTE(_xlfn.ARRAYTOTEXT(IFERROR(CONCATENATE(SUMIF(INDIRECT("'"&amp;Assemblies[Assy]&amp;"'!"&amp;"C$5:C1000"), $B31, INDIRECT("'"&amp;Assemblies[Assy]&amp;"'!"&amp;"O$5:O1000")), "x",Assemblies[Assy],".",IF(SUMIF(INDIRECT("'"&amp;Assemblies[Assy]&amp;"'!"&amp;"C$5:C1000"), $B31, INDIRECT("'"&amp;Assemblies[Assy]&amp;"'!"&amp;"A$5:A1000"))=0,NA(),SUMIF(INDIRECT("'"&amp;Assemblies[Assy]&amp;"'!"&amp;"C$5:C1000"), $B31, INDIRECT("'"&amp;Assemblies[Assy]&amp;"'!"&amp;"A$5:A1000")))),"")), " ,", ""))</f>
        <v>,</v>
      </c>
      <c r="W31" s="161" t="s">
        <v>1897</v>
      </c>
      <c r="X31" s="2"/>
    </row>
    <row r="32" spans="1:24" ht="12.75">
      <c r="A32" s="166">
        <v>130</v>
      </c>
      <c r="B32" s="2" t="s">
        <v>806</v>
      </c>
      <c r="C32" s="121" t="s">
        <v>3360</v>
      </c>
      <c r="D32" s="5" t="e" cm="1">
        <f t="array" aca="1" ref="D32" ca="1">SUMPRODUCT(SUMIF(INDIRECT("'"&amp;Assemblies[Assy]&amp;"'!"&amp;"C$5:C1000"),$B32,(INDIRECT("'"&amp;Assemblies[Assy]&amp;"'!"&amp;"O$5:O1000"))))</f>
        <v>#VALUE!</v>
      </c>
      <c r="E32" s="5">
        <v>6</v>
      </c>
      <c r="F32" s="52">
        <f t="shared" si="0"/>
        <v>22.0993435</v>
      </c>
      <c r="G32" s="2" t="s">
        <v>3351</v>
      </c>
      <c r="H32" s="2" t="s">
        <v>1812</v>
      </c>
      <c r="I32" s="2" t="s">
        <v>1382</v>
      </c>
      <c r="J32" s="116" t="s">
        <v>1762</v>
      </c>
      <c r="K32" s="116">
        <v>44894</v>
      </c>
      <c r="L32" s="116">
        <v>44970</v>
      </c>
      <c r="M32" s="116">
        <v>44970</v>
      </c>
      <c r="N32" s="2">
        <v>54598</v>
      </c>
      <c r="O32" s="7">
        <f t="shared" si="1"/>
        <v>5.8493434999999998</v>
      </c>
      <c r="P32" s="7">
        <v>0</v>
      </c>
      <c r="Q32" s="7">
        <v>0</v>
      </c>
      <c r="R32" s="52">
        <v>0.25</v>
      </c>
      <c r="S32" s="2">
        <v>6</v>
      </c>
      <c r="T32" s="53">
        <v>269.96969999999999</v>
      </c>
      <c r="U32" s="53">
        <f t="shared" si="2"/>
        <v>4.4994949999999999E-2</v>
      </c>
      <c r="V32" s="2" t="str" cm="1">
        <f t="array" aca="1" ref="V32" ca="1">TRIM(SUBSTITUTE(_xlfn.ARRAYTOTEXT(IFERROR(CONCATENATE(SUMIF(INDIRECT("'"&amp;Assemblies[Assy]&amp;"'!"&amp;"C$5:C1000"), $B32, INDIRECT("'"&amp;Assemblies[Assy]&amp;"'!"&amp;"O$5:O1000")), "x",Assemblies[Assy],".",IF(SUMIF(INDIRECT("'"&amp;Assemblies[Assy]&amp;"'!"&amp;"C$5:C1000"), $B32, INDIRECT("'"&amp;Assemblies[Assy]&amp;"'!"&amp;"A$5:A1000"))=0,NA(),SUMIF(INDIRECT("'"&amp;Assemblies[Assy]&amp;"'!"&amp;"C$5:C1000"), $B32, INDIRECT("'"&amp;Assemblies[Assy]&amp;"'!"&amp;"A$5:A1000")))),"")), " ,", ""))</f>
        <v>,</v>
      </c>
      <c r="W32" s="161" t="s">
        <v>1897</v>
      </c>
      <c r="X32" s="2" t="s">
        <v>1382</v>
      </c>
    </row>
    <row r="33" spans="1:24" ht="12.75">
      <c r="A33" s="166">
        <v>80</v>
      </c>
      <c r="B33" s="2" t="s">
        <v>915</v>
      </c>
      <c r="C33" s="121" t="s">
        <v>3355</v>
      </c>
      <c r="D33" s="5" t="e" cm="1">
        <f t="array" aca="1" ref="D33" ca="1">SUMPRODUCT(SUMIF(INDIRECT("'"&amp;Assemblies[Assy]&amp;"'!"&amp;"C$5:C1000"),$B33,(INDIRECT("'"&amp;Assemblies[Assy]&amp;"'!"&amp;"O$5:O1000"))))</f>
        <v>#VALUE!</v>
      </c>
      <c r="E33" s="5">
        <v>2</v>
      </c>
      <c r="F33" s="52">
        <f t="shared" si="0"/>
        <v>19.849595999999998</v>
      </c>
      <c r="G33" s="2" t="s">
        <v>3351</v>
      </c>
      <c r="H33" s="2" t="s">
        <v>1812</v>
      </c>
      <c r="J33" s="116" t="s">
        <v>1762</v>
      </c>
      <c r="K33" s="116">
        <v>44894</v>
      </c>
      <c r="L33" s="116">
        <v>44970</v>
      </c>
      <c r="M33" s="116">
        <v>44970</v>
      </c>
      <c r="N33" s="2">
        <v>54598</v>
      </c>
      <c r="O33" s="7">
        <f t="shared" si="1"/>
        <v>3.599596</v>
      </c>
      <c r="P33" s="7">
        <v>0</v>
      </c>
      <c r="Q33" s="7">
        <v>0</v>
      </c>
      <c r="R33" s="52">
        <v>0.25</v>
      </c>
      <c r="S33" s="2">
        <v>6</v>
      </c>
      <c r="T33" s="53">
        <v>269.96969999999999</v>
      </c>
      <c r="U33" s="53">
        <f t="shared" si="2"/>
        <v>4.4994949999999999E-2</v>
      </c>
      <c r="V33" s="2" t="str" cm="1">
        <f t="array" aca="1" ref="V33" ca="1">TRIM(SUBSTITUTE(_xlfn.ARRAYTOTEXT(IFERROR(CONCATENATE(SUMIF(INDIRECT("'"&amp;Assemblies[Assy]&amp;"'!"&amp;"C$5:C1000"), $B33, INDIRECT("'"&amp;Assemblies[Assy]&amp;"'!"&amp;"O$5:O1000")), "x",Assemblies[Assy],".",IF(SUMIF(INDIRECT("'"&amp;Assemblies[Assy]&amp;"'!"&amp;"C$5:C1000"), $B33, INDIRECT("'"&amp;Assemblies[Assy]&amp;"'!"&amp;"A$5:A1000"))=0,NA(),SUMIF(INDIRECT("'"&amp;Assemblies[Assy]&amp;"'!"&amp;"C$5:C1000"), $B33, INDIRECT("'"&amp;Assemblies[Assy]&amp;"'!"&amp;"A$5:A1000")))),"")), " ,", ""))</f>
        <v>,</v>
      </c>
      <c r="W33" s="161" t="s">
        <v>1897</v>
      </c>
      <c r="X33" s="2"/>
    </row>
    <row r="34" spans="1:24" ht="12.75">
      <c r="A34" s="166">
        <v>1094.8499999999999</v>
      </c>
      <c r="B34" s="2" t="s">
        <v>805</v>
      </c>
      <c r="C34" s="121" t="s">
        <v>3360</v>
      </c>
      <c r="D34" s="5" t="e" cm="1">
        <f t="array" aca="1" ref="D34" ca="1">SUMPRODUCT(SUMIF(INDIRECT("'"&amp;Assemblies[Assy]&amp;"'!"&amp;"C$5:C1000"),$B34,(INDIRECT("'"&amp;Assemblies[Assy]&amp;"'!"&amp;"O$5:O1000"))))</f>
        <v>#VALUE!</v>
      </c>
      <c r="E34" s="5">
        <v>2</v>
      </c>
      <c r="F34" s="52">
        <f t="shared" si="0"/>
        <v>65.512721007500005</v>
      </c>
      <c r="G34" s="2" t="s">
        <v>3351</v>
      </c>
      <c r="H34" s="2" t="s">
        <v>1812</v>
      </c>
      <c r="I34" s="2" t="s">
        <v>1382</v>
      </c>
      <c r="J34" s="116" t="s">
        <v>1762</v>
      </c>
      <c r="K34" s="116">
        <v>44894</v>
      </c>
      <c r="L34" s="116">
        <v>44970</v>
      </c>
      <c r="M34" s="116">
        <v>44970</v>
      </c>
      <c r="N34" s="2">
        <v>54598</v>
      </c>
      <c r="O34" s="7">
        <f t="shared" si="1"/>
        <v>49.262721007499998</v>
      </c>
      <c r="P34" s="7">
        <v>0</v>
      </c>
      <c r="Q34" s="7">
        <v>0</v>
      </c>
      <c r="R34" s="52">
        <v>0.25</v>
      </c>
      <c r="S34" s="2">
        <v>6</v>
      </c>
      <c r="T34" s="53">
        <v>269.96969999999999</v>
      </c>
      <c r="U34" s="53">
        <f t="shared" si="2"/>
        <v>4.4994949999999999E-2</v>
      </c>
      <c r="V34" s="2" t="str" cm="1">
        <f t="array" aca="1" ref="V34" ca="1">TRIM(SUBSTITUTE(_xlfn.ARRAYTOTEXT(IFERROR(CONCATENATE(SUMIF(INDIRECT("'"&amp;Assemblies[Assy]&amp;"'!"&amp;"C$5:C1000"), $B34, INDIRECT("'"&amp;Assemblies[Assy]&amp;"'!"&amp;"O$5:O1000")), "x",Assemblies[Assy],".",IF(SUMIF(INDIRECT("'"&amp;Assemblies[Assy]&amp;"'!"&amp;"C$5:C1000"), $B34, INDIRECT("'"&amp;Assemblies[Assy]&amp;"'!"&amp;"A$5:A1000"))=0,NA(),SUMIF(INDIRECT("'"&amp;Assemblies[Assy]&amp;"'!"&amp;"C$5:C1000"), $B34, INDIRECT("'"&amp;Assemblies[Assy]&amp;"'!"&amp;"A$5:A1000")))),"")), " ,", ""))</f>
        <v>,</v>
      </c>
      <c r="W34" s="161" t="s">
        <v>1897</v>
      </c>
      <c r="X34" s="2" t="s">
        <v>1382</v>
      </c>
    </row>
    <row r="35" spans="1:24" ht="12.75">
      <c r="A35" s="166">
        <v>414.5</v>
      </c>
      <c r="B35" s="2" t="s">
        <v>804</v>
      </c>
      <c r="C35" s="121" t="s">
        <v>3360</v>
      </c>
      <c r="D35" s="5" t="e" cm="1">
        <f t="array" aca="1" ref="D35" ca="1">SUMPRODUCT(SUMIF(INDIRECT("'"&amp;Assemblies[Assy]&amp;"'!"&amp;"C$5:C1000"),$B35,(INDIRECT("'"&amp;Assemblies[Assy]&amp;"'!"&amp;"O$5:O1000"))))</f>
        <v>#VALUE!</v>
      </c>
      <c r="E35" s="5">
        <v>2</v>
      </c>
      <c r="F35" s="52">
        <f t="shared" si="0"/>
        <v>34.900406775</v>
      </c>
      <c r="G35" s="2" t="s">
        <v>3351</v>
      </c>
      <c r="H35" s="2" t="s">
        <v>1812</v>
      </c>
      <c r="I35" s="2" t="s">
        <v>1382</v>
      </c>
      <c r="J35" s="116" t="s">
        <v>1762</v>
      </c>
      <c r="K35" s="116">
        <v>44894</v>
      </c>
      <c r="L35" s="116">
        <v>44970</v>
      </c>
      <c r="M35" s="116">
        <v>44970</v>
      </c>
      <c r="N35" s="2">
        <v>54598</v>
      </c>
      <c r="O35" s="7">
        <f t="shared" si="1"/>
        <v>18.650406775</v>
      </c>
      <c r="P35" s="7">
        <v>0</v>
      </c>
      <c r="Q35" s="7">
        <v>0</v>
      </c>
      <c r="R35" s="52">
        <v>0.25</v>
      </c>
      <c r="S35" s="2">
        <v>6</v>
      </c>
      <c r="T35" s="53">
        <v>269.96969999999999</v>
      </c>
      <c r="U35" s="53">
        <f t="shared" si="2"/>
        <v>4.4994949999999999E-2</v>
      </c>
      <c r="V35" s="2" t="str" cm="1">
        <f t="array" aca="1" ref="V35" ca="1">TRIM(SUBSTITUTE(_xlfn.ARRAYTOTEXT(IFERROR(CONCATENATE(SUMIF(INDIRECT("'"&amp;Assemblies[Assy]&amp;"'!"&amp;"C$5:C1000"), $B35, INDIRECT("'"&amp;Assemblies[Assy]&amp;"'!"&amp;"O$5:O1000")), "x",Assemblies[Assy],".",IF(SUMIF(INDIRECT("'"&amp;Assemblies[Assy]&amp;"'!"&amp;"C$5:C1000"), $B35, INDIRECT("'"&amp;Assemblies[Assy]&amp;"'!"&amp;"A$5:A1000"))=0,NA(),SUMIF(INDIRECT("'"&amp;Assemblies[Assy]&amp;"'!"&amp;"C$5:C1000"), $B35, INDIRECT("'"&amp;Assemblies[Assy]&amp;"'!"&amp;"A$5:A1000")))),"")), " ,", ""))</f>
        <v>,</v>
      </c>
      <c r="W35" s="161" t="s">
        <v>1897</v>
      </c>
      <c r="X35" s="2" t="s">
        <v>1382</v>
      </c>
    </row>
    <row r="36" spans="1:24" ht="12.75">
      <c r="A36" s="166">
        <v>1679</v>
      </c>
      <c r="B36" s="2" t="s">
        <v>701</v>
      </c>
      <c r="C36" s="121" t="s">
        <v>3361</v>
      </c>
      <c r="D36" s="5" t="e" cm="1">
        <f t="array" aca="1" ref="D36" ca="1">SUMPRODUCT(SUMIF(INDIRECT("'"&amp;Assemblies[Assy]&amp;"'!"&amp;"C$5:C1000"),$B36,(INDIRECT("'"&amp;Assemblies[Assy]&amp;"'!"&amp;"O$5:O1000"))))</f>
        <v>#VALUE!</v>
      </c>
      <c r="E36" s="5">
        <v>2</v>
      </c>
      <c r="F36" s="52">
        <f t="shared" ref="F36:F69" si="11">O36+P36+Q36+(65*R36)</f>
        <v>91.796521049999996</v>
      </c>
      <c r="G36" s="2" t="s">
        <v>3351</v>
      </c>
      <c r="H36" s="2" t="s">
        <v>1812</v>
      </c>
      <c r="I36" s="2" t="s">
        <v>1382</v>
      </c>
      <c r="J36" s="116" t="s">
        <v>1762</v>
      </c>
      <c r="K36" s="116">
        <v>44894</v>
      </c>
      <c r="L36" s="116">
        <v>44970</v>
      </c>
      <c r="M36" s="116">
        <v>44970</v>
      </c>
      <c r="N36" s="2">
        <v>54598</v>
      </c>
      <c r="O36" s="7">
        <f t="shared" ref="O36:O69" si="12">U36*A36</f>
        <v>75.546521049999996</v>
      </c>
      <c r="P36" s="7">
        <v>0</v>
      </c>
      <c r="Q36" s="7">
        <v>0</v>
      </c>
      <c r="R36" s="52">
        <v>0.25</v>
      </c>
      <c r="S36" s="2">
        <v>6</v>
      </c>
      <c r="T36" s="53">
        <v>269.96969999999999</v>
      </c>
      <c r="U36" s="53">
        <f t="shared" ref="U36:U69" si="13">T36/(S36*1000)</f>
        <v>4.4994949999999999E-2</v>
      </c>
      <c r="V36" s="2" t="str" cm="1">
        <f t="array" aca="1" ref="V36" ca="1">TRIM(SUBSTITUTE(_xlfn.ARRAYTOTEXT(IFERROR(CONCATENATE(SUMIF(INDIRECT("'"&amp;Assemblies[Assy]&amp;"'!"&amp;"C$5:C1000"), $B36, INDIRECT("'"&amp;Assemblies[Assy]&amp;"'!"&amp;"O$5:O1000")), "x",Assemblies[Assy],".",IF(SUMIF(INDIRECT("'"&amp;Assemblies[Assy]&amp;"'!"&amp;"C$5:C1000"), $B36, INDIRECT("'"&amp;Assemblies[Assy]&amp;"'!"&amp;"A$5:A1000"))=0,NA(),SUMIF(INDIRECT("'"&amp;Assemblies[Assy]&amp;"'!"&amp;"C$5:C1000"), $B36, INDIRECT("'"&amp;Assemblies[Assy]&amp;"'!"&amp;"A$5:A1000")))),"")), " ,", ""))</f>
        <v>,</v>
      </c>
      <c r="W36" s="161" t="s">
        <v>1897</v>
      </c>
      <c r="X36" s="2" t="s">
        <v>1382</v>
      </c>
    </row>
    <row r="37" spans="1:24" ht="12.75">
      <c r="A37" s="166">
        <v>1230</v>
      </c>
      <c r="B37" s="2" t="s">
        <v>315</v>
      </c>
      <c r="C37" s="121" t="s">
        <v>3356</v>
      </c>
      <c r="D37" s="5" t="e" cm="1">
        <f t="array" aca="1" ref="D37" ca="1">SUMPRODUCT(SUMIF(INDIRECT("'"&amp;Assemblies[Assy]&amp;"'!"&amp;"C$5:C1000"),$B37,(INDIRECT("'"&amp;Assemblies[Assy]&amp;"'!"&amp;"O$5:O1000"))))</f>
        <v>#VALUE!</v>
      </c>
      <c r="E37" s="5">
        <v>1</v>
      </c>
      <c r="F37" s="52">
        <f t="shared" si="11"/>
        <v>71.593788499999988</v>
      </c>
      <c r="G37" s="2" t="s">
        <v>3351</v>
      </c>
      <c r="H37" s="2" t="s">
        <v>1812</v>
      </c>
      <c r="I37" s="2" t="s">
        <v>1382</v>
      </c>
      <c r="J37" s="116" t="s">
        <v>1762</v>
      </c>
      <c r="K37" s="116">
        <v>44894</v>
      </c>
      <c r="L37" s="116">
        <v>44970</v>
      </c>
      <c r="M37" s="116">
        <v>44970</v>
      </c>
      <c r="N37" s="2">
        <v>54598</v>
      </c>
      <c r="O37" s="7">
        <f t="shared" si="12"/>
        <v>55.343788499999995</v>
      </c>
      <c r="P37" s="7">
        <v>0</v>
      </c>
      <c r="Q37" s="7">
        <v>0</v>
      </c>
      <c r="R37" s="52">
        <v>0.25</v>
      </c>
      <c r="S37" s="2">
        <v>6</v>
      </c>
      <c r="T37" s="53">
        <v>269.96969999999999</v>
      </c>
      <c r="U37" s="53">
        <f t="shared" si="13"/>
        <v>4.4994949999999999E-2</v>
      </c>
      <c r="V37" s="2" t="str" cm="1">
        <f t="array" aca="1" ref="V37" ca="1">TRIM(SUBSTITUTE(_xlfn.ARRAYTOTEXT(IFERROR(CONCATENATE(SUMIF(INDIRECT("'"&amp;Assemblies[Assy]&amp;"'!"&amp;"C$5:C1000"), $B37, INDIRECT("'"&amp;Assemblies[Assy]&amp;"'!"&amp;"O$5:O1000")), "x",Assemblies[Assy],".",IF(SUMIF(INDIRECT("'"&amp;Assemblies[Assy]&amp;"'!"&amp;"C$5:C1000"), $B37, INDIRECT("'"&amp;Assemblies[Assy]&amp;"'!"&amp;"A$5:A1000"))=0,NA(),SUMIF(INDIRECT("'"&amp;Assemblies[Assy]&amp;"'!"&amp;"C$5:C1000"), $B37, INDIRECT("'"&amp;Assemblies[Assy]&amp;"'!"&amp;"A$5:A1000")))),"")), " ,", ""))</f>
        <v>,</v>
      </c>
      <c r="W37" s="161" t="s">
        <v>1897</v>
      </c>
      <c r="X37" s="2" t="s">
        <v>1382</v>
      </c>
    </row>
    <row r="38" spans="1:24" ht="12.75">
      <c r="A38" s="166">
        <v>1294</v>
      </c>
      <c r="B38" s="2" t="s">
        <v>316</v>
      </c>
      <c r="C38" s="121" t="s">
        <v>3356</v>
      </c>
      <c r="D38" s="5" t="e" cm="1">
        <f t="array" aca="1" ref="D38" ca="1">SUMPRODUCT(SUMIF(INDIRECT("'"&amp;Assemblies[Assy]&amp;"'!"&amp;"C$5:C1000"),$B38,(INDIRECT("'"&amp;Assemblies[Assy]&amp;"'!"&amp;"O$5:O1000"))))</f>
        <v>#VALUE!</v>
      </c>
      <c r="E38" s="5">
        <v>2</v>
      </c>
      <c r="F38" s="52">
        <f t="shared" si="11"/>
        <v>74.473465300000001</v>
      </c>
      <c r="G38" s="2" t="s">
        <v>3351</v>
      </c>
      <c r="H38" s="2" t="s">
        <v>1812</v>
      </c>
      <c r="I38" s="2" t="s">
        <v>1382</v>
      </c>
      <c r="J38" s="116" t="s">
        <v>1762</v>
      </c>
      <c r="K38" s="116">
        <v>44894</v>
      </c>
      <c r="L38" s="116">
        <v>44970</v>
      </c>
      <c r="M38" s="116">
        <v>44970</v>
      </c>
      <c r="N38" s="2">
        <v>54598</v>
      </c>
      <c r="O38" s="7">
        <f t="shared" si="12"/>
        <v>58.223465300000001</v>
      </c>
      <c r="P38" s="7">
        <v>0</v>
      </c>
      <c r="Q38" s="7">
        <v>0</v>
      </c>
      <c r="R38" s="52">
        <v>0.25</v>
      </c>
      <c r="S38" s="2">
        <v>6</v>
      </c>
      <c r="T38" s="53">
        <v>269.96969999999999</v>
      </c>
      <c r="U38" s="53">
        <f t="shared" si="13"/>
        <v>4.4994949999999999E-2</v>
      </c>
      <c r="V38" s="2" t="str" cm="1">
        <f t="array" aca="1" ref="V38" ca="1">TRIM(SUBSTITUTE(_xlfn.ARRAYTOTEXT(IFERROR(CONCATENATE(SUMIF(INDIRECT("'"&amp;Assemblies[Assy]&amp;"'!"&amp;"C$5:C1000"), $B38, INDIRECT("'"&amp;Assemblies[Assy]&amp;"'!"&amp;"O$5:O1000")), "x",Assemblies[Assy],".",IF(SUMIF(INDIRECT("'"&amp;Assemblies[Assy]&amp;"'!"&amp;"C$5:C1000"), $B38, INDIRECT("'"&amp;Assemblies[Assy]&amp;"'!"&amp;"A$5:A1000"))=0,NA(),SUMIF(INDIRECT("'"&amp;Assemblies[Assy]&amp;"'!"&amp;"C$5:C1000"), $B38, INDIRECT("'"&amp;Assemblies[Assy]&amp;"'!"&amp;"A$5:A1000")))),"")), " ,", ""))</f>
        <v>,</v>
      </c>
      <c r="W38" s="161" t="s">
        <v>1897</v>
      </c>
      <c r="X38" s="2" t="s">
        <v>1382</v>
      </c>
    </row>
    <row r="39" spans="1:24" ht="12.75">
      <c r="A39" s="166">
        <v>1680</v>
      </c>
      <c r="B39" s="2" t="s">
        <v>575</v>
      </c>
      <c r="C39" s="121" t="s">
        <v>3361</v>
      </c>
      <c r="D39" s="5" t="e" cm="1">
        <f t="array" aca="1" ref="D39" ca="1">SUMPRODUCT(SUMIF(INDIRECT("'"&amp;Assemblies[Assy]&amp;"'!"&amp;"C$5:C1000"),$B39,(INDIRECT("'"&amp;Assemblies[Assy]&amp;"'!"&amp;"O$5:O1000"))))</f>
        <v>#VALUE!</v>
      </c>
      <c r="E39" s="5">
        <v>7</v>
      </c>
      <c r="F39" s="52">
        <f t="shared" si="11"/>
        <v>91.841515999999999</v>
      </c>
      <c r="G39" s="2" t="s">
        <v>3351</v>
      </c>
      <c r="H39" s="2" t="s">
        <v>1812</v>
      </c>
      <c r="I39" s="2" t="s">
        <v>1382</v>
      </c>
      <c r="J39" s="116" t="s">
        <v>1762</v>
      </c>
      <c r="K39" s="116">
        <v>44894</v>
      </c>
      <c r="L39" s="116">
        <v>44970</v>
      </c>
      <c r="M39" s="116">
        <v>44970</v>
      </c>
      <c r="N39" s="2">
        <v>54598</v>
      </c>
      <c r="O39" s="7">
        <f t="shared" si="12"/>
        <v>75.591515999999999</v>
      </c>
      <c r="P39" s="7">
        <v>0</v>
      </c>
      <c r="Q39" s="7">
        <v>0</v>
      </c>
      <c r="R39" s="52">
        <v>0.25</v>
      </c>
      <c r="S39" s="2">
        <v>6</v>
      </c>
      <c r="T39" s="53">
        <v>269.96969999999999</v>
      </c>
      <c r="U39" s="53">
        <f t="shared" si="13"/>
        <v>4.4994949999999999E-2</v>
      </c>
      <c r="V39" s="2" t="str" cm="1">
        <f t="array" aca="1" ref="V39" ca="1">TRIM(SUBSTITUTE(_xlfn.ARRAYTOTEXT(IFERROR(CONCATENATE(SUMIF(INDIRECT("'"&amp;Assemblies[Assy]&amp;"'!"&amp;"C$5:C1000"), $B39, INDIRECT("'"&amp;Assemblies[Assy]&amp;"'!"&amp;"O$5:O1000")), "x",Assemblies[Assy],".",IF(SUMIF(INDIRECT("'"&amp;Assemblies[Assy]&amp;"'!"&amp;"C$5:C1000"), $B39, INDIRECT("'"&amp;Assemblies[Assy]&amp;"'!"&amp;"A$5:A1000"))=0,NA(),SUMIF(INDIRECT("'"&amp;Assemblies[Assy]&amp;"'!"&amp;"C$5:C1000"), $B39, INDIRECT("'"&amp;Assemblies[Assy]&amp;"'!"&amp;"A$5:A1000")))),"")), " ,", ""))</f>
        <v>,</v>
      </c>
      <c r="W39" s="161" t="s">
        <v>1897</v>
      </c>
      <c r="X39" s="2" t="s">
        <v>1382</v>
      </c>
    </row>
    <row r="40" spans="1:24" ht="12.75">
      <c r="A40" s="166">
        <v>1679</v>
      </c>
      <c r="B40" s="2" t="s">
        <v>322</v>
      </c>
      <c r="C40" s="121" t="s">
        <v>3356</v>
      </c>
      <c r="D40" s="5" t="e" cm="1">
        <f t="array" aca="1" ref="D40" ca="1">SUMPRODUCT(SUMIF(INDIRECT("'"&amp;Assemblies[Assy]&amp;"'!"&amp;"C$5:C1000"),$B40,(INDIRECT("'"&amp;Assemblies[Assy]&amp;"'!"&amp;"O$5:O1000"))))</f>
        <v>#VALUE!</v>
      </c>
      <c r="E40" s="5">
        <v>2</v>
      </c>
      <c r="F40" s="52">
        <f>O40+P40+Q40+(65*R40)</f>
        <v>91.796521049999996</v>
      </c>
      <c r="G40" s="2" t="s">
        <v>3351</v>
      </c>
      <c r="H40" s="2" t="s">
        <v>1812</v>
      </c>
      <c r="I40" s="2" t="s">
        <v>1382</v>
      </c>
      <c r="J40" s="116" t="s">
        <v>1762</v>
      </c>
      <c r="K40" s="116">
        <v>44894</v>
      </c>
      <c r="L40" s="116">
        <v>44970</v>
      </c>
      <c r="M40" s="116">
        <v>44970</v>
      </c>
      <c r="N40" s="2">
        <v>54598</v>
      </c>
      <c r="O40" s="7">
        <f>U40*A40</f>
        <v>75.546521049999996</v>
      </c>
      <c r="P40" s="7">
        <v>0</v>
      </c>
      <c r="Q40" s="7">
        <v>0</v>
      </c>
      <c r="R40" s="52">
        <v>0.25</v>
      </c>
      <c r="S40" s="2">
        <v>6</v>
      </c>
      <c r="T40" s="53">
        <v>269.96969999999999</v>
      </c>
      <c r="U40" s="53">
        <f>T40/(S40*1000)</f>
        <v>4.4994949999999999E-2</v>
      </c>
      <c r="V40" s="2" t="str" cm="1">
        <f t="array" aca="1" ref="V40" ca="1">TRIM(SUBSTITUTE(_xlfn.ARRAYTOTEXT(IFERROR(CONCATENATE(SUMIF(INDIRECT("'"&amp;Assemblies[Assy]&amp;"'!"&amp;"C$5:C1000"), $B40, INDIRECT("'"&amp;Assemblies[Assy]&amp;"'!"&amp;"O$5:O1000")), "x",Assemblies[Assy],".",IF(SUMIF(INDIRECT("'"&amp;Assemblies[Assy]&amp;"'!"&amp;"C$5:C1000"), $B40, INDIRECT("'"&amp;Assemblies[Assy]&amp;"'!"&amp;"A$5:A1000"))=0,NA(),SUMIF(INDIRECT("'"&amp;Assemblies[Assy]&amp;"'!"&amp;"C$5:C1000"), $B40, INDIRECT("'"&amp;Assemblies[Assy]&amp;"'!"&amp;"A$5:A1000")))),"")), " ,", ""))</f>
        <v>,</v>
      </c>
      <c r="W40" s="161" t="s">
        <v>1897</v>
      </c>
      <c r="X40" s="2"/>
    </row>
    <row r="41" spans="1:24" ht="12.75">
      <c r="A41" s="166">
        <v>2212.06</v>
      </c>
      <c r="B41" s="2" t="s">
        <v>320</v>
      </c>
      <c r="C41" s="121" t="s">
        <v>3356</v>
      </c>
      <c r="D41" s="5" t="e" cm="1">
        <f t="array" aca="1" ref="D41" ca="1">SUMPRODUCT(SUMIF(INDIRECT("'"&amp;Assemblies[Assy]&amp;"'!"&amp;"C$5:C1000"),$B41,(INDIRECT("'"&amp;Assemblies[Assy]&amp;"'!"&amp;"O$5:O1000"))))</f>
        <v>#VALUE!</v>
      </c>
      <c r="E41" s="5">
        <v>1</v>
      </c>
      <c r="F41" s="52">
        <f t="shared" si="11"/>
        <v>115.78152909699999</v>
      </c>
      <c r="G41" s="2" t="s">
        <v>3351</v>
      </c>
      <c r="H41" s="2" t="s">
        <v>1812</v>
      </c>
      <c r="I41" s="2" t="s">
        <v>1382</v>
      </c>
      <c r="J41" s="116" t="s">
        <v>1762</v>
      </c>
      <c r="K41" s="116">
        <v>44894</v>
      </c>
      <c r="L41" s="116">
        <v>44970</v>
      </c>
      <c r="M41" s="116">
        <v>44970</v>
      </c>
      <c r="N41" s="2">
        <v>54598</v>
      </c>
      <c r="O41" s="7">
        <f t="shared" si="12"/>
        <v>99.531529096999989</v>
      </c>
      <c r="P41" s="7">
        <v>0</v>
      </c>
      <c r="Q41" s="7">
        <v>0</v>
      </c>
      <c r="R41" s="52">
        <v>0.25</v>
      </c>
      <c r="S41" s="2">
        <v>6</v>
      </c>
      <c r="T41" s="53">
        <v>269.96969999999999</v>
      </c>
      <c r="U41" s="53">
        <f t="shared" si="13"/>
        <v>4.4994949999999999E-2</v>
      </c>
      <c r="V41" s="2" t="str" cm="1">
        <f t="array" aca="1" ref="V41" ca="1">TRIM(SUBSTITUTE(_xlfn.ARRAYTOTEXT(IFERROR(CONCATENATE(SUMIF(INDIRECT("'"&amp;Assemblies[Assy]&amp;"'!"&amp;"C$5:C1000"), $B41, INDIRECT("'"&amp;Assemblies[Assy]&amp;"'!"&amp;"O$5:O1000")), "x",Assemblies[Assy],".",IF(SUMIF(INDIRECT("'"&amp;Assemblies[Assy]&amp;"'!"&amp;"C$5:C1000"), $B41, INDIRECT("'"&amp;Assemblies[Assy]&amp;"'!"&amp;"A$5:A1000"))=0,NA(),SUMIF(INDIRECT("'"&amp;Assemblies[Assy]&amp;"'!"&amp;"C$5:C1000"), $B41, INDIRECT("'"&amp;Assemblies[Assy]&amp;"'!"&amp;"A$5:A1000")))),"")), " ,", ""))</f>
        <v>,</v>
      </c>
      <c r="W41" s="161" t="s">
        <v>1897</v>
      </c>
      <c r="X41" s="2" t="s">
        <v>1382</v>
      </c>
    </row>
    <row r="42" spans="1:24" ht="12.75">
      <c r="A42" s="166">
        <v>370</v>
      </c>
      <c r="B42" s="2" t="s">
        <v>249</v>
      </c>
      <c r="C42" s="121" t="s">
        <v>3358</v>
      </c>
      <c r="D42" s="5" t="e" cm="1">
        <f t="array" aca="1" ref="D42" ca="1">SUMPRODUCT(SUMIF(INDIRECT("'"&amp;Assemblies[Assy]&amp;"'!"&amp;"C$5:C1000"),$B42,(INDIRECT("'"&amp;Assemblies[Assy]&amp;"'!"&amp;"O$5:O1000"))))</f>
        <v>#VALUE!</v>
      </c>
      <c r="E42" s="5">
        <v>8</v>
      </c>
      <c r="F42" s="52">
        <f t="shared" si="11"/>
        <v>32.898131499999998</v>
      </c>
      <c r="G42" s="2" t="s">
        <v>3351</v>
      </c>
      <c r="H42" s="2" t="s">
        <v>1812</v>
      </c>
      <c r="I42" s="2" t="s">
        <v>1382</v>
      </c>
      <c r="J42" s="116" t="s">
        <v>1762</v>
      </c>
      <c r="K42" s="116">
        <v>44894</v>
      </c>
      <c r="L42" s="116">
        <v>44970</v>
      </c>
      <c r="M42" s="116">
        <v>44970</v>
      </c>
      <c r="N42" s="2">
        <v>54598</v>
      </c>
      <c r="O42" s="7">
        <f t="shared" si="12"/>
        <v>16.648131499999998</v>
      </c>
      <c r="P42" s="7">
        <v>0</v>
      </c>
      <c r="Q42" s="7">
        <v>0</v>
      </c>
      <c r="R42" s="52">
        <v>0.25</v>
      </c>
      <c r="S42" s="2">
        <v>6</v>
      </c>
      <c r="T42" s="53">
        <v>269.96969999999999</v>
      </c>
      <c r="U42" s="53">
        <f t="shared" si="13"/>
        <v>4.4994949999999999E-2</v>
      </c>
      <c r="V42" s="2" t="str" cm="1">
        <f t="array" aca="1" ref="V42" ca="1">TRIM(SUBSTITUTE(_xlfn.ARRAYTOTEXT(IFERROR(CONCATENATE(SUMIF(INDIRECT("'"&amp;Assemblies[Assy]&amp;"'!"&amp;"C$5:C1000"), $B42, INDIRECT("'"&amp;Assemblies[Assy]&amp;"'!"&amp;"O$5:O1000")), "x",Assemblies[Assy],".",IF(SUMIF(INDIRECT("'"&amp;Assemblies[Assy]&amp;"'!"&amp;"C$5:C1000"), $B42, INDIRECT("'"&amp;Assemblies[Assy]&amp;"'!"&amp;"A$5:A1000"))=0,NA(),SUMIF(INDIRECT("'"&amp;Assemblies[Assy]&amp;"'!"&amp;"C$5:C1000"), $B42, INDIRECT("'"&amp;Assemblies[Assy]&amp;"'!"&amp;"A$5:A1000")))),"")), " ,", ""))</f>
        <v>,</v>
      </c>
      <c r="W42" s="161" t="s">
        <v>1897</v>
      </c>
      <c r="X42" s="2" t="s">
        <v>1382</v>
      </c>
    </row>
    <row r="43" spans="1:24" ht="12.75">
      <c r="A43" s="166">
        <v>400</v>
      </c>
      <c r="B43" s="2" t="s">
        <v>574</v>
      </c>
      <c r="C43" s="121" t="s">
        <v>3361</v>
      </c>
      <c r="D43" s="5" t="e" cm="1">
        <f t="array" aca="1" ref="D43" ca="1">SUMPRODUCT(SUMIF(INDIRECT("'"&amp;Assemblies[Assy]&amp;"'!"&amp;"C$5:C1000"),$B43,(INDIRECT("'"&amp;Assemblies[Assy]&amp;"'!"&amp;"O$5:O1000"))))</f>
        <v>#VALUE!</v>
      </c>
      <c r="E43" s="5">
        <v>8</v>
      </c>
      <c r="F43" s="52">
        <f t="shared" si="11"/>
        <v>34.247979999999998</v>
      </c>
      <c r="G43" s="2" t="s">
        <v>3351</v>
      </c>
      <c r="H43" s="2" t="s">
        <v>1812</v>
      </c>
      <c r="I43" s="2" t="s">
        <v>1382</v>
      </c>
      <c r="J43" s="116" t="s">
        <v>1762</v>
      </c>
      <c r="K43" s="116">
        <v>44894</v>
      </c>
      <c r="L43" s="116">
        <v>44970</v>
      </c>
      <c r="M43" s="116">
        <v>44970</v>
      </c>
      <c r="N43" s="2">
        <v>54598</v>
      </c>
      <c r="O43" s="7">
        <f t="shared" si="12"/>
        <v>17.997979999999998</v>
      </c>
      <c r="P43" s="7">
        <v>0</v>
      </c>
      <c r="Q43" s="7">
        <v>0</v>
      </c>
      <c r="R43" s="52">
        <v>0.25</v>
      </c>
      <c r="S43" s="2">
        <v>6</v>
      </c>
      <c r="T43" s="53">
        <v>269.96969999999999</v>
      </c>
      <c r="U43" s="53">
        <f t="shared" si="13"/>
        <v>4.4994949999999999E-2</v>
      </c>
      <c r="V43" s="2" t="str" cm="1">
        <f t="array" aca="1" ref="V43" ca="1">TRIM(SUBSTITUTE(_xlfn.ARRAYTOTEXT(IFERROR(CONCATENATE(SUMIF(INDIRECT("'"&amp;Assemblies[Assy]&amp;"'!"&amp;"C$5:C1000"), $B43, INDIRECT("'"&amp;Assemblies[Assy]&amp;"'!"&amp;"O$5:O1000")), "x",Assemblies[Assy],".",IF(SUMIF(INDIRECT("'"&amp;Assemblies[Assy]&amp;"'!"&amp;"C$5:C1000"), $B43, INDIRECT("'"&amp;Assemblies[Assy]&amp;"'!"&amp;"A$5:A1000"))=0,NA(),SUMIF(INDIRECT("'"&amp;Assemblies[Assy]&amp;"'!"&amp;"C$5:C1000"), $B43, INDIRECT("'"&amp;Assemblies[Assy]&amp;"'!"&amp;"A$5:A1000")))),"")), " ,", ""))</f>
        <v>,</v>
      </c>
      <c r="W43" s="161" t="s">
        <v>1897</v>
      </c>
      <c r="X43" s="2" t="s">
        <v>1382</v>
      </c>
    </row>
    <row r="44" spans="1:24" ht="12.75">
      <c r="A44" s="166">
        <v>616</v>
      </c>
      <c r="B44" s="2" t="s">
        <v>248</v>
      </c>
      <c r="C44" s="121" t="s">
        <v>3358</v>
      </c>
      <c r="D44" s="5" t="e" cm="1">
        <f t="array" aca="1" ref="D44" ca="1">SUMPRODUCT(SUMIF(INDIRECT("'"&amp;Assemblies[Assy]&amp;"'!"&amp;"C$5:C1000"),$B44,(INDIRECT("'"&amp;Assemblies[Assy]&amp;"'!"&amp;"O$5:O1000"))))</f>
        <v>#VALUE!</v>
      </c>
      <c r="E44" s="5">
        <v>5</v>
      </c>
      <c r="F44" s="52">
        <f t="shared" si="11"/>
        <v>43.966889199999997</v>
      </c>
      <c r="G44" s="2" t="s">
        <v>3351</v>
      </c>
      <c r="H44" s="2" t="s">
        <v>1812</v>
      </c>
      <c r="I44" s="2" t="s">
        <v>1382</v>
      </c>
      <c r="J44" s="116" t="s">
        <v>1762</v>
      </c>
      <c r="K44" s="116">
        <v>44894</v>
      </c>
      <c r="L44" s="116">
        <v>44970</v>
      </c>
      <c r="M44" s="116">
        <v>44970</v>
      </c>
      <c r="N44" s="2">
        <v>54598</v>
      </c>
      <c r="O44" s="7">
        <f t="shared" si="12"/>
        <v>27.716889200000001</v>
      </c>
      <c r="P44" s="7">
        <v>0</v>
      </c>
      <c r="Q44" s="7">
        <v>0</v>
      </c>
      <c r="R44" s="52">
        <v>0.25</v>
      </c>
      <c r="S44" s="2">
        <v>6</v>
      </c>
      <c r="T44" s="53">
        <v>269.96969999999999</v>
      </c>
      <c r="U44" s="53">
        <f t="shared" si="13"/>
        <v>4.4994949999999999E-2</v>
      </c>
      <c r="V44" s="2" t="str" cm="1">
        <f t="array" aca="1" ref="V44" ca="1">TRIM(SUBSTITUTE(_xlfn.ARRAYTOTEXT(IFERROR(CONCATENATE(SUMIF(INDIRECT("'"&amp;Assemblies[Assy]&amp;"'!"&amp;"C$5:C1000"), $B44, INDIRECT("'"&amp;Assemblies[Assy]&amp;"'!"&amp;"O$5:O1000")), "x",Assemblies[Assy],".",IF(SUMIF(INDIRECT("'"&amp;Assemblies[Assy]&amp;"'!"&amp;"C$5:C1000"), $B44, INDIRECT("'"&amp;Assemblies[Assy]&amp;"'!"&amp;"A$5:A1000"))=0,NA(),SUMIF(INDIRECT("'"&amp;Assemblies[Assy]&amp;"'!"&amp;"C$5:C1000"), $B44, INDIRECT("'"&amp;Assemblies[Assy]&amp;"'!"&amp;"A$5:A1000")))),"")), " ,", ""))</f>
        <v>,</v>
      </c>
      <c r="W44" s="161" t="s">
        <v>1897</v>
      </c>
      <c r="X44" s="2" t="s">
        <v>1382</v>
      </c>
    </row>
    <row r="45" spans="1:24" ht="12.75">
      <c r="A45" s="166">
        <v>735</v>
      </c>
      <c r="B45" s="2" t="s">
        <v>582</v>
      </c>
      <c r="C45" s="121" t="s">
        <v>3361</v>
      </c>
      <c r="D45" s="5" t="e" cm="1">
        <f t="array" aca="1" ref="D45" ca="1">SUMPRODUCT(SUMIF(INDIRECT("'"&amp;Assemblies[Assy]&amp;"'!"&amp;"C$5:C1000"),$B45,(INDIRECT("'"&amp;Assemblies[Assy]&amp;"'!"&amp;"O$5:O1000"))))</f>
        <v>#VALUE!</v>
      </c>
      <c r="E45" s="5">
        <v>2</v>
      </c>
      <c r="F45" s="52">
        <f t="shared" si="11"/>
        <v>49.321288250000002</v>
      </c>
      <c r="G45" s="2" t="s">
        <v>3351</v>
      </c>
      <c r="H45" s="2" t="s">
        <v>1812</v>
      </c>
      <c r="I45" s="2" t="s">
        <v>1382</v>
      </c>
      <c r="J45" s="116" t="s">
        <v>1762</v>
      </c>
      <c r="K45" s="116">
        <v>44894</v>
      </c>
      <c r="L45" s="116">
        <v>44970</v>
      </c>
      <c r="M45" s="116">
        <v>44970</v>
      </c>
      <c r="N45" s="2">
        <v>54598</v>
      </c>
      <c r="O45" s="7">
        <f t="shared" si="12"/>
        <v>33.071288250000002</v>
      </c>
      <c r="P45" s="7">
        <v>0</v>
      </c>
      <c r="Q45" s="7">
        <v>0</v>
      </c>
      <c r="R45" s="52">
        <v>0.25</v>
      </c>
      <c r="S45" s="2">
        <v>6</v>
      </c>
      <c r="T45" s="53">
        <v>269.96969999999999</v>
      </c>
      <c r="U45" s="53">
        <f t="shared" si="13"/>
        <v>4.4994949999999999E-2</v>
      </c>
      <c r="V45" s="2" t="str" cm="1">
        <f t="array" aca="1" ref="V45" ca="1">TRIM(SUBSTITUTE(_xlfn.ARRAYTOTEXT(IFERROR(CONCATENATE(SUMIF(INDIRECT("'"&amp;Assemblies[Assy]&amp;"'!"&amp;"C$5:C1000"), $B45, INDIRECT("'"&amp;Assemblies[Assy]&amp;"'!"&amp;"O$5:O1000")), "x",Assemblies[Assy],".",IF(SUMIF(INDIRECT("'"&amp;Assemblies[Assy]&amp;"'!"&amp;"C$5:C1000"), $B45, INDIRECT("'"&amp;Assemblies[Assy]&amp;"'!"&amp;"A$5:A1000"))=0,NA(),SUMIF(INDIRECT("'"&amp;Assemblies[Assy]&amp;"'!"&amp;"C$5:C1000"), $B45, INDIRECT("'"&amp;Assemblies[Assy]&amp;"'!"&amp;"A$5:A1000")))),"")), " ,", ""))</f>
        <v>,</v>
      </c>
      <c r="W45" s="161" t="s">
        <v>1897</v>
      </c>
      <c r="X45" s="2" t="s">
        <v>1382</v>
      </c>
    </row>
    <row r="46" spans="1:24" ht="12.75">
      <c r="A46" s="166">
        <v>801.46</v>
      </c>
      <c r="B46" s="2" t="s">
        <v>318</v>
      </c>
      <c r="C46" s="121" t="s">
        <v>3356</v>
      </c>
      <c r="D46" s="5" t="e" cm="1">
        <f t="array" aca="1" ref="D46" ca="1">SUMPRODUCT(SUMIF(INDIRECT("'"&amp;Assemblies[Assy]&amp;"'!"&amp;"C$5:C1000"),$B46,(INDIRECT("'"&amp;Assemblies[Assy]&amp;"'!"&amp;"O$5:O1000"))))</f>
        <v>#VALUE!</v>
      </c>
      <c r="E46" s="5">
        <v>1</v>
      </c>
      <c r="F46" s="52">
        <f t="shared" si="11"/>
        <v>52.311652627000001</v>
      </c>
      <c r="G46" s="2" t="s">
        <v>3351</v>
      </c>
      <c r="H46" s="2" t="s">
        <v>1812</v>
      </c>
      <c r="I46" s="2" t="s">
        <v>1382</v>
      </c>
      <c r="J46" s="116" t="s">
        <v>1762</v>
      </c>
      <c r="K46" s="116">
        <v>44894</v>
      </c>
      <c r="L46" s="116">
        <v>44970</v>
      </c>
      <c r="M46" s="116">
        <v>44970</v>
      </c>
      <c r="N46" s="2">
        <v>54598</v>
      </c>
      <c r="O46" s="7">
        <f t="shared" si="12"/>
        <v>36.061652627000001</v>
      </c>
      <c r="P46" s="7">
        <v>0</v>
      </c>
      <c r="Q46" s="7">
        <v>0</v>
      </c>
      <c r="R46" s="52">
        <v>0.25</v>
      </c>
      <c r="S46" s="2">
        <v>6</v>
      </c>
      <c r="T46" s="53">
        <v>269.96969999999999</v>
      </c>
      <c r="U46" s="53">
        <f t="shared" si="13"/>
        <v>4.4994949999999999E-2</v>
      </c>
      <c r="V46" s="2" t="str" cm="1">
        <f t="array" aca="1" ref="V46" ca="1">TRIM(SUBSTITUTE(_xlfn.ARRAYTOTEXT(IFERROR(CONCATENATE(SUMIF(INDIRECT("'"&amp;Assemblies[Assy]&amp;"'!"&amp;"C$5:C1000"), $B46, INDIRECT("'"&amp;Assemblies[Assy]&amp;"'!"&amp;"O$5:O1000")), "x",Assemblies[Assy],".",IF(SUMIF(INDIRECT("'"&amp;Assemblies[Assy]&amp;"'!"&amp;"C$5:C1000"), $B46, INDIRECT("'"&amp;Assemblies[Assy]&amp;"'!"&amp;"A$5:A1000"))=0,NA(),SUMIF(INDIRECT("'"&amp;Assemblies[Assy]&amp;"'!"&amp;"C$5:C1000"), $B46, INDIRECT("'"&amp;Assemblies[Assy]&amp;"'!"&amp;"A$5:A1000")))),"")), " ,", ""))</f>
        <v>,</v>
      </c>
      <c r="W46" s="161" t="s">
        <v>1897</v>
      </c>
      <c r="X46" s="2" t="s">
        <v>1382</v>
      </c>
    </row>
    <row r="47" spans="1:24" ht="12.75">
      <c r="A47" s="166">
        <v>1088.45</v>
      </c>
      <c r="B47" s="2" t="s">
        <v>1211</v>
      </c>
      <c r="C47" s="121" t="s">
        <v>3362</v>
      </c>
      <c r="D47" s="5" t="e" cm="1">
        <f t="array" aca="1" ref="D47" ca="1">SUMPRODUCT(SUMIF(INDIRECT("'"&amp;Assemblies[Assy]&amp;"'!"&amp;"C$5:C1000"),$B47,(INDIRECT("'"&amp;Assemblies[Assy]&amp;"'!"&amp;"O$5:O1000"))))</f>
        <v>#VALUE!</v>
      </c>
      <c r="E47" s="5">
        <v>2</v>
      </c>
      <c r="F47" s="52">
        <f t="shared" si="11"/>
        <v>65.406161660833334</v>
      </c>
      <c r="G47" s="2" t="s">
        <v>3351</v>
      </c>
      <c r="H47" s="2" t="s">
        <v>1812</v>
      </c>
      <c r="I47" s="2" t="s">
        <v>1382</v>
      </c>
      <c r="J47" s="116" t="s">
        <v>1762</v>
      </c>
      <c r="K47" s="116">
        <v>44894</v>
      </c>
      <c r="L47" s="116">
        <v>44970</v>
      </c>
      <c r="M47" s="116">
        <v>44970</v>
      </c>
      <c r="N47" s="2">
        <v>54598</v>
      </c>
      <c r="O47" s="7">
        <f t="shared" si="12"/>
        <v>49.156161660833334</v>
      </c>
      <c r="P47" s="7">
        <v>0</v>
      </c>
      <c r="Q47" s="7">
        <v>0</v>
      </c>
      <c r="R47" s="52">
        <v>0.25</v>
      </c>
      <c r="S47" s="2">
        <v>6</v>
      </c>
      <c r="T47" s="53">
        <v>270.96969999999999</v>
      </c>
      <c r="U47" s="53">
        <f t="shared" si="13"/>
        <v>4.5161616666666668E-2</v>
      </c>
      <c r="V47" s="2" t="str" cm="1">
        <f t="array" aca="1" ref="V47" ca="1">TRIM(SUBSTITUTE(_xlfn.ARRAYTOTEXT(IFERROR(CONCATENATE(SUMIF(INDIRECT("'"&amp;Assemblies[Assy]&amp;"'!"&amp;"C$5:C1000"), $B47, INDIRECT("'"&amp;Assemblies[Assy]&amp;"'!"&amp;"O$5:O1000")), "x",Assemblies[Assy],".",IF(SUMIF(INDIRECT("'"&amp;Assemblies[Assy]&amp;"'!"&amp;"C$5:C1000"), $B47, INDIRECT("'"&amp;Assemblies[Assy]&amp;"'!"&amp;"A$5:A1000"))=0,NA(),SUMIF(INDIRECT("'"&amp;Assemblies[Assy]&amp;"'!"&amp;"C$5:C1000"), $B47, INDIRECT("'"&amp;Assemblies[Assy]&amp;"'!"&amp;"A$5:A1000")))),"")), " ,", ""))</f>
        <v>,</v>
      </c>
      <c r="W47" s="161" t="s">
        <v>1897</v>
      </c>
      <c r="X47" s="2" t="s">
        <v>1382</v>
      </c>
    </row>
    <row r="48" spans="1:24" ht="12.75">
      <c r="A48" s="166">
        <v>382.81</v>
      </c>
      <c r="B48" s="2" t="s">
        <v>1210</v>
      </c>
      <c r="C48" s="121" t="s">
        <v>3362</v>
      </c>
      <c r="D48" s="5" t="e" cm="1">
        <f t="array" aca="1" ref="D48" ca="1">SUMPRODUCT(SUMIF(INDIRECT("'"&amp;Assemblies[Assy]&amp;"'!"&amp;"C$5:C1000"),$B48,(INDIRECT("'"&amp;Assemblies[Assy]&amp;"'!"&amp;"O$5:O1000"))))</f>
        <v>#VALUE!</v>
      </c>
      <c r="E48" s="5">
        <v>2</v>
      </c>
      <c r="F48" s="52">
        <f t="shared" si="11"/>
        <v>33.538318476166666</v>
      </c>
      <c r="G48" s="2" t="s">
        <v>3351</v>
      </c>
      <c r="H48" s="2" t="s">
        <v>1812</v>
      </c>
      <c r="I48" s="2" t="s">
        <v>1382</v>
      </c>
      <c r="J48" s="116" t="s">
        <v>1762</v>
      </c>
      <c r="K48" s="116">
        <v>44894</v>
      </c>
      <c r="L48" s="116">
        <v>44970</v>
      </c>
      <c r="M48" s="116">
        <v>44970</v>
      </c>
      <c r="N48" s="2">
        <v>54598</v>
      </c>
      <c r="O48" s="7">
        <f t="shared" si="12"/>
        <v>17.288318476166666</v>
      </c>
      <c r="P48" s="7">
        <v>0</v>
      </c>
      <c r="Q48" s="7">
        <v>0</v>
      </c>
      <c r="R48" s="52">
        <v>0.25</v>
      </c>
      <c r="S48" s="2">
        <v>6</v>
      </c>
      <c r="T48" s="53">
        <v>270.96969999999999</v>
      </c>
      <c r="U48" s="53">
        <f t="shared" si="13"/>
        <v>4.5161616666666668E-2</v>
      </c>
      <c r="V48" s="2" t="str" cm="1">
        <f t="array" aca="1" ref="V48" ca="1">TRIM(SUBSTITUTE(_xlfn.ARRAYTOTEXT(IFERROR(CONCATENATE(SUMIF(INDIRECT("'"&amp;Assemblies[Assy]&amp;"'!"&amp;"C$5:C1000"), $B48, INDIRECT("'"&amp;Assemblies[Assy]&amp;"'!"&amp;"O$5:O1000")), "x",Assemblies[Assy],".",IF(SUMIF(INDIRECT("'"&amp;Assemblies[Assy]&amp;"'!"&amp;"C$5:C1000"), $B48, INDIRECT("'"&amp;Assemblies[Assy]&amp;"'!"&amp;"A$5:A1000"))=0,NA(),SUMIF(INDIRECT("'"&amp;Assemblies[Assy]&amp;"'!"&amp;"C$5:C1000"), $B48, INDIRECT("'"&amp;Assemblies[Assy]&amp;"'!"&amp;"A$5:A1000")))),"")), " ,", ""))</f>
        <v>,</v>
      </c>
      <c r="W48" s="161" t="s">
        <v>1897</v>
      </c>
      <c r="X48" s="2" t="s">
        <v>1382</v>
      </c>
    </row>
    <row r="49" spans="1:24" ht="12.75">
      <c r="A49" s="166">
        <v>1539.51</v>
      </c>
      <c r="B49" s="2" t="s">
        <v>913</v>
      </c>
      <c r="C49" s="121" t="s">
        <v>3350</v>
      </c>
      <c r="D49" s="5" t="e" cm="1">
        <f t="array" aca="1" ref="D49" ca="1">SUMPRODUCT(SUMIF(INDIRECT("'"&amp;Assemblies[Assy]&amp;"'!"&amp;"C$5:C1000"),$B49,(INDIRECT("'"&amp;Assemblies[Assy]&amp;"'!"&amp;"O$5:O1000"))))</f>
        <v>#VALUE!</v>
      </c>
      <c r="E49" s="5">
        <v>6</v>
      </c>
      <c r="F49" s="52">
        <f t="shared" si="11"/>
        <v>85.520175474499993</v>
      </c>
      <c r="G49" s="2" t="s">
        <v>3351</v>
      </c>
      <c r="H49" s="2" t="s">
        <v>1812</v>
      </c>
      <c r="I49" s="2" t="s">
        <v>1382</v>
      </c>
      <c r="J49" s="116" t="s">
        <v>1762</v>
      </c>
      <c r="K49" s="116">
        <v>44894</v>
      </c>
      <c r="L49" s="116">
        <v>44970</v>
      </c>
      <c r="M49" s="116">
        <v>44970</v>
      </c>
      <c r="N49" s="2">
        <v>54598</v>
      </c>
      <c r="O49" s="7">
        <f t="shared" si="12"/>
        <v>69.270175474499993</v>
      </c>
      <c r="P49" s="7">
        <v>0</v>
      </c>
      <c r="Q49" s="7">
        <v>0</v>
      </c>
      <c r="R49" s="52">
        <v>0.25</v>
      </c>
      <c r="S49" s="2">
        <v>6</v>
      </c>
      <c r="T49" s="53">
        <v>269.96969999999999</v>
      </c>
      <c r="U49" s="53">
        <f t="shared" si="13"/>
        <v>4.4994949999999999E-2</v>
      </c>
      <c r="V49" s="2" t="str" cm="1">
        <f t="array" aca="1" ref="V49" ca="1">TRIM(SUBSTITUTE(_xlfn.ARRAYTOTEXT(IFERROR(CONCATENATE(SUMIF(INDIRECT("'"&amp;Assemblies[Assy]&amp;"'!"&amp;"C$5:C1000"), $B49, INDIRECT("'"&amp;Assemblies[Assy]&amp;"'!"&amp;"O$5:O1000")), "x",Assemblies[Assy],".",IF(SUMIF(INDIRECT("'"&amp;Assemblies[Assy]&amp;"'!"&amp;"C$5:C1000"), $B49, INDIRECT("'"&amp;Assemblies[Assy]&amp;"'!"&amp;"A$5:A1000"))=0,NA(),SUMIF(INDIRECT("'"&amp;Assemblies[Assy]&amp;"'!"&amp;"C$5:C1000"), $B49, INDIRECT("'"&amp;Assemblies[Assy]&amp;"'!"&amp;"A$5:A1000")))),"")), " ,", ""))</f>
        <v>,</v>
      </c>
      <c r="W49" s="161" t="s">
        <v>1897</v>
      </c>
      <c r="X49" s="2" t="s">
        <v>1382</v>
      </c>
    </row>
    <row r="50" spans="1:24" ht="12.75">
      <c r="A50" s="166">
        <v>1641</v>
      </c>
      <c r="B50" s="2" t="s">
        <v>483</v>
      </c>
      <c r="C50" s="121" t="s">
        <v>3363</v>
      </c>
      <c r="D50" s="5" t="e" cm="1">
        <f t="array" aca="1" ref="D50" ca="1">SUMPRODUCT(SUMIF(INDIRECT("'"&amp;Assemblies[Assy]&amp;"'!"&amp;"C$5:C1000"),$B50,(INDIRECT("'"&amp;Assemblies[Assy]&amp;"'!"&amp;"O$5:O1000"))))</f>
        <v>#VALUE!</v>
      </c>
      <c r="E50" s="5">
        <v>1</v>
      </c>
      <c r="F50" s="52">
        <f t="shared" si="11"/>
        <v>90.086712949999992</v>
      </c>
      <c r="G50" s="2" t="s">
        <v>3351</v>
      </c>
      <c r="H50" s="2" t="s">
        <v>1812</v>
      </c>
      <c r="I50" s="2" t="s">
        <v>1382</v>
      </c>
      <c r="J50" s="116" t="s">
        <v>1762</v>
      </c>
      <c r="K50" s="116">
        <v>44894</v>
      </c>
      <c r="L50" s="116">
        <v>44970</v>
      </c>
      <c r="M50" s="116">
        <v>44970</v>
      </c>
      <c r="N50" s="2">
        <v>54598</v>
      </c>
      <c r="O50" s="7">
        <f t="shared" si="12"/>
        <v>73.836712949999992</v>
      </c>
      <c r="P50" s="7">
        <v>0</v>
      </c>
      <c r="Q50" s="7">
        <v>0</v>
      </c>
      <c r="R50" s="52">
        <v>0.25</v>
      </c>
      <c r="S50" s="2">
        <v>6</v>
      </c>
      <c r="T50" s="53">
        <v>269.96969999999999</v>
      </c>
      <c r="U50" s="53">
        <f t="shared" si="13"/>
        <v>4.4994949999999999E-2</v>
      </c>
      <c r="V50" s="2" t="str" cm="1">
        <f t="array" aca="1" ref="V50" ca="1">TRIM(SUBSTITUTE(_xlfn.ARRAYTOTEXT(IFERROR(CONCATENATE(SUMIF(INDIRECT("'"&amp;Assemblies[Assy]&amp;"'!"&amp;"C$5:C1000"), $B50, INDIRECT("'"&amp;Assemblies[Assy]&amp;"'!"&amp;"O$5:O1000")), "x",Assemblies[Assy],".",IF(SUMIF(INDIRECT("'"&amp;Assemblies[Assy]&amp;"'!"&amp;"C$5:C1000"), $B50, INDIRECT("'"&amp;Assemblies[Assy]&amp;"'!"&amp;"A$5:A1000"))=0,NA(),SUMIF(INDIRECT("'"&amp;Assemblies[Assy]&amp;"'!"&amp;"C$5:C1000"), $B50, INDIRECT("'"&amp;Assemblies[Assy]&amp;"'!"&amp;"A$5:A1000")))),"")), " ,", ""))</f>
        <v>,</v>
      </c>
      <c r="W50" s="161" t="s">
        <v>1897</v>
      </c>
      <c r="X50" s="2" t="s">
        <v>1382</v>
      </c>
    </row>
    <row r="51" spans="1:24" ht="12.75">
      <c r="A51" s="166">
        <v>1653.5</v>
      </c>
      <c r="B51" s="2" t="s">
        <v>1339</v>
      </c>
      <c r="C51" s="121" t="s">
        <v>3364</v>
      </c>
      <c r="D51" s="5" t="e" cm="1">
        <f t="array" aca="1" ref="D51" ca="1">SUMPRODUCT(SUMIF(INDIRECT("'"&amp;Assemblies[Assy]&amp;"'!"&amp;"C$5:C1000"),$B51,(INDIRECT("'"&amp;Assemblies[Assy]&amp;"'!"&amp;"O$5:O1000"))))</f>
        <v>#VALUE!</v>
      </c>
      <c r="E51" s="5">
        <v>4</v>
      </c>
      <c r="F51" s="52">
        <f t="shared" si="11"/>
        <v>90.649149824999995</v>
      </c>
      <c r="G51" s="2" t="s">
        <v>3351</v>
      </c>
      <c r="H51" s="2" t="s">
        <v>1812</v>
      </c>
      <c r="I51" s="2" t="s">
        <v>1382</v>
      </c>
      <c r="J51" s="116" t="s">
        <v>1762</v>
      </c>
      <c r="K51" s="116">
        <v>44894</v>
      </c>
      <c r="L51" s="116">
        <v>44970</v>
      </c>
      <c r="M51" s="116">
        <v>44970</v>
      </c>
      <c r="N51" s="2">
        <v>54598</v>
      </c>
      <c r="O51" s="7">
        <f t="shared" si="12"/>
        <v>74.399149824999995</v>
      </c>
      <c r="P51" s="7">
        <v>0</v>
      </c>
      <c r="Q51" s="7">
        <v>0</v>
      </c>
      <c r="R51" s="52">
        <v>0.25</v>
      </c>
      <c r="S51" s="2">
        <v>6</v>
      </c>
      <c r="T51" s="53">
        <v>269.96969999999999</v>
      </c>
      <c r="U51" s="53">
        <f t="shared" si="13"/>
        <v>4.4994949999999999E-2</v>
      </c>
      <c r="V51" s="2" t="str" cm="1">
        <f t="array" aca="1" ref="V51" ca="1">TRIM(SUBSTITUTE(_xlfn.ARRAYTOTEXT(IFERROR(CONCATENATE(SUMIF(INDIRECT("'"&amp;Assemblies[Assy]&amp;"'!"&amp;"C$5:C1000"), $B51, INDIRECT("'"&amp;Assemblies[Assy]&amp;"'!"&amp;"O$5:O1000")), "x",Assemblies[Assy],".",IF(SUMIF(INDIRECT("'"&amp;Assemblies[Assy]&amp;"'!"&amp;"C$5:C1000"), $B51, INDIRECT("'"&amp;Assemblies[Assy]&amp;"'!"&amp;"A$5:A1000"))=0,NA(),SUMIF(INDIRECT("'"&amp;Assemblies[Assy]&amp;"'!"&amp;"C$5:C1000"), $B51, INDIRECT("'"&amp;Assemblies[Assy]&amp;"'!"&amp;"A$5:A1000")))),"")), " ,", ""))</f>
        <v>,</v>
      </c>
      <c r="W51" s="161" t="s">
        <v>1897</v>
      </c>
      <c r="X51" s="2" t="s">
        <v>1382</v>
      </c>
    </row>
    <row r="52" spans="1:24" ht="12.75">
      <c r="A52" s="166">
        <v>1730</v>
      </c>
      <c r="B52" s="2" t="s">
        <v>319</v>
      </c>
      <c r="C52" s="121" t="s">
        <v>3356</v>
      </c>
      <c r="D52" s="5" t="e" cm="1">
        <f t="array" aca="1" ref="D52" ca="1">SUMPRODUCT(SUMIF(INDIRECT("'"&amp;Assemblies[Assy]&amp;"'!"&amp;"C$5:C1000"),$B52,(INDIRECT("'"&amp;Assemblies[Assy]&amp;"'!"&amp;"O$5:O1000"))))</f>
        <v>#VALUE!</v>
      </c>
      <c r="E52" s="5">
        <v>1</v>
      </c>
      <c r="F52" s="52">
        <f t="shared" si="11"/>
        <v>94.091263499999997</v>
      </c>
      <c r="G52" s="2" t="s">
        <v>3351</v>
      </c>
      <c r="H52" s="2" t="s">
        <v>1812</v>
      </c>
      <c r="I52" s="2" t="s">
        <v>1382</v>
      </c>
      <c r="J52" s="116" t="s">
        <v>1762</v>
      </c>
      <c r="K52" s="116">
        <v>44894</v>
      </c>
      <c r="L52" s="116">
        <v>44970</v>
      </c>
      <c r="M52" s="116">
        <v>44970</v>
      </c>
      <c r="N52" s="2">
        <v>54598</v>
      </c>
      <c r="O52" s="7">
        <f t="shared" si="12"/>
        <v>77.841263499999997</v>
      </c>
      <c r="P52" s="7">
        <v>0</v>
      </c>
      <c r="Q52" s="7">
        <v>0</v>
      </c>
      <c r="R52" s="52">
        <v>0.25</v>
      </c>
      <c r="S52" s="2">
        <v>6</v>
      </c>
      <c r="T52" s="53">
        <v>269.96969999999999</v>
      </c>
      <c r="U52" s="53">
        <f t="shared" si="13"/>
        <v>4.4994949999999999E-2</v>
      </c>
      <c r="V52" s="2" t="str" cm="1">
        <f t="array" aca="1" ref="V52" ca="1">TRIM(SUBSTITUTE(_xlfn.ARRAYTOTEXT(IFERROR(CONCATENATE(SUMIF(INDIRECT("'"&amp;Assemblies[Assy]&amp;"'!"&amp;"C$5:C1000"), $B52, INDIRECT("'"&amp;Assemblies[Assy]&amp;"'!"&amp;"O$5:O1000")), "x",Assemblies[Assy],".",IF(SUMIF(INDIRECT("'"&amp;Assemblies[Assy]&amp;"'!"&amp;"C$5:C1000"), $B52, INDIRECT("'"&amp;Assemblies[Assy]&amp;"'!"&amp;"A$5:A1000"))=0,NA(),SUMIF(INDIRECT("'"&amp;Assemblies[Assy]&amp;"'!"&amp;"C$5:C1000"), $B52, INDIRECT("'"&amp;Assemblies[Assy]&amp;"'!"&amp;"A$5:A1000")))),"")), " ,", ""))</f>
        <v>,</v>
      </c>
      <c r="W52" s="161" t="s">
        <v>1897</v>
      </c>
      <c r="X52" s="2" t="s">
        <v>1382</v>
      </c>
    </row>
    <row r="53" spans="1:24" ht="12.75">
      <c r="A53" s="166">
        <v>1453.4</v>
      </c>
      <c r="B53" s="2" t="s">
        <v>914</v>
      </c>
      <c r="C53" s="121" t="s">
        <v>3350</v>
      </c>
      <c r="D53" s="5" t="e" cm="1">
        <f t="array" aca="1" ref="D53" ca="1">SUMPRODUCT(SUMIF(INDIRECT("'"&amp;Assemblies[Assy]&amp;"'!"&amp;"C$5:C1000"),$B53,(INDIRECT("'"&amp;Assemblies[Assy]&amp;"'!"&amp;"O$5:O1000"))))</f>
        <v>#VALUE!</v>
      </c>
      <c r="E53" s="5">
        <v>6</v>
      </c>
      <c r="F53" s="52">
        <f t="shared" si="11"/>
        <v>133.54747059333334</v>
      </c>
      <c r="G53" s="2" t="s">
        <v>3351</v>
      </c>
      <c r="H53" s="2" t="s">
        <v>1812</v>
      </c>
      <c r="I53" s="2" t="s">
        <v>1382</v>
      </c>
      <c r="J53" s="116" t="s">
        <v>1762</v>
      </c>
      <c r="K53" s="116">
        <v>44894</v>
      </c>
      <c r="L53" s="116">
        <v>44970</v>
      </c>
      <c r="M53" s="116">
        <v>44970</v>
      </c>
      <c r="N53" s="2">
        <v>54598</v>
      </c>
      <c r="O53" s="7">
        <f t="shared" si="12"/>
        <v>117.29747059333334</v>
      </c>
      <c r="P53" s="7">
        <v>0</v>
      </c>
      <c r="Q53" s="7">
        <v>0</v>
      </c>
      <c r="R53" s="52">
        <v>0.25</v>
      </c>
      <c r="S53" s="2">
        <v>6</v>
      </c>
      <c r="T53" s="53">
        <v>484.23340000000002</v>
      </c>
      <c r="U53" s="53">
        <f t="shared" si="13"/>
        <v>8.0705566666666673E-2</v>
      </c>
      <c r="V53" s="2" t="str" cm="1">
        <f t="array" aca="1" ref="V53" ca="1">TRIM(SUBSTITUTE(_xlfn.ARRAYTOTEXT(IFERROR(CONCATENATE(SUMIF(INDIRECT("'"&amp;Assemblies[Assy]&amp;"'!"&amp;"C$5:C1000"), $B53, INDIRECT("'"&amp;Assemblies[Assy]&amp;"'!"&amp;"O$5:O1000")), "x",Assemblies[Assy],".",IF(SUMIF(INDIRECT("'"&amp;Assemblies[Assy]&amp;"'!"&amp;"C$5:C1000"), $B53, INDIRECT("'"&amp;Assemblies[Assy]&amp;"'!"&amp;"A$5:A1000"))=0,NA(),SUMIF(INDIRECT("'"&amp;Assemblies[Assy]&amp;"'!"&amp;"C$5:C1000"), $B53, INDIRECT("'"&amp;Assemblies[Assy]&amp;"'!"&amp;"A$5:A1000")))),"")), " ,", ""))</f>
        <v>,</v>
      </c>
      <c r="W53" s="161" t="s">
        <v>1897</v>
      </c>
      <c r="X53" s="2" t="s">
        <v>1382</v>
      </c>
    </row>
    <row r="54" spans="1:24" ht="12.75">
      <c r="A54" s="166">
        <v>1679</v>
      </c>
      <c r="B54" s="2" t="s">
        <v>1123</v>
      </c>
      <c r="C54" s="121" t="s">
        <v>3365</v>
      </c>
      <c r="D54" s="5" t="e" cm="1">
        <f t="array" aca="1" ref="D54" ca="1">SUMPRODUCT(SUMIF(INDIRECT("'"&amp;Assemblies[Assy]&amp;"'!"&amp;"C$5:C1000"),$B54,(INDIRECT("'"&amp;Assemblies[Assy]&amp;"'!"&amp;"O$5:O1000"))))</f>
        <v>#VALUE!</v>
      </c>
      <c r="E54" s="5">
        <v>6</v>
      </c>
      <c r="F54" s="52">
        <f t="shared" si="11"/>
        <v>151.75464643333333</v>
      </c>
      <c r="G54" s="2" t="s">
        <v>3351</v>
      </c>
      <c r="H54" s="2" t="s">
        <v>1812</v>
      </c>
      <c r="I54" s="2" t="s">
        <v>3366</v>
      </c>
      <c r="J54" s="116" t="s">
        <v>1762</v>
      </c>
      <c r="K54" s="116">
        <v>44894</v>
      </c>
      <c r="L54" s="116">
        <v>44970</v>
      </c>
      <c r="M54" s="116">
        <v>44970</v>
      </c>
      <c r="N54" s="2">
        <v>54598</v>
      </c>
      <c r="O54" s="7">
        <f t="shared" si="12"/>
        <v>135.50464643333333</v>
      </c>
      <c r="P54" s="7">
        <v>0</v>
      </c>
      <c r="Q54" s="7">
        <v>0</v>
      </c>
      <c r="R54" s="52">
        <v>0.25</v>
      </c>
      <c r="S54" s="2">
        <v>6</v>
      </c>
      <c r="T54" s="53">
        <v>484.23340000000002</v>
      </c>
      <c r="U54" s="53">
        <f t="shared" si="13"/>
        <v>8.0705566666666673E-2</v>
      </c>
      <c r="V54" s="2" t="str" cm="1">
        <f t="array" aca="1" ref="V54" ca="1">TRIM(SUBSTITUTE(_xlfn.ARRAYTOTEXT(IFERROR(CONCATENATE(SUMIF(INDIRECT("'"&amp;Assemblies[Assy]&amp;"'!"&amp;"C$5:C1000"), $B54, INDIRECT("'"&amp;Assemblies[Assy]&amp;"'!"&amp;"O$5:O1000")), "x",Assemblies[Assy],".",IF(SUMIF(INDIRECT("'"&amp;Assemblies[Assy]&amp;"'!"&amp;"C$5:C1000"), $B54, INDIRECT("'"&amp;Assemblies[Assy]&amp;"'!"&amp;"A$5:A1000"))=0,NA(),SUMIF(INDIRECT("'"&amp;Assemblies[Assy]&amp;"'!"&amp;"C$5:C1000"), $B54, INDIRECT("'"&amp;Assemblies[Assy]&amp;"'!"&amp;"A$5:A1000")))),"")), " ,", ""))</f>
        <v>,</v>
      </c>
      <c r="W54" s="161" t="s">
        <v>1897</v>
      </c>
      <c r="X54" s="2" t="s">
        <v>1382</v>
      </c>
    </row>
    <row r="55" spans="1:24" ht="12.75">
      <c r="A55" s="166">
        <v>1926</v>
      </c>
      <c r="B55" s="2" t="s">
        <v>1200</v>
      </c>
      <c r="C55" s="121" t="s">
        <v>3367</v>
      </c>
      <c r="D55" s="5" t="e" cm="1">
        <f t="array" aca="1" ref="D55" ca="1">SUMPRODUCT(SUMIF(INDIRECT("'"&amp;Assemblies[Assy]&amp;"'!"&amp;"C$5:C1000"),$B55,(INDIRECT("'"&amp;Assemblies[Assy]&amp;"'!"&amp;"O$5:O1000"))))</f>
        <v>#VALUE!</v>
      </c>
      <c r="E55" s="5">
        <v>2</v>
      </c>
      <c r="F55" s="52">
        <f t="shared" si="11"/>
        <v>171.6889214</v>
      </c>
      <c r="G55" s="2" t="s">
        <v>3351</v>
      </c>
      <c r="H55" s="2" t="s">
        <v>1812</v>
      </c>
      <c r="I55" s="2" t="s">
        <v>1382</v>
      </c>
      <c r="J55" s="116" t="s">
        <v>1762</v>
      </c>
      <c r="K55" s="116">
        <v>44894</v>
      </c>
      <c r="L55" s="116">
        <v>44970</v>
      </c>
      <c r="M55" s="116">
        <v>44970</v>
      </c>
      <c r="N55" s="2">
        <v>54598</v>
      </c>
      <c r="O55" s="7">
        <f t="shared" si="12"/>
        <v>155.4389214</v>
      </c>
      <c r="P55" s="7">
        <v>0</v>
      </c>
      <c r="Q55" s="7">
        <v>0</v>
      </c>
      <c r="R55" s="52">
        <v>0.25</v>
      </c>
      <c r="S55" s="2">
        <v>6</v>
      </c>
      <c r="T55" s="53">
        <v>484.23340000000002</v>
      </c>
      <c r="U55" s="53">
        <f t="shared" si="13"/>
        <v>8.0705566666666673E-2</v>
      </c>
      <c r="V55" s="2" t="str" cm="1">
        <f t="array" aca="1" ref="V55" ca="1">TRIM(SUBSTITUTE(_xlfn.ARRAYTOTEXT(IFERROR(CONCATENATE(SUMIF(INDIRECT("'"&amp;Assemblies[Assy]&amp;"'!"&amp;"C$5:C1000"), $B55, INDIRECT("'"&amp;Assemblies[Assy]&amp;"'!"&amp;"O$5:O1000")), "x",Assemblies[Assy],".",IF(SUMIF(INDIRECT("'"&amp;Assemblies[Assy]&amp;"'!"&amp;"C$5:C1000"), $B55, INDIRECT("'"&amp;Assemblies[Assy]&amp;"'!"&amp;"A$5:A1000"))=0,NA(),SUMIF(INDIRECT("'"&amp;Assemblies[Assy]&amp;"'!"&amp;"C$5:C1000"), $B55, INDIRECT("'"&amp;Assemblies[Assy]&amp;"'!"&amp;"A$5:A1000")))),"")), " ,", ""))</f>
        <v>,</v>
      </c>
      <c r="W55" s="161" t="s">
        <v>1897</v>
      </c>
      <c r="X55" s="2" t="s">
        <v>1382</v>
      </c>
    </row>
    <row r="56" spans="1:24" ht="12.75">
      <c r="A56" s="166">
        <v>1946</v>
      </c>
      <c r="B56" s="2" t="s">
        <v>581</v>
      </c>
      <c r="C56" s="121" t="s">
        <v>3361</v>
      </c>
      <c r="D56" s="5" t="e" cm="1">
        <f t="array" aca="1" ref="D56" ca="1">SUMPRODUCT(SUMIF(INDIRECT("'"&amp;Assemblies[Assy]&amp;"'!"&amp;"C$5:C1000"),$B56,(INDIRECT("'"&amp;Assemblies[Assy]&amp;"'!"&amp;"O$5:O1000"))))</f>
        <v>#VALUE!</v>
      </c>
      <c r="E56" s="5">
        <v>2</v>
      </c>
      <c r="F56" s="52">
        <f t="shared" si="11"/>
        <v>173.30303273333334</v>
      </c>
      <c r="G56" s="2" t="s">
        <v>3351</v>
      </c>
      <c r="H56" s="2" t="s">
        <v>1812</v>
      </c>
      <c r="I56" s="2" t="s">
        <v>1382</v>
      </c>
      <c r="J56" s="116" t="s">
        <v>1762</v>
      </c>
      <c r="K56" s="116">
        <v>44894</v>
      </c>
      <c r="L56" s="116">
        <v>44970</v>
      </c>
      <c r="M56" s="116">
        <v>44970</v>
      </c>
      <c r="N56" s="2">
        <v>54598</v>
      </c>
      <c r="O56" s="7">
        <f t="shared" si="12"/>
        <v>157.05303273333334</v>
      </c>
      <c r="P56" s="7">
        <v>0</v>
      </c>
      <c r="Q56" s="7">
        <v>0</v>
      </c>
      <c r="R56" s="52">
        <v>0.25</v>
      </c>
      <c r="S56" s="2">
        <v>6</v>
      </c>
      <c r="T56" s="53">
        <v>484.23340000000002</v>
      </c>
      <c r="U56" s="53">
        <f t="shared" si="13"/>
        <v>8.0705566666666673E-2</v>
      </c>
      <c r="V56" s="2" t="str" cm="1">
        <f t="array" aca="1" ref="V56" ca="1">TRIM(SUBSTITUTE(_xlfn.ARRAYTOTEXT(IFERROR(CONCATENATE(SUMIF(INDIRECT("'"&amp;Assemblies[Assy]&amp;"'!"&amp;"C$5:C1000"), $B56, INDIRECT("'"&amp;Assemblies[Assy]&amp;"'!"&amp;"O$5:O1000")), "x",Assemblies[Assy],".",IF(SUMIF(INDIRECT("'"&amp;Assemblies[Assy]&amp;"'!"&amp;"C$5:C1000"), $B56, INDIRECT("'"&amp;Assemblies[Assy]&amp;"'!"&amp;"A$5:A1000"))=0,NA(),SUMIF(INDIRECT("'"&amp;Assemblies[Assy]&amp;"'!"&amp;"C$5:C1000"), $B56, INDIRECT("'"&amp;Assemblies[Assy]&amp;"'!"&amp;"A$5:A1000")))),"")), " ,", ""))</f>
        <v>,</v>
      </c>
      <c r="W56" s="161" t="s">
        <v>1897</v>
      </c>
      <c r="X56" s="2" t="s">
        <v>1382</v>
      </c>
    </row>
    <row r="57" spans="1:24" ht="12.75">
      <c r="A57" s="166">
        <v>2120</v>
      </c>
      <c r="B57" s="2" t="s">
        <v>785</v>
      </c>
      <c r="C57" s="121" t="s">
        <v>3368</v>
      </c>
      <c r="D57" s="5" t="e" cm="1">
        <f t="array" aca="1" ref="D57" ca="1">SUMPRODUCT(SUMIF(INDIRECT("'"&amp;Assemblies[Assy]&amp;"'!"&amp;"C$5:C1000"),$B57,(INDIRECT("'"&amp;Assemblies[Assy]&amp;"'!"&amp;"O$5:O1000"))))</f>
        <v>#VALUE!</v>
      </c>
      <c r="E57" s="5">
        <v>2</v>
      </c>
      <c r="F57" s="52">
        <f t="shared" si="11"/>
        <v>187.34580133333336</v>
      </c>
      <c r="G57" s="2" t="s">
        <v>3351</v>
      </c>
      <c r="H57" s="2" t="s">
        <v>1812</v>
      </c>
      <c r="I57" s="2" t="s">
        <v>1382</v>
      </c>
      <c r="J57" s="116" t="s">
        <v>1762</v>
      </c>
      <c r="K57" s="116">
        <v>44894</v>
      </c>
      <c r="L57" s="116">
        <v>44970</v>
      </c>
      <c r="M57" s="116">
        <v>44970</v>
      </c>
      <c r="N57" s="2">
        <v>54598</v>
      </c>
      <c r="O57" s="7">
        <f t="shared" si="12"/>
        <v>171.09580133333336</v>
      </c>
      <c r="P57" s="7">
        <v>0</v>
      </c>
      <c r="Q57" s="7">
        <v>0</v>
      </c>
      <c r="R57" s="52">
        <v>0.25</v>
      </c>
      <c r="S57" s="2">
        <v>6</v>
      </c>
      <c r="T57" s="53">
        <v>484.23340000000002</v>
      </c>
      <c r="U57" s="53">
        <f t="shared" si="13"/>
        <v>8.0705566666666673E-2</v>
      </c>
      <c r="V57" s="2" t="str" cm="1">
        <f t="array" aca="1" ref="V57" ca="1">TRIM(SUBSTITUTE(_xlfn.ARRAYTOTEXT(IFERROR(CONCATENATE(SUMIF(INDIRECT("'"&amp;Assemblies[Assy]&amp;"'!"&amp;"C$5:C1000"), $B57, INDIRECT("'"&amp;Assemblies[Assy]&amp;"'!"&amp;"O$5:O1000")), "x",Assemblies[Assy],".",IF(SUMIF(INDIRECT("'"&amp;Assemblies[Assy]&amp;"'!"&amp;"C$5:C1000"), $B57, INDIRECT("'"&amp;Assemblies[Assy]&amp;"'!"&amp;"A$5:A1000"))=0,NA(),SUMIF(INDIRECT("'"&amp;Assemblies[Assy]&amp;"'!"&amp;"C$5:C1000"), $B57, INDIRECT("'"&amp;Assemblies[Assy]&amp;"'!"&amp;"A$5:A1000")))),"")), " ,", ""))</f>
        <v>,</v>
      </c>
      <c r="W57" s="161" t="s">
        <v>1897</v>
      </c>
      <c r="X57" s="2" t="s">
        <v>1382</v>
      </c>
    </row>
    <row r="58" spans="1:24" ht="12.75">
      <c r="A58" s="166">
        <v>3282.92</v>
      </c>
      <c r="B58" s="2" t="s">
        <v>252</v>
      </c>
      <c r="C58" s="121" t="s">
        <v>3358</v>
      </c>
      <c r="D58" s="5" t="e" cm="1">
        <f t="array" aca="1" ref="D58" ca="1">SUMPRODUCT(SUMIF(INDIRECT("'"&amp;Assemblies[Assy]&amp;"'!"&amp;"C$5:C1000"),$B58,(INDIRECT("'"&amp;Assemblies[Assy]&amp;"'!"&amp;"O$5:O1000"))))</f>
        <v>#VALUE!</v>
      </c>
      <c r="E58" s="5">
        <v>4</v>
      </c>
      <c r="F58" s="52">
        <f t="shared" si="11"/>
        <v>281.19991892133334</v>
      </c>
      <c r="G58" s="2" t="s">
        <v>3351</v>
      </c>
      <c r="H58" s="2" t="s">
        <v>1812</v>
      </c>
      <c r="I58" s="2" t="s">
        <v>1382</v>
      </c>
      <c r="J58" s="116" t="s">
        <v>1762</v>
      </c>
      <c r="K58" s="116">
        <v>44894</v>
      </c>
      <c r="L58" s="116">
        <v>44970</v>
      </c>
      <c r="M58" s="116">
        <v>44970</v>
      </c>
      <c r="N58" s="2">
        <v>54598</v>
      </c>
      <c r="O58" s="7">
        <f t="shared" si="12"/>
        <v>264.94991892133334</v>
      </c>
      <c r="P58" s="7">
        <v>0</v>
      </c>
      <c r="Q58" s="7">
        <v>0</v>
      </c>
      <c r="R58" s="52">
        <v>0.25</v>
      </c>
      <c r="S58" s="2">
        <v>6</v>
      </c>
      <c r="T58" s="53">
        <v>484.23340000000002</v>
      </c>
      <c r="U58" s="53">
        <f t="shared" si="13"/>
        <v>8.0705566666666673E-2</v>
      </c>
      <c r="V58" s="2" t="str" cm="1">
        <f t="array" aca="1" ref="V58" ca="1">TRIM(SUBSTITUTE(_xlfn.ARRAYTOTEXT(IFERROR(CONCATENATE(SUMIF(INDIRECT("'"&amp;Assemblies[Assy]&amp;"'!"&amp;"C$5:C1000"), $B58, INDIRECT("'"&amp;Assemblies[Assy]&amp;"'!"&amp;"O$5:O1000")), "x",Assemblies[Assy],".",IF(SUMIF(INDIRECT("'"&amp;Assemblies[Assy]&amp;"'!"&amp;"C$5:C1000"), $B58, INDIRECT("'"&amp;Assemblies[Assy]&amp;"'!"&amp;"A$5:A1000"))=0,NA(),SUMIF(INDIRECT("'"&amp;Assemblies[Assy]&amp;"'!"&amp;"C$5:C1000"), $B58, INDIRECT("'"&amp;Assemblies[Assy]&amp;"'!"&amp;"A$5:A1000")))),"")), " ,", ""))</f>
        <v>,</v>
      </c>
      <c r="W58" s="161" t="s">
        <v>1897</v>
      </c>
      <c r="X58" s="2" t="s">
        <v>1382</v>
      </c>
    </row>
    <row r="59" spans="1:24" ht="12.75">
      <c r="A59" s="166">
        <v>3684.4</v>
      </c>
      <c r="B59" s="2" t="s">
        <v>3369</v>
      </c>
      <c r="C59" s="121" t="s">
        <v>3361</v>
      </c>
      <c r="D59" s="5" cm="1">
        <f t="array" aca="1" ref="D59" ca="1">SUMPRODUCT(SUMIF(INDIRECT("'"&amp;Assemblies[Assy]&amp;"'!"&amp;"C$5:C1000"),$B59,(INDIRECT("'"&amp;Assemblies[Assy]&amp;"'!"&amp;"O$5:O1000"))))</f>
        <v>0</v>
      </c>
      <c r="E59" s="5">
        <v>2</v>
      </c>
      <c r="F59" s="52">
        <f t="shared" si="11"/>
        <v>313.60158982666667</v>
      </c>
      <c r="G59" s="2" t="s">
        <v>3351</v>
      </c>
      <c r="H59" s="2" t="s">
        <v>1812</v>
      </c>
      <c r="I59" s="2" t="s">
        <v>1382</v>
      </c>
      <c r="J59" s="116" t="s">
        <v>1762</v>
      </c>
      <c r="K59" s="116">
        <v>44894</v>
      </c>
      <c r="L59" s="116">
        <v>44970</v>
      </c>
      <c r="M59" s="116">
        <v>44970</v>
      </c>
      <c r="N59" s="2">
        <v>54598</v>
      </c>
      <c r="O59" s="7">
        <f t="shared" si="12"/>
        <v>297.35158982666667</v>
      </c>
      <c r="P59" s="7">
        <v>0</v>
      </c>
      <c r="Q59" s="7">
        <v>0</v>
      </c>
      <c r="R59" s="52">
        <v>0.25</v>
      </c>
      <c r="S59" s="2">
        <v>6</v>
      </c>
      <c r="T59" s="53">
        <v>484.23340000000002</v>
      </c>
      <c r="U59" s="53">
        <f t="shared" si="13"/>
        <v>8.0705566666666673E-2</v>
      </c>
      <c r="V59" s="2" t="str" cm="1">
        <f t="array" aca="1" ref="V59" ca="1">TRIM(SUBSTITUTE(_xlfn.ARRAYTOTEXT(IFERROR(CONCATENATE(SUMIF(INDIRECT("'"&amp;Assemblies[Assy]&amp;"'!"&amp;"C$5:C1000"), $B59, INDIRECT("'"&amp;Assemblies[Assy]&amp;"'!"&amp;"O$5:O1000")), "x",Assemblies[Assy],".",IF(SUMIF(INDIRECT("'"&amp;Assemblies[Assy]&amp;"'!"&amp;"C$5:C1000"), $B59, INDIRECT("'"&amp;Assemblies[Assy]&amp;"'!"&amp;"A$5:A1000"))=0,NA(),SUMIF(INDIRECT("'"&amp;Assemblies[Assy]&amp;"'!"&amp;"C$5:C1000"), $B59, INDIRECT("'"&amp;Assemblies[Assy]&amp;"'!"&amp;"A$5:A1000")))),"")), " ,", ""))</f>
        <v>,</v>
      </c>
      <c r="W59" s="161" t="s">
        <v>1897</v>
      </c>
      <c r="X59" s="2" t="s">
        <v>1382</v>
      </c>
    </row>
    <row r="60" spans="1:24" ht="12.75">
      <c r="A60" s="166">
        <v>3936</v>
      </c>
      <c r="B60" s="2" t="s">
        <v>251</v>
      </c>
      <c r="C60" s="121" t="s">
        <v>3358</v>
      </c>
      <c r="D60" s="5" t="e" cm="1">
        <f t="array" aca="1" ref="D60" ca="1">SUMPRODUCT(SUMIF(INDIRECT("'"&amp;Assemblies[Assy]&amp;"'!"&amp;"C$5:C1000"),$B60,(INDIRECT("'"&amp;Assemblies[Assy]&amp;"'!"&amp;"O$5:O1000"))))</f>
        <v>#VALUE!</v>
      </c>
      <c r="E60" s="5">
        <v>4</v>
      </c>
      <c r="F60" s="52">
        <f t="shared" si="11"/>
        <v>333.90711040000002</v>
      </c>
      <c r="G60" s="2" t="s">
        <v>3351</v>
      </c>
      <c r="H60" s="2" t="s">
        <v>1812</v>
      </c>
      <c r="I60" s="2" t="s">
        <v>1382</v>
      </c>
      <c r="J60" s="116" t="s">
        <v>1762</v>
      </c>
      <c r="K60" s="116">
        <v>44894</v>
      </c>
      <c r="L60" s="116">
        <v>44970</v>
      </c>
      <c r="M60" s="116">
        <v>44970</v>
      </c>
      <c r="N60" s="2">
        <v>54598</v>
      </c>
      <c r="O60" s="7">
        <f t="shared" si="12"/>
        <v>317.65711040000002</v>
      </c>
      <c r="P60" s="7">
        <v>0</v>
      </c>
      <c r="Q60" s="7">
        <v>0</v>
      </c>
      <c r="R60" s="52">
        <v>0.25</v>
      </c>
      <c r="S60" s="2">
        <v>6</v>
      </c>
      <c r="T60" s="53">
        <v>484.23340000000002</v>
      </c>
      <c r="U60" s="53">
        <f t="shared" si="13"/>
        <v>8.0705566666666673E-2</v>
      </c>
      <c r="V60" s="2" t="str" cm="1">
        <f t="array" aca="1" ref="V60" ca="1">TRIM(SUBSTITUTE(_xlfn.ARRAYTOTEXT(IFERROR(CONCATENATE(SUMIF(INDIRECT("'"&amp;Assemblies[Assy]&amp;"'!"&amp;"C$5:C1000"), $B60, INDIRECT("'"&amp;Assemblies[Assy]&amp;"'!"&amp;"O$5:O1000")), "x",Assemblies[Assy],".",IF(SUMIF(INDIRECT("'"&amp;Assemblies[Assy]&amp;"'!"&amp;"C$5:C1000"), $B60, INDIRECT("'"&amp;Assemblies[Assy]&amp;"'!"&amp;"A$5:A1000"))=0,NA(),SUMIF(INDIRECT("'"&amp;Assemblies[Assy]&amp;"'!"&amp;"C$5:C1000"), $B60, INDIRECT("'"&amp;Assemblies[Assy]&amp;"'!"&amp;"A$5:A1000")))),"")), " ,", ""))</f>
        <v>,</v>
      </c>
      <c r="W60" s="161" t="s">
        <v>1897</v>
      </c>
      <c r="X60" s="2" t="s">
        <v>1382</v>
      </c>
    </row>
    <row r="61" spans="1:24" ht="12.75">
      <c r="A61" s="166">
        <v>730</v>
      </c>
      <c r="B61" s="2" t="s">
        <v>1365</v>
      </c>
      <c r="C61" s="121" t="s">
        <v>3370</v>
      </c>
      <c r="D61" s="5" t="e" cm="1">
        <f t="array" aca="1" ref="D61" ca="1">SUMPRODUCT(SUMIF(INDIRECT("'"&amp;Assemblies[Assy]&amp;"'!"&amp;"C$5:C1000"),$B61,(INDIRECT("'"&amp;Assemblies[Assy]&amp;"'!"&amp;"O$5:O1000"))))</f>
        <v>#VALUE!</v>
      </c>
      <c r="E61" s="5">
        <v>10</v>
      </c>
      <c r="F61" s="52">
        <f t="shared" si="11"/>
        <v>75.165063666666668</v>
      </c>
      <c r="G61" s="2" t="s">
        <v>3351</v>
      </c>
      <c r="H61" s="2" t="s">
        <v>1812</v>
      </c>
      <c r="I61" s="2" t="s">
        <v>1382</v>
      </c>
      <c r="J61" s="116" t="s">
        <v>1762</v>
      </c>
      <c r="K61" s="116">
        <v>44894</v>
      </c>
      <c r="L61" s="116">
        <v>44970</v>
      </c>
      <c r="M61" s="116">
        <v>44970</v>
      </c>
      <c r="N61" s="2">
        <v>54598</v>
      </c>
      <c r="O61" s="7">
        <f t="shared" si="12"/>
        <v>58.915063666666668</v>
      </c>
      <c r="P61" s="7">
        <v>0</v>
      </c>
      <c r="Q61" s="7">
        <v>0</v>
      </c>
      <c r="R61" s="52">
        <v>0.25</v>
      </c>
      <c r="S61" s="2">
        <v>6</v>
      </c>
      <c r="T61" s="53">
        <v>484.23340000000002</v>
      </c>
      <c r="U61" s="53">
        <f t="shared" si="13"/>
        <v>8.0705566666666673E-2</v>
      </c>
      <c r="V61" s="2" t="str" cm="1">
        <f t="array" aca="1" ref="V61" ca="1">TRIM(SUBSTITUTE(_xlfn.ARRAYTOTEXT(IFERROR(CONCATENATE(SUMIF(INDIRECT("'"&amp;Assemblies[Assy]&amp;"'!"&amp;"C$5:C1000"), $B61, INDIRECT("'"&amp;Assemblies[Assy]&amp;"'!"&amp;"O$5:O1000")), "x",Assemblies[Assy],".",IF(SUMIF(INDIRECT("'"&amp;Assemblies[Assy]&amp;"'!"&amp;"C$5:C1000"), $B61, INDIRECT("'"&amp;Assemblies[Assy]&amp;"'!"&amp;"A$5:A1000"))=0,NA(),SUMIF(INDIRECT("'"&amp;Assemblies[Assy]&amp;"'!"&amp;"C$5:C1000"), $B61, INDIRECT("'"&amp;Assemblies[Assy]&amp;"'!"&amp;"A$5:A1000")))),"")), " ,", ""))</f>
        <v>,</v>
      </c>
      <c r="W61" s="161" t="s">
        <v>1897</v>
      </c>
      <c r="X61" s="2" t="s">
        <v>1382</v>
      </c>
    </row>
    <row r="62" spans="1:24" ht="12.75">
      <c r="A62" s="166">
        <v>380</v>
      </c>
      <c r="B62" s="2" t="s">
        <v>789</v>
      </c>
      <c r="C62" s="121" t="s">
        <v>3368</v>
      </c>
      <c r="D62" s="5" t="e" cm="1">
        <f t="array" aca="1" ref="D62" ca="1">SUMPRODUCT(SUMIF(INDIRECT("'"&amp;Assemblies[Assy]&amp;"'!"&amp;"C$5:C1000"),$B62,(INDIRECT("'"&amp;Assemblies[Assy]&amp;"'!"&amp;"O$5:O1000"))))</f>
        <v>#VALUE!</v>
      </c>
      <c r="E62" s="5">
        <v>2</v>
      </c>
      <c r="F62" s="52">
        <f t="shared" si="11"/>
        <v>46.918115333333333</v>
      </c>
      <c r="G62" s="2" t="s">
        <v>3351</v>
      </c>
      <c r="H62" s="2" t="s">
        <v>1812</v>
      </c>
      <c r="I62" s="2" t="s">
        <v>1382</v>
      </c>
      <c r="J62" s="116" t="s">
        <v>1762</v>
      </c>
      <c r="K62" s="116">
        <v>44894</v>
      </c>
      <c r="L62" s="116">
        <v>44970</v>
      </c>
      <c r="M62" s="116">
        <v>44970</v>
      </c>
      <c r="N62" s="2">
        <v>54598</v>
      </c>
      <c r="O62" s="7">
        <f t="shared" si="12"/>
        <v>30.668115333333336</v>
      </c>
      <c r="P62" s="7">
        <v>0</v>
      </c>
      <c r="Q62" s="7">
        <v>0</v>
      </c>
      <c r="R62" s="52">
        <v>0.25</v>
      </c>
      <c r="S62" s="2">
        <v>6</v>
      </c>
      <c r="T62" s="53">
        <v>484.23340000000002</v>
      </c>
      <c r="U62" s="53">
        <f t="shared" si="13"/>
        <v>8.0705566666666673E-2</v>
      </c>
      <c r="V62" s="2" t="str" cm="1">
        <f t="array" aca="1" ref="V62" ca="1">TRIM(SUBSTITUTE(_xlfn.ARRAYTOTEXT(IFERROR(CONCATENATE(SUMIF(INDIRECT("'"&amp;Assemblies[Assy]&amp;"'!"&amp;"C$5:C1000"), $B62, INDIRECT("'"&amp;Assemblies[Assy]&amp;"'!"&amp;"O$5:O1000")), "x",Assemblies[Assy],".",IF(SUMIF(INDIRECT("'"&amp;Assemblies[Assy]&amp;"'!"&amp;"C$5:C1000"), $B62, INDIRECT("'"&amp;Assemblies[Assy]&amp;"'!"&amp;"A$5:A1000"))=0,NA(),SUMIF(INDIRECT("'"&amp;Assemblies[Assy]&amp;"'!"&amp;"C$5:C1000"), $B62, INDIRECT("'"&amp;Assemblies[Assy]&amp;"'!"&amp;"A$5:A1000")))),"")), " ,", ""))</f>
        <v>,</v>
      </c>
      <c r="W62" s="161" t="s">
        <v>1897</v>
      </c>
      <c r="X62" s="2" t="s">
        <v>1382</v>
      </c>
    </row>
    <row r="63" spans="1:24" ht="12.75">
      <c r="A63" s="166">
        <v>400</v>
      </c>
      <c r="B63" s="2" t="s">
        <v>1204</v>
      </c>
      <c r="C63" s="121" t="s">
        <v>3367</v>
      </c>
      <c r="D63" s="5" t="e" cm="1">
        <f t="array" aca="1" ref="D63" ca="1">SUMPRODUCT(SUMIF(INDIRECT("'"&amp;Assemblies[Assy]&amp;"'!"&amp;"C$5:C1000"),$B63,(INDIRECT("'"&amp;Assemblies[Assy]&amp;"'!"&amp;"O$5:O1000"))))</f>
        <v>#VALUE!</v>
      </c>
      <c r="E63" s="5">
        <v>2</v>
      </c>
      <c r="F63" s="52">
        <f t="shared" si="11"/>
        <v>48.532226666666666</v>
      </c>
      <c r="G63" s="2" t="s">
        <v>3351</v>
      </c>
      <c r="H63" s="2" t="s">
        <v>1812</v>
      </c>
      <c r="I63" s="2" t="s">
        <v>1382</v>
      </c>
      <c r="J63" s="116" t="s">
        <v>1762</v>
      </c>
      <c r="K63" s="116">
        <v>44894</v>
      </c>
      <c r="L63" s="116">
        <v>44970</v>
      </c>
      <c r="M63" s="116">
        <v>44970</v>
      </c>
      <c r="N63" s="2">
        <v>54598</v>
      </c>
      <c r="O63" s="7">
        <f t="shared" si="12"/>
        <v>32.282226666666666</v>
      </c>
      <c r="P63" s="7">
        <v>0</v>
      </c>
      <c r="Q63" s="7">
        <v>0</v>
      </c>
      <c r="R63" s="52">
        <v>0.25</v>
      </c>
      <c r="S63" s="2">
        <v>6</v>
      </c>
      <c r="T63" s="53">
        <v>484.23340000000002</v>
      </c>
      <c r="U63" s="53">
        <f t="shared" si="13"/>
        <v>8.0705566666666673E-2</v>
      </c>
      <c r="V63" s="2" t="str" cm="1">
        <f t="array" aca="1" ref="V63" ca="1">TRIM(SUBSTITUTE(_xlfn.ARRAYTOTEXT(IFERROR(CONCATENATE(SUMIF(INDIRECT("'"&amp;Assemblies[Assy]&amp;"'!"&amp;"C$5:C1000"), $B63, INDIRECT("'"&amp;Assemblies[Assy]&amp;"'!"&amp;"O$5:O1000")), "x",Assemblies[Assy],".",IF(SUMIF(INDIRECT("'"&amp;Assemblies[Assy]&amp;"'!"&amp;"C$5:C1000"), $B63, INDIRECT("'"&amp;Assemblies[Assy]&amp;"'!"&amp;"A$5:A1000"))=0,NA(),SUMIF(INDIRECT("'"&amp;Assemblies[Assy]&amp;"'!"&amp;"C$5:C1000"), $B63, INDIRECT("'"&amp;Assemblies[Assy]&amp;"'!"&amp;"A$5:A1000")))),"")), " ,", ""))</f>
        <v>,</v>
      </c>
      <c r="W63" s="161" t="s">
        <v>1897</v>
      </c>
      <c r="X63" s="2" t="s">
        <v>1382</v>
      </c>
    </row>
    <row r="64" spans="1:24" ht="12.75">
      <c r="A64" s="166">
        <v>725</v>
      </c>
      <c r="B64" s="2" t="s">
        <v>576</v>
      </c>
      <c r="C64" s="121" t="s">
        <v>3361</v>
      </c>
      <c r="D64" s="5" t="e" cm="1">
        <f t="array" aca="1" ref="D64" ca="1">SUMPRODUCT(SUMIF(INDIRECT("'"&amp;Assemblies[Assy]&amp;"'!"&amp;"C$5:C1000"),$B64,(INDIRECT("'"&amp;Assemblies[Assy]&amp;"'!"&amp;"O$5:O1000"))))</f>
        <v>#VALUE!</v>
      </c>
      <c r="E64" s="5">
        <v>2</v>
      </c>
      <c r="F64" s="52">
        <f t="shared" si="11"/>
        <v>74.76153583333334</v>
      </c>
      <c r="G64" s="2" t="s">
        <v>3351</v>
      </c>
      <c r="H64" s="2" t="s">
        <v>1812</v>
      </c>
      <c r="I64" s="2" t="s">
        <v>1382</v>
      </c>
      <c r="J64" s="116" t="s">
        <v>1762</v>
      </c>
      <c r="K64" s="116">
        <v>44894</v>
      </c>
      <c r="L64" s="116">
        <v>44970</v>
      </c>
      <c r="M64" s="116">
        <v>44970</v>
      </c>
      <c r="N64" s="2">
        <v>54598</v>
      </c>
      <c r="O64" s="7">
        <f t="shared" si="12"/>
        <v>58.51153583333334</v>
      </c>
      <c r="P64" s="7">
        <v>0</v>
      </c>
      <c r="Q64" s="7">
        <v>0</v>
      </c>
      <c r="R64" s="52">
        <v>0.25</v>
      </c>
      <c r="S64" s="2">
        <v>6</v>
      </c>
      <c r="T64" s="53">
        <v>484.23340000000002</v>
      </c>
      <c r="U64" s="53">
        <f t="shared" si="13"/>
        <v>8.0705566666666673E-2</v>
      </c>
      <c r="V64" s="2" t="str" cm="1">
        <f t="array" aca="1" ref="V64" ca="1">TRIM(SUBSTITUTE(_xlfn.ARRAYTOTEXT(IFERROR(CONCATENATE(SUMIF(INDIRECT("'"&amp;Assemblies[Assy]&amp;"'!"&amp;"C$5:C1000"), $B64, INDIRECT("'"&amp;Assemblies[Assy]&amp;"'!"&amp;"O$5:O1000")), "x",Assemblies[Assy],".",IF(SUMIF(INDIRECT("'"&amp;Assemblies[Assy]&amp;"'!"&amp;"C$5:C1000"), $B64, INDIRECT("'"&amp;Assemblies[Assy]&amp;"'!"&amp;"A$5:A1000"))=0,NA(),SUMIF(INDIRECT("'"&amp;Assemblies[Assy]&amp;"'!"&amp;"C$5:C1000"), $B64, INDIRECT("'"&amp;Assemblies[Assy]&amp;"'!"&amp;"A$5:A1000")))),"")), " ,", ""))</f>
        <v>,</v>
      </c>
      <c r="W64" s="161" t="s">
        <v>1897</v>
      </c>
      <c r="X64" s="2" t="s">
        <v>1382</v>
      </c>
    </row>
    <row r="65" spans="1:24" ht="12.75">
      <c r="A65" s="166">
        <v>920</v>
      </c>
      <c r="B65" s="2" t="s">
        <v>577</v>
      </c>
      <c r="C65" s="121" t="s">
        <v>3361</v>
      </c>
      <c r="D65" s="5" t="e" cm="1">
        <f t="array" aca="1" ref="D65" ca="1">SUMPRODUCT(SUMIF(INDIRECT("'"&amp;Assemblies[Assy]&amp;"'!"&amp;"C$5:C1000"),$B65,(INDIRECT("'"&amp;Assemblies[Assy]&amp;"'!"&amp;"O$5:O1000"))))</f>
        <v>#VALUE!</v>
      </c>
      <c r="E65" s="5">
        <v>2</v>
      </c>
      <c r="F65" s="52">
        <f t="shared" si="11"/>
        <v>90.499121333333335</v>
      </c>
      <c r="G65" s="2" t="s">
        <v>3351</v>
      </c>
      <c r="H65" s="2" t="s">
        <v>1812</v>
      </c>
      <c r="I65" s="2" t="s">
        <v>1382</v>
      </c>
      <c r="J65" s="116" t="s">
        <v>1762</v>
      </c>
      <c r="K65" s="116">
        <v>44894</v>
      </c>
      <c r="L65" s="116">
        <v>44970</v>
      </c>
      <c r="M65" s="116">
        <v>44970</v>
      </c>
      <c r="N65" s="2">
        <v>54598</v>
      </c>
      <c r="O65" s="7">
        <f t="shared" si="12"/>
        <v>74.249121333333335</v>
      </c>
      <c r="P65" s="7">
        <v>0</v>
      </c>
      <c r="Q65" s="7">
        <v>0</v>
      </c>
      <c r="R65" s="52">
        <v>0.25</v>
      </c>
      <c r="S65" s="2">
        <v>6</v>
      </c>
      <c r="T65" s="53">
        <v>484.23340000000002</v>
      </c>
      <c r="U65" s="53">
        <f t="shared" si="13"/>
        <v>8.0705566666666673E-2</v>
      </c>
      <c r="V65" s="2" t="str" cm="1">
        <f t="array" aca="1" ref="V65" ca="1">TRIM(SUBSTITUTE(_xlfn.ARRAYTOTEXT(IFERROR(CONCATENATE(SUMIF(INDIRECT("'"&amp;Assemblies[Assy]&amp;"'!"&amp;"C$5:C1000"), $B65, INDIRECT("'"&amp;Assemblies[Assy]&amp;"'!"&amp;"O$5:O1000")), "x",Assemblies[Assy],".",IF(SUMIF(INDIRECT("'"&amp;Assemblies[Assy]&amp;"'!"&amp;"C$5:C1000"), $B65, INDIRECT("'"&amp;Assemblies[Assy]&amp;"'!"&amp;"A$5:A1000"))=0,NA(),SUMIF(INDIRECT("'"&amp;Assemblies[Assy]&amp;"'!"&amp;"C$5:C1000"), $B65, INDIRECT("'"&amp;Assemblies[Assy]&amp;"'!"&amp;"A$5:A1000")))),"")), " ,", ""))</f>
        <v>,</v>
      </c>
      <c r="W65" s="161" t="s">
        <v>1897</v>
      </c>
      <c r="X65" s="2" t="s">
        <v>1382</v>
      </c>
    </row>
    <row r="66" spans="1:24" ht="12.75">
      <c r="A66" s="166">
        <v>197.5</v>
      </c>
      <c r="B66" s="2" t="s">
        <v>253</v>
      </c>
      <c r="C66" s="121" t="s">
        <v>3358</v>
      </c>
      <c r="D66" s="5" t="e" cm="1">
        <f t="array" aca="1" ref="D66" ca="1">SUMPRODUCT(SUMIF(INDIRECT("'"&amp;Assemblies!$B$2:$B$153&amp;"'!"&amp;"C$5:C1000"),$B66,(INDIRECT("'"&amp;Assemblies!$B$2:$B$153&amp;"'!"&amp;"O$5:O1000"))))</f>
        <v>#VALUE!</v>
      </c>
      <c r="E66" s="5"/>
      <c r="F66" s="52">
        <f t="shared" ref="F66" si="14">O66+P66+Q66+(65*R66)</f>
        <v>32.189349416666666</v>
      </c>
      <c r="G66" s="2" t="s">
        <v>3351</v>
      </c>
      <c r="H66" s="2" t="s">
        <v>1812</v>
      </c>
      <c r="I66" s="2" t="s">
        <v>1382</v>
      </c>
      <c r="J66" s="116" t="s">
        <v>1762</v>
      </c>
      <c r="K66" s="116">
        <v>44894</v>
      </c>
      <c r="L66" s="116">
        <v>44970</v>
      </c>
      <c r="M66" s="116">
        <v>44970</v>
      </c>
      <c r="N66" s="2">
        <v>54598</v>
      </c>
      <c r="O66" s="7">
        <f t="shared" ref="O66" si="15">U66*A66</f>
        <v>15.939349416666667</v>
      </c>
      <c r="P66" s="7">
        <v>0</v>
      </c>
      <c r="Q66" s="7">
        <v>0</v>
      </c>
      <c r="R66" s="52">
        <v>0.25</v>
      </c>
      <c r="S66" s="2">
        <v>6</v>
      </c>
      <c r="T66" s="53">
        <v>484.23340000000002</v>
      </c>
      <c r="U66" s="53">
        <f t="shared" ref="U66" si="16">T66/(S66*1000)</f>
        <v>8.0705566666666673E-2</v>
      </c>
      <c r="V66" s="2" t="str" cm="1">
        <f t="array" aca="1" ref="V66" ca="1">TRIM(SUBSTITUTE(_xlfn.ARRAYTOTEXT(IFERROR(CONCATENATE(SUMIF(INDIRECT("'"&amp;Assemblies[Assy]&amp;"'!"&amp;"C$5:C1000"), $B66, INDIRECT("'"&amp;Assemblies[Assy]&amp;"'!"&amp;"O$5:O1000")), "x",Assemblies[Assy],".",IF(SUMIF(INDIRECT("'"&amp;Assemblies[Assy]&amp;"'!"&amp;"C$5:C1000"), $B66, INDIRECT("'"&amp;Assemblies[Assy]&amp;"'!"&amp;"A$5:A1000"))=0,NA(),SUMIF(INDIRECT("'"&amp;Assemblies[Assy]&amp;"'!"&amp;"C$5:C1000"), $B66, INDIRECT("'"&amp;Assemblies[Assy]&amp;"'!"&amp;"A$5:A1000")))),"")), " ,", ""))</f>
        <v>,</v>
      </c>
      <c r="W66" s="161" t="s">
        <v>1897</v>
      </c>
      <c r="X66" s="2"/>
    </row>
    <row r="67" spans="1:24" ht="12.75">
      <c r="A67" s="166">
        <v>1234</v>
      </c>
      <c r="B67" s="2" t="s">
        <v>1366</v>
      </c>
      <c r="C67" s="121" t="s">
        <v>3370</v>
      </c>
      <c r="D67" s="5" t="e" cm="1">
        <f t="array" aca="1" ref="D67" ca="1">SUMPRODUCT(SUMIF(INDIRECT("'"&amp;Assemblies[Assy]&amp;"'!"&amp;"C$5:C1000"),$B67,(INDIRECT("'"&amp;Assemblies[Assy]&amp;"'!"&amp;"O$5:O1000"))))</f>
        <v>#VALUE!</v>
      </c>
      <c r="E67" s="5">
        <v>20</v>
      </c>
      <c r="F67" s="52">
        <f t="shared" si="11"/>
        <v>115.84066926666668</v>
      </c>
      <c r="G67" s="2" t="s">
        <v>3351</v>
      </c>
      <c r="H67" s="2" t="s">
        <v>1812</v>
      </c>
      <c r="I67" s="2" t="s">
        <v>1382</v>
      </c>
      <c r="J67" s="116" t="s">
        <v>1762</v>
      </c>
      <c r="K67" s="116">
        <v>44894</v>
      </c>
      <c r="L67" s="116">
        <v>44970</v>
      </c>
      <c r="M67" s="116">
        <v>44970</v>
      </c>
      <c r="N67" s="2">
        <v>54598</v>
      </c>
      <c r="O67" s="7">
        <f t="shared" si="12"/>
        <v>99.59066926666668</v>
      </c>
      <c r="P67" s="7">
        <v>0</v>
      </c>
      <c r="Q67" s="7">
        <v>0</v>
      </c>
      <c r="R67" s="52">
        <v>0.25</v>
      </c>
      <c r="S67" s="2">
        <v>6</v>
      </c>
      <c r="T67" s="53">
        <v>484.23340000000002</v>
      </c>
      <c r="U67" s="53">
        <f t="shared" si="13"/>
        <v>8.0705566666666673E-2</v>
      </c>
      <c r="V67" s="2" t="str" cm="1">
        <f t="array" aca="1" ref="V67" ca="1">TRIM(SUBSTITUTE(_xlfn.ARRAYTOTEXT(IFERROR(CONCATENATE(SUMIF(INDIRECT("'"&amp;Assemblies[Assy]&amp;"'!"&amp;"C$5:C1000"), $B67, INDIRECT("'"&amp;Assemblies[Assy]&amp;"'!"&amp;"O$5:O1000")), "x",Assemblies[Assy],".",IF(SUMIF(INDIRECT("'"&amp;Assemblies[Assy]&amp;"'!"&amp;"C$5:C1000"), $B67, INDIRECT("'"&amp;Assemblies[Assy]&amp;"'!"&amp;"A$5:A1000"))=0,NA(),SUMIF(INDIRECT("'"&amp;Assemblies[Assy]&amp;"'!"&amp;"C$5:C1000"), $B67, INDIRECT("'"&amp;Assemblies[Assy]&amp;"'!"&amp;"A$5:A1000")))),"")), " ,", ""))</f>
        <v>,</v>
      </c>
      <c r="W67" s="161" t="s">
        <v>1897</v>
      </c>
      <c r="X67" s="2" t="s">
        <v>1382</v>
      </c>
    </row>
    <row r="68" spans="1:24" ht="12.75">
      <c r="A68" s="166">
        <v>1272.0999999999999</v>
      </c>
      <c r="B68" s="2" t="s">
        <v>910</v>
      </c>
      <c r="C68" s="121" t="s">
        <v>3350</v>
      </c>
      <c r="D68" s="5" t="e" cm="1">
        <f t="array" aca="1" ref="D68" ca="1">SUMPRODUCT(SUMIF(INDIRECT("'"&amp;Assemblies[Assy]&amp;"'!"&amp;"C$5:C1000"),$B68,(INDIRECT("'"&amp;Assemblies[Assy]&amp;"'!"&amp;"O$5:O1000"))))</f>
        <v>#VALUE!</v>
      </c>
      <c r="E68" s="5">
        <v>2</v>
      </c>
      <c r="F68" s="52">
        <f t="shared" si="11"/>
        <v>118.91555135666667</v>
      </c>
      <c r="G68" s="2" t="s">
        <v>3351</v>
      </c>
      <c r="H68" s="2" t="s">
        <v>1812</v>
      </c>
      <c r="I68" s="2" t="s">
        <v>1382</v>
      </c>
      <c r="J68" s="116" t="s">
        <v>1762</v>
      </c>
      <c r="K68" s="116">
        <v>44894</v>
      </c>
      <c r="L68" s="116">
        <v>44970</v>
      </c>
      <c r="M68" s="116">
        <v>44970</v>
      </c>
      <c r="N68" s="2">
        <v>54598</v>
      </c>
      <c r="O68" s="7">
        <f t="shared" si="12"/>
        <v>102.66555135666667</v>
      </c>
      <c r="P68" s="7">
        <v>0</v>
      </c>
      <c r="Q68" s="7">
        <v>0</v>
      </c>
      <c r="R68" s="52">
        <v>0.25</v>
      </c>
      <c r="S68" s="2">
        <v>6</v>
      </c>
      <c r="T68" s="53">
        <v>484.23340000000002</v>
      </c>
      <c r="U68" s="53">
        <f t="shared" si="13"/>
        <v>8.0705566666666673E-2</v>
      </c>
      <c r="V68" s="2" t="str" cm="1">
        <f t="array" aca="1" ref="V68" ca="1">TRIM(SUBSTITUTE(_xlfn.ARRAYTOTEXT(IFERROR(CONCATENATE(SUMIF(INDIRECT("'"&amp;Assemblies[Assy]&amp;"'!"&amp;"C$5:C1000"), $B68, INDIRECT("'"&amp;Assemblies[Assy]&amp;"'!"&amp;"O$5:O1000")), "x",Assemblies[Assy],".",IF(SUMIF(INDIRECT("'"&amp;Assemblies[Assy]&amp;"'!"&amp;"C$5:C1000"), $B68, INDIRECT("'"&amp;Assemblies[Assy]&amp;"'!"&amp;"A$5:A1000"))=0,NA(),SUMIF(INDIRECT("'"&amp;Assemblies[Assy]&amp;"'!"&amp;"C$5:C1000"), $B68, INDIRECT("'"&amp;Assemblies[Assy]&amp;"'!"&amp;"A$5:A1000")))),"")), " ,", ""))</f>
        <v>,</v>
      </c>
      <c r="W68" s="161" t="s">
        <v>1897</v>
      </c>
      <c r="X68" s="2" t="s">
        <v>1382</v>
      </c>
    </row>
    <row r="69" spans="1:24" ht="12.75">
      <c r="A69" s="166">
        <v>1294</v>
      </c>
      <c r="B69" s="2" t="s">
        <v>317</v>
      </c>
      <c r="C69" s="121" t="s">
        <v>3356</v>
      </c>
      <c r="D69" s="5" t="e" cm="1">
        <f t="array" aca="1" ref="D69" ca="1">SUMPRODUCT(SUMIF(INDIRECT("'"&amp;Assemblies[Assy]&amp;"'!"&amp;"C$5:C1000"),$B69,(INDIRECT("'"&amp;Assemblies[Assy]&amp;"'!"&amp;"O$5:O1000"))))</f>
        <v>#VALUE!</v>
      </c>
      <c r="E69" s="5">
        <v>12</v>
      </c>
      <c r="F69" s="52">
        <f t="shared" si="11"/>
        <v>120.68300326666667</v>
      </c>
      <c r="G69" s="2" t="s">
        <v>3351</v>
      </c>
      <c r="H69" s="2" t="s">
        <v>1812</v>
      </c>
      <c r="I69" s="2" t="s">
        <v>1382</v>
      </c>
      <c r="J69" s="116" t="s">
        <v>1762</v>
      </c>
      <c r="K69" s="116">
        <v>44894</v>
      </c>
      <c r="L69" s="116">
        <v>44970</v>
      </c>
      <c r="M69" s="116">
        <v>44970</v>
      </c>
      <c r="N69" s="2">
        <v>54598</v>
      </c>
      <c r="O69" s="7">
        <f t="shared" si="12"/>
        <v>104.43300326666667</v>
      </c>
      <c r="P69" s="7">
        <v>0</v>
      </c>
      <c r="Q69" s="7">
        <v>0</v>
      </c>
      <c r="R69" s="52">
        <v>0.25</v>
      </c>
      <c r="S69" s="2">
        <v>6</v>
      </c>
      <c r="T69" s="53">
        <v>484.23340000000002</v>
      </c>
      <c r="U69" s="53">
        <f t="shared" si="13"/>
        <v>8.0705566666666673E-2</v>
      </c>
      <c r="V69" s="2" t="str" cm="1">
        <f t="array" aca="1" ref="V69" ca="1">TRIM(SUBSTITUTE(_xlfn.ARRAYTOTEXT(IFERROR(CONCATENATE(SUMIF(INDIRECT("'"&amp;Assemblies[Assy]&amp;"'!"&amp;"C$5:C1000"), $B69, INDIRECT("'"&amp;Assemblies[Assy]&amp;"'!"&amp;"O$5:O1000")), "x",Assemblies[Assy],".",IF(SUMIF(INDIRECT("'"&amp;Assemblies[Assy]&amp;"'!"&amp;"C$5:C1000"), $B69, INDIRECT("'"&amp;Assemblies[Assy]&amp;"'!"&amp;"A$5:A1000"))=0,NA(),SUMIF(INDIRECT("'"&amp;Assemblies[Assy]&amp;"'!"&amp;"C$5:C1000"), $B69, INDIRECT("'"&amp;Assemblies[Assy]&amp;"'!"&amp;"A$5:A1000")))),"")), " ,", ""))</f>
        <v>,</v>
      </c>
      <c r="W69" s="161" t="s">
        <v>1897</v>
      </c>
      <c r="X69" s="2" t="s">
        <v>1382</v>
      </c>
    </row>
    <row r="70" spans="1:24" ht="12.75">
      <c r="A70" s="166">
        <v>1680</v>
      </c>
      <c r="B70" s="2" t="s">
        <v>246</v>
      </c>
      <c r="C70" s="121" t="s">
        <v>3358</v>
      </c>
      <c r="D70" s="5" t="e" cm="1">
        <f t="array" aca="1" ref="D70" ca="1">SUMPRODUCT(SUMIF(INDIRECT("'"&amp;Assemblies[Assy]&amp;"'!"&amp;"C$5:C1000"),$B70,(INDIRECT("'"&amp;Assemblies[Assy]&amp;"'!"&amp;"O$5:O1000"))))</f>
        <v>#VALUE!</v>
      </c>
      <c r="E70" s="5">
        <v>22</v>
      </c>
      <c r="F70" s="52">
        <f t="shared" ref="F70:F93" si="17">O70+P70+Q70+(65*R70)</f>
        <v>151.835352</v>
      </c>
      <c r="G70" s="2" t="s">
        <v>3351</v>
      </c>
      <c r="H70" s="2" t="s">
        <v>1812</v>
      </c>
      <c r="I70" s="2" t="s">
        <v>1382</v>
      </c>
      <c r="J70" s="116" t="s">
        <v>1762</v>
      </c>
      <c r="K70" s="116">
        <v>44894</v>
      </c>
      <c r="L70" s="116">
        <v>44970</v>
      </c>
      <c r="M70" s="116">
        <v>44970</v>
      </c>
      <c r="N70" s="2">
        <v>54598</v>
      </c>
      <c r="O70" s="7">
        <f t="shared" ref="O70:O93" si="18">U70*A70</f>
        <v>135.585352</v>
      </c>
      <c r="P70" s="7">
        <v>0</v>
      </c>
      <c r="Q70" s="7">
        <v>0</v>
      </c>
      <c r="R70" s="52">
        <v>0.25</v>
      </c>
      <c r="S70" s="2">
        <v>6</v>
      </c>
      <c r="T70" s="53">
        <v>484.23340000000002</v>
      </c>
      <c r="U70" s="53">
        <f t="shared" ref="U70:U93" si="19">T70/(S70*1000)</f>
        <v>8.0705566666666673E-2</v>
      </c>
      <c r="V70" s="2" t="str" cm="1">
        <f t="array" aca="1" ref="V70" ca="1">TRIM(SUBSTITUTE(_xlfn.ARRAYTOTEXT(IFERROR(CONCATENATE(SUMIF(INDIRECT("'"&amp;Assemblies[Assy]&amp;"'!"&amp;"C$5:C1000"), $B70, INDIRECT("'"&amp;Assemblies[Assy]&amp;"'!"&amp;"O$5:O1000")), "x",Assemblies[Assy],".",IF(SUMIF(INDIRECT("'"&amp;Assemblies[Assy]&amp;"'!"&amp;"C$5:C1000"), $B70, INDIRECT("'"&amp;Assemblies[Assy]&amp;"'!"&amp;"A$5:A1000"))=0,NA(),SUMIF(INDIRECT("'"&amp;Assemblies[Assy]&amp;"'!"&amp;"C$5:C1000"), $B70, INDIRECT("'"&amp;Assemblies[Assy]&amp;"'!"&amp;"A$5:A1000")))),"")), " ,", ""))</f>
        <v>,</v>
      </c>
      <c r="W70" s="161" t="s">
        <v>1897</v>
      </c>
      <c r="X70" s="2" t="s">
        <v>1382</v>
      </c>
    </row>
    <row r="71" spans="1:24" ht="12.75">
      <c r="A71" s="166">
        <v>2119</v>
      </c>
      <c r="B71" s="2" t="s">
        <v>580</v>
      </c>
      <c r="C71" s="121" t="s">
        <v>3361</v>
      </c>
      <c r="D71" s="5" t="e" cm="1">
        <f t="array" aca="1" ref="D71" ca="1">SUMPRODUCT(SUMIF(INDIRECT("'"&amp;Assemblies[Assy]&amp;"'!"&amp;"C$5:C1000"),$B71,(INDIRECT("'"&amp;Assemblies[Assy]&amp;"'!"&amp;"O$5:O1000"))))</f>
        <v>#VALUE!</v>
      </c>
      <c r="E71" s="5">
        <v>8</v>
      </c>
      <c r="F71" s="52">
        <f t="shared" si="17"/>
        <v>187.26509576666669</v>
      </c>
      <c r="G71" s="2" t="s">
        <v>3351</v>
      </c>
      <c r="H71" s="2" t="s">
        <v>1812</v>
      </c>
      <c r="I71" s="2" t="s">
        <v>1382</v>
      </c>
      <c r="J71" s="116" t="s">
        <v>1762</v>
      </c>
      <c r="K71" s="116">
        <v>44894</v>
      </c>
      <c r="L71" s="116">
        <v>44970</v>
      </c>
      <c r="M71" s="116">
        <v>44970</v>
      </c>
      <c r="N71" s="2">
        <v>54598</v>
      </c>
      <c r="O71" s="7">
        <f t="shared" si="18"/>
        <v>171.01509576666669</v>
      </c>
      <c r="P71" s="7">
        <v>0</v>
      </c>
      <c r="Q71" s="7">
        <v>0</v>
      </c>
      <c r="R71" s="52">
        <v>0.25</v>
      </c>
      <c r="S71" s="2">
        <v>6</v>
      </c>
      <c r="T71" s="53">
        <v>484.23340000000002</v>
      </c>
      <c r="U71" s="53">
        <f t="shared" si="19"/>
        <v>8.0705566666666673E-2</v>
      </c>
      <c r="V71" s="2" t="str" cm="1">
        <f t="array" aca="1" ref="V71" ca="1">TRIM(SUBSTITUTE(_xlfn.ARRAYTOTEXT(IFERROR(CONCATENATE(SUMIF(INDIRECT("'"&amp;Assemblies[Assy]&amp;"'!"&amp;"C$5:C1000"), $B71, INDIRECT("'"&amp;Assemblies[Assy]&amp;"'!"&amp;"O$5:O1000")), "x",Assemblies[Assy],".",IF(SUMIF(INDIRECT("'"&amp;Assemblies[Assy]&amp;"'!"&amp;"C$5:C1000"), $B71, INDIRECT("'"&amp;Assemblies[Assy]&amp;"'!"&amp;"A$5:A1000"))=0,NA(),SUMIF(INDIRECT("'"&amp;Assemblies[Assy]&amp;"'!"&amp;"C$5:C1000"), $B71, INDIRECT("'"&amp;Assemblies[Assy]&amp;"'!"&amp;"A$5:A1000")))),"")), " ,", ""))</f>
        <v>,</v>
      </c>
      <c r="W71" s="161" t="s">
        <v>1897</v>
      </c>
      <c r="X71" s="2" t="s">
        <v>1382</v>
      </c>
    </row>
    <row r="72" spans="1:24" ht="12.75">
      <c r="A72" s="166">
        <v>221.4</v>
      </c>
      <c r="B72" s="2" t="s">
        <v>909</v>
      </c>
      <c r="C72" s="121" t="s">
        <v>3350</v>
      </c>
      <c r="D72" s="5" t="e" cm="1">
        <f t="array" aca="1" ref="D72" ca="1">SUMPRODUCT(SUMIF(INDIRECT("'"&amp;Assemblies[Assy]&amp;"'!"&amp;"C$5:C1000"),$B72,(INDIRECT("'"&amp;Assemblies[Assy]&amp;"'!"&amp;"O$5:O1000"))))</f>
        <v>#VALUE!</v>
      </c>
      <c r="E72" s="5">
        <v>4</v>
      </c>
      <c r="F72" s="52">
        <f t="shared" si="17"/>
        <v>34.118212460000002</v>
      </c>
      <c r="G72" s="2" t="s">
        <v>3351</v>
      </c>
      <c r="H72" s="2" t="s">
        <v>1812</v>
      </c>
      <c r="I72" s="2" t="s">
        <v>1382</v>
      </c>
      <c r="J72" s="116" t="s">
        <v>1762</v>
      </c>
      <c r="K72" s="116">
        <v>44894</v>
      </c>
      <c r="L72" s="116">
        <v>44970</v>
      </c>
      <c r="M72" s="116">
        <v>44970</v>
      </c>
      <c r="N72" s="2">
        <v>54598</v>
      </c>
      <c r="O72" s="7">
        <f t="shared" si="18"/>
        <v>17.868212460000002</v>
      </c>
      <c r="P72" s="7">
        <v>0</v>
      </c>
      <c r="Q72" s="7">
        <v>0</v>
      </c>
      <c r="R72" s="52">
        <v>0.25</v>
      </c>
      <c r="S72" s="2">
        <v>6</v>
      </c>
      <c r="T72" s="53">
        <v>484.23340000000002</v>
      </c>
      <c r="U72" s="53">
        <f t="shared" si="19"/>
        <v>8.0705566666666673E-2</v>
      </c>
      <c r="V72" s="2" t="str" cm="1">
        <f t="array" aca="1" ref="V72" ca="1">TRIM(SUBSTITUTE(_xlfn.ARRAYTOTEXT(IFERROR(CONCATENATE(SUMIF(INDIRECT("'"&amp;Assemblies[Assy]&amp;"'!"&amp;"C$5:C1000"), $B72, INDIRECT("'"&amp;Assemblies[Assy]&amp;"'!"&amp;"O$5:O1000")), "x",Assemblies[Assy],".",IF(SUMIF(INDIRECT("'"&amp;Assemblies[Assy]&amp;"'!"&amp;"C$5:C1000"), $B72, INDIRECT("'"&amp;Assemblies[Assy]&amp;"'!"&amp;"A$5:A1000"))=0,NA(),SUMIF(INDIRECT("'"&amp;Assemblies[Assy]&amp;"'!"&amp;"C$5:C1000"), $B72, INDIRECT("'"&amp;Assemblies[Assy]&amp;"'!"&amp;"A$5:A1000")))),"")), " ,", ""))</f>
        <v>,</v>
      </c>
      <c r="W72" s="161" t="s">
        <v>1897</v>
      </c>
      <c r="X72" s="2" t="s">
        <v>1382</v>
      </c>
    </row>
    <row r="73" spans="1:24" ht="12.75">
      <c r="A73" s="166">
        <v>318.92</v>
      </c>
      <c r="B73" s="2" t="s">
        <v>1125</v>
      </c>
      <c r="C73" s="121" t="s">
        <v>3365</v>
      </c>
      <c r="D73" s="5" t="e" cm="1">
        <f t="array" aca="1" ref="D73" ca="1">SUMPRODUCT(SUMIF(INDIRECT("'"&amp;Assemblies[Assy]&amp;"'!"&amp;"C$5:C1000"),$B73,(INDIRECT("'"&amp;Assemblies[Assy]&amp;"'!"&amp;"O$5:O1000"))))</f>
        <v>#VALUE!</v>
      </c>
      <c r="E73" s="5">
        <v>8</v>
      </c>
      <c r="F73" s="52">
        <f t="shared" si="17"/>
        <v>41.988619321333331</v>
      </c>
      <c r="G73" s="2" t="s">
        <v>3351</v>
      </c>
      <c r="H73" s="2" t="s">
        <v>1812</v>
      </c>
      <c r="I73" s="2" t="s">
        <v>1382</v>
      </c>
      <c r="J73" s="116" t="s">
        <v>1762</v>
      </c>
      <c r="K73" s="116">
        <v>44894</v>
      </c>
      <c r="L73" s="116">
        <v>44970</v>
      </c>
      <c r="M73" s="116">
        <v>44970</v>
      </c>
      <c r="N73" s="2">
        <v>54598</v>
      </c>
      <c r="O73" s="7">
        <f t="shared" si="18"/>
        <v>25.738619321333335</v>
      </c>
      <c r="P73" s="7">
        <v>0</v>
      </c>
      <c r="Q73" s="7">
        <v>0</v>
      </c>
      <c r="R73" s="52">
        <v>0.25</v>
      </c>
      <c r="S73" s="2">
        <v>6</v>
      </c>
      <c r="T73" s="53">
        <v>484.23340000000002</v>
      </c>
      <c r="U73" s="53">
        <f t="shared" si="19"/>
        <v>8.0705566666666673E-2</v>
      </c>
      <c r="V73" s="2" t="str" cm="1">
        <f t="array" aca="1" ref="V73" ca="1">TRIM(SUBSTITUTE(_xlfn.ARRAYTOTEXT(IFERROR(CONCATENATE(SUMIF(INDIRECT("'"&amp;Assemblies[Assy]&amp;"'!"&amp;"C$5:C1000"), $B73, INDIRECT("'"&amp;Assemblies[Assy]&amp;"'!"&amp;"O$5:O1000")), "x",Assemblies[Assy],".",IF(SUMIF(INDIRECT("'"&amp;Assemblies[Assy]&amp;"'!"&amp;"C$5:C1000"), $B73, INDIRECT("'"&amp;Assemblies[Assy]&amp;"'!"&amp;"A$5:A1000"))=0,NA(),SUMIF(INDIRECT("'"&amp;Assemblies[Assy]&amp;"'!"&amp;"C$5:C1000"), $B73, INDIRECT("'"&amp;Assemblies[Assy]&amp;"'!"&amp;"A$5:A1000")))),"")), " ,", ""))</f>
        <v>,</v>
      </c>
      <c r="W73" s="161" t="s">
        <v>1897</v>
      </c>
      <c r="X73" s="2" t="s">
        <v>1382</v>
      </c>
    </row>
    <row r="74" spans="1:24" ht="12.75">
      <c r="A74" s="166">
        <v>522</v>
      </c>
      <c r="B74" s="2" t="s">
        <v>1202</v>
      </c>
      <c r="C74" s="121" t="s">
        <v>3367</v>
      </c>
      <c r="D74" s="5" t="e" cm="1">
        <f t="array" aca="1" ref="D74" ca="1">SUMPRODUCT(SUMIF(INDIRECT("'"&amp;Assemblies[Assy]&amp;"'!"&amp;"C$5:C1000"),$B74,(INDIRECT("'"&amp;Assemblies[Assy]&amp;"'!"&amp;"O$5:O1000"))))</f>
        <v>#VALUE!</v>
      </c>
      <c r="E74" s="5">
        <v>6</v>
      </c>
      <c r="F74" s="52">
        <f t="shared" si="17"/>
        <v>58.3783058</v>
      </c>
      <c r="G74" s="2" t="s">
        <v>3351</v>
      </c>
      <c r="H74" s="2" t="s">
        <v>1812</v>
      </c>
      <c r="I74" s="2" t="s">
        <v>1382</v>
      </c>
      <c r="J74" s="116" t="s">
        <v>1762</v>
      </c>
      <c r="K74" s="116">
        <v>44894</v>
      </c>
      <c r="L74" s="116">
        <v>44970</v>
      </c>
      <c r="M74" s="116">
        <v>44970</v>
      </c>
      <c r="N74" s="2">
        <v>54598</v>
      </c>
      <c r="O74" s="7">
        <f t="shared" si="18"/>
        <v>42.1283058</v>
      </c>
      <c r="P74" s="7">
        <v>0</v>
      </c>
      <c r="Q74" s="7">
        <v>0</v>
      </c>
      <c r="R74" s="52">
        <v>0.25</v>
      </c>
      <c r="S74" s="2">
        <v>6</v>
      </c>
      <c r="T74" s="53">
        <v>484.23340000000002</v>
      </c>
      <c r="U74" s="53">
        <f t="shared" si="19"/>
        <v>8.0705566666666673E-2</v>
      </c>
      <c r="V74" s="2" t="str" cm="1">
        <f t="array" aca="1" ref="V74" ca="1">TRIM(SUBSTITUTE(_xlfn.ARRAYTOTEXT(IFERROR(CONCATENATE(SUMIF(INDIRECT("'"&amp;Assemblies[Assy]&amp;"'!"&amp;"C$5:C1000"), $B74, INDIRECT("'"&amp;Assemblies[Assy]&amp;"'!"&amp;"O$5:O1000")), "x",Assemblies[Assy],".",IF(SUMIF(INDIRECT("'"&amp;Assemblies[Assy]&amp;"'!"&amp;"C$5:C1000"), $B74, INDIRECT("'"&amp;Assemblies[Assy]&amp;"'!"&amp;"A$5:A1000"))=0,NA(),SUMIF(INDIRECT("'"&amp;Assemblies[Assy]&amp;"'!"&amp;"C$5:C1000"), $B74, INDIRECT("'"&amp;Assemblies[Assy]&amp;"'!"&amp;"A$5:A1000")))),"")), " ,", ""))</f>
        <v>,</v>
      </c>
      <c r="W74" s="161" t="s">
        <v>1897</v>
      </c>
      <c r="X74" s="2" t="s">
        <v>1382</v>
      </c>
    </row>
    <row r="75" spans="1:24" ht="12.75">
      <c r="A75" s="166">
        <v>550</v>
      </c>
      <c r="B75" s="2" t="s">
        <v>1367</v>
      </c>
      <c r="C75" s="121" t="s">
        <v>3370</v>
      </c>
      <c r="D75" s="5" t="e" cm="1">
        <f t="array" aca="1" ref="D75" ca="1">SUMPRODUCT(SUMIF(INDIRECT("'"&amp;Assemblies[Assy]&amp;"'!"&amp;"C$5:C1000"),$B75,(INDIRECT("'"&amp;Assemblies[Assy]&amp;"'!"&amp;"O$5:O1000"))))</f>
        <v>#VALUE!</v>
      </c>
      <c r="E75" s="5">
        <v>10</v>
      </c>
      <c r="F75" s="52">
        <f t="shared" si="17"/>
        <v>60.638061666666673</v>
      </c>
      <c r="G75" s="2" t="s">
        <v>3351</v>
      </c>
      <c r="H75" s="2" t="s">
        <v>1812</v>
      </c>
      <c r="I75" s="2" t="s">
        <v>1382</v>
      </c>
      <c r="J75" s="116" t="s">
        <v>1762</v>
      </c>
      <c r="K75" s="116">
        <v>44894</v>
      </c>
      <c r="L75" s="116">
        <v>44970</v>
      </c>
      <c r="M75" s="116">
        <v>44970</v>
      </c>
      <c r="N75" s="2">
        <v>54598</v>
      </c>
      <c r="O75" s="7">
        <f t="shared" si="18"/>
        <v>44.388061666666673</v>
      </c>
      <c r="P75" s="7">
        <v>0</v>
      </c>
      <c r="Q75" s="7">
        <v>0</v>
      </c>
      <c r="R75" s="52">
        <v>0.25</v>
      </c>
      <c r="S75" s="2">
        <v>6</v>
      </c>
      <c r="T75" s="53">
        <v>484.23340000000002</v>
      </c>
      <c r="U75" s="53">
        <f t="shared" si="19"/>
        <v>8.0705566666666673E-2</v>
      </c>
      <c r="V75" s="2" t="str" cm="1">
        <f t="array" aca="1" ref="V75" ca="1">TRIM(SUBSTITUTE(_xlfn.ARRAYTOTEXT(IFERROR(CONCATENATE(SUMIF(INDIRECT("'"&amp;Assemblies[Assy]&amp;"'!"&amp;"C$5:C1000"), $B75, INDIRECT("'"&amp;Assemblies[Assy]&amp;"'!"&amp;"O$5:O1000")), "x",Assemblies[Assy],".",IF(SUMIF(INDIRECT("'"&amp;Assemblies[Assy]&amp;"'!"&amp;"C$5:C1000"), $B75, INDIRECT("'"&amp;Assemblies[Assy]&amp;"'!"&amp;"A$5:A1000"))=0,NA(),SUMIF(INDIRECT("'"&amp;Assemblies[Assy]&amp;"'!"&amp;"C$5:C1000"), $B75, INDIRECT("'"&amp;Assemblies[Assy]&amp;"'!"&amp;"A$5:A1000")))),"")), " ,", ""))</f>
        <v>,</v>
      </c>
      <c r="W75" s="161" t="s">
        <v>1897</v>
      </c>
      <c r="X75" s="2" t="s">
        <v>1382</v>
      </c>
    </row>
    <row r="76" spans="1:24" ht="12.75">
      <c r="A76" s="166">
        <v>570.4</v>
      </c>
      <c r="B76" s="2" t="s">
        <v>1201</v>
      </c>
      <c r="C76" s="121" t="s">
        <v>3367</v>
      </c>
      <c r="D76" s="5" t="e" cm="1">
        <f t="array" aca="1" ref="D76" ca="1">SUMPRODUCT(SUMIF(INDIRECT("'"&amp;Assemblies[Assy]&amp;"'!"&amp;"C$5:C1000"),$B76,(INDIRECT("'"&amp;Assemblies[Assy]&amp;"'!"&amp;"O$5:O1000"))))</f>
        <v>#VALUE!</v>
      </c>
      <c r="E76" s="5">
        <v>6</v>
      </c>
      <c r="F76" s="52">
        <f t="shared" si="17"/>
        <v>62.284455226666665</v>
      </c>
      <c r="G76" s="2" t="s">
        <v>3351</v>
      </c>
      <c r="H76" s="2" t="s">
        <v>1812</v>
      </c>
      <c r="I76" s="2" t="s">
        <v>1382</v>
      </c>
      <c r="J76" s="116" t="s">
        <v>1762</v>
      </c>
      <c r="K76" s="116">
        <v>44894</v>
      </c>
      <c r="L76" s="116">
        <v>44970</v>
      </c>
      <c r="M76" s="116">
        <v>44970</v>
      </c>
      <c r="N76" s="2">
        <v>54598</v>
      </c>
      <c r="O76" s="7">
        <f t="shared" si="18"/>
        <v>46.034455226666665</v>
      </c>
      <c r="P76" s="7">
        <v>0</v>
      </c>
      <c r="Q76" s="7">
        <v>0</v>
      </c>
      <c r="R76" s="52">
        <v>0.25</v>
      </c>
      <c r="S76" s="2">
        <v>6</v>
      </c>
      <c r="T76" s="53">
        <v>484.23340000000002</v>
      </c>
      <c r="U76" s="53">
        <f t="shared" si="19"/>
        <v>8.0705566666666673E-2</v>
      </c>
      <c r="V76" s="2" t="str" cm="1">
        <f t="array" aca="1" ref="V76" ca="1">TRIM(SUBSTITUTE(_xlfn.ARRAYTOTEXT(IFERROR(CONCATENATE(SUMIF(INDIRECT("'"&amp;Assemblies[Assy]&amp;"'!"&amp;"C$5:C1000"), $B76, INDIRECT("'"&amp;Assemblies[Assy]&amp;"'!"&amp;"O$5:O1000")), "x",Assemblies[Assy],".",IF(SUMIF(INDIRECT("'"&amp;Assemblies[Assy]&amp;"'!"&amp;"C$5:C1000"), $B76, INDIRECT("'"&amp;Assemblies[Assy]&amp;"'!"&amp;"A$5:A1000"))=0,NA(),SUMIF(INDIRECT("'"&amp;Assemblies[Assy]&amp;"'!"&amp;"C$5:C1000"), $B76, INDIRECT("'"&amp;Assemblies[Assy]&amp;"'!"&amp;"A$5:A1000")))),"")), " ,", ""))</f>
        <v>,</v>
      </c>
      <c r="W76" s="161" t="s">
        <v>1897</v>
      </c>
      <c r="X76" s="2" t="s">
        <v>1382</v>
      </c>
    </row>
    <row r="77" spans="1:24">
      <c r="A77" s="166">
        <v>586.66999999999996</v>
      </c>
      <c r="B77" s="2" t="s">
        <v>787</v>
      </c>
      <c r="C77" s="121" t="s">
        <v>3368</v>
      </c>
      <c r="D77" s="5" t="e" cm="1">
        <f t="array" aca="1" ref="D77" ca="1">SUMPRODUCT(SUMIF(INDIRECT("'"&amp;Assemblies[Assy]&amp;"'!"&amp;"C$5:C1000"),$B77,(INDIRECT("'"&amp;Assemblies[Assy]&amp;"'!"&amp;"O$5:O1000"))))</f>
        <v>#VALUE!</v>
      </c>
      <c r="E77" s="5">
        <v>6</v>
      </c>
      <c r="F77" s="52">
        <f t="shared" si="17"/>
        <v>63.597534796333335</v>
      </c>
      <c r="G77" s="2" t="s">
        <v>3351</v>
      </c>
      <c r="H77" s="2" t="s">
        <v>1812</v>
      </c>
      <c r="I77" s="2" t="s">
        <v>1382</v>
      </c>
      <c r="J77" s="116" t="s">
        <v>1762</v>
      </c>
      <c r="K77" s="116">
        <v>44894</v>
      </c>
      <c r="L77" s="116">
        <v>44970</v>
      </c>
      <c r="M77" s="116">
        <v>44970</v>
      </c>
      <c r="N77" s="2">
        <v>54598</v>
      </c>
      <c r="O77" s="7">
        <f t="shared" si="18"/>
        <v>47.347534796333335</v>
      </c>
      <c r="P77" s="7">
        <v>0</v>
      </c>
      <c r="Q77" s="7">
        <v>0</v>
      </c>
      <c r="R77" s="52">
        <v>0.25</v>
      </c>
      <c r="S77" s="2">
        <v>6</v>
      </c>
      <c r="T77" s="53">
        <v>484.23340000000002</v>
      </c>
      <c r="U77" s="53">
        <f t="shared" si="19"/>
        <v>8.0705566666666673E-2</v>
      </c>
      <c r="V77" s="2" t="str" cm="1">
        <f t="array" aca="1" ref="V77" ca="1">TRIM(SUBSTITUTE(_xlfn.ARRAYTOTEXT(IFERROR(CONCATENATE(SUMIF(INDIRECT("'"&amp;Assemblies[Assy]&amp;"'!"&amp;"C$5:C1000"), $B77, INDIRECT("'"&amp;Assemblies[Assy]&amp;"'!"&amp;"O$5:O1000")), "x",Assemblies[Assy],".",IF(SUMIF(INDIRECT("'"&amp;Assemblies[Assy]&amp;"'!"&amp;"C$5:C1000"), $B77, INDIRECT("'"&amp;Assemblies[Assy]&amp;"'!"&amp;"A$5:A1000"))=0,NA(),SUMIF(INDIRECT("'"&amp;Assemblies[Assy]&amp;"'!"&amp;"C$5:C1000"), $B77, INDIRECT("'"&amp;Assemblies[Assy]&amp;"'!"&amp;"A$5:A1000")))),"")), " ,", ""))</f>
        <v>,</v>
      </c>
      <c r="W77" s="161" t="s">
        <v>1897</v>
      </c>
    </row>
    <row r="78" spans="1:24">
      <c r="A78" s="166">
        <v>590</v>
      </c>
      <c r="B78" s="2" t="s">
        <v>912</v>
      </c>
      <c r="C78" s="121" t="s">
        <v>3350</v>
      </c>
      <c r="D78" s="5" t="e" cm="1">
        <f t="array" aca="1" ref="D78" ca="1">SUMPRODUCT(SUMIF(INDIRECT("'"&amp;Assemblies[Assy]&amp;"'!"&amp;"C$5:C1000"),$B78,(INDIRECT("'"&amp;Assemblies[Assy]&amp;"'!"&amp;"O$5:O1000"))))</f>
        <v>#VALUE!</v>
      </c>
      <c r="E78" s="5">
        <v>4</v>
      </c>
      <c r="F78" s="52">
        <f t="shared" si="17"/>
        <v>63.86628433333334</v>
      </c>
      <c r="G78" s="2" t="s">
        <v>3351</v>
      </c>
      <c r="H78" s="2" t="s">
        <v>1812</v>
      </c>
      <c r="I78" s="2" t="s">
        <v>1382</v>
      </c>
      <c r="J78" s="116" t="s">
        <v>1762</v>
      </c>
      <c r="K78" s="116">
        <v>44894</v>
      </c>
      <c r="L78" s="116">
        <v>44970</v>
      </c>
      <c r="M78" s="116">
        <v>44970</v>
      </c>
      <c r="N78" s="2">
        <v>54598</v>
      </c>
      <c r="O78" s="7">
        <f t="shared" si="18"/>
        <v>47.61628433333334</v>
      </c>
      <c r="P78" s="7">
        <v>0</v>
      </c>
      <c r="Q78" s="7">
        <v>0</v>
      </c>
      <c r="R78" s="52">
        <v>0.25</v>
      </c>
      <c r="S78" s="2">
        <v>6</v>
      </c>
      <c r="T78" s="53">
        <v>484.23340000000002</v>
      </c>
      <c r="U78" s="53">
        <f t="shared" si="19"/>
        <v>8.0705566666666673E-2</v>
      </c>
      <c r="V78" s="2" t="str" cm="1">
        <f t="array" aca="1" ref="V78" ca="1">TRIM(SUBSTITUTE(_xlfn.ARRAYTOTEXT(IFERROR(CONCATENATE(SUMIF(INDIRECT("'"&amp;Assemblies[Assy]&amp;"'!"&amp;"C$5:C1000"), $B78, INDIRECT("'"&amp;Assemblies[Assy]&amp;"'!"&amp;"O$5:O1000")), "x",Assemblies[Assy],".",IF(SUMIF(INDIRECT("'"&amp;Assemblies[Assy]&amp;"'!"&amp;"C$5:C1000"), $B78, INDIRECT("'"&amp;Assemblies[Assy]&amp;"'!"&amp;"A$5:A1000"))=0,NA(),SUMIF(INDIRECT("'"&amp;Assemblies[Assy]&amp;"'!"&amp;"C$5:C1000"), $B78, INDIRECT("'"&amp;Assemblies[Assy]&amp;"'!"&amp;"A$5:A1000")))),"")), " ,", ""))</f>
        <v>,</v>
      </c>
      <c r="W78" s="161" t="s">
        <v>1897</v>
      </c>
    </row>
    <row r="79" spans="1:24">
      <c r="A79" s="166">
        <v>722.8</v>
      </c>
      <c r="B79" s="2" t="s">
        <v>786</v>
      </c>
      <c r="C79" s="121" t="s">
        <v>3368</v>
      </c>
      <c r="D79" s="5" t="e" cm="1">
        <f t="array" aca="1" ref="D79" ca="1">SUMPRODUCT(SUMIF(INDIRECT("'"&amp;Assemblies[Assy]&amp;"'!"&amp;"C$5:C1000"),$B79,(INDIRECT("'"&amp;Assemblies[Assy]&amp;"'!"&amp;"O$5:O1000"))))</f>
        <v>#VALUE!</v>
      </c>
      <c r="E79" s="5">
        <v>6</v>
      </c>
      <c r="F79" s="52">
        <f t="shared" si="17"/>
        <v>74.583983586666676</v>
      </c>
      <c r="G79" s="2" t="s">
        <v>3351</v>
      </c>
      <c r="H79" s="2" t="s">
        <v>1812</v>
      </c>
      <c r="I79" s="2" t="s">
        <v>1382</v>
      </c>
      <c r="J79" s="116" t="s">
        <v>1762</v>
      </c>
      <c r="K79" s="116">
        <v>44894</v>
      </c>
      <c r="L79" s="116">
        <v>44970</v>
      </c>
      <c r="M79" s="116">
        <v>44970</v>
      </c>
      <c r="N79" s="2">
        <v>54598</v>
      </c>
      <c r="O79" s="7">
        <f t="shared" si="18"/>
        <v>58.333983586666669</v>
      </c>
      <c r="P79" s="7">
        <v>0</v>
      </c>
      <c r="Q79" s="7">
        <v>0</v>
      </c>
      <c r="R79" s="52">
        <v>0.25</v>
      </c>
      <c r="S79" s="2">
        <v>6</v>
      </c>
      <c r="T79" s="53">
        <v>484.23340000000002</v>
      </c>
      <c r="U79" s="53">
        <f t="shared" si="19"/>
        <v>8.0705566666666673E-2</v>
      </c>
      <c r="V79" s="2" t="str" cm="1">
        <f t="array" aca="1" ref="V79" ca="1">TRIM(SUBSTITUTE(_xlfn.ARRAYTOTEXT(IFERROR(CONCATENATE(SUMIF(INDIRECT("'"&amp;Assemblies[Assy]&amp;"'!"&amp;"C$5:C1000"), $B79, INDIRECT("'"&amp;Assemblies[Assy]&amp;"'!"&amp;"O$5:O1000")), "x",Assemblies[Assy],".",IF(SUMIF(INDIRECT("'"&amp;Assemblies[Assy]&amp;"'!"&amp;"C$5:C1000"), $B79, INDIRECT("'"&amp;Assemblies[Assy]&amp;"'!"&amp;"A$5:A1000"))=0,NA(),SUMIF(INDIRECT("'"&amp;Assemblies[Assy]&amp;"'!"&amp;"C$5:C1000"), $B79, INDIRECT("'"&amp;Assemblies[Assy]&amp;"'!"&amp;"A$5:A1000")))),"")), " ,", ""))</f>
        <v>,</v>
      </c>
      <c r="W79" s="161" t="s">
        <v>1897</v>
      </c>
    </row>
    <row r="80" spans="1:24">
      <c r="A80" s="166">
        <v>732.57</v>
      </c>
      <c r="B80" s="2" t="s">
        <v>1124</v>
      </c>
      <c r="C80" s="121" t="s">
        <v>3365</v>
      </c>
      <c r="D80" s="5" t="e" cm="1">
        <f t="array" aca="1" ref="D80" ca="1">SUMPRODUCT(SUMIF(INDIRECT("'"&amp;Assemblies[Assy]&amp;"'!"&amp;"C$5:C1000"),$B80,(INDIRECT("'"&amp;Assemblies[Assy]&amp;"'!"&amp;"O$5:O1000"))))</f>
        <v>#VALUE!</v>
      </c>
      <c r="E80" s="5">
        <v>4</v>
      </c>
      <c r="F80" s="52">
        <f t="shared" si="17"/>
        <v>75.372476973000005</v>
      </c>
      <c r="G80" s="2" t="s">
        <v>3351</v>
      </c>
      <c r="H80" s="2" t="s">
        <v>1812</v>
      </c>
      <c r="I80" s="2" t="s">
        <v>1382</v>
      </c>
      <c r="J80" s="116" t="s">
        <v>1762</v>
      </c>
      <c r="K80" s="116">
        <v>44894</v>
      </c>
      <c r="L80" s="116">
        <v>44970</v>
      </c>
      <c r="M80" s="116">
        <v>44970</v>
      </c>
      <c r="N80" s="2">
        <v>54598</v>
      </c>
      <c r="O80" s="7">
        <f t="shared" si="18"/>
        <v>59.122476973000012</v>
      </c>
      <c r="P80" s="7">
        <v>0</v>
      </c>
      <c r="Q80" s="7">
        <v>0</v>
      </c>
      <c r="R80" s="52">
        <v>0.25</v>
      </c>
      <c r="S80" s="2">
        <v>6</v>
      </c>
      <c r="T80" s="53">
        <v>484.23340000000002</v>
      </c>
      <c r="U80" s="53">
        <f t="shared" si="19"/>
        <v>8.0705566666666673E-2</v>
      </c>
      <c r="V80" s="2" t="str" cm="1">
        <f t="array" aca="1" ref="V80" ca="1">TRIM(SUBSTITUTE(_xlfn.ARRAYTOTEXT(IFERROR(CONCATENATE(SUMIF(INDIRECT("'"&amp;Assemblies[Assy]&amp;"'!"&amp;"C$5:C1000"), $B80, INDIRECT("'"&amp;Assemblies[Assy]&amp;"'!"&amp;"O$5:O1000")), "x",Assemblies[Assy],".",IF(SUMIF(INDIRECT("'"&amp;Assemblies[Assy]&amp;"'!"&amp;"C$5:C1000"), $B80, INDIRECT("'"&amp;Assemblies[Assy]&amp;"'!"&amp;"A$5:A1000"))=0,NA(),SUMIF(INDIRECT("'"&amp;Assemblies[Assy]&amp;"'!"&amp;"C$5:C1000"), $B80, INDIRECT("'"&amp;Assemblies[Assy]&amp;"'!"&amp;"A$5:A1000")))),"")), " ,", ""))</f>
        <v>,</v>
      </c>
      <c r="W80" s="161" t="s">
        <v>1897</v>
      </c>
    </row>
    <row r="81" spans="1:24">
      <c r="A81" s="166">
        <v>735</v>
      </c>
      <c r="B81" s="2" t="s">
        <v>247</v>
      </c>
      <c r="C81" s="121" t="s">
        <v>3358</v>
      </c>
      <c r="D81" s="5" t="e" cm="1">
        <f t="array" aca="1" ref="D81" ca="1">SUMPRODUCT(SUMIF(INDIRECT("'"&amp;Assemblies[Assy]&amp;"'!"&amp;"C$5:C1000"),$B81,(INDIRECT("'"&amp;Assemblies[Assy]&amp;"'!"&amp;"O$5:O1000"))))</f>
        <v>#VALUE!</v>
      </c>
      <c r="E81" s="5">
        <v>18</v>
      </c>
      <c r="F81" s="52">
        <f t="shared" si="17"/>
        <v>75.568591499999997</v>
      </c>
      <c r="G81" s="2" t="s">
        <v>3351</v>
      </c>
      <c r="H81" s="2" t="s">
        <v>1812</v>
      </c>
      <c r="I81" s="2" t="s">
        <v>1382</v>
      </c>
      <c r="J81" s="116" t="s">
        <v>1762</v>
      </c>
      <c r="K81" s="116">
        <v>44894</v>
      </c>
      <c r="L81" s="116">
        <v>44970</v>
      </c>
      <c r="M81" s="116">
        <v>44970</v>
      </c>
      <c r="N81" s="2">
        <v>54598</v>
      </c>
      <c r="O81" s="7">
        <f t="shared" si="18"/>
        <v>59.318591500000004</v>
      </c>
      <c r="P81" s="7">
        <v>0</v>
      </c>
      <c r="Q81" s="7">
        <v>0</v>
      </c>
      <c r="R81" s="52">
        <v>0.25</v>
      </c>
      <c r="S81" s="2">
        <v>6</v>
      </c>
      <c r="T81" s="53">
        <v>484.23340000000002</v>
      </c>
      <c r="U81" s="53">
        <f t="shared" si="19"/>
        <v>8.0705566666666673E-2</v>
      </c>
      <c r="V81" s="2" t="str" cm="1">
        <f t="array" aca="1" ref="V81" ca="1">TRIM(SUBSTITUTE(_xlfn.ARRAYTOTEXT(IFERROR(CONCATENATE(SUMIF(INDIRECT("'"&amp;Assemblies[Assy]&amp;"'!"&amp;"C$5:C1000"), $B81, INDIRECT("'"&amp;Assemblies[Assy]&amp;"'!"&amp;"O$5:O1000")), "x",Assemblies[Assy],".",IF(SUMIF(INDIRECT("'"&amp;Assemblies[Assy]&amp;"'!"&amp;"C$5:C1000"), $B81, INDIRECT("'"&amp;Assemblies[Assy]&amp;"'!"&amp;"A$5:A1000"))=0,NA(),SUMIF(INDIRECT("'"&amp;Assemblies[Assy]&amp;"'!"&amp;"C$5:C1000"), $B81, INDIRECT("'"&amp;Assemblies[Assy]&amp;"'!"&amp;"A$5:A1000")))),"")), " ,", ""))</f>
        <v>,</v>
      </c>
      <c r="W81" s="161" t="s">
        <v>1897</v>
      </c>
    </row>
    <row r="82" spans="1:24">
      <c r="A82" s="166">
        <v>750</v>
      </c>
      <c r="B82" s="2" t="s">
        <v>578</v>
      </c>
      <c r="C82" s="121" t="s">
        <v>3361</v>
      </c>
      <c r="D82" s="5" t="e" cm="1">
        <f t="array" aca="1" ref="D82" ca="1">SUMPRODUCT(SUMIF(INDIRECT("'"&amp;Assemblies[Assy]&amp;"'!"&amp;"C$5:C1000"),$B82,(INDIRECT("'"&amp;Assemblies[Assy]&amp;"'!"&amp;"O$5:O1000"))))</f>
        <v>#VALUE!</v>
      </c>
      <c r="E82" s="5">
        <v>2</v>
      </c>
      <c r="F82" s="52">
        <f t="shared" si="17"/>
        <v>76.779175000000009</v>
      </c>
      <c r="G82" s="2" t="s">
        <v>3351</v>
      </c>
      <c r="H82" s="2" t="s">
        <v>1812</v>
      </c>
      <c r="I82" s="2" t="s">
        <v>1382</v>
      </c>
      <c r="J82" s="116" t="s">
        <v>1762</v>
      </c>
      <c r="K82" s="116">
        <v>44894</v>
      </c>
      <c r="L82" s="116">
        <v>44970</v>
      </c>
      <c r="M82" s="116">
        <v>44970</v>
      </c>
      <c r="N82" s="2">
        <v>54598</v>
      </c>
      <c r="O82" s="7">
        <f t="shared" si="18"/>
        <v>60.529175000000002</v>
      </c>
      <c r="P82" s="7">
        <v>0</v>
      </c>
      <c r="Q82" s="7">
        <v>0</v>
      </c>
      <c r="R82" s="52">
        <v>0.25</v>
      </c>
      <c r="S82" s="2">
        <v>6</v>
      </c>
      <c r="T82" s="53">
        <v>484.23340000000002</v>
      </c>
      <c r="U82" s="53">
        <f t="shared" si="19"/>
        <v>8.0705566666666673E-2</v>
      </c>
      <c r="V82" s="2" t="str" cm="1">
        <f t="array" aca="1" ref="V82" ca="1">TRIM(SUBSTITUTE(_xlfn.ARRAYTOTEXT(IFERROR(CONCATENATE(SUMIF(INDIRECT("'"&amp;Assemblies[Assy]&amp;"'!"&amp;"C$5:C1000"), $B82, INDIRECT("'"&amp;Assemblies[Assy]&amp;"'!"&amp;"O$5:O1000")), "x",Assemblies[Assy],".",IF(SUMIF(INDIRECT("'"&amp;Assemblies[Assy]&amp;"'!"&amp;"C$5:C1000"), $B82, INDIRECT("'"&amp;Assemblies[Assy]&amp;"'!"&amp;"A$5:A1000"))=0,NA(),SUMIF(INDIRECT("'"&amp;Assemblies[Assy]&amp;"'!"&amp;"C$5:C1000"), $B82, INDIRECT("'"&amp;Assemblies[Assy]&amp;"'!"&amp;"A$5:A1000")))),"")), " ,", ""))</f>
        <v>,</v>
      </c>
      <c r="W82" s="161" t="s">
        <v>1897</v>
      </c>
    </row>
    <row r="83" spans="1:24">
      <c r="A83" s="166">
        <v>756.4</v>
      </c>
      <c r="B83" s="2" t="s">
        <v>579</v>
      </c>
      <c r="C83" s="121" t="s">
        <v>3361</v>
      </c>
      <c r="D83" s="5" t="e" cm="1">
        <f t="array" aca="1" ref="D83" ca="1">SUMPRODUCT(SUMIF(INDIRECT("'"&amp;Assemblies[Assy]&amp;"'!"&amp;"C$5:C1000"),$B83,(INDIRECT("'"&amp;Assemblies[Assy]&amp;"'!"&amp;"O$5:O1000"))))</f>
        <v>#VALUE!</v>
      </c>
      <c r="E83" s="5">
        <v>4</v>
      </c>
      <c r="F83" s="52">
        <f t="shared" si="17"/>
        <v>77.295690626666669</v>
      </c>
      <c r="G83" s="2" t="s">
        <v>3351</v>
      </c>
      <c r="H83" s="2" t="s">
        <v>1812</v>
      </c>
      <c r="I83" s="2" t="s">
        <v>1382</v>
      </c>
      <c r="J83" s="116" t="s">
        <v>1762</v>
      </c>
      <c r="K83" s="116">
        <v>44894</v>
      </c>
      <c r="L83" s="116">
        <v>44970</v>
      </c>
      <c r="M83" s="116">
        <v>44970</v>
      </c>
      <c r="N83" s="2">
        <v>54598</v>
      </c>
      <c r="O83" s="7">
        <f t="shared" si="18"/>
        <v>61.045690626666669</v>
      </c>
      <c r="P83" s="7">
        <v>0</v>
      </c>
      <c r="Q83" s="7">
        <v>0</v>
      </c>
      <c r="R83" s="52">
        <v>0.25</v>
      </c>
      <c r="S83" s="2">
        <v>6</v>
      </c>
      <c r="T83" s="53">
        <v>484.23340000000002</v>
      </c>
      <c r="U83" s="53">
        <f t="shared" si="19"/>
        <v>8.0705566666666673E-2</v>
      </c>
      <c r="V83" s="2" t="str" cm="1">
        <f t="array" aca="1" ref="V83" ca="1">TRIM(SUBSTITUTE(_xlfn.ARRAYTOTEXT(IFERROR(CONCATENATE(SUMIF(INDIRECT("'"&amp;Assemblies[Assy]&amp;"'!"&amp;"C$5:C1000"), $B83, INDIRECT("'"&amp;Assemblies[Assy]&amp;"'!"&amp;"O$5:O1000")), "x",Assemblies[Assy],".",IF(SUMIF(INDIRECT("'"&amp;Assemblies[Assy]&amp;"'!"&amp;"C$5:C1000"), $B83, INDIRECT("'"&amp;Assemblies[Assy]&amp;"'!"&amp;"A$5:A1000"))=0,NA(),SUMIF(INDIRECT("'"&amp;Assemblies[Assy]&amp;"'!"&amp;"C$5:C1000"), $B83, INDIRECT("'"&amp;Assemblies[Assy]&amp;"'!"&amp;"A$5:A1000")))),"")), " ,", ""))</f>
        <v>,</v>
      </c>
      <c r="W83" s="161" t="s">
        <v>1897</v>
      </c>
    </row>
    <row r="84" spans="1:24">
      <c r="A84" s="166">
        <v>800.86</v>
      </c>
      <c r="B84" s="2" t="s">
        <v>1126</v>
      </c>
      <c r="C84" s="121" t="s">
        <v>3365</v>
      </c>
      <c r="D84" s="5" t="e" cm="1">
        <f t="array" aca="1" ref="D84" ca="1">SUMPRODUCT(SUMIF(INDIRECT("'"&amp;Assemblies[Assy]&amp;"'!"&amp;"C$5:C1000"),$B84,(INDIRECT("'"&amp;Assemblies[Assy]&amp;"'!"&amp;"O$5:O1000"))))</f>
        <v>#VALUE!</v>
      </c>
      <c r="E84" s="5">
        <v>3</v>
      </c>
      <c r="F84" s="52">
        <f t="shared" si="17"/>
        <v>80.883860120666668</v>
      </c>
      <c r="G84" s="2" t="s">
        <v>3351</v>
      </c>
      <c r="H84" s="2" t="s">
        <v>1812</v>
      </c>
      <c r="I84" s="2" t="s">
        <v>1382</v>
      </c>
      <c r="J84" s="116" t="s">
        <v>1762</v>
      </c>
      <c r="K84" s="116">
        <v>44894</v>
      </c>
      <c r="L84" s="116">
        <v>44970</v>
      </c>
      <c r="M84" s="116">
        <v>44970</v>
      </c>
      <c r="N84" s="2">
        <v>54598</v>
      </c>
      <c r="O84" s="7">
        <f t="shared" si="18"/>
        <v>64.633860120666668</v>
      </c>
      <c r="P84" s="7">
        <v>0</v>
      </c>
      <c r="Q84" s="7">
        <v>0</v>
      </c>
      <c r="R84" s="52">
        <v>0.25</v>
      </c>
      <c r="S84" s="2">
        <v>6</v>
      </c>
      <c r="T84" s="53">
        <v>484.23340000000002</v>
      </c>
      <c r="U84" s="53">
        <f t="shared" si="19"/>
        <v>8.0705566666666673E-2</v>
      </c>
      <c r="V84" s="2" t="str" cm="1">
        <f t="array" aca="1" ref="V84" ca="1">TRIM(SUBSTITUTE(_xlfn.ARRAYTOTEXT(IFERROR(CONCATENATE(SUMIF(INDIRECT("'"&amp;Assemblies[Assy]&amp;"'!"&amp;"C$5:C1000"), $B84, INDIRECT("'"&amp;Assemblies[Assy]&amp;"'!"&amp;"O$5:O1000")), "x",Assemblies[Assy],".",IF(SUMIF(INDIRECT("'"&amp;Assemblies[Assy]&amp;"'!"&amp;"C$5:C1000"), $B84, INDIRECT("'"&amp;Assemblies[Assy]&amp;"'!"&amp;"A$5:A1000"))=0,NA(),SUMIF(INDIRECT("'"&amp;Assemblies[Assy]&amp;"'!"&amp;"C$5:C1000"), $B84, INDIRECT("'"&amp;Assemblies[Assy]&amp;"'!"&amp;"A$5:A1000")))),"")), " ,", ""))</f>
        <v>,</v>
      </c>
      <c r="W84" s="161" t="s">
        <v>1897</v>
      </c>
    </row>
    <row r="85" spans="1:24">
      <c r="A85" s="166">
        <v>855</v>
      </c>
      <c r="B85" s="2" t="s">
        <v>911</v>
      </c>
      <c r="C85" s="121" t="s">
        <v>3350</v>
      </c>
      <c r="D85" s="5" t="e" cm="1">
        <f t="array" aca="1" ref="D85" ca="1">SUMPRODUCT(SUMIF(INDIRECT("'"&amp;Assemblies[Assy]&amp;"'!"&amp;"C$5:C1000"),$B85,(INDIRECT("'"&amp;Assemblies[Assy]&amp;"'!"&amp;"O$5:O1000"))))</f>
        <v>#VALUE!</v>
      </c>
      <c r="E85" s="5">
        <v>4</v>
      </c>
      <c r="F85" s="52">
        <f t="shared" si="17"/>
        <v>85.253259499999999</v>
      </c>
      <c r="G85" s="2" t="s">
        <v>3351</v>
      </c>
      <c r="H85" s="2" t="s">
        <v>1812</v>
      </c>
      <c r="I85" s="2" t="s">
        <v>1382</v>
      </c>
      <c r="J85" s="116" t="s">
        <v>1762</v>
      </c>
      <c r="K85" s="116">
        <v>44894</v>
      </c>
      <c r="L85" s="116">
        <v>44970</v>
      </c>
      <c r="M85" s="116">
        <v>44970</v>
      </c>
      <c r="N85" s="2">
        <v>54598</v>
      </c>
      <c r="O85" s="7">
        <f t="shared" si="18"/>
        <v>69.003259499999999</v>
      </c>
      <c r="P85" s="7">
        <v>0</v>
      </c>
      <c r="Q85" s="7">
        <v>0</v>
      </c>
      <c r="R85" s="52">
        <v>0.25</v>
      </c>
      <c r="S85" s="2">
        <v>6</v>
      </c>
      <c r="T85" s="53">
        <v>484.23340000000002</v>
      </c>
      <c r="U85" s="53">
        <f t="shared" si="19"/>
        <v>8.0705566666666673E-2</v>
      </c>
      <c r="V85" s="2" t="str" cm="1">
        <f t="array" aca="1" ref="V85" ca="1">TRIM(SUBSTITUTE(_xlfn.ARRAYTOTEXT(IFERROR(CONCATENATE(SUMIF(INDIRECT("'"&amp;Assemblies[Assy]&amp;"'!"&amp;"C$5:C1000"), $B85, INDIRECT("'"&amp;Assemblies[Assy]&amp;"'!"&amp;"O$5:O1000")), "x",Assemblies[Assy],".",IF(SUMIF(INDIRECT("'"&amp;Assemblies[Assy]&amp;"'!"&amp;"C$5:C1000"), $B85, INDIRECT("'"&amp;Assemblies[Assy]&amp;"'!"&amp;"A$5:A1000"))=0,NA(),SUMIF(INDIRECT("'"&amp;Assemblies[Assy]&amp;"'!"&amp;"C$5:C1000"), $B85, INDIRECT("'"&amp;Assemblies[Assy]&amp;"'!"&amp;"A$5:A1000")))),"")), " ,", ""))</f>
        <v>,</v>
      </c>
      <c r="W85" s="161" t="s">
        <v>1897</v>
      </c>
    </row>
    <row r="86" spans="1:24">
      <c r="A86" s="166">
        <v>679</v>
      </c>
      <c r="B86" s="2" t="s">
        <v>1255</v>
      </c>
      <c r="C86" s="121" t="s">
        <v>3371</v>
      </c>
      <c r="D86" s="5" t="e" cm="1">
        <f t="array" aca="1" ref="D86" ca="1">SUMPRODUCT(SUMIF(INDIRECT("'"&amp;Assemblies[Assy]&amp;"'!"&amp;"C$5:C1000"),$B86,(INDIRECT("'"&amp;Assemblies[Assy]&amp;"'!"&amp;"O$5:O1000"))))</f>
        <v>#VALUE!</v>
      </c>
      <c r="E86" s="5">
        <v>4</v>
      </c>
      <c r="F86" s="52">
        <f t="shared" si="17"/>
        <v>71.049079766666665</v>
      </c>
      <c r="G86" s="2" t="s">
        <v>3351</v>
      </c>
      <c r="H86" s="2" t="s">
        <v>1812</v>
      </c>
      <c r="I86" s="2" t="s">
        <v>1382</v>
      </c>
      <c r="J86" s="116" t="s">
        <v>1762</v>
      </c>
      <c r="K86" s="116">
        <v>44894</v>
      </c>
      <c r="L86" s="116">
        <v>44970</v>
      </c>
      <c r="M86" s="116">
        <v>44970</v>
      </c>
      <c r="N86" s="2">
        <v>54598</v>
      </c>
      <c r="O86" s="7">
        <f t="shared" si="18"/>
        <v>54.799079766666672</v>
      </c>
      <c r="P86" s="7">
        <v>0</v>
      </c>
      <c r="Q86" s="7">
        <v>0</v>
      </c>
      <c r="R86" s="52">
        <v>0.25</v>
      </c>
      <c r="S86" s="2">
        <v>6</v>
      </c>
      <c r="T86" s="53">
        <v>484.23340000000002</v>
      </c>
      <c r="U86" s="53">
        <f t="shared" si="19"/>
        <v>8.0705566666666673E-2</v>
      </c>
      <c r="V86" s="2" t="str" cm="1">
        <f t="array" aca="1" ref="V86" ca="1">TRIM(SUBSTITUTE(_xlfn.ARRAYTOTEXT(IFERROR(CONCATENATE(SUMIF(INDIRECT("'"&amp;Assemblies[Assy]&amp;"'!"&amp;"C$5:C1000"), $B86, INDIRECT("'"&amp;Assemblies[Assy]&amp;"'!"&amp;"O$5:O1000")), "x",Assemblies[Assy],".",IF(SUMIF(INDIRECT("'"&amp;Assemblies[Assy]&amp;"'!"&amp;"C$5:C1000"), $B86, INDIRECT("'"&amp;Assemblies[Assy]&amp;"'!"&amp;"A$5:A1000"))=0,NA(),SUMIF(INDIRECT("'"&amp;Assemblies[Assy]&amp;"'!"&amp;"C$5:C1000"), $B86, INDIRECT("'"&amp;Assemblies[Assy]&amp;"'!"&amp;"A$5:A1000")))),"")), " ,", ""))</f>
        <v>,</v>
      </c>
      <c r="W86" s="161" t="s">
        <v>1897</v>
      </c>
    </row>
    <row r="87" spans="1:24">
      <c r="A87" s="166">
        <v>689</v>
      </c>
      <c r="B87" s="2" t="s">
        <v>1054</v>
      </c>
      <c r="C87" s="121" t="s">
        <v>3372</v>
      </c>
      <c r="D87" s="5" t="e" cm="1">
        <f t="array" aca="1" ref="D87" ca="1">SUMPRODUCT(SUMIF(INDIRECT("'"&amp;Assemblies[Assy]&amp;"'!"&amp;"C$5:C1000"),$B87,(INDIRECT("'"&amp;Assemblies[Assy]&amp;"'!"&amp;"O$5:O1000"))))</f>
        <v>#VALUE!</v>
      </c>
      <c r="E87" s="5">
        <v>6</v>
      </c>
      <c r="F87" s="52">
        <f t="shared" si="17"/>
        <v>71.856135433333336</v>
      </c>
      <c r="G87" s="2" t="s">
        <v>3351</v>
      </c>
      <c r="H87" s="2" t="s">
        <v>1812</v>
      </c>
      <c r="I87" s="2" t="s">
        <v>1382</v>
      </c>
      <c r="J87" s="116" t="s">
        <v>1762</v>
      </c>
      <c r="K87" s="116">
        <v>44894</v>
      </c>
      <c r="L87" s="116">
        <v>44970</v>
      </c>
      <c r="M87" s="116">
        <v>44970</v>
      </c>
      <c r="N87" s="2">
        <v>54598</v>
      </c>
      <c r="O87" s="7">
        <f t="shared" si="18"/>
        <v>55.606135433333336</v>
      </c>
      <c r="P87" s="7">
        <v>0</v>
      </c>
      <c r="Q87" s="7">
        <v>0</v>
      </c>
      <c r="R87" s="52">
        <v>0.25</v>
      </c>
      <c r="S87" s="2">
        <v>6</v>
      </c>
      <c r="T87" s="53">
        <v>484.23340000000002</v>
      </c>
      <c r="U87" s="53">
        <f t="shared" si="19"/>
        <v>8.0705566666666673E-2</v>
      </c>
      <c r="V87" s="2" t="str" cm="1">
        <f t="array" aca="1" ref="V87" ca="1">TRIM(SUBSTITUTE(_xlfn.ARRAYTOTEXT(IFERROR(CONCATENATE(SUMIF(INDIRECT("'"&amp;Assemblies[Assy]&amp;"'!"&amp;"C$5:C1000"), $B87, INDIRECT("'"&amp;Assemblies[Assy]&amp;"'!"&amp;"O$5:O1000")), "x",Assemblies[Assy],".",IF(SUMIF(INDIRECT("'"&amp;Assemblies[Assy]&amp;"'!"&amp;"C$5:C1000"), $B87, INDIRECT("'"&amp;Assemblies[Assy]&amp;"'!"&amp;"A$5:A1000"))=0,NA(),SUMIF(INDIRECT("'"&amp;Assemblies[Assy]&amp;"'!"&amp;"C$5:C1000"), $B87, INDIRECT("'"&amp;Assemblies[Assy]&amp;"'!"&amp;"A$5:A1000")))),"")), " ,", ""))</f>
        <v>,</v>
      </c>
      <c r="W87" s="161" t="s">
        <v>1897</v>
      </c>
    </row>
    <row r="88" spans="1:24">
      <c r="A88" s="166">
        <v>144.25</v>
      </c>
      <c r="B88" s="2" t="s">
        <v>788</v>
      </c>
      <c r="C88" s="2" t="s">
        <v>3368</v>
      </c>
      <c r="D88" s="5" t="e" cm="1">
        <f t="array" aca="1" ref="D88" ca="1">SUMPRODUCT(SUMIF(INDIRECT("'"&amp;Assemblies[Assy]&amp;"'!"&amp;"C$5:C1000"),$B88,(INDIRECT("'"&amp;Assemblies[Assy]&amp;"'!"&amp;"O$5:O1000"))))</f>
        <v>#VALUE!</v>
      </c>
      <c r="E88" s="5">
        <v>8</v>
      </c>
      <c r="F88" s="52">
        <f t="shared" si="17"/>
        <v>27.891777991666668</v>
      </c>
      <c r="G88" s="2" t="s">
        <v>3351</v>
      </c>
      <c r="H88" s="2" t="s">
        <v>1812</v>
      </c>
      <c r="I88" s="2" t="s">
        <v>1382</v>
      </c>
      <c r="J88" s="116" t="s">
        <v>1762</v>
      </c>
      <c r="K88" s="116">
        <v>44894</v>
      </c>
      <c r="L88" s="116">
        <v>44970</v>
      </c>
      <c r="M88" s="116">
        <v>44970</v>
      </c>
      <c r="N88" s="2">
        <v>54598</v>
      </c>
      <c r="O88" s="7">
        <f t="shared" si="18"/>
        <v>11.641777991666668</v>
      </c>
      <c r="P88" s="7">
        <v>0</v>
      </c>
      <c r="Q88" s="7">
        <v>0</v>
      </c>
      <c r="R88" s="52">
        <v>0.25</v>
      </c>
      <c r="S88" s="2">
        <v>6</v>
      </c>
      <c r="T88" s="53">
        <v>484.23340000000002</v>
      </c>
      <c r="U88" s="53">
        <f t="shared" si="19"/>
        <v>8.0705566666666673E-2</v>
      </c>
      <c r="V88" s="2" t="str" cm="1">
        <f t="array" aca="1" ref="V88" ca="1">TRIM(SUBSTITUTE(_xlfn.ARRAYTOTEXT(IFERROR(CONCATENATE(SUMIF(INDIRECT("'"&amp;Assemblies[Assy]&amp;"'!"&amp;"C$5:C1000"), $B88, INDIRECT("'"&amp;Assemblies[Assy]&amp;"'!"&amp;"O$5:O1000")), "x",Assemblies[Assy],".",IF(SUMIF(INDIRECT("'"&amp;Assemblies[Assy]&amp;"'!"&amp;"C$5:C1000"), $B88, INDIRECT("'"&amp;Assemblies[Assy]&amp;"'!"&amp;"A$5:A1000"))=0,NA(),SUMIF(INDIRECT("'"&amp;Assemblies[Assy]&amp;"'!"&amp;"C$5:C1000"), $B88, INDIRECT("'"&amp;Assemblies[Assy]&amp;"'!"&amp;"A$5:A1000")))),"")), " ,", ""))</f>
        <v>,</v>
      </c>
      <c r="W88" s="161" t="s">
        <v>1897</v>
      </c>
    </row>
    <row r="89" spans="1:24">
      <c r="A89" s="166">
        <v>351.6</v>
      </c>
      <c r="B89" s="2" t="s">
        <v>1203</v>
      </c>
      <c r="C89" s="121" t="s">
        <v>3367</v>
      </c>
      <c r="D89" s="5" t="e" cm="1">
        <f t="array" aca="1" ref="D89" ca="1">SUMPRODUCT(SUMIF(INDIRECT("'"&amp;Assemblies[Assy]&amp;"'!"&amp;"C$5:C1000"),$B89,(INDIRECT("'"&amp;Assemblies[Assy]&amp;"'!"&amp;"O$5:O1000"))))</f>
        <v>#VALUE!</v>
      </c>
      <c r="E89" s="5">
        <v>8</v>
      </c>
      <c r="F89" s="52">
        <f t="shared" si="17"/>
        <v>44.626077240000001</v>
      </c>
      <c r="G89" s="2" t="s">
        <v>3351</v>
      </c>
      <c r="H89" s="2" t="s">
        <v>1812</v>
      </c>
      <c r="I89" s="2" t="s">
        <v>1382</v>
      </c>
      <c r="J89" s="116" t="s">
        <v>1762</v>
      </c>
      <c r="K89" s="116">
        <v>44894</v>
      </c>
      <c r="L89" s="116">
        <v>44970</v>
      </c>
      <c r="M89" s="116">
        <v>44970</v>
      </c>
      <c r="N89" s="2">
        <v>54598</v>
      </c>
      <c r="O89" s="7">
        <f t="shared" si="18"/>
        <v>28.376077240000004</v>
      </c>
      <c r="P89" s="7">
        <v>0</v>
      </c>
      <c r="Q89" s="7">
        <v>0</v>
      </c>
      <c r="R89" s="52">
        <v>0.25</v>
      </c>
      <c r="S89" s="2">
        <v>6</v>
      </c>
      <c r="T89" s="53">
        <v>484.23340000000002</v>
      </c>
      <c r="U89" s="53">
        <f t="shared" si="19"/>
        <v>8.0705566666666673E-2</v>
      </c>
      <c r="V89" s="2" t="str" cm="1">
        <f t="array" aca="1" ref="V89" ca="1">TRIM(SUBSTITUTE(_xlfn.ARRAYTOTEXT(IFERROR(CONCATENATE(SUMIF(INDIRECT("'"&amp;Assemblies[Assy]&amp;"'!"&amp;"C$5:C1000"), $B89, INDIRECT("'"&amp;Assemblies[Assy]&amp;"'!"&amp;"O$5:O1000")), "x",Assemblies[Assy],".",IF(SUMIF(INDIRECT("'"&amp;Assemblies[Assy]&amp;"'!"&amp;"C$5:C1000"), $B89, INDIRECT("'"&amp;Assemblies[Assy]&amp;"'!"&amp;"A$5:A1000"))=0,NA(),SUMIF(INDIRECT("'"&amp;Assemblies[Assy]&amp;"'!"&amp;"C$5:C1000"), $B89, INDIRECT("'"&amp;Assemblies[Assy]&amp;"'!"&amp;"A$5:A1000")))),"")), " ,", ""))</f>
        <v>,</v>
      </c>
      <c r="W89" s="161" t="s">
        <v>1897</v>
      </c>
    </row>
    <row r="90" spans="1:24">
      <c r="A90" s="166">
        <v>620</v>
      </c>
      <c r="B90" s="2" t="s">
        <v>1368</v>
      </c>
      <c r="C90" s="121" t="s">
        <v>3370</v>
      </c>
      <c r="D90" s="5" t="e" cm="1">
        <f t="array" aca="1" ref="D90" ca="1">SUMPRODUCT(SUMIF(INDIRECT("'"&amp;Assemblies[Assy]&amp;"'!"&amp;"C$5:C1000"),$B90,(INDIRECT("'"&amp;Assemblies[Assy]&amp;"'!"&amp;"O$5:O1000"))))</f>
        <v>#VALUE!</v>
      </c>
      <c r="E90" s="5">
        <v>20</v>
      </c>
      <c r="F90" s="52">
        <f t="shared" si="17"/>
        <v>66.287451333333337</v>
      </c>
      <c r="G90" s="2" t="s">
        <v>3351</v>
      </c>
      <c r="H90" s="2" t="s">
        <v>1812</v>
      </c>
      <c r="I90" s="2" t="s">
        <v>1382</v>
      </c>
      <c r="J90" s="116" t="s">
        <v>1762</v>
      </c>
      <c r="K90" s="116">
        <v>44894</v>
      </c>
      <c r="L90" s="116">
        <v>44970</v>
      </c>
      <c r="M90" s="116">
        <v>44970</v>
      </c>
      <c r="N90" s="2">
        <v>54598</v>
      </c>
      <c r="O90" s="7">
        <f t="shared" si="18"/>
        <v>50.037451333333337</v>
      </c>
      <c r="P90" s="7">
        <v>0</v>
      </c>
      <c r="Q90" s="7">
        <v>0</v>
      </c>
      <c r="R90" s="52">
        <v>0.25</v>
      </c>
      <c r="S90" s="2">
        <v>6</v>
      </c>
      <c r="T90" s="53">
        <v>484.23340000000002</v>
      </c>
      <c r="U90" s="53">
        <f t="shared" si="19"/>
        <v>8.0705566666666673E-2</v>
      </c>
      <c r="V90" s="2" t="str" cm="1">
        <f t="array" aca="1" ref="V90" ca="1">TRIM(SUBSTITUTE(_xlfn.ARRAYTOTEXT(IFERROR(CONCATENATE(SUMIF(INDIRECT("'"&amp;Assemblies[Assy]&amp;"'!"&amp;"C$5:C1000"), $B90, INDIRECT("'"&amp;Assemblies[Assy]&amp;"'!"&amp;"O$5:O1000")), "x",Assemblies[Assy],".",IF(SUMIF(INDIRECT("'"&amp;Assemblies[Assy]&amp;"'!"&amp;"C$5:C1000"), $B90, INDIRECT("'"&amp;Assemblies[Assy]&amp;"'!"&amp;"A$5:A1000"))=0,NA(),SUMIF(INDIRECT("'"&amp;Assemblies[Assy]&amp;"'!"&amp;"C$5:C1000"), $B90, INDIRECT("'"&amp;Assemblies[Assy]&amp;"'!"&amp;"A$5:A1000")))),"")), " ,", ""))</f>
        <v>,</v>
      </c>
      <c r="W90" s="161" t="s">
        <v>1897</v>
      </c>
    </row>
    <row r="91" spans="1:24">
      <c r="A91" s="166">
        <v>1539.51</v>
      </c>
      <c r="B91" s="2" t="s">
        <v>1256</v>
      </c>
      <c r="C91" s="121" t="s">
        <v>3371</v>
      </c>
      <c r="D91" s="5" t="e" cm="1">
        <f t="array" aca="1" ref="D91" ca="1">SUMPRODUCT(SUMIF(INDIRECT("'"&amp;Assemblies[Assy]&amp;"'!"&amp;"C$5:C1000"),$B91,(INDIRECT("'"&amp;Assemblies[Assy]&amp;"'!"&amp;"O$5:O1000"))))</f>
        <v>#VALUE!</v>
      </c>
      <c r="E91" s="5">
        <v>1</v>
      </c>
      <c r="F91" s="52">
        <f t="shared" si="17"/>
        <v>140.49702693900002</v>
      </c>
      <c r="G91" s="2" t="s">
        <v>3351</v>
      </c>
      <c r="H91" s="2" t="s">
        <v>1812</v>
      </c>
      <c r="I91" s="2" t="s">
        <v>1382</v>
      </c>
      <c r="J91" s="116" t="s">
        <v>1762</v>
      </c>
      <c r="K91" s="116">
        <v>44894</v>
      </c>
      <c r="L91" s="116">
        <v>44970</v>
      </c>
      <c r="M91" s="116">
        <v>44970</v>
      </c>
      <c r="N91" s="2">
        <v>54598</v>
      </c>
      <c r="O91" s="7">
        <f t="shared" si="18"/>
        <v>124.24702693900001</v>
      </c>
      <c r="P91" s="7">
        <v>0</v>
      </c>
      <c r="Q91" s="7">
        <v>0</v>
      </c>
      <c r="R91" s="52">
        <v>0.25</v>
      </c>
      <c r="S91" s="2">
        <v>6</v>
      </c>
      <c r="T91" s="53">
        <v>484.23340000000002</v>
      </c>
      <c r="U91" s="53">
        <f t="shared" si="19"/>
        <v>8.0705566666666673E-2</v>
      </c>
      <c r="V91" s="2" t="str" cm="1">
        <f t="array" aca="1" ref="V91" ca="1">TRIM(SUBSTITUTE(_xlfn.ARRAYTOTEXT(IFERROR(CONCATENATE(SUMIF(INDIRECT("'"&amp;Assemblies[Assy]&amp;"'!"&amp;"C$5:C1000"), $B91, INDIRECT("'"&amp;Assemblies[Assy]&amp;"'!"&amp;"O$5:O1000")), "x",Assemblies[Assy],".",IF(SUMIF(INDIRECT("'"&amp;Assemblies[Assy]&amp;"'!"&amp;"C$5:C1000"), $B91, INDIRECT("'"&amp;Assemblies[Assy]&amp;"'!"&amp;"A$5:A1000"))=0,NA(),SUMIF(INDIRECT("'"&amp;Assemblies[Assy]&amp;"'!"&amp;"C$5:C1000"), $B91, INDIRECT("'"&amp;Assemblies[Assy]&amp;"'!"&amp;"A$5:A1000")))),"")), " ,", ""))</f>
        <v>,</v>
      </c>
      <c r="W91" s="161" t="s">
        <v>1897</v>
      </c>
    </row>
    <row r="92" spans="1:24">
      <c r="A92" s="166">
        <v>336</v>
      </c>
      <c r="B92" s="2" t="s">
        <v>1155</v>
      </c>
      <c r="C92" s="121" t="s">
        <v>3373</v>
      </c>
      <c r="D92" s="5" t="e" cm="1">
        <f t="array" aca="1" ref="D92" ca="1">SUMPRODUCT(SUMIF(INDIRECT("'"&amp;Assemblies[Assy]&amp;"'!"&amp;"C$5:C1000"),$B92,(INDIRECT("'"&amp;Assemblies[Assy]&amp;"'!"&amp;"O$5:O1000"))))</f>
        <v>#VALUE!</v>
      </c>
      <c r="E92" s="5">
        <v>8</v>
      </c>
      <c r="F92" s="52">
        <f t="shared" si="17"/>
        <v>43.367070400000003</v>
      </c>
      <c r="G92" s="2" t="s">
        <v>3351</v>
      </c>
      <c r="H92" s="2" t="s">
        <v>1812</v>
      </c>
      <c r="I92" s="2" t="s">
        <v>1382</v>
      </c>
      <c r="J92" s="116" t="s">
        <v>1762</v>
      </c>
      <c r="K92" s="116">
        <v>44894</v>
      </c>
      <c r="L92" s="116">
        <v>44970</v>
      </c>
      <c r="M92" s="116">
        <v>44970</v>
      </c>
      <c r="N92" s="2">
        <v>54598</v>
      </c>
      <c r="O92" s="7">
        <f t="shared" si="18"/>
        <v>27.117070400000003</v>
      </c>
      <c r="P92" s="7">
        <v>0</v>
      </c>
      <c r="Q92" s="7">
        <v>0</v>
      </c>
      <c r="R92" s="52">
        <v>0.25</v>
      </c>
      <c r="S92" s="2">
        <v>6</v>
      </c>
      <c r="T92" s="53">
        <v>484.23340000000002</v>
      </c>
      <c r="U92" s="53">
        <f t="shared" si="19"/>
        <v>8.0705566666666673E-2</v>
      </c>
      <c r="V92" s="2" t="str" cm="1">
        <f t="array" aca="1" ref="V92" ca="1">TRIM(SUBSTITUTE(_xlfn.ARRAYTOTEXT(IFERROR(CONCATENATE(SUMIF(INDIRECT("'"&amp;Assemblies[Assy]&amp;"'!"&amp;"C$5:C1000"), $B92, INDIRECT("'"&amp;Assemblies[Assy]&amp;"'!"&amp;"O$5:O1000")), "x",Assemblies[Assy],".",IF(SUMIF(INDIRECT("'"&amp;Assemblies[Assy]&amp;"'!"&amp;"C$5:C1000"), $B92, INDIRECT("'"&amp;Assemblies[Assy]&amp;"'!"&amp;"A$5:A1000"))=0,NA(),SUMIF(INDIRECT("'"&amp;Assemblies[Assy]&amp;"'!"&amp;"C$5:C1000"), $B92, INDIRECT("'"&amp;Assemblies[Assy]&amp;"'!"&amp;"A$5:A1000")))),"")), " ,", ""))</f>
        <v>,</v>
      </c>
      <c r="W92" s="161" t="s">
        <v>1897</v>
      </c>
    </row>
    <row r="93" spans="1:24" ht="12.75">
      <c r="A93" s="166">
        <v>842</v>
      </c>
      <c r="B93" s="2" t="s">
        <v>1154</v>
      </c>
      <c r="C93" s="121" t="s">
        <v>3373</v>
      </c>
      <c r="D93" s="5" t="e" cm="1">
        <f t="array" aca="1" ref="D93" ca="1">SUMPRODUCT(SUMIF(INDIRECT("'"&amp;Assemblies[Assy]&amp;"'!"&amp;"C$5:C1000"),$B93,(INDIRECT("'"&amp;Assemblies[Assy]&amp;"'!"&amp;"O$5:O1000"))))</f>
        <v>#VALUE!</v>
      </c>
      <c r="E93" s="5">
        <v>2</v>
      </c>
      <c r="F93" s="52">
        <f t="shared" si="17"/>
        <v>84.204087133333331</v>
      </c>
      <c r="G93" s="2" t="s">
        <v>3351</v>
      </c>
      <c r="H93" s="2" t="s">
        <v>1812</v>
      </c>
      <c r="I93" s="2" t="s">
        <v>1382</v>
      </c>
      <c r="J93" s="116" t="s">
        <v>1762</v>
      </c>
      <c r="K93" s="116">
        <v>44894</v>
      </c>
      <c r="L93" s="116">
        <v>44970</v>
      </c>
      <c r="M93" s="116">
        <v>44970</v>
      </c>
      <c r="N93" s="2">
        <v>54598</v>
      </c>
      <c r="O93" s="7">
        <f t="shared" si="18"/>
        <v>67.954087133333331</v>
      </c>
      <c r="P93" s="7">
        <v>0</v>
      </c>
      <c r="Q93" s="7">
        <v>0</v>
      </c>
      <c r="R93" s="52">
        <v>0.25</v>
      </c>
      <c r="S93" s="2">
        <v>6</v>
      </c>
      <c r="T93" s="53">
        <v>484.23340000000002</v>
      </c>
      <c r="U93" s="53">
        <f t="shared" si="19"/>
        <v>8.0705566666666673E-2</v>
      </c>
      <c r="V93" s="2" t="str" cm="1">
        <f t="array" aca="1" ref="V93" ca="1">TRIM(SUBSTITUTE(_xlfn.ARRAYTOTEXT(IFERROR(CONCATENATE(SUMIF(INDIRECT("'"&amp;Assemblies[Assy]&amp;"'!"&amp;"C$5:C1000"), $B93, INDIRECT("'"&amp;Assemblies[Assy]&amp;"'!"&amp;"O$5:O1000")), "x",Assemblies[Assy],".",IF(SUMIF(INDIRECT("'"&amp;Assemblies[Assy]&amp;"'!"&amp;"C$5:C1000"), $B93, INDIRECT("'"&amp;Assemblies[Assy]&amp;"'!"&amp;"A$5:A1000"))=0,NA(),SUMIF(INDIRECT("'"&amp;Assemblies[Assy]&amp;"'!"&amp;"C$5:C1000"), $B93, INDIRECT("'"&amp;Assemblies[Assy]&amp;"'!"&amp;"A$5:A1000")))),"")), " ,", ""))</f>
        <v>,</v>
      </c>
      <c r="W93" s="161" t="s">
        <v>1897</v>
      </c>
      <c r="X93" s="2" t="s">
        <v>1382</v>
      </c>
    </row>
    <row r="94" spans="1:24" ht="12.75">
      <c r="K94" s="116" t="s">
        <v>1382</v>
      </c>
      <c r="L94" s="116" t="s">
        <v>1382</v>
      </c>
      <c r="M94" s="116" t="s">
        <v>1382</v>
      </c>
      <c r="N94" s="2" t="s">
        <v>1382</v>
      </c>
      <c r="O94" s="7" t="s">
        <v>1382</v>
      </c>
      <c r="P94" s="7" t="s">
        <v>1382</v>
      </c>
      <c r="Q94" s="7" t="s">
        <v>1382</v>
      </c>
      <c r="R94" s="51" t="s">
        <v>1382</v>
      </c>
      <c r="S94" s="2" t="s">
        <v>1382</v>
      </c>
      <c r="T94" s="2" t="s">
        <v>1382</v>
      </c>
      <c r="U94" s="2" t="s">
        <v>1382</v>
      </c>
      <c r="V94" s="2" t="s">
        <v>1382</v>
      </c>
      <c r="W94" s="2" t="s">
        <v>1382</v>
      </c>
      <c r="X94" s="2" t="s">
        <v>1382</v>
      </c>
    </row>
  </sheetData>
  <phoneticPr fontId="8" type="noConversion"/>
  <conditionalFormatting sqref="E2:E93">
    <cfRule type="cellIs" dxfId="45" priority="1" operator="equal">
      <formula>D2</formula>
    </cfRule>
    <cfRule type="cellIs" dxfId="44" priority="2" operator="lessThan">
      <formula>D2</formula>
    </cfRule>
    <cfRule type="cellIs" dxfId="43" priority="3" operator="greaterThan">
      <formula>D2</formula>
    </cfRule>
  </conditionalFormatting>
  <pageMargins left="0.7" right="0.7" top="0.75" bottom="0.75" header="0.3" footer="0.3"/>
  <pageSetup paperSize="124" fitToHeight="0" orientation="landscape" r:id="rId1"/>
  <tableParts count="1">
    <tablePart r:id="rId2"/>
  </tableParts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B860A6-A25A-487E-A401-E096398DED06}">
  <sheetPr codeName="Sheet150">
    <pageSetUpPr fitToPage="1"/>
  </sheetPr>
  <dimension ref="A1:M140"/>
  <sheetViews>
    <sheetView topLeftCell="A98" zoomScaleNormal="100" workbookViewId="0">
      <selection activeCell="A3" sqref="A3:A140"/>
    </sheetView>
  </sheetViews>
  <sheetFormatPr defaultColWidth="9.140625" defaultRowHeight="12.75"/>
  <cols>
    <col min="1" max="1" width="34.85546875" style="2" bestFit="1" customWidth="1"/>
    <col min="2" max="2" width="10" style="120" customWidth="1"/>
    <col min="3" max="3" width="10.28515625" style="2" customWidth="1"/>
    <col min="4" max="4" width="9.140625" style="2"/>
    <col min="5" max="5" width="10.5703125" style="2" customWidth="1"/>
    <col min="6" max="6" width="15.28515625" style="115" bestFit="1" customWidth="1"/>
    <col min="7" max="7" width="14" style="2" customWidth="1"/>
    <col min="8" max="8" width="13.7109375" style="116" customWidth="1"/>
    <col min="9" max="9" width="12" style="116" customWidth="1"/>
    <col min="10" max="10" width="10.28515625" style="116" customWidth="1"/>
    <col min="11" max="11" width="10.85546875" style="116" customWidth="1"/>
    <col min="12" max="12" width="9.140625" style="2"/>
    <col min="13" max="13" width="255.7109375" style="2" bestFit="1" customWidth="1"/>
    <col min="14" max="16384" width="9.140625" style="2"/>
  </cols>
  <sheetData>
    <row r="1" spans="1:13" s="56" customFormat="1">
      <c r="A1" s="56" t="s">
        <v>3374</v>
      </c>
      <c r="B1" s="119" t="s">
        <v>44</v>
      </c>
      <c r="C1" s="56" t="s">
        <v>53</v>
      </c>
      <c r="D1" s="56" t="s">
        <v>3375</v>
      </c>
      <c r="E1" s="56" t="s">
        <v>16</v>
      </c>
      <c r="F1" s="56" t="s">
        <v>17</v>
      </c>
      <c r="G1" s="56" t="s">
        <v>18</v>
      </c>
      <c r="H1" s="118" t="s">
        <v>51</v>
      </c>
      <c r="I1" s="118" t="s">
        <v>20</v>
      </c>
      <c r="J1" s="118" t="s">
        <v>21</v>
      </c>
      <c r="K1" s="118" t="s">
        <v>52</v>
      </c>
      <c r="L1" s="56" t="s">
        <v>2610</v>
      </c>
      <c r="M1" s="56" t="s">
        <v>1378</v>
      </c>
    </row>
    <row r="2" spans="1:13">
      <c r="A2" s="2" t="s">
        <v>1137</v>
      </c>
      <c r="C2" s="5" t="e" cm="1">
        <f t="array" aca="1" ref="C2" ca="1">SUMPRODUCT(SUMIF(INDIRECT("'"&amp;Assemblies[Assy]&amp;"'!"&amp;"C$5:C1000"),$A2,(INDIRECT("'"&amp;Assemblies[Assy]&amp;"'!"&amp;"O$5:O1000"))))</f>
        <v>#VALUE!</v>
      </c>
      <c r="M2" s="2" t="str" cm="1">
        <f t="array" aca="1" ref="M2" ca="1">TRIM(SUBSTITUTE(_xlfn.ARRAYTOTEXT(IFERROR(CONCATENATE(SUMIF(INDIRECT("'"&amp;Assemblies[Assy]&amp;"'!"&amp;"C$5:C1000"), $A2, INDIRECT("'"&amp;Assemblies[Assy]&amp;"'!"&amp;"O$5:O1000")), "x",Assemblies[Assy],".",IF(SUMIF(INDIRECT("'"&amp;Assemblies[Assy]&amp;"'!"&amp;"C$5:C1000"), $A2, INDIRECT("'"&amp;Assemblies[Assy]&amp;"'!"&amp;"A$5:A1000"))=0,NA(),SUMIF(INDIRECT("'"&amp;Assemblies[Assy]&amp;"'!"&amp;"C$5:C1000"), $A2, INDIRECT("'"&amp;Assemblies[Assy]&amp;"'!"&amp;"A$5:A1000")))),"")), " ,", ""))</f>
        <v>,</v>
      </c>
    </row>
    <row r="3" spans="1:13">
      <c r="A3" s="2" t="s">
        <v>971</v>
      </c>
      <c r="B3" s="132" t="s">
        <v>1382</v>
      </c>
      <c r="C3" s="5" t="e" cm="1">
        <f t="array" aca="1" ref="C3" ca="1">SUMPRODUCT(SUMIF(INDIRECT("'"&amp;Assemblies[Assy]&amp;"'!"&amp;"C$5:C1000"),$A3,(INDIRECT("'"&amp;Assemblies[Assy]&amp;"'!"&amp;"O$5:O1000"))))</f>
        <v>#VALUE!</v>
      </c>
      <c r="D3" s="5"/>
      <c r="E3" s="5" t="s">
        <v>1779</v>
      </c>
      <c r="F3" s="115" t="s">
        <v>3376</v>
      </c>
      <c r="G3" s="5" t="s">
        <v>1779</v>
      </c>
      <c r="H3" s="8" t="s">
        <v>1382</v>
      </c>
      <c r="I3" s="8" t="s">
        <v>1382</v>
      </c>
      <c r="J3" s="8" t="s">
        <v>1382</v>
      </c>
      <c r="K3" s="8" t="s">
        <v>1382</v>
      </c>
      <c r="L3" s="5" t="s">
        <v>1382</v>
      </c>
      <c r="M3" s="2" t="str" cm="1">
        <f t="array" aca="1" ref="M3" ca="1">TRIM(SUBSTITUTE(_xlfn.ARRAYTOTEXT(IFERROR(CONCATENATE(SUMIF(INDIRECT("'"&amp;Assemblies[Assy]&amp;"'!"&amp;"C$5:C1000"), $A3, INDIRECT("'"&amp;Assemblies[Assy]&amp;"'!"&amp;"O$5:O1000")), "x",Assemblies[Assy],".",IF(SUMIF(INDIRECT("'"&amp;Assemblies[Assy]&amp;"'!"&amp;"C$5:C1000"), $A3, INDIRECT("'"&amp;Assemblies[Assy]&amp;"'!"&amp;"A$5:A1000"))=0,NA(),SUMIF(INDIRECT("'"&amp;Assemblies[Assy]&amp;"'!"&amp;"C$5:C1000"), $A3, INDIRECT("'"&amp;Assemblies[Assy]&amp;"'!"&amp;"A$5:A1000")))),"")), " ,", ""))</f>
        <v>,</v>
      </c>
    </row>
    <row r="4" spans="1:13">
      <c r="A4" s="2" t="s">
        <v>452</v>
      </c>
      <c r="B4" s="120" t="s">
        <v>1382</v>
      </c>
      <c r="C4" s="5" t="e" cm="1">
        <f t="array" aca="1" ref="C4" ca="1">SUMPRODUCT(SUMIF(INDIRECT("'"&amp;Assemblies[Assy]&amp;"'!"&amp;"C$5:C1000"),$A4,(INDIRECT("'"&amp;Assemblies[Assy]&amp;"'!"&amp;"O$5:O1000"))))</f>
        <v>#VALUE!</v>
      </c>
      <c r="E4" s="2" t="s">
        <v>1779</v>
      </c>
      <c r="F4" s="115" t="s">
        <v>3376</v>
      </c>
      <c r="G4" s="2" t="s">
        <v>1779</v>
      </c>
      <c r="H4" s="116" t="s">
        <v>1382</v>
      </c>
      <c r="I4" s="116" t="s">
        <v>1382</v>
      </c>
      <c r="J4" s="116" t="s">
        <v>1382</v>
      </c>
      <c r="K4" s="116" t="s">
        <v>1382</v>
      </c>
      <c r="L4" s="2" t="s">
        <v>1382</v>
      </c>
      <c r="M4" s="2" t="str" cm="1">
        <f t="array" aca="1" ref="M4" ca="1">TRIM(SUBSTITUTE(_xlfn.ARRAYTOTEXT(IFERROR(CONCATENATE(SUMIF(INDIRECT("'"&amp;Assemblies[Assy]&amp;"'!"&amp;"C$5:C1000"), $A4, INDIRECT("'"&amp;Assemblies[Assy]&amp;"'!"&amp;"O$5:O1000")), "x",Assemblies[Assy],".",IF(SUMIF(INDIRECT("'"&amp;Assemblies[Assy]&amp;"'!"&amp;"C$5:C1000"), $A4, INDIRECT("'"&amp;Assemblies[Assy]&amp;"'!"&amp;"A$5:A1000"))=0,NA(),SUMIF(INDIRECT("'"&amp;Assemblies[Assy]&amp;"'!"&amp;"C$5:C1000"), $A4, INDIRECT("'"&amp;Assemblies[Assy]&amp;"'!"&amp;"A$5:A1000")))),"")), " ,", ""))</f>
        <v>,</v>
      </c>
    </row>
    <row r="5" spans="1:13">
      <c r="A5" s="2" t="s">
        <v>596</v>
      </c>
      <c r="B5" s="120" t="s">
        <v>1382</v>
      </c>
      <c r="C5" s="5" t="e" cm="1">
        <f t="array" aca="1" ref="C5" ca="1">SUMPRODUCT(SUMIF(INDIRECT("'"&amp;Assemblies[Assy]&amp;"'!"&amp;"C$5:C1000"),$A5,(INDIRECT("'"&amp;Assemblies[Assy]&amp;"'!"&amp;"O$5:O1000"))))</f>
        <v>#VALUE!</v>
      </c>
      <c r="E5" s="2" t="s">
        <v>1779</v>
      </c>
      <c r="F5" s="115" t="s">
        <v>3376</v>
      </c>
      <c r="G5" s="2" t="s">
        <v>1779</v>
      </c>
      <c r="H5" s="116" t="s">
        <v>1382</v>
      </c>
      <c r="I5" s="116" t="s">
        <v>1382</v>
      </c>
      <c r="J5" s="116" t="s">
        <v>1382</v>
      </c>
      <c r="K5" s="116" t="s">
        <v>1382</v>
      </c>
      <c r="L5" s="2" t="s">
        <v>1382</v>
      </c>
      <c r="M5" s="2" t="str" cm="1">
        <f t="array" aca="1" ref="M5" ca="1">TRIM(SUBSTITUTE(_xlfn.ARRAYTOTEXT(IFERROR(CONCATENATE(SUMIF(INDIRECT("'"&amp;Assemblies[Assy]&amp;"'!"&amp;"C$5:C1000"), $A5, INDIRECT("'"&amp;Assemblies[Assy]&amp;"'!"&amp;"O$5:O1000")), "x",Assemblies[Assy],".",IF(SUMIF(INDIRECT("'"&amp;Assemblies[Assy]&amp;"'!"&amp;"C$5:C1000"), $A5, INDIRECT("'"&amp;Assemblies[Assy]&amp;"'!"&amp;"A$5:A1000"))=0,NA(),SUMIF(INDIRECT("'"&amp;Assemblies[Assy]&amp;"'!"&amp;"C$5:C1000"), $A5, INDIRECT("'"&amp;Assemblies[Assy]&amp;"'!"&amp;"A$5:A1000")))),"")), " ,", ""))</f>
        <v>,</v>
      </c>
    </row>
    <row r="6" spans="1:13">
      <c r="A6" s="2" t="s">
        <v>431</v>
      </c>
      <c r="B6" s="120" t="s">
        <v>1382</v>
      </c>
      <c r="C6" s="5" t="e" cm="1">
        <f t="array" aca="1" ref="C6" ca="1">SUMPRODUCT(SUMIF(INDIRECT("'"&amp;Assemblies[Assy]&amp;"'!"&amp;"C$5:C1000"),$A6,(INDIRECT("'"&amp;Assemblies[Assy]&amp;"'!"&amp;"O$5:O1000"))))</f>
        <v>#VALUE!</v>
      </c>
      <c r="E6" s="2" t="s">
        <v>1779</v>
      </c>
      <c r="F6" s="115" t="s">
        <v>3376</v>
      </c>
      <c r="G6" s="2" t="s">
        <v>1779</v>
      </c>
      <c r="H6" s="116" t="s">
        <v>1382</v>
      </c>
      <c r="I6" s="116" t="s">
        <v>1382</v>
      </c>
      <c r="J6" s="116" t="s">
        <v>1382</v>
      </c>
      <c r="K6" s="116" t="s">
        <v>1382</v>
      </c>
      <c r="L6" s="2" t="s">
        <v>1382</v>
      </c>
      <c r="M6" s="2" t="str" cm="1">
        <f t="array" aca="1" ref="M6" ca="1">TRIM(SUBSTITUTE(_xlfn.ARRAYTOTEXT(IFERROR(CONCATENATE(SUMIF(INDIRECT("'"&amp;Assemblies[Assy]&amp;"'!"&amp;"C$5:C1000"), $A6, INDIRECT("'"&amp;Assemblies[Assy]&amp;"'!"&amp;"O$5:O1000")), "x",Assemblies[Assy],".",IF(SUMIF(INDIRECT("'"&amp;Assemblies[Assy]&amp;"'!"&amp;"C$5:C1000"), $A6, INDIRECT("'"&amp;Assemblies[Assy]&amp;"'!"&amp;"A$5:A1000"))=0,NA(),SUMIF(INDIRECT("'"&amp;Assemblies[Assy]&amp;"'!"&amp;"C$5:C1000"), $A6, INDIRECT("'"&amp;Assemblies[Assy]&amp;"'!"&amp;"A$5:A1000")))),"")), " ,", ""))</f>
        <v>,</v>
      </c>
    </row>
    <row r="7" spans="1:13">
      <c r="A7" s="2" t="s">
        <v>700</v>
      </c>
      <c r="B7" s="120" t="s">
        <v>1382</v>
      </c>
      <c r="C7" s="5" t="e" cm="1">
        <f t="array" aca="1" ref="C7" ca="1">SUMPRODUCT(SUMIF(INDIRECT("'"&amp;Assemblies[Assy]&amp;"'!"&amp;"C$5:C1000"),$A7,(INDIRECT("'"&amp;Assemblies[Assy]&amp;"'!"&amp;"O$5:O1000"))))</f>
        <v>#VALUE!</v>
      </c>
      <c r="E7" s="2" t="s">
        <v>1779</v>
      </c>
      <c r="F7" s="115" t="s">
        <v>3376</v>
      </c>
      <c r="G7" s="2" t="s">
        <v>1779</v>
      </c>
      <c r="H7" s="116" t="s">
        <v>1382</v>
      </c>
      <c r="I7" s="116" t="s">
        <v>1382</v>
      </c>
      <c r="J7" s="116" t="s">
        <v>1382</v>
      </c>
      <c r="K7" s="116" t="s">
        <v>1382</v>
      </c>
      <c r="L7" s="2" t="s">
        <v>1382</v>
      </c>
      <c r="M7" s="2" t="str" cm="1">
        <f t="array" aca="1" ref="M7" ca="1">TRIM(SUBSTITUTE(_xlfn.ARRAYTOTEXT(IFERROR(CONCATENATE(SUMIF(INDIRECT("'"&amp;Assemblies[Assy]&amp;"'!"&amp;"C$5:C1000"), $A7, INDIRECT("'"&amp;Assemblies[Assy]&amp;"'!"&amp;"O$5:O1000")), "x",Assemblies[Assy],".",IF(SUMIF(INDIRECT("'"&amp;Assemblies[Assy]&amp;"'!"&amp;"C$5:C1000"), $A7, INDIRECT("'"&amp;Assemblies[Assy]&amp;"'!"&amp;"A$5:A1000"))=0,NA(),SUMIF(INDIRECT("'"&amp;Assemblies[Assy]&amp;"'!"&amp;"C$5:C1000"), $A7, INDIRECT("'"&amp;Assemblies[Assy]&amp;"'!"&amp;"A$5:A1000")))),"")), " ,", ""))</f>
        <v>,</v>
      </c>
    </row>
    <row r="8" spans="1:13">
      <c r="A8" s="2" t="s">
        <v>1008</v>
      </c>
      <c r="B8" s="120" t="s">
        <v>1382</v>
      </c>
      <c r="C8" s="5" t="e" cm="1">
        <f t="array" aca="1" ref="C8" ca="1">SUMPRODUCT(SUMIF(INDIRECT("'"&amp;Assemblies[Assy]&amp;"'!"&amp;"C$5:C1000"),$A8,(INDIRECT("'"&amp;Assemblies[Assy]&amp;"'!"&amp;"O$5:O1000"))))</f>
        <v>#VALUE!</v>
      </c>
      <c r="E8" s="2" t="s">
        <v>1779</v>
      </c>
      <c r="F8" s="115" t="s">
        <v>3376</v>
      </c>
      <c r="G8" s="2" t="s">
        <v>1779</v>
      </c>
      <c r="H8" s="116" t="s">
        <v>1382</v>
      </c>
      <c r="I8" s="116" t="s">
        <v>1382</v>
      </c>
      <c r="J8" s="116" t="s">
        <v>1382</v>
      </c>
      <c r="K8" s="116" t="s">
        <v>1382</v>
      </c>
      <c r="L8" s="2" t="s">
        <v>1382</v>
      </c>
      <c r="M8" s="2" t="str" cm="1">
        <f t="array" aca="1" ref="M8" ca="1">TRIM(SUBSTITUTE(_xlfn.ARRAYTOTEXT(IFERROR(CONCATENATE(SUMIF(INDIRECT("'"&amp;Assemblies[Assy]&amp;"'!"&amp;"C$5:C1000"), $A8, INDIRECT("'"&amp;Assemblies[Assy]&amp;"'!"&amp;"O$5:O1000")), "x",Assemblies[Assy],".",IF(SUMIF(INDIRECT("'"&amp;Assemblies[Assy]&amp;"'!"&amp;"C$5:C1000"), $A8, INDIRECT("'"&amp;Assemblies[Assy]&amp;"'!"&amp;"A$5:A1000"))=0,NA(),SUMIF(INDIRECT("'"&amp;Assemblies[Assy]&amp;"'!"&amp;"C$5:C1000"), $A8, INDIRECT("'"&amp;Assemblies[Assy]&amp;"'!"&amp;"A$5:A1000")))),"")), " ,", ""))</f>
        <v>,</v>
      </c>
    </row>
    <row r="9" spans="1:13">
      <c r="A9" s="2" t="s">
        <v>1052</v>
      </c>
      <c r="C9" s="5" t="e" cm="1">
        <f t="array" aca="1" ref="C9" ca="1">SUMPRODUCT(SUMIF(INDIRECT("'"&amp;Assemblies[Assy]&amp;"'!"&amp;"C$5:C1000"),$A9,(INDIRECT("'"&amp;Assemblies[Assy]&amp;"'!"&amp;"O$5:O1000"))))</f>
        <v>#VALUE!</v>
      </c>
      <c r="M9" s="2" t="str" cm="1">
        <f t="array" aca="1" ref="M9" ca="1">TRIM(SUBSTITUTE(_xlfn.ARRAYTOTEXT(IFERROR(CONCATENATE(SUMIF(INDIRECT("'"&amp;Assemblies[Assy]&amp;"'!"&amp;"C$5:C1000"), $A9, INDIRECT("'"&amp;Assemblies[Assy]&amp;"'!"&amp;"O$5:O1000")), "x",Assemblies[Assy],".",IF(SUMIF(INDIRECT("'"&amp;Assemblies[Assy]&amp;"'!"&amp;"C$5:C1000"), $A9, INDIRECT("'"&amp;Assemblies[Assy]&amp;"'!"&amp;"A$5:A1000"))=0,NA(),SUMIF(INDIRECT("'"&amp;Assemblies[Assy]&amp;"'!"&amp;"C$5:C1000"), $A9, INDIRECT("'"&amp;Assemblies[Assy]&amp;"'!"&amp;"A$5:A1000")))),"")), " ,", ""))</f>
        <v>,</v>
      </c>
    </row>
    <row r="10" spans="1:13">
      <c r="A10" s="2" t="s">
        <v>972</v>
      </c>
      <c r="C10" s="5" t="e" cm="1">
        <f t="array" aca="1" ref="C10" ca="1">SUMPRODUCT(SUMIF(INDIRECT("'"&amp;Assemblies[Assy]&amp;"'!"&amp;"C$5:C1000"),$A10,(INDIRECT("'"&amp;Assemblies[Assy]&amp;"'!"&amp;"O$5:O1000"))))</f>
        <v>#VALUE!</v>
      </c>
      <c r="M10" s="2" t="str" cm="1">
        <f t="array" aca="1" ref="M10" ca="1">TRIM(SUBSTITUTE(_xlfn.ARRAYTOTEXT(IFERROR(CONCATENATE(SUMIF(INDIRECT("'"&amp;Assemblies[Assy]&amp;"'!"&amp;"C$5:C1000"), $A10, INDIRECT("'"&amp;Assemblies[Assy]&amp;"'!"&amp;"O$5:O1000")), "x",Assemblies[Assy],".",IF(SUMIF(INDIRECT("'"&amp;Assemblies[Assy]&amp;"'!"&amp;"C$5:C1000"), $A10, INDIRECT("'"&amp;Assemblies[Assy]&amp;"'!"&amp;"A$5:A1000"))=0,NA(),SUMIF(INDIRECT("'"&amp;Assemblies[Assy]&amp;"'!"&amp;"C$5:C1000"), $A10, INDIRECT("'"&amp;Assemblies[Assy]&amp;"'!"&amp;"A$5:A1000")))),"")), " ,", ""))</f>
        <v>,</v>
      </c>
    </row>
    <row r="11" spans="1:13">
      <c r="A11" s="2" t="s">
        <v>1065</v>
      </c>
      <c r="B11" s="120" t="s">
        <v>1382</v>
      </c>
      <c r="C11" s="5" t="e" cm="1">
        <f t="array" aca="1" ref="C11" ca="1">SUMPRODUCT(SUMIF(INDIRECT("'"&amp;Assemblies[Assy]&amp;"'!"&amp;"C$5:C1000"),$A11,(INDIRECT("'"&amp;Assemblies[Assy]&amp;"'!"&amp;"O$5:O1000"))))</f>
        <v>#VALUE!</v>
      </c>
      <c r="E11" s="2" t="s">
        <v>1779</v>
      </c>
      <c r="F11" s="115" t="s">
        <v>3376</v>
      </c>
      <c r="G11" s="2" t="s">
        <v>1779</v>
      </c>
      <c r="H11" s="116" t="s">
        <v>1382</v>
      </c>
      <c r="I11" s="116" t="s">
        <v>1382</v>
      </c>
      <c r="J11" s="116" t="s">
        <v>1382</v>
      </c>
      <c r="K11" s="116" t="s">
        <v>1382</v>
      </c>
      <c r="L11" s="2" t="s">
        <v>1382</v>
      </c>
      <c r="M11" s="2" t="str" cm="1">
        <f t="array" aca="1" ref="M11" ca="1">TRIM(SUBSTITUTE(_xlfn.ARRAYTOTEXT(IFERROR(CONCATENATE(SUMIF(INDIRECT("'"&amp;Assemblies[Assy]&amp;"'!"&amp;"C$5:C1000"), $A11, INDIRECT("'"&amp;Assemblies[Assy]&amp;"'!"&amp;"O$5:O1000")), "x",Assemblies[Assy],".",IF(SUMIF(INDIRECT("'"&amp;Assemblies[Assy]&amp;"'!"&amp;"C$5:C1000"), $A11, INDIRECT("'"&amp;Assemblies[Assy]&amp;"'!"&amp;"A$5:A1000"))=0,NA(),SUMIF(INDIRECT("'"&amp;Assemblies[Assy]&amp;"'!"&amp;"C$5:C1000"), $A11, INDIRECT("'"&amp;Assemblies[Assy]&amp;"'!"&amp;"A$5:A1000")))),"")), " ,", ""))</f>
        <v>,</v>
      </c>
    </row>
    <row r="12" spans="1:13">
      <c r="A12" s="2" t="s">
        <v>353</v>
      </c>
      <c r="B12" s="120" t="s">
        <v>1382</v>
      </c>
      <c r="C12" s="5" t="e" cm="1">
        <f t="array" aca="1" ref="C12" ca="1">SUMPRODUCT(SUMIF(INDIRECT("'"&amp;Assemblies[Assy]&amp;"'!"&amp;"C$5:C1000"),$A12,(INDIRECT("'"&amp;Assemblies[Assy]&amp;"'!"&amp;"O$5:O1000"))))</f>
        <v>#VALUE!</v>
      </c>
      <c r="E12" s="2" t="s">
        <v>1779</v>
      </c>
      <c r="F12" s="115" t="s">
        <v>3376</v>
      </c>
      <c r="G12" s="2" t="s">
        <v>1779</v>
      </c>
      <c r="H12" s="116" t="s">
        <v>1382</v>
      </c>
      <c r="I12" s="116" t="s">
        <v>1382</v>
      </c>
      <c r="J12" s="116" t="s">
        <v>1382</v>
      </c>
      <c r="K12" s="116" t="s">
        <v>1382</v>
      </c>
      <c r="L12" s="2" t="s">
        <v>1382</v>
      </c>
      <c r="M12" s="2" t="str" cm="1">
        <f t="array" aca="1" ref="M12" ca="1">TRIM(SUBSTITUTE(_xlfn.ARRAYTOTEXT(IFERROR(CONCATENATE(SUMIF(INDIRECT("'"&amp;Assemblies[Assy]&amp;"'!"&amp;"C$5:C1000"), $A12, INDIRECT("'"&amp;Assemblies[Assy]&amp;"'!"&amp;"O$5:O1000")), "x",Assemblies[Assy],".",IF(SUMIF(INDIRECT("'"&amp;Assemblies[Assy]&amp;"'!"&amp;"C$5:C1000"), $A12, INDIRECT("'"&amp;Assemblies[Assy]&amp;"'!"&amp;"A$5:A1000"))=0,NA(),SUMIF(INDIRECT("'"&amp;Assemblies[Assy]&amp;"'!"&amp;"C$5:C1000"), $A12, INDIRECT("'"&amp;Assemblies[Assy]&amp;"'!"&amp;"A$5:A1000")))),"")), " ,", ""))</f>
        <v>,</v>
      </c>
    </row>
    <row r="13" spans="1:13">
      <c r="A13" s="2" t="s">
        <v>443</v>
      </c>
      <c r="B13" s="120" t="s">
        <v>1382</v>
      </c>
      <c r="C13" s="5" t="e" cm="1">
        <f t="array" aca="1" ref="C13" ca="1">SUMPRODUCT(SUMIF(INDIRECT("'"&amp;Assemblies[Assy]&amp;"'!"&amp;"C$5:C1000"),$A13,(INDIRECT("'"&amp;Assemblies[Assy]&amp;"'!"&amp;"O$5:O1000"))))</f>
        <v>#VALUE!</v>
      </c>
      <c r="E13" s="2" t="s">
        <v>1779</v>
      </c>
      <c r="F13" s="115" t="s">
        <v>3376</v>
      </c>
      <c r="G13" s="2" t="s">
        <v>1779</v>
      </c>
      <c r="H13" s="116" t="s">
        <v>1382</v>
      </c>
      <c r="I13" s="116" t="s">
        <v>1382</v>
      </c>
      <c r="J13" s="116" t="s">
        <v>1382</v>
      </c>
      <c r="K13" s="116" t="s">
        <v>1382</v>
      </c>
      <c r="L13" s="2" t="s">
        <v>1382</v>
      </c>
      <c r="M13" s="2" t="str" cm="1">
        <f t="array" aca="1" ref="M13" ca="1">TRIM(SUBSTITUTE(_xlfn.ARRAYTOTEXT(IFERROR(CONCATENATE(SUMIF(INDIRECT("'"&amp;Assemblies[Assy]&amp;"'!"&amp;"C$5:C1000"), $A13, INDIRECT("'"&amp;Assemblies[Assy]&amp;"'!"&amp;"O$5:O1000")), "x",Assemblies[Assy],".",IF(SUMIF(INDIRECT("'"&amp;Assemblies[Assy]&amp;"'!"&amp;"C$5:C1000"), $A13, INDIRECT("'"&amp;Assemblies[Assy]&amp;"'!"&amp;"A$5:A1000"))=0,NA(),SUMIF(INDIRECT("'"&amp;Assemblies[Assy]&amp;"'!"&amp;"C$5:C1000"), $A13, INDIRECT("'"&amp;Assemblies[Assy]&amp;"'!"&amp;"A$5:A1000")))),"")), " ,", ""))</f>
        <v>,</v>
      </c>
    </row>
    <row r="14" spans="1:13">
      <c r="A14" s="2" t="s">
        <v>428</v>
      </c>
      <c r="B14" s="120" t="s">
        <v>1382</v>
      </c>
      <c r="C14" s="5" t="e" cm="1">
        <f t="array" aca="1" ref="C14" ca="1">SUMPRODUCT(SUMIF(INDIRECT("'"&amp;Assemblies[Assy]&amp;"'!"&amp;"C$5:C1000"),$A14,(INDIRECT("'"&amp;Assemblies[Assy]&amp;"'!"&amp;"O$5:O1000"))))</f>
        <v>#VALUE!</v>
      </c>
      <c r="E14" s="2" t="s">
        <v>1779</v>
      </c>
      <c r="F14" s="115" t="s">
        <v>3376</v>
      </c>
      <c r="G14" s="2" t="s">
        <v>1779</v>
      </c>
      <c r="H14" s="116" t="s">
        <v>1382</v>
      </c>
      <c r="I14" s="116" t="s">
        <v>1382</v>
      </c>
      <c r="J14" s="116" t="s">
        <v>1382</v>
      </c>
      <c r="K14" s="116" t="s">
        <v>1382</v>
      </c>
      <c r="L14" s="2" t="s">
        <v>1382</v>
      </c>
      <c r="M14" s="2" t="str" cm="1">
        <f t="array" aca="1" ref="M14" ca="1">TRIM(SUBSTITUTE(_xlfn.ARRAYTOTEXT(IFERROR(CONCATENATE(SUMIF(INDIRECT("'"&amp;Assemblies[Assy]&amp;"'!"&amp;"C$5:C1000"), $A14, INDIRECT("'"&amp;Assemblies[Assy]&amp;"'!"&amp;"O$5:O1000")), "x",Assemblies[Assy],".",IF(SUMIF(INDIRECT("'"&amp;Assemblies[Assy]&amp;"'!"&amp;"C$5:C1000"), $A14, INDIRECT("'"&amp;Assemblies[Assy]&amp;"'!"&amp;"A$5:A1000"))=0,NA(),SUMIF(INDIRECT("'"&amp;Assemblies[Assy]&amp;"'!"&amp;"C$5:C1000"), $A14, INDIRECT("'"&amp;Assemblies[Assy]&amp;"'!"&amp;"A$5:A1000")))),"")), " ,", ""))</f>
        <v>,</v>
      </c>
    </row>
    <row r="15" spans="1:13">
      <c r="A15" s="2" t="s">
        <v>429</v>
      </c>
      <c r="B15" s="120" t="s">
        <v>1382</v>
      </c>
      <c r="C15" s="5" t="e" cm="1">
        <f t="array" aca="1" ref="C15" ca="1">SUMPRODUCT(SUMIF(INDIRECT("'"&amp;Assemblies[Assy]&amp;"'!"&amp;"C$5:C1000"),$A15,(INDIRECT("'"&amp;Assemblies[Assy]&amp;"'!"&amp;"O$5:O1000"))))</f>
        <v>#VALUE!</v>
      </c>
      <c r="E15" s="2" t="s">
        <v>1779</v>
      </c>
      <c r="F15" s="115" t="s">
        <v>3376</v>
      </c>
      <c r="G15" s="2" t="s">
        <v>1779</v>
      </c>
      <c r="H15" s="116" t="s">
        <v>1382</v>
      </c>
      <c r="I15" s="116" t="s">
        <v>1382</v>
      </c>
      <c r="J15" s="116" t="s">
        <v>1382</v>
      </c>
      <c r="K15" s="116" t="s">
        <v>1382</v>
      </c>
      <c r="L15" s="2" t="s">
        <v>1382</v>
      </c>
      <c r="M15" s="2" t="str" cm="1">
        <f t="array" aca="1" ref="M15" ca="1">TRIM(SUBSTITUTE(_xlfn.ARRAYTOTEXT(IFERROR(CONCATENATE(SUMIF(INDIRECT("'"&amp;Assemblies[Assy]&amp;"'!"&amp;"C$5:C1000"), $A15, INDIRECT("'"&amp;Assemblies[Assy]&amp;"'!"&amp;"O$5:O1000")), "x",Assemblies[Assy],".",IF(SUMIF(INDIRECT("'"&amp;Assemblies[Assy]&amp;"'!"&amp;"C$5:C1000"), $A15, INDIRECT("'"&amp;Assemblies[Assy]&amp;"'!"&amp;"A$5:A1000"))=0,NA(),SUMIF(INDIRECT("'"&amp;Assemblies[Assy]&amp;"'!"&amp;"C$5:C1000"), $A15, INDIRECT("'"&amp;Assemblies[Assy]&amp;"'!"&amp;"A$5:A1000")))),"")), " ,", ""))</f>
        <v>,</v>
      </c>
    </row>
    <row r="16" spans="1:13">
      <c r="A16" s="2" t="s">
        <v>3377</v>
      </c>
      <c r="B16" s="120" t="s">
        <v>1382</v>
      </c>
      <c r="C16" s="5" cm="1">
        <f t="array" aca="1" ref="C16" ca="1">SUMPRODUCT(SUMIF(INDIRECT("'"&amp;Assemblies[Assy]&amp;"'!"&amp;"C$5:C1000"),$A16,(INDIRECT("'"&amp;Assemblies[Assy]&amp;"'!"&amp;"O$5:O1000"))))</f>
        <v>0</v>
      </c>
      <c r="E16" s="2" t="s">
        <v>1779</v>
      </c>
      <c r="F16" s="115" t="s">
        <v>3376</v>
      </c>
      <c r="G16" s="2" t="s">
        <v>1779</v>
      </c>
      <c r="H16" s="116" t="s">
        <v>1382</v>
      </c>
      <c r="I16" s="116" t="s">
        <v>1382</v>
      </c>
      <c r="J16" s="116" t="s">
        <v>1382</v>
      </c>
      <c r="K16" s="116" t="s">
        <v>1382</v>
      </c>
      <c r="L16" s="2" t="s">
        <v>1382</v>
      </c>
      <c r="M16" s="2" t="str" cm="1">
        <f t="array" aca="1" ref="M16" ca="1">TRIM(SUBSTITUTE(_xlfn.ARRAYTOTEXT(IFERROR(CONCATENATE(SUMIF(INDIRECT("'"&amp;Assemblies[Assy]&amp;"'!"&amp;"C$5:C1000"), $A16, INDIRECT("'"&amp;Assemblies[Assy]&amp;"'!"&amp;"O$5:O1000")), "x",Assemblies[Assy],".",IF(SUMIF(INDIRECT("'"&amp;Assemblies[Assy]&amp;"'!"&amp;"C$5:C1000"), $A16, INDIRECT("'"&amp;Assemblies[Assy]&amp;"'!"&amp;"A$5:A1000"))=0,NA(),SUMIF(INDIRECT("'"&amp;Assemblies[Assy]&amp;"'!"&amp;"C$5:C1000"), $A16, INDIRECT("'"&amp;Assemblies[Assy]&amp;"'!"&amp;"A$5:A1000")))),"")), " ,", ""))</f>
        <v>,</v>
      </c>
    </row>
    <row r="17" spans="1:13">
      <c r="A17" s="2" t="s">
        <v>430</v>
      </c>
      <c r="C17" s="5" t="e" cm="1">
        <f t="array" aca="1" ref="C17" ca="1">SUMPRODUCT(SUMIF(INDIRECT("'"&amp;Assemblies[Assy]&amp;"'!"&amp;"C$5:C1000"),$A17,(INDIRECT("'"&amp;Assemblies[Assy]&amp;"'!"&amp;"O$5:O1000"))))</f>
        <v>#VALUE!</v>
      </c>
      <c r="M17" s="2" t="str" cm="1">
        <f t="array" aca="1" ref="M17" ca="1">TRIM(SUBSTITUTE(_xlfn.ARRAYTOTEXT(IFERROR(CONCATENATE(SUMIF(INDIRECT("'"&amp;Assemblies[Assy]&amp;"'!"&amp;"C$5:C1000"), $A17, INDIRECT("'"&amp;Assemblies[Assy]&amp;"'!"&amp;"O$5:O1000")), "x",Assemblies[Assy],".",IF(SUMIF(INDIRECT("'"&amp;Assemblies[Assy]&amp;"'!"&amp;"C$5:C1000"), $A17, INDIRECT("'"&amp;Assemblies[Assy]&amp;"'!"&amp;"A$5:A1000"))=0,NA(),SUMIF(INDIRECT("'"&amp;Assemblies[Assy]&amp;"'!"&amp;"C$5:C1000"), $A17, INDIRECT("'"&amp;Assemblies[Assy]&amp;"'!"&amp;"A$5:A1000")))),"")), " ,", ""))</f>
        <v>,</v>
      </c>
    </row>
    <row r="18" spans="1:13">
      <c r="A18" s="2" t="s">
        <v>1009</v>
      </c>
      <c r="B18" s="120" t="s">
        <v>1382</v>
      </c>
      <c r="C18" s="5" t="e" cm="1">
        <f t="array" aca="1" ref="C18" ca="1">SUMPRODUCT(SUMIF(INDIRECT("'"&amp;Assemblies[Assy]&amp;"'!"&amp;"C$5:C1000"),$A18,(INDIRECT("'"&amp;Assemblies[Assy]&amp;"'!"&amp;"O$5:O1000"))))</f>
        <v>#VALUE!</v>
      </c>
      <c r="E18" s="2" t="s">
        <v>1779</v>
      </c>
      <c r="F18" s="115" t="s">
        <v>3376</v>
      </c>
      <c r="G18" s="2" t="s">
        <v>1779</v>
      </c>
      <c r="H18" s="116" t="s">
        <v>1382</v>
      </c>
      <c r="I18" s="116" t="s">
        <v>1382</v>
      </c>
      <c r="J18" s="116" t="s">
        <v>1382</v>
      </c>
      <c r="K18" s="116" t="s">
        <v>1382</v>
      </c>
      <c r="L18" s="2" t="s">
        <v>1382</v>
      </c>
      <c r="M18" s="2" t="str" cm="1">
        <f t="array" aca="1" ref="M18" ca="1">TRIM(SUBSTITUTE(_xlfn.ARRAYTOTEXT(IFERROR(CONCATENATE(SUMIF(INDIRECT("'"&amp;Assemblies[Assy]&amp;"'!"&amp;"C$5:C1000"), $A18, INDIRECT("'"&amp;Assemblies[Assy]&amp;"'!"&amp;"O$5:O1000")), "x",Assemblies[Assy],".",IF(SUMIF(INDIRECT("'"&amp;Assemblies[Assy]&amp;"'!"&amp;"C$5:C1000"), $A18, INDIRECT("'"&amp;Assemblies[Assy]&amp;"'!"&amp;"A$5:A1000"))=0,NA(),SUMIF(INDIRECT("'"&amp;Assemblies[Assy]&amp;"'!"&amp;"C$5:C1000"), $A18, INDIRECT("'"&amp;Assemblies[Assy]&amp;"'!"&amp;"A$5:A1000")))),"")), " ,", ""))</f>
        <v>,</v>
      </c>
    </row>
    <row r="19" spans="1:13">
      <c r="A19" s="2" t="s">
        <v>661</v>
      </c>
      <c r="C19" s="5" t="e" cm="1">
        <f t="array" aca="1" ref="C19" ca="1">SUMPRODUCT(SUMIF(INDIRECT("'"&amp;Assemblies[Assy]&amp;"'!"&amp;"C$5:C1000"),$A19,(INDIRECT("'"&amp;Assemblies[Assy]&amp;"'!"&amp;"O$5:O1000"))))</f>
        <v>#VALUE!</v>
      </c>
      <c r="M19" s="2" t="str" cm="1">
        <f t="array" aca="1" ref="M19" ca="1">TRIM(SUBSTITUTE(_xlfn.ARRAYTOTEXT(IFERROR(CONCATENATE(SUMIF(INDIRECT("'"&amp;Assemblies[Assy]&amp;"'!"&amp;"C$5:C1000"), $A19, INDIRECT("'"&amp;Assemblies[Assy]&amp;"'!"&amp;"O$5:O1000")), "x",Assemblies[Assy],".",IF(SUMIF(INDIRECT("'"&amp;Assemblies[Assy]&amp;"'!"&amp;"C$5:C1000"), $A19, INDIRECT("'"&amp;Assemblies[Assy]&amp;"'!"&amp;"A$5:A1000"))=0,NA(),SUMIF(INDIRECT("'"&amp;Assemblies[Assy]&amp;"'!"&amp;"C$5:C1000"), $A19, INDIRECT("'"&amp;Assemblies[Assy]&amp;"'!"&amp;"A$5:A1000")))),"")), " ,", ""))</f>
        <v>,</v>
      </c>
    </row>
    <row r="20" spans="1:13">
      <c r="A20" s="2" t="s">
        <v>1053</v>
      </c>
      <c r="B20" s="120" t="s">
        <v>1382</v>
      </c>
      <c r="C20" s="5" t="e" cm="1">
        <f t="array" aca="1" ref="C20" ca="1">SUMPRODUCT(SUMIF(INDIRECT("'"&amp;Assemblies[Assy]&amp;"'!"&amp;"C$5:C1000"),$A20,(INDIRECT("'"&amp;Assemblies[Assy]&amp;"'!"&amp;"O$5:O1000"))))</f>
        <v>#VALUE!</v>
      </c>
      <c r="E20" s="2" t="s">
        <v>1779</v>
      </c>
      <c r="F20" s="115" t="s">
        <v>3376</v>
      </c>
      <c r="G20" s="2" t="s">
        <v>1779</v>
      </c>
      <c r="H20" s="116" t="s">
        <v>1382</v>
      </c>
      <c r="I20" s="116" t="s">
        <v>1382</v>
      </c>
      <c r="J20" s="116" t="s">
        <v>1382</v>
      </c>
      <c r="K20" s="116" t="s">
        <v>1382</v>
      </c>
      <c r="L20" s="2" t="s">
        <v>1382</v>
      </c>
      <c r="M20" s="2" t="str" cm="1">
        <f t="array" aca="1" ref="M20" ca="1">TRIM(SUBSTITUTE(_xlfn.ARRAYTOTEXT(IFERROR(CONCATENATE(SUMIF(INDIRECT("'"&amp;Assemblies[Assy]&amp;"'!"&amp;"C$5:C1000"), $A20, INDIRECT("'"&amp;Assemblies[Assy]&amp;"'!"&amp;"O$5:O1000")), "x",Assemblies[Assy],".",IF(SUMIF(INDIRECT("'"&amp;Assemblies[Assy]&amp;"'!"&amp;"C$5:C1000"), $A20, INDIRECT("'"&amp;Assemblies[Assy]&amp;"'!"&amp;"A$5:A1000"))=0,NA(),SUMIF(INDIRECT("'"&amp;Assemblies[Assy]&amp;"'!"&amp;"C$5:C1000"), $A20, INDIRECT("'"&amp;Assemblies[Assy]&amp;"'!"&amp;"A$5:A1000")))),"")), " ,", ""))</f>
        <v>,</v>
      </c>
    </row>
    <row r="21" spans="1:13">
      <c r="A21" s="2" t="s">
        <v>658</v>
      </c>
      <c r="B21" s="120" t="s">
        <v>1382</v>
      </c>
      <c r="C21" s="5" t="e" cm="1">
        <f t="array" aca="1" ref="C21" ca="1">SUMPRODUCT(SUMIF(INDIRECT("'"&amp;Assemblies[Assy]&amp;"'!"&amp;"C$5:C1000"),$A21,(INDIRECT("'"&amp;Assemblies[Assy]&amp;"'!"&amp;"O$5:O1000"))))</f>
        <v>#VALUE!</v>
      </c>
      <c r="E21" s="2" t="s">
        <v>1779</v>
      </c>
      <c r="F21" s="115" t="s">
        <v>3376</v>
      </c>
      <c r="G21" s="2" t="s">
        <v>1779</v>
      </c>
      <c r="H21" s="116" t="s">
        <v>1382</v>
      </c>
      <c r="I21" s="116" t="s">
        <v>1382</v>
      </c>
      <c r="J21" s="116" t="s">
        <v>1382</v>
      </c>
      <c r="K21" s="116" t="s">
        <v>1382</v>
      </c>
      <c r="L21" s="2" t="s">
        <v>1382</v>
      </c>
      <c r="M21" s="2" t="str" cm="1">
        <f t="array" aca="1" ref="M21" ca="1">TRIM(SUBSTITUTE(_xlfn.ARRAYTOTEXT(IFERROR(CONCATENATE(SUMIF(INDIRECT("'"&amp;Assemblies[Assy]&amp;"'!"&amp;"C$5:C1000"), $A21, INDIRECT("'"&amp;Assemblies[Assy]&amp;"'!"&amp;"O$5:O1000")), "x",Assemblies[Assy],".",IF(SUMIF(INDIRECT("'"&amp;Assemblies[Assy]&amp;"'!"&amp;"C$5:C1000"), $A21, INDIRECT("'"&amp;Assemblies[Assy]&amp;"'!"&amp;"A$5:A1000"))=0,NA(),SUMIF(INDIRECT("'"&amp;Assemblies[Assy]&amp;"'!"&amp;"C$5:C1000"), $A21, INDIRECT("'"&amp;Assemblies[Assy]&amp;"'!"&amp;"A$5:A1000")))),"")), " ,", ""))</f>
        <v>,</v>
      </c>
    </row>
    <row r="22" spans="1:13">
      <c r="A22" s="2" t="s">
        <v>1153</v>
      </c>
      <c r="B22" s="120" t="s">
        <v>1382</v>
      </c>
      <c r="C22" s="5" t="e" cm="1">
        <f t="array" aca="1" ref="C22" ca="1">SUMPRODUCT(SUMIF(INDIRECT("'"&amp;Assemblies[Assy]&amp;"'!"&amp;"C$5:C1000"),$A22,(INDIRECT("'"&amp;Assemblies[Assy]&amp;"'!"&amp;"O$5:O1000"))))</f>
        <v>#VALUE!</v>
      </c>
      <c r="E22" s="2" t="s">
        <v>1779</v>
      </c>
      <c r="F22" s="115" t="s">
        <v>3376</v>
      </c>
      <c r="G22" s="2" t="s">
        <v>1779</v>
      </c>
      <c r="H22" s="116" t="s">
        <v>1382</v>
      </c>
      <c r="I22" s="116" t="s">
        <v>1382</v>
      </c>
      <c r="J22" s="116" t="s">
        <v>1382</v>
      </c>
      <c r="K22" s="116" t="s">
        <v>1382</v>
      </c>
      <c r="L22" s="2" t="s">
        <v>1382</v>
      </c>
      <c r="M22" s="2" t="str" cm="1">
        <f t="array" aca="1" ref="M22" ca="1">TRIM(SUBSTITUTE(_xlfn.ARRAYTOTEXT(IFERROR(CONCATENATE(SUMIF(INDIRECT("'"&amp;Assemblies[Assy]&amp;"'!"&amp;"C$5:C1000"), $A22, INDIRECT("'"&amp;Assemblies[Assy]&amp;"'!"&amp;"O$5:O1000")), "x",Assemblies[Assy],".",IF(SUMIF(INDIRECT("'"&amp;Assemblies[Assy]&amp;"'!"&amp;"C$5:C1000"), $A22, INDIRECT("'"&amp;Assemblies[Assy]&amp;"'!"&amp;"A$5:A1000"))=0,NA(),SUMIF(INDIRECT("'"&amp;Assemblies[Assy]&amp;"'!"&amp;"C$5:C1000"), $A22, INDIRECT("'"&amp;Assemblies[Assy]&amp;"'!"&amp;"A$5:A1000")))),"")), " ,", ""))</f>
        <v>,</v>
      </c>
    </row>
    <row r="23" spans="1:13">
      <c r="A23" s="2" t="s">
        <v>659</v>
      </c>
      <c r="B23" s="120" t="s">
        <v>1382</v>
      </c>
      <c r="C23" s="5" t="e" cm="1">
        <f t="array" aca="1" ref="C23" ca="1">SUMPRODUCT(SUMIF(INDIRECT("'"&amp;Assemblies[Assy]&amp;"'!"&amp;"C$5:C1000"),$A23,(INDIRECT("'"&amp;Assemblies[Assy]&amp;"'!"&amp;"O$5:O1000"))))</f>
        <v>#VALUE!</v>
      </c>
      <c r="E23" s="2" t="s">
        <v>1779</v>
      </c>
      <c r="F23" s="115" t="s">
        <v>3376</v>
      </c>
      <c r="G23" s="2" t="s">
        <v>1779</v>
      </c>
      <c r="H23" s="116" t="s">
        <v>1382</v>
      </c>
      <c r="I23" s="116" t="s">
        <v>1382</v>
      </c>
      <c r="J23" s="116" t="s">
        <v>1382</v>
      </c>
      <c r="K23" s="116" t="s">
        <v>1382</v>
      </c>
      <c r="L23" s="2" t="s">
        <v>1382</v>
      </c>
      <c r="M23" s="2" t="str" cm="1">
        <f t="array" aca="1" ref="M23" ca="1">TRIM(SUBSTITUTE(_xlfn.ARRAYTOTEXT(IFERROR(CONCATENATE(SUMIF(INDIRECT("'"&amp;Assemblies[Assy]&amp;"'!"&amp;"C$5:C1000"), $A23, INDIRECT("'"&amp;Assemblies[Assy]&amp;"'!"&amp;"O$5:O1000")), "x",Assemblies[Assy],".",IF(SUMIF(INDIRECT("'"&amp;Assemblies[Assy]&amp;"'!"&amp;"C$5:C1000"), $A23, INDIRECT("'"&amp;Assemblies[Assy]&amp;"'!"&amp;"A$5:A1000"))=0,NA(),SUMIF(INDIRECT("'"&amp;Assemblies[Assy]&amp;"'!"&amp;"C$5:C1000"), $A23, INDIRECT("'"&amp;Assemblies[Assy]&amp;"'!"&amp;"A$5:A1000")))),"")), " ,", ""))</f>
        <v>,</v>
      </c>
    </row>
    <row r="24" spans="1:13">
      <c r="A24" s="2" t="s">
        <v>1152</v>
      </c>
      <c r="B24" s="120" t="s">
        <v>1382</v>
      </c>
      <c r="C24" s="5" t="e" cm="1">
        <f t="array" aca="1" ref="C24" ca="1">SUMPRODUCT(SUMIF(INDIRECT("'"&amp;Assemblies[Assy]&amp;"'!"&amp;"C$5:C1000"),$A24,(INDIRECT("'"&amp;Assemblies[Assy]&amp;"'!"&amp;"O$5:O1000"))))</f>
        <v>#VALUE!</v>
      </c>
      <c r="E24" s="2" t="s">
        <v>1779</v>
      </c>
      <c r="F24" s="115" t="s">
        <v>3376</v>
      </c>
      <c r="G24" s="2" t="s">
        <v>1779</v>
      </c>
      <c r="H24" s="116" t="s">
        <v>1382</v>
      </c>
      <c r="I24" s="116" t="s">
        <v>1382</v>
      </c>
      <c r="J24" s="116" t="s">
        <v>1382</v>
      </c>
      <c r="K24" s="116" t="s">
        <v>1382</v>
      </c>
      <c r="L24" s="2" t="s">
        <v>1382</v>
      </c>
      <c r="M24" s="2" t="str" cm="1">
        <f t="array" aca="1" ref="M24" ca="1">TRIM(SUBSTITUTE(_xlfn.ARRAYTOTEXT(IFERROR(CONCATENATE(SUMIF(INDIRECT("'"&amp;Assemblies[Assy]&amp;"'!"&amp;"C$5:C1000"), $A24, INDIRECT("'"&amp;Assemblies[Assy]&amp;"'!"&amp;"O$5:O1000")), "x",Assemblies[Assy],".",IF(SUMIF(INDIRECT("'"&amp;Assemblies[Assy]&amp;"'!"&amp;"C$5:C1000"), $A24, INDIRECT("'"&amp;Assemblies[Assy]&amp;"'!"&amp;"A$5:A1000"))=0,NA(),SUMIF(INDIRECT("'"&amp;Assemblies[Assy]&amp;"'!"&amp;"C$5:C1000"), $A24, INDIRECT("'"&amp;Assemblies[Assy]&amp;"'!"&amp;"A$5:A1000")))),"")), " ,", ""))</f>
        <v>,</v>
      </c>
    </row>
    <row r="25" spans="1:13">
      <c r="A25" s="2" t="s">
        <v>660</v>
      </c>
      <c r="B25" s="120" t="s">
        <v>1382</v>
      </c>
      <c r="C25" s="5" t="e" cm="1">
        <f t="array" aca="1" ref="C25" ca="1">SUMPRODUCT(SUMIF(INDIRECT("'"&amp;Assemblies[Assy]&amp;"'!"&amp;"C$5:C1000"),$A25,(INDIRECT("'"&amp;Assemblies[Assy]&amp;"'!"&amp;"O$5:O1000"))))</f>
        <v>#VALUE!</v>
      </c>
      <c r="E25" s="2" t="s">
        <v>1779</v>
      </c>
      <c r="F25" s="115" t="s">
        <v>3376</v>
      </c>
      <c r="G25" s="2" t="s">
        <v>1779</v>
      </c>
      <c r="H25" s="116" t="s">
        <v>1382</v>
      </c>
      <c r="I25" s="116" t="s">
        <v>1382</v>
      </c>
      <c r="J25" s="116" t="s">
        <v>1382</v>
      </c>
      <c r="K25" s="116" t="s">
        <v>1382</v>
      </c>
      <c r="L25" s="2" t="s">
        <v>1382</v>
      </c>
      <c r="M25" s="2" t="str" cm="1">
        <f t="array" aca="1" ref="M25" ca="1">TRIM(SUBSTITUTE(_xlfn.ARRAYTOTEXT(IFERROR(CONCATENATE(SUMIF(INDIRECT("'"&amp;Assemblies[Assy]&amp;"'!"&amp;"C$5:C1000"), $A25, INDIRECT("'"&amp;Assemblies[Assy]&amp;"'!"&amp;"O$5:O1000")), "x",Assemblies[Assy],".",IF(SUMIF(INDIRECT("'"&amp;Assemblies[Assy]&amp;"'!"&amp;"C$5:C1000"), $A25, INDIRECT("'"&amp;Assemblies[Assy]&amp;"'!"&amp;"A$5:A1000"))=0,NA(),SUMIF(INDIRECT("'"&amp;Assemblies[Assy]&amp;"'!"&amp;"C$5:C1000"), $A25, INDIRECT("'"&amp;Assemblies[Assy]&amp;"'!"&amp;"A$5:A1000")))),"")), " ,", ""))</f>
        <v>,</v>
      </c>
    </row>
    <row r="26" spans="1:13">
      <c r="A26" s="2" t="s">
        <v>3378</v>
      </c>
      <c r="B26" s="120" t="s">
        <v>1382</v>
      </c>
      <c r="C26" s="5" cm="1">
        <f t="array" aca="1" ref="C26" ca="1">SUMPRODUCT(SUMIF(INDIRECT("'"&amp;Assemblies[Assy]&amp;"'!"&amp;"C$5:C1000"),$A26,(INDIRECT("'"&amp;Assemblies[Assy]&amp;"'!"&amp;"O$5:O1000"))))</f>
        <v>0</v>
      </c>
      <c r="E26" s="2" t="s">
        <v>1779</v>
      </c>
      <c r="F26" s="115" t="s">
        <v>3376</v>
      </c>
      <c r="G26" s="2" t="s">
        <v>1779</v>
      </c>
      <c r="H26" s="116" t="s">
        <v>1382</v>
      </c>
      <c r="I26" s="116" t="s">
        <v>1382</v>
      </c>
      <c r="J26" s="116" t="s">
        <v>1382</v>
      </c>
      <c r="K26" s="116" t="s">
        <v>1382</v>
      </c>
      <c r="L26" s="2" t="s">
        <v>1382</v>
      </c>
      <c r="M26" s="2" t="str" cm="1">
        <f t="array" aca="1" ref="M26" ca="1">TRIM(SUBSTITUTE(_xlfn.ARRAYTOTEXT(IFERROR(CONCATENATE(SUMIF(INDIRECT("'"&amp;Assemblies[Assy]&amp;"'!"&amp;"C$5:C1000"), $A26, INDIRECT("'"&amp;Assemblies[Assy]&amp;"'!"&amp;"O$5:O1000")), "x",Assemblies[Assy],".",IF(SUMIF(INDIRECT("'"&amp;Assemblies[Assy]&amp;"'!"&amp;"C$5:C1000"), $A26, INDIRECT("'"&amp;Assemblies[Assy]&amp;"'!"&amp;"A$5:A1000"))=0,NA(),SUMIF(INDIRECT("'"&amp;Assemblies[Assy]&amp;"'!"&amp;"C$5:C1000"), $A26, INDIRECT("'"&amp;Assemblies[Assy]&amp;"'!"&amp;"A$5:A1000")))),"")), " ,", ""))</f>
        <v>,</v>
      </c>
    </row>
    <row r="27" spans="1:13">
      <c r="A27" s="2" t="s">
        <v>478</v>
      </c>
      <c r="B27" s="120" t="s">
        <v>1382</v>
      </c>
      <c r="C27" s="5" t="e" cm="1">
        <f t="array" aca="1" ref="C27" ca="1">SUMPRODUCT(SUMIF(INDIRECT("'"&amp;Assemblies[Assy]&amp;"'!"&amp;"C$5:C1000"),$A27,(INDIRECT("'"&amp;Assemblies[Assy]&amp;"'!"&amp;"O$5:O1000"))))</f>
        <v>#VALUE!</v>
      </c>
      <c r="E27" s="2" t="s">
        <v>1779</v>
      </c>
      <c r="F27" s="115" t="s">
        <v>3376</v>
      </c>
      <c r="G27" s="2" t="s">
        <v>1779</v>
      </c>
      <c r="H27" s="116" t="s">
        <v>1382</v>
      </c>
      <c r="I27" s="116" t="s">
        <v>1382</v>
      </c>
      <c r="J27" s="116" t="s">
        <v>1382</v>
      </c>
      <c r="K27" s="116" t="s">
        <v>1382</v>
      </c>
      <c r="L27" s="2" t="s">
        <v>1382</v>
      </c>
      <c r="M27" s="2" t="str" cm="1">
        <f t="array" aca="1" ref="M27" ca="1">TRIM(SUBSTITUTE(_xlfn.ARRAYTOTEXT(IFERROR(CONCATENATE(SUMIF(INDIRECT("'"&amp;Assemblies[Assy]&amp;"'!"&amp;"C$5:C1000"), $A27, INDIRECT("'"&amp;Assemblies[Assy]&amp;"'!"&amp;"O$5:O1000")), "x",Assemblies[Assy],".",IF(SUMIF(INDIRECT("'"&amp;Assemblies[Assy]&amp;"'!"&amp;"C$5:C1000"), $A27, INDIRECT("'"&amp;Assemblies[Assy]&amp;"'!"&amp;"A$5:A1000"))=0,NA(),SUMIF(INDIRECT("'"&amp;Assemblies[Assy]&amp;"'!"&amp;"C$5:C1000"), $A27, INDIRECT("'"&amp;Assemblies[Assy]&amp;"'!"&amp;"A$5:A1000")))),"")), " ,", ""))</f>
        <v>,</v>
      </c>
    </row>
    <row r="28" spans="1:13">
      <c r="A28" s="2" t="s">
        <v>801</v>
      </c>
      <c r="B28" s="120" t="s">
        <v>1382</v>
      </c>
      <c r="C28" s="5" t="e" cm="1">
        <f t="array" aca="1" ref="C28" ca="1">SUMPRODUCT(SUMIF(INDIRECT("'"&amp;Assemblies[Assy]&amp;"'!"&amp;"C$5:C1000"),$A28,(INDIRECT("'"&amp;Assemblies[Assy]&amp;"'!"&amp;"O$5:O1000"))))</f>
        <v>#VALUE!</v>
      </c>
      <c r="E28" s="2" t="s">
        <v>1779</v>
      </c>
      <c r="F28" s="115" t="s">
        <v>3376</v>
      </c>
      <c r="G28" s="2" t="s">
        <v>1779</v>
      </c>
      <c r="H28" s="116" t="s">
        <v>1382</v>
      </c>
      <c r="I28" s="116" t="s">
        <v>1382</v>
      </c>
      <c r="J28" s="116" t="s">
        <v>1382</v>
      </c>
      <c r="K28" s="116" t="s">
        <v>1382</v>
      </c>
      <c r="L28" s="2" t="s">
        <v>1382</v>
      </c>
      <c r="M28" s="2" t="str" cm="1">
        <f t="array" aca="1" ref="M28" ca="1">TRIM(SUBSTITUTE(_xlfn.ARRAYTOTEXT(IFERROR(CONCATENATE(SUMIF(INDIRECT("'"&amp;Assemblies[Assy]&amp;"'!"&amp;"C$5:C1000"), $A28, INDIRECT("'"&amp;Assemblies[Assy]&amp;"'!"&amp;"O$5:O1000")), "x",Assemblies[Assy],".",IF(SUMIF(INDIRECT("'"&amp;Assemblies[Assy]&amp;"'!"&amp;"C$5:C1000"), $A28, INDIRECT("'"&amp;Assemblies[Assy]&amp;"'!"&amp;"A$5:A1000"))=0,NA(),SUMIF(INDIRECT("'"&amp;Assemblies[Assy]&amp;"'!"&amp;"C$5:C1000"), $A28, INDIRECT("'"&amp;Assemblies[Assy]&amp;"'!"&amp;"A$5:A1000")))),"")), " ,", ""))</f>
        <v>,</v>
      </c>
    </row>
    <row r="29" spans="1:13">
      <c r="A29" s="2" t="s">
        <v>802</v>
      </c>
      <c r="B29" s="120" t="s">
        <v>1382</v>
      </c>
      <c r="C29" s="5" t="e" cm="1">
        <f t="array" aca="1" ref="C29" ca="1">SUMPRODUCT(SUMIF(INDIRECT("'"&amp;Assemblies[Assy]&amp;"'!"&amp;"C$5:C1000"),$A29,(INDIRECT("'"&amp;Assemblies[Assy]&amp;"'!"&amp;"O$5:O1000"))))</f>
        <v>#VALUE!</v>
      </c>
      <c r="E29" s="2" t="s">
        <v>1779</v>
      </c>
      <c r="F29" s="115" t="s">
        <v>3376</v>
      </c>
      <c r="G29" s="2" t="s">
        <v>1779</v>
      </c>
      <c r="H29" s="116" t="s">
        <v>1382</v>
      </c>
      <c r="I29" s="116" t="s">
        <v>1382</v>
      </c>
      <c r="J29" s="116" t="s">
        <v>1382</v>
      </c>
      <c r="K29" s="116" t="s">
        <v>1382</v>
      </c>
      <c r="L29" s="2" t="s">
        <v>1382</v>
      </c>
      <c r="M29" s="2" t="str" cm="1">
        <f t="array" aca="1" ref="M29" ca="1">TRIM(SUBSTITUTE(_xlfn.ARRAYTOTEXT(IFERROR(CONCATENATE(SUMIF(INDIRECT("'"&amp;Assemblies[Assy]&amp;"'!"&amp;"C$5:C1000"), $A29, INDIRECT("'"&amp;Assemblies[Assy]&amp;"'!"&amp;"O$5:O1000")), "x",Assemblies[Assy],".",IF(SUMIF(INDIRECT("'"&amp;Assemblies[Assy]&amp;"'!"&amp;"C$5:C1000"), $A29, INDIRECT("'"&amp;Assemblies[Assy]&amp;"'!"&amp;"A$5:A1000"))=0,NA(),SUMIF(INDIRECT("'"&amp;Assemblies[Assy]&amp;"'!"&amp;"C$5:C1000"), $A29, INDIRECT("'"&amp;Assemblies[Assy]&amp;"'!"&amp;"A$5:A1000")))),"")), " ,", ""))</f>
        <v>,</v>
      </c>
    </row>
    <row r="30" spans="1:13">
      <c r="A30" s="2" t="s">
        <v>908</v>
      </c>
      <c r="B30" s="120" t="s">
        <v>1382</v>
      </c>
      <c r="C30" s="5" t="e" cm="1">
        <f t="array" aca="1" ref="C30" ca="1">SUMPRODUCT(SUMIF(INDIRECT("'"&amp;Assemblies[Assy]&amp;"'!"&amp;"C$5:C1000"),$A30,(INDIRECT("'"&amp;Assemblies[Assy]&amp;"'!"&amp;"O$5:O1000"))))</f>
        <v>#VALUE!</v>
      </c>
      <c r="E30" s="2" t="s">
        <v>1779</v>
      </c>
      <c r="F30" s="115" t="s">
        <v>3376</v>
      </c>
      <c r="G30" s="2" t="s">
        <v>1779</v>
      </c>
      <c r="H30" s="116" t="s">
        <v>1382</v>
      </c>
      <c r="I30" s="116" t="s">
        <v>1382</v>
      </c>
      <c r="J30" s="116" t="s">
        <v>1382</v>
      </c>
      <c r="K30" s="116" t="s">
        <v>1382</v>
      </c>
      <c r="L30" s="2" t="s">
        <v>1382</v>
      </c>
      <c r="M30" s="2" t="str" cm="1">
        <f t="array" aca="1" ref="M30" ca="1">TRIM(SUBSTITUTE(_xlfn.ARRAYTOTEXT(IFERROR(CONCATENATE(SUMIF(INDIRECT("'"&amp;Assemblies[Assy]&amp;"'!"&amp;"C$5:C1000"), $A30, INDIRECT("'"&amp;Assemblies[Assy]&amp;"'!"&amp;"O$5:O1000")), "x",Assemblies[Assy],".",IF(SUMIF(INDIRECT("'"&amp;Assemblies[Assy]&amp;"'!"&amp;"C$5:C1000"), $A30, INDIRECT("'"&amp;Assemblies[Assy]&amp;"'!"&amp;"A$5:A1000"))=0,NA(),SUMIF(INDIRECT("'"&amp;Assemblies[Assy]&amp;"'!"&amp;"C$5:C1000"), $A30, INDIRECT("'"&amp;Assemblies[Assy]&amp;"'!"&amp;"A$5:A1000")))),"")), " ,", ""))</f>
        <v>,</v>
      </c>
    </row>
    <row r="31" spans="1:13">
      <c r="A31" s="2" t="s">
        <v>1087</v>
      </c>
      <c r="B31" s="120" t="s">
        <v>1382</v>
      </c>
      <c r="C31" s="5" t="e" cm="1">
        <f t="array" aca="1" ref="C31" ca="1">SUMPRODUCT(SUMIF(INDIRECT("'"&amp;Assemblies[Assy]&amp;"'!"&amp;"C$5:C1000"),$A31,(INDIRECT("'"&amp;Assemblies[Assy]&amp;"'!"&amp;"O$5:O1000"))))</f>
        <v>#VALUE!</v>
      </c>
      <c r="E31" s="2" t="s">
        <v>1779</v>
      </c>
      <c r="F31" s="115" t="s">
        <v>3376</v>
      </c>
      <c r="G31" s="2" t="s">
        <v>1779</v>
      </c>
      <c r="H31" s="116" t="s">
        <v>1382</v>
      </c>
      <c r="I31" s="116" t="s">
        <v>1382</v>
      </c>
      <c r="J31" s="116" t="s">
        <v>1382</v>
      </c>
      <c r="K31" s="116" t="s">
        <v>1382</v>
      </c>
      <c r="L31" s="2" t="s">
        <v>1382</v>
      </c>
      <c r="M31" s="2" t="str" cm="1">
        <f t="array" aca="1" ref="M31" ca="1">TRIM(SUBSTITUTE(_xlfn.ARRAYTOTEXT(IFERROR(CONCATENATE(SUMIF(INDIRECT("'"&amp;Assemblies[Assy]&amp;"'!"&amp;"C$5:C1000"), $A31, INDIRECT("'"&amp;Assemblies[Assy]&amp;"'!"&amp;"O$5:O1000")), "x",Assemblies[Assy],".",IF(SUMIF(INDIRECT("'"&amp;Assemblies[Assy]&amp;"'!"&amp;"C$5:C1000"), $A31, INDIRECT("'"&amp;Assemblies[Assy]&amp;"'!"&amp;"A$5:A1000"))=0,NA(),SUMIF(INDIRECT("'"&amp;Assemblies[Assy]&amp;"'!"&amp;"C$5:C1000"), $A31, INDIRECT("'"&amp;Assemblies[Assy]&amp;"'!"&amp;"A$5:A1000")))),"")), " ,", ""))</f>
        <v>,</v>
      </c>
    </row>
    <row r="32" spans="1:13">
      <c r="A32" s="2" t="s">
        <v>732</v>
      </c>
      <c r="C32" s="5" t="e" cm="1">
        <f t="array" aca="1" ref="C32" ca="1">SUMPRODUCT(SUMIF(INDIRECT("'"&amp;Assemblies[Assy]&amp;"'!"&amp;"C$5:C1000"),$A32,(INDIRECT("'"&amp;Assemblies[Assy]&amp;"'!"&amp;"O$5:O1000"))))</f>
        <v>#VALUE!</v>
      </c>
      <c r="M32" s="2" t="str" cm="1">
        <f t="array" aca="1" ref="M32" ca="1">TRIM(SUBSTITUTE(_xlfn.ARRAYTOTEXT(IFERROR(CONCATENATE(SUMIF(INDIRECT("'"&amp;Assemblies[Assy]&amp;"'!"&amp;"C$5:C1000"), $A32, INDIRECT("'"&amp;Assemblies[Assy]&amp;"'!"&amp;"O$5:O1000")), "x",Assemblies[Assy],".",IF(SUMIF(INDIRECT("'"&amp;Assemblies[Assy]&amp;"'!"&amp;"C$5:C1000"), $A32, INDIRECT("'"&amp;Assemblies[Assy]&amp;"'!"&amp;"A$5:A1000"))=0,NA(),SUMIF(INDIRECT("'"&amp;Assemblies[Assy]&amp;"'!"&amp;"C$5:C1000"), $A32, INDIRECT("'"&amp;Assemblies[Assy]&amp;"'!"&amp;"A$5:A1000")))),"")), " ,", ""))</f>
        <v>,</v>
      </c>
    </row>
    <row r="33" spans="1:13">
      <c r="A33" s="2" t="s">
        <v>826</v>
      </c>
      <c r="B33" s="120" t="s">
        <v>1382</v>
      </c>
      <c r="C33" s="5" t="e" cm="1">
        <f t="array" aca="1" ref="C33" ca="1">SUMPRODUCT(SUMIF(INDIRECT("'"&amp;Assemblies[Assy]&amp;"'!"&amp;"C$5:C1000"),$A33,(INDIRECT("'"&amp;Assemblies[Assy]&amp;"'!"&amp;"O$5:O1000"))))</f>
        <v>#VALUE!</v>
      </c>
      <c r="E33" s="2" t="s">
        <v>1779</v>
      </c>
      <c r="F33" s="115" t="s">
        <v>3376</v>
      </c>
      <c r="G33" s="2" t="s">
        <v>1779</v>
      </c>
      <c r="H33" s="116" t="s">
        <v>1382</v>
      </c>
      <c r="I33" s="116" t="s">
        <v>1382</v>
      </c>
      <c r="J33" s="116" t="s">
        <v>1382</v>
      </c>
      <c r="K33" s="116" t="s">
        <v>1382</v>
      </c>
      <c r="L33" s="2" t="s">
        <v>1382</v>
      </c>
      <c r="M33" s="2" t="str" cm="1">
        <f t="array" aca="1" ref="M33" ca="1">TRIM(SUBSTITUTE(_xlfn.ARRAYTOTEXT(IFERROR(CONCATENATE(SUMIF(INDIRECT("'"&amp;Assemblies[Assy]&amp;"'!"&amp;"C$5:C1000"), $A33, INDIRECT("'"&amp;Assemblies[Assy]&amp;"'!"&amp;"O$5:O1000")), "x",Assemblies[Assy],".",IF(SUMIF(INDIRECT("'"&amp;Assemblies[Assy]&amp;"'!"&amp;"C$5:C1000"), $A33, INDIRECT("'"&amp;Assemblies[Assy]&amp;"'!"&amp;"A$5:A1000"))=0,NA(),SUMIF(INDIRECT("'"&amp;Assemblies[Assy]&amp;"'!"&amp;"C$5:C1000"), $A33, INDIRECT("'"&amp;Assemblies[Assy]&amp;"'!"&amp;"A$5:A1000")))),"")), " ,", ""))</f>
        <v>,</v>
      </c>
    </row>
    <row r="34" spans="1:13">
      <c r="A34" s="2" t="s">
        <v>1271</v>
      </c>
      <c r="B34" s="120" t="s">
        <v>1382</v>
      </c>
      <c r="C34" s="5" t="e" cm="1">
        <f t="array" aca="1" ref="C34" ca="1">SUMPRODUCT(SUMIF(INDIRECT("'"&amp;Assemblies[Assy]&amp;"'!"&amp;"C$5:C1000"),$A34,(INDIRECT("'"&amp;Assemblies[Assy]&amp;"'!"&amp;"O$5:O1000"))))</f>
        <v>#VALUE!</v>
      </c>
      <c r="E34" s="2" t="s">
        <v>1779</v>
      </c>
      <c r="F34" s="115" t="s">
        <v>3376</v>
      </c>
      <c r="G34" s="2" t="s">
        <v>1779</v>
      </c>
      <c r="H34" s="116" t="s">
        <v>1382</v>
      </c>
      <c r="I34" s="116" t="s">
        <v>1382</v>
      </c>
      <c r="J34" s="116" t="s">
        <v>1382</v>
      </c>
      <c r="K34" s="116" t="s">
        <v>1382</v>
      </c>
      <c r="L34" s="2" t="s">
        <v>1382</v>
      </c>
      <c r="M34" s="2" t="str" cm="1">
        <f t="array" aca="1" ref="M34" ca="1">TRIM(SUBSTITUTE(_xlfn.ARRAYTOTEXT(IFERROR(CONCATENATE(SUMIF(INDIRECT("'"&amp;Assemblies[Assy]&amp;"'!"&amp;"C$5:C1000"), $A34, INDIRECT("'"&amp;Assemblies[Assy]&amp;"'!"&amp;"O$5:O1000")), "x",Assemblies[Assy],".",IF(SUMIF(INDIRECT("'"&amp;Assemblies[Assy]&amp;"'!"&amp;"C$5:C1000"), $A34, INDIRECT("'"&amp;Assemblies[Assy]&amp;"'!"&amp;"A$5:A1000"))=0,NA(),SUMIF(INDIRECT("'"&amp;Assemblies[Assy]&amp;"'!"&amp;"C$5:C1000"), $A34, INDIRECT("'"&amp;Assemblies[Assy]&amp;"'!"&amp;"A$5:A1000")))),"")), " ,", ""))</f>
        <v>,</v>
      </c>
    </row>
    <row r="35" spans="1:13">
      <c r="A35" s="2" t="s">
        <v>970</v>
      </c>
      <c r="B35" s="120" t="s">
        <v>1382</v>
      </c>
      <c r="C35" s="5" t="e" cm="1">
        <f t="array" aca="1" ref="C35" ca="1">SUMPRODUCT(SUMIF(INDIRECT("'"&amp;Assemblies[Assy]&amp;"'!"&amp;"C$5:C1000"),$A35,(INDIRECT("'"&amp;Assemblies[Assy]&amp;"'!"&amp;"O$5:O1000"))))</f>
        <v>#VALUE!</v>
      </c>
      <c r="E35" s="2" t="s">
        <v>1779</v>
      </c>
      <c r="F35" s="115" t="s">
        <v>3376</v>
      </c>
      <c r="G35" s="2" t="s">
        <v>1779</v>
      </c>
      <c r="H35" s="116" t="s">
        <v>1382</v>
      </c>
      <c r="I35" s="116" t="s">
        <v>1382</v>
      </c>
      <c r="J35" s="116" t="s">
        <v>1382</v>
      </c>
      <c r="K35" s="116" t="s">
        <v>1382</v>
      </c>
      <c r="L35" s="2" t="s">
        <v>1382</v>
      </c>
      <c r="M35" s="2" t="str" cm="1">
        <f t="array" aca="1" ref="M35" ca="1">TRIM(SUBSTITUTE(_xlfn.ARRAYTOTEXT(IFERROR(CONCATENATE(SUMIF(INDIRECT("'"&amp;Assemblies[Assy]&amp;"'!"&amp;"C$5:C1000"), $A35, INDIRECT("'"&amp;Assemblies[Assy]&amp;"'!"&amp;"O$5:O1000")), "x",Assemblies[Assy],".",IF(SUMIF(INDIRECT("'"&amp;Assemblies[Assy]&amp;"'!"&amp;"C$5:C1000"), $A35, INDIRECT("'"&amp;Assemblies[Assy]&amp;"'!"&amp;"A$5:A1000"))=0,NA(),SUMIF(INDIRECT("'"&amp;Assemblies[Assy]&amp;"'!"&amp;"C$5:C1000"), $A35, INDIRECT("'"&amp;Assemblies[Assy]&amp;"'!"&amp;"A$5:A1000")))),"")), " ,", ""))</f>
        <v>,</v>
      </c>
    </row>
    <row r="36" spans="1:13">
      <c r="A36" s="2" t="s">
        <v>966</v>
      </c>
      <c r="B36" s="120" t="s">
        <v>1382</v>
      </c>
      <c r="C36" s="5" t="e" cm="1">
        <f t="array" aca="1" ref="C36" ca="1">SUMPRODUCT(SUMIF(INDIRECT("'"&amp;Assemblies[Assy]&amp;"'!"&amp;"C$5:C1000"),$A36,(INDIRECT("'"&amp;Assemblies[Assy]&amp;"'!"&amp;"O$5:O1000"))))</f>
        <v>#VALUE!</v>
      </c>
      <c r="E36" s="2" t="s">
        <v>1779</v>
      </c>
      <c r="F36" s="115" t="s">
        <v>3376</v>
      </c>
      <c r="G36" s="2" t="s">
        <v>1779</v>
      </c>
      <c r="H36" s="116" t="s">
        <v>1382</v>
      </c>
      <c r="I36" s="116" t="s">
        <v>1382</v>
      </c>
      <c r="J36" s="116" t="s">
        <v>1382</v>
      </c>
      <c r="K36" s="116" t="s">
        <v>1382</v>
      </c>
      <c r="L36" s="2" t="s">
        <v>1382</v>
      </c>
      <c r="M36" s="2" t="str" cm="1">
        <f t="array" aca="1" ref="M36" ca="1">TRIM(SUBSTITUTE(_xlfn.ARRAYTOTEXT(IFERROR(CONCATENATE(SUMIF(INDIRECT("'"&amp;Assemblies[Assy]&amp;"'!"&amp;"C$5:C1000"), $A36, INDIRECT("'"&amp;Assemblies[Assy]&amp;"'!"&amp;"O$5:O1000")), "x",Assemblies[Assy],".",IF(SUMIF(INDIRECT("'"&amp;Assemblies[Assy]&amp;"'!"&amp;"C$5:C1000"), $A36, INDIRECT("'"&amp;Assemblies[Assy]&amp;"'!"&amp;"A$5:A1000"))=0,NA(),SUMIF(INDIRECT("'"&amp;Assemblies[Assy]&amp;"'!"&amp;"C$5:C1000"), $A36, INDIRECT("'"&amp;Assemblies[Assy]&amp;"'!"&amp;"A$5:A1000")))),"")), " ,", ""))</f>
        <v>,</v>
      </c>
    </row>
    <row r="37" spans="1:13">
      <c r="A37" s="2" t="s">
        <v>642</v>
      </c>
      <c r="B37" s="120" t="s">
        <v>1382</v>
      </c>
      <c r="C37" s="5" t="e" cm="1">
        <f t="array" aca="1" ref="C37" ca="1">SUMPRODUCT(SUMIF(INDIRECT("'"&amp;Assemblies[Assy]&amp;"'!"&amp;"C$5:C1000"),$A37,(INDIRECT("'"&amp;Assemblies[Assy]&amp;"'!"&amp;"O$5:O1000"))))</f>
        <v>#VALUE!</v>
      </c>
      <c r="E37" s="2" t="s">
        <v>1779</v>
      </c>
      <c r="F37" s="115" t="s">
        <v>3376</v>
      </c>
      <c r="G37" s="2" t="s">
        <v>1779</v>
      </c>
      <c r="H37" s="116" t="s">
        <v>1382</v>
      </c>
      <c r="I37" s="116" t="s">
        <v>1382</v>
      </c>
      <c r="J37" s="116" t="s">
        <v>1382</v>
      </c>
      <c r="K37" s="116" t="s">
        <v>1382</v>
      </c>
      <c r="L37" s="2" t="s">
        <v>1382</v>
      </c>
      <c r="M37" s="2" t="str" cm="1">
        <f t="array" aca="1" ref="M37" ca="1">TRIM(SUBSTITUTE(_xlfn.ARRAYTOTEXT(IFERROR(CONCATENATE(SUMIF(INDIRECT("'"&amp;Assemblies[Assy]&amp;"'!"&amp;"C$5:C1000"), $A37, INDIRECT("'"&amp;Assemblies[Assy]&amp;"'!"&amp;"O$5:O1000")), "x",Assemblies[Assy],".",IF(SUMIF(INDIRECT("'"&amp;Assemblies[Assy]&amp;"'!"&amp;"C$5:C1000"), $A37, INDIRECT("'"&amp;Assemblies[Assy]&amp;"'!"&amp;"A$5:A1000"))=0,NA(),SUMIF(INDIRECT("'"&amp;Assemblies[Assy]&amp;"'!"&amp;"C$5:C1000"), $A37, INDIRECT("'"&amp;Assemblies[Assy]&amp;"'!"&amp;"A$5:A1000")))),"")), " ,", ""))</f>
        <v>,</v>
      </c>
    </row>
    <row r="38" spans="1:13">
      <c r="A38" s="2" t="s">
        <v>1004</v>
      </c>
      <c r="B38" s="120" t="s">
        <v>1382</v>
      </c>
      <c r="C38" s="5" t="e" cm="1">
        <f t="array" aca="1" ref="C38" ca="1">SUMPRODUCT(SUMIF(INDIRECT("'"&amp;Assemblies[Assy]&amp;"'!"&amp;"C$5:C1000"),$A38,(INDIRECT("'"&amp;Assemblies[Assy]&amp;"'!"&amp;"O$5:O1000"))))</f>
        <v>#VALUE!</v>
      </c>
      <c r="E38" s="2" t="s">
        <v>1779</v>
      </c>
      <c r="F38" s="115" t="s">
        <v>3376</v>
      </c>
      <c r="G38" s="2" t="s">
        <v>1779</v>
      </c>
      <c r="H38" s="116" t="s">
        <v>1382</v>
      </c>
      <c r="I38" s="116" t="s">
        <v>1382</v>
      </c>
      <c r="J38" s="116" t="s">
        <v>1382</v>
      </c>
      <c r="K38" s="116" t="s">
        <v>1382</v>
      </c>
      <c r="L38" s="2" t="s">
        <v>1382</v>
      </c>
      <c r="M38" s="2" t="str" cm="1">
        <f t="array" aca="1" ref="M38" ca="1">TRIM(SUBSTITUTE(_xlfn.ARRAYTOTEXT(IFERROR(CONCATENATE(SUMIF(INDIRECT("'"&amp;Assemblies[Assy]&amp;"'!"&amp;"C$5:C1000"), $A38, INDIRECT("'"&amp;Assemblies[Assy]&amp;"'!"&amp;"O$5:O1000")), "x",Assemblies[Assy],".",IF(SUMIF(INDIRECT("'"&amp;Assemblies[Assy]&amp;"'!"&amp;"C$5:C1000"), $A38, INDIRECT("'"&amp;Assemblies[Assy]&amp;"'!"&amp;"A$5:A1000"))=0,NA(),SUMIF(INDIRECT("'"&amp;Assemblies[Assy]&amp;"'!"&amp;"C$5:C1000"), $A38, INDIRECT("'"&amp;Assemblies[Assy]&amp;"'!"&amp;"A$5:A1000")))),"")), " ,", ""))</f>
        <v>,</v>
      </c>
    </row>
    <row r="39" spans="1:13">
      <c r="A39" s="2" t="s">
        <v>3379</v>
      </c>
      <c r="B39" s="120" t="s">
        <v>1382</v>
      </c>
      <c r="C39" s="5" cm="1">
        <f t="array" aca="1" ref="C39" ca="1">SUMPRODUCT(SUMIF(INDIRECT("'"&amp;Assemblies[Assy]&amp;"'!"&amp;"C$5:C1000"),$A39,(INDIRECT("'"&amp;Assemblies[Assy]&amp;"'!"&amp;"O$5:O1000"))))</f>
        <v>0</v>
      </c>
      <c r="E39" s="2" t="s">
        <v>1779</v>
      </c>
      <c r="F39" s="115" t="s">
        <v>3376</v>
      </c>
      <c r="G39" s="2" t="s">
        <v>1779</v>
      </c>
      <c r="H39" s="116" t="s">
        <v>1382</v>
      </c>
      <c r="I39" s="116" t="s">
        <v>1382</v>
      </c>
      <c r="J39" s="116" t="s">
        <v>1382</v>
      </c>
      <c r="K39" s="116" t="s">
        <v>1382</v>
      </c>
      <c r="L39" s="2" t="s">
        <v>1382</v>
      </c>
      <c r="M39" s="2" t="str" cm="1">
        <f t="array" aca="1" ref="M39" ca="1">TRIM(SUBSTITUTE(_xlfn.ARRAYTOTEXT(IFERROR(CONCATENATE(SUMIF(INDIRECT("'"&amp;Assemblies[Assy]&amp;"'!"&amp;"C$5:C1000"), $A39, INDIRECT("'"&amp;Assemblies[Assy]&amp;"'!"&amp;"O$5:O1000")), "x",Assemblies[Assy],".",IF(SUMIF(INDIRECT("'"&amp;Assemblies[Assy]&amp;"'!"&amp;"C$5:C1000"), $A39, INDIRECT("'"&amp;Assemblies[Assy]&amp;"'!"&amp;"A$5:A1000"))=0,NA(),SUMIF(INDIRECT("'"&amp;Assemblies[Assy]&amp;"'!"&amp;"C$5:C1000"), $A39, INDIRECT("'"&amp;Assemblies[Assy]&amp;"'!"&amp;"A$5:A1000")))),"")), " ,", ""))</f>
        <v>,</v>
      </c>
    </row>
    <row r="40" spans="1:13">
      <c r="A40" s="2" t="s">
        <v>3380</v>
      </c>
      <c r="B40" s="120" t="s">
        <v>1382</v>
      </c>
      <c r="C40" s="5" cm="1">
        <f t="array" aca="1" ref="C40" ca="1">SUMPRODUCT(SUMIF(INDIRECT("'"&amp;Assemblies[Assy]&amp;"'!"&amp;"C$5:C1000"),$A40,(INDIRECT("'"&amp;Assemblies[Assy]&amp;"'!"&amp;"O$5:O1000"))))</f>
        <v>0</v>
      </c>
      <c r="E40" s="2" t="s">
        <v>1779</v>
      </c>
      <c r="F40" s="115" t="s">
        <v>3376</v>
      </c>
      <c r="G40" s="2" t="s">
        <v>1779</v>
      </c>
      <c r="H40" s="116" t="s">
        <v>1382</v>
      </c>
      <c r="I40" s="116" t="s">
        <v>1382</v>
      </c>
      <c r="J40" s="116" t="s">
        <v>1382</v>
      </c>
      <c r="K40" s="116" t="s">
        <v>1382</v>
      </c>
      <c r="L40" s="2" t="s">
        <v>1382</v>
      </c>
      <c r="M40" s="2" t="str" cm="1">
        <f t="array" aca="1" ref="M40" ca="1">TRIM(SUBSTITUTE(_xlfn.ARRAYTOTEXT(IFERROR(CONCATENATE(SUMIF(INDIRECT("'"&amp;Assemblies[Assy]&amp;"'!"&amp;"C$5:C1000"), $A40, INDIRECT("'"&amp;Assemblies[Assy]&amp;"'!"&amp;"O$5:O1000")), "x",Assemblies[Assy],".",IF(SUMIF(INDIRECT("'"&amp;Assemblies[Assy]&amp;"'!"&amp;"C$5:C1000"), $A40, INDIRECT("'"&amp;Assemblies[Assy]&amp;"'!"&amp;"A$5:A1000"))=0,NA(),SUMIF(INDIRECT("'"&amp;Assemblies[Assy]&amp;"'!"&amp;"C$5:C1000"), $A40, INDIRECT("'"&amp;Assemblies[Assy]&amp;"'!"&amp;"A$5:A1000")))),"")), " ,", ""))</f>
        <v>,</v>
      </c>
    </row>
    <row r="41" spans="1:13">
      <c r="A41" s="2" t="s">
        <v>852</v>
      </c>
      <c r="B41" s="120" t="s">
        <v>1382</v>
      </c>
      <c r="C41" s="5" t="e" cm="1">
        <f t="array" aca="1" ref="C41" ca="1">SUMPRODUCT(SUMIF(INDIRECT("'"&amp;Assemblies[Assy]&amp;"'!"&amp;"C$5:C1000"),$A41,(INDIRECT("'"&amp;Assemblies[Assy]&amp;"'!"&amp;"O$5:O1000"))))</f>
        <v>#VALUE!</v>
      </c>
      <c r="E41" s="2" t="s">
        <v>1779</v>
      </c>
      <c r="F41" s="115" t="s">
        <v>3376</v>
      </c>
      <c r="G41" s="2" t="s">
        <v>1779</v>
      </c>
      <c r="H41" s="116" t="s">
        <v>1382</v>
      </c>
      <c r="I41" s="116" t="s">
        <v>1382</v>
      </c>
      <c r="J41" s="116" t="s">
        <v>1382</v>
      </c>
      <c r="K41" s="116" t="s">
        <v>1382</v>
      </c>
      <c r="L41" s="2" t="s">
        <v>1382</v>
      </c>
      <c r="M41" s="2" t="str" cm="1">
        <f t="array" aca="1" ref="M41" ca="1">TRIM(SUBSTITUTE(_xlfn.ARRAYTOTEXT(IFERROR(CONCATENATE(SUMIF(INDIRECT("'"&amp;Assemblies[Assy]&amp;"'!"&amp;"C$5:C1000"), $A41, INDIRECT("'"&amp;Assemblies[Assy]&amp;"'!"&amp;"O$5:O1000")), "x",Assemblies[Assy],".",IF(SUMIF(INDIRECT("'"&amp;Assemblies[Assy]&amp;"'!"&amp;"C$5:C1000"), $A41, INDIRECT("'"&amp;Assemblies[Assy]&amp;"'!"&amp;"A$5:A1000"))=0,NA(),SUMIF(INDIRECT("'"&amp;Assemblies[Assy]&amp;"'!"&amp;"C$5:C1000"), $A41, INDIRECT("'"&amp;Assemblies[Assy]&amp;"'!"&amp;"A$5:A1000")))),"")), " ,", ""))</f>
        <v>,</v>
      </c>
    </row>
    <row r="42" spans="1:13">
      <c r="A42" s="2" t="s">
        <v>827</v>
      </c>
      <c r="B42" s="120" t="s">
        <v>1382</v>
      </c>
      <c r="C42" s="5" t="e" cm="1">
        <f t="array" aca="1" ref="C42" ca="1">SUMPRODUCT(SUMIF(INDIRECT("'"&amp;Assemblies[Assy]&amp;"'!"&amp;"C$5:C1000"),$A42,(INDIRECT("'"&amp;Assemblies[Assy]&amp;"'!"&amp;"O$5:O1000"))))</f>
        <v>#VALUE!</v>
      </c>
      <c r="E42" s="2" t="s">
        <v>1779</v>
      </c>
      <c r="F42" s="115" t="s">
        <v>3376</v>
      </c>
      <c r="G42" s="2" t="s">
        <v>1779</v>
      </c>
      <c r="H42" s="116" t="s">
        <v>1382</v>
      </c>
      <c r="I42" s="116" t="s">
        <v>1382</v>
      </c>
      <c r="J42" s="116" t="s">
        <v>1382</v>
      </c>
      <c r="K42" s="116" t="s">
        <v>1382</v>
      </c>
      <c r="L42" s="2" t="s">
        <v>1382</v>
      </c>
      <c r="M42" s="2" t="str" cm="1">
        <f t="array" aca="1" ref="M42" ca="1">TRIM(SUBSTITUTE(_xlfn.ARRAYTOTEXT(IFERROR(CONCATENATE(SUMIF(INDIRECT("'"&amp;Assemblies[Assy]&amp;"'!"&amp;"C$5:C1000"), $A42, INDIRECT("'"&amp;Assemblies[Assy]&amp;"'!"&amp;"O$5:O1000")), "x",Assemblies[Assy],".",IF(SUMIF(INDIRECT("'"&amp;Assemblies[Assy]&amp;"'!"&amp;"C$5:C1000"), $A42, INDIRECT("'"&amp;Assemblies[Assy]&amp;"'!"&amp;"A$5:A1000"))=0,NA(),SUMIF(INDIRECT("'"&amp;Assemblies[Assy]&amp;"'!"&amp;"C$5:C1000"), $A42, INDIRECT("'"&amp;Assemblies[Assy]&amp;"'!"&amp;"A$5:A1000")))),"")), " ,", ""))</f>
        <v>,</v>
      </c>
    </row>
    <row r="43" spans="1:13">
      <c r="A43" s="2" t="s">
        <v>667</v>
      </c>
      <c r="B43" s="120" t="s">
        <v>1382</v>
      </c>
      <c r="C43" s="5" t="e" cm="1">
        <f t="array" aca="1" ref="C43" ca="1">SUMPRODUCT(SUMIF(INDIRECT("'"&amp;Assemblies[Assy]&amp;"'!"&amp;"C$5:C1000"),$A43,(INDIRECT("'"&amp;Assemblies[Assy]&amp;"'!"&amp;"O$5:O1000"))))</f>
        <v>#VALUE!</v>
      </c>
      <c r="E43" s="2" t="s">
        <v>1779</v>
      </c>
      <c r="F43" s="115" t="s">
        <v>3376</v>
      </c>
      <c r="G43" s="2" t="s">
        <v>1779</v>
      </c>
      <c r="H43" s="116" t="s">
        <v>1382</v>
      </c>
      <c r="I43" s="116" t="s">
        <v>1382</v>
      </c>
      <c r="J43" s="116" t="s">
        <v>1382</v>
      </c>
      <c r="K43" s="116" t="s">
        <v>1382</v>
      </c>
      <c r="L43" s="2" t="s">
        <v>1382</v>
      </c>
      <c r="M43" s="2" t="str" cm="1">
        <f t="array" aca="1" ref="M43" ca="1">TRIM(SUBSTITUTE(_xlfn.ARRAYTOTEXT(IFERROR(CONCATENATE(SUMIF(INDIRECT("'"&amp;Assemblies[Assy]&amp;"'!"&amp;"C$5:C1000"), $A43, INDIRECT("'"&amp;Assemblies[Assy]&amp;"'!"&amp;"O$5:O1000")), "x",Assemblies[Assy],".",IF(SUMIF(INDIRECT("'"&amp;Assemblies[Assy]&amp;"'!"&amp;"C$5:C1000"), $A43, INDIRECT("'"&amp;Assemblies[Assy]&amp;"'!"&amp;"A$5:A1000"))=0,NA(),SUMIF(INDIRECT("'"&amp;Assemblies[Assy]&amp;"'!"&amp;"C$5:C1000"), $A43, INDIRECT("'"&amp;Assemblies[Assy]&amp;"'!"&amp;"A$5:A1000")))),"")), " ,", ""))</f>
        <v>,</v>
      </c>
    </row>
    <row r="44" spans="1:13">
      <c r="A44" s="2" t="s">
        <v>967</v>
      </c>
      <c r="B44" s="120" t="s">
        <v>1382</v>
      </c>
      <c r="C44" s="5" t="e" cm="1">
        <f t="array" aca="1" ref="C44" ca="1">SUMPRODUCT(SUMIF(INDIRECT("'"&amp;Assemblies[Assy]&amp;"'!"&amp;"C$5:C1000"),$A44,(INDIRECT("'"&amp;Assemblies[Assy]&amp;"'!"&amp;"O$5:O1000"))))</f>
        <v>#VALUE!</v>
      </c>
      <c r="E44" s="2" t="s">
        <v>1779</v>
      </c>
      <c r="F44" s="115" t="s">
        <v>3376</v>
      </c>
      <c r="G44" s="2" t="s">
        <v>1779</v>
      </c>
      <c r="H44" s="116" t="s">
        <v>1382</v>
      </c>
      <c r="I44" s="116" t="s">
        <v>1382</v>
      </c>
      <c r="J44" s="116" t="s">
        <v>1382</v>
      </c>
      <c r="K44" s="116" t="s">
        <v>1382</v>
      </c>
      <c r="L44" s="2" t="s">
        <v>1382</v>
      </c>
      <c r="M44" s="2" t="str" cm="1">
        <f t="array" aca="1" ref="M44" ca="1">TRIM(SUBSTITUTE(_xlfn.ARRAYTOTEXT(IFERROR(CONCATENATE(SUMIF(INDIRECT("'"&amp;Assemblies[Assy]&amp;"'!"&amp;"C$5:C1000"), $A44, INDIRECT("'"&amp;Assemblies[Assy]&amp;"'!"&amp;"O$5:O1000")), "x",Assemblies[Assy],".",IF(SUMIF(INDIRECT("'"&amp;Assemblies[Assy]&amp;"'!"&amp;"C$5:C1000"), $A44, INDIRECT("'"&amp;Assemblies[Assy]&amp;"'!"&amp;"A$5:A1000"))=0,NA(),SUMIF(INDIRECT("'"&amp;Assemblies[Assy]&amp;"'!"&amp;"C$5:C1000"), $A44, INDIRECT("'"&amp;Assemblies[Assy]&amp;"'!"&amp;"A$5:A1000")))),"")), " ,", ""))</f>
        <v>,</v>
      </c>
    </row>
    <row r="45" spans="1:13">
      <c r="A45" s="2" t="s">
        <v>636</v>
      </c>
      <c r="B45" s="120" t="s">
        <v>1382</v>
      </c>
      <c r="C45" s="5" t="e" cm="1">
        <f t="array" aca="1" ref="C45" ca="1">SUMPRODUCT(SUMIF(INDIRECT("'"&amp;Assemblies[Assy]&amp;"'!"&amp;"C$5:C1000"),$A45,(INDIRECT("'"&amp;Assemblies[Assy]&amp;"'!"&amp;"O$5:O1000"))))</f>
        <v>#VALUE!</v>
      </c>
      <c r="E45" s="2" t="s">
        <v>1779</v>
      </c>
      <c r="F45" s="115" t="s">
        <v>3376</v>
      </c>
      <c r="G45" s="2" t="s">
        <v>1779</v>
      </c>
      <c r="H45" s="116" t="s">
        <v>1382</v>
      </c>
      <c r="I45" s="116" t="s">
        <v>1382</v>
      </c>
      <c r="J45" s="116" t="s">
        <v>1382</v>
      </c>
      <c r="K45" s="116" t="s">
        <v>1382</v>
      </c>
      <c r="L45" s="2" t="s">
        <v>1382</v>
      </c>
      <c r="M45" s="2" t="str" cm="1">
        <f t="array" aca="1" ref="M45" ca="1">TRIM(SUBSTITUTE(_xlfn.ARRAYTOTEXT(IFERROR(CONCATENATE(SUMIF(INDIRECT("'"&amp;Assemblies[Assy]&amp;"'!"&amp;"C$5:C1000"), $A45, INDIRECT("'"&amp;Assemblies[Assy]&amp;"'!"&amp;"O$5:O1000")), "x",Assemblies[Assy],".",IF(SUMIF(INDIRECT("'"&amp;Assemblies[Assy]&amp;"'!"&amp;"C$5:C1000"), $A45, INDIRECT("'"&amp;Assemblies[Assy]&amp;"'!"&amp;"A$5:A1000"))=0,NA(),SUMIF(INDIRECT("'"&amp;Assemblies[Assy]&amp;"'!"&amp;"C$5:C1000"), $A45, INDIRECT("'"&amp;Assemblies[Assy]&amp;"'!"&amp;"A$5:A1000")))),"")), " ,", ""))</f>
        <v>,</v>
      </c>
    </row>
    <row r="46" spans="1:13">
      <c r="A46" s="2" t="s">
        <v>3381</v>
      </c>
      <c r="B46" s="120" t="s">
        <v>1382</v>
      </c>
      <c r="C46" s="5" cm="1">
        <f t="array" aca="1" ref="C46" ca="1">SUMPRODUCT(SUMIF(INDIRECT("'"&amp;Assemblies[Assy]&amp;"'!"&amp;"C$5:C1000"),$A46,(INDIRECT("'"&amp;Assemblies[Assy]&amp;"'!"&amp;"O$5:O1000"))))</f>
        <v>0</v>
      </c>
      <c r="E46" s="2" t="s">
        <v>1779</v>
      </c>
      <c r="F46" s="115" t="s">
        <v>3376</v>
      </c>
      <c r="G46" s="2" t="s">
        <v>1779</v>
      </c>
      <c r="H46" s="116" t="s">
        <v>1382</v>
      </c>
      <c r="I46" s="116" t="s">
        <v>1382</v>
      </c>
      <c r="J46" s="116" t="s">
        <v>1382</v>
      </c>
      <c r="K46" s="116" t="s">
        <v>1382</v>
      </c>
      <c r="L46" s="2" t="s">
        <v>1382</v>
      </c>
      <c r="M46" s="2" t="str" cm="1">
        <f t="array" aca="1" ref="M46" ca="1">TRIM(SUBSTITUTE(_xlfn.ARRAYTOTEXT(IFERROR(CONCATENATE(SUMIF(INDIRECT("'"&amp;Assemblies[Assy]&amp;"'!"&amp;"C$5:C1000"), $A46, INDIRECT("'"&amp;Assemblies[Assy]&amp;"'!"&amp;"O$5:O1000")), "x",Assemblies[Assy],".",IF(SUMIF(INDIRECT("'"&amp;Assemblies[Assy]&amp;"'!"&amp;"C$5:C1000"), $A46, INDIRECT("'"&amp;Assemblies[Assy]&amp;"'!"&amp;"A$5:A1000"))=0,NA(),SUMIF(INDIRECT("'"&amp;Assemblies[Assy]&amp;"'!"&amp;"C$5:C1000"), $A46, INDIRECT("'"&amp;Assemblies[Assy]&amp;"'!"&amp;"A$5:A1000")))),"")), " ,", ""))</f>
        <v>,</v>
      </c>
    </row>
    <row r="47" spans="1:13">
      <c r="A47" s="2" t="s">
        <v>480</v>
      </c>
      <c r="B47" s="120" t="s">
        <v>1382</v>
      </c>
      <c r="C47" s="5" t="e" cm="1">
        <f t="array" aca="1" ref="C47" ca="1">SUMPRODUCT(SUMIF(INDIRECT("'"&amp;Assemblies[Assy]&amp;"'!"&amp;"C$5:C1000"),$A47,(INDIRECT("'"&amp;Assemblies[Assy]&amp;"'!"&amp;"O$5:O1000"))))</f>
        <v>#VALUE!</v>
      </c>
      <c r="E47" s="2" t="s">
        <v>1779</v>
      </c>
      <c r="F47" s="115" t="s">
        <v>3376</v>
      </c>
      <c r="G47" s="2" t="s">
        <v>1779</v>
      </c>
      <c r="H47" s="116" t="s">
        <v>1382</v>
      </c>
      <c r="I47" s="116" t="s">
        <v>1382</v>
      </c>
      <c r="J47" s="116" t="s">
        <v>1382</v>
      </c>
      <c r="K47" s="116" t="s">
        <v>1382</v>
      </c>
      <c r="L47" s="2" t="s">
        <v>1382</v>
      </c>
      <c r="M47" s="2" t="str" cm="1">
        <f t="array" aca="1" ref="M47" ca="1">TRIM(SUBSTITUTE(_xlfn.ARRAYTOTEXT(IFERROR(CONCATENATE(SUMIF(INDIRECT("'"&amp;Assemblies[Assy]&amp;"'!"&amp;"C$5:C1000"), $A47, INDIRECT("'"&amp;Assemblies[Assy]&amp;"'!"&amp;"O$5:O1000")), "x",Assemblies[Assy],".",IF(SUMIF(INDIRECT("'"&amp;Assemblies[Assy]&amp;"'!"&amp;"C$5:C1000"), $A47, INDIRECT("'"&amp;Assemblies[Assy]&amp;"'!"&amp;"A$5:A1000"))=0,NA(),SUMIF(INDIRECT("'"&amp;Assemblies[Assy]&amp;"'!"&amp;"C$5:C1000"), $A47, INDIRECT("'"&amp;Assemblies[Assy]&amp;"'!"&amp;"A$5:A1000")))),"")), " ,", ""))</f>
        <v>,</v>
      </c>
    </row>
    <row r="48" spans="1:13">
      <c r="A48" s="2" t="s">
        <v>1189</v>
      </c>
      <c r="C48" s="5" t="e" cm="1">
        <f t="array" aca="1" ref="C48" ca="1">SUMPRODUCT(SUMIF(INDIRECT("'"&amp;Assemblies[Assy]&amp;"'!"&amp;"C$5:C1000"),$A48,(INDIRECT("'"&amp;Assemblies[Assy]&amp;"'!"&amp;"O$5:O1000"))))</f>
        <v>#VALUE!</v>
      </c>
      <c r="G48" s="2" t="s">
        <v>3382</v>
      </c>
      <c r="M48" s="2" t="str" cm="1">
        <f t="array" aca="1" ref="M48" ca="1">TRIM(SUBSTITUTE(_xlfn.ARRAYTOTEXT(IFERROR(CONCATENATE(SUMIF(INDIRECT("'"&amp;Assemblies[Assy]&amp;"'!"&amp;"C$5:C1000"), $A48, INDIRECT("'"&amp;Assemblies[Assy]&amp;"'!"&amp;"O$5:O1000")), "x",Assemblies[Assy],".",IF(SUMIF(INDIRECT("'"&amp;Assemblies[Assy]&amp;"'!"&amp;"C$5:C1000"), $A48, INDIRECT("'"&amp;Assemblies[Assy]&amp;"'!"&amp;"A$5:A1000"))=0,NA(),SUMIF(INDIRECT("'"&amp;Assemblies[Assy]&amp;"'!"&amp;"C$5:C1000"), $A48, INDIRECT("'"&amp;Assemblies[Assy]&amp;"'!"&amp;"A$5:A1000")))),"")), " ,", ""))</f>
        <v>,</v>
      </c>
    </row>
    <row r="49" spans="1:13">
      <c r="A49" s="2" t="s">
        <v>454</v>
      </c>
      <c r="B49" s="120" t="s">
        <v>1382</v>
      </c>
      <c r="C49" s="5" t="e" cm="1">
        <f t="array" aca="1" ref="C49" ca="1">SUMPRODUCT(SUMIF(INDIRECT("'"&amp;Assemblies[Assy]&amp;"'!"&amp;"C$5:C1000"),$A49,(INDIRECT("'"&amp;Assemblies[Assy]&amp;"'!"&amp;"O$5:O1000"))))</f>
        <v>#VALUE!</v>
      </c>
      <c r="E49" s="2" t="s">
        <v>1779</v>
      </c>
      <c r="F49" s="115" t="s">
        <v>3376</v>
      </c>
      <c r="G49" s="2" t="s">
        <v>1779</v>
      </c>
      <c r="H49" s="116" t="s">
        <v>1382</v>
      </c>
      <c r="I49" s="116" t="s">
        <v>1382</v>
      </c>
      <c r="J49" s="116" t="s">
        <v>1382</v>
      </c>
      <c r="K49" s="116" t="s">
        <v>1382</v>
      </c>
      <c r="L49" s="2" t="s">
        <v>1382</v>
      </c>
      <c r="M49" s="2" t="str" cm="1">
        <f t="array" aca="1" ref="M49" ca="1">TRIM(SUBSTITUTE(_xlfn.ARRAYTOTEXT(IFERROR(CONCATENATE(SUMIF(INDIRECT("'"&amp;Assemblies[Assy]&amp;"'!"&amp;"C$5:C1000"), $A49, INDIRECT("'"&amp;Assemblies[Assy]&amp;"'!"&amp;"O$5:O1000")), "x",Assemblies[Assy],".",IF(SUMIF(INDIRECT("'"&amp;Assemblies[Assy]&amp;"'!"&amp;"C$5:C1000"), $A49, INDIRECT("'"&amp;Assemblies[Assy]&amp;"'!"&amp;"A$5:A1000"))=0,NA(),SUMIF(INDIRECT("'"&amp;Assemblies[Assy]&amp;"'!"&amp;"C$5:C1000"), $A49, INDIRECT("'"&amp;Assemblies[Assy]&amp;"'!"&amp;"A$5:A1000")))),"")), " ,", ""))</f>
        <v>, 0x665.502,</v>
      </c>
    </row>
    <row r="50" spans="1:13">
      <c r="A50" s="2" t="s">
        <v>336</v>
      </c>
      <c r="B50" s="120" t="s">
        <v>1382</v>
      </c>
      <c r="C50" s="5" t="e" cm="1">
        <f t="array" aca="1" ref="C50" ca="1">SUMPRODUCT(SUMIF(INDIRECT("'"&amp;Assemblies[Assy]&amp;"'!"&amp;"C$5:C1000"),$A50,(INDIRECT("'"&amp;Assemblies[Assy]&amp;"'!"&amp;"O$5:O1000"))))</f>
        <v>#VALUE!</v>
      </c>
      <c r="E50" s="2" t="s">
        <v>1779</v>
      </c>
      <c r="F50" s="115" t="s">
        <v>3376</v>
      </c>
      <c r="G50" s="2" t="s">
        <v>1779</v>
      </c>
      <c r="H50" s="116" t="s">
        <v>1382</v>
      </c>
      <c r="I50" s="116" t="s">
        <v>1382</v>
      </c>
      <c r="J50" s="116" t="s">
        <v>1382</v>
      </c>
      <c r="K50" s="116" t="s">
        <v>1382</v>
      </c>
      <c r="L50" s="2" t="s">
        <v>1382</v>
      </c>
      <c r="M50" s="2" t="str" cm="1">
        <f t="array" aca="1" ref="M50" ca="1">TRIM(SUBSTITUTE(_xlfn.ARRAYTOTEXT(IFERROR(CONCATENATE(SUMIF(INDIRECT("'"&amp;Assemblies[Assy]&amp;"'!"&amp;"C$5:C1000"), $A50, INDIRECT("'"&amp;Assemblies[Assy]&amp;"'!"&amp;"O$5:O1000")), "x",Assemblies[Assy],".",IF(SUMIF(INDIRECT("'"&amp;Assemblies[Assy]&amp;"'!"&amp;"C$5:C1000"), $A50, INDIRECT("'"&amp;Assemblies[Assy]&amp;"'!"&amp;"A$5:A1000"))=0,NA(),SUMIF(INDIRECT("'"&amp;Assemblies[Assy]&amp;"'!"&amp;"C$5:C1000"), $A50, INDIRECT("'"&amp;Assemblies[Assy]&amp;"'!"&amp;"A$5:A1000")))),"")), " ,", ""))</f>
        <v>,</v>
      </c>
    </row>
    <row r="51" spans="1:13">
      <c r="A51" s="2" t="s">
        <v>361</v>
      </c>
      <c r="B51" s="120" t="s">
        <v>1382</v>
      </c>
      <c r="C51" s="5" t="e" cm="1">
        <f t="array" aca="1" ref="C51" ca="1">SUMPRODUCT(SUMIF(INDIRECT("'"&amp;Assemblies[Assy]&amp;"'!"&amp;"C$5:C1000"),$A51,(INDIRECT("'"&amp;Assemblies[Assy]&amp;"'!"&amp;"O$5:O1000"))))</f>
        <v>#VALUE!</v>
      </c>
      <c r="E51" s="2" t="s">
        <v>1779</v>
      </c>
      <c r="F51" s="115" t="s">
        <v>3376</v>
      </c>
      <c r="G51" s="2" t="s">
        <v>1779</v>
      </c>
      <c r="H51" s="116" t="s">
        <v>1382</v>
      </c>
      <c r="I51" s="116" t="s">
        <v>1382</v>
      </c>
      <c r="J51" s="116" t="s">
        <v>1382</v>
      </c>
      <c r="K51" s="116" t="s">
        <v>1382</v>
      </c>
      <c r="L51" s="2" t="s">
        <v>1382</v>
      </c>
      <c r="M51" s="2" t="str" cm="1">
        <f t="array" aca="1" ref="M51" ca="1">TRIM(SUBSTITUTE(_xlfn.ARRAYTOTEXT(IFERROR(CONCATENATE(SUMIF(INDIRECT("'"&amp;Assemblies[Assy]&amp;"'!"&amp;"C$5:C1000"), $A51, INDIRECT("'"&amp;Assemblies[Assy]&amp;"'!"&amp;"O$5:O1000")), "x",Assemblies[Assy],".",IF(SUMIF(INDIRECT("'"&amp;Assemblies[Assy]&amp;"'!"&amp;"C$5:C1000"), $A51, INDIRECT("'"&amp;Assemblies[Assy]&amp;"'!"&amp;"A$5:A1000"))=0,NA(),SUMIF(INDIRECT("'"&amp;Assemblies[Assy]&amp;"'!"&amp;"C$5:C1000"), $A51, INDIRECT("'"&amp;Assemblies[Assy]&amp;"'!"&amp;"A$5:A1000")))),"")), " ,", ""))</f>
        <v>,</v>
      </c>
    </row>
    <row r="52" spans="1:13">
      <c r="A52" s="2" t="s">
        <v>265</v>
      </c>
      <c r="B52" s="120" t="s">
        <v>1382</v>
      </c>
      <c r="C52" s="5" t="e" cm="1">
        <f t="array" aca="1" ref="C52" ca="1">SUMPRODUCT(SUMIF(INDIRECT("'"&amp;Assemblies[Assy]&amp;"'!"&amp;"C$5:C1000"),$A52,(INDIRECT("'"&amp;Assemblies[Assy]&amp;"'!"&amp;"O$5:O1000"))))</f>
        <v>#VALUE!</v>
      </c>
      <c r="E52" s="2" t="s">
        <v>1779</v>
      </c>
      <c r="F52" s="115" t="s">
        <v>3376</v>
      </c>
      <c r="G52" s="2" t="s">
        <v>1779</v>
      </c>
      <c r="H52" s="116" t="s">
        <v>1382</v>
      </c>
      <c r="I52" s="116" t="s">
        <v>1382</v>
      </c>
      <c r="J52" s="116" t="s">
        <v>1382</v>
      </c>
      <c r="K52" s="116" t="s">
        <v>1382</v>
      </c>
      <c r="L52" s="2" t="s">
        <v>1382</v>
      </c>
      <c r="M52" s="2" t="str" cm="1">
        <f t="array" aca="1" ref="M52" ca="1">TRIM(SUBSTITUTE(_xlfn.ARRAYTOTEXT(IFERROR(CONCATENATE(SUMIF(INDIRECT("'"&amp;Assemblies[Assy]&amp;"'!"&amp;"C$5:C1000"), $A52, INDIRECT("'"&amp;Assemblies[Assy]&amp;"'!"&amp;"O$5:O1000")), "x",Assemblies[Assy],".",IF(SUMIF(INDIRECT("'"&amp;Assemblies[Assy]&amp;"'!"&amp;"C$5:C1000"), $A52, INDIRECT("'"&amp;Assemblies[Assy]&amp;"'!"&amp;"A$5:A1000"))=0,NA(),SUMIF(INDIRECT("'"&amp;Assemblies[Assy]&amp;"'!"&amp;"C$5:C1000"), $A52, INDIRECT("'"&amp;Assemblies[Assy]&amp;"'!"&amp;"A$5:A1000")))),"")), " ,", ""))</f>
        <v>,</v>
      </c>
    </row>
    <row r="53" spans="1:13">
      <c r="A53" s="2" t="s">
        <v>3383</v>
      </c>
      <c r="B53" s="120" t="s">
        <v>1382</v>
      </c>
      <c r="C53" s="5" cm="1">
        <f t="array" aca="1" ref="C53" ca="1">SUMPRODUCT(SUMIF(INDIRECT("'"&amp;Assemblies[Assy]&amp;"'!"&amp;"C$5:C1000"),$A53,(INDIRECT("'"&amp;Assemblies[Assy]&amp;"'!"&amp;"O$5:O1000"))))</f>
        <v>0</v>
      </c>
      <c r="E53" s="2" t="s">
        <v>1779</v>
      </c>
      <c r="F53" s="115" t="s">
        <v>3376</v>
      </c>
      <c r="G53" s="2" t="s">
        <v>1779</v>
      </c>
      <c r="H53" s="116" t="s">
        <v>1382</v>
      </c>
      <c r="I53" s="116" t="s">
        <v>1382</v>
      </c>
      <c r="J53" s="116" t="s">
        <v>1382</v>
      </c>
      <c r="K53" s="116" t="s">
        <v>1382</v>
      </c>
      <c r="L53" s="2" t="s">
        <v>1382</v>
      </c>
      <c r="M53" s="2" t="str" cm="1">
        <f t="array" aca="1" ref="M53" ca="1">TRIM(SUBSTITUTE(_xlfn.ARRAYTOTEXT(IFERROR(CONCATENATE(SUMIF(INDIRECT("'"&amp;Assemblies[Assy]&amp;"'!"&amp;"C$5:C1000"), $A53, INDIRECT("'"&amp;Assemblies[Assy]&amp;"'!"&amp;"O$5:O1000")), "x",Assemblies[Assy],".",IF(SUMIF(INDIRECT("'"&amp;Assemblies[Assy]&amp;"'!"&amp;"C$5:C1000"), $A53, INDIRECT("'"&amp;Assemblies[Assy]&amp;"'!"&amp;"A$5:A1000"))=0,NA(),SUMIF(INDIRECT("'"&amp;Assemblies[Assy]&amp;"'!"&amp;"C$5:C1000"), $A53, INDIRECT("'"&amp;Assemblies[Assy]&amp;"'!"&amp;"A$5:A1000")))),"")), " ,", ""))</f>
        <v>,</v>
      </c>
    </row>
    <row r="54" spans="1:13">
      <c r="A54" s="2" t="s">
        <v>335</v>
      </c>
      <c r="B54" s="120" t="s">
        <v>1382</v>
      </c>
      <c r="C54" s="5" t="e" cm="1">
        <f t="array" aca="1" ref="C54" ca="1">SUMPRODUCT(SUMIF(INDIRECT("'"&amp;Assemblies[Assy]&amp;"'!"&amp;"C$5:C1000"),$A54,(INDIRECT("'"&amp;Assemblies[Assy]&amp;"'!"&amp;"O$5:O1000"))))</f>
        <v>#VALUE!</v>
      </c>
      <c r="E54" s="2" t="s">
        <v>1779</v>
      </c>
      <c r="F54" s="115" t="s">
        <v>3376</v>
      </c>
      <c r="G54" s="2" t="s">
        <v>1779</v>
      </c>
      <c r="H54" s="116" t="s">
        <v>1382</v>
      </c>
      <c r="I54" s="116" t="s">
        <v>1382</v>
      </c>
      <c r="J54" s="116" t="s">
        <v>1382</v>
      </c>
      <c r="K54" s="116" t="s">
        <v>1382</v>
      </c>
      <c r="L54" s="2" t="s">
        <v>1382</v>
      </c>
      <c r="M54" s="2" t="str" cm="1">
        <f t="array" aca="1" ref="M54" ca="1">TRIM(SUBSTITUTE(_xlfn.ARRAYTOTEXT(IFERROR(CONCATENATE(SUMIF(INDIRECT("'"&amp;Assemblies[Assy]&amp;"'!"&amp;"C$5:C1000"), $A54, INDIRECT("'"&amp;Assemblies[Assy]&amp;"'!"&amp;"O$5:O1000")), "x",Assemblies[Assy],".",IF(SUMIF(INDIRECT("'"&amp;Assemblies[Assy]&amp;"'!"&amp;"C$5:C1000"), $A54, INDIRECT("'"&amp;Assemblies[Assy]&amp;"'!"&amp;"A$5:A1000"))=0,NA(),SUMIF(INDIRECT("'"&amp;Assemblies[Assy]&amp;"'!"&amp;"C$5:C1000"), $A54, INDIRECT("'"&amp;Assemblies[Assy]&amp;"'!"&amp;"A$5:A1000")))),"")), " ,", ""))</f>
        <v>,</v>
      </c>
    </row>
    <row r="55" spans="1:13">
      <c r="A55" s="2" t="s">
        <v>493</v>
      </c>
      <c r="B55" s="120" t="s">
        <v>1382</v>
      </c>
      <c r="C55" s="5" t="e" cm="1">
        <f t="array" aca="1" ref="C55" ca="1">SUMPRODUCT(SUMIF(INDIRECT("'"&amp;Assemblies[Assy]&amp;"'!"&amp;"C$5:C1000"),$A55,(INDIRECT("'"&amp;Assemblies[Assy]&amp;"'!"&amp;"O$5:O1000"))))</f>
        <v>#VALUE!</v>
      </c>
      <c r="E55" s="2" t="s">
        <v>1779</v>
      </c>
      <c r="F55" s="115" t="s">
        <v>3376</v>
      </c>
      <c r="G55" s="2" t="s">
        <v>1779</v>
      </c>
      <c r="H55" s="116" t="s">
        <v>1382</v>
      </c>
      <c r="I55" s="116" t="s">
        <v>1382</v>
      </c>
      <c r="J55" s="116" t="s">
        <v>1382</v>
      </c>
      <c r="K55" s="116" t="s">
        <v>1382</v>
      </c>
      <c r="L55" s="2" t="s">
        <v>1382</v>
      </c>
      <c r="M55" s="2" t="str" cm="1">
        <f t="array" aca="1" ref="M55" ca="1">TRIM(SUBSTITUTE(_xlfn.ARRAYTOTEXT(IFERROR(CONCATENATE(SUMIF(INDIRECT("'"&amp;Assemblies[Assy]&amp;"'!"&amp;"C$5:C1000"), $A55, INDIRECT("'"&amp;Assemblies[Assy]&amp;"'!"&amp;"O$5:O1000")), "x",Assemblies[Assy],".",IF(SUMIF(INDIRECT("'"&amp;Assemblies[Assy]&amp;"'!"&amp;"C$5:C1000"), $A55, INDIRECT("'"&amp;Assemblies[Assy]&amp;"'!"&amp;"A$5:A1000"))=0,NA(),SUMIF(INDIRECT("'"&amp;Assemblies[Assy]&amp;"'!"&amp;"C$5:C1000"), $A55, INDIRECT("'"&amp;Assemblies[Assy]&amp;"'!"&amp;"A$5:A1000")))),"")), " ,", ""))</f>
        <v>,</v>
      </c>
    </row>
    <row r="56" spans="1:13">
      <c r="A56" s="2" t="s">
        <v>675</v>
      </c>
      <c r="C56" s="5" t="e" cm="1">
        <f t="array" aca="1" ref="C56" ca="1">SUMPRODUCT(SUMIF(INDIRECT("'"&amp;Assemblies[Assy]&amp;"'!"&amp;"C$5:C1000"),$A56,(INDIRECT("'"&amp;Assemblies[Assy]&amp;"'!"&amp;"O$5:O1000"))))</f>
        <v>#VALUE!</v>
      </c>
      <c r="M56" s="2" t="str" cm="1">
        <f t="array" aca="1" ref="M56" ca="1">TRIM(SUBSTITUTE(_xlfn.ARRAYTOTEXT(IFERROR(CONCATENATE(SUMIF(INDIRECT("'"&amp;Assemblies[Assy]&amp;"'!"&amp;"C$5:C1000"), $A56, INDIRECT("'"&amp;Assemblies[Assy]&amp;"'!"&amp;"O$5:O1000")), "x",Assemblies[Assy],".",IF(SUMIF(INDIRECT("'"&amp;Assemblies[Assy]&amp;"'!"&amp;"C$5:C1000"), $A56, INDIRECT("'"&amp;Assemblies[Assy]&amp;"'!"&amp;"A$5:A1000"))=0,NA(),SUMIF(INDIRECT("'"&amp;Assemblies[Assy]&amp;"'!"&amp;"C$5:C1000"), $A56, INDIRECT("'"&amp;Assemblies[Assy]&amp;"'!"&amp;"A$5:A1000")))),"")), " ,", ""))</f>
        <v>,</v>
      </c>
    </row>
    <row r="57" spans="1:13">
      <c r="A57" s="2" t="s">
        <v>724</v>
      </c>
      <c r="B57" s="120" t="s">
        <v>1382</v>
      </c>
      <c r="C57" s="5" t="e" cm="1">
        <f t="array" aca="1" ref="C57" ca="1">SUMPRODUCT(SUMIF(INDIRECT("'"&amp;Assemblies[Assy]&amp;"'!"&amp;"C$5:C1000"),$A57,(INDIRECT("'"&amp;Assemblies[Assy]&amp;"'!"&amp;"O$5:O1000"))))</f>
        <v>#VALUE!</v>
      </c>
      <c r="E57" s="2" t="s">
        <v>1779</v>
      </c>
      <c r="F57" s="115" t="s">
        <v>3376</v>
      </c>
      <c r="G57" s="2" t="s">
        <v>1779</v>
      </c>
      <c r="H57" s="116" t="s">
        <v>1382</v>
      </c>
      <c r="I57" s="116" t="s">
        <v>1382</v>
      </c>
      <c r="J57" s="116" t="s">
        <v>1382</v>
      </c>
      <c r="K57" s="116" t="s">
        <v>1382</v>
      </c>
      <c r="L57" s="2" t="s">
        <v>1382</v>
      </c>
      <c r="M57" s="2" t="str" cm="1">
        <f t="array" aca="1" ref="M57" ca="1">TRIM(SUBSTITUTE(_xlfn.ARRAYTOTEXT(IFERROR(CONCATENATE(SUMIF(INDIRECT("'"&amp;Assemblies[Assy]&amp;"'!"&amp;"C$5:C1000"), $A57, INDIRECT("'"&amp;Assemblies[Assy]&amp;"'!"&amp;"O$5:O1000")), "x",Assemblies[Assy],".",IF(SUMIF(INDIRECT("'"&amp;Assemblies[Assy]&amp;"'!"&amp;"C$5:C1000"), $A57, INDIRECT("'"&amp;Assemblies[Assy]&amp;"'!"&amp;"A$5:A1000"))=0,NA(),SUMIF(INDIRECT("'"&amp;Assemblies[Assy]&amp;"'!"&amp;"C$5:C1000"), $A57, INDIRECT("'"&amp;Assemblies[Assy]&amp;"'!"&amp;"A$5:A1000")))),"")), " ,", ""))</f>
        <v>,</v>
      </c>
    </row>
    <row r="58" spans="1:13">
      <c r="A58" s="2" t="s">
        <v>906</v>
      </c>
      <c r="B58" s="120" t="s">
        <v>1382</v>
      </c>
      <c r="C58" s="5" t="e" cm="1">
        <f t="array" aca="1" ref="C58" ca="1">SUMPRODUCT(SUMIF(INDIRECT("'"&amp;Assemblies[Assy]&amp;"'!"&amp;"C$5:C1000"),$A58,(INDIRECT("'"&amp;Assemblies[Assy]&amp;"'!"&amp;"O$5:O1000"))))</f>
        <v>#VALUE!</v>
      </c>
      <c r="E58" s="2" t="s">
        <v>1779</v>
      </c>
      <c r="F58" s="115" t="s">
        <v>3376</v>
      </c>
      <c r="G58" s="2" t="s">
        <v>1779</v>
      </c>
      <c r="H58" s="116" t="s">
        <v>1382</v>
      </c>
      <c r="I58" s="116" t="s">
        <v>1382</v>
      </c>
      <c r="J58" s="116" t="s">
        <v>1382</v>
      </c>
      <c r="K58" s="116" t="s">
        <v>1382</v>
      </c>
      <c r="L58" s="2" t="s">
        <v>1382</v>
      </c>
      <c r="M58" s="2" t="str" cm="1">
        <f t="array" aca="1" ref="M58" ca="1">TRIM(SUBSTITUTE(_xlfn.ARRAYTOTEXT(IFERROR(CONCATENATE(SUMIF(INDIRECT("'"&amp;Assemblies[Assy]&amp;"'!"&amp;"C$5:C1000"), $A58, INDIRECT("'"&amp;Assemblies[Assy]&amp;"'!"&amp;"O$5:O1000")), "x",Assemblies[Assy],".",IF(SUMIF(INDIRECT("'"&amp;Assemblies[Assy]&amp;"'!"&amp;"C$5:C1000"), $A58, INDIRECT("'"&amp;Assemblies[Assy]&amp;"'!"&amp;"A$5:A1000"))=0,NA(),SUMIF(INDIRECT("'"&amp;Assemblies[Assy]&amp;"'!"&amp;"C$5:C1000"), $A58, INDIRECT("'"&amp;Assemblies[Assy]&amp;"'!"&amp;"A$5:A1000")))),"")), " ,", ""))</f>
        <v>,</v>
      </c>
    </row>
    <row r="59" spans="1:13">
      <c r="A59" s="2" t="s">
        <v>668</v>
      </c>
      <c r="B59" s="120" t="s">
        <v>1382</v>
      </c>
      <c r="C59" s="5" t="e" cm="1">
        <f t="array" aca="1" ref="C59" ca="1">SUMPRODUCT(SUMIF(INDIRECT("'"&amp;Assemblies[Assy]&amp;"'!"&amp;"C$5:C1000"),$A59,(INDIRECT("'"&amp;Assemblies[Assy]&amp;"'!"&amp;"O$5:O1000"))))</f>
        <v>#VALUE!</v>
      </c>
      <c r="E59" s="2" t="s">
        <v>1779</v>
      </c>
      <c r="F59" s="115" t="s">
        <v>3376</v>
      </c>
      <c r="G59" s="2" t="s">
        <v>1779</v>
      </c>
      <c r="H59" s="116" t="s">
        <v>1382</v>
      </c>
      <c r="I59" s="116" t="s">
        <v>1382</v>
      </c>
      <c r="J59" s="116" t="s">
        <v>1382</v>
      </c>
      <c r="K59" s="116" t="s">
        <v>1382</v>
      </c>
      <c r="L59" s="2" t="s">
        <v>1382</v>
      </c>
      <c r="M59" s="2" t="str" cm="1">
        <f t="array" aca="1" ref="M59" ca="1">TRIM(SUBSTITUTE(_xlfn.ARRAYTOTEXT(IFERROR(CONCATENATE(SUMIF(INDIRECT("'"&amp;Assemblies[Assy]&amp;"'!"&amp;"C$5:C1000"), $A59, INDIRECT("'"&amp;Assemblies[Assy]&amp;"'!"&amp;"O$5:O1000")), "x",Assemblies[Assy],".",IF(SUMIF(INDIRECT("'"&amp;Assemblies[Assy]&amp;"'!"&amp;"C$5:C1000"), $A59, INDIRECT("'"&amp;Assemblies[Assy]&amp;"'!"&amp;"A$5:A1000"))=0,NA(),SUMIF(INDIRECT("'"&amp;Assemblies[Assy]&amp;"'!"&amp;"C$5:C1000"), $A59, INDIRECT("'"&amp;Assemblies[Assy]&amp;"'!"&amp;"A$5:A1000")))),"")), " ,", ""))</f>
        <v>,</v>
      </c>
    </row>
    <row r="60" spans="1:13">
      <c r="A60" s="2" t="s">
        <v>451</v>
      </c>
      <c r="B60" s="120" t="s">
        <v>1382</v>
      </c>
      <c r="C60" s="5" t="e" cm="1">
        <f t="array" aca="1" ref="C60" ca="1">SUMPRODUCT(SUMIF(INDIRECT("'"&amp;Assemblies[Assy]&amp;"'!"&amp;"C$5:C1000"),$A60,(INDIRECT("'"&amp;Assemblies[Assy]&amp;"'!"&amp;"O$5:O1000"))))</f>
        <v>#VALUE!</v>
      </c>
      <c r="E60" s="2" t="s">
        <v>1779</v>
      </c>
      <c r="F60" s="115" t="s">
        <v>3376</v>
      </c>
      <c r="G60" s="2" t="s">
        <v>1779</v>
      </c>
      <c r="H60" s="116" t="s">
        <v>1382</v>
      </c>
      <c r="I60" s="116" t="s">
        <v>1382</v>
      </c>
      <c r="J60" s="116" t="s">
        <v>1382</v>
      </c>
      <c r="K60" s="116" t="s">
        <v>1382</v>
      </c>
      <c r="L60" s="2" t="s">
        <v>1382</v>
      </c>
      <c r="M60" s="2" t="str" cm="1">
        <f t="array" aca="1" ref="M60" ca="1">TRIM(SUBSTITUTE(_xlfn.ARRAYTOTEXT(IFERROR(CONCATENATE(SUMIF(INDIRECT("'"&amp;Assemblies[Assy]&amp;"'!"&amp;"C$5:C1000"), $A60, INDIRECT("'"&amp;Assemblies[Assy]&amp;"'!"&amp;"O$5:O1000")), "x",Assemblies[Assy],".",IF(SUMIF(INDIRECT("'"&amp;Assemblies[Assy]&amp;"'!"&amp;"C$5:C1000"), $A60, INDIRECT("'"&amp;Assemblies[Assy]&amp;"'!"&amp;"A$5:A1000"))=0,NA(),SUMIF(INDIRECT("'"&amp;Assemblies[Assy]&amp;"'!"&amp;"C$5:C1000"), $A60, INDIRECT("'"&amp;Assemblies[Assy]&amp;"'!"&amp;"A$5:A1000")))),"")), " ,", ""))</f>
        <v>,</v>
      </c>
    </row>
    <row r="61" spans="1:13">
      <c r="A61" s="2" t="s">
        <v>1078</v>
      </c>
      <c r="B61" s="120" t="s">
        <v>1382</v>
      </c>
      <c r="C61" s="5" t="e" cm="1">
        <f t="array" aca="1" ref="C61" ca="1">SUMPRODUCT(SUMIF(INDIRECT("'"&amp;Assemblies[Assy]&amp;"'!"&amp;"C$5:C1000"),$A61,(INDIRECT("'"&amp;Assemblies[Assy]&amp;"'!"&amp;"O$5:O1000"))))</f>
        <v>#VALUE!</v>
      </c>
      <c r="E61" s="2" t="s">
        <v>1779</v>
      </c>
      <c r="F61" s="115" t="s">
        <v>3376</v>
      </c>
      <c r="G61" s="2" t="s">
        <v>1779</v>
      </c>
      <c r="H61" s="116" t="s">
        <v>1382</v>
      </c>
      <c r="I61" s="116" t="s">
        <v>1382</v>
      </c>
      <c r="J61" s="116" t="s">
        <v>1382</v>
      </c>
      <c r="K61" s="116" t="s">
        <v>1382</v>
      </c>
      <c r="L61" s="2" t="s">
        <v>1382</v>
      </c>
      <c r="M61" s="2" t="str" cm="1">
        <f t="array" aca="1" ref="M61" ca="1">TRIM(SUBSTITUTE(_xlfn.ARRAYTOTEXT(IFERROR(CONCATENATE(SUMIF(INDIRECT("'"&amp;Assemblies[Assy]&amp;"'!"&amp;"C$5:C1000"), $A61, INDIRECT("'"&amp;Assemblies[Assy]&amp;"'!"&amp;"O$5:O1000")), "x",Assemblies[Assy],".",IF(SUMIF(INDIRECT("'"&amp;Assemblies[Assy]&amp;"'!"&amp;"C$5:C1000"), $A61, INDIRECT("'"&amp;Assemblies[Assy]&amp;"'!"&amp;"A$5:A1000"))=0,NA(),SUMIF(INDIRECT("'"&amp;Assemblies[Assy]&amp;"'!"&amp;"C$5:C1000"), $A61, INDIRECT("'"&amp;Assemblies[Assy]&amp;"'!"&amp;"A$5:A1000")))),"")), " ,", ""))</f>
        <v>,</v>
      </c>
    </row>
    <row r="62" spans="1:13">
      <c r="A62" s="2" t="s">
        <v>637</v>
      </c>
      <c r="B62" s="120" t="s">
        <v>1382</v>
      </c>
      <c r="C62" s="5" t="e" cm="1">
        <f t="array" aca="1" ref="C62" ca="1">SUMPRODUCT(SUMIF(INDIRECT("'"&amp;Assemblies[Assy]&amp;"'!"&amp;"C$5:C1000"),$A62,(INDIRECT("'"&amp;Assemblies[Assy]&amp;"'!"&amp;"O$5:O1000"))))</f>
        <v>#VALUE!</v>
      </c>
      <c r="E62" s="2" t="s">
        <v>1779</v>
      </c>
      <c r="F62" s="115" t="s">
        <v>3376</v>
      </c>
      <c r="G62" s="2" t="s">
        <v>1779</v>
      </c>
      <c r="H62" s="116" t="s">
        <v>1382</v>
      </c>
      <c r="I62" s="116" t="s">
        <v>1382</v>
      </c>
      <c r="J62" s="116" t="s">
        <v>1382</v>
      </c>
      <c r="K62" s="116" t="s">
        <v>1382</v>
      </c>
      <c r="L62" s="2" t="s">
        <v>1382</v>
      </c>
      <c r="M62" s="2" t="str" cm="1">
        <f t="array" aca="1" ref="M62" ca="1">TRIM(SUBSTITUTE(_xlfn.ARRAYTOTEXT(IFERROR(CONCATENATE(SUMIF(INDIRECT("'"&amp;Assemblies[Assy]&amp;"'!"&amp;"C$5:C1000"), $A62, INDIRECT("'"&amp;Assemblies[Assy]&amp;"'!"&amp;"O$5:O1000")), "x",Assemblies[Assy],".",IF(SUMIF(INDIRECT("'"&amp;Assemblies[Assy]&amp;"'!"&amp;"C$5:C1000"), $A62, INDIRECT("'"&amp;Assemblies[Assy]&amp;"'!"&amp;"A$5:A1000"))=0,NA(),SUMIF(INDIRECT("'"&amp;Assemblies[Assy]&amp;"'!"&amp;"C$5:C1000"), $A62, INDIRECT("'"&amp;Assemblies[Assy]&amp;"'!"&amp;"A$5:A1000")))),"")), " ,", ""))</f>
        <v>,</v>
      </c>
    </row>
    <row r="63" spans="1:13">
      <c r="A63" s="2" t="s">
        <v>450</v>
      </c>
      <c r="B63" s="120" t="s">
        <v>1382</v>
      </c>
      <c r="C63" s="5" t="e" cm="1">
        <f t="array" aca="1" ref="C63" ca="1">SUMPRODUCT(SUMIF(INDIRECT("'"&amp;Assemblies[Assy]&amp;"'!"&amp;"C$5:C1000"),$A63,(INDIRECT("'"&amp;Assemblies[Assy]&amp;"'!"&amp;"O$5:O1000"))))</f>
        <v>#VALUE!</v>
      </c>
      <c r="E63" s="2" t="s">
        <v>1779</v>
      </c>
      <c r="F63" s="115" t="s">
        <v>3376</v>
      </c>
      <c r="G63" s="2" t="s">
        <v>1779</v>
      </c>
      <c r="H63" s="116" t="s">
        <v>1382</v>
      </c>
      <c r="I63" s="116" t="s">
        <v>1382</v>
      </c>
      <c r="J63" s="116" t="s">
        <v>1382</v>
      </c>
      <c r="K63" s="116" t="s">
        <v>1382</v>
      </c>
      <c r="L63" s="2" t="s">
        <v>1382</v>
      </c>
      <c r="M63" s="2" t="str" cm="1">
        <f t="array" aca="1" ref="M63" ca="1">TRIM(SUBSTITUTE(_xlfn.ARRAYTOTEXT(IFERROR(CONCATENATE(SUMIF(INDIRECT("'"&amp;Assemblies[Assy]&amp;"'!"&amp;"C$5:C1000"), $A63, INDIRECT("'"&amp;Assemblies[Assy]&amp;"'!"&amp;"O$5:O1000")), "x",Assemblies[Assy],".",IF(SUMIF(INDIRECT("'"&amp;Assemblies[Assy]&amp;"'!"&amp;"C$5:C1000"), $A63, INDIRECT("'"&amp;Assemblies[Assy]&amp;"'!"&amp;"A$5:A1000"))=0,NA(),SUMIF(INDIRECT("'"&amp;Assemblies[Assy]&amp;"'!"&amp;"C$5:C1000"), $A63, INDIRECT("'"&amp;Assemblies[Assy]&amp;"'!"&amp;"A$5:A1000")))),"")), " ,", ""))</f>
        <v>,</v>
      </c>
    </row>
    <row r="64" spans="1:13">
      <c r="A64" s="2" t="s">
        <v>3384</v>
      </c>
      <c r="C64" s="5" cm="1">
        <f t="array" aca="1" ref="C64" ca="1">SUMPRODUCT(SUMIF(INDIRECT("'"&amp;Assemblies[Assy]&amp;"'!"&amp;"C$5:C1000"),$A64,(INDIRECT("'"&amp;Assemblies[Assy]&amp;"'!"&amp;"O$5:O1000"))))</f>
        <v>0</v>
      </c>
      <c r="M64" s="2" t="str" cm="1">
        <f t="array" aca="1" ref="M64" ca="1">TRIM(SUBSTITUTE(_xlfn.ARRAYTOTEXT(IFERROR(CONCATENATE(SUMIF(INDIRECT("'"&amp;Assemblies[Assy]&amp;"'!"&amp;"C$5:C1000"), $A64, INDIRECT("'"&amp;Assemblies[Assy]&amp;"'!"&amp;"O$5:O1000")), "x",Assemblies[Assy],".",IF(SUMIF(INDIRECT("'"&amp;Assemblies[Assy]&amp;"'!"&amp;"C$5:C1000"), $A64, INDIRECT("'"&amp;Assemblies[Assy]&amp;"'!"&amp;"A$5:A1000"))=0,NA(),SUMIF(INDIRECT("'"&amp;Assemblies[Assy]&amp;"'!"&amp;"C$5:C1000"), $A64, INDIRECT("'"&amp;Assemblies[Assy]&amp;"'!"&amp;"A$5:A1000")))),"")), " ,", ""))</f>
        <v>,</v>
      </c>
    </row>
    <row r="65" spans="1:13">
      <c r="A65" s="2" t="s">
        <v>725</v>
      </c>
      <c r="C65" s="5" t="e" cm="1">
        <f t="array" aca="1" ref="C65" ca="1">SUMPRODUCT(SUMIF(INDIRECT("'"&amp;Assemblies[Assy]&amp;"'!"&amp;"C$5:C1000"),$A65,(INDIRECT("'"&amp;Assemblies[Assy]&amp;"'!"&amp;"O$5:O1000"))))</f>
        <v>#VALUE!</v>
      </c>
      <c r="M65" s="2" t="str" cm="1">
        <f t="array" aca="1" ref="M65" ca="1">TRIM(SUBSTITUTE(_xlfn.ARRAYTOTEXT(IFERROR(CONCATENATE(SUMIF(INDIRECT("'"&amp;Assemblies[Assy]&amp;"'!"&amp;"C$5:C1000"), $A65, INDIRECT("'"&amp;Assemblies[Assy]&amp;"'!"&amp;"O$5:O1000")), "x",Assemblies[Assy],".",IF(SUMIF(INDIRECT("'"&amp;Assemblies[Assy]&amp;"'!"&amp;"C$5:C1000"), $A65, INDIRECT("'"&amp;Assemblies[Assy]&amp;"'!"&amp;"A$5:A1000"))=0,NA(),SUMIF(INDIRECT("'"&amp;Assemblies[Assy]&amp;"'!"&amp;"C$5:C1000"), $A65, INDIRECT("'"&amp;Assemblies[Assy]&amp;"'!"&amp;"A$5:A1000")))),"")), " ,", ""))</f>
        <v>,</v>
      </c>
    </row>
    <row r="66" spans="1:13">
      <c r="A66" s="2" t="s">
        <v>482</v>
      </c>
      <c r="B66" s="120" t="s">
        <v>1382</v>
      </c>
      <c r="C66" s="5" t="e" cm="1">
        <f t="array" aca="1" ref="C66" ca="1">SUMPRODUCT(SUMIF(INDIRECT("'"&amp;Assemblies[Assy]&amp;"'!"&amp;"C$5:C1000"),$A66,(INDIRECT("'"&amp;Assemblies[Assy]&amp;"'!"&amp;"O$5:O1000"))))</f>
        <v>#VALUE!</v>
      </c>
      <c r="E66" s="2" t="s">
        <v>1779</v>
      </c>
      <c r="F66" s="115" t="s">
        <v>3376</v>
      </c>
      <c r="G66" s="2" t="s">
        <v>1779</v>
      </c>
      <c r="H66" s="116" t="s">
        <v>1382</v>
      </c>
      <c r="I66" s="116" t="s">
        <v>1382</v>
      </c>
      <c r="J66" s="116" t="s">
        <v>1382</v>
      </c>
      <c r="K66" s="116" t="s">
        <v>1382</v>
      </c>
      <c r="L66" s="2" t="s">
        <v>1382</v>
      </c>
      <c r="M66" s="2" t="str" cm="1">
        <f t="array" aca="1" ref="M66" ca="1">TRIM(SUBSTITUTE(_xlfn.ARRAYTOTEXT(IFERROR(CONCATENATE(SUMIF(INDIRECT("'"&amp;Assemblies[Assy]&amp;"'!"&amp;"C$5:C1000"), $A66, INDIRECT("'"&amp;Assemblies[Assy]&amp;"'!"&amp;"O$5:O1000")), "x",Assemblies[Assy],".",IF(SUMIF(INDIRECT("'"&amp;Assemblies[Assy]&amp;"'!"&amp;"C$5:C1000"), $A66, INDIRECT("'"&amp;Assemblies[Assy]&amp;"'!"&amp;"A$5:A1000"))=0,NA(),SUMIF(INDIRECT("'"&amp;Assemblies[Assy]&amp;"'!"&amp;"C$5:C1000"), $A66, INDIRECT("'"&amp;Assemblies[Assy]&amp;"'!"&amp;"A$5:A1000")))),"")), " ,", ""))</f>
        <v>,</v>
      </c>
    </row>
    <row r="67" spans="1:13">
      <c r="A67" s="2" t="s">
        <v>638</v>
      </c>
      <c r="B67" s="120" t="s">
        <v>1382</v>
      </c>
      <c r="C67" s="5" t="e" cm="1">
        <f t="array" aca="1" ref="C67" ca="1">SUMPRODUCT(SUMIF(INDIRECT("'"&amp;Assemblies[Assy]&amp;"'!"&amp;"C$5:C1000"),$A67,(INDIRECT("'"&amp;Assemblies[Assy]&amp;"'!"&amp;"O$5:O1000"))))</f>
        <v>#VALUE!</v>
      </c>
      <c r="E67" s="2" t="s">
        <v>1779</v>
      </c>
      <c r="F67" s="115" t="s">
        <v>3376</v>
      </c>
      <c r="G67" s="2" t="s">
        <v>1779</v>
      </c>
      <c r="H67" s="116" t="s">
        <v>1382</v>
      </c>
      <c r="I67" s="116" t="s">
        <v>1382</v>
      </c>
      <c r="J67" s="116" t="s">
        <v>1382</v>
      </c>
      <c r="K67" s="116" t="s">
        <v>1382</v>
      </c>
      <c r="L67" s="2" t="s">
        <v>1382</v>
      </c>
      <c r="M67" s="2" t="str" cm="1">
        <f t="array" aca="1" ref="M67" ca="1">TRIM(SUBSTITUTE(_xlfn.ARRAYTOTEXT(IFERROR(CONCATENATE(SUMIF(INDIRECT("'"&amp;Assemblies[Assy]&amp;"'!"&amp;"C$5:C1000"), $A67, INDIRECT("'"&amp;Assemblies[Assy]&amp;"'!"&amp;"O$5:O1000")), "x",Assemblies[Assy],".",IF(SUMIF(INDIRECT("'"&amp;Assemblies[Assy]&amp;"'!"&amp;"C$5:C1000"), $A67, INDIRECT("'"&amp;Assemblies[Assy]&amp;"'!"&amp;"A$5:A1000"))=0,NA(),SUMIF(INDIRECT("'"&amp;Assemblies[Assy]&amp;"'!"&amp;"C$5:C1000"), $A67, INDIRECT("'"&amp;Assemblies[Assy]&amp;"'!"&amp;"A$5:A1000")))),"")), " ,", ""))</f>
        <v>,</v>
      </c>
    </row>
    <row r="68" spans="1:13">
      <c r="A68" s="2" t="s">
        <v>453</v>
      </c>
      <c r="B68" s="120" t="s">
        <v>1382</v>
      </c>
      <c r="C68" s="5" t="e" cm="1">
        <f t="array" aca="1" ref="C68" ca="1">SUMPRODUCT(SUMIF(INDIRECT("'"&amp;Assemblies[Assy]&amp;"'!"&amp;"C$5:C1000"),$A68,(INDIRECT("'"&amp;Assemblies[Assy]&amp;"'!"&amp;"O$5:O1000"))))</f>
        <v>#VALUE!</v>
      </c>
      <c r="E68" s="2" t="s">
        <v>1779</v>
      </c>
      <c r="F68" s="115" t="s">
        <v>3376</v>
      </c>
      <c r="G68" s="2" t="s">
        <v>1779</v>
      </c>
      <c r="H68" s="116" t="s">
        <v>1382</v>
      </c>
      <c r="I68" s="116" t="s">
        <v>1382</v>
      </c>
      <c r="J68" s="116" t="s">
        <v>1382</v>
      </c>
      <c r="K68" s="116" t="s">
        <v>1382</v>
      </c>
      <c r="L68" s="2" t="s">
        <v>1382</v>
      </c>
      <c r="M68" s="2" t="str" cm="1">
        <f t="array" aca="1" ref="M68" ca="1">TRIM(SUBSTITUTE(_xlfn.ARRAYTOTEXT(IFERROR(CONCATENATE(SUMIF(INDIRECT("'"&amp;Assemblies[Assy]&amp;"'!"&amp;"C$5:C1000"), $A68, INDIRECT("'"&amp;Assemblies[Assy]&amp;"'!"&amp;"O$5:O1000")), "x",Assemblies[Assy],".",IF(SUMIF(INDIRECT("'"&amp;Assemblies[Assy]&amp;"'!"&amp;"C$5:C1000"), $A68, INDIRECT("'"&amp;Assemblies[Assy]&amp;"'!"&amp;"A$5:A1000"))=0,NA(),SUMIF(INDIRECT("'"&amp;Assemblies[Assy]&amp;"'!"&amp;"C$5:C1000"), $A68, INDIRECT("'"&amp;Assemblies[Assy]&amp;"'!"&amp;"A$5:A1000")))),"")), " ,", ""))</f>
        <v>, 0x665.503,</v>
      </c>
    </row>
    <row r="69" spans="1:13">
      <c r="A69" s="2" t="s">
        <v>540</v>
      </c>
      <c r="B69" s="120" t="s">
        <v>1382</v>
      </c>
      <c r="C69" s="5" t="e" cm="1">
        <f t="array" aca="1" ref="C69" ca="1">SUMPRODUCT(SUMIF(INDIRECT("'"&amp;Assemblies[Assy]&amp;"'!"&amp;"C$5:C1000"),$A69,(INDIRECT("'"&amp;Assemblies[Assy]&amp;"'!"&amp;"O$5:O1000"))))</f>
        <v>#VALUE!</v>
      </c>
      <c r="E69" s="2" t="s">
        <v>1779</v>
      </c>
      <c r="F69" s="115" t="s">
        <v>3376</v>
      </c>
      <c r="G69" s="2" t="s">
        <v>1779</v>
      </c>
      <c r="H69" s="116" t="s">
        <v>1382</v>
      </c>
      <c r="I69" s="116" t="s">
        <v>1382</v>
      </c>
      <c r="J69" s="116" t="s">
        <v>1382</v>
      </c>
      <c r="K69" s="116" t="s">
        <v>1382</v>
      </c>
      <c r="L69" s="2" t="s">
        <v>1382</v>
      </c>
      <c r="M69" s="2" t="str" cm="1">
        <f t="array" aca="1" ref="M69" ca="1">TRIM(SUBSTITUTE(_xlfn.ARRAYTOTEXT(IFERROR(CONCATENATE(SUMIF(INDIRECT("'"&amp;Assemblies[Assy]&amp;"'!"&amp;"C$5:C1000"), $A69, INDIRECT("'"&amp;Assemblies[Assy]&amp;"'!"&amp;"O$5:O1000")), "x",Assemblies[Assy],".",IF(SUMIF(INDIRECT("'"&amp;Assemblies[Assy]&amp;"'!"&amp;"C$5:C1000"), $A69, INDIRECT("'"&amp;Assemblies[Assy]&amp;"'!"&amp;"A$5:A1000"))=0,NA(),SUMIF(INDIRECT("'"&amp;Assemblies[Assy]&amp;"'!"&amp;"C$5:C1000"), $A69, INDIRECT("'"&amp;Assemblies[Assy]&amp;"'!"&amp;"A$5:A1000")))),"")), " ,", ""))</f>
        <v>,</v>
      </c>
    </row>
    <row r="70" spans="1:13">
      <c r="A70" s="2" t="s">
        <v>973</v>
      </c>
      <c r="C70" s="5" t="e" cm="1">
        <f t="array" aca="1" ref="C70" ca="1">SUMPRODUCT(SUMIF(INDIRECT("'"&amp;Assemblies[Assy]&amp;"'!"&amp;"C$5:C1000"),$A70,(INDIRECT("'"&amp;Assemblies[Assy]&amp;"'!"&amp;"O$5:O1000"))))</f>
        <v>#VALUE!</v>
      </c>
      <c r="M70" s="2" t="str" cm="1">
        <f t="array" aca="1" ref="M70" ca="1">TRIM(SUBSTITUTE(_xlfn.ARRAYTOTEXT(IFERROR(CONCATENATE(SUMIF(INDIRECT("'"&amp;Assemblies[Assy]&amp;"'!"&amp;"C$5:C1000"), $A70, INDIRECT("'"&amp;Assemblies[Assy]&amp;"'!"&amp;"O$5:O1000")), "x",Assemblies[Assy],".",IF(SUMIF(INDIRECT("'"&amp;Assemblies[Assy]&amp;"'!"&amp;"C$5:C1000"), $A70, INDIRECT("'"&amp;Assemblies[Assy]&amp;"'!"&amp;"A$5:A1000"))=0,NA(),SUMIF(INDIRECT("'"&amp;Assemblies[Assy]&amp;"'!"&amp;"C$5:C1000"), $A70, INDIRECT("'"&amp;Assemblies[Assy]&amp;"'!"&amp;"A$5:A1000")))),"")), " ,", ""))</f>
        <v>,</v>
      </c>
    </row>
    <row r="71" spans="1:13">
      <c r="A71" s="2" t="s">
        <v>1077</v>
      </c>
      <c r="C71" s="5" t="e" cm="1">
        <f t="array" aca="1" ref="C71" ca="1">SUMPRODUCT(SUMIF(INDIRECT("'"&amp;Assemblies[Assy]&amp;"'!"&amp;"C$5:C1000"),$A71,(INDIRECT("'"&amp;Assemblies[Assy]&amp;"'!"&amp;"O$5:O1000"))))</f>
        <v>#VALUE!</v>
      </c>
      <c r="M71" s="2" t="str" cm="1">
        <f t="array" aca="1" ref="M71" ca="1">TRIM(SUBSTITUTE(_xlfn.ARRAYTOTEXT(IFERROR(CONCATENATE(SUMIF(INDIRECT("'"&amp;Assemblies[Assy]&amp;"'!"&amp;"C$5:C1000"), $A71, INDIRECT("'"&amp;Assemblies[Assy]&amp;"'!"&amp;"O$5:O1000")), "x",Assemblies[Assy],".",IF(SUMIF(INDIRECT("'"&amp;Assemblies[Assy]&amp;"'!"&amp;"C$5:C1000"), $A71, INDIRECT("'"&amp;Assemblies[Assy]&amp;"'!"&amp;"A$5:A1000"))=0,NA(),SUMIF(INDIRECT("'"&amp;Assemblies[Assy]&amp;"'!"&amp;"C$5:C1000"), $A71, INDIRECT("'"&amp;Assemblies[Assy]&amp;"'!"&amp;"A$5:A1000")))),"")), " ,", ""))</f>
        <v>,</v>
      </c>
    </row>
    <row r="72" spans="1:13">
      <c r="A72" s="2" t="s">
        <v>738</v>
      </c>
      <c r="B72" s="120" t="s">
        <v>1382</v>
      </c>
      <c r="C72" s="5" t="e" cm="1">
        <f t="array" aca="1" ref="C72" ca="1">SUMPRODUCT(SUMIF(INDIRECT("'"&amp;Assemblies[Assy]&amp;"'!"&amp;"C$5:C1000"),$A72,(INDIRECT("'"&amp;Assemblies[Assy]&amp;"'!"&amp;"O$5:O1000"))))</f>
        <v>#VALUE!</v>
      </c>
      <c r="E72" s="2" t="s">
        <v>1779</v>
      </c>
      <c r="F72" s="115" t="s">
        <v>3376</v>
      </c>
      <c r="G72" s="2" t="s">
        <v>1779</v>
      </c>
      <c r="H72" s="116" t="s">
        <v>1382</v>
      </c>
      <c r="I72" s="116" t="s">
        <v>1382</v>
      </c>
      <c r="J72" s="116" t="s">
        <v>1382</v>
      </c>
      <c r="K72" s="116" t="s">
        <v>1382</v>
      </c>
      <c r="L72" s="2" t="s">
        <v>1382</v>
      </c>
      <c r="M72" s="2" t="str" cm="1">
        <f t="array" aca="1" ref="M72" ca="1">TRIM(SUBSTITUTE(_xlfn.ARRAYTOTEXT(IFERROR(CONCATENATE(SUMIF(INDIRECT("'"&amp;Assemblies[Assy]&amp;"'!"&amp;"C$5:C1000"), $A72, INDIRECT("'"&amp;Assemblies[Assy]&amp;"'!"&amp;"O$5:O1000")), "x",Assemblies[Assy],".",IF(SUMIF(INDIRECT("'"&amp;Assemblies[Assy]&amp;"'!"&amp;"C$5:C1000"), $A72, INDIRECT("'"&amp;Assemblies[Assy]&amp;"'!"&amp;"A$5:A1000"))=0,NA(),SUMIF(INDIRECT("'"&amp;Assemblies[Assy]&amp;"'!"&amp;"C$5:C1000"), $A72, INDIRECT("'"&amp;Assemblies[Assy]&amp;"'!"&amp;"A$5:A1000")))),"")), " ,", ""))</f>
        <v>,</v>
      </c>
    </row>
    <row r="73" spans="1:13">
      <c r="A73" s="2" t="s">
        <v>287</v>
      </c>
      <c r="B73" s="120" t="s">
        <v>1382</v>
      </c>
      <c r="C73" s="5" t="e" cm="1">
        <f t="array" aca="1" ref="C73" ca="1">SUMPRODUCT(SUMIF(INDIRECT("'"&amp;Assemblies[Assy]&amp;"'!"&amp;"C$5:C1000"),$A73,(INDIRECT("'"&amp;Assemblies[Assy]&amp;"'!"&amp;"O$5:O1000"))))</f>
        <v>#VALUE!</v>
      </c>
      <c r="E73" s="2" t="s">
        <v>1779</v>
      </c>
      <c r="F73" s="115" t="s">
        <v>3376</v>
      </c>
      <c r="G73" s="2" t="s">
        <v>1779</v>
      </c>
      <c r="H73" s="116" t="s">
        <v>1382</v>
      </c>
      <c r="I73" s="116" t="s">
        <v>1382</v>
      </c>
      <c r="J73" s="116" t="s">
        <v>1382</v>
      </c>
      <c r="K73" s="116" t="s">
        <v>1382</v>
      </c>
      <c r="L73" s="2" t="s">
        <v>1382</v>
      </c>
      <c r="M73" s="2" t="str" cm="1">
        <f t="array" aca="1" ref="M73" ca="1">TRIM(SUBSTITUTE(_xlfn.ARRAYTOTEXT(IFERROR(CONCATENATE(SUMIF(INDIRECT("'"&amp;Assemblies[Assy]&amp;"'!"&amp;"C$5:C1000"), $A73, INDIRECT("'"&amp;Assemblies[Assy]&amp;"'!"&amp;"O$5:O1000")), "x",Assemblies[Assy],".",IF(SUMIF(INDIRECT("'"&amp;Assemblies[Assy]&amp;"'!"&amp;"C$5:C1000"), $A73, INDIRECT("'"&amp;Assemblies[Assy]&amp;"'!"&amp;"A$5:A1000"))=0,NA(),SUMIF(INDIRECT("'"&amp;Assemblies[Assy]&amp;"'!"&amp;"C$5:C1000"), $A73, INDIRECT("'"&amp;Assemblies[Assy]&amp;"'!"&amp;"A$5:A1000")))),"")), " ,", ""))</f>
        <v>,</v>
      </c>
    </row>
    <row r="74" spans="1:13">
      <c r="A74" s="2" t="s">
        <v>1338</v>
      </c>
      <c r="C74" s="5" t="e" cm="1">
        <f t="array" aca="1" ref="C74" ca="1">SUMPRODUCT(SUMIF(INDIRECT("'"&amp;Assemblies[Assy]&amp;"'!"&amp;"C$5:C1000"),$A74,(INDIRECT("'"&amp;Assemblies[Assy]&amp;"'!"&amp;"O$5:O1000"))))</f>
        <v>#VALUE!</v>
      </c>
      <c r="M74" s="2" t="str" cm="1">
        <f t="array" aca="1" ref="M74" ca="1">TRIM(SUBSTITUTE(_xlfn.ARRAYTOTEXT(IFERROR(CONCATENATE(SUMIF(INDIRECT("'"&amp;Assemblies[Assy]&amp;"'!"&amp;"C$5:C1000"), $A74, INDIRECT("'"&amp;Assemblies[Assy]&amp;"'!"&amp;"O$5:O1000")), "x",Assemblies[Assy],".",IF(SUMIF(INDIRECT("'"&amp;Assemblies[Assy]&amp;"'!"&amp;"C$5:C1000"), $A74, INDIRECT("'"&amp;Assemblies[Assy]&amp;"'!"&amp;"A$5:A1000"))=0,NA(),SUMIF(INDIRECT("'"&amp;Assemblies[Assy]&amp;"'!"&amp;"C$5:C1000"), $A74, INDIRECT("'"&amp;Assemblies[Assy]&amp;"'!"&amp;"A$5:A1000")))),"")), " ,", ""))</f>
        <v>,</v>
      </c>
    </row>
    <row r="75" spans="1:13">
      <c r="A75" s="2" t="s">
        <v>3385</v>
      </c>
      <c r="B75" s="120" t="s">
        <v>1382</v>
      </c>
      <c r="C75" s="5" cm="1">
        <f t="array" aca="1" ref="C75" ca="1">SUMPRODUCT(SUMIF(INDIRECT("'"&amp;Assemblies[Assy]&amp;"'!"&amp;"C$5:C1000"),$A75,(INDIRECT("'"&amp;Assemblies[Assy]&amp;"'!"&amp;"O$5:O1000"))))</f>
        <v>0</v>
      </c>
      <c r="E75" s="2" t="s">
        <v>1779</v>
      </c>
      <c r="F75" s="115" t="s">
        <v>3376</v>
      </c>
      <c r="G75" s="2" t="s">
        <v>1779</v>
      </c>
      <c r="H75" s="116" t="s">
        <v>1382</v>
      </c>
      <c r="I75" s="116" t="s">
        <v>1382</v>
      </c>
      <c r="J75" s="116" t="s">
        <v>1382</v>
      </c>
      <c r="K75" s="116" t="s">
        <v>1382</v>
      </c>
      <c r="L75" s="2" t="s">
        <v>1382</v>
      </c>
      <c r="M75" s="2" t="str" cm="1">
        <f t="array" aca="1" ref="M75" ca="1">TRIM(SUBSTITUTE(_xlfn.ARRAYTOTEXT(IFERROR(CONCATENATE(SUMIF(INDIRECT("'"&amp;Assemblies[Assy]&amp;"'!"&amp;"C$5:C1000"), $A75, INDIRECT("'"&amp;Assemblies[Assy]&amp;"'!"&amp;"O$5:O1000")), "x",Assemblies[Assy],".",IF(SUMIF(INDIRECT("'"&amp;Assemblies[Assy]&amp;"'!"&amp;"C$5:C1000"), $A75, INDIRECT("'"&amp;Assemblies[Assy]&amp;"'!"&amp;"A$5:A1000"))=0,NA(),SUMIF(INDIRECT("'"&amp;Assemblies[Assy]&amp;"'!"&amp;"C$5:C1000"), $A75, INDIRECT("'"&amp;Assemblies[Assy]&amp;"'!"&amp;"A$5:A1000")))),"")), " ,", ""))</f>
        <v>,</v>
      </c>
    </row>
    <row r="76" spans="1:13">
      <c r="A76" s="2" t="s">
        <v>311</v>
      </c>
      <c r="B76" s="120" t="s">
        <v>1382</v>
      </c>
      <c r="C76" s="5" t="e" cm="1">
        <f t="array" aca="1" ref="C76" ca="1">SUMPRODUCT(SUMIF(INDIRECT("'"&amp;Assemblies[Assy]&amp;"'!"&amp;"C$5:C1000"),$A76,(INDIRECT("'"&amp;Assemblies[Assy]&amp;"'!"&amp;"O$5:O1000"))))</f>
        <v>#VALUE!</v>
      </c>
      <c r="E76" s="2" t="s">
        <v>1779</v>
      </c>
      <c r="F76" s="115" t="s">
        <v>3376</v>
      </c>
      <c r="G76" s="2" t="s">
        <v>1779</v>
      </c>
      <c r="H76" s="116" t="s">
        <v>1382</v>
      </c>
      <c r="I76" s="116" t="s">
        <v>1382</v>
      </c>
      <c r="J76" s="116" t="s">
        <v>1382</v>
      </c>
      <c r="K76" s="116" t="s">
        <v>1382</v>
      </c>
      <c r="L76" s="2" t="s">
        <v>1382</v>
      </c>
      <c r="M76" s="2" t="str" cm="1">
        <f t="array" aca="1" ref="M76" ca="1">TRIM(SUBSTITUTE(_xlfn.ARRAYTOTEXT(IFERROR(CONCATENATE(SUMIF(INDIRECT("'"&amp;Assemblies[Assy]&amp;"'!"&amp;"C$5:C1000"), $A76, INDIRECT("'"&amp;Assemblies[Assy]&amp;"'!"&amp;"O$5:O1000")), "x",Assemblies[Assy],".",IF(SUMIF(INDIRECT("'"&amp;Assemblies[Assy]&amp;"'!"&amp;"C$5:C1000"), $A76, INDIRECT("'"&amp;Assemblies[Assy]&amp;"'!"&amp;"A$5:A1000"))=0,NA(),SUMIF(INDIRECT("'"&amp;Assemblies[Assy]&amp;"'!"&amp;"C$5:C1000"), $A76, INDIRECT("'"&amp;Assemblies[Assy]&amp;"'!"&amp;"A$5:A1000")))),"")), " ,", ""))</f>
        <v>,</v>
      </c>
    </row>
    <row r="77" spans="1:13">
      <c r="A77" s="2" t="s">
        <v>541</v>
      </c>
      <c r="B77" s="120" t="s">
        <v>1382</v>
      </c>
      <c r="C77" s="5" t="e" cm="1">
        <f t="array" aca="1" ref="C77" ca="1">SUMPRODUCT(SUMIF(INDIRECT("'"&amp;Assemblies[Assy]&amp;"'!"&amp;"C$5:C1000"),$A77,(INDIRECT("'"&amp;Assemblies[Assy]&amp;"'!"&amp;"O$5:O1000"))))</f>
        <v>#VALUE!</v>
      </c>
      <c r="E77" s="2" t="s">
        <v>1779</v>
      </c>
      <c r="F77" s="115" t="s">
        <v>3376</v>
      </c>
      <c r="G77" s="2" t="s">
        <v>1779</v>
      </c>
      <c r="H77" s="116" t="s">
        <v>1382</v>
      </c>
      <c r="I77" s="116" t="s">
        <v>1382</v>
      </c>
      <c r="J77" s="116" t="s">
        <v>1382</v>
      </c>
      <c r="K77" s="116" t="s">
        <v>1382</v>
      </c>
      <c r="L77" s="2" t="s">
        <v>1382</v>
      </c>
      <c r="M77" s="2" t="str" cm="1">
        <f t="array" aca="1" ref="M77" ca="1">TRIM(SUBSTITUTE(_xlfn.ARRAYTOTEXT(IFERROR(CONCATENATE(SUMIF(INDIRECT("'"&amp;Assemblies[Assy]&amp;"'!"&amp;"C$5:C1000"), $A77, INDIRECT("'"&amp;Assemblies[Assy]&amp;"'!"&amp;"O$5:O1000")), "x",Assemblies[Assy],".",IF(SUMIF(INDIRECT("'"&amp;Assemblies[Assy]&amp;"'!"&amp;"C$5:C1000"), $A77, INDIRECT("'"&amp;Assemblies[Assy]&amp;"'!"&amp;"A$5:A1000"))=0,NA(),SUMIF(INDIRECT("'"&amp;Assemblies[Assy]&amp;"'!"&amp;"C$5:C1000"), $A77, INDIRECT("'"&amp;Assemblies[Assy]&amp;"'!"&amp;"A$5:A1000")))),"")), " ,", ""))</f>
        <v>,</v>
      </c>
    </row>
    <row r="78" spans="1:13">
      <c r="A78" s="2" t="s">
        <v>1280</v>
      </c>
      <c r="B78" s="120" t="s">
        <v>1382</v>
      </c>
      <c r="C78" s="5" t="e" cm="1">
        <f t="array" aca="1" ref="C78" ca="1">SUMPRODUCT(SUMIF(INDIRECT("'"&amp;Assemblies[Assy]&amp;"'!"&amp;"C$5:C1000"),$A78,(INDIRECT("'"&amp;Assemblies[Assy]&amp;"'!"&amp;"O$5:O1000"))))</f>
        <v>#VALUE!</v>
      </c>
      <c r="E78" s="2" t="s">
        <v>1779</v>
      </c>
      <c r="F78" s="115" t="s">
        <v>3376</v>
      </c>
      <c r="G78" s="2" t="s">
        <v>1779</v>
      </c>
      <c r="H78" s="116" t="s">
        <v>1382</v>
      </c>
      <c r="I78" s="116" t="s">
        <v>1382</v>
      </c>
      <c r="J78" s="116" t="s">
        <v>1382</v>
      </c>
      <c r="K78" s="116" t="s">
        <v>1382</v>
      </c>
      <c r="L78" s="2" t="s">
        <v>1382</v>
      </c>
      <c r="M78" s="2" t="str" cm="1">
        <f t="array" aca="1" ref="M78" ca="1">TRIM(SUBSTITUTE(_xlfn.ARRAYTOTEXT(IFERROR(CONCATENATE(SUMIF(INDIRECT("'"&amp;Assemblies[Assy]&amp;"'!"&amp;"C$5:C1000"), $A78, INDIRECT("'"&amp;Assemblies[Assy]&amp;"'!"&amp;"O$5:O1000")), "x",Assemblies[Assy],".",IF(SUMIF(INDIRECT("'"&amp;Assemblies[Assy]&amp;"'!"&amp;"C$5:C1000"), $A78, INDIRECT("'"&amp;Assemblies[Assy]&amp;"'!"&amp;"A$5:A1000"))=0,NA(),SUMIF(INDIRECT("'"&amp;Assemblies[Assy]&amp;"'!"&amp;"C$5:C1000"), $A78, INDIRECT("'"&amp;Assemblies[Assy]&amp;"'!"&amp;"A$5:A1000")))),"")), " ,", ""))</f>
        <v>,</v>
      </c>
    </row>
    <row r="79" spans="1:13">
      <c r="A79" s="2" t="s">
        <v>3386</v>
      </c>
      <c r="B79" s="120" t="s">
        <v>1382</v>
      </c>
      <c r="C79" s="5" cm="1">
        <f t="array" aca="1" ref="C79" ca="1">SUMPRODUCT(SUMIF(INDIRECT("'"&amp;Assemblies[Assy]&amp;"'!"&amp;"C$5:C1000"),$A79,(INDIRECT("'"&amp;Assemblies[Assy]&amp;"'!"&amp;"O$5:O1000"))))</f>
        <v>0</v>
      </c>
      <c r="E79" s="2" t="s">
        <v>1779</v>
      </c>
      <c r="F79" s="115" t="s">
        <v>3376</v>
      </c>
      <c r="G79" s="2" t="s">
        <v>1779</v>
      </c>
      <c r="H79" s="116" t="s">
        <v>1382</v>
      </c>
      <c r="I79" s="116" t="s">
        <v>1382</v>
      </c>
      <c r="J79" s="116" t="s">
        <v>1382</v>
      </c>
      <c r="K79" s="116" t="s">
        <v>1382</v>
      </c>
      <c r="L79" s="2" t="s">
        <v>1382</v>
      </c>
      <c r="M79" s="2" t="str" cm="1">
        <f t="array" aca="1" ref="M79" ca="1">TRIM(SUBSTITUTE(_xlfn.ARRAYTOTEXT(IFERROR(CONCATENATE(SUMIF(INDIRECT("'"&amp;Assemblies[Assy]&amp;"'!"&amp;"C$5:C1000"), $A79, INDIRECT("'"&amp;Assemblies[Assy]&amp;"'!"&amp;"O$5:O1000")), "x",Assemblies[Assy],".",IF(SUMIF(INDIRECT("'"&amp;Assemblies[Assy]&amp;"'!"&amp;"C$5:C1000"), $A79, INDIRECT("'"&amp;Assemblies[Assy]&amp;"'!"&amp;"A$5:A1000"))=0,NA(),SUMIF(INDIRECT("'"&amp;Assemblies[Assy]&amp;"'!"&amp;"C$5:C1000"), $A79, INDIRECT("'"&amp;Assemblies[Assy]&amp;"'!"&amp;"A$5:A1000")))),"")), " ,", ""))</f>
        <v>,</v>
      </c>
    </row>
    <row r="80" spans="1:13">
      <c r="A80" s="2" t="s">
        <v>968</v>
      </c>
      <c r="C80" s="5" t="e" cm="1">
        <f t="array" aca="1" ref="C80" ca="1">SUMPRODUCT(SUMIF(INDIRECT("'"&amp;Assemblies[Assy]&amp;"'!"&amp;"C$5:C1000"),$A80,(INDIRECT("'"&amp;Assemblies[Assy]&amp;"'!"&amp;"O$5:O1000"))))</f>
        <v>#VALUE!</v>
      </c>
      <c r="M80" s="2" t="str" cm="1">
        <f t="array" aca="1" ref="M80" ca="1">TRIM(SUBSTITUTE(_xlfn.ARRAYTOTEXT(IFERROR(CONCATENATE(SUMIF(INDIRECT("'"&amp;Assemblies[Assy]&amp;"'!"&amp;"C$5:C1000"), $A80, INDIRECT("'"&amp;Assemblies[Assy]&amp;"'!"&amp;"O$5:O1000")), "x",Assemblies[Assy],".",IF(SUMIF(INDIRECT("'"&amp;Assemblies[Assy]&amp;"'!"&amp;"C$5:C1000"), $A80, INDIRECT("'"&amp;Assemblies[Assy]&amp;"'!"&amp;"A$5:A1000"))=0,NA(),SUMIF(INDIRECT("'"&amp;Assemblies[Assy]&amp;"'!"&amp;"C$5:C1000"), $A80, INDIRECT("'"&amp;Assemblies[Assy]&amp;"'!"&amp;"A$5:A1000")))),"")), " ,", ""))</f>
        <v>,</v>
      </c>
    </row>
    <row r="81" spans="1:13">
      <c r="A81" s="2" t="s">
        <v>312</v>
      </c>
      <c r="B81" s="120" t="s">
        <v>1382</v>
      </c>
      <c r="C81" s="5" t="e" cm="1">
        <f t="array" aca="1" ref="C81" ca="1">SUMPRODUCT(SUMIF(INDIRECT("'"&amp;Assemblies[Assy]&amp;"'!"&amp;"C$5:C1000"),$A81,(INDIRECT("'"&amp;Assemblies[Assy]&amp;"'!"&amp;"O$5:O1000"))))</f>
        <v>#VALUE!</v>
      </c>
      <c r="E81" s="2" t="s">
        <v>1779</v>
      </c>
      <c r="F81" s="115" t="s">
        <v>3376</v>
      </c>
      <c r="G81" s="2" t="s">
        <v>1779</v>
      </c>
      <c r="H81" s="116" t="s">
        <v>1382</v>
      </c>
      <c r="I81" s="116" t="s">
        <v>1382</v>
      </c>
      <c r="J81" s="116" t="s">
        <v>1382</v>
      </c>
      <c r="K81" s="116" t="s">
        <v>1382</v>
      </c>
      <c r="L81" s="2" t="s">
        <v>1382</v>
      </c>
      <c r="M81" s="2" t="str" cm="1">
        <f t="array" aca="1" ref="M81" ca="1">TRIM(SUBSTITUTE(_xlfn.ARRAYTOTEXT(IFERROR(CONCATENATE(SUMIF(INDIRECT("'"&amp;Assemblies[Assy]&amp;"'!"&amp;"C$5:C1000"), $A81, INDIRECT("'"&amp;Assemblies[Assy]&amp;"'!"&amp;"O$5:O1000")), "x",Assemblies[Assy],".",IF(SUMIF(INDIRECT("'"&amp;Assemblies[Assy]&amp;"'!"&amp;"C$5:C1000"), $A81, INDIRECT("'"&amp;Assemblies[Assy]&amp;"'!"&amp;"A$5:A1000"))=0,NA(),SUMIF(INDIRECT("'"&amp;Assemblies[Assy]&amp;"'!"&amp;"C$5:C1000"), $A81, INDIRECT("'"&amp;Assemblies[Assy]&amp;"'!"&amp;"A$5:A1000")))),"")), " ,", ""))</f>
        <v>,</v>
      </c>
    </row>
    <row r="82" spans="1:13">
      <c r="A82" s="2" t="s">
        <v>3387</v>
      </c>
      <c r="B82" s="120" t="s">
        <v>1382</v>
      </c>
      <c r="C82" s="5" cm="1">
        <f t="array" aca="1" ref="C82" ca="1">SUMPRODUCT(SUMIF(INDIRECT("'"&amp;Assemblies[Assy]&amp;"'!"&amp;"C$5:C1000"),$A82,(INDIRECT("'"&amp;Assemblies[Assy]&amp;"'!"&amp;"O$5:O1000"))))</f>
        <v>0</v>
      </c>
      <c r="E82" s="2" t="s">
        <v>1779</v>
      </c>
      <c r="F82" s="115" t="s">
        <v>3376</v>
      </c>
      <c r="G82" s="2" t="s">
        <v>1779</v>
      </c>
      <c r="H82" s="116" t="s">
        <v>1382</v>
      </c>
      <c r="I82" s="116" t="s">
        <v>1382</v>
      </c>
      <c r="J82" s="116" t="s">
        <v>1382</v>
      </c>
      <c r="K82" s="116" t="s">
        <v>1382</v>
      </c>
      <c r="L82" s="2" t="s">
        <v>1382</v>
      </c>
      <c r="M82" s="2" t="str" cm="1">
        <f t="array" aca="1" ref="M82" ca="1">TRIM(SUBSTITUTE(_xlfn.ARRAYTOTEXT(IFERROR(CONCATENATE(SUMIF(INDIRECT("'"&amp;Assemblies[Assy]&amp;"'!"&amp;"C$5:C1000"), $A82, INDIRECT("'"&amp;Assemblies[Assy]&amp;"'!"&amp;"O$5:O1000")), "x",Assemblies[Assy],".",IF(SUMIF(INDIRECT("'"&amp;Assemblies[Assy]&amp;"'!"&amp;"C$5:C1000"), $A82, INDIRECT("'"&amp;Assemblies[Assy]&amp;"'!"&amp;"A$5:A1000"))=0,NA(),SUMIF(INDIRECT("'"&amp;Assemblies[Assy]&amp;"'!"&amp;"C$5:C1000"), $A82, INDIRECT("'"&amp;Assemblies[Assy]&amp;"'!"&amp;"A$5:A1000")))),"")), " ,", ""))</f>
        <v>,</v>
      </c>
    </row>
    <row r="83" spans="1:13">
      <c r="A83" s="2" t="s">
        <v>288</v>
      </c>
      <c r="B83" s="120" t="s">
        <v>1382</v>
      </c>
      <c r="C83" s="5" t="e" cm="1">
        <f t="array" aca="1" ref="C83" ca="1">SUMPRODUCT(SUMIF(INDIRECT("'"&amp;Assemblies[Assy]&amp;"'!"&amp;"C$5:C1000"),$A83,(INDIRECT("'"&amp;Assemblies[Assy]&amp;"'!"&amp;"O$5:O1000"))))</f>
        <v>#VALUE!</v>
      </c>
      <c r="E83" s="2" t="s">
        <v>1779</v>
      </c>
      <c r="F83" s="115" t="s">
        <v>3376</v>
      </c>
      <c r="G83" s="2" t="s">
        <v>1779</v>
      </c>
      <c r="H83" s="116" t="s">
        <v>1382</v>
      </c>
      <c r="I83" s="116" t="s">
        <v>1382</v>
      </c>
      <c r="J83" s="116" t="s">
        <v>1382</v>
      </c>
      <c r="K83" s="116" t="s">
        <v>1382</v>
      </c>
      <c r="L83" s="2" t="s">
        <v>1382</v>
      </c>
      <c r="M83" s="2" t="str" cm="1">
        <f t="array" aca="1" ref="M83" ca="1">TRIM(SUBSTITUTE(_xlfn.ARRAYTOTEXT(IFERROR(CONCATENATE(SUMIF(INDIRECT("'"&amp;Assemblies[Assy]&amp;"'!"&amp;"C$5:C1000"), $A83, INDIRECT("'"&amp;Assemblies[Assy]&amp;"'!"&amp;"O$5:O1000")), "x",Assemblies[Assy],".",IF(SUMIF(INDIRECT("'"&amp;Assemblies[Assy]&amp;"'!"&amp;"C$5:C1000"), $A83, INDIRECT("'"&amp;Assemblies[Assy]&amp;"'!"&amp;"A$5:A1000"))=0,NA(),SUMIF(INDIRECT("'"&amp;Assemblies[Assy]&amp;"'!"&amp;"C$5:C1000"), $A83, INDIRECT("'"&amp;Assemblies[Assy]&amp;"'!"&amp;"A$5:A1000")))),"")), " ,", ""))</f>
        <v>,</v>
      </c>
    </row>
    <row r="84" spans="1:13">
      <c r="A84" s="2" t="s">
        <v>343</v>
      </c>
      <c r="B84" s="120" t="s">
        <v>1382</v>
      </c>
      <c r="C84" s="5" t="e" cm="1">
        <f t="array" aca="1" ref="C84" ca="1">SUMPRODUCT(SUMIF(INDIRECT("'"&amp;Assemblies[Assy]&amp;"'!"&amp;"C$5:C1000"),$A84,(INDIRECT("'"&amp;Assemblies[Assy]&amp;"'!"&amp;"O$5:O1000"))))</f>
        <v>#VALUE!</v>
      </c>
      <c r="E84" s="2" t="s">
        <v>1779</v>
      </c>
      <c r="F84" s="115" t="s">
        <v>3376</v>
      </c>
      <c r="G84" s="2" t="s">
        <v>1779</v>
      </c>
      <c r="H84" s="116" t="s">
        <v>1382</v>
      </c>
      <c r="I84" s="116" t="s">
        <v>1382</v>
      </c>
      <c r="J84" s="116" t="s">
        <v>1382</v>
      </c>
      <c r="K84" s="116" t="s">
        <v>1382</v>
      </c>
      <c r="L84" s="2" t="s">
        <v>1382</v>
      </c>
      <c r="M84" s="2" t="str" cm="1">
        <f t="array" aca="1" ref="M84" ca="1">TRIM(SUBSTITUTE(_xlfn.ARRAYTOTEXT(IFERROR(CONCATENATE(SUMIF(INDIRECT("'"&amp;Assemblies[Assy]&amp;"'!"&amp;"C$5:C1000"), $A84, INDIRECT("'"&amp;Assemblies[Assy]&amp;"'!"&amp;"O$5:O1000")), "x",Assemblies[Assy],".",IF(SUMIF(INDIRECT("'"&amp;Assemblies[Assy]&amp;"'!"&amp;"C$5:C1000"), $A84, INDIRECT("'"&amp;Assemblies[Assy]&amp;"'!"&amp;"A$5:A1000"))=0,NA(),SUMIF(INDIRECT("'"&amp;Assemblies[Assy]&amp;"'!"&amp;"C$5:C1000"), $A84, INDIRECT("'"&amp;Assemblies[Assy]&amp;"'!"&amp;"A$5:A1000")))),"")), " ,", ""))</f>
        <v>,</v>
      </c>
    </row>
    <row r="85" spans="1:13">
      <c r="A85" s="2" t="s">
        <v>3388</v>
      </c>
      <c r="B85" s="120" t="s">
        <v>1382</v>
      </c>
      <c r="C85" s="5" cm="1">
        <f t="array" aca="1" ref="C85" ca="1">SUMPRODUCT(SUMIF(INDIRECT("'"&amp;Assemblies[Assy]&amp;"'!"&amp;"C$5:C1000"),$A85,(INDIRECT("'"&amp;Assemblies[Assy]&amp;"'!"&amp;"O$5:O1000"))))</f>
        <v>0</v>
      </c>
      <c r="E85" s="2" t="s">
        <v>1779</v>
      </c>
      <c r="F85" s="115" t="s">
        <v>3376</v>
      </c>
      <c r="G85" s="2" t="s">
        <v>1779</v>
      </c>
      <c r="H85" s="116" t="s">
        <v>1382</v>
      </c>
      <c r="I85" s="116" t="s">
        <v>1382</v>
      </c>
      <c r="J85" s="116" t="s">
        <v>1382</v>
      </c>
      <c r="K85" s="116" t="s">
        <v>1382</v>
      </c>
      <c r="L85" s="2" t="s">
        <v>1382</v>
      </c>
      <c r="M85" s="2" t="str" cm="1">
        <f t="array" aca="1" ref="M85" ca="1">TRIM(SUBSTITUTE(_xlfn.ARRAYTOTEXT(IFERROR(CONCATENATE(SUMIF(INDIRECT("'"&amp;Assemblies[Assy]&amp;"'!"&amp;"C$5:C1000"), $A85, INDIRECT("'"&amp;Assemblies[Assy]&amp;"'!"&amp;"O$5:O1000")), "x",Assemblies[Assy],".",IF(SUMIF(INDIRECT("'"&amp;Assemblies[Assy]&amp;"'!"&amp;"C$5:C1000"), $A85, INDIRECT("'"&amp;Assemblies[Assy]&amp;"'!"&amp;"A$5:A1000"))=0,NA(),SUMIF(INDIRECT("'"&amp;Assemblies[Assy]&amp;"'!"&amp;"C$5:C1000"), $A85, INDIRECT("'"&amp;Assemblies[Assy]&amp;"'!"&amp;"A$5:A1000")))),"")), " ,", ""))</f>
        <v>,</v>
      </c>
    </row>
    <row r="86" spans="1:13">
      <c r="A86" s="2" t="s">
        <v>1254</v>
      </c>
      <c r="B86" s="120" t="s">
        <v>1382</v>
      </c>
      <c r="C86" s="5" t="e" cm="1">
        <f t="array" aca="1" ref="C86" ca="1">SUMPRODUCT(SUMIF(INDIRECT("'"&amp;Assemblies[Assy]&amp;"'!"&amp;"C$5:C1000"),$A86,(INDIRECT("'"&amp;Assemblies[Assy]&amp;"'!"&amp;"O$5:O1000"))))</f>
        <v>#VALUE!</v>
      </c>
      <c r="E86" s="2" t="s">
        <v>1779</v>
      </c>
      <c r="F86" s="115" t="s">
        <v>3376</v>
      </c>
      <c r="G86" s="2" t="s">
        <v>1779</v>
      </c>
      <c r="H86" s="116" t="s">
        <v>1382</v>
      </c>
      <c r="I86" s="116" t="s">
        <v>1382</v>
      </c>
      <c r="J86" s="116" t="s">
        <v>1382</v>
      </c>
      <c r="K86" s="116" t="s">
        <v>1382</v>
      </c>
      <c r="L86" s="2" t="s">
        <v>1382</v>
      </c>
      <c r="M86" s="2" t="str" cm="1">
        <f t="array" aca="1" ref="M86" ca="1">TRIM(SUBSTITUTE(_xlfn.ARRAYTOTEXT(IFERROR(CONCATENATE(SUMIF(INDIRECT("'"&amp;Assemblies[Assy]&amp;"'!"&amp;"C$5:C1000"), $A86, INDIRECT("'"&amp;Assemblies[Assy]&amp;"'!"&amp;"O$5:O1000")), "x",Assemblies[Assy],".",IF(SUMIF(INDIRECT("'"&amp;Assemblies[Assy]&amp;"'!"&amp;"C$5:C1000"), $A86, INDIRECT("'"&amp;Assemblies[Assy]&amp;"'!"&amp;"A$5:A1000"))=0,NA(),SUMIF(INDIRECT("'"&amp;Assemblies[Assy]&amp;"'!"&amp;"C$5:C1000"), $A86, INDIRECT("'"&amp;Assemblies[Assy]&amp;"'!"&amp;"A$5:A1000")))),"")), " ,", ""))</f>
        <v>,</v>
      </c>
    </row>
    <row r="87" spans="1:13">
      <c r="A87" s="2" t="s">
        <v>733</v>
      </c>
      <c r="B87" s="120" t="s">
        <v>1382</v>
      </c>
      <c r="C87" s="5" t="e" cm="1">
        <f t="array" aca="1" ref="C87" ca="1">SUMPRODUCT(SUMIF(INDIRECT("'"&amp;Assemblies[Assy]&amp;"'!"&amp;"C$5:C1000"),$A87,(INDIRECT("'"&amp;Assemblies[Assy]&amp;"'!"&amp;"O$5:O1000"))))</f>
        <v>#VALUE!</v>
      </c>
      <c r="E87" s="2" t="s">
        <v>1779</v>
      </c>
      <c r="F87" s="115" t="s">
        <v>3376</v>
      </c>
      <c r="G87" s="2" t="s">
        <v>1779</v>
      </c>
      <c r="H87" s="116" t="s">
        <v>1382</v>
      </c>
      <c r="I87" s="116" t="s">
        <v>1382</v>
      </c>
      <c r="J87" s="116" t="s">
        <v>1382</v>
      </c>
      <c r="K87" s="116" t="s">
        <v>1382</v>
      </c>
      <c r="L87" s="2" t="s">
        <v>1382</v>
      </c>
      <c r="M87" s="2" t="str" cm="1">
        <f t="array" aca="1" ref="M87" ca="1">TRIM(SUBSTITUTE(_xlfn.ARRAYTOTEXT(IFERROR(CONCATENATE(SUMIF(INDIRECT("'"&amp;Assemblies[Assy]&amp;"'!"&amp;"C$5:C1000"), $A87, INDIRECT("'"&amp;Assemblies[Assy]&amp;"'!"&amp;"O$5:O1000")), "x",Assemblies[Assy],".",IF(SUMIF(INDIRECT("'"&amp;Assemblies[Assy]&amp;"'!"&amp;"C$5:C1000"), $A87, INDIRECT("'"&amp;Assemblies[Assy]&amp;"'!"&amp;"A$5:A1000"))=0,NA(),SUMIF(INDIRECT("'"&amp;Assemblies[Assy]&amp;"'!"&amp;"C$5:C1000"), $A87, INDIRECT("'"&amp;Assemblies[Assy]&amp;"'!"&amp;"A$5:A1000")))),"")), " ,", ""))</f>
        <v>,</v>
      </c>
    </row>
    <row r="88" spans="1:13">
      <c r="A88" s="2" t="s">
        <v>853</v>
      </c>
      <c r="B88" s="120" t="s">
        <v>1382</v>
      </c>
      <c r="C88" s="5" t="e" cm="1">
        <f t="array" aca="1" ref="C88" ca="1">SUMPRODUCT(SUMIF(INDIRECT("'"&amp;Assemblies[Assy]&amp;"'!"&amp;"C$5:C1000"),$A88,(INDIRECT("'"&amp;Assemblies[Assy]&amp;"'!"&amp;"O$5:O1000"))))</f>
        <v>#VALUE!</v>
      </c>
      <c r="E88" s="2" t="s">
        <v>1779</v>
      </c>
      <c r="F88" s="115" t="s">
        <v>3376</v>
      </c>
      <c r="G88" s="2" t="s">
        <v>1779</v>
      </c>
      <c r="H88" s="116" t="s">
        <v>1382</v>
      </c>
      <c r="I88" s="116" t="s">
        <v>1382</v>
      </c>
      <c r="J88" s="116" t="s">
        <v>1382</v>
      </c>
      <c r="K88" s="116" t="s">
        <v>1382</v>
      </c>
      <c r="L88" s="2" t="s">
        <v>1382</v>
      </c>
      <c r="M88" s="2" t="str" cm="1">
        <f t="array" aca="1" ref="M88" ca="1">TRIM(SUBSTITUTE(_xlfn.ARRAYTOTEXT(IFERROR(CONCATENATE(SUMIF(INDIRECT("'"&amp;Assemblies[Assy]&amp;"'!"&amp;"C$5:C1000"), $A88, INDIRECT("'"&amp;Assemblies[Assy]&amp;"'!"&amp;"O$5:O1000")), "x",Assemblies[Assy],".",IF(SUMIF(INDIRECT("'"&amp;Assemblies[Assy]&amp;"'!"&amp;"C$5:C1000"), $A88, INDIRECT("'"&amp;Assemblies[Assy]&amp;"'!"&amp;"A$5:A1000"))=0,NA(),SUMIF(INDIRECT("'"&amp;Assemblies[Assy]&amp;"'!"&amp;"C$5:C1000"), $A88, INDIRECT("'"&amp;Assemblies[Assy]&amp;"'!"&amp;"A$5:A1000")))),"")), " ,", ""))</f>
        <v>,</v>
      </c>
    </row>
    <row r="89" spans="1:13">
      <c r="A89" s="2" t="s">
        <v>266</v>
      </c>
      <c r="B89" s="120" t="s">
        <v>1382</v>
      </c>
      <c r="C89" s="5" t="e" cm="1">
        <f t="array" aca="1" ref="C89" ca="1">SUMPRODUCT(SUMIF(INDIRECT("'"&amp;Assemblies[Assy]&amp;"'!"&amp;"C$5:C1000"),$A89,(INDIRECT("'"&amp;Assemblies[Assy]&amp;"'!"&amp;"O$5:O1000"))))</f>
        <v>#VALUE!</v>
      </c>
      <c r="E89" s="2" t="s">
        <v>1779</v>
      </c>
      <c r="F89" s="115" t="s">
        <v>3376</v>
      </c>
      <c r="G89" s="2" t="s">
        <v>1779</v>
      </c>
      <c r="H89" s="116" t="s">
        <v>1382</v>
      </c>
      <c r="I89" s="116" t="s">
        <v>1382</v>
      </c>
      <c r="J89" s="116" t="s">
        <v>1382</v>
      </c>
      <c r="K89" s="116" t="s">
        <v>1382</v>
      </c>
      <c r="L89" s="2" t="s">
        <v>1382</v>
      </c>
      <c r="M89" s="2" t="str" cm="1">
        <f t="array" aca="1" ref="M89" ca="1">TRIM(SUBSTITUTE(_xlfn.ARRAYTOTEXT(IFERROR(CONCATENATE(SUMIF(INDIRECT("'"&amp;Assemblies[Assy]&amp;"'!"&amp;"C$5:C1000"), $A89, INDIRECT("'"&amp;Assemblies[Assy]&amp;"'!"&amp;"O$5:O1000")), "x",Assemblies[Assy],".",IF(SUMIF(INDIRECT("'"&amp;Assemblies[Assy]&amp;"'!"&amp;"C$5:C1000"), $A89, INDIRECT("'"&amp;Assemblies[Assy]&amp;"'!"&amp;"A$5:A1000"))=0,NA(),SUMIF(INDIRECT("'"&amp;Assemblies[Assy]&amp;"'!"&amp;"C$5:C1000"), $A89, INDIRECT("'"&amp;Assemblies[Assy]&amp;"'!"&amp;"A$5:A1000")))),"")), " ,", ""))</f>
        <v>,</v>
      </c>
    </row>
    <row r="90" spans="1:13">
      <c r="A90" s="2" t="s">
        <v>726</v>
      </c>
      <c r="B90" s="120" t="s">
        <v>1382</v>
      </c>
      <c r="C90" s="5" t="e" cm="1">
        <f t="array" aca="1" ref="C90" ca="1">SUMPRODUCT(SUMIF(INDIRECT("'"&amp;Assemblies[Assy]&amp;"'!"&amp;"C$5:C1000"),$A90,(INDIRECT("'"&amp;Assemblies[Assy]&amp;"'!"&amp;"O$5:O1000"))))</f>
        <v>#VALUE!</v>
      </c>
      <c r="E90" s="2" t="s">
        <v>1779</v>
      </c>
      <c r="F90" s="115" t="s">
        <v>3376</v>
      </c>
      <c r="G90" s="2" t="s">
        <v>1779</v>
      </c>
      <c r="H90" s="116" t="s">
        <v>1382</v>
      </c>
      <c r="I90" s="116" t="s">
        <v>1382</v>
      </c>
      <c r="J90" s="116" t="s">
        <v>1382</v>
      </c>
      <c r="K90" s="116" t="s">
        <v>1382</v>
      </c>
      <c r="L90" s="2" t="s">
        <v>1382</v>
      </c>
      <c r="M90" s="2" t="str" cm="1">
        <f t="array" aca="1" ref="M90" ca="1">TRIM(SUBSTITUTE(_xlfn.ARRAYTOTEXT(IFERROR(CONCATENATE(SUMIF(INDIRECT("'"&amp;Assemblies[Assy]&amp;"'!"&amp;"C$5:C1000"), $A90, INDIRECT("'"&amp;Assemblies[Assy]&amp;"'!"&amp;"O$5:O1000")), "x",Assemblies[Assy],".",IF(SUMIF(INDIRECT("'"&amp;Assemblies[Assy]&amp;"'!"&amp;"C$5:C1000"), $A90, INDIRECT("'"&amp;Assemblies[Assy]&amp;"'!"&amp;"A$5:A1000"))=0,NA(),SUMIF(INDIRECT("'"&amp;Assemblies[Assy]&amp;"'!"&amp;"C$5:C1000"), $A90, INDIRECT("'"&amp;Assemblies[Assy]&amp;"'!"&amp;"A$5:A1000")))),"")), " ,", ""))</f>
        <v>,</v>
      </c>
    </row>
    <row r="91" spans="1:13">
      <c r="A91" s="2" t="s">
        <v>278</v>
      </c>
      <c r="B91" s="120" t="s">
        <v>1382</v>
      </c>
      <c r="C91" s="5" t="e" cm="1">
        <f t="array" aca="1" ref="C91" ca="1">SUMPRODUCT(SUMIF(INDIRECT("'"&amp;Assemblies[Assy]&amp;"'!"&amp;"C$5:C1000"),$A91,(INDIRECT("'"&amp;Assemblies[Assy]&amp;"'!"&amp;"O$5:O1000"))))</f>
        <v>#VALUE!</v>
      </c>
      <c r="E91" s="2" t="s">
        <v>1779</v>
      </c>
      <c r="F91" s="115" t="s">
        <v>3376</v>
      </c>
      <c r="G91" s="2" t="s">
        <v>1779</v>
      </c>
      <c r="H91" s="116" t="s">
        <v>1382</v>
      </c>
      <c r="I91" s="116" t="s">
        <v>1382</v>
      </c>
      <c r="J91" s="116" t="s">
        <v>1382</v>
      </c>
      <c r="K91" s="116" t="s">
        <v>1382</v>
      </c>
      <c r="L91" s="2" t="s">
        <v>1382</v>
      </c>
      <c r="M91" s="2" t="str" cm="1">
        <f t="array" aca="1" ref="M91" ca="1">TRIM(SUBSTITUTE(_xlfn.ARRAYTOTEXT(IFERROR(CONCATENATE(SUMIF(INDIRECT("'"&amp;Assemblies[Assy]&amp;"'!"&amp;"C$5:C1000"), $A91, INDIRECT("'"&amp;Assemblies[Assy]&amp;"'!"&amp;"O$5:O1000")), "x",Assemblies[Assy],".",IF(SUMIF(INDIRECT("'"&amp;Assemblies[Assy]&amp;"'!"&amp;"C$5:C1000"), $A91, INDIRECT("'"&amp;Assemblies[Assy]&amp;"'!"&amp;"A$5:A1000"))=0,NA(),SUMIF(INDIRECT("'"&amp;Assemblies[Assy]&amp;"'!"&amp;"C$5:C1000"), $A91, INDIRECT("'"&amp;Assemblies[Assy]&amp;"'!"&amp;"A$5:A1000")))),"")), " ,", ""))</f>
        <v>,</v>
      </c>
    </row>
    <row r="92" spans="1:13">
      <c r="A92" s="2" t="s">
        <v>342</v>
      </c>
      <c r="B92" s="120" t="s">
        <v>1382</v>
      </c>
      <c r="C92" s="5" t="e" cm="1">
        <f t="array" aca="1" ref="C92" ca="1">SUMPRODUCT(SUMIF(INDIRECT("'"&amp;Assemblies[Assy]&amp;"'!"&amp;"C$5:C1000"),$A92,(INDIRECT("'"&amp;Assemblies[Assy]&amp;"'!"&amp;"O$5:O1000"))))</f>
        <v>#VALUE!</v>
      </c>
      <c r="E92" s="2" t="s">
        <v>1779</v>
      </c>
      <c r="F92" s="115" t="s">
        <v>3376</v>
      </c>
      <c r="G92" s="2" t="s">
        <v>1779</v>
      </c>
      <c r="H92" s="116" t="s">
        <v>1382</v>
      </c>
      <c r="I92" s="116" t="s">
        <v>1382</v>
      </c>
      <c r="J92" s="116" t="s">
        <v>1382</v>
      </c>
      <c r="K92" s="116" t="s">
        <v>1382</v>
      </c>
      <c r="L92" s="2" t="s">
        <v>1382</v>
      </c>
      <c r="M92" s="2" t="str" cm="1">
        <f t="array" aca="1" ref="M92" ca="1">TRIM(SUBSTITUTE(_xlfn.ARRAYTOTEXT(IFERROR(CONCATENATE(SUMIF(INDIRECT("'"&amp;Assemblies[Assy]&amp;"'!"&amp;"C$5:C1000"), $A92, INDIRECT("'"&amp;Assemblies[Assy]&amp;"'!"&amp;"O$5:O1000")), "x",Assemblies[Assy],".",IF(SUMIF(INDIRECT("'"&amp;Assemblies[Assy]&amp;"'!"&amp;"C$5:C1000"), $A92, INDIRECT("'"&amp;Assemblies[Assy]&amp;"'!"&amp;"A$5:A1000"))=0,NA(),SUMIF(INDIRECT("'"&amp;Assemblies[Assy]&amp;"'!"&amp;"C$5:C1000"), $A92, INDIRECT("'"&amp;Assemblies[Assy]&amp;"'!"&amp;"A$5:A1000")))),"")), " ,", ""))</f>
        <v>,</v>
      </c>
    </row>
    <row r="93" spans="1:13">
      <c r="A93" s="2" t="s">
        <v>669</v>
      </c>
      <c r="B93" s="120" t="s">
        <v>1382</v>
      </c>
      <c r="C93" s="5" t="e" cm="1">
        <f t="array" aca="1" ref="C93" ca="1">SUMPRODUCT(SUMIF(INDIRECT("'"&amp;Assemblies[Assy]&amp;"'!"&amp;"C$5:C1000"),$A93,(INDIRECT("'"&amp;Assemblies[Assy]&amp;"'!"&amp;"O$5:O1000"))))</f>
        <v>#VALUE!</v>
      </c>
      <c r="E93" s="2" t="s">
        <v>1779</v>
      </c>
      <c r="F93" s="115" t="s">
        <v>3376</v>
      </c>
      <c r="G93" s="2" t="s">
        <v>1779</v>
      </c>
      <c r="H93" s="116" t="s">
        <v>1382</v>
      </c>
      <c r="I93" s="116" t="s">
        <v>1382</v>
      </c>
      <c r="J93" s="116" t="s">
        <v>1382</v>
      </c>
      <c r="K93" s="116" t="s">
        <v>1382</v>
      </c>
      <c r="L93" s="2" t="s">
        <v>1382</v>
      </c>
      <c r="M93" s="2" t="str" cm="1">
        <f t="array" aca="1" ref="M93" ca="1">TRIM(SUBSTITUTE(_xlfn.ARRAYTOTEXT(IFERROR(CONCATENATE(SUMIF(INDIRECT("'"&amp;Assemblies[Assy]&amp;"'!"&amp;"C$5:C1000"), $A93, INDIRECT("'"&amp;Assemblies[Assy]&amp;"'!"&amp;"O$5:O1000")), "x",Assemblies[Assy],".",IF(SUMIF(INDIRECT("'"&amp;Assemblies[Assy]&amp;"'!"&amp;"C$5:C1000"), $A93, INDIRECT("'"&amp;Assemblies[Assy]&amp;"'!"&amp;"A$5:A1000"))=0,NA(),SUMIF(INDIRECT("'"&amp;Assemblies[Assy]&amp;"'!"&amp;"C$5:C1000"), $A93, INDIRECT("'"&amp;Assemblies[Assy]&amp;"'!"&amp;"A$5:A1000")))),"")), " ,", ""))</f>
        <v>,</v>
      </c>
    </row>
    <row r="94" spans="1:13">
      <c r="A94" s="2" t="s">
        <v>267</v>
      </c>
      <c r="B94" s="120" t="s">
        <v>1382</v>
      </c>
      <c r="C94" s="5" t="e" cm="1">
        <f t="array" aca="1" ref="C94" ca="1">SUMPRODUCT(SUMIF(INDIRECT("'"&amp;Assemblies[Assy]&amp;"'!"&amp;"C$5:C1000"),$A94,(INDIRECT("'"&amp;Assemblies[Assy]&amp;"'!"&amp;"O$5:O1000"))))</f>
        <v>#VALUE!</v>
      </c>
      <c r="E94" s="2" t="s">
        <v>1779</v>
      </c>
      <c r="F94" s="115" t="s">
        <v>3376</v>
      </c>
      <c r="G94" s="2" t="s">
        <v>1779</v>
      </c>
      <c r="H94" s="116" t="s">
        <v>1382</v>
      </c>
      <c r="I94" s="116" t="s">
        <v>1382</v>
      </c>
      <c r="J94" s="116" t="s">
        <v>1382</v>
      </c>
      <c r="K94" s="116" t="s">
        <v>1382</v>
      </c>
      <c r="L94" s="2" t="s">
        <v>1382</v>
      </c>
      <c r="M94" s="2" t="str" cm="1">
        <f t="array" aca="1" ref="M94" ca="1">TRIM(SUBSTITUTE(_xlfn.ARRAYTOTEXT(IFERROR(CONCATENATE(SUMIF(INDIRECT("'"&amp;Assemblies[Assy]&amp;"'!"&amp;"C$5:C1000"), $A94, INDIRECT("'"&amp;Assemblies[Assy]&amp;"'!"&amp;"O$5:O1000")), "x",Assemblies[Assy],".",IF(SUMIF(INDIRECT("'"&amp;Assemblies[Assy]&amp;"'!"&amp;"C$5:C1000"), $A94, INDIRECT("'"&amp;Assemblies[Assy]&amp;"'!"&amp;"A$5:A1000"))=0,NA(),SUMIF(INDIRECT("'"&amp;Assemblies[Assy]&amp;"'!"&amp;"C$5:C1000"), $A94, INDIRECT("'"&amp;Assemblies[Assy]&amp;"'!"&amp;"A$5:A1000")))),"")), " ,", ""))</f>
        <v>,</v>
      </c>
    </row>
    <row r="95" spans="1:13">
      <c r="A95" s="2" t="s">
        <v>699</v>
      </c>
      <c r="B95" s="120" t="s">
        <v>1382</v>
      </c>
      <c r="C95" s="5" t="e" cm="1">
        <f t="array" aca="1" ref="C95" ca="1">SUMPRODUCT(SUMIF(INDIRECT("'"&amp;Assemblies[Assy]&amp;"'!"&amp;"C$5:C1000"),$A95,(INDIRECT("'"&amp;Assemblies[Assy]&amp;"'!"&amp;"O$5:O1000"))))</f>
        <v>#VALUE!</v>
      </c>
      <c r="E95" s="2" t="s">
        <v>1779</v>
      </c>
      <c r="F95" s="115" t="s">
        <v>3376</v>
      </c>
      <c r="G95" s="2" t="s">
        <v>1779</v>
      </c>
      <c r="H95" s="116" t="s">
        <v>1382</v>
      </c>
      <c r="I95" s="116" t="s">
        <v>1382</v>
      </c>
      <c r="J95" s="116" t="s">
        <v>1382</v>
      </c>
      <c r="K95" s="116" t="s">
        <v>1382</v>
      </c>
      <c r="L95" s="2" t="s">
        <v>1382</v>
      </c>
      <c r="M95" s="2" t="str" cm="1">
        <f t="array" aca="1" ref="M95" ca="1">TRIM(SUBSTITUTE(_xlfn.ARRAYTOTEXT(IFERROR(CONCATENATE(SUMIF(INDIRECT("'"&amp;Assemblies[Assy]&amp;"'!"&amp;"C$5:C1000"), $A95, INDIRECT("'"&amp;Assemblies[Assy]&amp;"'!"&amp;"O$5:O1000")), "x",Assemblies[Assy],".",IF(SUMIF(INDIRECT("'"&amp;Assemblies[Assy]&amp;"'!"&amp;"C$5:C1000"), $A95, INDIRECT("'"&amp;Assemblies[Assy]&amp;"'!"&amp;"A$5:A1000"))=0,NA(),SUMIF(INDIRECT("'"&amp;Assemblies[Assy]&amp;"'!"&amp;"C$5:C1000"), $A95, INDIRECT("'"&amp;Assemblies[Assy]&amp;"'!"&amp;"A$5:A1000")))),"")), " ,", ""))</f>
        <v>,</v>
      </c>
    </row>
    <row r="96" spans="1:13">
      <c r="A96" s="2" t="s">
        <v>1356</v>
      </c>
      <c r="B96" s="120" t="s">
        <v>1382</v>
      </c>
      <c r="C96" s="5" t="e" cm="1">
        <f t="array" aca="1" ref="C96" ca="1">SUMPRODUCT(SUMIF(INDIRECT("'"&amp;Assemblies[Assy]&amp;"'!"&amp;"C$5:C1000"),$A96,(INDIRECT("'"&amp;Assemblies[Assy]&amp;"'!"&amp;"O$5:O1000"))))</f>
        <v>#VALUE!</v>
      </c>
      <c r="E96" s="2" t="s">
        <v>1779</v>
      </c>
      <c r="F96" s="115" t="s">
        <v>3376</v>
      </c>
      <c r="G96" s="2" t="s">
        <v>1779</v>
      </c>
      <c r="H96" s="116" t="s">
        <v>1382</v>
      </c>
      <c r="I96" s="116" t="s">
        <v>1382</v>
      </c>
      <c r="J96" s="116" t="s">
        <v>1382</v>
      </c>
      <c r="K96" s="116" t="s">
        <v>1382</v>
      </c>
      <c r="L96" s="2" t="s">
        <v>1382</v>
      </c>
      <c r="M96" s="2" t="str" cm="1">
        <f t="array" aca="1" ref="M96" ca="1">TRIM(SUBSTITUTE(_xlfn.ARRAYTOTEXT(IFERROR(CONCATENATE(SUMIF(INDIRECT("'"&amp;Assemblies[Assy]&amp;"'!"&amp;"C$5:C1000"), $A96, INDIRECT("'"&amp;Assemblies[Assy]&amp;"'!"&amp;"O$5:O1000")), "x",Assemblies[Assy],".",IF(SUMIF(INDIRECT("'"&amp;Assemblies[Assy]&amp;"'!"&amp;"C$5:C1000"), $A96, INDIRECT("'"&amp;Assemblies[Assy]&amp;"'!"&amp;"A$5:A1000"))=0,NA(),SUMIF(INDIRECT("'"&amp;Assemblies[Assy]&amp;"'!"&amp;"C$5:C1000"), $A96, INDIRECT("'"&amp;Assemblies[Assy]&amp;"'!"&amp;"A$5:A1000")))),"")), " ,", ""))</f>
        <v>,</v>
      </c>
    </row>
    <row r="97" spans="1:13">
      <c r="A97" s="2" t="s">
        <v>479</v>
      </c>
      <c r="B97" s="120" t="s">
        <v>1382</v>
      </c>
      <c r="C97" s="5" t="e" cm="1">
        <f t="array" aca="1" ref="C97" ca="1">SUMPRODUCT(SUMIF(INDIRECT("'"&amp;Assemblies[Assy]&amp;"'!"&amp;"C$5:C1000"),$A97,(INDIRECT("'"&amp;Assemblies[Assy]&amp;"'!"&amp;"O$5:O1000"))))</f>
        <v>#VALUE!</v>
      </c>
      <c r="E97" s="2" t="s">
        <v>1779</v>
      </c>
      <c r="F97" s="115" t="s">
        <v>3376</v>
      </c>
      <c r="G97" s="2" t="s">
        <v>1779</v>
      </c>
      <c r="H97" s="116" t="s">
        <v>1382</v>
      </c>
      <c r="I97" s="116" t="s">
        <v>1382</v>
      </c>
      <c r="J97" s="116" t="s">
        <v>1382</v>
      </c>
      <c r="K97" s="116" t="s">
        <v>1382</v>
      </c>
      <c r="L97" s="2" t="s">
        <v>1382</v>
      </c>
      <c r="M97" s="2" t="str" cm="1">
        <f t="array" aca="1" ref="M97" ca="1">TRIM(SUBSTITUTE(_xlfn.ARRAYTOTEXT(IFERROR(CONCATENATE(SUMIF(INDIRECT("'"&amp;Assemblies[Assy]&amp;"'!"&amp;"C$5:C1000"), $A97, INDIRECT("'"&amp;Assemblies[Assy]&amp;"'!"&amp;"O$5:O1000")), "x",Assemblies[Assy],".",IF(SUMIF(INDIRECT("'"&amp;Assemblies[Assy]&amp;"'!"&amp;"C$5:C1000"), $A97, INDIRECT("'"&amp;Assemblies[Assy]&amp;"'!"&amp;"A$5:A1000"))=0,NA(),SUMIF(INDIRECT("'"&amp;Assemblies[Assy]&amp;"'!"&amp;"C$5:C1000"), $A97, INDIRECT("'"&amp;Assemblies[Assy]&amp;"'!"&amp;"A$5:A1000")))),"")), " ,", ""))</f>
        <v>,</v>
      </c>
    </row>
    <row r="98" spans="1:13">
      <c r="A98" s="2" t="s">
        <v>828</v>
      </c>
      <c r="B98" s="120" t="s">
        <v>1382</v>
      </c>
      <c r="C98" s="5" t="e" cm="1">
        <f t="array" aca="1" ref="C98" ca="1">SUMPRODUCT(SUMIF(INDIRECT("'"&amp;Assemblies[Assy]&amp;"'!"&amp;"C$5:C1000"),$A98,(INDIRECT("'"&amp;Assemblies[Assy]&amp;"'!"&amp;"O$5:O1000"))))</f>
        <v>#VALUE!</v>
      </c>
      <c r="E98" s="2" t="s">
        <v>1779</v>
      </c>
      <c r="F98" s="115" t="s">
        <v>3376</v>
      </c>
      <c r="G98" s="2" t="s">
        <v>1779</v>
      </c>
      <c r="H98" s="116" t="s">
        <v>1382</v>
      </c>
      <c r="I98" s="116" t="s">
        <v>1382</v>
      </c>
      <c r="J98" s="116" t="s">
        <v>1382</v>
      </c>
      <c r="K98" s="116" t="s">
        <v>1382</v>
      </c>
      <c r="L98" s="2" t="s">
        <v>1382</v>
      </c>
      <c r="M98" s="2" t="str" cm="1">
        <f t="array" aca="1" ref="M98" ca="1">TRIM(SUBSTITUTE(_xlfn.ARRAYTOTEXT(IFERROR(CONCATENATE(SUMIF(INDIRECT("'"&amp;Assemblies[Assy]&amp;"'!"&amp;"C$5:C1000"), $A98, INDIRECT("'"&amp;Assemblies[Assy]&amp;"'!"&amp;"O$5:O1000")), "x",Assemblies[Assy],".",IF(SUMIF(INDIRECT("'"&amp;Assemblies[Assy]&amp;"'!"&amp;"C$5:C1000"), $A98, INDIRECT("'"&amp;Assemblies[Assy]&amp;"'!"&amp;"A$5:A1000"))=0,NA(),SUMIF(INDIRECT("'"&amp;Assemblies[Assy]&amp;"'!"&amp;"C$5:C1000"), $A98, INDIRECT("'"&amp;Assemblies[Assy]&amp;"'!"&amp;"A$5:A1000")))),"")), " ,", ""))</f>
        <v>,</v>
      </c>
    </row>
    <row r="99" spans="1:13">
      <c r="A99" s="2" t="s">
        <v>481</v>
      </c>
      <c r="B99" s="120" t="s">
        <v>1382</v>
      </c>
      <c r="C99" s="5" t="e" cm="1">
        <f t="array" aca="1" ref="C99" ca="1">SUMPRODUCT(SUMIF(INDIRECT("'"&amp;Assemblies[Assy]&amp;"'!"&amp;"C$5:C1000"),$A99,(INDIRECT("'"&amp;Assemblies[Assy]&amp;"'!"&amp;"O$5:O1000"))))</f>
        <v>#VALUE!</v>
      </c>
      <c r="E99" s="2" t="s">
        <v>1779</v>
      </c>
      <c r="F99" s="115" t="s">
        <v>3376</v>
      </c>
      <c r="G99" s="2" t="s">
        <v>1779</v>
      </c>
      <c r="H99" s="116" t="s">
        <v>1382</v>
      </c>
      <c r="I99" s="116" t="s">
        <v>1382</v>
      </c>
      <c r="J99" s="116" t="s">
        <v>1382</v>
      </c>
      <c r="K99" s="116" t="s">
        <v>1382</v>
      </c>
      <c r="L99" s="2" t="s">
        <v>1382</v>
      </c>
      <c r="M99" s="2" t="str" cm="1">
        <f t="array" aca="1" ref="M99" ca="1">TRIM(SUBSTITUTE(_xlfn.ARRAYTOTEXT(IFERROR(CONCATENATE(SUMIF(INDIRECT("'"&amp;Assemblies[Assy]&amp;"'!"&amp;"C$5:C1000"), $A99, INDIRECT("'"&amp;Assemblies[Assy]&amp;"'!"&amp;"O$5:O1000")), "x",Assemblies[Assy],".",IF(SUMIF(INDIRECT("'"&amp;Assemblies[Assy]&amp;"'!"&amp;"C$5:C1000"), $A99, INDIRECT("'"&amp;Assemblies[Assy]&amp;"'!"&amp;"A$5:A1000"))=0,NA(),SUMIF(INDIRECT("'"&amp;Assemblies[Assy]&amp;"'!"&amp;"C$5:C1000"), $A99, INDIRECT("'"&amp;Assemblies[Assy]&amp;"'!"&amp;"A$5:A1000")))),"")), " ,", ""))</f>
        <v>,</v>
      </c>
    </row>
    <row r="100" spans="1:13">
      <c r="A100" s="2" t="s">
        <v>1272</v>
      </c>
      <c r="B100" s="120" t="s">
        <v>1382</v>
      </c>
      <c r="C100" s="5" t="e" cm="1">
        <f t="array" aca="1" ref="C100" ca="1">SUMPRODUCT(SUMIF(INDIRECT("'"&amp;Assemblies[Assy]&amp;"'!"&amp;"C$5:C1000"),$A100,(INDIRECT("'"&amp;Assemblies[Assy]&amp;"'!"&amp;"O$5:O1000"))))</f>
        <v>#VALUE!</v>
      </c>
      <c r="E100" s="2" t="s">
        <v>1779</v>
      </c>
      <c r="F100" s="115" t="s">
        <v>3376</v>
      </c>
      <c r="G100" s="2" t="s">
        <v>1779</v>
      </c>
      <c r="H100" s="116" t="s">
        <v>1382</v>
      </c>
      <c r="I100" s="116" t="s">
        <v>1382</v>
      </c>
      <c r="J100" s="116" t="s">
        <v>1382</v>
      </c>
      <c r="K100" s="116" t="s">
        <v>1382</v>
      </c>
      <c r="L100" s="2" t="s">
        <v>1382</v>
      </c>
      <c r="M100" s="2" t="str" cm="1">
        <f t="array" aca="1" ref="M100" ca="1">TRIM(SUBSTITUTE(_xlfn.ARRAYTOTEXT(IFERROR(CONCATENATE(SUMIF(INDIRECT("'"&amp;Assemblies[Assy]&amp;"'!"&amp;"C$5:C1000"), $A100, INDIRECT("'"&amp;Assemblies[Assy]&amp;"'!"&amp;"O$5:O1000")), "x",Assemblies[Assy],".",IF(SUMIF(INDIRECT("'"&amp;Assemblies[Assy]&amp;"'!"&amp;"C$5:C1000"), $A100, INDIRECT("'"&amp;Assemblies[Assy]&amp;"'!"&amp;"A$5:A1000"))=0,NA(),SUMIF(INDIRECT("'"&amp;Assemblies[Assy]&amp;"'!"&amp;"C$5:C1000"), $A100, INDIRECT("'"&amp;Assemblies[Assy]&amp;"'!"&amp;"A$5:A1000")))),"")), " ,", ""))</f>
        <v>,</v>
      </c>
    </row>
    <row r="101" spans="1:13">
      <c r="A101" s="2" t="s">
        <v>1006</v>
      </c>
      <c r="B101" s="120" t="s">
        <v>1382</v>
      </c>
      <c r="C101" s="5" t="e" cm="1">
        <f t="array" aca="1" ref="C101" ca="1">SUMPRODUCT(SUMIF(INDIRECT("'"&amp;Assemblies[Assy]&amp;"'!"&amp;"C$5:C1000"),$A101,(INDIRECT("'"&amp;Assemblies[Assy]&amp;"'!"&amp;"O$5:O1000"))))</f>
        <v>#VALUE!</v>
      </c>
      <c r="E101" s="2" t="s">
        <v>1779</v>
      </c>
      <c r="F101" s="115" t="s">
        <v>3376</v>
      </c>
      <c r="G101" s="2" t="s">
        <v>1779</v>
      </c>
      <c r="H101" s="116" t="s">
        <v>1382</v>
      </c>
      <c r="I101" s="116" t="s">
        <v>1382</v>
      </c>
      <c r="J101" s="116" t="s">
        <v>1382</v>
      </c>
      <c r="K101" s="116" t="s">
        <v>1382</v>
      </c>
      <c r="L101" s="2" t="s">
        <v>1382</v>
      </c>
      <c r="M101" s="2" t="str" cm="1">
        <f t="array" aca="1" ref="M101" ca="1">TRIM(SUBSTITUTE(_xlfn.ARRAYTOTEXT(IFERROR(CONCATENATE(SUMIF(INDIRECT("'"&amp;Assemblies[Assy]&amp;"'!"&amp;"C$5:C1000"), $A101, INDIRECT("'"&amp;Assemblies[Assy]&amp;"'!"&amp;"O$5:O1000")), "x",Assemblies[Assy],".",IF(SUMIF(INDIRECT("'"&amp;Assemblies[Assy]&amp;"'!"&amp;"C$5:C1000"), $A101, INDIRECT("'"&amp;Assemblies[Assy]&amp;"'!"&amp;"A$5:A1000"))=0,NA(),SUMIF(INDIRECT("'"&amp;Assemblies[Assy]&amp;"'!"&amp;"C$5:C1000"), $A101, INDIRECT("'"&amp;Assemblies[Assy]&amp;"'!"&amp;"A$5:A1000")))),"")), " ,", ""))</f>
        <v>,</v>
      </c>
    </row>
    <row r="102" spans="1:13">
      <c r="A102" s="2" t="s">
        <v>1344</v>
      </c>
      <c r="B102" s="120" t="s">
        <v>1382</v>
      </c>
      <c r="C102" s="5" t="e" cm="1">
        <f t="array" aca="1" ref="C102" ca="1">SUMPRODUCT(SUMIF(INDIRECT("'"&amp;Assemblies[Assy]&amp;"'!"&amp;"C$5:C1000"),$A102,(INDIRECT("'"&amp;Assemblies[Assy]&amp;"'!"&amp;"O$5:O1000"))))</f>
        <v>#VALUE!</v>
      </c>
      <c r="E102" s="2" t="s">
        <v>1779</v>
      </c>
      <c r="F102" s="115" t="s">
        <v>3376</v>
      </c>
      <c r="G102" s="2" t="s">
        <v>1779</v>
      </c>
      <c r="H102" s="116" t="s">
        <v>1382</v>
      </c>
      <c r="I102" s="116" t="s">
        <v>1382</v>
      </c>
      <c r="J102" s="116" t="s">
        <v>1382</v>
      </c>
      <c r="K102" s="116" t="s">
        <v>1382</v>
      </c>
      <c r="L102" s="2" t="s">
        <v>1382</v>
      </c>
      <c r="M102" s="2" t="str" cm="1">
        <f t="array" aca="1" ref="M102" ca="1">TRIM(SUBSTITUTE(_xlfn.ARRAYTOTEXT(IFERROR(CONCATENATE(SUMIF(INDIRECT("'"&amp;Assemblies[Assy]&amp;"'!"&amp;"C$5:C1000"), $A102, INDIRECT("'"&amp;Assemblies[Assy]&amp;"'!"&amp;"O$5:O1000")), "x",Assemblies[Assy],".",IF(SUMIF(INDIRECT("'"&amp;Assemblies[Assy]&amp;"'!"&amp;"C$5:C1000"), $A102, INDIRECT("'"&amp;Assemblies[Assy]&amp;"'!"&amp;"A$5:A1000"))=0,NA(),SUMIF(INDIRECT("'"&amp;Assemblies[Assy]&amp;"'!"&amp;"C$5:C1000"), $A102, INDIRECT("'"&amp;Assemblies[Assy]&amp;"'!"&amp;"A$5:A1000")))),"")), " ,", ""))</f>
        <v>,</v>
      </c>
    </row>
    <row r="103" spans="1:13">
      <c r="A103" s="2" t="s">
        <v>425</v>
      </c>
      <c r="B103" s="120" t="s">
        <v>1382</v>
      </c>
      <c r="C103" s="5" t="e" cm="1">
        <f t="array" aca="1" ref="C103" ca="1">SUMPRODUCT(SUMIF(INDIRECT("'"&amp;Assemblies[Assy]&amp;"'!"&amp;"C$5:C1000"),$A103,(INDIRECT("'"&amp;Assemblies[Assy]&amp;"'!"&amp;"O$5:O1000"))))</f>
        <v>#VALUE!</v>
      </c>
      <c r="E103" s="2" t="s">
        <v>1779</v>
      </c>
      <c r="F103" s="115" t="s">
        <v>3376</v>
      </c>
      <c r="G103" s="2" t="s">
        <v>1779</v>
      </c>
      <c r="H103" s="116" t="s">
        <v>1382</v>
      </c>
      <c r="I103" s="116" t="s">
        <v>1382</v>
      </c>
      <c r="J103" s="116" t="s">
        <v>1382</v>
      </c>
      <c r="K103" s="116" t="s">
        <v>1382</v>
      </c>
      <c r="L103" s="2" t="s">
        <v>1382</v>
      </c>
      <c r="M103" s="2" t="str" cm="1">
        <f t="array" aca="1" ref="M103" ca="1">TRIM(SUBSTITUTE(_xlfn.ARRAYTOTEXT(IFERROR(CONCATENATE(SUMIF(INDIRECT("'"&amp;Assemblies[Assy]&amp;"'!"&amp;"C$5:C1000"), $A103, INDIRECT("'"&amp;Assemblies[Assy]&amp;"'!"&amp;"O$5:O1000")), "x",Assemblies[Assy],".",IF(SUMIF(INDIRECT("'"&amp;Assemblies[Assy]&amp;"'!"&amp;"C$5:C1000"), $A103, INDIRECT("'"&amp;Assemblies[Assy]&amp;"'!"&amp;"A$5:A1000"))=0,NA(),SUMIF(INDIRECT("'"&amp;Assemblies[Assy]&amp;"'!"&amp;"C$5:C1000"), $A103, INDIRECT("'"&amp;Assemblies[Assy]&amp;"'!"&amp;"A$5:A1000")))),"")), " ,", ""))</f>
        <v>,</v>
      </c>
    </row>
    <row r="104" spans="1:13">
      <c r="A104" s="2" t="s">
        <v>1007</v>
      </c>
      <c r="B104" s="120" t="s">
        <v>1382</v>
      </c>
      <c r="C104" s="5" t="e" cm="1">
        <f t="array" aca="1" ref="C104" ca="1">SUMPRODUCT(SUMIF(INDIRECT("'"&amp;Assemblies[Assy]&amp;"'!"&amp;"C$5:C1000"),$A104,(INDIRECT("'"&amp;Assemblies[Assy]&amp;"'!"&amp;"O$5:O1000"))))</f>
        <v>#VALUE!</v>
      </c>
      <c r="E104" s="2" t="s">
        <v>1779</v>
      </c>
      <c r="F104" s="115" t="s">
        <v>3376</v>
      </c>
      <c r="G104" s="2" t="s">
        <v>1779</v>
      </c>
      <c r="H104" s="116" t="s">
        <v>1382</v>
      </c>
      <c r="I104" s="116" t="s">
        <v>1382</v>
      </c>
      <c r="J104" s="116" t="s">
        <v>1382</v>
      </c>
      <c r="K104" s="116" t="s">
        <v>1382</v>
      </c>
      <c r="L104" s="2" t="s">
        <v>1382</v>
      </c>
      <c r="M104" s="2" t="str" cm="1">
        <f t="array" aca="1" ref="M104" ca="1">TRIM(SUBSTITUTE(_xlfn.ARRAYTOTEXT(IFERROR(CONCATENATE(SUMIF(INDIRECT("'"&amp;Assemblies[Assy]&amp;"'!"&amp;"C$5:C1000"), $A104, INDIRECT("'"&amp;Assemblies[Assy]&amp;"'!"&amp;"O$5:O1000")), "x",Assemblies[Assy],".",IF(SUMIF(INDIRECT("'"&amp;Assemblies[Assy]&amp;"'!"&amp;"C$5:C1000"), $A104, INDIRECT("'"&amp;Assemblies[Assy]&amp;"'!"&amp;"A$5:A1000"))=0,NA(),SUMIF(INDIRECT("'"&amp;Assemblies[Assy]&amp;"'!"&amp;"C$5:C1000"), $A104, INDIRECT("'"&amp;Assemblies[Assy]&amp;"'!"&amp;"A$5:A1000")))),"")), " ,", ""))</f>
        <v>,</v>
      </c>
    </row>
    <row r="105" spans="1:13">
      <c r="A105" s="2" t="s">
        <v>426</v>
      </c>
      <c r="B105" s="120" t="s">
        <v>1382</v>
      </c>
      <c r="C105" s="5" t="e" cm="1">
        <f t="array" aca="1" ref="C105" ca="1">SUMPRODUCT(SUMIF(INDIRECT("'"&amp;Assemblies[Assy]&amp;"'!"&amp;"C$5:C1000"),$A105,(INDIRECT("'"&amp;Assemblies[Assy]&amp;"'!"&amp;"O$5:O1000"))))</f>
        <v>#VALUE!</v>
      </c>
      <c r="E105" s="2" t="s">
        <v>1779</v>
      </c>
      <c r="F105" s="115" t="s">
        <v>3376</v>
      </c>
      <c r="G105" s="2" t="s">
        <v>1779</v>
      </c>
      <c r="H105" s="116" t="s">
        <v>1382</v>
      </c>
      <c r="I105" s="116" t="s">
        <v>1382</v>
      </c>
      <c r="J105" s="116" t="s">
        <v>1382</v>
      </c>
      <c r="K105" s="116" t="s">
        <v>1382</v>
      </c>
      <c r="L105" s="2" t="s">
        <v>1382</v>
      </c>
      <c r="M105" s="2" t="str" cm="1">
        <f t="array" aca="1" ref="M105" ca="1">TRIM(SUBSTITUTE(_xlfn.ARRAYTOTEXT(IFERROR(CONCATENATE(SUMIF(INDIRECT("'"&amp;Assemblies[Assy]&amp;"'!"&amp;"C$5:C1000"), $A105, INDIRECT("'"&amp;Assemblies[Assy]&amp;"'!"&amp;"O$5:O1000")), "x",Assemblies[Assy],".",IF(SUMIF(INDIRECT("'"&amp;Assemblies[Assy]&amp;"'!"&amp;"C$5:C1000"), $A105, INDIRECT("'"&amp;Assemblies[Assy]&amp;"'!"&amp;"A$5:A1000"))=0,NA(),SUMIF(INDIRECT("'"&amp;Assemblies[Assy]&amp;"'!"&amp;"C$5:C1000"), $A105, INDIRECT("'"&amp;Assemblies[Assy]&amp;"'!"&amp;"A$5:A1000")))),"")), " ,", ""))</f>
        <v>,</v>
      </c>
    </row>
    <row r="106" spans="1:13">
      <c r="A106" s="2" t="s">
        <v>1288</v>
      </c>
      <c r="B106" s="120" t="s">
        <v>1382</v>
      </c>
      <c r="C106" s="5" t="e" cm="1">
        <f t="array" aca="1" ref="C106" ca="1">SUMPRODUCT(SUMIF(INDIRECT("'"&amp;Assemblies[Assy]&amp;"'!"&amp;"C$5:C1000"),$A106,(INDIRECT("'"&amp;Assemblies[Assy]&amp;"'!"&amp;"O$5:O1000"))))</f>
        <v>#VALUE!</v>
      </c>
      <c r="E106" s="2" t="s">
        <v>1779</v>
      </c>
      <c r="F106" s="115" t="s">
        <v>3376</v>
      </c>
      <c r="G106" s="2" t="s">
        <v>1779</v>
      </c>
      <c r="H106" s="116" t="s">
        <v>1382</v>
      </c>
      <c r="I106" s="116" t="s">
        <v>1382</v>
      </c>
      <c r="J106" s="116" t="s">
        <v>1382</v>
      </c>
      <c r="K106" s="116" t="s">
        <v>1382</v>
      </c>
      <c r="L106" s="2" t="s">
        <v>1382</v>
      </c>
      <c r="M106" s="2" t="str" cm="1">
        <f t="array" aca="1" ref="M106" ca="1">TRIM(SUBSTITUTE(_xlfn.ARRAYTOTEXT(IFERROR(CONCATENATE(SUMIF(INDIRECT("'"&amp;Assemblies[Assy]&amp;"'!"&amp;"C$5:C1000"), $A106, INDIRECT("'"&amp;Assemblies[Assy]&amp;"'!"&amp;"O$5:O1000")), "x",Assemblies[Assy],".",IF(SUMIF(INDIRECT("'"&amp;Assemblies[Assy]&amp;"'!"&amp;"C$5:C1000"), $A106, INDIRECT("'"&amp;Assemblies[Assy]&amp;"'!"&amp;"A$5:A1000"))=0,NA(),SUMIF(INDIRECT("'"&amp;Assemblies[Assy]&amp;"'!"&amp;"C$5:C1000"), $A106, INDIRECT("'"&amp;Assemblies[Assy]&amp;"'!"&amp;"A$5:A1000")))),"")), " ,", ""))</f>
        <v>,</v>
      </c>
    </row>
    <row r="107" spans="1:13">
      <c r="A107" s="2" t="s">
        <v>907</v>
      </c>
      <c r="B107" s="120" t="s">
        <v>1382</v>
      </c>
      <c r="C107" s="5" t="e" cm="1">
        <f t="array" aca="1" ref="C107" ca="1">SUMPRODUCT(SUMIF(INDIRECT("'"&amp;Assemblies[Assy]&amp;"'!"&amp;"C$5:C1000"),$A107,(INDIRECT("'"&amp;Assemblies[Assy]&amp;"'!"&amp;"O$5:O1000"))))</f>
        <v>#VALUE!</v>
      </c>
      <c r="E107" s="2" t="s">
        <v>1779</v>
      </c>
      <c r="F107" s="115" t="s">
        <v>3376</v>
      </c>
      <c r="G107" s="2" t="s">
        <v>1779</v>
      </c>
      <c r="H107" s="116" t="s">
        <v>1382</v>
      </c>
      <c r="I107" s="116" t="s">
        <v>1382</v>
      </c>
      <c r="J107" s="116" t="s">
        <v>1382</v>
      </c>
      <c r="K107" s="116" t="s">
        <v>1382</v>
      </c>
      <c r="L107" s="2" t="s">
        <v>1382</v>
      </c>
      <c r="M107" s="2" t="str" cm="1">
        <f t="array" aca="1" ref="M107" ca="1">TRIM(SUBSTITUTE(_xlfn.ARRAYTOTEXT(IFERROR(CONCATENATE(SUMIF(INDIRECT("'"&amp;Assemblies[Assy]&amp;"'!"&amp;"C$5:C1000"), $A107, INDIRECT("'"&amp;Assemblies[Assy]&amp;"'!"&amp;"O$5:O1000")), "x",Assemblies[Assy],".",IF(SUMIF(INDIRECT("'"&amp;Assemblies[Assy]&amp;"'!"&amp;"C$5:C1000"), $A107, INDIRECT("'"&amp;Assemblies[Assy]&amp;"'!"&amp;"A$5:A1000"))=0,NA(),SUMIF(INDIRECT("'"&amp;Assemblies[Assy]&amp;"'!"&amp;"C$5:C1000"), $A107, INDIRECT("'"&amp;Assemblies[Assy]&amp;"'!"&amp;"A$5:A1000")))),"")), " ,", ""))</f>
        <v>,</v>
      </c>
    </row>
    <row r="108" spans="1:13">
      <c r="A108" s="2" t="s">
        <v>1326</v>
      </c>
      <c r="B108" s="120" t="s">
        <v>1382</v>
      </c>
      <c r="C108" s="5" t="e" cm="1">
        <f t="array" aca="1" ref="C108" ca="1">SUMPRODUCT(SUMIF(INDIRECT("'"&amp;Assemblies[Assy]&amp;"'!"&amp;"C$5:C1000"),$A108,(INDIRECT("'"&amp;Assemblies[Assy]&amp;"'!"&amp;"O$5:O1000"))))</f>
        <v>#VALUE!</v>
      </c>
      <c r="E108" s="2" t="s">
        <v>1382</v>
      </c>
      <c r="F108" s="115" t="s">
        <v>3376</v>
      </c>
      <c r="G108" s="2" t="s">
        <v>1382</v>
      </c>
      <c r="H108" s="116" t="s">
        <v>1382</v>
      </c>
      <c r="I108" s="116" t="s">
        <v>1382</v>
      </c>
      <c r="J108" s="116" t="s">
        <v>1382</v>
      </c>
      <c r="K108" s="116" t="s">
        <v>1382</v>
      </c>
      <c r="L108" s="2" t="s">
        <v>1382</v>
      </c>
      <c r="M108" s="2" t="str" cm="1">
        <f t="array" aca="1" ref="M108" ca="1">TRIM(SUBSTITUTE(_xlfn.ARRAYTOTEXT(IFERROR(CONCATENATE(SUMIF(INDIRECT("'"&amp;Assemblies[Assy]&amp;"'!"&amp;"C$5:C1000"), $A108, INDIRECT("'"&amp;Assemblies[Assy]&amp;"'!"&amp;"O$5:O1000")), "x",Assemblies[Assy],".",IF(SUMIF(INDIRECT("'"&amp;Assemblies[Assy]&amp;"'!"&amp;"C$5:C1000"), $A108, INDIRECT("'"&amp;Assemblies[Assy]&amp;"'!"&amp;"A$5:A1000"))=0,NA(),SUMIF(INDIRECT("'"&amp;Assemblies[Assy]&amp;"'!"&amp;"C$5:C1000"), $A108, INDIRECT("'"&amp;Assemblies[Assy]&amp;"'!"&amp;"A$5:A1000")))),"")), " ,", ""))</f>
        <v>,</v>
      </c>
    </row>
    <row r="109" spans="1:13">
      <c r="A109" s="2" t="s">
        <v>542</v>
      </c>
      <c r="B109" s="120" t="s">
        <v>1382</v>
      </c>
      <c r="C109" s="5" t="e" cm="1">
        <f t="array" aca="1" ref="C109" ca="1">SUMPRODUCT(SUMIF(INDIRECT("'"&amp;Assemblies[Assy]&amp;"'!"&amp;"C$5:C1000"),$A109,(INDIRECT("'"&amp;Assemblies[Assy]&amp;"'!"&amp;"O$5:O1000"))))</f>
        <v>#VALUE!</v>
      </c>
      <c r="E109" s="2" t="s">
        <v>1779</v>
      </c>
      <c r="F109" s="115" t="s">
        <v>3376</v>
      </c>
      <c r="G109" s="2" t="s">
        <v>1779</v>
      </c>
      <c r="H109" s="116" t="s">
        <v>1382</v>
      </c>
      <c r="I109" s="116" t="s">
        <v>1382</v>
      </c>
      <c r="J109" s="116" t="s">
        <v>1382</v>
      </c>
      <c r="K109" s="116" t="s">
        <v>1382</v>
      </c>
      <c r="L109" s="2" t="s">
        <v>1382</v>
      </c>
      <c r="M109" s="2" t="str" cm="1">
        <f t="array" aca="1" ref="M109" ca="1">TRIM(SUBSTITUTE(_xlfn.ARRAYTOTEXT(IFERROR(CONCATENATE(SUMIF(INDIRECT("'"&amp;Assemblies[Assy]&amp;"'!"&amp;"C$5:C1000"), $A109, INDIRECT("'"&amp;Assemblies[Assy]&amp;"'!"&amp;"O$5:O1000")), "x",Assemblies[Assy],".",IF(SUMIF(INDIRECT("'"&amp;Assemblies[Assy]&amp;"'!"&amp;"C$5:C1000"), $A109, INDIRECT("'"&amp;Assemblies[Assy]&amp;"'!"&amp;"A$5:A1000"))=0,NA(),SUMIF(INDIRECT("'"&amp;Assemblies[Assy]&amp;"'!"&amp;"C$5:C1000"), $A109, INDIRECT("'"&amp;Assemblies[Assy]&amp;"'!"&amp;"A$5:A1000")))),"")), " ,", ""))</f>
        <v>,</v>
      </c>
    </row>
    <row r="110" spans="1:13">
      <c r="A110" s="2" t="s">
        <v>514</v>
      </c>
      <c r="B110" s="120" t="s">
        <v>1382</v>
      </c>
      <c r="C110" s="5" t="e" cm="1">
        <f t="array" aca="1" ref="C110" ca="1">SUMPRODUCT(SUMIF(INDIRECT("'"&amp;Assemblies[Assy]&amp;"'!"&amp;"C$5:C1000"),$A110,(INDIRECT("'"&amp;Assemblies[Assy]&amp;"'!"&amp;"O$5:O1000"))))</f>
        <v>#VALUE!</v>
      </c>
      <c r="E110" s="2" t="s">
        <v>1779</v>
      </c>
      <c r="F110" s="115" t="s">
        <v>3376</v>
      </c>
      <c r="G110" s="2" t="s">
        <v>1779</v>
      </c>
      <c r="H110" s="116" t="s">
        <v>1382</v>
      </c>
      <c r="I110" s="116" t="s">
        <v>1382</v>
      </c>
      <c r="J110" s="116" t="s">
        <v>1382</v>
      </c>
      <c r="K110" s="116" t="s">
        <v>1382</v>
      </c>
      <c r="L110" s="2" t="s">
        <v>1382</v>
      </c>
      <c r="M110" s="2" t="str" cm="1">
        <f t="array" aca="1" ref="M110" ca="1">TRIM(SUBSTITUTE(_xlfn.ARRAYTOTEXT(IFERROR(CONCATENATE(SUMIF(INDIRECT("'"&amp;Assemblies[Assy]&amp;"'!"&amp;"C$5:C1000"), $A110, INDIRECT("'"&amp;Assemblies[Assy]&amp;"'!"&amp;"O$5:O1000")), "x",Assemblies[Assy],".",IF(SUMIF(INDIRECT("'"&amp;Assemblies[Assy]&amp;"'!"&amp;"C$5:C1000"), $A110, INDIRECT("'"&amp;Assemblies[Assy]&amp;"'!"&amp;"A$5:A1000"))=0,NA(),SUMIF(INDIRECT("'"&amp;Assemblies[Assy]&amp;"'!"&amp;"C$5:C1000"), $A110, INDIRECT("'"&amp;Assemblies[Assy]&amp;"'!"&amp;"A$5:A1000")))),"")), " ,", ""))</f>
        <v>,</v>
      </c>
    </row>
    <row r="111" spans="1:13">
      <c r="A111" s="2" t="s">
        <v>3389</v>
      </c>
      <c r="B111" s="120" t="s">
        <v>1382</v>
      </c>
      <c r="C111" s="5" cm="1">
        <f t="array" aca="1" ref="C111" ca="1">SUMPRODUCT(SUMIF(INDIRECT("'"&amp;Assemblies[Assy]&amp;"'!"&amp;"C$5:C1000"),$A111,(INDIRECT("'"&amp;Assemblies[Assy]&amp;"'!"&amp;"O$5:O1000"))))</f>
        <v>0</v>
      </c>
      <c r="E111" s="2" t="s">
        <v>1779</v>
      </c>
      <c r="F111" s="115" t="s">
        <v>3376</v>
      </c>
      <c r="G111" s="2" t="s">
        <v>1779</v>
      </c>
      <c r="H111" s="116" t="s">
        <v>1382</v>
      </c>
      <c r="I111" s="116" t="s">
        <v>1382</v>
      </c>
      <c r="J111" s="116" t="s">
        <v>1382</v>
      </c>
      <c r="K111" s="116" t="s">
        <v>1382</v>
      </c>
      <c r="L111" s="2" t="s">
        <v>1382</v>
      </c>
      <c r="M111" s="2" t="str" cm="1">
        <f t="array" aca="1" ref="M111" ca="1">TRIM(SUBSTITUTE(_xlfn.ARRAYTOTEXT(IFERROR(CONCATENATE(SUMIF(INDIRECT("'"&amp;Assemblies[Assy]&amp;"'!"&amp;"C$5:C1000"), $A111, INDIRECT("'"&amp;Assemblies[Assy]&amp;"'!"&amp;"O$5:O1000")), "x",Assemblies[Assy],".",IF(SUMIF(INDIRECT("'"&amp;Assemblies[Assy]&amp;"'!"&amp;"C$5:C1000"), $A111, INDIRECT("'"&amp;Assemblies[Assy]&amp;"'!"&amp;"A$5:A1000"))=0,NA(),SUMIF(INDIRECT("'"&amp;Assemblies[Assy]&amp;"'!"&amp;"C$5:C1000"), $A111, INDIRECT("'"&amp;Assemblies[Assy]&amp;"'!"&amp;"A$5:A1000")))),"")), " ,", ""))</f>
        <v>,</v>
      </c>
    </row>
    <row r="112" spans="1:13">
      <c r="A112" s="2" t="s">
        <v>257</v>
      </c>
      <c r="B112" s="120" t="s">
        <v>1382</v>
      </c>
      <c r="C112" s="5" t="e" cm="1">
        <f t="array" aca="1" ref="C112" ca="1">SUMPRODUCT(SUMIF(INDIRECT("'"&amp;Assemblies[Assy]&amp;"'!"&amp;"C$5:C1000"),$A112,(INDIRECT("'"&amp;Assemblies[Assy]&amp;"'!"&amp;"O$5:O1000"))))</f>
        <v>#VALUE!</v>
      </c>
      <c r="E112" s="2" t="s">
        <v>1779</v>
      </c>
      <c r="F112" s="115" t="s">
        <v>3376</v>
      </c>
      <c r="G112" s="2" t="s">
        <v>1779</v>
      </c>
      <c r="H112" s="116" t="s">
        <v>1382</v>
      </c>
      <c r="I112" s="116" t="s">
        <v>1382</v>
      </c>
      <c r="J112" s="116" t="s">
        <v>1382</v>
      </c>
      <c r="K112" s="116" t="s">
        <v>1382</v>
      </c>
      <c r="L112" s="2" t="s">
        <v>1382</v>
      </c>
      <c r="M112" s="2" t="str" cm="1">
        <f t="array" aca="1" ref="M112" ca="1">TRIM(SUBSTITUTE(_xlfn.ARRAYTOTEXT(IFERROR(CONCATENATE(SUMIF(INDIRECT("'"&amp;Assemblies[Assy]&amp;"'!"&amp;"C$5:C1000"), $A112, INDIRECT("'"&amp;Assemblies[Assy]&amp;"'!"&amp;"O$5:O1000")), "x",Assemblies[Assy],".",IF(SUMIF(INDIRECT("'"&amp;Assemblies[Assy]&amp;"'!"&amp;"C$5:C1000"), $A112, INDIRECT("'"&amp;Assemblies[Assy]&amp;"'!"&amp;"A$5:A1000"))=0,NA(),SUMIF(INDIRECT("'"&amp;Assemblies[Assy]&amp;"'!"&amp;"C$5:C1000"), $A112, INDIRECT("'"&amp;Assemblies[Assy]&amp;"'!"&amp;"A$5:A1000")))),"")), " ,", ""))</f>
        <v>,</v>
      </c>
    </row>
    <row r="113" spans="1:13">
      <c r="A113" s="2" t="s">
        <v>513</v>
      </c>
      <c r="B113" s="120" t="s">
        <v>1382</v>
      </c>
      <c r="C113" s="5" t="e" cm="1">
        <f t="array" aca="1" ref="C113" ca="1">SUMPRODUCT(SUMIF(INDIRECT("'"&amp;Assemblies[Assy]&amp;"'!"&amp;"C$5:C1000"),$A113,(INDIRECT("'"&amp;Assemblies[Assy]&amp;"'!"&amp;"O$5:O1000"))))</f>
        <v>#VALUE!</v>
      </c>
      <c r="E113" s="2" t="s">
        <v>1779</v>
      </c>
      <c r="F113" s="115" t="s">
        <v>3376</v>
      </c>
      <c r="G113" s="2" t="s">
        <v>1779</v>
      </c>
      <c r="H113" s="116" t="s">
        <v>1382</v>
      </c>
      <c r="I113" s="116" t="s">
        <v>1382</v>
      </c>
      <c r="J113" s="116" t="s">
        <v>1382</v>
      </c>
      <c r="K113" s="116" t="s">
        <v>1382</v>
      </c>
      <c r="L113" s="2" t="s">
        <v>1382</v>
      </c>
      <c r="M113" s="2" t="str" cm="1">
        <f t="array" aca="1" ref="M113" ca="1">TRIM(SUBSTITUTE(_xlfn.ARRAYTOTEXT(IFERROR(CONCATENATE(SUMIF(INDIRECT("'"&amp;Assemblies[Assy]&amp;"'!"&amp;"C$5:C1000"), $A113, INDIRECT("'"&amp;Assemblies[Assy]&amp;"'!"&amp;"O$5:O1000")), "x",Assemblies[Assy],".",IF(SUMIF(INDIRECT("'"&amp;Assemblies[Assy]&amp;"'!"&amp;"C$5:C1000"), $A113, INDIRECT("'"&amp;Assemblies[Assy]&amp;"'!"&amp;"A$5:A1000"))=0,NA(),SUMIF(INDIRECT("'"&amp;Assemblies[Assy]&amp;"'!"&amp;"C$5:C1000"), $A113, INDIRECT("'"&amp;Assemblies[Assy]&amp;"'!"&amp;"A$5:A1000")))),"")), " ,", ""))</f>
        <v>,</v>
      </c>
    </row>
    <row r="114" spans="1:13">
      <c r="A114" s="2" t="s">
        <v>259</v>
      </c>
      <c r="B114" s="120" t="s">
        <v>1382</v>
      </c>
      <c r="C114" s="5" t="e" cm="1">
        <f t="array" aca="1" ref="C114" ca="1">SUMPRODUCT(SUMIF(INDIRECT("'"&amp;Assemblies[Assy]&amp;"'!"&amp;"C$5:C1000"),$A114,(INDIRECT("'"&amp;Assemblies[Assy]&amp;"'!"&amp;"O$5:O1000"))))</f>
        <v>#VALUE!</v>
      </c>
      <c r="E114" s="2" t="s">
        <v>1779</v>
      </c>
      <c r="F114" s="115" t="s">
        <v>3376</v>
      </c>
      <c r="G114" s="2" t="s">
        <v>1779</v>
      </c>
      <c r="H114" s="116" t="s">
        <v>1382</v>
      </c>
      <c r="I114" s="116" t="s">
        <v>1382</v>
      </c>
      <c r="J114" s="116" t="s">
        <v>1382</v>
      </c>
      <c r="K114" s="116" t="s">
        <v>1382</v>
      </c>
      <c r="L114" s="2" t="s">
        <v>1382</v>
      </c>
      <c r="M114" s="2" t="str" cm="1">
        <f t="array" aca="1" ref="M114" ca="1">TRIM(SUBSTITUTE(_xlfn.ARRAYTOTEXT(IFERROR(CONCATENATE(SUMIF(INDIRECT("'"&amp;Assemblies[Assy]&amp;"'!"&amp;"C$5:C1000"), $A114, INDIRECT("'"&amp;Assemblies[Assy]&amp;"'!"&amp;"O$5:O1000")), "x",Assemblies[Assy],".",IF(SUMIF(INDIRECT("'"&amp;Assemblies[Assy]&amp;"'!"&amp;"C$5:C1000"), $A114, INDIRECT("'"&amp;Assemblies[Assy]&amp;"'!"&amp;"A$5:A1000"))=0,NA(),SUMIF(INDIRECT("'"&amp;Assemblies[Assy]&amp;"'!"&amp;"C$5:C1000"), $A114, INDIRECT("'"&amp;Assemblies[Assy]&amp;"'!"&amp;"A$5:A1000")))),"")), " ,", ""))</f>
        <v>,</v>
      </c>
    </row>
    <row r="115" spans="1:13">
      <c r="A115" s="2" t="s">
        <v>758</v>
      </c>
      <c r="B115" s="120" t="s">
        <v>1382</v>
      </c>
      <c r="C115" s="5" t="e" cm="1">
        <f t="array" aca="1" ref="C115" ca="1">SUMPRODUCT(SUMIF(INDIRECT("'"&amp;Assemblies[Assy]&amp;"'!"&amp;"C$5:C1000"),$A115,(INDIRECT("'"&amp;Assemblies[Assy]&amp;"'!"&amp;"O$5:O1000"))))</f>
        <v>#VALUE!</v>
      </c>
      <c r="E115" s="2" t="s">
        <v>1779</v>
      </c>
      <c r="F115" s="115" t="s">
        <v>3376</v>
      </c>
      <c r="G115" s="2" t="s">
        <v>1779</v>
      </c>
      <c r="H115" s="116" t="s">
        <v>1382</v>
      </c>
      <c r="I115" s="116" t="s">
        <v>1382</v>
      </c>
      <c r="J115" s="116" t="s">
        <v>1382</v>
      </c>
      <c r="K115" s="116" t="s">
        <v>1382</v>
      </c>
      <c r="L115" s="2" t="s">
        <v>1382</v>
      </c>
      <c r="M115" s="2" t="str" cm="1">
        <f t="array" aca="1" ref="M115" ca="1">TRIM(SUBSTITUTE(_xlfn.ARRAYTOTEXT(IFERROR(CONCATENATE(SUMIF(INDIRECT("'"&amp;Assemblies[Assy]&amp;"'!"&amp;"C$5:C1000"), $A115, INDIRECT("'"&amp;Assemblies[Assy]&amp;"'!"&amp;"O$5:O1000")), "x",Assemblies[Assy],".",IF(SUMIF(INDIRECT("'"&amp;Assemblies[Assy]&amp;"'!"&amp;"C$5:C1000"), $A115, INDIRECT("'"&amp;Assemblies[Assy]&amp;"'!"&amp;"A$5:A1000"))=0,NA(),SUMIF(INDIRECT("'"&amp;Assemblies[Assy]&amp;"'!"&amp;"C$5:C1000"), $A115, INDIRECT("'"&amp;Assemblies[Assy]&amp;"'!"&amp;"A$5:A1000")))),"")), " ,", ""))</f>
        <v>,</v>
      </c>
    </row>
    <row r="116" spans="1:13">
      <c r="A116" s="2" t="s">
        <v>606</v>
      </c>
      <c r="B116" s="120" t="s">
        <v>1382</v>
      </c>
      <c r="C116" s="5" t="e" cm="1">
        <f t="array" aca="1" ref="C116" ca="1">SUMPRODUCT(SUMIF(INDIRECT("'"&amp;Assemblies[Assy]&amp;"'!"&amp;"C$5:C1000"),$A116,(INDIRECT("'"&amp;Assemblies[Assy]&amp;"'!"&amp;"O$5:O1000"))))</f>
        <v>#VALUE!</v>
      </c>
      <c r="E116" s="2" t="s">
        <v>1779</v>
      </c>
      <c r="F116" s="115" t="s">
        <v>3376</v>
      </c>
      <c r="G116" s="2" t="s">
        <v>1779</v>
      </c>
      <c r="H116" s="116" t="s">
        <v>1382</v>
      </c>
      <c r="I116" s="116" t="s">
        <v>1382</v>
      </c>
      <c r="J116" s="116" t="s">
        <v>1382</v>
      </c>
      <c r="K116" s="116" t="s">
        <v>1382</v>
      </c>
      <c r="L116" s="2" t="s">
        <v>1382</v>
      </c>
      <c r="M116" s="2" t="str" cm="1">
        <f t="array" aca="1" ref="M116" ca="1">TRIM(SUBSTITUTE(_xlfn.ARRAYTOTEXT(IFERROR(CONCATENATE(SUMIF(INDIRECT("'"&amp;Assemblies[Assy]&amp;"'!"&amp;"C$5:C1000"), $A116, INDIRECT("'"&amp;Assemblies[Assy]&amp;"'!"&amp;"O$5:O1000")), "x",Assemblies[Assy],".",IF(SUMIF(INDIRECT("'"&amp;Assemblies[Assy]&amp;"'!"&amp;"C$5:C1000"), $A116, INDIRECT("'"&amp;Assemblies[Assy]&amp;"'!"&amp;"A$5:A1000"))=0,NA(),SUMIF(INDIRECT("'"&amp;Assemblies[Assy]&amp;"'!"&amp;"C$5:C1000"), $A116, INDIRECT("'"&amp;Assemblies[Assy]&amp;"'!"&amp;"A$5:A1000")))),"")), " ,", ""))</f>
        <v>,</v>
      </c>
    </row>
    <row r="117" spans="1:13">
      <c r="A117" s="2" t="s">
        <v>831</v>
      </c>
      <c r="B117" s="120" t="s">
        <v>1382</v>
      </c>
      <c r="C117" s="5" t="e" cm="1">
        <f t="array" aca="1" ref="C117" ca="1">SUMPRODUCT(SUMIF(INDIRECT("'"&amp;Assemblies[Assy]&amp;"'!"&amp;"C$5:C1000"),$A117,(INDIRECT("'"&amp;Assemblies[Assy]&amp;"'!"&amp;"O$5:O1000"))))</f>
        <v>#VALUE!</v>
      </c>
      <c r="E117" s="2" t="s">
        <v>1779</v>
      </c>
      <c r="F117" s="115" t="s">
        <v>3376</v>
      </c>
      <c r="G117" s="2" t="s">
        <v>1779</v>
      </c>
      <c r="H117" s="116" t="s">
        <v>1382</v>
      </c>
      <c r="I117" s="116" t="s">
        <v>1382</v>
      </c>
      <c r="J117" s="116" t="s">
        <v>1382</v>
      </c>
      <c r="K117" s="116" t="s">
        <v>1382</v>
      </c>
      <c r="L117" s="2" t="s">
        <v>1382</v>
      </c>
      <c r="M117" s="2" t="str" cm="1">
        <f t="array" aca="1" ref="M117" ca="1">TRIM(SUBSTITUTE(_xlfn.ARRAYTOTEXT(IFERROR(CONCATENATE(SUMIF(INDIRECT("'"&amp;Assemblies[Assy]&amp;"'!"&amp;"C$5:C1000"), $A117, INDIRECT("'"&amp;Assemblies[Assy]&amp;"'!"&amp;"O$5:O1000")), "x",Assemblies[Assy],".",IF(SUMIF(INDIRECT("'"&amp;Assemblies[Assy]&amp;"'!"&amp;"C$5:C1000"), $A117, INDIRECT("'"&amp;Assemblies[Assy]&amp;"'!"&amp;"A$5:A1000"))=0,NA(),SUMIF(INDIRECT("'"&amp;Assemblies[Assy]&amp;"'!"&amp;"C$5:C1000"), $A117, INDIRECT("'"&amp;Assemblies[Assy]&amp;"'!"&amp;"A$5:A1000")))),"")), " ,", ""))</f>
        <v>,</v>
      </c>
    </row>
    <row r="118" spans="1:13">
      <c r="A118" s="2" t="s">
        <v>351</v>
      </c>
      <c r="B118" s="120" t="s">
        <v>1382</v>
      </c>
      <c r="C118" s="5" t="e" cm="1">
        <f t="array" aca="1" ref="C118" ca="1">SUMPRODUCT(SUMIF(INDIRECT("'"&amp;Assemblies[Assy]&amp;"'!"&amp;"C$5:C1000"),$A118,(INDIRECT("'"&amp;Assemblies[Assy]&amp;"'!"&amp;"O$5:O1000"))))</f>
        <v>#VALUE!</v>
      </c>
      <c r="E118" s="2" t="s">
        <v>1779</v>
      </c>
      <c r="F118" s="115" t="s">
        <v>3376</v>
      </c>
      <c r="G118" s="2" t="s">
        <v>1779</v>
      </c>
      <c r="H118" s="116" t="s">
        <v>1382</v>
      </c>
      <c r="I118" s="116" t="s">
        <v>1382</v>
      </c>
      <c r="J118" s="116" t="s">
        <v>1382</v>
      </c>
      <c r="K118" s="116" t="s">
        <v>1382</v>
      </c>
      <c r="L118" s="2" t="s">
        <v>1382</v>
      </c>
      <c r="M118" s="2" t="str" cm="1">
        <f t="array" aca="1" ref="M118" ca="1">TRIM(SUBSTITUTE(_xlfn.ARRAYTOTEXT(IFERROR(CONCATENATE(SUMIF(INDIRECT("'"&amp;Assemblies[Assy]&amp;"'!"&amp;"C$5:C1000"), $A118, INDIRECT("'"&amp;Assemblies[Assy]&amp;"'!"&amp;"O$5:O1000")), "x",Assemblies[Assy],".",IF(SUMIF(INDIRECT("'"&amp;Assemblies[Assy]&amp;"'!"&amp;"C$5:C1000"), $A118, INDIRECT("'"&amp;Assemblies[Assy]&amp;"'!"&amp;"A$5:A1000"))=0,NA(),SUMIF(INDIRECT("'"&amp;Assemblies[Assy]&amp;"'!"&amp;"C$5:C1000"), $A118, INDIRECT("'"&amp;Assemblies[Assy]&amp;"'!"&amp;"A$5:A1000")))),"")), " ,", ""))</f>
        <v>,</v>
      </c>
    </row>
    <row r="119" spans="1:13">
      <c r="A119" s="2" t="s">
        <v>362</v>
      </c>
      <c r="B119" s="120" t="s">
        <v>1382</v>
      </c>
      <c r="C119" s="5" t="e" cm="1">
        <f t="array" aca="1" ref="C119" ca="1">SUMPRODUCT(SUMIF(INDIRECT("'"&amp;Assemblies[Assy]&amp;"'!"&amp;"C$5:C1000"),$A119,(INDIRECT("'"&amp;Assemblies[Assy]&amp;"'!"&amp;"O$5:O1000"))))</f>
        <v>#VALUE!</v>
      </c>
      <c r="E119" s="2" t="s">
        <v>1779</v>
      </c>
      <c r="F119" s="115" t="s">
        <v>3376</v>
      </c>
      <c r="G119" s="2" t="s">
        <v>1779</v>
      </c>
      <c r="H119" s="116" t="s">
        <v>1382</v>
      </c>
      <c r="I119" s="116" t="s">
        <v>1382</v>
      </c>
      <c r="J119" s="116" t="s">
        <v>1382</v>
      </c>
      <c r="K119" s="116" t="s">
        <v>1382</v>
      </c>
      <c r="L119" s="2" t="s">
        <v>1382</v>
      </c>
      <c r="M119" s="2" t="str" cm="1">
        <f t="array" aca="1" ref="M119" ca="1">TRIM(SUBSTITUTE(_xlfn.ARRAYTOTEXT(IFERROR(CONCATENATE(SUMIF(INDIRECT("'"&amp;Assemblies[Assy]&amp;"'!"&amp;"C$5:C1000"), $A119, INDIRECT("'"&amp;Assemblies[Assy]&amp;"'!"&amp;"O$5:O1000")), "x",Assemblies[Assy],".",IF(SUMIF(INDIRECT("'"&amp;Assemblies[Assy]&amp;"'!"&amp;"C$5:C1000"), $A119, INDIRECT("'"&amp;Assemblies[Assy]&amp;"'!"&amp;"A$5:A1000"))=0,NA(),SUMIF(INDIRECT("'"&amp;Assemblies[Assy]&amp;"'!"&amp;"C$5:C1000"), $A119, INDIRECT("'"&amp;Assemblies[Assy]&amp;"'!"&amp;"A$5:A1000")))),"")), " ,", ""))</f>
        <v>,</v>
      </c>
    </row>
    <row r="120" spans="1:13">
      <c r="A120" s="2" t="s">
        <v>829</v>
      </c>
      <c r="B120" s="120" t="s">
        <v>1382</v>
      </c>
      <c r="C120" s="5" t="e" cm="1">
        <f t="array" aca="1" ref="C120" ca="1">SUMPRODUCT(SUMIF(INDIRECT("'"&amp;Assemblies[Assy]&amp;"'!"&amp;"C$5:C1000"),$A120,(INDIRECT("'"&amp;Assemblies[Assy]&amp;"'!"&amp;"O$5:O1000"))))</f>
        <v>#VALUE!</v>
      </c>
      <c r="E120" s="2" t="s">
        <v>1779</v>
      </c>
      <c r="F120" s="115" t="s">
        <v>3376</v>
      </c>
      <c r="G120" s="2" t="s">
        <v>1779</v>
      </c>
      <c r="H120" s="116" t="s">
        <v>1382</v>
      </c>
      <c r="I120" s="116" t="s">
        <v>1382</v>
      </c>
      <c r="J120" s="116" t="s">
        <v>1382</v>
      </c>
      <c r="K120" s="116" t="s">
        <v>1382</v>
      </c>
      <c r="L120" s="2" t="s">
        <v>1382</v>
      </c>
      <c r="M120" s="2" t="str" cm="1">
        <f t="array" aca="1" ref="M120" ca="1">TRIM(SUBSTITUTE(_xlfn.ARRAYTOTEXT(IFERROR(CONCATENATE(SUMIF(INDIRECT("'"&amp;Assemblies[Assy]&amp;"'!"&amp;"C$5:C1000"), $A120, INDIRECT("'"&amp;Assemblies[Assy]&amp;"'!"&amp;"O$5:O1000")), "x",Assemblies[Assy],".",IF(SUMIF(INDIRECT("'"&amp;Assemblies[Assy]&amp;"'!"&amp;"C$5:C1000"), $A120, INDIRECT("'"&amp;Assemblies[Assy]&amp;"'!"&amp;"A$5:A1000"))=0,NA(),SUMIF(INDIRECT("'"&amp;Assemblies[Assy]&amp;"'!"&amp;"C$5:C1000"), $A120, INDIRECT("'"&amp;Assemblies[Assy]&amp;"'!"&amp;"A$5:A1000")))),"")), " ,", ""))</f>
        <v>,</v>
      </c>
    </row>
    <row r="121" spans="1:13">
      <c r="A121" s="2" t="s">
        <v>434</v>
      </c>
      <c r="B121" s="120" t="s">
        <v>1382</v>
      </c>
      <c r="C121" s="5" t="e" cm="1">
        <f t="array" aca="1" ref="C121" ca="1">SUMPRODUCT(SUMIF(INDIRECT("'"&amp;Assemblies[Assy]&amp;"'!"&amp;"C$5:C1000"),$A121,(INDIRECT("'"&amp;Assemblies[Assy]&amp;"'!"&amp;"O$5:O1000"))))</f>
        <v>#VALUE!</v>
      </c>
      <c r="E121" s="2" t="s">
        <v>1779</v>
      </c>
      <c r="F121" s="115" t="s">
        <v>3376</v>
      </c>
      <c r="G121" s="2" t="s">
        <v>1779</v>
      </c>
      <c r="H121" s="116" t="s">
        <v>1382</v>
      </c>
      <c r="I121" s="116" t="s">
        <v>1382</v>
      </c>
      <c r="J121" s="116" t="s">
        <v>1382</v>
      </c>
      <c r="K121" s="116" t="s">
        <v>1382</v>
      </c>
      <c r="L121" s="2" t="s">
        <v>1382</v>
      </c>
      <c r="M121" s="2" t="str" cm="1">
        <f t="array" aca="1" ref="M121" ca="1">TRIM(SUBSTITUTE(_xlfn.ARRAYTOTEXT(IFERROR(CONCATENATE(SUMIF(INDIRECT("'"&amp;Assemblies[Assy]&amp;"'!"&amp;"C$5:C1000"), $A121, INDIRECT("'"&amp;Assemblies[Assy]&amp;"'!"&amp;"O$5:O1000")), "x",Assemblies[Assy],".",IF(SUMIF(INDIRECT("'"&amp;Assemblies[Assy]&amp;"'!"&amp;"C$5:C1000"), $A121, INDIRECT("'"&amp;Assemblies[Assy]&amp;"'!"&amp;"A$5:A1000"))=0,NA(),SUMIF(INDIRECT("'"&amp;Assemblies[Assy]&amp;"'!"&amp;"C$5:C1000"), $A121, INDIRECT("'"&amp;Assemblies[Assy]&amp;"'!"&amp;"A$5:A1000")))),"")), " ,", ""))</f>
        <v>,</v>
      </c>
    </row>
    <row r="122" spans="1:13">
      <c r="A122" s="2" t="s">
        <v>795</v>
      </c>
      <c r="B122" s="120" t="s">
        <v>1382</v>
      </c>
      <c r="C122" s="5" t="e" cm="1">
        <f t="array" aca="1" ref="C122" ca="1">SUMPRODUCT(SUMIF(INDIRECT("'"&amp;Assemblies[Assy]&amp;"'!"&amp;"C$5:C1000"),$A122,(INDIRECT("'"&amp;Assemblies[Assy]&amp;"'!"&amp;"O$5:O1000"))))</f>
        <v>#VALUE!</v>
      </c>
      <c r="E122" s="2" t="s">
        <v>1779</v>
      </c>
      <c r="F122" s="115" t="s">
        <v>3376</v>
      </c>
      <c r="G122" s="2" t="s">
        <v>1779</v>
      </c>
      <c r="H122" s="116" t="s">
        <v>1382</v>
      </c>
      <c r="I122" s="116" t="s">
        <v>1382</v>
      </c>
      <c r="J122" s="116" t="s">
        <v>1382</v>
      </c>
      <c r="K122" s="116" t="s">
        <v>1382</v>
      </c>
      <c r="L122" s="2" t="s">
        <v>1382</v>
      </c>
      <c r="M122" s="2" t="str" cm="1">
        <f t="array" aca="1" ref="M122" ca="1">TRIM(SUBSTITUTE(_xlfn.ARRAYTOTEXT(IFERROR(CONCATENATE(SUMIF(INDIRECT("'"&amp;Assemblies[Assy]&amp;"'!"&amp;"C$5:C1000"), $A122, INDIRECT("'"&amp;Assemblies[Assy]&amp;"'!"&amp;"O$5:O1000")), "x",Assemblies[Assy],".",IF(SUMIF(INDIRECT("'"&amp;Assemblies[Assy]&amp;"'!"&amp;"C$5:C1000"), $A122, INDIRECT("'"&amp;Assemblies[Assy]&amp;"'!"&amp;"A$5:A1000"))=0,NA(),SUMIF(INDIRECT("'"&amp;Assemblies[Assy]&amp;"'!"&amp;"C$5:C1000"), $A122, INDIRECT("'"&amp;Assemblies[Assy]&amp;"'!"&amp;"A$5:A1000")))),"")), " ,", ""))</f>
        <v>,</v>
      </c>
    </row>
    <row r="123" spans="1:13">
      <c r="A123" s="2" t="s">
        <v>3390</v>
      </c>
      <c r="B123" s="120" t="s">
        <v>1382</v>
      </c>
      <c r="C123" s="5" cm="1">
        <f t="array" aca="1" ref="C123" ca="1">SUMPRODUCT(SUMIF(INDIRECT("'"&amp;Assemblies[Assy]&amp;"'!"&amp;"C$5:C1000"),$A123,(INDIRECT("'"&amp;Assemblies[Assy]&amp;"'!"&amp;"O$5:O1000"))))</f>
        <v>0</v>
      </c>
      <c r="E123" s="2" t="s">
        <v>1779</v>
      </c>
      <c r="F123" s="115" t="s">
        <v>3376</v>
      </c>
      <c r="G123" s="2" t="s">
        <v>1779</v>
      </c>
      <c r="H123" s="116" t="s">
        <v>1382</v>
      </c>
      <c r="I123" s="116" t="s">
        <v>1382</v>
      </c>
      <c r="J123" s="116" t="s">
        <v>1382</v>
      </c>
      <c r="K123" s="116" t="s">
        <v>1382</v>
      </c>
      <c r="L123" s="2" t="s">
        <v>1382</v>
      </c>
      <c r="M123" s="2" t="str" cm="1">
        <f t="array" aca="1" ref="M123" ca="1">TRIM(SUBSTITUTE(_xlfn.ARRAYTOTEXT(IFERROR(CONCATENATE(SUMIF(INDIRECT("'"&amp;Assemblies[Assy]&amp;"'!"&amp;"C$5:C1000"), $A123, INDIRECT("'"&amp;Assemblies[Assy]&amp;"'!"&amp;"O$5:O1000")), "x",Assemblies[Assy],".",IF(SUMIF(INDIRECT("'"&amp;Assemblies[Assy]&amp;"'!"&amp;"C$5:C1000"), $A123, INDIRECT("'"&amp;Assemblies[Assy]&amp;"'!"&amp;"A$5:A1000"))=0,NA(),SUMIF(INDIRECT("'"&amp;Assemblies[Assy]&amp;"'!"&amp;"C$5:C1000"), $A123, INDIRECT("'"&amp;Assemblies[Assy]&amp;"'!"&amp;"A$5:A1000")))),"")), " ,", ""))</f>
        <v>,</v>
      </c>
    </row>
    <row r="124" spans="1:13">
      <c r="A124" s="2" t="s">
        <v>969</v>
      </c>
      <c r="C124" s="5" t="e" cm="1">
        <f t="array" aca="1" ref="C124" ca="1">SUMPRODUCT(SUMIF(INDIRECT("'"&amp;Assemblies[Assy]&amp;"'!"&amp;"C$5:C1000"),$A124,(INDIRECT("'"&amp;Assemblies[Assy]&amp;"'!"&amp;"O$5:O1000"))))</f>
        <v>#VALUE!</v>
      </c>
      <c r="M124" s="2" t="str" cm="1">
        <f t="array" aca="1" ref="M124" ca="1">TRIM(SUBSTITUTE(_xlfn.ARRAYTOTEXT(IFERROR(CONCATENATE(SUMIF(INDIRECT("'"&amp;Assemblies[Assy]&amp;"'!"&amp;"C$5:C1000"), $A124, INDIRECT("'"&amp;Assemblies[Assy]&amp;"'!"&amp;"O$5:O1000")), "x",Assemblies[Assy],".",IF(SUMIF(INDIRECT("'"&amp;Assemblies[Assy]&amp;"'!"&amp;"C$5:C1000"), $A124, INDIRECT("'"&amp;Assemblies[Assy]&amp;"'!"&amp;"A$5:A1000"))=0,NA(),SUMIF(INDIRECT("'"&amp;Assemblies[Assy]&amp;"'!"&amp;"C$5:C1000"), $A124, INDIRECT("'"&amp;Assemblies[Assy]&amp;"'!"&amp;"A$5:A1000")))),"")), " ,", ""))</f>
        <v>,</v>
      </c>
    </row>
    <row r="125" spans="1:13">
      <c r="A125" s="2" t="s">
        <v>427</v>
      </c>
      <c r="B125" s="120" t="s">
        <v>1382</v>
      </c>
      <c r="C125" s="5" t="e" cm="1">
        <f t="array" aca="1" ref="C125" ca="1">SUMPRODUCT(SUMIF(INDIRECT("'"&amp;Assemblies[Assy]&amp;"'!"&amp;"C$5:C1000"),$A125,(INDIRECT("'"&amp;Assemblies[Assy]&amp;"'!"&amp;"O$5:O1000"))))</f>
        <v>#VALUE!</v>
      </c>
      <c r="E125" s="2" t="s">
        <v>1779</v>
      </c>
      <c r="F125" s="115" t="s">
        <v>3376</v>
      </c>
      <c r="G125" s="2" t="s">
        <v>1779</v>
      </c>
      <c r="H125" s="116" t="s">
        <v>1382</v>
      </c>
      <c r="I125" s="116" t="s">
        <v>1382</v>
      </c>
      <c r="J125" s="116" t="s">
        <v>1382</v>
      </c>
      <c r="K125" s="116" t="s">
        <v>1382</v>
      </c>
      <c r="L125" s="2" t="s">
        <v>1382</v>
      </c>
      <c r="M125" s="2" t="str" cm="1">
        <f t="array" aca="1" ref="M125" ca="1">TRIM(SUBSTITUTE(_xlfn.ARRAYTOTEXT(IFERROR(CONCATENATE(SUMIF(INDIRECT("'"&amp;Assemblies[Assy]&amp;"'!"&amp;"C$5:C1000"), $A125, INDIRECT("'"&amp;Assemblies[Assy]&amp;"'!"&amp;"O$5:O1000")), "x",Assemblies[Assy],".",IF(SUMIF(INDIRECT("'"&amp;Assemblies[Assy]&amp;"'!"&amp;"C$5:C1000"), $A125, INDIRECT("'"&amp;Assemblies[Assy]&amp;"'!"&amp;"A$5:A1000"))=0,NA(),SUMIF(INDIRECT("'"&amp;Assemblies[Assy]&amp;"'!"&amp;"C$5:C1000"), $A125, INDIRECT("'"&amp;Assemblies[Assy]&amp;"'!"&amp;"A$5:A1000")))),"")), " ,", ""))</f>
        <v>,</v>
      </c>
    </row>
    <row r="126" spans="1:13">
      <c r="A126" s="2" t="s">
        <v>627</v>
      </c>
      <c r="B126" s="120" t="s">
        <v>1382</v>
      </c>
      <c r="C126" s="5" t="e" cm="1">
        <f t="array" aca="1" ref="C126" ca="1">SUMPRODUCT(SUMIF(INDIRECT("'"&amp;Assemblies[Assy]&amp;"'!"&amp;"C$5:C1000"),$A126,(INDIRECT("'"&amp;Assemblies[Assy]&amp;"'!"&amp;"O$5:O1000"))))</f>
        <v>#VALUE!</v>
      </c>
      <c r="E126" s="2" t="s">
        <v>1779</v>
      </c>
      <c r="F126" s="115" t="s">
        <v>3376</v>
      </c>
      <c r="G126" s="2" t="s">
        <v>1779</v>
      </c>
      <c r="H126" s="116" t="s">
        <v>1382</v>
      </c>
      <c r="I126" s="116" t="s">
        <v>1382</v>
      </c>
      <c r="J126" s="116" t="s">
        <v>1382</v>
      </c>
      <c r="K126" s="116" t="s">
        <v>1382</v>
      </c>
      <c r="L126" s="2" t="s">
        <v>1382</v>
      </c>
      <c r="M126" s="2" t="str" cm="1">
        <f t="array" aca="1" ref="M126" ca="1">TRIM(SUBSTITUTE(_xlfn.ARRAYTOTEXT(IFERROR(CONCATENATE(SUMIF(INDIRECT("'"&amp;Assemblies[Assy]&amp;"'!"&amp;"C$5:C1000"), $A126, INDIRECT("'"&amp;Assemblies[Assy]&amp;"'!"&amp;"O$5:O1000")), "x",Assemblies[Assy],".",IF(SUMIF(INDIRECT("'"&amp;Assemblies[Assy]&amp;"'!"&amp;"C$5:C1000"), $A126, INDIRECT("'"&amp;Assemblies[Assy]&amp;"'!"&amp;"A$5:A1000"))=0,NA(),SUMIF(INDIRECT("'"&amp;Assemblies[Assy]&amp;"'!"&amp;"C$5:C1000"), $A126, INDIRECT("'"&amp;Assemblies[Assy]&amp;"'!"&amp;"A$5:A1000")))),"")), " ,", ""))</f>
        <v>,</v>
      </c>
    </row>
    <row r="127" spans="1:13">
      <c r="A127" s="2" t="s">
        <v>830</v>
      </c>
      <c r="B127" s="120" t="s">
        <v>1382</v>
      </c>
      <c r="C127" s="5" t="e" cm="1">
        <f t="array" aca="1" ref="C127" ca="1">SUMPRODUCT(SUMIF(INDIRECT("'"&amp;Assemblies[Assy]&amp;"'!"&amp;"C$5:C1000"),$A127,(INDIRECT("'"&amp;Assemblies[Assy]&amp;"'!"&amp;"O$5:O1000"))))</f>
        <v>#VALUE!</v>
      </c>
      <c r="E127" s="2" t="s">
        <v>1779</v>
      </c>
      <c r="F127" s="115" t="s">
        <v>3376</v>
      </c>
      <c r="G127" s="2" t="s">
        <v>1779</v>
      </c>
      <c r="H127" s="116" t="s">
        <v>1382</v>
      </c>
      <c r="I127" s="116" t="s">
        <v>1382</v>
      </c>
      <c r="J127" s="116" t="s">
        <v>1382</v>
      </c>
      <c r="K127" s="116" t="s">
        <v>1382</v>
      </c>
      <c r="L127" s="2" t="s">
        <v>1382</v>
      </c>
      <c r="M127" s="2" t="str" cm="1">
        <f t="array" aca="1" ref="M127" ca="1">TRIM(SUBSTITUTE(_xlfn.ARRAYTOTEXT(IFERROR(CONCATENATE(SUMIF(INDIRECT("'"&amp;Assemblies[Assy]&amp;"'!"&amp;"C$5:C1000"), $A127, INDIRECT("'"&amp;Assemblies[Assy]&amp;"'!"&amp;"O$5:O1000")), "x",Assemblies[Assy],".",IF(SUMIF(INDIRECT("'"&amp;Assemblies[Assy]&amp;"'!"&amp;"C$5:C1000"), $A127, INDIRECT("'"&amp;Assemblies[Assy]&amp;"'!"&amp;"A$5:A1000"))=0,NA(),SUMIF(INDIRECT("'"&amp;Assemblies[Assy]&amp;"'!"&amp;"C$5:C1000"), $A127, INDIRECT("'"&amp;Assemblies[Assy]&amp;"'!"&amp;"A$5:A1000")))),"")), " ,", ""))</f>
        <v>,</v>
      </c>
    </row>
    <row r="128" spans="1:13">
      <c r="A128" s="2" t="s">
        <v>281</v>
      </c>
      <c r="B128" s="120" t="s">
        <v>1382</v>
      </c>
      <c r="C128" s="5" t="e" cm="1">
        <f t="array" aca="1" ref="C128" ca="1">SUMPRODUCT(SUMIF(INDIRECT("'"&amp;Assemblies[Assy]&amp;"'!"&amp;"C$5:C1000"),$A128,(INDIRECT("'"&amp;Assemblies[Assy]&amp;"'!"&amp;"O$5:O1000"))))</f>
        <v>#VALUE!</v>
      </c>
      <c r="E128" s="2" t="s">
        <v>1779</v>
      </c>
      <c r="F128" s="115" t="s">
        <v>3376</v>
      </c>
      <c r="G128" s="2" t="s">
        <v>1779</v>
      </c>
      <c r="H128" s="116" t="s">
        <v>1382</v>
      </c>
      <c r="I128" s="116" t="s">
        <v>1382</v>
      </c>
      <c r="J128" s="116" t="s">
        <v>1382</v>
      </c>
      <c r="K128" s="116" t="s">
        <v>1382</v>
      </c>
      <c r="L128" s="2" t="s">
        <v>1382</v>
      </c>
      <c r="M128" s="2" t="str" cm="1">
        <f t="array" aca="1" ref="M128" ca="1">TRIM(SUBSTITUTE(_xlfn.ARRAYTOTEXT(IFERROR(CONCATENATE(SUMIF(INDIRECT("'"&amp;Assemblies[Assy]&amp;"'!"&amp;"C$5:C1000"), $A128, INDIRECT("'"&amp;Assemblies[Assy]&amp;"'!"&amp;"O$5:O1000")), "x",Assemblies[Assy],".",IF(SUMIF(INDIRECT("'"&amp;Assemblies[Assy]&amp;"'!"&amp;"C$5:C1000"), $A128, INDIRECT("'"&amp;Assemblies[Assy]&amp;"'!"&amp;"A$5:A1000"))=0,NA(),SUMIF(INDIRECT("'"&amp;Assemblies[Assy]&amp;"'!"&amp;"C$5:C1000"), $A128, INDIRECT("'"&amp;Assemblies[Assy]&amp;"'!"&amp;"A$5:A1000")))),"")), " ,", ""))</f>
        <v>,</v>
      </c>
    </row>
    <row r="129" spans="1:13">
      <c r="A129" s="2" t="s">
        <v>1138</v>
      </c>
      <c r="C129" s="5" t="e" cm="1">
        <f t="array" aca="1" ref="C129" ca="1">SUMPRODUCT(SUMIF(INDIRECT("'"&amp;Assemblies[Assy]&amp;"'!"&amp;"C$5:C1000"),$A129,(INDIRECT("'"&amp;Assemblies[Assy]&amp;"'!"&amp;"O$5:O1000"))))</f>
        <v>#VALUE!</v>
      </c>
      <c r="M129" s="2" t="str" cm="1">
        <f t="array" aca="1" ref="M129" ca="1">TRIM(SUBSTITUTE(_xlfn.ARRAYTOTEXT(IFERROR(CONCATENATE(SUMIF(INDIRECT("'"&amp;Assemblies[Assy]&amp;"'!"&amp;"C$5:C1000"), $A129, INDIRECT("'"&amp;Assemblies[Assy]&amp;"'!"&amp;"O$5:O1000")), "x",Assemblies[Assy],".",IF(SUMIF(INDIRECT("'"&amp;Assemblies[Assy]&amp;"'!"&amp;"C$5:C1000"), $A129, INDIRECT("'"&amp;Assemblies[Assy]&amp;"'!"&amp;"A$5:A1000"))=0,NA(),SUMIF(INDIRECT("'"&amp;Assemblies[Assy]&amp;"'!"&amp;"C$5:C1000"), $A129, INDIRECT("'"&amp;Assemblies[Assy]&amp;"'!"&amp;"A$5:A1000")))),"")), " ,", ""))</f>
        <v>,</v>
      </c>
    </row>
    <row r="130" spans="1:13">
      <c r="A130" s="2" t="s">
        <v>352</v>
      </c>
      <c r="B130" s="120" t="s">
        <v>1382</v>
      </c>
      <c r="C130" s="5" t="e" cm="1">
        <f t="array" aca="1" ref="C130" ca="1">SUMPRODUCT(SUMIF(INDIRECT("'"&amp;Assemblies[Assy]&amp;"'!"&amp;"C$5:C1000"),$A130,(INDIRECT("'"&amp;Assemblies[Assy]&amp;"'!"&amp;"O$5:O1000"))))</f>
        <v>#VALUE!</v>
      </c>
      <c r="E130" s="2" t="s">
        <v>1779</v>
      </c>
      <c r="F130" s="115" t="s">
        <v>3376</v>
      </c>
      <c r="G130" s="2" t="s">
        <v>1779</v>
      </c>
      <c r="H130" s="116" t="s">
        <v>1382</v>
      </c>
      <c r="I130" s="116" t="s">
        <v>1382</v>
      </c>
      <c r="J130" s="116" t="s">
        <v>1382</v>
      </c>
      <c r="K130" s="116" t="s">
        <v>1382</v>
      </c>
      <c r="L130" s="2" t="s">
        <v>1382</v>
      </c>
      <c r="M130" s="2" t="str" cm="1">
        <f t="array" aca="1" ref="M130" ca="1">TRIM(SUBSTITUTE(_xlfn.ARRAYTOTEXT(IFERROR(CONCATENATE(SUMIF(INDIRECT("'"&amp;Assemblies[Assy]&amp;"'!"&amp;"C$5:C1000"), $A130, INDIRECT("'"&amp;Assemblies[Assy]&amp;"'!"&amp;"O$5:O1000")), "x",Assemblies[Assy],".",IF(SUMIF(INDIRECT("'"&amp;Assemblies[Assy]&amp;"'!"&amp;"C$5:C1000"), $A130, INDIRECT("'"&amp;Assemblies[Assy]&amp;"'!"&amp;"A$5:A1000"))=0,NA(),SUMIF(INDIRECT("'"&amp;Assemblies[Assy]&amp;"'!"&amp;"C$5:C1000"), $A130, INDIRECT("'"&amp;Assemblies[Assy]&amp;"'!"&amp;"A$5:A1000")))),"")), " ,", ""))</f>
        <v>,</v>
      </c>
    </row>
    <row r="131" spans="1:13">
      <c r="A131" s="2" t="s">
        <v>589</v>
      </c>
      <c r="B131" s="120" t="s">
        <v>1382</v>
      </c>
      <c r="C131" s="5" t="e" cm="1">
        <f t="array" aca="1" ref="C131" ca="1">SUMPRODUCT(SUMIF(INDIRECT("'"&amp;Assemblies[Assy]&amp;"'!"&amp;"C$5:C1000"),$A131,(INDIRECT("'"&amp;Assemblies[Assy]&amp;"'!"&amp;"O$5:O1000"))))</f>
        <v>#VALUE!</v>
      </c>
      <c r="E131" s="2" t="s">
        <v>1779</v>
      </c>
      <c r="F131" s="115" t="s">
        <v>3376</v>
      </c>
      <c r="G131" s="2" t="s">
        <v>1779</v>
      </c>
      <c r="H131" s="116" t="s">
        <v>1382</v>
      </c>
      <c r="I131" s="116" t="s">
        <v>1382</v>
      </c>
      <c r="J131" s="116" t="s">
        <v>1382</v>
      </c>
      <c r="K131" s="116" t="s">
        <v>1382</v>
      </c>
      <c r="L131" s="2" t="s">
        <v>1382</v>
      </c>
      <c r="M131" s="2" t="str" cm="1">
        <f t="array" aca="1" ref="M131" ca="1">TRIM(SUBSTITUTE(_xlfn.ARRAYTOTEXT(IFERROR(CONCATENATE(SUMIF(INDIRECT("'"&amp;Assemblies[Assy]&amp;"'!"&amp;"C$5:C1000"), $A131, INDIRECT("'"&amp;Assemblies[Assy]&amp;"'!"&amp;"O$5:O1000")), "x",Assemblies[Assy],".",IF(SUMIF(INDIRECT("'"&amp;Assemblies[Assy]&amp;"'!"&amp;"C$5:C1000"), $A131, INDIRECT("'"&amp;Assemblies[Assy]&amp;"'!"&amp;"A$5:A1000"))=0,NA(),SUMIF(INDIRECT("'"&amp;Assemblies[Assy]&amp;"'!"&amp;"C$5:C1000"), $A131, INDIRECT("'"&amp;Assemblies[Assy]&amp;"'!"&amp;"A$5:A1000")))),"")), " ,", ""))</f>
        <v>,</v>
      </c>
    </row>
    <row r="132" spans="1:13">
      <c r="A132" s="2" t="s">
        <v>803</v>
      </c>
      <c r="B132" s="120" t="s">
        <v>1382</v>
      </c>
      <c r="C132" s="5" t="e" cm="1">
        <f t="array" aca="1" ref="C132" ca="1">SUMPRODUCT(SUMIF(INDIRECT("'"&amp;Assemblies[Assy]&amp;"'!"&amp;"C$5:C1000"),$A132,(INDIRECT("'"&amp;Assemblies[Assy]&amp;"'!"&amp;"O$5:O1000"))))</f>
        <v>#VALUE!</v>
      </c>
      <c r="E132" s="2" t="s">
        <v>1779</v>
      </c>
      <c r="F132" s="115" t="s">
        <v>3376</v>
      </c>
      <c r="G132" s="2" t="s">
        <v>1779</v>
      </c>
      <c r="H132" s="116" t="s">
        <v>1382</v>
      </c>
      <c r="I132" s="116" t="s">
        <v>1382</v>
      </c>
      <c r="J132" s="116" t="s">
        <v>1382</v>
      </c>
      <c r="K132" s="116" t="s">
        <v>1382</v>
      </c>
      <c r="L132" s="2" t="s">
        <v>1382</v>
      </c>
      <c r="M132" s="2" t="str" cm="1">
        <f t="array" aca="1" ref="M132" ca="1">TRIM(SUBSTITUTE(_xlfn.ARRAYTOTEXT(IFERROR(CONCATENATE(SUMIF(INDIRECT("'"&amp;Assemblies[Assy]&amp;"'!"&amp;"C$5:C1000"), $A132, INDIRECT("'"&amp;Assemblies[Assy]&amp;"'!"&amp;"O$5:O1000")), "x",Assemblies[Assy],".",IF(SUMIF(INDIRECT("'"&amp;Assemblies[Assy]&amp;"'!"&amp;"C$5:C1000"), $A132, INDIRECT("'"&amp;Assemblies[Assy]&amp;"'!"&amp;"A$5:A1000"))=0,NA(),SUMIF(INDIRECT("'"&amp;Assemblies[Assy]&amp;"'!"&amp;"C$5:C1000"), $A132, INDIRECT("'"&amp;Assemblies[Assy]&amp;"'!"&amp;"A$5:A1000")))),"")), " ,", ""))</f>
        <v>,</v>
      </c>
    </row>
    <row r="133" spans="1:13">
      <c r="A133" s="2" t="s">
        <v>1302</v>
      </c>
      <c r="C133" s="5" t="e" cm="1">
        <f t="array" aca="1" ref="C133" ca="1">SUMPRODUCT(SUMIF(INDIRECT("'"&amp;Assemblies[Assy]&amp;"'!"&amp;"C$5:C1000"),$A133,(INDIRECT("'"&amp;Assemblies[Assy]&amp;"'!"&amp;"O$5:O1000"))))</f>
        <v>#VALUE!</v>
      </c>
      <c r="M133" s="2" t="str" cm="1">
        <f t="array" aca="1" ref="M133" ca="1">TRIM(SUBSTITUTE(_xlfn.ARRAYTOTEXT(IFERROR(CONCATENATE(SUMIF(INDIRECT("'"&amp;Assemblies[Assy]&amp;"'!"&amp;"C$5:C1000"), $A133, INDIRECT("'"&amp;Assemblies[Assy]&amp;"'!"&amp;"O$5:O1000")), "x",Assemblies[Assy],".",IF(SUMIF(INDIRECT("'"&amp;Assemblies[Assy]&amp;"'!"&amp;"C$5:C1000"), $A133, INDIRECT("'"&amp;Assemblies[Assy]&amp;"'!"&amp;"A$5:A1000"))=0,NA(),SUMIF(INDIRECT("'"&amp;Assemblies[Assy]&amp;"'!"&amp;"C$5:C1000"), $A133, INDIRECT("'"&amp;Assemblies[Assy]&amp;"'!"&amp;"A$5:A1000")))),"")), " ,", ""))</f>
        <v>,</v>
      </c>
    </row>
    <row r="134" spans="1:13">
      <c r="A134" s="2" t="s">
        <v>337</v>
      </c>
      <c r="B134" s="120" t="s">
        <v>1382</v>
      </c>
      <c r="C134" s="5" t="e" cm="1">
        <f t="array" aca="1" ref="C134" ca="1">SUMPRODUCT(SUMIF(INDIRECT("'"&amp;Assemblies[Assy]&amp;"'!"&amp;"C$5:C1000"),$A134,(INDIRECT("'"&amp;Assemblies[Assy]&amp;"'!"&amp;"O$5:O1000"))))</f>
        <v>#VALUE!</v>
      </c>
      <c r="E134" s="2" t="s">
        <v>1779</v>
      </c>
      <c r="F134" s="115" t="s">
        <v>3376</v>
      </c>
      <c r="G134" s="2" t="s">
        <v>1779</v>
      </c>
      <c r="H134" s="116" t="s">
        <v>1382</v>
      </c>
      <c r="I134" s="116" t="s">
        <v>1382</v>
      </c>
      <c r="J134" s="116" t="s">
        <v>1382</v>
      </c>
      <c r="K134" s="116" t="s">
        <v>1382</v>
      </c>
      <c r="L134" s="2" t="s">
        <v>1382</v>
      </c>
      <c r="M134" s="2" t="str" cm="1">
        <f t="array" aca="1" ref="M134" ca="1">TRIM(SUBSTITUTE(_xlfn.ARRAYTOTEXT(IFERROR(CONCATENATE(SUMIF(INDIRECT("'"&amp;Assemblies[Assy]&amp;"'!"&amp;"C$5:C1000"), $A134, INDIRECT("'"&amp;Assemblies[Assy]&amp;"'!"&amp;"O$5:O1000")), "x",Assemblies[Assy],".",IF(SUMIF(INDIRECT("'"&amp;Assemblies[Assy]&amp;"'!"&amp;"C$5:C1000"), $A134, INDIRECT("'"&amp;Assemblies[Assy]&amp;"'!"&amp;"A$5:A1000"))=0,NA(),SUMIF(INDIRECT("'"&amp;Assemblies[Assy]&amp;"'!"&amp;"C$5:C1000"), $A134, INDIRECT("'"&amp;Assemblies[Assy]&amp;"'!"&amp;"A$5:A1000")))),"")), " ,", ""))</f>
        <v>,</v>
      </c>
    </row>
    <row r="135" spans="1:13">
      <c r="A135" s="2" t="s">
        <v>289</v>
      </c>
      <c r="B135" s="120" t="s">
        <v>1382</v>
      </c>
      <c r="C135" s="5" t="e" cm="1">
        <f t="array" aca="1" ref="C135" ca="1">SUMPRODUCT(SUMIF(INDIRECT("'"&amp;Assemblies[Assy]&amp;"'!"&amp;"C$5:C1000"),$A135,(INDIRECT("'"&amp;Assemblies[Assy]&amp;"'!"&amp;"O$5:O1000"))))</f>
        <v>#VALUE!</v>
      </c>
      <c r="E135" s="2" t="s">
        <v>1779</v>
      </c>
      <c r="F135" s="115" t="s">
        <v>3376</v>
      </c>
      <c r="G135" s="2" t="s">
        <v>1779</v>
      </c>
      <c r="H135" s="116" t="s">
        <v>1382</v>
      </c>
      <c r="I135" s="116" t="s">
        <v>1382</v>
      </c>
      <c r="J135" s="116" t="s">
        <v>1382</v>
      </c>
      <c r="K135" s="116" t="s">
        <v>1382</v>
      </c>
      <c r="L135" s="2" t="s">
        <v>1382</v>
      </c>
      <c r="M135" s="2" t="str" cm="1">
        <f t="array" aca="1" ref="M135" ca="1">TRIM(SUBSTITUTE(_xlfn.ARRAYTOTEXT(IFERROR(CONCATENATE(SUMIF(INDIRECT("'"&amp;Assemblies[Assy]&amp;"'!"&amp;"C$5:C1000"), $A135, INDIRECT("'"&amp;Assemblies[Assy]&amp;"'!"&amp;"O$5:O1000")), "x",Assemblies[Assy],".",IF(SUMIF(INDIRECT("'"&amp;Assemblies[Assy]&amp;"'!"&amp;"C$5:C1000"), $A135, INDIRECT("'"&amp;Assemblies[Assy]&amp;"'!"&amp;"A$5:A1000"))=0,NA(),SUMIF(INDIRECT("'"&amp;Assemblies[Assy]&amp;"'!"&amp;"C$5:C1000"), $A135, INDIRECT("'"&amp;Assemblies[Assy]&amp;"'!"&amp;"A$5:A1000")))),"")), " ,", ""))</f>
        <v>,</v>
      </c>
    </row>
    <row r="136" spans="1:13">
      <c r="A136" s="2" t="s">
        <v>1005</v>
      </c>
      <c r="B136" s="120" t="s">
        <v>1382</v>
      </c>
      <c r="C136" s="5" t="e" cm="1">
        <f t="array" aca="1" ref="C136" ca="1">SUMPRODUCT(SUMIF(INDIRECT("'"&amp;Assemblies[Assy]&amp;"'!"&amp;"C$5:C1000"),$A136,(INDIRECT("'"&amp;Assemblies[Assy]&amp;"'!"&amp;"O$5:O1000"))))</f>
        <v>#VALUE!</v>
      </c>
      <c r="E136" s="2" t="s">
        <v>1779</v>
      </c>
      <c r="F136" s="115" t="s">
        <v>3376</v>
      </c>
      <c r="G136" s="2" t="s">
        <v>1779</v>
      </c>
      <c r="H136" s="116" t="s">
        <v>1382</v>
      </c>
      <c r="I136" s="116" t="s">
        <v>1382</v>
      </c>
      <c r="J136" s="116" t="s">
        <v>1382</v>
      </c>
      <c r="K136" s="116" t="s">
        <v>1382</v>
      </c>
      <c r="L136" s="2" t="s">
        <v>1382</v>
      </c>
      <c r="M136" s="2" t="str" cm="1">
        <f t="array" aca="1" ref="M136" ca="1">TRIM(SUBSTITUTE(_xlfn.ARRAYTOTEXT(IFERROR(CONCATENATE(SUMIF(INDIRECT("'"&amp;Assemblies[Assy]&amp;"'!"&amp;"C$5:C1000"), $A136, INDIRECT("'"&amp;Assemblies[Assy]&amp;"'!"&amp;"O$5:O1000")), "x",Assemblies[Assy],".",IF(SUMIF(INDIRECT("'"&amp;Assemblies[Assy]&amp;"'!"&amp;"C$5:C1000"), $A136, INDIRECT("'"&amp;Assemblies[Assy]&amp;"'!"&amp;"A$5:A1000"))=0,NA(),SUMIF(INDIRECT("'"&amp;Assemblies[Assy]&amp;"'!"&amp;"C$5:C1000"), $A136, INDIRECT("'"&amp;Assemblies[Assy]&amp;"'!"&amp;"A$5:A1000")))),"")), " ,", ""))</f>
        <v>,</v>
      </c>
    </row>
    <row r="137" spans="1:13">
      <c r="A137" s="2" t="s">
        <v>595</v>
      </c>
      <c r="B137" s="120" t="s">
        <v>1382</v>
      </c>
      <c r="C137" s="5" t="e" cm="1">
        <f t="array" aca="1" ref="C137" ca="1">SUMPRODUCT(SUMIF(INDIRECT("'"&amp;Assemblies[Assy]&amp;"'!"&amp;"C$5:C1000"),$A137,(INDIRECT("'"&amp;Assemblies[Assy]&amp;"'!"&amp;"O$5:O1000"))))</f>
        <v>#VALUE!</v>
      </c>
      <c r="E137" s="2" t="s">
        <v>1779</v>
      </c>
      <c r="F137" s="115" t="s">
        <v>3376</v>
      </c>
      <c r="G137" s="2" t="s">
        <v>1779</v>
      </c>
      <c r="H137" s="116" t="s">
        <v>1382</v>
      </c>
      <c r="I137" s="116" t="s">
        <v>1382</v>
      </c>
      <c r="J137" s="116" t="s">
        <v>1382</v>
      </c>
      <c r="K137" s="116" t="s">
        <v>1382</v>
      </c>
      <c r="L137" s="2" t="s">
        <v>1382</v>
      </c>
      <c r="M137" s="2" t="str" cm="1">
        <f t="array" aca="1" ref="M137" ca="1">TRIM(SUBSTITUTE(_xlfn.ARRAYTOTEXT(IFERROR(CONCATENATE(SUMIF(INDIRECT("'"&amp;Assemblies[Assy]&amp;"'!"&amp;"C$5:C1000"), $A137, INDIRECT("'"&amp;Assemblies[Assy]&amp;"'!"&amp;"O$5:O1000")), "x",Assemblies[Assy],".",IF(SUMIF(INDIRECT("'"&amp;Assemblies[Assy]&amp;"'!"&amp;"C$5:C1000"), $A137, INDIRECT("'"&amp;Assemblies[Assy]&amp;"'!"&amp;"A$5:A1000"))=0,NA(),SUMIF(INDIRECT("'"&amp;Assemblies[Assy]&amp;"'!"&amp;"C$5:C1000"), $A137, INDIRECT("'"&amp;Assemblies[Assy]&amp;"'!"&amp;"A$5:A1000")))),"")), " ,", ""))</f>
        <v>,</v>
      </c>
    </row>
    <row r="138" spans="1:13">
      <c r="A138" s="2" t="s">
        <v>344</v>
      </c>
      <c r="B138" s="120" t="s">
        <v>1382</v>
      </c>
      <c r="C138" s="5" t="e" cm="1">
        <f t="array" aca="1" ref="C138" ca="1">SUMPRODUCT(SUMIF(INDIRECT("'"&amp;Assemblies[Assy]&amp;"'!"&amp;"C$5:C1000"),$A138,(INDIRECT("'"&amp;Assemblies[Assy]&amp;"'!"&amp;"O$5:O1000"))))</f>
        <v>#VALUE!</v>
      </c>
      <c r="E138" s="2" t="s">
        <v>1779</v>
      </c>
      <c r="F138" s="115" t="s">
        <v>3376</v>
      </c>
      <c r="G138" s="2" t="s">
        <v>1779</v>
      </c>
      <c r="H138" s="116" t="s">
        <v>1382</v>
      </c>
      <c r="I138" s="116" t="s">
        <v>1382</v>
      </c>
      <c r="J138" s="116" t="s">
        <v>1382</v>
      </c>
      <c r="K138" s="116" t="s">
        <v>1382</v>
      </c>
      <c r="L138" s="2" t="s">
        <v>1382</v>
      </c>
      <c r="M138" s="2" t="str" cm="1">
        <f t="array" aca="1" ref="M138" ca="1">TRIM(SUBSTITUTE(_xlfn.ARRAYTOTEXT(IFERROR(CONCATENATE(SUMIF(INDIRECT("'"&amp;Assemblies[Assy]&amp;"'!"&amp;"C$5:C1000"), $A138, INDIRECT("'"&amp;Assemblies[Assy]&amp;"'!"&amp;"O$5:O1000")), "x",Assemblies[Assy],".",IF(SUMIF(INDIRECT("'"&amp;Assemblies[Assy]&amp;"'!"&amp;"C$5:C1000"), $A138, INDIRECT("'"&amp;Assemblies[Assy]&amp;"'!"&amp;"A$5:A1000"))=0,NA(),SUMIF(INDIRECT("'"&amp;Assemblies[Assy]&amp;"'!"&amp;"C$5:C1000"), $A138, INDIRECT("'"&amp;Assemblies[Assy]&amp;"'!"&amp;"A$5:A1000")))),"")), " ,", ""))</f>
        <v>,</v>
      </c>
    </row>
    <row r="139" spans="1:13">
      <c r="A139" s="2" t="s">
        <v>515</v>
      </c>
      <c r="B139" s="120" t="s">
        <v>1382</v>
      </c>
      <c r="C139" s="5" t="e" cm="1">
        <f t="array" aca="1" ref="C139" ca="1">SUMPRODUCT(SUMIF(INDIRECT("'"&amp;Assemblies[Assy]&amp;"'!"&amp;"C$5:C1000"),$A139,(INDIRECT("'"&amp;Assemblies[Assy]&amp;"'!"&amp;"O$5:O1000"))))</f>
        <v>#VALUE!</v>
      </c>
      <c r="E139" s="2" t="s">
        <v>1779</v>
      </c>
      <c r="F139" s="115" t="s">
        <v>3376</v>
      </c>
      <c r="G139" s="2" t="s">
        <v>1779</v>
      </c>
      <c r="H139" s="116" t="s">
        <v>1382</v>
      </c>
      <c r="I139" s="116" t="s">
        <v>1382</v>
      </c>
      <c r="J139" s="116" t="s">
        <v>1382</v>
      </c>
      <c r="K139" s="116" t="s">
        <v>1382</v>
      </c>
      <c r="L139" s="2" t="s">
        <v>1382</v>
      </c>
      <c r="M139" s="2" t="str" cm="1">
        <f t="array" aca="1" ref="M139" ca="1">TRIM(SUBSTITUTE(_xlfn.ARRAYTOTEXT(IFERROR(CONCATENATE(SUMIF(INDIRECT("'"&amp;Assemblies[Assy]&amp;"'!"&amp;"C$5:C1000"), $A139, INDIRECT("'"&amp;Assemblies[Assy]&amp;"'!"&amp;"O$5:O1000")), "x",Assemblies[Assy],".",IF(SUMIF(INDIRECT("'"&amp;Assemblies[Assy]&amp;"'!"&amp;"C$5:C1000"), $A139, INDIRECT("'"&amp;Assemblies[Assy]&amp;"'!"&amp;"A$5:A1000"))=0,NA(),SUMIF(INDIRECT("'"&amp;Assemblies[Assy]&amp;"'!"&amp;"C$5:C1000"), $A139, INDIRECT("'"&amp;Assemblies[Assy]&amp;"'!"&amp;"A$5:A1000")))),"")), " ,", ""))</f>
        <v>,</v>
      </c>
    </row>
    <row r="140" spans="1:13">
      <c r="A140" s="2" t="s">
        <v>432</v>
      </c>
      <c r="B140" s="120" t="s">
        <v>1382</v>
      </c>
      <c r="C140" s="5" t="e" cm="1">
        <f t="array" aca="1" ref="C140" ca="1">SUMPRODUCT(SUMIF(INDIRECT("'"&amp;Assemblies[Assy]&amp;"'!"&amp;"C$5:C1000"),$A140,(INDIRECT("'"&amp;Assemblies[Assy]&amp;"'!"&amp;"O$5:O1000"))))</f>
        <v>#VALUE!</v>
      </c>
      <c r="E140" s="2" t="s">
        <v>1779</v>
      </c>
      <c r="F140" s="115" t="s">
        <v>3376</v>
      </c>
      <c r="G140" s="2" t="s">
        <v>1779</v>
      </c>
      <c r="H140" s="116" t="s">
        <v>1382</v>
      </c>
      <c r="I140" s="116" t="s">
        <v>1382</v>
      </c>
      <c r="J140" s="116" t="s">
        <v>1382</v>
      </c>
      <c r="K140" s="116" t="s">
        <v>1382</v>
      </c>
      <c r="L140" s="2" t="s">
        <v>1382</v>
      </c>
      <c r="M140" s="2" t="str" cm="1">
        <f t="array" aca="1" ref="M140" ca="1">TRIM(SUBSTITUTE(_xlfn.ARRAYTOTEXT(IFERROR(CONCATENATE(SUMIF(INDIRECT("'"&amp;Assemblies[Assy]&amp;"'!"&amp;"C$5:C1000"), $A140, INDIRECT("'"&amp;Assemblies[Assy]&amp;"'!"&amp;"O$5:O1000")), "x",Assemblies[Assy],".",IF(SUMIF(INDIRECT("'"&amp;Assemblies[Assy]&amp;"'!"&amp;"C$5:C1000"), $A140, INDIRECT("'"&amp;Assemblies[Assy]&amp;"'!"&amp;"A$5:A1000"))=0,NA(),SUMIF(INDIRECT("'"&amp;Assemblies[Assy]&amp;"'!"&amp;"C$5:C1000"), $A140, INDIRECT("'"&amp;Assemblies[Assy]&amp;"'!"&amp;"A$5:A1000")))),"")), " ,", ""))</f>
        <v>,</v>
      </c>
    </row>
  </sheetData>
  <conditionalFormatting sqref="D2:D140">
    <cfRule type="cellIs" dxfId="18" priority="2" operator="greaterThanOrEqual">
      <formula>C2</formula>
    </cfRule>
    <cfRule type="cellIs" dxfId="17" priority="3" operator="lessThan">
      <formula>C2</formula>
    </cfRule>
  </conditionalFormatting>
  <conditionalFormatting sqref="K2:K10026">
    <cfRule type="cellIs" dxfId="16" priority="110" operator="greaterThan">
      <formula>#REF!</formula>
    </cfRule>
  </conditionalFormatting>
  <conditionalFormatting sqref="A2:A140">
    <cfRule type="duplicateValues" dxfId="15" priority="316"/>
  </conditionalFormatting>
  <pageMargins left="0.7" right="0.7" top="0.75" bottom="0.75" header="0.3" footer="0.3"/>
  <pageSetup paperSize="3" fitToHeight="0" orientation="landscape" horizontalDpi="1200" verticalDpi="12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Greg Herivel</dc:creator>
  <cp:keywords/>
  <dc:description/>
  <cp:lastModifiedBy>Guest User</cp:lastModifiedBy>
  <cp:revision/>
  <dcterms:created xsi:type="dcterms:W3CDTF">2008-02-28T14:14:01Z</dcterms:created>
  <dcterms:modified xsi:type="dcterms:W3CDTF">2024-01-05T20:30:07Z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BCO_ScreenResolution">
    <vt:lpwstr>96 96 1920 1080</vt:lpwstr>
  </property>
</Properties>
</file>